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tables/table11.xml" ContentType="application/vnd.openxmlformats-officedocument.spreadsheetml.table+xml"/>
  <Override PartName="/xl/queryTables/queryTable1.xml" ContentType="application/vnd.openxmlformats-officedocument.spreadsheetml.queryTable+xml"/>
  <Override PartName="/xl/tables/table1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ruipe\Desktop\Hack(IO)\Excel\"/>
    </mc:Choice>
  </mc:AlternateContent>
  <xr:revisionPtr revIDLastSave="0" documentId="13_ncr:1_{D003D034-8D19-4AEE-95CC-2094B7244E20}" xr6:coauthVersionLast="47" xr6:coauthVersionMax="47" xr10:uidLastSave="{00000000-0000-0000-0000-000000000000}"/>
  <bookViews>
    <workbookView xWindow="-108" yWindow="-108" windowWidth="30936" windowHeight="16896" xr2:uid="{2AB17A4D-9F83-4B94-BB53-3D326104AB1D}"/>
  </bookViews>
  <sheets>
    <sheet name="DashBoard" sheetId="10" r:id="rId1"/>
    <sheet name="Conjunto de Datos" sheetId="7" r:id="rId2"/>
    <sheet name="Tablas" sheetId="9" r:id="rId3"/>
    <sheet name="sala" sheetId="6" r:id="rId4"/>
    <sheet name="Cocina" sheetId="3" r:id="rId5"/>
  </sheets>
  <definedNames>
    <definedName name="_xlchart.v5.0" hidden="1">Tablas!$A$65</definedName>
    <definedName name="_xlchart.v5.1" hidden="1">Tablas!$A$66:$A$76</definedName>
    <definedName name="_xlchart.v5.10" hidden="1">Tablas!$B$65</definedName>
    <definedName name="_xlchart.v5.11" hidden="1">Tablas!$B$66:$B$76</definedName>
    <definedName name="_xlchart.v5.2" hidden="1">Tablas!$B$65</definedName>
    <definedName name="_xlchart.v5.3" hidden="1">Tablas!$B$66:$B$76</definedName>
    <definedName name="_xlchart.v5.4" hidden="1">Tablas!$A$65</definedName>
    <definedName name="_xlchart.v5.5" hidden="1">Tablas!$A$66:$A$76</definedName>
    <definedName name="_xlchart.v5.6" hidden="1">Tablas!$B$65</definedName>
    <definedName name="_xlchart.v5.7" hidden="1">Tablas!$B$66:$B$76</definedName>
    <definedName name="_xlchart.v5.8" hidden="1">Tablas!$A$65</definedName>
    <definedName name="_xlchart.v5.9" hidden="1">Tablas!$A$66:$A$76</definedName>
    <definedName name="DatosExternos_1" localSheetId="4" hidden="1">Cocina!$A$1:$I$1903</definedName>
    <definedName name="DatosExternos_1" localSheetId="3" hidden="1">sala!$A$1:$M$768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12" i="10" l="1"/>
  <c r="Q110" i="10"/>
  <c r="Q106" i="10"/>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5"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375" i="9"/>
  <c r="AE376" i="9"/>
  <c r="AE377" i="9"/>
  <c r="AE378" i="9"/>
  <c r="AE379" i="9"/>
  <c r="AE380" i="9"/>
  <c r="AE381" i="9"/>
  <c r="AE382" i="9"/>
  <c r="AE383" i="9"/>
  <c r="AE384" i="9"/>
  <c r="AE385" i="9"/>
  <c r="AE386" i="9"/>
  <c r="AE387" i="9"/>
  <c r="AE388" i="9"/>
  <c r="AE389" i="9"/>
  <c r="AE390" i="9"/>
  <c r="AE391" i="9"/>
  <c r="AE392" i="9"/>
  <c r="AE393" i="9"/>
  <c r="AE394" i="9"/>
  <c r="AE395" i="9"/>
  <c r="AE396" i="9"/>
  <c r="AE397" i="9"/>
  <c r="AE398" i="9"/>
  <c r="AE399" i="9"/>
  <c r="AE400" i="9"/>
  <c r="AE401" i="9"/>
  <c r="AE402" i="9"/>
  <c r="AE403" i="9"/>
  <c r="AE404" i="9"/>
  <c r="AE405" i="9"/>
  <c r="AE406" i="9"/>
  <c r="AE407" i="9"/>
  <c r="AE408" i="9"/>
  <c r="AE409" i="9"/>
  <c r="AE410" i="9"/>
  <c r="AE411" i="9"/>
  <c r="AE412" i="9"/>
  <c r="AE413" i="9"/>
  <c r="AE414" i="9"/>
  <c r="AE415" i="9"/>
  <c r="AE416" i="9"/>
  <c r="AE417" i="9"/>
  <c r="AE418" i="9"/>
  <c r="AE419" i="9"/>
  <c r="AE420" i="9"/>
  <c r="AE421" i="9"/>
  <c r="AE422" i="9"/>
  <c r="AE423" i="9"/>
  <c r="AE424" i="9"/>
  <c r="AE425" i="9"/>
  <c r="AE426" i="9"/>
  <c r="AE427" i="9"/>
  <c r="AE428" i="9"/>
  <c r="AE429" i="9"/>
  <c r="AE430" i="9"/>
  <c r="AE431" i="9"/>
  <c r="AE432" i="9"/>
  <c r="AE433" i="9"/>
  <c r="AE434" i="9"/>
  <c r="AE435" i="9"/>
  <c r="AE436" i="9"/>
  <c r="AE437" i="9"/>
  <c r="AE438" i="9"/>
  <c r="AE439" i="9"/>
  <c r="AE440" i="9"/>
  <c r="AE441" i="9"/>
  <c r="AE442" i="9"/>
  <c r="AE443" i="9"/>
  <c r="AE444" i="9"/>
  <c r="AE445" i="9"/>
  <c r="AE446" i="9"/>
  <c r="AE447" i="9"/>
  <c r="AE448" i="9"/>
  <c r="AE449" i="9"/>
  <c r="AE450" i="9"/>
  <c r="AE451" i="9"/>
  <c r="AE452" i="9"/>
  <c r="AE453" i="9"/>
  <c r="AE454" i="9"/>
  <c r="AE455" i="9"/>
  <c r="AE456" i="9"/>
  <c r="AE457" i="9"/>
  <c r="AE458" i="9"/>
  <c r="AE459" i="9"/>
  <c r="AE460" i="9"/>
  <c r="AE461" i="9"/>
  <c r="AE462" i="9"/>
  <c r="AE463" i="9"/>
  <c r="AE464" i="9"/>
  <c r="AE465" i="9"/>
  <c r="AE466" i="9"/>
  <c r="AE467" i="9"/>
  <c r="AE468" i="9"/>
  <c r="AE469" i="9"/>
  <c r="AE470" i="9"/>
  <c r="AE471" i="9"/>
  <c r="AE472" i="9"/>
  <c r="AE473" i="9"/>
  <c r="AE474" i="9"/>
  <c r="AE475" i="9"/>
  <c r="AE476" i="9"/>
  <c r="AE477" i="9"/>
  <c r="AE478" i="9"/>
  <c r="AE479" i="9"/>
  <c r="AE480" i="9"/>
  <c r="AE481" i="9"/>
  <c r="AE482" i="9"/>
  <c r="AE483" i="9"/>
  <c r="AE484" i="9"/>
  <c r="AE485" i="9"/>
  <c r="AE486" i="9"/>
  <c r="AE487" i="9"/>
  <c r="AE488" i="9"/>
  <c r="AE489" i="9"/>
  <c r="AE490" i="9"/>
  <c r="AE491" i="9"/>
  <c r="AE492" i="9"/>
  <c r="AE493" i="9"/>
  <c r="AE494" i="9"/>
  <c r="AE495" i="9"/>
  <c r="AE496" i="9"/>
  <c r="AE497" i="9"/>
  <c r="AE498" i="9"/>
  <c r="AE499" i="9"/>
  <c r="AE500" i="9"/>
  <c r="AE501" i="9"/>
  <c r="AE502" i="9"/>
  <c r="AE503" i="9"/>
  <c r="AE504" i="9"/>
  <c r="AE505" i="9"/>
  <c r="AE506" i="9"/>
  <c r="AE507" i="9"/>
  <c r="AE508" i="9"/>
  <c r="AE509" i="9"/>
  <c r="AE510" i="9"/>
  <c r="AE511" i="9"/>
  <c r="AE512" i="9"/>
  <c r="AE513" i="9"/>
  <c r="AE514" i="9"/>
  <c r="AE515" i="9"/>
  <c r="AE516" i="9"/>
  <c r="AE517" i="9"/>
  <c r="AE518" i="9"/>
  <c r="AE519" i="9"/>
  <c r="AE520" i="9"/>
  <c r="AE521" i="9"/>
  <c r="AE522" i="9"/>
  <c r="AE523" i="9"/>
  <c r="AE524" i="9"/>
  <c r="AE525" i="9"/>
  <c r="AE526" i="9"/>
  <c r="AE527" i="9"/>
  <c r="AE528" i="9"/>
  <c r="AE529" i="9"/>
  <c r="AE530" i="9"/>
  <c r="AE531" i="9"/>
  <c r="AE532" i="9"/>
  <c r="AE533" i="9"/>
  <c r="AE534" i="9"/>
  <c r="AE535" i="9"/>
  <c r="AE536" i="9"/>
  <c r="AE537" i="9"/>
  <c r="AE538" i="9"/>
  <c r="AE539" i="9"/>
  <c r="AE540" i="9"/>
  <c r="AE541" i="9"/>
  <c r="AE542" i="9"/>
  <c r="AE543" i="9"/>
  <c r="AE544" i="9"/>
  <c r="AE545" i="9"/>
  <c r="AE546" i="9"/>
  <c r="AE547" i="9"/>
  <c r="AE548" i="9"/>
  <c r="AE549" i="9"/>
  <c r="AE550" i="9"/>
  <c r="AE551" i="9"/>
  <c r="AE552" i="9"/>
  <c r="AE553" i="9"/>
  <c r="AE554" i="9"/>
  <c r="AE555" i="9"/>
  <c r="AE556" i="9"/>
  <c r="AE557" i="9"/>
  <c r="AE558" i="9"/>
  <c r="AE559" i="9"/>
  <c r="AE560" i="9"/>
  <c r="AE561" i="9"/>
  <c r="AE562" i="9"/>
  <c r="AE563" i="9"/>
  <c r="AE564" i="9"/>
  <c r="AE565" i="9"/>
  <c r="AE566" i="9"/>
  <c r="AE567" i="9"/>
  <c r="AE568" i="9"/>
  <c r="AE569" i="9"/>
  <c r="AE570" i="9"/>
  <c r="AE571" i="9"/>
  <c r="AE572" i="9"/>
  <c r="AE573" i="9"/>
  <c r="AE574" i="9"/>
  <c r="AE575" i="9"/>
  <c r="AE576" i="9"/>
  <c r="AE577" i="9"/>
  <c r="AE578" i="9"/>
  <c r="AE579" i="9"/>
  <c r="AE580" i="9"/>
  <c r="AE581" i="9"/>
  <c r="AE582" i="9"/>
  <c r="AE583" i="9"/>
  <c r="AE584" i="9"/>
  <c r="AE585" i="9"/>
  <c r="AE586" i="9"/>
  <c r="AE587" i="9"/>
  <c r="AE588" i="9"/>
  <c r="AE589" i="9"/>
  <c r="AE590" i="9"/>
  <c r="AE591" i="9"/>
  <c r="AE592" i="9"/>
  <c r="AE593" i="9"/>
  <c r="AE594" i="9"/>
  <c r="AE595" i="9"/>
  <c r="AE596" i="9"/>
  <c r="AE597" i="9"/>
  <c r="AE598" i="9"/>
  <c r="AE599" i="9"/>
  <c r="AE600" i="9"/>
  <c r="AE601" i="9"/>
  <c r="AE602" i="9"/>
  <c r="AE603" i="9"/>
  <c r="AE604" i="9"/>
  <c r="AE605" i="9"/>
  <c r="AE606" i="9"/>
  <c r="AE607" i="9"/>
  <c r="AE608" i="9"/>
  <c r="AE609" i="9"/>
  <c r="AE610" i="9"/>
  <c r="AE611" i="9"/>
  <c r="AE612" i="9"/>
  <c r="AE613" i="9"/>
  <c r="AE614" i="9"/>
  <c r="AE615" i="9"/>
  <c r="AE616" i="9"/>
  <c r="AE617" i="9"/>
  <c r="AE618" i="9"/>
  <c r="AE619" i="9"/>
  <c r="AE620" i="9"/>
  <c r="AE621" i="9"/>
  <c r="AE622" i="9"/>
  <c r="AE623" i="9"/>
  <c r="AE624" i="9"/>
  <c r="AE625" i="9"/>
  <c r="AE626" i="9"/>
  <c r="AE627" i="9"/>
  <c r="AE628" i="9"/>
  <c r="AE629" i="9"/>
  <c r="AE630" i="9"/>
  <c r="AE631" i="9"/>
  <c r="AE632" i="9"/>
  <c r="AE633" i="9"/>
  <c r="AE634" i="9"/>
  <c r="AE635" i="9"/>
  <c r="AE636" i="9"/>
  <c r="AE637" i="9"/>
  <c r="AE638" i="9"/>
  <c r="AE639" i="9"/>
  <c r="AE640" i="9"/>
  <c r="AE641" i="9"/>
  <c r="AE642" i="9"/>
  <c r="AE643" i="9"/>
  <c r="AE644" i="9"/>
  <c r="AE645" i="9"/>
  <c r="AE646" i="9"/>
  <c r="AE647" i="9"/>
  <c r="AE648" i="9"/>
  <c r="AE649" i="9"/>
  <c r="AE650" i="9"/>
  <c r="AE651" i="9"/>
  <c r="AE652" i="9"/>
  <c r="AE653" i="9"/>
  <c r="AE654" i="9"/>
  <c r="AE655" i="9"/>
  <c r="AE656" i="9"/>
  <c r="AE657" i="9"/>
  <c r="AE658" i="9"/>
  <c r="AE659" i="9"/>
  <c r="AE660" i="9"/>
  <c r="AE661" i="9"/>
  <c r="AE662" i="9"/>
  <c r="AE663" i="9"/>
  <c r="AE664" i="9"/>
  <c r="AE665" i="9"/>
  <c r="AE666" i="9"/>
  <c r="AE667" i="9"/>
  <c r="AE668" i="9"/>
  <c r="AE669" i="9"/>
  <c r="AE670" i="9"/>
  <c r="AE671" i="9"/>
  <c r="AE672" i="9"/>
  <c r="AE673" i="9"/>
  <c r="AE674" i="9"/>
  <c r="AE675" i="9"/>
  <c r="AE676" i="9"/>
  <c r="AE677" i="9"/>
  <c r="AE678" i="9"/>
  <c r="AE679" i="9"/>
  <c r="AE680" i="9"/>
  <c r="AE681" i="9"/>
  <c r="AE682" i="9"/>
  <c r="AE683" i="9"/>
  <c r="AE684" i="9"/>
  <c r="AE685" i="9"/>
  <c r="AE686" i="9"/>
  <c r="AE687" i="9"/>
  <c r="AE688" i="9"/>
  <c r="AE689" i="9"/>
  <c r="AE690" i="9"/>
  <c r="AE691" i="9"/>
  <c r="AE692" i="9"/>
  <c r="AE693" i="9"/>
  <c r="AE694" i="9"/>
  <c r="AE695" i="9"/>
  <c r="AE696" i="9"/>
  <c r="AE697" i="9"/>
  <c r="AE698" i="9"/>
  <c r="AE699" i="9"/>
  <c r="AE700" i="9"/>
  <c r="AE701" i="9"/>
  <c r="AE702" i="9"/>
  <c r="AE703" i="9"/>
  <c r="AE704" i="9"/>
  <c r="AE705" i="9"/>
  <c r="AE706" i="9"/>
  <c r="AE707" i="9"/>
  <c r="AE708" i="9"/>
  <c r="AE709" i="9"/>
  <c r="AE710" i="9"/>
  <c r="AE711" i="9"/>
  <c r="AE712" i="9"/>
  <c r="AE713" i="9"/>
  <c r="AE714" i="9"/>
  <c r="AE715" i="9"/>
  <c r="AE716" i="9"/>
  <c r="AE717" i="9"/>
  <c r="AE718" i="9"/>
  <c r="AE719" i="9"/>
  <c r="AE720" i="9"/>
  <c r="AE721" i="9"/>
  <c r="AE722" i="9"/>
  <c r="AE723" i="9"/>
  <c r="AE724" i="9"/>
  <c r="AE725" i="9"/>
  <c r="AE726" i="9"/>
  <c r="AE727" i="9"/>
  <c r="AE728" i="9"/>
  <c r="AE729" i="9"/>
  <c r="AE730" i="9"/>
  <c r="AE731" i="9"/>
  <c r="AE732" i="9"/>
  <c r="AE733" i="9"/>
  <c r="AE734" i="9"/>
  <c r="AE735" i="9"/>
  <c r="AE736" i="9"/>
  <c r="AE737" i="9"/>
  <c r="AE738" i="9"/>
  <c r="AE739" i="9"/>
  <c r="AE740" i="9"/>
  <c r="AE741" i="9"/>
  <c r="AE742" i="9"/>
  <c r="AE743" i="9"/>
  <c r="AE744" i="9"/>
  <c r="AE745" i="9"/>
  <c r="AE746" i="9"/>
  <c r="AE747" i="9"/>
  <c r="AE748" i="9"/>
  <c r="AE749" i="9"/>
  <c r="AE750" i="9"/>
  <c r="AE751" i="9"/>
  <c r="AE752" i="9"/>
  <c r="AE753" i="9"/>
  <c r="AE754" i="9"/>
  <c r="AE755" i="9"/>
  <c r="AE756" i="9"/>
  <c r="AE757" i="9"/>
  <c r="AE758" i="9"/>
  <c r="AE759" i="9"/>
  <c r="AE760" i="9"/>
  <c r="AE761" i="9"/>
  <c r="AE762" i="9"/>
  <c r="AE763" i="9"/>
  <c r="AE764" i="9"/>
  <c r="AE765" i="9"/>
  <c r="AE766" i="9"/>
  <c r="AE767" i="9"/>
  <c r="AE768" i="9"/>
  <c r="AE3" i="9"/>
  <c r="AE2" i="9"/>
  <c r="Q108" i="10"/>
  <c r="L23" i="7"/>
  <c r="Q102" i="10"/>
  <c r="Q100" i="10"/>
  <c r="Q98" i="10"/>
  <c r="B280" i="9"/>
  <c r="B281" i="9"/>
  <c r="B282" i="9"/>
  <c r="B279" i="9"/>
  <c r="B278" i="9"/>
  <c r="B252" i="9"/>
  <c r="B253" i="9"/>
  <c r="B254" i="9"/>
  <c r="B251" i="9"/>
  <c r="B250" i="9"/>
  <c r="B155" i="9"/>
  <c r="B156" i="9"/>
  <c r="B157" i="9"/>
  <c r="AC2" i="9"/>
  <c r="AC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546" i="9"/>
  <c r="AC547" i="9"/>
  <c r="AC548" i="9"/>
  <c r="AC549" i="9"/>
  <c r="AC550" i="9"/>
  <c r="AC551" i="9"/>
  <c r="AC552" i="9"/>
  <c r="AC553" i="9"/>
  <c r="AC554" i="9"/>
  <c r="AC555" i="9"/>
  <c r="AC556" i="9"/>
  <c r="AC557" i="9"/>
  <c r="AC558" i="9"/>
  <c r="AC559" i="9"/>
  <c r="AC560" i="9"/>
  <c r="AC561" i="9"/>
  <c r="AC562" i="9"/>
  <c r="AC563" i="9"/>
  <c r="AC564" i="9"/>
  <c r="AC565" i="9"/>
  <c r="AC566" i="9"/>
  <c r="AC567" i="9"/>
  <c r="AC568" i="9"/>
  <c r="AC569" i="9"/>
  <c r="AC570" i="9"/>
  <c r="AC571" i="9"/>
  <c r="AC572" i="9"/>
  <c r="AC573" i="9"/>
  <c r="AC574" i="9"/>
  <c r="AC575" i="9"/>
  <c r="AC576" i="9"/>
  <c r="AC577" i="9"/>
  <c r="AC578" i="9"/>
  <c r="AC579" i="9"/>
  <c r="AC580" i="9"/>
  <c r="AC581" i="9"/>
  <c r="AC582" i="9"/>
  <c r="AC583" i="9"/>
  <c r="AC584" i="9"/>
  <c r="AC585" i="9"/>
  <c r="AC586" i="9"/>
  <c r="AC587" i="9"/>
  <c r="AC588" i="9"/>
  <c r="AC589" i="9"/>
  <c r="AC590" i="9"/>
  <c r="AC591" i="9"/>
  <c r="AC592" i="9"/>
  <c r="AC593" i="9"/>
  <c r="AC594" i="9"/>
  <c r="AC595" i="9"/>
  <c r="AC596" i="9"/>
  <c r="AC597" i="9"/>
  <c r="AC598" i="9"/>
  <c r="AC599" i="9"/>
  <c r="AC600" i="9"/>
  <c r="AC601" i="9"/>
  <c r="AC602" i="9"/>
  <c r="AC603" i="9"/>
  <c r="AC604" i="9"/>
  <c r="AC605" i="9"/>
  <c r="AC606" i="9"/>
  <c r="AC607" i="9"/>
  <c r="AC608" i="9"/>
  <c r="AC609" i="9"/>
  <c r="AC610" i="9"/>
  <c r="AC611" i="9"/>
  <c r="AC612" i="9"/>
  <c r="AC613" i="9"/>
  <c r="AC614" i="9"/>
  <c r="AC615" i="9"/>
  <c r="AC616" i="9"/>
  <c r="AC617" i="9"/>
  <c r="AC618" i="9"/>
  <c r="AC619" i="9"/>
  <c r="AC620" i="9"/>
  <c r="AC621" i="9"/>
  <c r="AC622" i="9"/>
  <c r="AC623" i="9"/>
  <c r="AC624" i="9"/>
  <c r="AC625" i="9"/>
  <c r="AC626" i="9"/>
  <c r="AC627" i="9"/>
  <c r="AC628" i="9"/>
  <c r="AC629" i="9"/>
  <c r="AC630" i="9"/>
  <c r="AC631" i="9"/>
  <c r="AC632" i="9"/>
  <c r="AC633" i="9"/>
  <c r="AC634" i="9"/>
  <c r="AC635" i="9"/>
  <c r="AC636" i="9"/>
  <c r="AC637" i="9"/>
  <c r="AC638" i="9"/>
  <c r="AC639" i="9"/>
  <c r="AC640" i="9"/>
  <c r="AC641" i="9"/>
  <c r="AC642" i="9"/>
  <c r="AC643" i="9"/>
  <c r="AC644" i="9"/>
  <c r="AC645" i="9"/>
  <c r="AC646" i="9"/>
  <c r="AC647" i="9"/>
  <c r="AC648" i="9"/>
  <c r="AC649" i="9"/>
  <c r="AC650" i="9"/>
  <c r="AC651" i="9"/>
  <c r="AC652" i="9"/>
  <c r="AC653" i="9"/>
  <c r="AC654" i="9"/>
  <c r="AC655" i="9"/>
  <c r="AC656" i="9"/>
  <c r="AC657" i="9"/>
  <c r="AC658" i="9"/>
  <c r="AC659" i="9"/>
  <c r="AC660" i="9"/>
  <c r="AC661" i="9"/>
  <c r="AC662" i="9"/>
  <c r="AC663" i="9"/>
  <c r="AC664" i="9"/>
  <c r="AC665" i="9"/>
  <c r="AC666" i="9"/>
  <c r="AC667" i="9"/>
  <c r="AC668" i="9"/>
  <c r="AC669" i="9"/>
  <c r="AC670" i="9"/>
  <c r="AC671" i="9"/>
  <c r="AC672" i="9"/>
  <c r="AC673" i="9"/>
  <c r="AC674" i="9"/>
  <c r="AC675" i="9"/>
  <c r="AC676" i="9"/>
  <c r="AC677" i="9"/>
  <c r="AC678" i="9"/>
  <c r="AC679" i="9"/>
  <c r="AC680" i="9"/>
  <c r="AC681" i="9"/>
  <c r="AC682" i="9"/>
  <c r="AC683" i="9"/>
  <c r="AC684" i="9"/>
  <c r="AC685" i="9"/>
  <c r="AC686" i="9"/>
  <c r="AC687" i="9"/>
  <c r="AC688" i="9"/>
  <c r="AC689" i="9"/>
  <c r="AC690" i="9"/>
  <c r="AC691" i="9"/>
  <c r="AC692" i="9"/>
  <c r="AC693" i="9"/>
  <c r="AC694" i="9"/>
  <c r="AC695" i="9"/>
  <c r="AC696" i="9"/>
  <c r="AC697" i="9"/>
  <c r="AC698" i="9"/>
  <c r="AC699" i="9"/>
  <c r="AC700" i="9"/>
  <c r="AC701" i="9"/>
  <c r="AC702" i="9"/>
  <c r="AC703" i="9"/>
  <c r="AC704" i="9"/>
  <c r="AC705" i="9"/>
  <c r="AC706" i="9"/>
  <c r="AC707" i="9"/>
  <c r="AC708" i="9"/>
  <c r="AC709" i="9"/>
  <c r="AC710" i="9"/>
  <c r="AC711" i="9"/>
  <c r="AC712" i="9"/>
  <c r="AC713" i="9"/>
  <c r="AC714" i="9"/>
  <c r="AC715" i="9"/>
  <c r="AC716" i="9"/>
  <c r="AC717" i="9"/>
  <c r="AC718" i="9"/>
  <c r="AC719" i="9"/>
  <c r="AC720" i="9"/>
  <c r="AC721" i="9"/>
  <c r="AC722" i="9"/>
  <c r="AC723" i="9"/>
  <c r="AC724" i="9"/>
  <c r="AC725" i="9"/>
  <c r="AC726" i="9"/>
  <c r="AC727" i="9"/>
  <c r="AC728" i="9"/>
  <c r="AC729" i="9"/>
  <c r="AC730" i="9"/>
  <c r="AC731" i="9"/>
  <c r="AC732" i="9"/>
  <c r="AC733" i="9"/>
  <c r="AC734" i="9"/>
  <c r="AC735" i="9"/>
  <c r="AC736" i="9"/>
  <c r="AC737" i="9"/>
  <c r="AC738" i="9"/>
  <c r="AC739" i="9"/>
  <c r="AC740" i="9"/>
  <c r="AC741" i="9"/>
  <c r="AC742" i="9"/>
  <c r="AC743" i="9"/>
  <c r="AC744" i="9"/>
  <c r="AC745" i="9"/>
  <c r="AC746" i="9"/>
  <c r="AC747" i="9"/>
  <c r="AC748" i="9"/>
  <c r="AC749" i="9"/>
  <c r="AC750" i="9"/>
  <c r="AC751" i="9"/>
  <c r="AC752" i="9"/>
  <c r="AC753" i="9"/>
  <c r="AC754" i="9"/>
  <c r="AC755" i="9"/>
  <c r="AC756" i="9"/>
  <c r="AC757" i="9"/>
  <c r="AC758" i="9"/>
  <c r="AC759" i="9"/>
  <c r="AC760" i="9"/>
  <c r="AC761" i="9"/>
  <c r="AC762" i="9"/>
  <c r="AC763" i="9"/>
  <c r="AC764" i="9"/>
  <c r="AC765" i="9"/>
  <c r="AC766" i="9"/>
  <c r="AC767" i="9"/>
  <c r="AC768" i="9"/>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BG3" i="7"/>
  <c r="B3" i="7"/>
  <c r="AY3" i="7" s="1" a="1"/>
  <c r="AY3" i="7" s="1"/>
  <c r="B4" i="7"/>
  <c r="AY4" i="7" s="1" a="1"/>
  <c r="AY4" i="7" s="1"/>
  <c r="B5" i="7"/>
  <c r="AY5" i="7" s="1" a="1"/>
  <c r="AY5" i="7" s="1"/>
  <c r="B6" i="7"/>
  <c r="AY6" i="7" s="1" a="1"/>
  <c r="AY6" i="7" s="1"/>
  <c r="B7" i="7"/>
  <c r="AY7" i="7" s="1" a="1"/>
  <c r="AY7" i="7" s="1"/>
  <c r="B8" i="7"/>
  <c r="AY8" i="7" s="1" a="1"/>
  <c r="AY8" i="7" s="1"/>
  <c r="B9" i="7"/>
  <c r="B10" i="7"/>
  <c r="AY10" i="7" s="1" a="1"/>
  <c r="AY10" i="7" s="1"/>
  <c r="B11" i="7"/>
  <c r="AY11" i="7" s="1" a="1"/>
  <c r="AY11" i="7" s="1"/>
  <c r="B12" i="7"/>
  <c r="B13" i="7"/>
  <c r="AY13" i="7" s="1" a="1"/>
  <c r="AY13" i="7" s="1"/>
  <c r="B14" i="7"/>
  <c r="AY14" i="7" s="1" a="1"/>
  <c r="AY14" i="7" s="1"/>
  <c r="B15" i="7"/>
  <c r="AY15" i="7" s="1" a="1"/>
  <c r="AY15" i="7" s="1"/>
  <c r="B16" i="7"/>
  <c r="AY16" i="7" s="1" a="1"/>
  <c r="AY16" i="7" s="1"/>
  <c r="B17" i="7"/>
  <c r="AY17" i="7" s="1" a="1"/>
  <c r="AY17" i="7" s="1"/>
  <c r="B18" i="7"/>
  <c r="AY18" i="7" s="1" a="1"/>
  <c r="AY18" i="7" s="1"/>
  <c r="B19" i="7"/>
  <c r="AY19" i="7" s="1" a="1"/>
  <c r="AY19" i="7" s="1"/>
  <c r="B20" i="7"/>
  <c r="AY20" i="7" s="1" a="1"/>
  <c r="AY20" i="7" s="1"/>
  <c r="B21" i="7"/>
  <c r="B22" i="7"/>
  <c r="AY22" i="7" s="1" a="1"/>
  <c r="AY22" i="7" s="1"/>
  <c r="B23" i="7"/>
  <c r="AY23" i="7" s="1" a="1"/>
  <c r="AY23" i="7" s="1"/>
  <c r="B24" i="7"/>
  <c r="AY24" i="7" s="1" a="1"/>
  <c r="AY24" i="7" s="1"/>
  <c r="B25" i="7"/>
  <c r="AY25" i="7" s="1" a="1"/>
  <c r="AY25" i="7" s="1"/>
  <c r="B26" i="7"/>
  <c r="AY26" i="7" s="1" a="1"/>
  <c r="AY26" i="7" s="1"/>
  <c r="B27" i="7"/>
  <c r="AY27" i="7" s="1" a="1"/>
  <c r="AY27" i="7" s="1"/>
  <c r="B28" i="7"/>
  <c r="AY28" i="7" s="1" a="1"/>
  <c r="AY28" i="7" s="1"/>
  <c r="B29" i="7"/>
  <c r="AY29" i="7" s="1" a="1"/>
  <c r="AY29" i="7" s="1"/>
  <c r="B30" i="7"/>
  <c r="AY30" i="7" s="1" a="1"/>
  <c r="AY30" i="7" s="1"/>
  <c r="B31" i="7"/>
  <c r="AY31" i="7" s="1" a="1"/>
  <c r="AY31" i="7" s="1"/>
  <c r="B32" i="7"/>
  <c r="AY32" i="7" s="1" a="1"/>
  <c r="AY32" i="7" s="1"/>
  <c r="B33" i="7"/>
  <c r="B34" i="7"/>
  <c r="AY34" i="7" s="1" a="1"/>
  <c r="AY34" i="7" s="1"/>
  <c r="B35" i="7"/>
  <c r="AY35" i="7" s="1" a="1"/>
  <c r="AY35" i="7" s="1"/>
  <c r="B36" i="7"/>
  <c r="AY36" i="7" s="1" a="1"/>
  <c r="AY36" i="7" s="1"/>
  <c r="B37" i="7"/>
  <c r="AY37" i="7" s="1" a="1"/>
  <c r="AY37" i="7" s="1"/>
  <c r="B38" i="7"/>
  <c r="AY38" i="7" s="1" a="1"/>
  <c r="AY38" i="7" s="1"/>
  <c r="B39" i="7"/>
  <c r="AY39" i="7" s="1" a="1"/>
  <c r="AY39" i="7" s="1"/>
  <c r="B40" i="7"/>
  <c r="AY40" i="7" s="1" a="1"/>
  <c r="AY40" i="7" s="1"/>
  <c r="B41" i="7"/>
  <c r="AY41" i="7" s="1" a="1"/>
  <c r="AY41" i="7" s="1"/>
  <c r="B42" i="7"/>
  <c r="AY42" i="7" s="1" a="1"/>
  <c r="AY42" i="7" s="1"/>
  <c r="B43" i="7"/>
  <c r="AY43" i="7" s="1" a="1"/>
  <c r="AY43" i="7" s="1"/>
  <c r="B44" i="7"/>
  <c r="AY44" i="7" s="1" a="1"/>
  <c r="AY44" i="7" s="1"/>
  <c r="B45" i="7"/>
  <c r="B46" i="7"/>
  <c r="AY46" i="7" s="1" a="1"/>
  <c r="AY46" i="7" s="1"/>
  <c r="B47" i="7"/>
  <c r="AY47" i="7" s="1" a="1"/>
  <c r="AY47" i="7" s="1"/>
  <c r="B48" i="7"/>
  <c r="AY48" i="7" s="1" a="1"/>
  <c r="AY48" i="7" s="1"/>
  <c r="B49" i="7"/>
  <c r="AY49" i="7" s="1" a="1"/>
  <c r="AY49" i="7" s="1"/>
  <c r="B50" i="7"/>
  <c r="AY50" i="7" s="1" a="1"/>
  <c r="AY50" i="7" s="1"/>
  <c r="B51" i="7"/>
  <c r="AY51" i="7" s="1" a="1"/>
  <c r="AY51" i="7" s="1"/>
  <c r="B52" i="7"/>
  <c r="AY52" i="7" s="1" a="1"/>
  <c r="AY52" i="7" s="1"/>
  <c r="B53" i="7"/>
  <c r="AY53" i="7" s="1" a="1"/>
  <c r="AY53" i="7" s="1"/>
  <c r="B54" i="7"/>
  <c r="AY54" i="7" s="1" a="1"/>
  <c r="AY54" i="7" s="1"/>
  <c r="B55" i="7"/>
  <c r="AY55" i="7" s="1" a="1"/>
  <c r="AY55" i="7" s="1"/>
  <c r="B56" i="7"/>
  <c r="AY56" i="7" s="1" a="1"/>
  <c r="AY56" i="7" s="1"/>
  <c r="B57" i="7"/>
  <c r="B58" i="7"/>
  <c r="AY58" i="7" s="1" a="1"/>
  <c r="AY58" i="7" s="1"/>
  <c r="B59" i="7"/>
  <c r="AY59" i="7" s="1" a="1"/>
  <c r="AY59" i="7" s="1"/>
  <c r="B60" i="7"/>
  <c r="AY60" i="7" s="1" a="1"/>
  <c r="AY60" i="7" s="1"/>
  <c r="B61" i="7"/>
  <c r="AY61" i="7" s="1" a="1"/>
  <c r="AY61" i="7" s="1"/>
  <c r="B62" i="7"/>
  <c r="AY62" i="7" s="1" a="1"/>
  <c r="AY62" i="7" s="1"/>
  <c r="B63" i="7"/>
  <c r="AY63" i="7" s="1" a="1"/>
  <c r="AY63" i="7" s="1"/>
  <c r="B64" i="7"/>
  <c r="AY64" i="7" s="1" a="1"/>
  <c r="AY64" i="7" s="1"/>
  <c r="B65" i="7"/>
  <c r="AY65" i="7" s="1" a="1"/>
  <c r="AY65" i="7" s="1"/>
  <c r="B66" i="7"/>
  <c r="AY66" i="7" s="1" a="1"/>
  <c r="AY66" i="7" s="1"/>
  <c r="B67" i="7"/>
  <c r="AY67" i="7" s="1" a="1"/>
  <c r="AY67" i="7" s="1"/>
  <c r="B68" i="7"/>
  <c r="AY68" i="7" s="1" a="1"/>
  <c r="AY68" i="7" s="1"/>
  <c r="B69" i="7"/>
  <c r="B70" i="7"/>
  <c r="AY70" i="7" s="1" a="1"/>
  <c r="AY70" i="7" s="1"/>
  <c r="B71" i="7"/>
  <c r="AY71" i="7" s="1" a="1"/>
  <c r="AY71" i="7" s="1"/>
  <c r="B72" i="7"/>
  <c r="AY72" i="7" s="1" a="1"/>
  <c r="AY72" i="7" s="1"/>
  <c r="B73" i="7"/>
  <c r="AY73" i="7" s="1" a="1"/>
  <c r="AY73" i="7" s="1"/>
  <c r="B74" i="7"/>
  <c r="AY74" i="7" s="1" a="1"/>
  <c r="AY74" i="7" s="1"/>
  <c r="B75" i="7"/>
  <c r="AY75" i="7" s="1" a="1"/>
  <c r="AY75" i="7" s="1"/>
  <c r="B76" i="7"/>
  <c r="AY76" i="7" s="1" a="1"/>
  <c r="AY76" i="7" s="1"/>
  <c r="B77" i="7"/>
  <c r="AY77" i="7" s="1" a="1"/>
  <c r="AY77" i="7" s="1"/>
  <c r="B78" i="7"/>
  <c r="AY78" i="7" s="1" a="1"/>
  <c r="AY78" i="7" s="1"/>
  <c r="B79" i="7"/>
  <c r="AY79" i="7" s="1" a="1"/>
  <c r="AY79" i="7" s="1"/>
  <c r="B80" i="7"/>
  <c r="AY80" i="7" s="1" a="1"/>
  <c r="AY80" i="7" s="1"/>
  <c r="B81" i="7"/>
  <c r="B82" i="7"/>
  <c r="AY82" i="7" s="1" a="1"/>
  <c r="AY82" i="7" s="1"/>
  <c r="B83" i="7"/>
  <c r="AY83" i="7" s="1" a="1"/>
  <c r="AY83" i="7" s="1"/>
  <c r="B84" i="7"/>
  <c r="AY84" i="7" s="1" a="1"/>
  <c r="AY84" i="7" s="1"/>
  <c r="B85" i="7"/>
  <c r="AY85" i="7" s="1" a="1"/>
  <c r="AY85" i="7" s="1"/>
  <c r="B86" i="7"/>
  <c r="AY86" i="7" s="1" a="1"/>
  <c r="AY86" i="7" s="1"/>
  <c r="B87" i="7"/>
  <c r="AY87" i="7" s="1" a="1"/>
  <c r="AY87" i="7" s="1"/>
  <c r="B88" i="7"/>
  <c r="AY88" i="7" s="1" a="1"/>
  <c r="AY88" i="7" s="1"/>
  <c r="B89" i="7"/>
  <c r="AY89" i="7" s="1" a="1"/>
  <c r="AY89" i="7" s="1"/>
  <c r="B90" i="7"/>
  <c r="AY90" i="7" s="1" a="1"/>
  <c r="AY90" i="7" s="1"/>
  <c r="B91" i="7"/>
  <c r="AY91" i="7" s="1" a="1"/>
  <c r="AY91" i="7" s="1"/>
  <c r="B92" i="7"/>
  <c r="AY92" i="7" s="1" a="1"/>
  <c r="AY92" i="7" s="1"/>
  <c r="B93" i="7"/>
  <c r="B94" i="7"/>
  <c r="AY94" i="7" s="1" a="1"/>
  <c r="AY94" i="7" s="1"/>
  <c r="B95" i="7"/>
  <c r="AY95" i="7" s="1" a="1"/>
  <c r="AY95" i="7" s="1"/>
  <c r="B96" i="7"/>
  <c r="AY96" i="7" s="1" a="1"/>
  <c r="AY96" i="7" s="1"/>
  <c r="B97" i="7"/>
  <c r="AY97" i="7" s="1" a="1"/>
  <c r="AY97" i="7" s="1"/>
  <c r="B98" i="7"/>
  <c r="AY98" i="7" s="1" a="1"/>
  <c r="AY98" i="7" s="1"/>
  <c r="B99" i="7"/>
  <c r="AY99" i="7" s="1" a="1"/>
  <c r="AY99" i="7" s="1"/>
  <c r="B100" i="7"/>
  <c r="AY100" i="7" s="1" a="1"/>
  <c r="AY100" i="7" s="1"/>
  <c r="B101" i="7"/>
  <c r="AY101" i="7" s="1" a="1"/>
  <c r="AY101" i="7" s="1"/>
  <c r="B102" i="7"/>
  <c r="AY102" i="7" s="1" a="1"/>
  <c r="AY102" i="7" s="1"/>
  <c r="B103" i="7"/>
  <c r="AY103" i="7" s="1" a="1"/>
  <c r="AY103" i="7" s="1"/>
  <c r="B104" i="7"/>
  <c r="AY104" i="7" s="1" a="1"/>
  <c r="AY104" i="7" s="1"/>
  <c r="B105" i="7"/>
  <c r="B106" i="7"/>
  <c r="AY106" i="7" s="1" a="1"/>
  <c r="AY106" i="7" s="1"/>
  <c r="B107" i="7"/>
  <c r="AY107" i="7" s="1" a="1"/>
  <c r="AY107" i="7" s="1"/>
  <c r="B108" i="7"/>
  <c r="AY108" i="7" s="1" a="1"/>
  <c r="AY108" i="7" s="1"/>
  <c r="B109" i="7"/>
  <c r="AY109" i="7" s="1" a="1"/>
  <c r="AY109" i="7" s="1"/>
  <c r="B110" i="7"/>
  <c r="AY110" i="7" s="1" a="1"/>
  <c r="AY110" i="7" s="1"/>
  <c r="B111" i="7"/>
  <c r="AY111" i="7" s="1" a="1"/>
  <c r="AY111" i="7" s="1"/>
  <c r="B112" i="7"/>
  <c r="AY112" i="7" s="1" a="1"/>
  <c r="AY112" i="7" s="1"/>
  <c r="B113" i="7"/>
  <c r="AY113" i="7" s="1" a="1"/>
  <c r="AY113" i="7" s="1"/>
  <c r="B114" i="7"/>
  <c r="AY114" i="7" s="1" a="1"/>
  <c r="AY114" i="7" s="1"/>
  <c r="B115" i="7"/>
  <c r="AY115" i="7" s="1" a="1"/>
  <c r="AY115" i="7" s="1"/>
  <c r="B116" i="7"/>
  <c r="AY116" i="7" s="1" a="1"/>
  <c r="AY116" i="7" s="1"/>
  <c r="B117" i="7"/>
  <c r="B118" i="7"/>
  <c r="AY118" i="7" s="1" a="1"/>
  <c r="AY118" i="7" s="1"/>
  <c r="B119" i="7"/>
  <c r="AY119" i="7" s="1" a="1"/>
  <c r="AY119" i="7" s="1"/>
  <c r="B120" i="7"/>
  <c r="AY120" i="7" s="1" a="1"/>
  <c r="AY120" i="7" s="1"/>
  <c r="B121" i="7"/>
  <c r="AY121" i="7" s="1" a="1"/>
  <c r="AY121" i="7" s="1"/>
  <c r="B122" i="7"/>
  <c r="AY122" i="7" s="1" a="1"/>
  <c r="AY122" i="7" s="1"/>
  <c r="B123" i="7"/>
  <c r="AY123" i="7" s="1" a="1"/>
  <c r="AY123" i="7" s="1"/>
  <c r="B124" i="7"/>
  <c r="AY124" i="7" s="1" a="1"/>
  <c r="AY124" i="7" s="1"/>
  <c r="B125" i="7"/>
  <c r="AY125" i="7" s="1" a="1"/>
  <c r="AY125" i="7" s="1"/>
  <c r="B126" i="7"/>
  <c r="AY126" i="7" s="1" a="1"/>
  <c r="AY126" i="7" s="1"/>
  <c r="B127" i="7"/>
  <c r="AY127" i="7" s="1" a="1"/>
  <c r="AY127" i="7" s="1"/>
  <c r="B128" i="7"/>
  <c r="AY128" i="7" s="1" a="1"/>
  <c r="AY128" i="7" s="1"/>
  <c r="B129" i="7"/>
  <c r="B130" i="7"/>
  <c r="AY130" i="7" s="1" a="1"/>
  <c r="AY130" i="7" s="1"/>
  <c r="B131" i="7"/>
  <c r="AY131" i="7" s="1" a="1"/>
  <c r="AY131" i="7" s="1"/>
  <c r="B132" i="7"/>
  <c r="AY132" i="7" s="1" a="1"/>
  <c r="AY132" i="7" s="1"/>
  <c r="B133" i="7"/>
  <c r="AY133" i="7" s="1" a="1"/>
  <c r="AY133" i="7" s="1"/>
  <c r="B134" i="7"/>
  <c r="AY134" i="7" s="1" a="1"/>
  <c r="AY134" i="7" s="1"/>
  <c r="B135" i="7"/>
  <c r="AY135" i="7" s="1" a="1"/>
  <c r="AY135" i="7" s="1"/>
  <c r="B136" i="7"/>
  <c r="AY136" i="7" s="1" a="1"/>
  <c r="AY136" i="7" s="1"/>
  <c r="B137" i="7"/>
  <c r="AY137" i="7" s="1" a="1"/>
  <c r="AY137" i="7" s="1"/>
  <c r="B138" i="7"/>
  <c r="AY138" i="7" s="1" a="1"/>
  <c r="AY138" i="7" s="1"/>
  <c r="B139" i="7"/>
  <c r="AY139" i="7" s="1" a="1"/>
  <c r="AY139" i="7" s="1"/>
  <c r="B140" i="7"/>
  <c r="AY140" i="7" s="1" a="1"/>
  <c r="AY140" i="7" s="1"/>
  <c r="B141" i="7"/>
  <c r="B142" i="7"/>
  <c r="AY142" i="7" s="1" a="1"/>
  <c r="AY142" i="7" s="1"/>
  <c r="B143" i="7"/>
  <c r="AY143" i="7" s="1" a="1"/>
  <c r="AY143" i="7" s="1"/>
  <c r="B144" i="7"/>
  <c r="AY144" i="7" s="1" a="1"/>
  <c r="AY144" i="7" s="1"/>
  <c r="B145" i="7"/>
  <c r="AY145" i="7" s="1" a="1"/>
  <c r="AY145" i="7" s="1"/>
  <c r="B146" i="7"/>
  <c r="AY146" i="7" s="1" a="1"/>
  <c r="AY146" i="7" s="1"/>
  <c r="B147" i="7"/>
  <c r="AY147" i="7" s="1" a="1"/>
  <c r="AY147" i="7" s="1"/>
  <c r="B148" i="7"/>
  <c r="AY148" i="7" s="1" a="1"/>
  <c r="AY148" i="7" s="1"/>
  <c r="B149" i="7"/>
  <c r="AY149" i="7" s="1" a="1"/>
  <c r="AY149" i="7" s="1"/>
  <c r="B150" i="7"/>
  <c r="AY150" i="7" s="1" a="1"/>
  <c r="AY150" i="7" s="1"/>
  <c r="B151" i="7"/>
  <c r="AY151" i="7" s="1" a="1"/>
  <c r="AY151" i="7" s="1"/>
  <c r="B152" i="7"/>
  <c r="AY152" i="7" s="1" a="1"/>
  <c r="AY152" i="7" s="1"/>
  <c r="B153" i="7"/>
  <c r="B154" i="7"/>
  <c r="AY154" i="7" s="1" a="1"/>
  <c r="AY154" i="7" s="1"/>
  <c r="B155" i="7"/>
  <c r="AY155" i="7" s="1" a="1"/>
  <c r="AY155" i="7" s="1"/>
  <c r="B156" i="7"/>
  <c r="AY156" i="7" s="1" a="1"/>
  <c r="AY156" i="7" s="1"/>
  <c r="B157" i="7"/>
  <c r="AY157" i="7" s="1" a="1"/>
  <c r="AY157" i="7" s="1"/>
  <c r="B158" i="7"/>
  <c r="AY158" i="7" s="1" a="1"/>
  <c r="AY158" i="7" s="1"/>
  <c r="B159" i="7"/>
  <c r="AY159" i="7" s="1" a="1"/>
  <c r="AY159" i="7" s="1"/>
  <c r="B160" i="7"/>
  <c r="AY160" i="7" s="1" a="1"/>
  <c r="AY160" i="7" s="1"/>
  <c r="B161" i="7"/>
  <c r="AY161" i="7" s="1" a="1"/>
  <c r="AY161" i="7" s="1"/>
  <c r="B162" i="7"/>
  <c r="AY162" i="7" s="1" a="1"/>
  <c r="AY162" i="7" s="1"/>
  <c r="B163" i="7"/>
  <c r="AY163" i="7" s="1" a="1"/>
  <c r="AY163" i="7" s="1"/>
  <c r="B164" i="7"/>
  <c r="AY164" i="7" s="1" a="1"/>
  <c r="AY164" i="7" s="1"/>
  <c r="B165" i="7"/>
  <c r="B166" i="7"/>
  <c r="AY166" i="7" s="1" a="1"/>
  <c r="AY166" i="7" s="1"/>
  <c r="B167" i="7"/>
  <c r="AY167" i="7" s="1" a="1"/>
  <c r="AY167" i="7" s="1"/>
  <c r="B168" i="7"/>
  <c r="AY168" i="7" s="1" a="1"/>
  <c r="AY168" i="7" s="1"/>
  <c r="B169" i="7"/>
  <c r="AY169" i="7" s="1" a="1"/>
  <c r="AY169" i="7" s="1"/>
  <c r="B170" i="7"/>
  <c r="AY170" i="7" s="1" a="1"/>
  <c r="AY170" i="7" s="1"/>
  <c r="B171" i="7"/>
  <c r="AY171" i="7" s="1" a="1"/>
  <c r="AY171" i="7" s="1"/>
  <c r="B172" i="7"/>
  <c r="AY172" i="7" s="1" a="1"/>
  <c r="AY172" i="7" s="1"/>
  <c r="B173" i="7"/>
  <c r="AY173" i="7" s="1" a="1"/>
  <c r="AY173" i="7" s="1"/>
  <c r="B174" i="7"/>
  <c r="AY174" i="7" s="1" a="1"/>
  <c r="AY174" i="7" s="1"/>
  <c r="B175" i="7"/>
  <c r="AY175" i="7" s="1" a="1"/>
  <c r="AY175" i="7" s="1"/>
  <c r="B176" i="7"/>
  <c r="AY176" i="7" s="1" a="1"/>
  <c r="AY176" i="7" s="1"/>
  <c r="B177" i="7"/>
  <c r="B178" i="7"/>
  <c r="AY178" i="7" s="1" a="1"/>
  <c r="AY178" i="7" s="1"/>
  <c r="B179" i="7"/>
  <c r="AY179" i="7" s="1" a="1"/>
  <c r="AY179" i="7" s="1"/>
  <c r="B180" i="7"/>
  <c r="AY180" i="7" s="1" a="1"/>
  <c r="AY180" i="7" s="1"/>
  <c r="B181" i="7"/>
  <c r="AY181" i="7" s="1" a="1"/>
  <c r="AY181" i="7" s="1"/>
  <c r="B182" i="7"/>
  <c r="AY182" i="7" s="1" a="1"/>
  <c r="AY182" i="7" s="1"/>
  <c r="B183" i="7"/>
  <c r="AY183" i="7" s="1" a="1"/>
  <c r="AY183" i="7" s="1"/>
  <c r="B184" i="7"/>
  <c r="AY184" i="7" s="1" a="1"/>
  <c r="AY184" i="7" s="1"/>
  <c r="B185" i="7"/>
  <c r="AY185" i="7" s="1" a="1"/>
  <c r="AY185" i="7" s="1"/>
  <c r="B186" i="7"/>
  <c r="AY186" i="7" s="1" a="1"/>
  <c r="AY186" i="7" s="1"/>
  <c r="B187" i="7"/>
  <c r="AY187" i="7" s="1" a="1"/>
  <c r="AY187" i="7" s="1"/>
  <c r="B188" i="7"/>
  <c r="AY188" i="7" s="1" a="1"/>
  <c r="AY188" i="7" s="1"/>
  <c r="B189" i="7"/>
  <c r="B190" i="7"/>
  <c r="AY190" i="7" s="1" a="1"/>
  <c r="AY190" i="7" s="1"/>
  <c r="B191" i="7"/>
  <c r="AY191" i="7" s="1" a="1"/>
  <c r="AY191" i="7" s="1"/>
  <c r="B192" i="7"/>
  <c r="AY192" i="7" s="1" a="1"/>
  <c r="AY192" i="7" s="1"/>
  <c r="B193" i="7"/>
  <c r="AY193" i="7" s="1" a="1"/>
  <c r="AY193" i="7" s="1"/>
  <c r="B194" i="7"/>
  <c r="AY194" i="7" s="1" a="1"/>
  <c r="AY194" i="7" s="1"/>
  <c r="B195" i="7"/>
  <c r="AY195" i="7" s="1" a="1"/>
  <c r="AY195" i="7" s="1"/>
  <c r="B196" i="7"/>
  <c r="AY196" i="7" s="1" a="1"/>
  <c r="AY196" i="7" s="1"/>
  <c r="B197" i="7"/>
  <c r="AY197" i="7" s="1" a="1"/>
  <c r="AY197" i="7" s="1"/>
  <c r="B198" i="7"/>
  <c r="AY198" i="7" s="1" a="1"/>
  <c r="AY198" i="7" s="1"/>
  <c r="B199" i="7"/>
  <c r="AY199" i="7" s="1" a="1"/>
  <c r="AY199" i="7" s="1"/>
  <c r="B200" i="7"/>
  <c r="AY200" i="7" s="1" a="1"/>
  <c r="AY200" i="7" s="1"/>
  <c r="B201" i="7"/>
  <c r="B202" i="7"/>
  <c r="AY202" i="7" s="1" a="1"/>
  <c r="AY202" i="7" s="1"/>
  <c r="B203" i="7"/>
  <c r="AY203" i="7" s="1" a="1"/>
  <c r="AY203" i="7" s="1"/>
  <c r="B204" i="7"/>
  <c r="AY204" i="7" s="1" a="1"/>
  <c r="AY204" i="7" s="1"/>
  <c r="B205" i="7"/>
  <c r="AY205" i="7" s="1" a="1"/>
  <c r="AY205" i="7" s="1"/>
  <c r="B206" i="7"/>
  <c r="AY206" i="7" s="1" a="1"/>
  <c r="AY206" i="7" s="1"/>
  <c r="B207" i="7"/>
  <c r="AY207" i="7" s="1" a="1"/>
  <c r="AY207" i="7" s="1"/>
  <c r="B208" i="7"/>
  <c r="AY208" i="7" s="1" a="1"/>
  <c r="AY208" i="7" s="1"/>
  <c r="B209" i="7"/>
  <c r="AY209" i="7" s="1" a="1"/>
  <c r="AY209" i="7" s="1"/>
  <c r="B210" i="7"/>
  <c r="AY210" i="7" s="1" a="1"/>
  <c r="AY210" i="7" s="1"/>
  <c r="B211" i="7"/>
  <c r="AY211" i="7" s="1" a="1"/>
  <c r="AY211" i="7" s="1"/>
  <c r="B212" i="7"/>
  <c r="AY212" i="7" s="1" a="1"/>
  <c r="AY212" i="7" s="1"/>
  <c r="B213" i="7"/>
  <c r="AY213" i="7" s="1" a="1"/>
  <c r="AY213" i="7" s="1"/>
  <c r="B214" i="7"/>
  <c r="AY214" i="7" s="1" a="1"/>
  <c r="AY214" i="7" s="1"/>
  <c r="B215" i="7"/>
  <c r="AY215" i="7" s="1" a="1"/>
  <c r="AY215" i="7" s="1"/>
  <c r="B216" i="7"/>
  <c r="AY216" i="7" s="1" a="1"/>
  <c r="AY216" i="7" s="1"/>
  <c r="B217" i="7"/>
  <c r="AY217" i="7" s="1" a="1"/>
  <c r="AY217" i="7" s="1"/>
  <c r="B218" i="7"/>
  <c r="AY218" i="7" s="1" a="1"/>
  <c r="AY218" i="7" s="1"/>
  <c r="B219" i="7"/>
  <c r="AY219" i="7" s="1" a="1"/>
  <c r="AY219" i="7" s="1"/>
  <c r="B220" i="7"/>
  <c r="AY220" i="7" s="1" a="1"/>
  <c r="AY220" i="7" s="1"/>
  <c r="B221" i="7"/>
  <c r="AY221" i="7" s="1" a="1"/>
  <c r="AY221" i="7" s="1"/>
  <c r="B222" i="7"/>
  <c r="AY222" i="7" s="1" a="1"/>
  <c r="AY222" i="7" s="1"/>
  <c r="B223" i="7"/>
  <c r="AY223" i="7" s="1" a="1"/>
  <c r="AY223" i="7" s="1"/>
  <c r="B224" i="7"/>
  <c r="AY224" i="7" s="1" a="1"/>
  <c r="AY224" i="7" s="1"/>
  <c r="B225" i="7"/>
  <c r="AY225" i="7" s="1" a="1"/>
  <c r="AY225" i="7" s="1"/>
  <c r="B226" i="7"/>
  <c r="AY226" i="7" s="1" a="1"/>
  <c r="AY226" i="7" s="1"/>
  <c r="B227" i="7"/>
  <c r="AY227" i="7" s="1" a="1"/>
  <c r="AY227" i="7" s="1"/>
  <c r="B228" i="7"/>
  <c r="AY228" i="7" s="1" a="1"/>
  <c r="AY228" i="7" s="1"/>
  <c r="B229" i="7"/>
  <c r="AY229" i="7" s="1" a="1"/>
  <c r="AY229" i="7" s="1"/>
  <c r="B230" i="7"/>
  <c r="AY230" i="7" s="1" a="1"/>
  <c r="AY230" i="7" s="1"/>
  <c r="B231" i="7"/>
  <c r="AY231" i="7" s="1" a="1"/>
  <c r="AY231" i="7" s="1"/>
  <c r="B232" i="7"/>
  <c r="AY232" i="7" s="1" a="1"/>
  <c r="AY232" i="7" s="1"/>
  <c r="B233" i="7"/>
  <c r="AY233" i="7" s="1" a="1"/>
  <c r="AY233" i="7" s="1"/>
  <c r="B234" i="7"/>
  <c r="AY234" i="7" s="1" a="1"/>
  <c r="AY234" i="7" s="1"/>
  <c r="B235" i="7"/>
  <c r="AY235" i="7" s="1" a="1"/>
  <c r="AY235" i="7" s="1"/>
  <c r="B236" i="7"/>
  <c r="AY236" i="7" s="1" a="1"/>
  <c r="AY236" i="7" s="1"/>
  <c r="B237" i="7"/>
  <c r="AY237" i="7" s="1" a="1"/>
  <c r="AY237" i="7" s="1"/>
  <c r="B238" i="7"/>
  <c r="AY238" i="7" s="1" a="1"/>
  <c r="AY238" i="7" s="1"/>
  <c r="B239" i="7"/>
  <c r="AY239" i="7" s="1" a="1"/>
  <c r="AY239" i="7" s="1"/>
  <c r="B240" i="7"/>
  <c r="AY240" i="7" s="1" a="1"/>
  <c r="AY240" i="7" s="1"/>
  <c r="B241" i="7"/>
  <c r="AY241" i="7" s="1" a="1"/>
  <c r="AY241" i="7" s="1"/>
  <c r="B242" i="7"/>
  <c r="AY242" i="7" s="1" a="1"/>
  <c r="AY242" i="7" s="1"/>
  <c r="B243" i="7"/>
  <c r="AY243" i="7" s="1" a="1"/>
  <c r="AY243" i="7" s="1"/>
  <c r="B244" i="7"/>
  <c r="AY244" i="7" s="1" a="1"/>
  <c r="AY244" i="7" s="1"/>
  <c r="B245" i="7"/>
  <c r="AY245" i="7" s="1" a="1"/>
  <c r="AY245" i="7" s="1"/>
  <c r="B246" i="7"/>
  <c r="AY246" i="7" s="1" a="1"/>
  <c r="AY246" i="7" s="1"/>
  <c r="B247" i="7"/>
  <c r="AY247" i="7" s="1" a="1"/>
  <c r="AY247" i="7" s="1"/>
  <c r="B248" i="7"/>
  <c r="AY248" i="7" s="1" a="1"/>
  <c r="AY248" i="7" s="1"/>
  <c r="B249" i="7"/>
  <c r="AY249" i="7" s="1" a="1"/>
  <c r="AY249" i="7" s="1"/>
  <c r="B250" i="7"/>
  <c r="AY250" i="7" s="1" a="1"/>
  <c r="AY250" i="7" s="1"/>
  <c r="B251" i="7"/>
  <c r="AY251" i="7" s="1" a="1"/>
  <c r="AY251" i="7" s="1"/>
  <c r="B252" i="7"/>
  <c r="AY252" i="7" s="1" a="1"/>
  <c r="AY252" i="7" s="1"/>
  <c r="B253" i="7"/>
  <c r="AY253" i="7" s="1" a="1"/>
  <c r="AY253" i="7" s="1"/>
  <c r="B254" i="7"/>
  <c r="AY254" i="7" s="1" a="1"/>
  <c r="AY254" i="7" s="1"/>
  <c r="B255" i="7"/>
  <c r="AY255" i="7" s="1" a="1"/>
  <c r="AY255" i="7" s="1"/>
  <c r="B256" i="7"/>
  <c r="AY256" i="7" s="1" a="1"/>
  <c r="AY256" i="7" s="1"/>
  <c r="B257" i="7"/>
  <c r="AY257" i="7" s="1" a="1"/>
  <c r="AY257" i="7" s="1"/>
  <c r="B258" i="7"/>
  <c r="AY258" i="7" s="1" a="1"/>
  <c r="AY258" i="7" s="1"/>
  <c r="B259" i="7"/>
  <c r="AY259" i="7" s="1" a="1"/>
  <c r="AY259" i="7" s="1"/>
  <c r="B260" i="7"/>
  <c r="AY260" i="7" s="1" a="1"/>
  <c r="AY260" i="7" s="1"/>
  <c r="B261" i="7"/>
  <c r="AY261" i="7" s="1" a="1"/>
  <c r="AY261" i="7" s="1"/>
  <c r="B262" i="7"/>
  <c r="AY262" i="7" s="1" a="1"/>
  <c r="AY262" i="7" s="1"/>
  <c r="B263" i="7"/>
  <c r="AY263" i="7" s="1" a="1"/>
  <c r="AY263" i="7" s="1"/>
  <c r="B264" i="7"/>
  <c r="AY264" i="7" s="1" a="1"/>
  <c r="AY264" i="7" s="1"/>
  <c r="B265" i="7"/>
  <c r="AY265" i="7" s="1" a="1"/>
  <c r="AY265" i="7" s="1"/>
  <c r="B266" i="7"/>
  <c r="AY266" i="7" s="1" a="1"/>
  <c r="AY266" i="7" s="1"/>
  <c r="B267" i="7"/>
  <c r="AY267" i="7" s="1" a="1"/>
  <c r="AY267" i="7" s="1"/>
  <c r="B268" i="7"/>
  <c r="AY268" i="7" s="1" a="1"/>
  <c r="AY268" i="7" s="1"/>
  <c r="B269" i="7"/>
  <c r="AY269" i="7" s="1" a="1"/>
  <c r="AY269" i="7" s="1"/>
  <c r="B270" i="7"/>
  <c r="AY270" i="7" s="1" a="1"/>
  <c r="AY270" i="7" s="1"/>
  <c r="B271" i="7"/>
  <c r="AY271" i="7" s="1" a="1"/>
  <c r="AY271" i="7" s="1"/>
  <c r="B272" i="7"/>
  <c r="AY272" i="7" s="1" a="1"/>
  <c r="AY272" i="7" s="1"/>
  <c r="B273" i="7"/>
  <c r="AY273" i="7" s="1" a="1"/>
  <c r="AY273" i="7" s="1"/>
  <c r="B274" i="7"/>
  <c r="AY274" i="7" s="1" a="1"/>
  <c r="AY274" i="7" s="1"/>
  <c r="B275" i="7"/>
  <c r="AY275" i="7" s="1" a="1"/>
  <c r="AY275" i="7" s="1"/>
  <c r="B276" i="7"/>
  <c r="AY276" i="7" s="1" a="1"/>
  <c r="AY276" i="7" s="1"/>
  <c r="B277" i="7"/>
  <c r="AY277" i="7" s="1" a="1"/>
  <c r="AY277" i="7" s="1"/>
  <c r="B278" i="7"/>
  <c r="AY278" i="7" s="1" a="1"/>
  <c r="AY278" i="7" s="1"/>
  <c r="B279" i="7"/>
  <c r="AY279" i="7" s="1" a="1"/>
  <c r="AY279" i="7" s="1"/>
  <c r="B280" i="7"/>
  <c r="AY280" i="7" s="1" a="1"/>
  <c r="AY280" i="7" s="1"/>
  <c r="B281" i="7"/>
  <c r="AY281" i="7" s="1" a="1"/>
  <c r="AY281" i="7" s="1"/>
  <c r="B282" i="7"/>
  <c r="AY282" i="7" s="1" a="1"/>
  <c r="AY282" i="7" s="1"/>
  <c r="B283" i="7"/>
  <c r="AY283" i="7" s="1" a="1"/>
  <c r="AY283" i="7" s="1"/>
  <c r="B284" i="7"/>
  <c r="AY284" i="7" s="1" a="1"/>
  <c r="AY284" i="7" s="1"/>
  <c r="B285" i="7"/>
  <c r="AY285" i="7" s="1" a="1"/>
  <c r="AY285" i="7" s="1"/>
  <c r="B286" i="7"/>
  <c r="AY286" i="7" s="1" a="1"/>
  <c r="AY286" i="7" s="1"/>
  <c r="B287" i="7"/>
  <c r="AY287" i="7" s="1" a="1"/>
  <c r="AY287" i="7" s="1"/>
  <c r="B288" i="7"/>
  <c r="AY288" i="7" s="1" a="1"/>
  <c r="AY288" i="7" s="1"/>
  <c r="B289" i="7"/>
  <c r="AY289" i="7" s="1" a="1"/>
  <c r="AY289" i="7" s="1"/>
  <c r="B290" i="7"/>
  <c r="AY290" i="7" s="1" a="1"/>
  <c r="AY290" i="7" s="1"/>
  <c r="B291" i="7"/>
  <c r="AY291" i="7" s="1" a="1"/>
  <c r="AY291" i="7" s="1"/>
  <c r="B292" i="7"/>
  <c r="AY292" i="7" s="1" a="1"/>
  <c r="AY292" i="7" s="1"/>
  <c r="B293" i="7"/>
  <c r="AY293" i="7" s="1" a="1"/>
  <c r="AY293" i="7" s="1"/>
  <c r="B294" i="7"/>
  <c r="AY294" i="7" s="1" a="1"/>
  <c r="AY294" i="7" s="1"/>
  <c r="B295" i="7"/>
  <c r="AY295" i="7" s="1" a="1"/>
  <c r="AY295" i="7" s="1"/>
  <c r="B296" i="7"/>
  <c r="AY296" i="7" s="1" a="1"/>
  <c r="AY296" i="7" s="1"/>
  <c r="B297" i="7"/>
  <c r="AY297" i="7" s="1" a="1"/>
  <c r="AY297" i="7" s="1"/>
  <c r="B298" i="7"/>
  <c r="AY298" i="7" s="1" a="1"/>
  <c r="AY298" i="7" s="1"/>
  <c r="B299" i="7"/>
  <c r="AY299" i="7" s="1" a="1"/>
  <c r="AY299" i="7" s="1"/>
  <c r="B300" i="7"/>
  <c r="AY300" i="7" s="1" a="1"/>
  <c r="AY300" i="7" s="1"/>
  <c r="B301" i="7"/>
  <c r="AY301" i="7" s="1" a="1"/>
  <c r="AY301" i="7" s="1"/>
  <c r="B302" i="7"/>
  <c r="AY302" i="7" s="1" a="1"/>
  <c r="AY302" i="7" s="1"/>
  <c r="B303" i="7"/>
  <c r="AY303" i="7" s="1" a="1"/>
  <c r="AY303" i="7" s="1"/>
  <c r="B304" i="7"/>
  <c r="AY304" i="7" s="1" a="1"/>
  <c r="AY304" i="7" s="1"/>
  <c r="B305" i="7"/>
  <c r="AY305" i="7" s="1" a="1"/>
  <c r="AY305" i="7" s="1"/>
  <c r="B306" i="7"/>
  <c r="AY306" i="7" s="1" a="1"/>
  <c r="AY306" i="7" s="1"/>
  <c r="B307" i="7"/>
  <c r="AY307" i="7" s="1" a="1"/>
  <c r="AY307" i="7" s="1"/>
  <c r="B308" i="7"/>
  <c r="AY308" i="7" s="1" a="1"/>
  <c r="AY308" i="7" s="1"/>
  <c r="B309" i="7"/>
  <c r="AY309" i="7" s="1" a="1"/>
  <c r="AY309" i="7" s="1"/>
  <c r="B310" i="7"/>
  <c r="AY310" i="7" s="1" a="1"/>
  <c r="AY310" i="7" s="1"/>
  <c r="B311" i="7"/>
  <c r="AY311" i="7" s="1" a="1"/>
  <c r="AY311" i="7" s="1"/>
  <c r="B312" i="7"/>
  <c r="AY312" i="7" s="1" a="1"/>
  <c r="AY312" i="7" s="1"/>
  <c r="B313" i="7"/>
  <c r="AY313" i="7" s="1" a="1"/>
  <c r="AY313" i="7" s="1"/>
  <c r="B314" i="7"/>
  <c r="AY314" i="7" s="1" a="1"/>
  <c r="AY314" i="7" s="1"/>
  <c r="B315" i="7"/>
  <c r="AY315" i="7" s="1" a="1"/>
  <c r="AY315" i="7" s="1"/>
  <c r="B316" i="7"/>
  <c r="AY316" i="7" s="1" a="1"/>
  <c r="AY316" i="7" s="1"/>
  <c r="B317" i="7"/>
  <c r="AY317" i="7" s="1" a="1"/>
  <c r="AY317" i="7" s="1"/>
  <c r="B318" i="7"/>
  <c r="AY318" i="7" s="1" a="1"/>
  <c r="AY318" i="7" s="1"/>
  <c r="B319" i="7"/>
  <c r="AY319" i="7" s="1" a="1"/>
  <c r="AY319" i="7" s="1"/>
  <c r="B320" i="7"/>
  <c r="AY320" i="7" s="1" a="1"/>
  <c r="AY320" i="7" s="1"/>
  <c r="B321" i="7"/>
  <c r="AY321" i="7" s="1" a="1"/>
  <c r="AY321" i="7" s="1"/>
  <c r="B322" i="7"/>
  <c r="AY322" i="7" s="1" a="1"/>
  <c r="AY322" i="7" s="1"/>
  <c r="B323" i="7"/>
  <c r="AY323" i="7" s="1" a="1"/>
  <c r="AY323" i="7" s="1"/>
  <c r="B324" i="7"/>
  <c r="AY324" i="7" s="1" a="1"/>
  <c r="AY324" i="7" s="1"/>
  <c r="B325" i="7"/>
  <c r="AY325" i="7" s="1" a="1"/>
  <c r="AY325" i="7" s="1"/>
  <c r="B326" i="7"/>
  <c r="AY326" i="7" s="1" a="1"/>
  <c r="AY326" i="7" s="1"/>
  <c r="B327" i="7"/>
  <c r="AY327" i="7" s="1" a="1"/>
  <c r="AY327" i="7" s="1"/>
  <c r="B328" i="7"/>
  <c r="AY328" i="7" s="1" a="1"/>
  <c r="AY328" i="7" s="1"/>
  <c r="B329" i="7"/>
  <c r="AY329" i="7" s="1" a="1"/>
  <c r="AY329" i="7" s="1"/>
  <c r="B330" i="7"/>
  <c r="AY330" i="7" s="1" a="1"/>
  <c r="AY330" i="7" s="1"/>
  <c r="B331" i="7"/>
  <c r="AY331" i="7" s="1" a="1"/>
  <c r="AY331" i="7" s="1"/>
  <c r="B332" i="7"/>
  <c r="AY332" i="7" s="1" a="1"/>
  <c r="AY332" i="7" s="1"/>
  <c r="B333" i="7"/>
  <c r="AY333" i="7" s="1" a="1"/>
  <c r="AY333" i="7" s="1"/>
  <c r="B334" i="7"/>
  <c r="AY334" i="7" s="1" a="1"/>
  <c r="AY334" i="7" s="1"/>
  <c r="B335" i="7"/>
  <c r="AY335" i="7" s="1" a="1"/>
  <c r="AY335" i="7" s="1"/>
  <c r="B336" i="7"/>
  <c r="AY336" i="7" s="1" a="1"/>
  <c r="AY336" i="7" s="1"/>
  <c r="B337" i="7"/>
  <c r="AY337" i="7" s="1" a="1"/>
  <c r="AY337" i="7" s="1"/>
  <c r="B338" i="7"/>
  <c r="AY338" i="7" s="1" a="1"/>
  <c r="AY338" i="7" s="1"/>
  <c r="B339" i="7"/>
  <c r="AY339" i="7" s="1" a="1"/>
  <c r="AY339" i="7" s="1"/>
  <c r="B340" i="7"/>
  <c r="AY340" i="7" s="1" a="1"/>
  <c r="AY340" i="7" s="1"/>
  <c r="B341" i="7"/>
  <c r="AY341" i="7" s="1" a="1"/>
  <c r="AY341" i="7" s="1"/>
  <c r="B342" i="7"/>
  <c r="AY342" i="7" s="1" a="1"/>
  <c r="AY342" i="7" s="1"/>
  <c r="B343" i="7"/>
  <c r="AY343" i="7" s="1" a="1"/>
  <c r="AY343" i="7" s="1"/>
  <c r="B344" i="7"/>
  <c r="AY344" i="7" s="1" a="1"/>
  <c r="AY344" i="7" s="1"/>
  <c r="B345" i="7"/>
  <c r="AY345" i="7" s="1" a="1"/>
  <c r="AY345" i="7" s="1"/>
  <c r="B346" i="7"/>
  <c r="AY346" i="7" s="1" a="1"/>
  <c r="AY346" i="7" s="1"/>
  <c r="B347" i="7"/>
  <c r="AY347" i="7" s="1" a="1"/>
  <c r="AY347" i="7" s="1"/>
  <c r="B348" i="7"/>
  <c r="AY348" i="7" s="1" a="1"/>
  <c r="AY348" i="7" s="1"/>
  <c r="B349" i="7"/>
  <c r="AY349" i="7" s="1" a="1"/>
  <c r="AY349" i="7" s="1"/>
  <c r="B350" i="7"/>
  <c r="AY350" i="7" s="1" a="1"/>
  <c r="AY350" i="7" s="1"/>
  <c r="B351" i="7"/>
  <c r="AY351" i="7" s="1" a="1"/>
  <c r="AY351" i="7" s="1"/>
  <c r="B352" i="7"/>
  <c r="AY352" i="7" s="1" a="1"/>
  <c r="AY352" i="7" s="1"/>
  <c r="B353" i="7"/>
  <c r="AY353" i="7" s="1" a="1"/>
  <c r="AY353" i="7" s="1"/>
  <c r="B354" i="7"/>
  <c r="AY354" i="7" s="1" a="1"/>
  <c r="AY354" i="7" s="1"/>
  <c r="B355" i="7"/>
  <c r="AY355" i="7" s="1" a="1"/>
  <c r="AY355" i="7" s="1"/>
  <c r="B356" i="7"/>
  <c r="AY356" i="7" s="1" a="1"/>
  <c r="AY356" i="7" s="1"/>
  <c r="B357" i="7"/>
  <c r="AY357" i="7" s="1" a="1"/>
  <c r="AY357" i="7" s="1"/>
  <c r="B358" i="7"/>
  <c r="AY358" i="7" s="1" a="1"/>
  <c r="AY358" i="7" s="1"/>
  <c r="B359" i="7"/>
  <c r="AY359" i="7" s="1" a="1"/>
  <c r="AY359" i="7" s="1"/>
  <c r="B360" i="7"/>
  <c r="AY360" i="7" s="1" a="1"/>
  <c r="AY360" i="7" s="1"/>
  <c r="B361" i="7"/>
  <c r="AY361" i="7" s="1" a="1"/>
  <c r="AY361" i="7" s="1"/>
  <c r="B362" i="7"/>
  <c r="AY362" i="7" s="1" a="1"/>
  <c r="AY362" i="7" s="1"/>
  <c r="B363" i="7"/>
  <c r="AY363" i="7" s="1" a="1"/>
  <c r="AY363" i="7" s="1"/>
  <c r="B364" i="7"/>
  <c r="AY364" i="7" s="1" a="1"/>
  <c r="AY364" i="7" s="1"/>
  <c r="B365" i="7"/>
  <c r="AY365" i="7" s="1" a="1"/>
  <c r="AY365" i="7" s="1"/>
  <c r="B366" i="7"/>
  <c r="AY366" i="7" s="1" a="1"/>
  <c r="AY366" i="7" s="1"/>
  <c r="B367" i="7"/>
  <c r="AY367" i="7" s="1" a="1"/>
  <c r="AY367" i="7" s="1"/>
  <c r="B368" i="7"/>
  <c r="AY368" i="7" s="1" a="1"/>
  <c r="AY368" i="7" s="1"/>
  <c r="B369" i="7"/>
  <c r="AY369" i="7" s="1" a="1"/>
  <c r="AY369" i="7" s="1"/>
  <c r="B370" i="7"/>
  <c r="AY370" i="7" s="1" a="1"/>
  <c r="AY370" i="7" s="1"/>
  <c r="B371" i="7"/>
  <c r="AY371" i="7" s="1" a="1"/>
  <c r="AY371" i="7" s="1"/>
  <c r="B372" i="7"/>
  <c r="AY372" i="7" s="1" a="1"/>
  <c r="AY372" i="7" s="1"/>
  <c r="B373" i="7"/>
  <c r="AY373" i="7" s="1" a="1"/>
  <c r="AY373" i="7" s="1"/>
  <c r="B374" i="7"/>
  <c r="AY374" i="7" s="1" a="1"/>
  <c r="AY374" i="7" s="1"/>
  <c r="B375" i="7"/>
  <c r="AY375" i="7" s="1" a="1"/>
  <c r="AY375" i="7" s="1"/>
  <c r="B376" i="7"/>
  <c r="AY376" i="7" s="1" a="1"/>
  <c r="AY376" i="7" s="1"/>
  <c r="B377" i="7"/>
  <c r="AY377" i="7" s="1" a="1"/>
  <c r="AY377" i="7" s="1"/>
  <c r="B378" i="7"/>
  <c r="AY378" i="7" s="1" a="1"/>
  <c r="AY378" i="7" s="1"/>
  <c r="B379" i="7"/>
  <c r="AY379" i="7" s="1" a="1"/>
  <c r="AY379" i="7" s="1"/>
  <c r="B380" i="7"/>
  <c r="AY380" i="7" s="1" a="1"/>
  <c r="AY380" i="7" s="1"/>
  <c r="B381" i="7"/>
  <c r="AY381" i="7" s="1" a="1"/>
  <c r="AY381" i="7" s="1"/>
  <c r="B382" i="7"/>
  <c r="AY382" i="7" s="1" a="1"/>
  <c r="AY382" i="7" s="1"/>
  <c r="B383" i="7"/>
  <c r="AY383" i="7" s="1" a="1"/>
  <c r="AY383" i="7" s="1"/>
  <c r="B384" i="7"/>
  <c r="AY384" i="7" s="1" a="1"/>
  <c r="AY384" i="7" s="1"/>
  <c r="B385" i="7"/>
  <c r="AY385" i="7" s="1" a="1"/>
  <c r="AY385" i="7" s="1"/>
  <c r="B386" i="7"/>
  <c r="AY386" i="7" s="1" a="1"/>
  <c r="AY386" i="7" s="1"/>
  <c r="B387" i="7"/>
  <c r="AY387" i="7" s="1" a="1"/>
  <c r="AY387" i="7" s="1"/>
  <c r="B388" i="7"/>
  <c r="AY388" i="7" s="1" a="1"/>
  <c r="AY388" i="7" s="1"/>
  <c r="B389" i="7"/>
  <c r="AY389" i="7" s="1" a="1"/>
  <c r="AY389" i="7" s="1"/>
  <c r="B390" i="7"/>
  <c r="AY390" i="7" s="1" a="1"/>
  <c r="AY390" i="7" s="1"/>
  <c r="B391" i="7"/>
  <c r="AY391" i="7" s="1" a="1"/>
  <c r="AY391" i="7" s="1"/>
  <c r="B392" i="7"/>
  <c r="AY392" i="7" s="1" a="1"/>
  <c r="AY392" i="7" s="1"/>
  <c r="B393" i="7"/>
  <c r="AY393" i="7" s="1" a="1"/>
  <c r="AY393" i="7" s="1"/>
  <c r="B394" i="7"/>
  <c r="AY394" i="7" s="1" a="1"/>
  <c r="AY394" i="7" s="1"/>
  <c r="B395" i="7"/>
  <c r="AY395" i="7" s="1" a="1"/>
  <c r="AY395" i="7" s="1"/>
  <c r="B396" i="7"/>
  <c r="AY396" i="7" s="1" a="1"/>
  <c r="AY396" i="7" s="1"/>
  <c r="B397" i="7"/>
  <c r="AY397" i="7" s="1" a="1"/>
  <c r="AY397" i="7" s="1"/>
  <c r="B398" i="7"/>
  <c r="AY398" i="7" s="1" a="1"/>
  <c r="AY398" i="7" s="1"/>
  <c r="B399" i="7"/>
  <c r="AY399" i="7" s="1" a="1"/>
  <c r="AY399" i="7" s="1"/>
  <c r="B400" i="7"/>
  <c r="AY400" i="7" s="1" a="1"/>
  <c r="AY400" i="7" s="1"/>
  <c r="B401" i="7"/>
  <c r="AY401" i="7" s="1" a="1"/>
  <c r="AY401" i="7" s="1"/>
  <c r="B402" i="7"/>
  <c r="AY402" i="7" s="1" a="1"/>
  <c r="AY402" i="7" s="1"/>
  <c r="B403" i="7"/>
  <c r="AY403" i="7" s="1" a="1"/>
  <c r="AY403" i="7" s="1"/>
  <c r="B404" i="7"/>
  <c r="AY404" i="7" s="1" a="1"/>
  <c r="AY404" i="7" s="1"/>
  <c r="B405" i="7"/>
  <c r="AY405" i="7" s="1" a="1"/>
  <c r="AY405" i="7" s="1"/>
  <c r="B406" i="7"/>
  <c r="AY406" i="7" s="1" a="1"/>
  <c r="AY406" i="7" s="1"/>
  <c r="B407" i="7"/>
  <c r="AY407" i="7" s="1" a="1"/>
  <c r="AY407" i="7" s="1"/>
  <c r="B408" i="7"/>
  <c r="AY408" i="7" s="1" a="1"/>
  <c r="AY408" i="7" s="1"/>
  <c r="B409" i="7"/>
  <c r="AY409" i="7" s="1" a="1"/>
  <c r="AY409" i="7" s="1"/>
  <c r="B410" i="7"/>
  <c r="AY410" i="7" s="1" a="1"/>
  <c r="AY410" i="7" s="1"/>
  <c r="B411" i="7"/>
  <c r="AY411" i="7" s="1" a="1"/>
  <c r="AY411" i="7" s="1"/>
  <c r="B412" i="7"/>
  <c r="AY412" i="7" s="1" a="1"/>
  <c r="AY412" i="7" s="1"/>
  <c r="B413" i="7"/>
  <c r="AY413" i="7" s="1" a="1"/>
  <c r="AY413" i="7" s="1"/>
  <c r="B414" i="7"/>
  <c r="AY414" i="7" s="1" a="1"/>
  <c r="AY414" i="7" s="1"/>
  <c r="B415" i="7"/>
  <c r="AY415" i="7" s="1" a="1"/>
  <c r="AY415" i="7" s="1"/>
  <c r="B416" i="7"/>
  <c r="AY416" i="7" s="1" a="1"/>
  <c r="AY416" i="7" s="1"/>
  <c r="B417" i="7"/>
  <c r="AY417" i="7" s="1" a="1"/>
  <c r="AY417" i="7" s="1"/>
  <c r="B418" i="7"/>
  <c r="AY418" i="7" s="1" a="1"/>
  <c r="AY418" i="7" s="1"/>
  <c r="B419" i="7"/>
  <c r="AY419" i="7" s="1" a="1"/>
  <c r="AY419" i="7" s="1"/>
  <c r="B420" i="7"/>
  <c r="AY420" i="7" s="1" a="1"/>
  <c r="AY420" i="7" s="1"/>
  <c r="B421" i="7"/>
  <c r="AY421" i="7" s="1" a="1"/>
  <c r="AY421" i="7" s="1"/>
  <c r="B422" i="7"/>
  <c r="AY422" i="7" s="1" a="1"/>
  <c r="AY422" i="7" s="1"/>
  <c r="B423" i="7"/>
  <c r="AY423" i="7" s="1" a="1"/>
  <c r="AY423" i="7" s="1"/>
  <c r="B424" i="7"/>
  <c r="AY424" i="7" s="1" a="1"/>
  <c r="AY424" i="7" s="1"/>
  <c r="B425" i="7"/>
  <c r="AY425" i="7" s="1" a="1"/>
  <c r="AY425" i="7" s="1"/>
  <c r="B426" i="7"/>
  <c r="AY426" i="7" s="1" a="1"/>
  <c r="AY426" i="7" s="1"/>
  <c r="B427" i="7"/>
  <c r="AY427" i="7" s="1" a="1"/>
  <c r="AY427" i="7" s="1"/>
  <c r="B428" i="7"/>
  <c r="AY428" i="7" s="1" a="1"/>
  <c r="AY428" i="7" s="1"/>
  <c r="B429" i="7"/>
  <c r="AY429" i="7" s="1" a="1"/>
  <c r="AY429" i="7" s="1"/>
  <c r="B430" i="7"/>
  <c r="AY430" i="7" s="1" a="1"/>
  <c r="AY430" i="7" s="1"/>
  <c r="B431" i="7"/>
  <c r="AY431" i="7" s="1" a="1"/>
  <c r="AY431" i="7" s="1"/>
  <c r="B432" i="7"/>
  <c r="AY432" i="7" s="1" a="1"/>
  <c r="AY432" i="7" s="1"/>
  <c r="B433" i="7"/>
  <c r="AY433" i="7" s="1" a="1"/>
  <c r="AY433" i="7" s="1"/>
  <c r="B434" i="7"/>
  <c r="AY434" i="7" s="1" a="1"/>
  <c r="AY434" i="7" s="1"/>
  <c r="B435" i="7"/>
  <c r="AY435" i="7" s="1" a="1"/>
  <c r="AY435" i="7" s="1"/>
  <c r="B436" i="7"/>
  <c r="AY436" i="7" s="1" a="1"/>
  <c r="AY436" i="7" s="1"/>
  <c r="B437" i="7"/>
  <c r="AY437" i="7" s="1" a="1"/>
  <c r="AY437" i="7" s="1"/>
  <c r="B438" i="7"/>
  <c r="AY438" i="7" s="1" a="1"/>
  <c r="AY438" i="7" s="1"/>
  <c r="B439" i="7"/>
  <c r="AY439" i="7" s="1" a="1"/>
  <c r="AY439" i="7" s="1"/>
  <c r="B440" i="7"/>
  <c r="AY440" i="7" s="1" a="1"/>
  <c r="AY440" i="7" s="1"/>
  <c r="B441" i="7"/>
  <c r="AY441" i="7" s="1" a="1"/>
  <c r="AY441" i="7" s="1"/>
  <c r="B442" i="7"/>
  <c r="AY442" i="7" s="1" a="1"/>
  <c r="AY442" i="7" s="1"/>
  <c r="B443" i="7"/>
  <c r="AY443" i="7" s="1" a="1"/>
  <c r="AY443" i="7" s="1"/>
  <c r="B444" i="7"/>
  <c r="AY444" i="7" s="1" a="1"/>
  <c r="AY444" i="7" s="1"/>
  <c r="B445" i="7"/>
  <c r="AY445" i="7" s="1" a="1"/>
  <c r="AY445" i="7" s="1"/>
  <c r="B446" i="7"/>
  <c r="AY446" i="7" s="1" a="1"/>
  <c r="AY446" i="7" s="1"/>
  <c r="B447" i="7"/>
  <c r="AY447" i="7" s="1" a="1"/>
  <c r="AY447" i="7" s="1"/>
  <c r="B448" i="7"/>
  <c r="AY448" i="7" s="1" a="1"/>
  <c r="AY448" i="7" s="1"/>
  <c r="B449" i="7"/>
  <c r="AY449" i="7" s="1" a="1"/>
  <c r="AY449" i="7" s="1"/>
  <c r="B450" i="7"/>
  <c r="AY450" i="7" s="1" a="1"/>
  <c r="AY450" i="7" s="1"/>
  <c r="B451" i="7"/>
  <c r="AY451" i="7" s="1" a="1"/>
  <c r="AY451" i="7" s="1"/>
  <c r="B452" i="7"/>
  <c r="AY452" i="7" s="1" a="1"/>
  <c r="AY452" i="7" s="1"/>
  <c r="B453" i="7"/>
  <c r="AY453" i="7" s="1" a="1"/>
  <c r="AY453" i="7" s="1"/>
  <c r="B454" i="7"/>
  <c r="AY454" i="7" s="1" a="1"/>
  <c r="AY454" i="7" s="1"/>
  <c r="B455" i="7"/>
  <c r="AY455" i="7" s="1" a="1"/>
  <c r="AY455" i="7" s="1"/>
  <c r="B456" i="7"/>
  <c r="AY456" i="7" s="1" a="1"/>
  <c r="AY456" i="7" s="1"/>
  <c r="B457" i="7"/>
  <c r="AY457" i="7" s="1" a="1"/>
  <c r="AY457" i="7" s="1"/>
  <c r="B458" i="7"/>
  <c r="AY458" i="7" s="1" a="1"/>
  <c r="AY458" i="7" s="1"/>
  <c r="B459" i="7"/>
  <c r="AY459" i="7" s="1" a="1"/>
  <c r="AY459" i="7" s="1"/>
  <c r="B460" i="7"/>
  <c r="AY460" i="7" s="1" a="1"/>
  <c r="AY460" i="7" s="1"/>
  <c r="B461" i="7"/>
  <c r="AY461" i="7" s="1" a="1"/>
  <c r="AY461" i="7" s="1"/>
  <c r="B462" i="7"/>
  <c r="AY462" i="7" s="1" a="1"/>
  <c r="AY462" i="7" s="1"/>
  <c r="B463" i="7"/>
  <c r="AY463" i="7" s="1" a="1"/>
  <c r="AY463" i="7" s="1"/>
  <c r="B464" i="7"/>
  <c r="AY464" i="7" s="1" a="1"/>
  <c r="AY464" i="7" s="1"/>
  <c r="B465" i="7"/>
  <c r="AY465" i="7" s="1" a="1"/>
  <c r="AY465" i="7" s="1"/>
  <c r="B466" i="7"/>
  <c r="AY466" i="7" s="1" a="1"/>
  <c r="AY466" i="7" s="1"/>
  <c r="B467" i="7"/>
  <c r="AY467" i="7" s="1" a="1"/>
  <c r="AY467" i="7" s="1"/>
  <c r="B468" i="7"/>
  <c r="AY468" i="7" s="1" a="1"/>
  <c r="AY468" i="7" s="1"/>
  <c r="B469" i="7"/>
  <c r="AY469" i="7" s="1" a="1"/>
  <c r="AY469" i="7" s="1"/>
  <c r="B470" i="7"/>
  <c r="AY470" i="7" s="1" a="1"/>
  <c r="AY470" i="7" s="1"/>
  <c r="B471" i="7"/>
  <c r="AY471" i="7" s="1" a="1"/>
  <c r="AY471" i="7" s="1"/>
  <c r="B472" i="7"/>
  <c r="AY472" i="7" s="1" a="1"/>
  <c r="AY472" i="7" s="1"/>
  <c r="B473" i="7"/>
  <c r="AY473" i="7" s="1" a="1"/>
  <c r="AY473" i="7" s="1"/>
  <c r="B474" i="7"/>
  <c r="AY474" i="7" s="1" a="1"/>
  <c r="AY474" i="7" s="1"/>
  <c r="B475" i="7"/>
  <c r="AY475" i="7" s="1" a="1"/>
  <c r="AY475" i="7" s="1"/>
  <c r="B476" i="7"/>
  <c r="AY476" i="7" s="1" a="1"/>
  <c r="AY476" i="7" s="1"/>
  <c r="B477" i="7"/>
  <c r="AY477" i="7" s="1" a="1"/>
  <c r="AY477" i="7" s="1"/>
  <c r="B478" i="7"/>
  <c r="AY478" i="7" s="1" a="1"/>
  <c r="AY478" i="7" s="1"/>
  <c r="B479" i="7"/>
  <c r="AY479" i="7" s="1" a="1"/>
  <c r="AY479" i="7" s="1"/>
  <c r="B480" i="7"/>
  <c r="AY480" i="7" s="1" a="1"/>
  <c r="AY480" i="7" s="1"/>
  <c r="B481" i="7"/>
  <c r="AY481" i="7" s="1" a="1"/>
  <c r="AY481" i="7" s="1"/>
  <c r="B482" i="7"/>
  <c r="AY482" i="7" s="1" a="1"/>
  <c r="AY482" i="7" s="1"/>
  <c r="B483" i="7"/>
  <c r="AY483" i="7" s="1" a="1"/>
  <c r="AY483" i="7" s="1"/>
  <c r="B484" i="7"/>
  <c r="AY484" i="7" s="1" a="1"/>
  <c r="AY484" i="7" s="1"/>
  <c r="B485" i="7"/>
  <c r="AY485" i="7" s="1" a="1"/>
  <c r="AY485" i="7" s="1"/>
  <c r="B486" i="7"/>
  <c r="AY486" i="7" s="1" a="1"/>
  <c r="AY486" i="7" s="1"/>
  <c r="B487" i="7"/>
  <c r="AY487" i="7" s="1" a="1"/>
  <c r="AY487" i="7" s="1"/>
  <c r="B488" i="7"/>
  <c r="AY488" i="7" s="1" a="1"/>
  <c r="AY488" i="7" s="1"/>
  <c r="B489" i="7"/>
  <c r="AY489" i="7" s="1" a="1"/>
  <c r="AY489" i="7" s="1"/>
  <c r="B490" i="7"/>
  <c r="AY490" i="7" s="1" a="1"/>
  <c r="AY490" i="7" s="1"/>
  <c r="B491" i="7"/>
  <c r="AY491" i="7" s="1" a="1"/>
  <c r="AY491" i="7" s="1"/>
  <c r="B492" i="7"/>
  <c r="AY492" i="7" s="1" a="1"/>
  <c r="AY492" i="7" s="1"/>
  <c r="B493" i="7"/>
  <c r="AY493" i="7" s="1" a="1"/>
  <c r="AY493" i="7" s="1"/>
  <c r="B494" i="7"/>
  <c r="AY494" i="7" s="1" a="1"/>
  <c r="AY494" i="7" s="1"/>
  <c r="B495" i="7"/>
  <c r="AY495" i="7" s="1" a="1"/>
  <c r="AY495" i="7" s="1"/>
  <c r="B496" i="7"/>
  <c r="AY496" i="7" s="1" a="1"/>
  <c r="AY496" i="7" s="1"/>
  <c r="B497" i="7"/>
  <c r="AY497" i="7" s="1" a="1"/>
  <c r="AY497" i="7" s="1"/>
  <c r="B498" i="7"/>
  <c r="AY498" i="7" s="1" a="1"/>
  <c r="AY498" i="7" s="1"/>
  <c r="B499" i="7"/>
  <c r="AY499" i="7" s="1" a="1"/>
  <c r="AY499" i="7" s="1"/>
  <c r="B500" i="7"/>
  <c r="AY500" i="7" s="1" a="1"/>
  <c r="AY500" i="7" s="1"/>
  <c r="B501" i="7"/>
  <c r="AY501" i="7" s="1" a="1"/>
  <c r="AY501" i="7" s="1"/>
  <c r="B502" i="7"/>
  <c r="AY502" i="7" s="1" a="1"/>
  <c r="AY502" i="7" s="1"/>
  <c r="B503" i="7"/>
  <c r="AY503" i="7" s="1" a="1"/>
  <c r="AY503" i="7" s="1"/>
  <c r="B504" i="7"/>
  <c r="AY504" i="7" s="1" a="1"/>
  <c r="AY504" i="7" s="1"/>
  <c r="B505" i="7"/>
  <c r="AY505" i="7" s="1" a="1"/>
  <c r="AY505" i="7" s="1"/>
  <c r="B506" i="7"/>
  <c r="AY506" i="7" s="1" a="1"/>
  <c r="AY506" i="7" s="1"/>
  <c r="B507" i="7"/>
  <c r="AY507" i="7" s="1" a="1"/>
  <c r="AY507" i="7" s="1"/>
  <c r="B508" i="7"/>
  <c r="AY508" i="7" s="1" a="1"/>
  <c r="AY508" i="7" s="1"/>
  <c r="B509" i="7"/>
  <c r="AY509" i="7" s="1" a="1"/>
  <c r="AY509" i="7" s="1"/>
  <c r="B510" i="7"/>
  <c r="AY510" i="7" s="1" a="1"/>
  <c r="AY510" i="7" s="1"/>
  <c r="B511" i="7"/>
  <c r="AY511" i="7" s="1" a="1"/>
  <c r="AY511" i="7" s="1"/>
  <c r="B512" i="7"/>
  <c r="AY512" i="7" s="1" a="1"/>
  <c r="AY512" i="7" s="1"/>
  <c r="B513" i="7"/>
  <c r="AY513" i="7" s="1" a="1"/>
  <c r="AY513" i="7" s="1"/>
  <c r="B514" i="7"/>
  <c r="AY514" i="7" s="1" a="1"/>
  <c r="AY514" i="7" s="1"/>
  <c r="B515" i="7"/>
  <c r="AY515" i="7" s="1" a="1"/>
  <c r="AY515" i="7" s="1"/>
  <c r="B516" i="7"/>
  <c r="AY516" i="7" s="1" a="1"/>
  <c r="AY516" i="7" s="1"/>
  <c r="B517" i="7"/>
  <c r="AY517" i="7" s="1" a="1"/>
  <c r="AY517" i="7" s="1"/>
  <c r="B518" i="7"/>
  <c r="AY518" i="7" s="1" a="1"/>
  <c r="AY518" i="7" s="1"/>
  <c r="B519" i="7"/>
  <c r="AY519" i="7" s="1" a="1"/>
  <c r="AY519" i="7" s="1"/>
  <c r="B520" i="7"/>
  <c r="AY520" i="7" s="1" a="1"/>
  <c r="AY520" i="7" s="1"/>
  <c r="B521" i="7"/>
  <c r="AY521" i="7" s="1" a="1"/>
  <c r="AY521" i="7" s="1"/>
  <c r="B522" i="7"/>
  <c r="AY522" i="7" s="1" a="1"/>
  <c r="AY522" i="7" s="1"/>
  <c r="B523" i="7"/>
  <c r="AY523" i="7" s="1" a="1"/>
  <c r="AY523" i="7" s="1"/>
  <c r="B524" i="7"/>
  <c r="AY524" i="7" s="1" a="1"/>
  <c r="AY524" i="7" s="1"/>
  <c r="B525" i="7"/>
  <c r="AY525" i="7" s="1" a="1"/>
  <c r="AY525" i="7" s="1"/>
  <c r="B526" i="7"/>
  <c r="AY526" i="7" s="1" a="1"/>
  <c r="AY526" i="7" s="1"/>
  <c r="B527" i="7"/>
  <c r="AY527" i="7" s="1" a="1"/>
  <c r="AY527" i="7" s="1"/>
  <c r="B528" i="7"/>
  <c r="AY528" i="7" s="1" a="1"/>
  <c r="AY528" i="7" s="1"/>
  <c r="B529" i="7"/>
  <c r="AY529" i="7" s="1" a="1"/>
  <c r="AY529" i="7" s="1"/>
  <c r="B530" i="7"/>
  <c r="AY530" i="7" s="1" a="1"/>
  <c r="AY530" i="7" s="1"/>
  <c r="B531" i="7"/>
  <c r="AY531" i="7" s="1" a="1"/>
  <c r="AY531" i="7" s="1"/>
  <c r="B532" i="7"/>
  <c r="AY532" i="7" s="1" a="1"/>
  <c r="AY532" i="7" s="1"/>
  <c r="B533" i="7"/>
  <c r="AY533" i="7" s="1" a="1"/>
  <c r="AY533" i="7" s="1"/>
  <c r="B534" i="7"/>
  <c r="AY534" i="7" s="1" a="1"/>
  <c r="AY534" i="7" s="1"/>
  <c r="B535" i="7"/>
  <c r="AY535" i="7" s="1" a="1"/>
  <c r="AY535" i="7" s="1"/>
  <c r="B536" i="7"/>
  <c r="AY536" i="7" s="1" a="1"/>
  <c r="AY536" i="7" s="1"/>
  <c r="B537" i="7"/>
  <c r="AY537" i="7" s="1" a="1"/>
  <c r="AY537" i="7" s="1"/>
  <c r="B538" i="7"/>
  <c r="AY538" i="7" s="1" a="1"/>
  <c r="AY538" i="7" s="1"/>
  <c r="B539" i="7"/>
  <c r="AY539" i="7" s="1" a="1"/>
  <c r="AY539" i="7" s="1"/>
  <c r="B540" i="7"/>
  <c r="AY540" i="7" s="1" a="1"/>
  <c r="AY540" i="7" s="1"/>
  <c r="B541" i="7"/>
  <c r="AY541" i="7" s="1" a="1"/>
  <c r="AY541" i="7" s="1"/>
  <c r="B542" i="7"/>
  <c r="AY542" i="7" s="1" a="1"/>
  <c r="AY542" i="7" s="1"/>
  <c r="B543" i="7"/>
  <c r="AY543" i="7" s="1" a="1"/>
  <c r="AY543" i="7" s="1"/>
  <c r="B544" i="7"/>
  <c r="AY544" i="7" s="1" a="1"/>
  <c r="AY544" i="7" s="1"/>
  <c r="B545" i="7"/>
  <c r="AY545" i="7" s="1" a="1"/>
  <c r="AY545" i="7" s="1"/>
  <c r="B546" i="7"/>
  <c r="AY546" i="7" s="1" a="1"/>
  <c r="AY546" i="7" s="1"/>
  <c r="B547" i="7"/>
  <c r="AY547" i="7" s="1" a="1"/>
  <c r="AY547" i="7" s="1"/>
  <c r="B548" i="7"/>
  <c r="AY548" i="7" s="1" a="1"/>
  <c r="AY548" i="7" s="1"/>
  <c r="B549" i="7"/>
  <c r="AY549" i="7" s="1" a="1"/>
  <c r="AY549" i="7" s="1"/>
  <c r="B550" i="7"/>
  <c r="AY550" i="7" s="1" a="1"/>
  <c r="AY550" i="7" s="1"/>
  <c r="B551" i="7"/>
  <c r="AY551" i="7" s="1" a="1"/>
  <c r="AY551" i="7" s="1"/>
  <c r="B552" i="7"/>
  <c r="AY552" i="7" s="1" a="1"/>
  <c r="AY552" i="7" s="1"/>
  <c r="B553" i="7"/>
  <c r="AY553" i="7" s="1" a="1"/>
  <c r="AY553" i="7" s="1"/>
  <c r="B554" i="7"/>
  <c r="AY554" i="7" s="1" a="1"/>
  <c r="AY554" i="7" s="1"/>
  <c r="B555" i="7"/>
  <c r="AY555" i="7" s="1" a="1"/>
  <c r="AY555" i="7" s="1"/>
  <c r="B556" i="7"/>
  <c r="AY556" i="7" s="1" a="1"/>
  <c r="AY556" i="7" s="1"/>
  <c r="B557" i="7"/>
  <c r="AY557" i="7" s="1" a="1"/>
  <c r="AY557" i="7" s="1"/>
  <c r="B558" i="7"/>
  <c r="AY558" i="7" s="1" a="1"/>
  <c r="AY558" i="7" s="1"/>
  <c r="B559" i="7"/>
  <c r="AY559" i="7" s="1" a="1"/>
  <c r="AY559" i="7" s="1"/>
  <c r="B560" i="7"/>
  <c r="AY560" i="7" s="1" a="1"/>
  <c r="AY560" i="7" s="1"/>
  <c r="B561" i="7"/>
  <c r="AY561" i="7" s="1" a="1"/>
  <c r="AY561" i="7" s="1"/>
  <c r="B562" i="7"/>
  <c r="AY562" i="7" s="1" a="1"/>
  <c r="AY562" i="7" s="1"/>
  <c r="B563" i="7"/>
  <c r="AY563" i="7" s="1" a="1"/>
  <c r="AY563" i="7" s="1"/>
  <c r="B564" i="7"/>
  <c r="AY564" i="7" s="1" a="1"/>
  <c r="AY564" i="7" s="1"/>
  <c r="B565" i="7"/>
  <c r="AY565" i="7" s="1" a="1"/>
  <c r="AY565" i="7" s="1"/>
  <c r="B566" i="7"/>
  <c r="AY566" i="7" s="1" a="1"/>
  <c r="AY566" i="7" s="1"/>
  <c r="B567" i="7"/>
  <c r="AY567" i="7" s="1" a="1"/>
  <c r="AY567" i="7" s="1"/>
  <c r="B568" i="7"/>
  <c r="AY568" i="7" s="1" a="1"/>
  <c r="AY568" i="7" s="1"/>
  <c r="B569" i="7"/>
  <c r="AY569" i="7" s="1" a="1"/>
  <c r="AY569" i="7" s="1"/>
  <c r="B570" i="7"/>
  <c r="AY570" i="7" s="1" a="1"/>
  <c r="AY570" i="7" s="1"/>
  <c r="B571" i="7"/>
  <c r="AY571" i="7" s="1" a="1"/>
  <c r="AY571" i="7" s="1"/>
  <c r="B572" i="7"/>
  <c r="AY572" i="7" s="1" a="1"/>
  <c r="AY572" i="7" s="1"/>
  <c r="B573" i="7"/>
  <c r="AY573" i="7" s="1" a="1"/>
  <c r="AY573" i="7" s="1"/>
  <c r="B574" i="7"/>
  <c r="AY574" i="7" s="1" a="1"/>
  <c r="AY574" i="7" s="1"/>
  <c r="B575" i="7"/>
  <c r="AY575" i="7" s="1" a="1"/>
  <c r="AY575" i="7" s="1"/>
  <c r="B576" i="7"/>
  <c r="AY576" i="7" s="1" a="1"/>
  <c r="AY576" i="7" s="1"/>
  <c r="B577" i="7"/>
  <c r="AZ577" i="7" s="1" a="1"/>
  <c r="AZ577" i="7" s="1"/>
  <c r="B578" i="7"/>
  <c r="AY578" i="7" s="1" a="1"/>
  <c r="AY578" i="7" s="1"/>
  <c r="B579" i="7"/>
  <c r="AY579" i="7" s="1" a="1"/>
  <c r="AY579" i="7" s="1"/>
  <c r="B580" i="7"/>
  <c r="AY580" i="7" s="1" a="1"/>
  <c r="AY580" i="7" s="1"/>
  <c r="B581" i="7"/>
  <c r="AY581" i="7" s="1" a="1"/>
  <c r="AY581" i="7" s="1"/>
  <c r="B582" i="7"/>
  <c r="AY582" i="7" s="1" a="1"/>
  <c r="AY582" i="7" s="1"/>
  <c r="B583" i="7"/>
  <c r="AY583" i="7" s="1" a="1"/>
  <c r="AY583" i="7" s="1"/>
  <c r="B584" i="7"/>
  <c r="AY584" i="7" s="1" a="1"/>
  <c r="AY584" i="7" s="1"/>
  <c r="B585" i="7"/>
  <c r="AY585" i="7" s="1" a="1"/>
  <c r="AY585" i="7" s="1"/>
  <c r="B586" i="7"/>
  <c r="AZ586" i="7" s="1" a="1"/>
  <c r="AZ586" i="7" s="1"/>
  <c r="B587" i="7"/>
  <c r="AY587" i="7" s="1" a="1"/>
  <c r="AY587" i="7" s="1"/>
  <c r="B588" i="7"/>
  <c r="AY588" i="7" s="1" a="1"/>
  <c r="AY588" i="7" s="1"/>
  <c r="B589" i="7"/>
  <c r="AY589" i="7" s="1" a="1"/>
  <c r="AY589" i="7" s="1"/>
  <c r="B590" i="7"/>
  <c r="AY590" i="7" s="1" a="1"/>
  <c r="AY590" i="7" s="1"/>
  <c r="B591" i="7"/>
  <c r="AY591" i="7" s="1" a="1"/>
  <c r="AY591" i="7" s="1"/>
  <c r="B592" i="7"/>
  <c r="AY592" i="7" s="1" a="1"/>
  <c r="AY592" i="7" s="1"/>
  <c r="B593" i="7"/>
  <c r="AY593" i="7" s="1" a="1"/>
  <c r="AY593" i="7" s="1"/>
  <c r="B594" i="7"/>
  <c r="AY594" i="7" s="1" a="1"/>
  <c r="AY594" i="7" s="1"/>
  <c r="B595" i="7"/>
  <c r="AZ595" i="7" s="1" a="1"/>
  <c r="AZ595" i="7" s="1"/>
  <c r="B596" i="7"/>
  <c r="AY596" i="7" s="1" a="1"/>
  <c r="AY596" i="7" s="1"/>
  <c r="B597" i="7"/>
  <c r="AZ597" i="7" s="1" a="1"/>
  <c r="AZ597" i="7" s="1"/>
  <c r="B598" i="7"/>
  <c r="AY598" i="7" s="1" a="1"/>
  <c r="AY598" i="7" s="1"/>
  <c r="B599" i="7"/>
  <c r="AY599" i="7" s="1" a="1"/>
  <c r="AY599" i="7" s="1"/>
  <c r="B600" i="7"/>
  <c r="AY600" i="7" s="1" a="1"/>
  <c r="AY600" i="7" s="1"/>
  <c r="B601" i="7"/>
  <c r="AY601" i="7" s="1" a="1"/>
  <c r="AY601" i="7" s="1"/>
  <c r="B602" i="7"/>
  <c r="AY602" i="7" s="1" a="1"/>
  <c r="AY602" i="7" s="1"/>
  <c r="B603" i="7"/>
  <c r="AY603" i="7" s="1" a="1"/>
  <c r="AY603" i="7" s="1"/>
  <c r="B604" i="7"/>
  <c r="AY604" i="7" s="1" a="1"/>
  <c r="AY604" i="7" s="1"/>
  <c r="B605" i="7"/>
  <c r="AY605" i="7" s="1" a="1"/>
  <c r="AY605" i="7" s="1"/>
  <c r="B606" i="7"/>
  <c r="AY606" i="7" s="1" a="1"/>
  <c r="AY606" i="7" s="1"/>
  <c r="B607" i="7"/>
  <c r="AY607" i="7" s="1" a="1"/>
  <c r="AY607" i="7" s="1"/>
  <c r="B608" i="7"/>
  <c r="AY608" i="7" s="1" a="1"/>
  <c r="AY608" i="7" s="1"/>
  <c r="B609" i="7"/>
  <c r="AY609" i="7" s="1" a="1"/>
  <c r="AY609" i="7" s="1"/>
  <c r="B610" i="7"/>
  <c r="AY610" i="7" s="1" a="1"/>
  <c r="AY610" i="7" s="1"/>
  <c r="B611" i="7"/>
  <c r="AY611" i="7" s="1" a="1"/>
  <c r="AY611" i="7" s="1"/>
  <c r="B612" i="7"/>
  <c r="AY612" i="7" s="1" a="1"/>
  <c r="AY612" i="7" s="1"/>
  <c r="B613" i="7"/>
  <c r="AZ613" i="7" s="1" a="1"/>
  <c r="AZ613" i="7" s="1"/>
  <c r="B614" i="7"/>
  <c r="AY614" i="7" s="1" a="1"/>
  <c r="AY614" i="7" s="1"/>
  <c r="B615" i="7"/>
  <c r="AZ615" i="7" s="1" a="1"/>
  <c r="AZ615" i="7" s="1"/>
  <c r="B616" i="7"/>
  <c r="AY616" i="7" s="1" a="1"/>
  <c r="AY616" i="7" s="1"/>
  <c r="B617" i="7"/>
  <c r="AZ617" i="7" s="1" a="1"/>
  <c r="AZ617" i="7" s="1"/>
  <c r="B618" i="7"/>
  <c r="AZ618" i="7" s="1" a="1"/>
  <c r="AZ618" i="7" s="1"/>
  <c r="B619" i="7"/>
  <c r="AY619" i="7" s="1" a="1"/>
  <c r="AY619" i="7" s="1"/>
  <c r="B620" i="7"/>
  <c r="AZ620" i="7" s="1" a="1"/>
  <c r="AZ620" i="7" s="1"/>
  <c r="B621" i="7"/>
  <c r="AY621" i="7" s="1" a="1"/>
  <c r="AY621" i="7" s="1"/>
  <c r="B622" i="7"/>
  <c r="AZ622" i="7" s="1" a="1"/>
  <c r="AZ622" i="7" s="1"/>
  <c r="B623" i="7"/>
  <c r="AY623" i="7" s="1" a="1"/>
  <c r="AY623" i="7" s="1"/>
  <c r="B624" i="7"/>
  <c r="AY624" i="7" s="1" a="1"/>
  <c r="AY624" i="7" s="1"/>
  <c r="B625" i="7"/>
  <c r="AY625" i="7" s="1" a="1"/>
  <c r="AY625" i="7" s="1"/>
  <c r="B626" i="7"/>
  <c r="AY626" i="7" s="1" a="1"/>
  <c r="AY626" i="7" s="1"/>
  <c r="B627" i="7"/>
  <c r="AY627" i="7" s="1" a="1"/>
  <c r="AY627" i="7" s="1"/>
  <c r="B628" i="7"/>
  <c r="AY628" i="7" s="1" a="1"/>
  <c r="AY628" i="7" s="1"/>
  <c r="B629" i="7"/>
  <c r="AY629" i="7" s="1" a="1"/>
  <c r="AY629" i="7" s="1"/>
  <c r="B630" i="7"/>
  <c r="AY630" i="7" s="1" a="1"/>
  <c r="AY630" i="7" s="1"/>
  <c r="B631" i="7"/>
  <c r="AY631" i="7" s="1" a="1"/>
  <c r="AY631" i="7" s="1"/>
  <c r="B632" i="7"/>
  <c r="AY632" i="7" s="1" a="1"/>
  <c r="AY632" i="7" s="1"/>
  <c r="B633" i="7"/>
  <c r="AY633" i="7" s="1" a="1"/>
  <c r="AY633" i="7" s="1"/>
  <c r="B634" i="7"/>
  <c r="AY634" i="7" s="1" a="1"/>
  <c r="AY634" i="7" s="1"/>
  <c r="B635" i="7"/>
  <c r="AY635" i="7" s="1" a="1"/>
  <c r="AY635" i="7" s="1"/>
  <c r="B636" i="7"/>
  <c r="AY636" i="7" s="1" a="1"/>
  <c r="AY636" i="7" s="1"/>
  <c r="B637" i="7"/>
  <c r="AY637" i="7" s="1" a="1"/>
  <c r="AY637" i="7" s="1"/>
  <c r="B638" i="7"/>
  <c r="AZ638" i="7" s="1" a="1"/>
  <c r="AZ638" i="7" s="1"/>
  <c r="B639" i="7"/>
  <c r="AY639" i="7" s="1" a="1"/>
  <c r="AY639" i="7" s="1"/>
  <c r="B640" i="7"/>
  <c r="AZ640" i="7" s="1" a="1"/>
  <c r="AZ640" i="7" s="1"/>
  <c r="B641" i="7"/>
  <c r="AY641" i="7" s="1" a="1"/>
  <c r="AY641" i="7" s="1"/>
  <c r="B642" i="7"/>
  <c r="AZ642" i="7" s="1" a="1"/>
  <c r="AZ642" i="7" s="1"/>
  <c r="B643" i="7"/>
  <c r="AY643" i="7" s="1" a="1"/>
  <c r="AY643" i="7" s="1"/>
  <c r="B644" i="7"/>
  <c r="AY644" i="7" s="1" a="1"/>
  <c r="AY644" i="7" s="1"/>
  <c r="B645" i="7"/>
  <c r="AY645" i="7" s="1" a="1"/>
  <c r="AY645" i="7" s="1"/>
  <c r="B646" i="7"/>
  <c r="AY646" i="7" s="1" a="1"/>
  <c r="AY646" i="7" s="1"/>
  <c r="B647" i="7"/>
  <c r="AY647" i="7" s="1" a="1"/>
  <c r="AY647" i="7" s="1"/>
  <c r="B648" i="7"/>
  <c r="AY648" i="7" s="1" a="1"/>
  <c r="AY648" i="7" s="1"/>
  <c r="B649" i="7"/>
  <c r="AZ649" i="7" s="1" a="1"/>
  <c r="AZ649" i="7" s="1"/>
  <c r="B650" i="7"/>
  <c r="AY650" i="7" s="1" a="1"/>
  <c r="AY650" i="7" s="1"/>
  <c r="B651" i="7"/>
  <c r="AZ651" i="7" s="1" a="1"/>
  <c r="AZ651" i="7" s="1"/>
  <c r="B652" i="7"/>
  <c r="AZ652" i="7" s="1" a="1"/>
  <c r="AZ652" i="7" s="1"/>
  <c r="B653" i="7"/>
  <c r="AZ653" i="7" s="1" a="1"/>
  <c r="AZ653" i="7" s="1"/>
  <c r="B654" i="7"/>
  <c r="AZ654" i="7" s="1" a="1"/>
  <c r="AZ654" i="7" s="1"/>
  <c r="B655" i="7"/>
  <c r="AY655" i="7" s="1" a="1"/>
  <c r="AY655" i="7" s="1"/>
  <c r="B656" i="7"/>
  <c r="AZ656" i="7" s="1" a="1"/>
  <c r="AZ656" i="7" s="1"/>
  <c r="B657" i="7"/>
  <c r="AY657" i="7" s="1" a="1"/>
  <c r="AY657" i="7" s="1"/>
  <c r="B658" i="7"/>
  <c r="AZ658" i="7" s="1" a="1"/>
  <c r="AZ658" i="7" s="1"/>
  <c r="B659" i="7"/>
  <c r="AY659" i="7" s="1" a="1"/>
  <c r="AY659" i="7" s="1"/>
  <c r="B660" i="7"/>
  <c r="AY660" i="7" s="1" a="1"/>
  <c r="AY660" i="7" s="1"/>
  <c r="B661" i="7"/>
  <c r="AY661" i="7" s="1" a="1"/>
  <c r="AY661" i="7" s="1"/>
  <c r="B662" i="7"/>
  <c r="AY662" i="7" s="1" a="1"/>
  <c r="AY662" i="7" s="1"/>
  <c r="B663" i="7"/>
  <c r="AY663" i="7" s="1" a="1"/>
  <c r="AY663" i="7" s="1"/>
  <c r="B664" i="7"/>
  <c r="AY664" i="7" s="1" a="1"/>
  <c r="AY664" i="7" s="1"/>
  <c r="B665" i="7"/>
  <c r="AY665" i="7" s="1" a="1"/>
  <c r="AY665" i="7" s="1"/>
  <c r="B666" i="7"/>
  <c r="AY666" i="7" s="1" a="1"/>
  <c r="AY666" i="7" s="1"/>
  <c r="B667" i="7"/>
  <c r="AY667" i="7" s="1" a="1"/>
  <c r="AY667" i="7" s="1"/>
  <c r="B668" i="7"/>
  <c r="AY668" i="7" s="1" a="1"/>
  <c r="AY668" i="7" s="1"/>
  <c r="B669" i="7"/>
  <c r="AY669" i="7" s="1" a="1"/>
  <c r="AY669" i="7" s="1"/>
  <c r="B670" i="7"/>
  <c r="AY670" i="7" s="1" a="1"/>
  <c r="AY670" i="7" s="1"/>
  <c r="B671" i="7"/>
  <c r="AY671" i="7" s="1" a="1"/>
  <c r="AY671" i="7" s="1"/>
  <c r="B672" i="7"/>
  <c r="AY672" i="7" s="1" a="1"/>
  <c r="AY672" i="7" s="1"/>
  <c r="B673" i="7"/>
  <c r="AY673" i="7" s="1" a="1"/>
  <c r="AY673" i="7" s="1"/>
  <c r="B674" i="7"/>
  <c r="AY674" i="7" s="1" a="1"/>
  <c r="AY674" i="7" s="1"/>
  <c r="B675" i="7"/>
  <c r="AZ675" i="7" s="1" a="1"/>
  <c r="AZ675" i="7" s="1"/>
  <c r="B676" i="7"/>
  <c r="AY676" i="7" s="1" a="1"/>
  <c r="AY676" i="7" s="1"/>
  <c r="B677" i="7"/>
  <c r="AY677" i="7" s="1" a="1"/>
  <c r="AY677" i="7" s="1"/>
  <c r="B678" i="7"/>
  <c r="AY678" i="7" s="1" a="1"/>
  <c r="AY678" i="7" s="1"/>
  <c r="B679" i="7"/>
  <c r="AZ679" i="7" s="1" a="1"/>
  <c r="AZ679" i="7" s="1"/>
  <c r="B680" i="7"/>
  <c r="AY680" i="7" s="1" a="1"/>
  <c r="AY680" i="7" s="1"/>
  <c r="B681" i="7"/>
  <c r="AY681" i="7" s="1" a="1"/>
  <c r="AY681" i="7" s="1"/>
  <c r="B682" i="7"/>
  <c r="AY682" i="7" s="1" a="1"/>
  <c r="AY682" i="7" s="1"/>
  <c r="B683" i="7"/>
  <c r="AY683" i="7" s="1" a="1"/>
  <c r="AY683" i="7" s="1"/>
  <c r="B684" i="7"/>
  <c r="AY684" i="7" s="1" a="1"/>
  <c r="AY684" i="7" s="1"/>
  <c r="B685" i="7"/>
  <c r="AZ685" i="7" s="1" a="1"/>
  <c r="AZ685" i="7" s="1"/>
  <c r="B686" i="7"/>
  <c r="AY686" i="7" s="1" a="1"/>
  <c r="AY686" i="7" s="1"/>
  <c r="B687" i="7"/>
  <c r="AZ687" i="7" s="1" a="1"/>
  <c r="AZ687" i="7" s="1"/>
  <c r="B688" i="7"/>
  <c r="AY688" i="7" s="1" a="1"/>
  <c r="AY688" i="7" s="1"/>
  <c r="B689" i="7"/>
  <c r="AY689" i="7" s="1" a="1"/>
  <c r="AY689" i="7" s="1"/>
  <c r="B690" i="7"/>
  <c r="AY690" i="7" s="1" a="1"/>
  <c r="AY690" i="7" s="1"/>
  <c r="B691" i="7"/>
  <c r="AY691" i="7" s="1" a="1"/>
  <c r="AY691" i="7" s="1"/>
  <c r="B692" i="7"/>
  <c r="AY692" i="7" s="1" a="1"/>
  <c r="AY692" i="7" s="1"/>
  <c r="B693" i="7"/>
  <c r="AY693" i="7" s="1" a="1"/>
  <c r="AY693" i="7" s="1"/>
  <c r="B694" i="7"/>
  <c r="AY694" i="7" s="1" a="1"/>
  <c r="AY694" i="7" s="1"/>
  <c r="B695" i="7"/>
  <c r="AY695" i="7" s="1" a="1"/>
  <c r="AY695" i="7" s="1"/>
  <c r="B696" i="7"/>
  <c r="AY696" i="7" s="1" a="1"/>
  <c r="AY696" i="7" s="1"/>
  <c r="B697" i="7"/>
  <c r="AZ697" i="7" s="1" a="1"/>
  <c r="AZ697" i="7" s="1"/>
  <c r="B698" i="7"/>
  <c r="AY698" i="7" s="1" a="1"/>
  <c r="AY698" i="7" s="1"/>
  <c r="B699" i="7"/>
  <c r="AZ699" i="7" s="1" a="1"/>
  <c r="AZ699" i="7" s="1"/>
  <c r="B700" i="7"/>
  <c r="AY700" i="7" s="1" a="1"/>
  <c r="AY700" i="7" s="1"/>
  <c r="B701" i="7"/>
  <c r="AY701" i="7" s="1" a="1"/>
  <c r="AY701" i="7" s="1"/>
  <c r="B702" i="7"/>
  <c r="AY702" i="7" s="1" a="1"/>
  <c r="AY702" i="7" s="1"/>
  <c r="B703" i="7"/>
  <c r="AY703" i="7" s="1" a="1"/>
  <c r="AY703" i="7" s="1"/>
  <c r="B704" i="7"/>
  <c r="AY704" i="7" s="1" a="1"/>
  <c r="AY704" i="7" s="1"/>
  <c r="B705" i="7"/>
  <c r="AY705" i="7" s="1" a="1"/>
  <c r="AY705" i="7" s="1"/>
  <c r="B706" i="7"/>
  <c r="AY706" i="7" s="1" a="1"/>
  <c r="AY706" i="7" s="1"/>
  <c r="B707" i="7"/>
  <c r="AY707" i="7" s="1" a="1"/>
  <c r="AY707" i="7" s="1"/>
  <c r="B708" i="7"/>
  <c r="AY708" i="7" s="1" a="1"/>
  <c r="AY708" i="7" s="1"/>
  <c r="B709" i="7"/>
  <c r="AZ709" i="7" s="1" a="1"/>
  <c r="AZ709" i="7" s="1"/>
  <c r="B710" i="7"/>
  <c r="AY710" i="7" s="1" a="1"/>
  <c r="AY710" i="7" s="1"/>
  <c r="B711" i="7"/>
  <c r="AZ711" i="7" s="1" a="1"/>
  <c r="AZ711" i="7" s="1"/>
  <c r="B712" i="7"/>
  <c r="AY712" i="7" s="1" a="1"/>
  <c r="AY712" i="7" s="1"/>
  <c r="B713" i="7"/>
  <c r="AY713" i="7" s="1" a="1"/>
  <c r="AY713" i="7" s="1"/>
  <c r="B714" i="7"/>
  <c r="AZ714" i="7" s="1" a="1"/>
  <c r="AZ714" i="7" s="1"/>
  <c r="B715" i="7"/>
  <c r="AZ715" i="7" s="1" a="1"/>
  <c r="AZ715" i="7" s="1"/>
  <c r="B716" i="7"/>
  <c r="AY716" i="7" s="1" a="1"/>
  <c r="AY716" i="7" s="1"/>
  <c r="B717" i="7"/>
  <c r="AZ717" i="7" s="1" a="1"/>
  <c r="AZ717" i="7" s="1"/>
  <c r="B718" i="7"/>
  <c r="AZ718" i="7" s="1" a="1"/>
  <c r="AZ718" i="7" s="1"/>
  <c r="B719" i="7"/>
  <c r="AY719" i="7" s="1" a="1"/>
  <c r="AY719" i="7" s="1"/>
  <c r="B720" i="7"/>
  <c r="AY720" i="7" s="1" a="1"/>
  <c r="AY720" i="7" s="1"/>
  <c r="B721" i="7"/>
  <c r="AY721" i="7" s="1" a="1"/>
  <c r="AY721" i="7" s="1"/>
  <c r="B722" i="7"/>
  <c r="AY722" i="7" s="1" a="1"/>
  <c r="AY722" i="7" s="1"/>
  <c r="B723" i="7"/>
  <c r="AY723" i="7" s="1" a="1"/>
  <c r="AY723" i="7" s="1"/>
  <c r="B724" i="7"/>
  <c r="AY724" i="7" s="1" a="1"/>
  <c r="AY724" i="7" s="1"/>
  <c r="B725" i="7"/>
  <c r="AY725" i="7" s="1" a="1"/>
  <c r="AY725" i="7" s="1"/>
  <c r="B726" i="7"/>
  <c r="AY726" i="7" s="1" a="1"/>
  <c r="AY726" i="7" s="1"/>
  <c r="B727" i="7"/>
  <c r="AY727" i="7" s="1" a="1"/>
  <c r="AY727" i="7" s="1"/>
  <c r="B728" i="7"/>
  <c r="AY728" i="7" s="1" a="1"/>
  <c r="AY728" i="7" s="1"/>
  <c r="B729" i="7"/>
  <c r="AY729" i="7" s="1" a="1"/>
  <c r="AY729" i="7" s="1"/>
  <c r="B730" i="7"/>
  <c r="AY730" i="7" s="1" a="1"/>
  <c r="AY730" i="7" s="1"/>
  <c r="B731" i="7"/>
  <c r="AY731" i="7" s="1" a="1"/>
  <c r="AY731" i="7" s="1"/>
  <c r="B732" i="7"/>
  <c r="AY732" i="7" s="1" a="1"/>
  <c r="AY732" i="7" s="1"/>
  <c r="B733" i="7"/>
  <c r="AZ733" i="7" s="1" a="1"/>
  <c r="AZ733" i="7" s="1"/>
  <c r="B734" i="7"/>
  <c r="AY734" i="7" s="1" a="1"/>
  <c r="AY734" i="7" s="1"/>
  <c r="B735" i="7"/>
  <c r="AZ735" i="7" s="1" a="1"/>
  <c r="AZ735" i="7" s="1"/>
  <c r="B736" i="7"/>
  <c r="AZ736" i="7" s="1" a="1"/>
  <c r="AZ736" i="7" s="1"/>
  <c r="B737" i="7"/>
  <c r="AY737" i="7" s="1" a="1"/>
  <c r="AY737" i="7" s="1"/>
  <c r="B738" i="7"/>
  <c r="AZ738" i="7" s="1" a="1"/>
  <c r="AZ738" i="7" s="1"/>
  <c r="B739" i="7"/>
  <c r="AZ739" i="7" s="1" a="1"/>
  <c r="AZ739" i="7" s="1"/>
  <c r="B740" i="7"/>
  <c r="AY740" i="7" s="1" a="1"/>
  <c r="AY740" i="7" s="1"/>
  <c r="B741" i="7"/>
  <c r="AY741" i="7" s="1" a="1"/>
  <c r="AY741" i="7" s="1"/>
  <c r="B742" i="7"/>
  <c r="AY742" i="7" s="1" a="1"/>
  <c r="AY742" i="7" s="1"/>
  <c r="B743" i="7"/>
  <c r="AY743" i="7" s="1" a="1"/>
  <c r="AY743" i="7" s="1"/>
  <c r="B744" i="7"/>
  <c r="AY744" i="7" s="1" a="1"/>
  <c r="AY744" i="7" s="1"/>
  <c r="B745" i="7"/>
  <c r="AZ745" i="7" s="1" a="1"/>
  <c r="AZ745" i="7" s="1"/>
  <c r="B746" i="7"/>
  <c r="AY746" i="7" s="1" a="1"/>
  <c r="AY746" i="7" s="1"/>
  <c r="B747" i="7"/>
  <c r="AZ747" i="7" s="1" a="1"/>
  <c r="AZ747" i="7" s="1"/>
  <c r="B748" i="7"/>
  <c r="AZ748" i="7" s="1" a="1"/>
  <c r="AZ748" i="7" s="1"/>
  <c r="B749" i="7"/>
  <c r="AY749" i="7" s="1" a="1"/>
  <c r="AY749" i="7" s="1"/>
  <c r="B750" i="7"/>
  <c r="AZ750" i="7" s="1" a="1"/>
  <c r="AZ750" i="7" s="1"/>
  <c r="B751" i="7"/>
  <c r="AZ751" i="7" s="1" a="1"/>
  <c r="AZ751" i="7" s="1"/>
  <c r="B752" i="7"/>
  <c r="AY752" i="7" s="1" a="1"/>
  <c r="AY752" i="7" s="1"/>
  <c r="B753" i="7"/>
  <c r="AY753" i="7" s="1" a="1"/>
  <c r="AY753" i="7" s="1"/>
  <c r="B754" i="7"/>
  <c r="AY754" i="7" s="1" a="1"/>
  <c r="AY754" i="7" s="1"/>
  <c r="B755" i="7"/>
  <c r="AY755" i="7" s="1" a="1"/>
  <c r="AY755" i="7" s="1"/>
  <c r="B756" i="7"/>
  <c r="AY756" i="7" s="1" a="1"/>
  <c r="AY756" i="7" s="1"/>
  <c r="B757" i="7"/>
  <c r="AZ757" i="7" s="1" a="1"/>
  <c r="AZ757" i="7" s="1"/>
  <c r="B758" i="7"/>
  <c r="AY758" i="7" s="1" a="1"/>
  <c r="AY758" i="7" s="1"/>
  <c r="B759" i="7"/>
  <c r="AY759" i="7" s="1" a="1"/>
  <c r="AY759" i="7" s="1"/>
  <c r="B760" i="7"/>
  <c r="AY760" i="7" s="1" a="1"/>
  <c r="AY760" i="7" s="1"/>
  <c r="B761" i="7"/>
  <c r="AY761" i="7" s="1" a="1"/>
  <c r="AY761" i="7" s="1"/>
  <c r="B762" i="7"/>
  <c r="AY762" i="7" s="1" a="1"/>
  <c r="AY762" i="7" s="1"/>
  <c r="B763" i="7"/>
  <c r="AY763" i="7" s="1" a="1"/>
  <c r="AY763" i="7" s="1"/>
  <c r="B764" i="7"/>
  <c r="AY764" i="7" s="1" a="1"/>
  <c r="AY764" i="7" s="1"/>
  <c r="B765" i="7"/>
  <c r="AY765" i="7" s="1" a="1"/>
  <c r="AY765" i="7" s="1"/>
  <c r="B766" i="7"/>
  <c r="AY766" i="7" s="1" a="1"/>
  <c r="AY766" i="7" s="1"/>
  <c r="B767" i="7"/>
  <c r="AY767" i="7" s="1" a="1"/>
  <c r="AY767" i="7" s="1"/>
  <c r="B768" i="7"/>
  <c r="AY768" i="7" s="1" a="1"/>
  <c r="AY768" i="7" s="1"/>
  <c r="B769" i="7"/>
  <c r="AZ769" i="7" s="1" a="1"/>
  <c r="AZ769" i="7" s="1"/>
  <c r="BI3" i="7"/>
  <c r="BJ3" i="7" s="1"/>
  <c r="BI4" i="7"/>
  <c r="BJ4" i="7" s="1"/>
  <c r="BI5" i="7"/>
  <c r="BJ5" i="7" s="1"/>
  <c r="BI6" i="7"/>
  <c r="BJ6" i="7" s="1"/>
  <c r="BI7" i="7"/>
  <c r="BJ7" i="7" s="1"/>
  <c r="BI8" i="7"/>
  <c r="BJ8" i="7" s="1"/>
  <c r="BI9" i="7"/>
  <c r="BJ9" i="7" s="1"/>
  <c r="BI10" i="7"/>
  <c r="BJ10" i="7" s="1"/>
  <c r="BI11" i="7"/>
  <c r="BJ11" i="7" s="1"/>
  <c r="BI12" i="7"/>
  <c r="BJ12" i="7" s="1"/>
  <c r="BI13" i="7"/>
  <c r="BJ13" i="7" s="1"/>
  <c r="BI14" i="7"/>
  <c r="BJ14" i="7" s="1"/>
  <c r="BI15" i="7"/>
  <c r="BJ15" i="7" s="1"/>
  <c r="BI16" i="7"/>
  <c r="BJ16" i="7" s="1"/>
  <c r="BI17" i="7"/>
  <c r="BJ17" i="7" s="1"/>
  <c r="BI18" i="7"/>
  <c r="BJ18" i="7" s="1"/>
  <c r="BI19" i="7"/>
  <c r="BJ19" i="7" s="1"/>
  <c r="BI20" i="7"/>
  <c r="BJ20" i="7" s="1"/>
  <c r="BI21" i="7"/>
  <c r="BJ21" i="7" s="1"/>
  <c r="BI22" i="7"/>
  <c r="BJ22" i="7" s="1"/>
  <c r="BI23" i="7"/>
  <c r="BJ23" i="7" s="1"/>
  <c r="BI24" i="7"/>
  <c r="BJ24" i="7" s="1"/>
  <c r="BI25" i="7"/>
  <c r="BJ25" i="7" s="1"/>
  <c r="BI26" i="7"/>
  <c r="BJ26" i="7" s="1"/>
  <c r="BI27" i="7"/>
  <c r="BJ27" i="7" s="1"/>
  <c r="BI28" i="7"/>
  <c r="BJ28" i="7" s="1"/>
  <c r="BI29" i="7"/>
  <c r="BJ29" i="7" s="1"/>
  <c r="BI30" i="7"/>
  <c r="BJ30" i="7" s="1"/>
  <c r="BI31" i="7"/>
  <c r="BJ31" i="7" s="1"/>
  <c r="BI32" i="7"/>
  <c r="BJ32" i="7" s="1"/>
  <c r="BI33" i="7"/>
  <c r="BJ33" i="7" s="1"/>
  <c r="BI34" i="7"/>
  <c r="BJ34" i="7" s="1"/>
  <c r="BI35" i="7"/>
  <c r="BJ35" i="7" s="1"/>
  <c r="BI36" i="7"/>
  <c r="BJ36" i="7" s="1"/>
  <c r="BI37" i="7"/>
  <c r="BJ37" i="7" s="1"/>
  <c r="BI38" i="7"/>
  <c r="BJ38" i="7" s="1"/>
  <c r="BI39" i="7"/>
  <c r="BJ39" i="7" s="1"/>
  <c r="BI40" i="7"/>
  <c r="BJ40" i="7" s="1"/>
  <c r="BI41" i="7"/>
  <c r="BJ41" i="7" s="1"/>
  <c r="BI42" i="7"/>
  <c r="BJ42" i="7" s="1"/>
  <c r="BI43" i="7"/>
  <c r="BJ43" i="7" s="1"/>
  <c r="BI44" i="7"/>
  <c r="BJ44" i="7" s="1"/>
  <c r="BI45" i="7"/>
  <c r="BJ45" i="7" s="1"/>
  <c r="BI46" i="7"/>
  <c r="BJ46" i="7" s="1"/>
  <c r="BI47" i="7"/>
  <c r="BJ47" i="7" s="1"/>
  <c r="BI48" i="7"/>
  <c r="BJ48" i="7" s="1"/>
  <c r="BI49" i="7"/>
  <c r="BJ49" i="7" s="1"/>
  <c r="BI50" i="7"/>
  <c r="BJ50" i="7" s="1"/>
  <c r="BI51" i="7"/>
  <c r="BJ51" i="7" s="1"/>
  <c r="BI52" i="7"/>
  <c r="BJ52" i="7" s="1"/>
  <c r="BI53" i="7"/>
  <c r="BJ53" i="7" s="1"/>
  <c r="BI54" i="7"/>
  <c r="BJ54" i="7" s="1"/>
  <c r="BI55" i="7"/>
  <c r="BJ55" i="7" s="1"/>
  <c r="BI56" i="7"/>
  <c r="BJ56" i="7" s="1"/>
  <c r="BI57" i="7"/>
  <c r="BJ57" i="7" s="1"/>
  <c r="BI58" i="7"/>
  <c r="BJ58" i="7" s="1"/>
  <c r="BI59" i="7"/>
  <c r="BJ59" i="7" s="1"/>
  <c r="BI60" i="7"/>
  <c r="BJ60" i="7" s="1"/>
  <c r="BI61" i="7"/>
  <c r="BJ61" i="7" s="1"/>
  <c r="BI62" i="7"/>
  <c r="BJ62" i="7" s="1"/>
  <c r="BI63" i="7"/>
  <c r="BJ63" i="7" s="1"/>
  <c r="BI64" i="7"/>
  <c r="BJ64" i="7" s="1"/>
  <c r="BI65" i="7"/>
  <c r="BJ65" i="7" s="1"/>
  <c r="BI66" i="7"/>
  <c r="BJ66" i="7" s="1"/>
  <c r="BI67" i="7"/>
  <c r="BJ67" i="7" s="1"/>
  <c r="BI68" i="7"/>
  <c r="BJ68" i="7" s="1"/>
  <c r="BI69" i="7"/>
  <c r="BJ69" i="7" s="1"/>
  <c r="BI70" i="7"/>
  <c r="BJ70" i="7" s="1"/>
  <c r="BI71" i="7"/>
  <c r="BJ71" i="7" s="1"/>
  <c r="BI72" i="7"/>
  <c r="BJ72" i="7" s="1"/>
  <c r="BI73" i="7"/>
  <c r="BJ73" i="7" s="1"/>
  <c r="BI74" i="7"/>
  <c r="BJ74" i="7" s="1"/>
  <c r="BI75" i="7"/>
  <c r="BJ75" i="7" s="1"/>
  <c r="BI76" i="7"/>
  <c r="BJ76" i="7" s="1"/>
  <c r="BI77" i="7"/>
  <c r="BJ77" i="7" s="1"/>
  <c r="BI78" i="7"/>
  <c r="BJ78" i="7" s="1"/>
  <c r="BI79" i="7"/>
  <c r="BJ79" i="7" s="1"/>
  <c r="BI80" i="7"/>
  <c r="BJ80" i="7" s="1"/>
  <c r="BI81" i="7"/>
  <c r="BJ81" i="7" s="1"/>
  <c r="BI82" i="7"/>
  <c r="BJ82" i="7" s="1"/>
  <c r="BI83" i="7"/>
  <c r="BJ83" i="7" s="1"/>
  <c r="BI84" i="7"/>
  <c r="BJ84" i="7" s="1"/>
  <c r="BI85" i="7"/>
  <c r="BJ85" i="7" s="1"/>
  <c r="BI86" i="7"/>
  <c r="BJ86" i="7" s="1"/>
  <c r="BI87" i="7"/>
  <c r="BJ87" i="7" s="1"/>
  <c r="BI88" i="7"/>
  <c r="BJ88" i="7" s="1"/>
  <c r="BI89" i="7"/>
  <c r="BJ89" i="7" s="1"/>
  <c r="BI90" i="7"/>
  <c r="BJ90" i="7" s="1"/>
  <c r="BI91" i="7"/>
  <c r="BJ91" i="7" s="1"/>
  <c r="BI92" i="7"/>
  <c r="BJ92" i="7" s="1"/>
  <c r="BI93" i="7"/>
  <c r="BJ93" i="7" s="1"/>
  <c r="BI94" i="7"/>
  <c r="BJ94" i="7" s="1"/>
  <c r="BI95" i="7"/>
  <c r="BJ95" i="7" s="1"/>
  <c r="BI96" i="7"/>
  <c r="BJ96" i="7" s="1"/>
  <c r="BI97" i="7"/>
  <c r="BJ97" i="7" s="1"/>
  <c r="BI98" i="7"/>
  <c r="BJ98" i="7" s="1"/>
  <c r="BI99" i="7"/>
  <c r="BJ99" i="7" s="1"/>
  <c r="BI100" i="7"/>
  <c r="BJ100" i="7" s="1"/>
  <c r="BI101" i="7"/>
  <c r="BJ101" i="7" s="1"/>
  <c r="BI102" i="7"/>
  <c r="BJ102" i="7" s="1"/>
  <c r="BI103" i="7"/>
  <c r="BJ103" i="7" s="1"/>
  <c r="BI104" i="7"/>
  <c r="BJ104" i="7" s="1"/>
  <c r="BI105" i="7"/>
  <c r="BJ105" i="7" s="1"/>
  <c r="BI106" i="7"/>
  <c r="BJ106" i="7" s="1"/>
  <c r="BI107" i="7"/>
  <c r="BJ107" i="7" s="1"/>
  <c r="BI108" i="7"/>
  <c r="BJ108" i="7" s="1"/>
  <c r="BI109" i="7"/>
  <c r="BJ109" i="7" s="1"/>
  <c r="BI110" i="7"/>
  <c r="BJ110" i="7" s="1"/>
  <c r="BI111" i="7"/>
  <c r="BJ111" i="7" s="1"/>
  <c r="BI112" i="7"/>
  <c r="BJ112" i="7" s="1"/>
  <c r="BI113" i="7"/>
  <c r="BJ113" i="7" s="1"/>
  <c r="BI114" i="7"/>
  <c r="BJ114" i="7" s="1"/>
  <c r="BI115" i="7"/>
  <c r="BJ115" i="7" s="1"/>
  <c r="BI116" i="7"/>
  <c r="BJ116" i="7" s="1"/>
  <c r="BI117" i="7"/>
  <c r="BJ117" i="7" s="1"/>
  <c r="BI118" i="7"/>
  <c r="BJ118" i="7" s="1"/>
  <c r="BI119" i="7"/>
  <c r="BJ119" i="7" s="1"/>
  <c r="BI120" i="7"/>
  <c r="BJ120" i="7" s="1"/>
  <c r="BI121" i="7"/>
  <c r="BJ121" i="7" s="1"/>
  <c r="BI122" i="7"/>
  <c r="BJ122" i="7" s="1"/>
  <c r="BI123" i="7"/>
  <c r="BJ123" i="7" s="1"/>
  <c r="BI124" i="7"/>
  <c r="BJ124" i="7" s="1"/>
  <c r="BI125" i="7"/>
  <c r="BJ125" i="7" s="1"/>
  <c r="BI126" i="7"/>
  <c r="BJ126" i="7" s="1"/>
  <c r="BI127" i="7"/>
  <c r="BJ127" i="7" s="1"/>
  <c r="BI128" i="7"/>
  <c r="BJ128" i="7" s="1"/>
  <c r="BI129" i="7"/>
  <c r="BJ129" i="7" s="1"/>
  <c r="BI130" i="7"/>
  <c r="BJ130" i="7" s="1"/>
  <c r="BI131" i="7"/>
  <c r="BJ131" i="7" s="1"/>
  <c r="BI132" i="7"/>
  <c r="BJ132" i="7" s="1"/>
  <c r="BI133" i="7"/>
  <c r="BJ133" i="7" s="1"/>
  <c r="BI134" i="7"/>
  <c r="BJ134" i="7" s="1"/>
  <c r="BI135" i="7"/>
  <c r="BJ135" i="7" s="1"/>
  <c r="BI136" i="7"/>
  <c r="BJ136" i="7" s="1"/>
  <c r="BI137" i="7"/>
  <c r="BJ137" i="7" s="1"/>
  <c r="BI138" i="7"/>
  <c r="BJ138" i="7" s="1"/>
  <c r="BI139" i="7"/>
  <c r="BJ139" i="7" s="1"/>
  <c r="BI140" i="7"/>
  <c r="BJ140" i="7" s="1"/>
  <c r="BI141" i="7"/>
  <c r="BJ141" i="7" s="1"/>
  <c r="BI142" i="7"/>
  <c r="BJ142" i="7" s="1"/>
  <c r="BI143" i="7"/>
  <c r="BJ143" i="7" s="1"/>
  <c r="BI144" i="7"/>
  <c r="BJ144" i="7" s="1"/>
  <c r="BI145" i="7"/>
  <c r="BJ145" i="7" s="1"/>
  <c r="BI146" i="7"/>
  <c r="BJ146" i="7" s="1"/>
  <c r="BI147" i="7"/>
  <c r="BJ147" i="7" s="1"/>
  <c r="BI148" i="7"/>
  <c r="BJ148" i="7" s="1"/>
  <c r="BI149" i="7"/>
  <c r="BJ149" i="7" s="1"/>
  <c r="BI150" i="7"/>
  <c r="BJ150" i="7" s="1"/>
  <c r="BI151" i="7"/>
  <c r="BJ151" i="7" s="1"/>
  <c r="BI152" i="7"/>
  <c r="BJ152" i="7" s="1"/>
  <c r="BI153" i="7"/>
  <c r="BJ153" i="7" s="1"/>
  <c r="BI154" i="7"/>
  <c r="BJ154" i="7" s="1"/>
  <c r="BI155" i="7"/>
  <c r="BJ155" i="7" s="1"/>
  <c r="BI156" i="7"/>
  <c r="BJ156" i="7" s="1"/>
  <c r="BI157" i="7"/>
  <c r="BJ157" i="7" s="1"/>
  <c r="BI158" i="7"/>
  <c r="BJ158" i="7" s="1"/>
  <c r="BI159" i="7"/>
  <c r="BJ159" i="7" s="1"/>
  <c r="BI160" i="7"/>
  <c r="BJ160" i="7" s="1"/>
  <c r="BI161" i="7"/>
  <c r="BJ161" i="7" s="1"/>
  <c r="BI162" i="7"/>
  <c r="BJ162" i="7" s="1"/>
  <c r="BI163" i="7"/>
  <c r="BJ163" i="7" s="1"/>
  <c r="BI164" i="7"/>
  <c r="BJ164" i="7" s="1"/>
  <c r="BI165" i="7"/>
  <c r="BJ165" i="7" s="1"/>
  <c r="BI166" i="7"/>
  <c r="BJ166" i="7" s="1"/>
  <c r="BI167" i="7"/>
  <c r="BJ167" i="7" s="1"/>
  <c r="BI168" i="7"/>
  <c r="BJ168" i="7" s="1"/>
  <c r="BI169" i="7"/>
  <c r="BJ169" i="7" s="1"/>
  <c r="BI170" i="7"/>
  <c r="BJ170" i="7" s="1"/>
  <c r="BI171" i="7"/>
  <c r="BJ171" i="7" s="1"/>
  <c r="BI172" i="7"/>
  <c r="BJ172" i="7" s="1"/>
  <c r="BI173" i="7"/>
  <c r="BJ173" i="7" s="1"/>
  <c r="BI174" i="7"/>
  <c r="BJ174" i="7" s="1"/>
  <c r="BI175" i="7"/>
  <c r="BJ175" i="7" s="1"/>
  <c r="BI176" i="7"/>
  <c r="BJ176" i="7" s="1"/>
  <c r="BI177" i="7"/>
  <c r="BJ177" i="7" s="1"/>
  <c r="BI178" i="7"/>
  <c r="BJ178" i="7" s="1"/>
  <c r="BI179" i="7"/>
  <c r="BJ179" i="7" s="1"/>
  <c r="BI180" i="7"/>
  <c r="BJ180" i="7" s="1"/>
  <c r="BI181" i="7"/>
  <c r="BJ181" i="7" s="1"/>
  <c r="BI182" i="7"/>
  <c r="BJ182" i="7" s="1"/>
  <c r="BI183" i="7"/>
  <c r="BJ183" i="7" s="1"/>
  <c r="BI184" i="7"/>
  <c r="BJ184" i="7" s="1"/>
  <c r="BI185" i="7"/>
  <c r="BJ185" i="7" s="1"/>
  <c r="BI186" i="7"/>
  <c r="BJ186" i="7" s="1"/>
  <c r="BI187" i="7"/>
  <c r="BJ187" i="7" s="1"/>
  <c r="BI188" i="7"/>
  <c r="BJ188" i="7" s="1"/>
  <c r="BI189" i="7"/>
  <c r="BJ189" i="7" s="1"/>
  <c r="BI190" i="7"/>
  <c r="BJ190" i="7" s="1"/>
  <c r="BI191" i="7"/>
  <c r="BJ191" i="7" s="1"/>
  <c r="BI192" i="7"/>
  <c r="BJ192" i="7" s="1"/>
  <c r="BI193" i="7"/>
  <c r="BJ193" i="7" s="1"/>
  <c r="BI194" i="7"/>
  <c r="BJ194" i="7" s="1"/>
  <c r="BI195" i="7"/>
  <c r="BJ195" i="7" s="1"/>
  <c r="BI196" i="7"/>
  <c r="BJ196" i="7" s="1"/>
  <c r="BI197" i="7"/>
  <c r="BJ197" i="7" s="1"/>
  <c r="BI198" i="7"/>
  <c r="BJ198" i="7" s="1"/>
  <c r="BI199" i="7"/>
  <c r="BJ199" i="7" s="1"/>
  <c r="BI200" i="7"/>
  <c r="BJ200" i="7" s="1"/>
  <c r="BI201" i="7"/>
  <c r="BJ201" i="7" s="1"/>
  <c r="BI202" i="7"/>
  <c r="BJ202" i="7" s="1"/>
  <c r="BI203" i="7"/>
  <c r="BJ203" i="7" s="1"/>
  <c r="BI204" i="7"/>
  <c r="BJ204" i="7" s="1"/>
  <c r="BI205" i="7"/>
  <c r="BJ205" i="7" s="1"/>
  <c r="BI206" i="7"/>
  <c r="BJ206" i="7" s="1"/>
  <c r="BI207" i="7"/>
  <c r="BJ207" i="7" s="1"/>
  <c r="BI208" i="7"/>
  <c r="BJ208" i="7" s="1"/>
  <c r="BI209" i="7"/>
  <c r="BJ209" i="7" s="1"/>
  <c r="BI210" i="7"/>
  <c r="BJ210" i="7" s="1"/>
  <c r="BI211" i="7"/>
  <c r="BJ211" i="7" s="1"/>
  <c r="BI212" i="7"/>
  <c r="BJ212" i="7" s="1"/>
  <c r="BI213" i="7"/>
  <c r="BJ213" i="7" s="1"/>
  <c r="BI214" i="7"/>
  <c r="BJ214" i="7" s="1"/>
  <c r="BI215" i="7"/>
  <c r="BJ215" i="7" s="1"/>
  <c r="BI216" i="7"/>
  <c r="BJ216" i="7" s="1"/>
  <c r="BI217" i="7"/>
  <c r="BJ217" i="7" s="1"/>
  <c r="BI218" i="7"/>
  <c r="BJ218" i="7" s="1"/>
  <c r="BI219" i="7"/>
  <c r="BJ219" i="7" s="1"/>
  <c r="BI220" i="7"/>
  <c r="BJ220" i="7" s="1"/>
  <c r="BI221" i="7"/>
  <c r="BJ221" i="7" s="1"/>
  <c r="BI222" i="7"/>
  <c r="BJ222" i="7" s="1"/>
  <c r="BI223" i="7"/>
  <c r="BJ223" i="7" s="1"/>
  <c r="BI224" i="7"/>
  <c r="BJ224" i="7" s="1"/>
  <c r="BI225" i="7"/>
  <c r="BJ225" i="7" s="1"/>
  <c r="BI226" i="7"/>
  <c r="BJ226" i="7" s="1"/>
  <c r="BI227" i="7"/>
  <c r="BJ227" i="7" s="1"/>
  <c r="BI228" i="7"/>
  <c r="BJ228" i="7" s="1"/>
  <c r="BI229" i="7"/>
  <c r="BJ229" i="7" s="1"/>
  <c r="BI230" i="7"/>
  <c r="BJ230" i="7" s="1"/>
  <c r="BI231" i="7"/>
  <c r="BJ231" i="7" s="1"/>
  <c r="BI232" i="7"/>
  <c r="BJ232" i="7" s="1"/>
  <c r="BI233" i="7"/>
  <c r="BJ233" i="7" s="1"/>
  <c r="BI234" i="7"/>
  <c r="BJ234" i="7" s="1"/>
  <c r="BI235" i="7"/>
  <c r="BJ235" i="7" s="1"/>
  <c r="BI236" i="7"/>
  <c r="BJ236" i="7" s="1"/>
  <c r="BI237" i="7"/>
  <c r="BJ237" i="7" s="1"/>
  <c r="BI238" i="7"/>
  <c r="BJ238" i="7" s="1"/>
  <c r="BI239" i="7"/>
  <c r="BJ239" i="7" s="1"/>
  <c r="BI240" i="7"/>
  <c r="BJ240" i="7" s="1"/>
  <c r="BI241" i="7"/>
  <c r="BJ241" i="7" s="1"/>
  <c r="BI242" i="7"/>
  <c r="BJ242" i="7" s="1"/>
  <c r="BI243" i="7"/>
  <c r="BJ243" i="7" s="1"/>
  <c r="BI244" i="7"/>
  <c r="BJ244" i="7" s="1"/>
  <c r="BI245" i="7"/>
  <c r="BJ245" i="7" s="1"/>
  <c r="BI246" i="7"/>
  <c r="BJ246" i="7" s="1"/>
  <c r="BI247" i="7"/>
  <c r="BJ247" i="7" s="1"/>
  <c r="BI248" i="7"/>
  <c r="BJ248" i="7" s="1"/>
  <c r="BI249" i="7"/>
  <c r="BJ249" i="7" s="1"/>
  <c r="BI250" i="7"/>
  <c r="BJ250" i="7" s="1"/>
  <c r="BI251" i="7"/>
  <c r="BJ251" i="7" s="1"/>
  <c r="BI252" i="7"/>
  <c r="BJ252" i="7" s="1"/>
  <c r="BI253" i="7"/>
  <c r="BJ253" i="7" s="1"/>
  <c r="BI254" i="7"/>
  <c r="BJ254" i="7" s="1"/>
  <c r="BI255" i="7"/>
  <c r="BJ255" i="7" s="1"/>
  <c r="BI256" i="7"/>
  <c r="BJ256" i="7" s="1"/>
  <c r="BI257" i="7"/>
  <c r="BJ257" i="7" s="1"/>
  <c r="BI258" i="7"/>
  <c r="BJ258" i="7" s="1"/>
  <c r="BI259" i="7"/>
  <c r="BJ259" i="7" s="1"/>
  <c r="BI260" i="7"/>
  <c r="BJ260" i="7" s="1"/>
  <c r="BI261" i="7"/>
  <c r="BJ261" i="7" s="1"/>
  <c r="BI262" i="7"/>
  <c r="BJ262" i="7" s="1"/>
  <c r="BI263" i="7"/>
  <c r="BJ263" i="7" s="1"/>
  <c r="BI264" i="7"/>
  <c r="BJ264" i="7" s="1"/>
  <c r="BI265" i="7"/>
  <c r="BJ265" i="7" s="1"/>
  <c r="BI266" i="7"/>
  <c r="BJ266" i="7" s="1"/>
  <c r="BI267" i="7"/>
  <c r="BJ267" i="7" s="1"/>
  <c r="BI268" i="7"/>
  <c r="BJ268" i="7" s="1"/>
  <c r="BI269" i="7"/>
  <c r="BJ269" i="7" s="1"/>
  <c r="BI270" i="7"/>
  <c r="BJ270" i="7" s="1"/>
  <c r="BI271" i="7"/>
  <c r="BJ271" i="7" s="1"/>
  <c r="BI272" i="7"/>
  <c r="BJ272" i="7" s="1"/>
  <c r="BI273" i="7"/>
  <c r="BJ273" i="7" s="1"/>
  <c r="BI274" i="7"/>
  <c r="BJ274" i="7" s="1"/>
  <c r="BI275" i="7"/>
  <c r="BJ275" i="7" s="1"/>
  <c r="BI276" i="7"/>
  <c r="BJ276" i="7" s="1"/>
  <c r="BI277" i="7"/>
  <c r="BJ277" i="7" s="1"/>
  <c r="BI278" i="7"/>
  <c r="BJ278" i="7" s="1"/>
  <c r="BI279" i="7"/>
  <c r="BJ279" i="7" s="1"/>
  <c r="BI280" i="7"/>
  <c r="BJ280" i="7" s="1"/>
  <c r="BI281" i="7"/>
  <c r="BJ281" i="7" s="1"/>
  <c r="BI282" i="7"/>
  <c r="BJ282" i="7" s="1"/>
  <c r="BI283" i="7"/>
  <c r="BJ283" i="7" s="1"/>
  <c r="BI284" i="7"/>
  <c r="BJ284" i="7" s="1"/>
  <c r="BI285" i="7"/>
  <c r="BJ285" i="7" s="1"/>
  <c r="BI286" i="7"/>
  <c r="BJ286" i="7" s="1"/>
  <c r="BI287" i="7"/>
  <c r="BJ287" i="7" s="1"/>
  <c r="BI288" i="7"/>
  <c r="BJ288" i="7" s="1"/>
  <c r="BI289" i="7"/>
  <c r="BJ289" i="7" s="1"/>
  <c r="BI290" i="7"/>
  <c r="BJ290" i="7" s="1"/>
  <c r="BI291" i="7"/>
  <c r="BJ291" i="7" s="1"/>
  <c r="BI292" i="7"/>
  <c r="BJ292" i="7" s="1"/>
  <c r="BI293" i="7"/>
  <c r="BJ293" i="7" s="1"/>
  <c r="BI294" i="7"/>
  <c r="BJ294" i="7" s="1"/>
  <c r="BI295" i="7"/>
  <c r="BJ295" i="7" s="1"/>
  <c r="BI296" i="7"/>
  <c r="BJ296" i="7" s="1"/>
  <c r="BI297" i="7"/>
  <c r="BJ297" i="7" s="1"/>
  <c r="BI298" i="7"/>
  <c r="BJ298" i="7" s="1"/>
  <c r="BI299" i="7"/>
  <c r="BJ299" i="7" s="1"/>
  <c r="BI300" i="7"/>
  <c r="BJ300" i="7" s="1"/>
  <c r="BI301" i="7"/>
  <c r="BJ301" i="7" s="1"/>
  <c r="BI302" i="7"/>
  <c r="BJ302" i="7" s="1"/>
  <c r="BI303" i="7"/>
  <c r="BJ303" i="7" s="1"/>
  <c r="BI304" i="7"/>
  <c r="BJ304" i="7" s="1"/>
  <c r="BI305" i="7"/>
  <c r="BJ305" i="7" s="1"/>
  <c r="BI306" i="7"/>
  <c r="BJ306" i="7" s="1"/>
  <c r="BI307" i="7"/>
  <c r="BJ307" i="7" s="1"/>
  <c r="BI308" i="7"/>
  <c r="BJ308" i="7" s="1"/>
  <c r="BI309" i="7"/>
  <c r="BJ309" i="7" s="1"/>
  <c r="BI310" i="7"/>
  <c r="BJ310" i="7" s="1"/>
  <c r="BI311" i="7"/>
  <c r="BJ311" i="7" s="1"/>
  <c r="BI312" i="7"/>
  <c r="BJ312" i="7" s="1"/>
  <c r="BI313" i="7"/>
  <c r="BJ313" i="7" s="1"/>
  <c r="BI314" i="7"/>
  <c r="BJ314" i="7" s="1"/>
  <c r="BI315" i="7"/>
  <c r="BJ315" i="7" s="1"/>
  <c r="BI316" i="7"/>
  <c r="BJ316" i="7" s="1"/>
  <c r="BI317" i="7"/>
  <c r="BJ317" i="7" s="1"/>
  <c r="BI318" i="7"/>
  <c r="BJ318" i="7" s="1"/>
  <c r="BI319" i="7"/>
  <c r="BJ319" i="7" s="1"/>
  <c r="BI320" i="7"/>
  <c r="BJ320" i="7" s="1"/>
  <c r="BI321" i="7"/>
  <c r="BJ321" i="7" s="1"/>
  <c r="BI322" i="7"/>
  <c r="BJ322" i="7" s="1"/>
  <c r="BI323" i="7"/>
  <c r="BJ323" i="7" s="1"/>
  <c r="BI324" i="7"/>
  <c r="BJ324" i="7" s="1"/>
  <c r="BI325" i="7"/>
  <c r="BJ325" i="7" s="1"/>
  <c r="BI326" i="7"/>
  <c r="BJ326" i="7" s="1"/>
  <c r="BI327" i="7"/>
  <c r="BJ327" i="7" s="1"/>
  <c r="BI328" i="7"/>
  <c r="BJ328" i="7" s="1"/>
  <c r="BI329" i="7"/>
  <c r="BJ329" i="7" s="1"/>
  <c r="BI330" i="7"/>
  <c r="BJ330" i="7" s="1"/>
  <c r="BI331" i="7"/>
  <c r="BJ331" i="7" s="1"/>
  <c r="BI332" i="7"/>
  <c r="BJ332" i="7" s="1"/>
  <c r="BI333" i="7"/>
  <c r="BJ333" i="7" s="1"/>
  <c r="BI334" i="7"/>
  <c r="BJ334" i="7" s="1"/>
  <c r="BI335" i="7"/>
  <c r="BJ335" i="7" s="1"/>
  <c r="BI336" i="7"/>
  <c r="BJ336" i="7" s="1"/>
  <c r="BI337" i="7"/>
  <c r="BJ337" i="7" s="1"/>
  <c r="BI338" i="7"/>
  <c r="BJ338" i="7" s="1"/>
  <c r="BI339" i="7"/>
  <c r="BJ339" i="7" s="1"/>
  <c r="BI340" i="7"/>
  <c r="BJ340" i="7" s="1"/>
  <c r="BI341" i="7"/>
  <c r="BJ341" i="7" s="1"/>
  <c r="BI342" i="7"/>
  <c r="BJ342" i="7" s="1"/>
  <c r="BI343" i="7"/>
  <c r="BJ343" i="7" s="1"/>
  <c r="BI344" i="7"/>
  <c r="BJ344" i="7" s="1"/>
  <c r="BI345" i="7"/>
  <c r="BJ345" i="7" s="1"/>
  <c r="BI346" i="7"/>
  <c r="BJ346" i="7" s="1"/>
  <c r="BI347" i="7"/>
  <c r="BJ347" i="7" s="1"/>
  <c r="BI348" i="7"/>
  <c r="BJ348" i="7" s="1"/>
  <c r="BI349" i="7"/>
  <c r="BJ349" i="7" s="1"/>
  <c r="BI350" i="7"/>
  <c r="BJ350" i="7" s="1"/>
  <c r="BI351" i="7"/>
  <c r="BJ351" i="7" s="1"/>
  <c r="BI352" i="7"/>
  <c r="BJ352" i="7" s="1"/>
  <c r="BI353" i="7"/>
  <c r="BJ353" i="7" s="1"/>
  <c r="BI354" i="7"/>
  <c r="BJ354" i="7" s="1"/>
  <c r="BI355" i="7"/>
  <c r="BJ355" i="7" s="1"/>
  <c r="BI356" i="7"/>
  <c r="BJ356" i="7" s="1"/>
  <c r="BI357" i="7"/>
  <c r="BJ357" i="7" s="1"/>
  <c r="BI358" i="7"/>
  <c r="BJ358" i="7" s="1"/>
  <c r="BI359" i="7"/>
  <c r="BJ359" i="7" s="1"/>
  <c r="BI360" i="7"/>
  <c r="BJ360" i="7" s="1"/>
  <c r="BI361" i="7"/>
  <c r="BJ361" i="7" s="1"/>
  <c r="BI362" i="7"/>
  <c r="BJ362" i="7" s="1"/>
  <c r="BI363" i="7"/>
  <c r="BJ363" i="7" s="1"/>
  <c r="BI364" i="7"/>
  <c r="BJ364" i="7" s="1"/>
  <c r="BI365" i="7"/>
  <c r="BJ365" i="7" s="1"/>
  <c r="BI366" i="7"/>
  <c r="BJ366" i="7" s="1"/>
  <c r="BI367" i="7"/>
  <c r="BJ367" i="7" s="1"/>
  <c r="BI368" i="7"/>
  <c r="BJ368" i="7" s="1"/>
  <c r="BI369" i="7"/>
  <c r="BJ369" i="7" s="1"/>
  <c r="BI370" i="7"/>
  <c r="BJ370" i="7" s="1"/>
  <c r="BI371" i="7"/>
  <c r="BJ371" i="7" s="1"/>
  <c r="BI372" i="7"/>
  <c r="BJ372" i="7" s="1"/>
  <c r="BI373" i="7"/>
  <c r="BJ373" i="7" s="1"/>
  <c r="BI374" i="7"/>
  <c r="BJ374" i="7" s="1"/>
  <c r="BI375" i="7"/>
  <c r="BJ375" i="7" s="1"/>
  <c r="BI376" i="7"/>
  <c r="BJ376" i="7" s="1"/>
  <c r="BI377" i="7"/>
  <c r="BJ377" i="7" s="1"/>
  <c r="BI378" i="7"/>
  <c r="BJ378" i="7" s="1"/>
  <c r="BI379" i="7"/>
  <c r="BJ379" i="7" s="1"/>
  <c r="BI380" i="7"/>
  <c r="BJ380" i="7" s="1"/>
  <c r="BI381" i="7"/>
  <c r="BJ381" i="7" s="1"/>
  <c r="BI382" i="7"/>
  <c r="BJ382" i="7" s="1"/>
  <c r="BI383" i="7"/>
  <c r="BJ383" i="7" s="1"/>
  <c r="BI384" i="7"/>
  <c r="BJ384" i="7" s="1"/>
  <c r="BI385" i="7"/>
  <c r="BJ385" i="7" s="1"/>
  <c r="BI386" i="7"/>
  <c r="BJ386" i="7" s="1"/>
  <c r="BI387" i="7"/>
  <c r="BJ387" i="7" s="1"/>
  <c r="BI388" i="7"/>
  <c r="BJ388" i="7" s="1"/>
  <c r="BI389" i="7"/>
  <c r="BJ389" i="7" s="1"/>
  <c r="BI390" i="7"/>
  <c r="BJ390" i="7" s="1"/>
  <c r="BI391" i="7"/>
  <c r="BJ391" i="7" s="1"/>
  <c r="BI392" i="7"/>
  <c r="BJ392" i="7" s="1"/>
  <c r="BI393" i="7"/>
  <c r="BJ393" i="7" s="1"/>
  <c r="BI394" i="7"/>
  <c r="BJ394" i="7" s="1"/>
  <c r="BI395" i="7"/>
  <c r="BJ395" i="7" s="1"/>
  <c r="BI396" i="7"/>
  <c r="BJ396" i="7" s="1"/>
  <c r="BI397" i="7"/>
  <c r="BJ397" i="7" s="1"/>
  <c r="BI398" i="7"/>
  <c r="BJ398" i="7" s="1"/>
  <c r="BI399" i="7"/>
  <c r="BJ399" i="7" s="1"/>
  <c r="BI400" i="7"/>
  <c r="BJ400" i="7" s="1"/>
  <c r="BI401" i="7"/>
  <c r="BJ401" i="7" s="1"/>
  <c r="BI402" i="7"/>
  <c r="BJ402" i="7" s="1"/>
  <c r="BI403" i="7"/>
  <c r="BJ403" i="7" s="1"/>
  <c r="BI404" i="7"/>
  <c r="BJ404" i="7" s="1"/>
  <c r="BI405" i="7"/>
  <c r="BJ405" i="7" s="1"/>
  <c r="BI406" i="7"/>
  <c r="BJ406" i="7" s="1"/>
  <c r="BI407" i="7"/>
  <c r="BJ407" i="7" s="1"/>
  <c r="BI408" i="7"/>
  <c r="BJ408" i="7" s="1"/>
  <c r="BI409" i="7"/>
  <c r="BJ409" i="7" s="1"/>
  <c r="BI410" i="7"/>
  <c r="BJ410" i="7" s="1"/>
  <c r="BI411" i="7"/>
  <c r="BJ411" i="7" s="1"/>
  <c r="BI412" i="7"/>
  <c r="BJ412" i="7" s="1"/>
  <c r="BI413" i="7"/>
  <c r="BJ413" i="7" s="1"/>
  <c r="BI414" i="7"/>
  <c r="BJ414" i="7" s="1"/>
  <c r="BI415" i="7"/>
  <c r="BJ415" i="7" s="1"/>
  <c r="BI416" i="7"/>
  <c r="BJ416" i="7" s="1"/>
  <c r="BI417" i="7"/>
  <c r="BJ417" i="7" s="1"/>
  <c r="BI418" i="7"/>
  <c r="BJ418" i="7" s="1"/>
  <c r="BI419" i="7"/>
  <c r="BJ419" i="7" s="1"/>
  <c r="BI420" i="7"/>
  <c r="BJ420" i="7" s="1"/>
  <c r="BI421" i="7"/>
  <c r="BJ421" i="7" s="1"/>
  <c r="BI422" i="7"/>
  <c r="BJ422" i="7" s="1"/>
  <c r="BI423" i="7"/>
  <c r="BJ423" i="7" s="1"/>
  <c r="BI424" i="7"/>
  <c r="BJ424" i="7" s="1"/>
  <c r="BI425" i="7"/>
  <c r="BJ425" i="7" s="1"/>
  <c r="BI426" i="7"/>
  <c r="BJ426" i="7" s="1"/>
  <c r="BI427" i="7"/>
  <c r="BJ427" i="7" s="1"/>
  <c r="BI428" i="7"/>
  <c r="BJ428" i="7" s="1"/>
  <c r="BI429" i="7"/>
  <c r="BJ429" i="7" s="1"/>
  <c r="BI430" i="7"/>
  <c r="BJ430" i="7" s="1"/>
  <c r="BI431" i="7"/>
  <c r="BJ431" i="7" s="1"/>
  <c r="BI432" i="7"/>
  <c r="BJ432" i="7" s="1"/>
  <c r="BI433" i="7"/>
  <c r="BJ433" i="7" s="1"/>
  <c r="BI434" i="7"/>
  <c r="BJ434" i="7" s="1"/>
  <c r="BI435" i="7"/>
  <c r="BJ435" i="7" s="1"/>
  <c r="BI436" i="7"/>
  <c r="BJ436" i="7" s="1"/>
  <c r="BI437" i="7"/>
  <c r="BJ437" i="7" s="1"/>
  <c r="BI438" i="7"/>
  <c r="BJ438" i="7" s="1"/>
  <c r="BI439" i="7"/>
  <c r="BJ439" i="7" s="1"/>
  <c r="BI440" i="7"/>
  <c r="BJ440" i="7" s="1"/>
  <c r="BI441" i="7"/>
  <c r="BJ441" i="7" s="1"/>
  <c r="BI442" i="7"/>
  <c r="BJ442" i="7" s="1"/>
  <c r="BI443" i="7"/>
  <c r="BJ443" i="7" s="1"/>
  <c r="BI444" i="7"/>
  <c r="BJ444" i="7" s="1"/>
  <c r="BI445" i="7"/>
  <c r="BJ445" i="7" s="1"/>
  <c r="BI446" i="7"/>
  <c r="BJ446" i="7" s="1"/>
  <c r="BI447" i="7"/>
  <c r="BJ447" i="7" s="1"/>
  <c r="BI448" i="7"/>
  <c r="BJ448" i="7" s="1"/>
  <c r="BI449" i="7"/>
  <c r="BJ449" i="7" s="1"/>
  <c r="BI450" i="7"/>
  <c r="BJ450" i="7" s="1"/>
  <c r="BI451" i="7"/>
  <c r="BJ451" i="7" s="1"/>
  <c r="BI452" i="7"/>
  <c r="BJ452" i="7" s="1"/>
  <c r="BI453" i="7"/>
  <c r="BJ453" i="7" s="1"/>
  <c r="BI454" i="7"/>
  <c r="BJ454" i="7" s="1"/>
  <c r="BI455" i="7"/>
  <c r="BJ455" i="7" s="1"/>
  <c r="BI456" i="7"/>
  <c r="BJ456" i="7" s="1"/>
  <c r="BI457" i="7"/>
  <c r="BJ457" i="7" s="1"/>
  <c r="BI458" i="7"/>
  <c r="BJ458" i="7" s="1"/>
  <c r="BI459" i="7"/>
  <c r="BJ459" i="7" s="1"/>
  <c r="BI460" i="7"/>
  <c r="BJ460" i="7" s="1"/>
  <c r="BI461" i="7"/>
  <c r="BJ461" i="7" s="1"/>
  <c r="BI462" i="7"/>
  <c r="BJ462" i="7" s="1"/>
  <c r="BI463" i="7"/>
  <c r="BJ463" i="7" s="1"/>
  <c r="BI464" i="7"/>
  <c r="BJ464" i="7" s="1"/>
  <c r="BI465" i="7"/>
  <c r="BJ465" i="7" s="1"/>
  <c r="BI466" i="7"/>
  <c r="BJ466" i="7" s="1"/>
  <c r="BI467" i="7"/>
  <c r="BJ467" i="7" s="1"/>
  <c r="BI468" i="7"/>
  <c r="BJ468" i="7" s="1"/>
  <c r="BI469" i="7"/>
  <c r="BJ469" i="7" s="1"/>
  <c r="BI470" i="7"/>
  <c r="BJ470" i="7" s="1"/>
  <c r="BI471" i="7"/>
  <c r="BJ471" i="7" s="1"/>
  <c r="BI472" i="7"/>
  <c r="BJ472" i="7" s="1"/>
  <c r="BI473" i="7"/>
  <c r="BJ473" i="7" s="1"/>
  <c r="BI474" i="7"/>
  <c r="BJ474" i="7" s="1"/>
  <c r="BI475" i="7"/>
  <c r="BJ475" i="7" s="1"/>
  <c r="BI476" i="7"/>
  <c r="BJ476" i="7" s="1"/>
  <c r="BI477" i="7"/>
  <c r="BJ477" i="7" s="1"/>
  <c r="BI478" i="7"/>
  <c r="BJ478" i="7" s="1"/>
  <c r="BI479" i="7"/>
  <c r="BJ479" i="7" s="1"/>
  <c r="BI480" i="7"/>
  <c r="BJ480" i="7" s="1"/>
  <c r="BI481" i="7"/>
  <c r="BJ481" i="7" s="1"/>
  <c r="BI482" i="7"/>
  <c r="BJ482" i="7" s="1"/>
  <c r="BI483" i="7"/>
  <c r="BJ483" i="7" s="1"/>
  <c r="BI484" i="7"/>
  <c r="BJ484" i="7" s="1"/>
  <c r="BI485" i="7"/>
  <c r="BJ485" i="7" s="1"/>
  <c r="BI486" i="7"/>
  <c r="BJ486" i="7" s="1"/>
  <c r="BI487" i="7"/>
  <c r="BJ487" i="7" s="1"/>
  <c r="BI488" i="7"/>
  <c r="BJ488" i="7" s="1"/>
  <c r="BI489" i="7"/>
  <c r="BJ489" i="7" s="1"/>
  <c r="BI490" i="7"/>
  <c r="BJ490" i="7" s="1"/>
  <c r="BI491" i="7"/>
  <c r="BJ491" i="7" s="1"/>
  <c r="BI492" i="7"/>
  <c r="BJ492" i="7" s="1"/>
  <c r="BI493" i="7"/>
  <c r="BJ493" i="7" s="1"/>
  <c r="BI494" i="7"/>
  <c r="BJ494" i="7" s="1"/>
  <c r="BI495" i="7"/>
  <c r="BJ495" i="7" s="1"/>
  <c r="BI496" i="7"/>
  <c r="BJ496" i="7" s="1"/>
  <c r="BI497" i="7"/>
  <c r="BJ497" i="7" s="1"/>
  <c r="BI498" i="7"/>
  <c r="BJ498" i="7" s="1"/>
  <c r="BI499" i="7"/>
  <c r="BJ499" i="7" s="1"/>
  <c r="BI500" i="7"/>
  <c r="BJ500" i="7" s="1"/>
  <c r="BI501" i="7"/>
  <c r="BJ501" i="7" s="1"/>
  <c r="BI502" i="7"/>
  <c r="BJ502" i="7" s="1"/>
  <c r="BI503" i="7"/>
  <c r="BJ503" i="7" s="1"/>
  <c r="BI504" i="7"/>
  <c r="BJ504" i="7" s="1"/>
  <c r="BI505" i="7"/>
  <c r="BJ505" i="7" s="1"/>
  <c r="BI506" i="7"/>
  <c r="BJ506" i="7" s="1"/>
  <c r="BI507" i="7"/>
  <c r="BJ507" i="7" s="1"/>
  <c r="BI508" i="7"/>
  <c r="BJ508" i="7" s="1"/>
  <c r="BI509" i="7"/>
  <c r="BJ509" i="7" s="1"/>
  <c r="BI510" i="7"/>
  <c r="BJ510" i="7" s="1"/>
  <c r="BI511" i="7"/>
  <c r="BJ511" i="7" s="1"/>
  <c r="BI512" i="7"/>
  <c r="BJ512" i="7" s="1"/>
  <c r="BI513" i="7"/>
  <c r="BJ513" i="7" s="1"/>
  <c r="BI514" i="7"/>
  <c r="BJ514" i="7" s="1"/>
  <c r="BI515" i="7"/>
  <c r="BJ515" i="7" s="1"/>
  <c r="BI516" i="7"/>
  <c r="BJ516" i="7" s="1"/>
  <c r="BI517" i="7"/>
  <c r="BJ517" i="7" s="1"/>
  <c r="BI518" i="7"/>
  <c r="BJ518" i="7" s="1"/>
  <c r="BI519" i="7"/>
  <c r="BJ519" i="7" s="1"/>
  <c r="BI520" i="7"/>
  <c r="BJ520" i="7" s="1"/>
  <c r="BI521" i="7"/>
  <c r="BJ521" i="7" s="1"/>
  <c r="BI522" i="7"/>
  <c r="BJ522" i="7" s="1"/>
  <c r="BI523" i="7"/>
  <c r="BJ523" i="7" s="1"/>
  <c r="BI524" i="7"/>
  <c r="BJ524" i="7" s="1"/>
  <c r="BI525" i="7"/>
  <c r="BJ525" i="7" s="1"/>
  <c r="BI526" i="7"/>
  <c r="BJ526" i="7" s="1"/>
  <c r="BI527" i="7"/>
  <c r="BJ527" i="7" s="1"/>
  <c r="BI528" i="7"/>
  <c r="BJ528" i="7" s="1"/>
  <c r="BI529" i="7"/>
  <c r="BJ529" i="7" s="1"/>
  <c r="BI530" i="7"/>
  <c r="BJ530" i="7" s="1"/>
  <c r="BI531" i="7"/>
  <c r="BJ531" i="7" s="1"/>
  <c r="BI532" i="7"/>
  <c r="BJ532" i="7" s="1"/>
  <c r="BI533" i="7"/>
  <c r="BJ533" i="7" s="1"/>
  <c r="BI534" i="7"/>
  <c r="BJ534" i="7" s="1"/>
  <c r="BI535" i="7"/>
  <c r="BJ535" i="7" s="1"/>
  <c r="BI536" i="7"/>
  <c r="BJ536" i="7" s="1"/>
  <c r="BI537" i="7"/>
  <c r="BJ537" i="7" s="1"/>
  <c r="BI538" i="7"/>
  <c r="BJ538" i="7" s="1"/>
  <c r="BI539" i="7"/>
  <c r="BJ539" i="7" s="1"/>
  <c r="BI540" i="7"/>
  <c r="BJ540" i="7" s="1"/>
  <c r="BI541" i="7"/>
  <c r="BJ541" i="7" s="1"/>
  <c r="BI542" i="7"/>
  <c r="BJ542" i="7" s="1"/>
  <c r="BI543" i="7"/>
  <c r="BJ543" i="7" s="1"/>
  <c r="BI544" i="7"/>
  <c r="BJ544" i="7" s="1"/>
  <c r="BI545" i="7"/>
  <c r="BJ545" i="7" s="1"/>
  <c r="BI546" i="7"/>
  <c r="BJ546" i="7" s="1"/>
  <c r="BI547" i="7"/>
  <c r="BJ547" i="7" s="1"/>
  <c r="BI548" i="7"/>
  <c r="BJ548" i="7" s="1"/>
  <c r="BI549" i="7"/>
  <c r="BJ549" i="7" s="1"/>
  <c r="BI550" i="7"/>
  <c r="BJ550" i="7" s="1"/>
  <c r="BI551" i="7"/>
  <c r="BJ551" i="7" s="1"/>
  <c r="BI552" i="7"/>
  <c r="BJ552" i="7" s="1"/>
  <c r="BI553" i="7"/>
  <c r="BJ553" i="7" s="1"/>
  <c r="BI554" i="7"/>
  <c r="BJ554" i="7" s="1"/>
  <c r="BI555" i="7"/>
  <c r="BJ555" i="7" s="1"/>
  <c r="BI556" i="7"/>
  <c r="BJ556" i="7" s="1"/>
  <c r="BI557" i="7"/>
  <c r="BJ557" i="7" s="1"/>
  <c r="BI558" i="7"/>
  <c r="BJ558" i="7" s="1"/>
  <c r="BI559" i="7"/>
  <c r="BJ559" i="7" s="1"/>
  <c r="BI560" i="7"/>
  <c r="BJ560" i="7" s="1"/>
  <c r="BI561" i="7"/>
  <c r="BJ561" i="7" s="1"/>
  <c r="BI562" i="7"/>
  <c r="BJ562" i="7" s="1"/>
  <c r="BI563" i="7"/>
  <c r="BJ563" i="7" s="1"/>
  <c r="BI564" i="7"/>
  <c r="BJ564" i="7" s="1"/>
  <c r="BI565" i="7"/>
  <c r="BJ565" i="7" s="1"/>
  <c r="BI566" i="7"/>
  <c r="BJ566" i="7" s="1"/>
  <c r="BI567" i="7"/>
  <c r="BJ567" i="7" s="1"/>
  <c r="BI568" i="7"/>
  <c r="BJ568" i="7" s="1"/>
  <c r="BI569" i="7"/>
  <c r="BJ569" i="7" s="1"/>
  <c r="BI570" i="7"/>
  <c r="BJ570" i="7" s="1"/>
  <c r="BI571" i="7"/>
  <c r="BJ571" i="7" s="1"/>
  <c r="BI572" i="7"/>
  <c r="BJ572" i="7" s="1"/>
  <c r="BI573" i="7"/>
  <c r="BJ573" i="7" s="1"/>
  <c r="BI574" i="7"/>
  <c r="BJ574" i="7" s="1"/>
  <c r="BI575" i="7"/>
  <c r="BJ575" i="7" s="1"/>
  <c r="BI576" i="7"/>
  <c r="BJ576" i="7" s="1"/>
  <c r="BI577" i="7"/>
  <c r="BJ577" i="7" s="1"/>
  <c r="BI578" i="7"/>
  <c r="BJ578" i="7" s="1"/>
  <c r="BI579" i="7"/>
  <c r="BJ579" i="7" s="1"/>
  <c r="BI580" i="7"/>
  <c r="BJ580" i="7" s="1"/>
  <c r="BI581" i="7"/>
  <c r="BJ581" i="7" s="1"/>
  <c r="BI582" i="7"/>
  <c r="BJ582" i="7" s="1"/>
  <c r="BI583" i="7"/>
  <c r="BJ583" i="7" s="1"/>
  <c r="BI584" i="7"/>
  <c r="BJ584" i="7" s="1"/>
  <c r="BI585" i="7"/>
  <c r="BJ585" i="7" s="1"/>
  <c r="BI586" i="7"/>
  <c r="BJ586" i="7" s="1"/>
  <c r="BI587" i="7"/>
  <c r="BJ587" i="7" s="1"/>
  <c r="BI588" i="7"/>
  <c r="BJ588" i="7" s="1"/>
  <c r="BI589" i="7"/>
  <c r="BJ589" i="7" s="1"/>
  <c r="BI590" i="7"/>
  <c r="BJ590" i="7" s="1"/>
  <c r="BI591" i="7"/>
  <c r="BJ591" i="7" s="1"/>
  <c r="BI592" i="7"/>
  <c r="BJ592" i="7" s="1"/>
  <c r="BI593" i="7"/>
  <c r="BJ593" i="7" s="1"/>
  <c r="BI594" i="7"/>
  <c r="BJ594" i="7" s="1"/>
  <c r="BI595" i="7"/>
  <c r="BJ595" i="7" s="1"/>
  <c r="BI596" i="7"/>
  <c r="BJ596" i="7" s="1"/>
  <c r="BI597" i="7"/>
  <c r="BJ597" i="7" s="1"/>
  <c r="BI598" i="7"/>
  <c r="BJ598" i="7" s="1"/>
  <c r="BI599" i="7"/>
  <c r="BJ599" i="7" s="1"/>
  <c r="BI600" i="7"/>
  <c r="BJ600" i="7" s="1"/>
  <c r="BI601" i="7"/>
  <c r="BJ601" i="7" s="1"/>
  <c r="BI602" i="7"/>
  <c r="BJ602" i="7" s="1"/>
  <c r="BI603" i="7"/>
  <c r="BJ603" i="7" s="1"/>
  <c r="BI604" i="7"/>
  <c r="BJ604" i="7" s="1"/>
  <c r="BI605" i="7"/>
  <c r="BJ605" i="7" s="1"/>
  <c r="BI606" i="7"/>
  <c r="BJ606" i="7" s="1"/>
  <c r="BI607" i="7"/>
  <c r="BJ607" i="7" s="1"/>
  <c r="BI608" i="7"/>
  <c r="BJ608" i="7" s="1"/>
  <c r="BI609" i="7"/>
  <c r="BJ609" i="7" s="1"/>
  <c r="BI610" i="7"/>
  <c r="BJ610" i="7" s="1"/>
  <c r="BI611" i="7"/>
  <c r="BJ611" i="7" s="1"/>
  <c r="BI612" i="7"/>
  <c r="BJ612" i="7" s="1"/>
  <c r="BI613" i="7"/>
  <c r="BJ613" i="7" s="1"/>
  <c r="BI614" i="7"/>
  <c r="BJ614" i="7" s="1"/>
  <c r="BI615" i="7"/>
  <c r="BJ615" i="7" s="1"/>
  <c r="BI616" i="7"/>
  <c r="BJ616" i="7" s="1"/>
  <c r="BI617" i="7"/>
  <c r="BJ617" i="7" s="1"/>
  <c r="BI618" i="7"/>
  <c r="BJ618" i="7" s="1"/>
  <c r="BI619" i="7"/>
  <c r="BJ619" i="7" s="1"/>
  <c r="BI620" i="7"/>
  <c r="BJ620" i="7" s="1"/>
  <c r="BI621" i="7"/>
  <c r="BJ621" i="7" s="1"/>
  <c r="BI622" i="7"/>
  <c r="BJ622" i="7" s="1"/>
  <c r="BI623" i="7"/>
  <c r="BJ623" i="7" s="1"/>
  <c r="BI624" i="7"/>
  <c r="BJ624" i="7" s="1"/>
  <c r="BI625" i="7"/>
  <c r="BJ625" i="7" s="1"/>
  <c r="BI626" i="7"/>
  <c r="BJ626" i="7" s="1"/>
  <c r="BI627" i="7"/>
  <c r="BJ627" i="7" s="1"/>
  <c r="BI628" i="7"/>
  <c r="BJ628" i="7" s="1"/>
  <c r="BI629" i="7"/>
  <c r="BJ629" i="7" s="1"/>
  <c r="BI630" i="7"/>
  <c r="BJ630" i="7" s="1"/>
  <c r="BI631" i="7"/>
  <c r="BJ631" i="7" s="1"/>
  <c r="BI632" i="7"/>
  <c r="BJ632" i="7" s="1"/>
  <c r="BI633" i="7"/>
  <c r="BJ633" i="7" s="1"/>
  <c r="BI634" i="7"/>
  <c r="BJ634" i="7" s="1"/>
  <c r="BI635" i="7"/>
  <c r="BJ635" i="7" s="1"/>
  <c r="BI636" i="7"/>
  <c r="BJ636" i="7" s="1"/>
  <c r="BI637" i="7"/>
  <c r="BJ637" i="7" s="1"/>
  <c r="BI638" i="7"/>
  <c r="BJ638" i="7" s="1"/>
  <c r="BI639" i="7"/>
  <c r="BJ639" i="7" s="1"/>
  <c r="BI640" i="7"/>
  <c r="BJ640" i="7" s="1"/>
  <c r="BI641" i="7"/>
  <c r="BJ641" i="7" s="1"/>
  <c r="BI642" i="7"/>
  <c r="BJ642" i="7" s="1"/>
  <c r="BI643" i="7"/>
  <c r="BJ643" i="7" s="1"/>
  <c r="BI644" i="7"/>
  <c r="BJ644" i="7" s="1"/>
  <c r="BI645" i="7"/>
  <c r="BJ645" i="7" s="1"/>
  <c r="BI646" i="7"/>
  <c r="BJ646" i="7" s="1"/>
  <c r="BI647" i="7"/>
  <c r="BJ647" i="7" s="1"/>
  <c r="BI648" i="7"/>
  <c r="BJ648" i="7" s="1"/>
  <c r="BI649" i="7"/>
  <c r="BJ649" i="7" s="1"/>
  <c r="BI650" i="7"/>
  <c r="BJ650" i="7" s="1"/>
  <c r="BI651" i="7"/>
  <c r="BJ651" i="7" s="1"/>
  <c r="BI652" i="7"/>
  <c r="BJ652" i="7" s="1"/>
  <c r="BI653" i="7"/>
  <c r="BJ653" i="7" s="1"/>
  <c r="BI654" i="7"/>
  <c r="BJ654" i="7" s="1"/>
  <c r="BI655" i="7"/>
  <c r="BJ655" i="7" s="1"/>
  <c r="BI656" i="7"/>
  <c r="BJ656" i="7" s="1"/>
  <c r="BI657" i="7"/>
  <c r="BJ657" i="7" s="1"/>
  <c r="BI658" i="7"/>
  <c r="BJ658" i="7" s="1"/>
  <c r="BI659" i="7"/>
  <c r="BJ659" i="7" s="1"/>
  <c r="BI660" i="7"/>
  <c r="BJ660" i="7" s="1"/>
  <c r="BI661" i="7"/>
  <c r="BJ661" i="7" s="1"/>
  <c r="BI662" i="7"/>
  <c r="BJ662" i="7" s="1"/>
  <c r="BI663" i="7"/>
  <c r="BJ663" i="7" s="1"/>
  <c r="BI664" i="7"/>
  <c r="BJ664" i="7" s="1"/>
  <c r="BI665" i="7"/>
  <c r="BJ665" i="7" s="1"/>
  <c r="BI666" i="7"/>
  <c r="BJ666" i="7" s="1"/>
  <c r="BI667" i="7"/>
  <c r="BJ667" i="7" s="1"/>
  <c r="BI668" i="7"/>
  <c r="BJ668" i="7" s="1"/>
  <c r="BI669" i="7"/>
  <c r="BJ669" i="7" s="1"/>
  <c r="BI670" i="7"/>
  <c r="BJ670" i="7" s="1"/>
  <c r="BI671" i="7"/>
  <c r="BJ671" i="7" s="1"/>
  <c r="BI672" i="7"/>
  <c r="BJ672" i="7" s="1"/>
  <c r="BI673" i="7"/>
  <c r="BJ673" i="7" s="1"/>
  <c r="BI674" i="7"/>
  <c r="BJ674" i="7" s="1"/>
  <c r="BI675" i="7"/>
  <c r="BJ675" i="7" s="1"/>
  <c r="BI676" i="7"/>
  <c r="BJ676" i="7" s="1"/>
  <c r="BI677" i="7"/>
  <c r="BJ677" i="7" s="1"/>
  <c r="BI678" i="7"/>
  <c r="BJ678" i="7" s="1"/>
  <c r="BI679" i="7"/>
  <c r="BJ679" i="7" s="1"/>
  <c r="BI680" i="7"/>
  <c r="BJ680" i="7" s="1"/>
  <c r="BI681" i="7"/>
  <c r="BJ681" i="7" s="1"/>
  <c r="BI682" i="7"/>
  <c r="BJ682" i="7" s="1"/>
  <c r="BI683" i="7"/>
  <c r="BJ683" i="7" s="1"/>
  <c r="BI684" i="7"/>
  <c r="BJ684" i="7" s="1"/>
  <c r="BI685" i="7"/>
  <c r="BJ685" i="7" s="1"/>
  <c r="BI686" i="7"/>
  <c r="BJ686" i="7" s="1"/>
  <c r="BI687" i="7"/>
  <c r="BJ687" i="7" s="1"/>
  <c r="BI688" i="7"/>
  <c r="BJ688" i="7" s="1"/>
  <c r="BI689" i="7"/>
  <c r="BJ689" i="7" s="1"/>
  <c r="BI690" i="7"/>
  <c r="BJ690" i="7" s="1"/>
  <c r="BI691" i="7"/>
  <c r="BJ691" i="7" s="1"/>
  <c r="BI692" i="7"/>
  <c r="BJ692" i="7" s="1"/>
  <c r="BI693" i="7"/>
  <c r="BJ693" i="7" s="1"/>
  <c r="BI694" i="7"/>
  <c r="BJ694" i="7" s="1"/>
  <c r="BI695" i="7"/>
  <c r="BJ695" i="7" s="1"/>
  <c r="BI696" i="7"/>
  <c r="BJ696" i="7" s="1"/>
  <c r="BI697" i="7"/>
  <c r="BJ697" i="7" s="1"/>
  <c r="BI698" i="7"/>
  <c r="BJ698" i="7" s="1"/>
  <c r="BI699" i="7"/>
  <c r="BJ699" i="7" s="1"/>
  <c r="BI700" i="7"/>
  <c r="BJ700" i="7" s="1"/>
  <c r="BI701" i="7"/>
  <c r="BJ701" i="7" s="1"/>
  <c r="BI702" i="7"/>
  <c r="BJ702" i="7" s="1"/>
  <c r="BI703" i="7"/>
  <c r="BJ703" i="7" s="1"/>
  <c r="BI704" i="7"/>
  <c r="BJ704" i="7" s="1"/>
  <c r="BI705" i="7"/>
  <c r="BJ705" i="7" s="1"/>
  <c r="BI706" i="7"/>
  <c r="BJ706" i="7" s="1"/>
  <c r="BI707" i="7"/>
  <c r="BJ707" i="7" s="1"/>
  <c r="BI708" i="7"/>
  <c r="BJ708" i="7" s="1"/>
  <c r="BI709" i="7"/>
  <c r="BJ709" i="7" s="1"/>
  <c r="BI710" i="7"/>
  <c r="BJ710" i="7" s="1"/>
  <c r="BI711" i="7"/>
  <c r="BJ711" i="7" s="1"/>
  <c r="BI712" i="7"/>
  <c r="BJ712" i="7" s="1"/>
  <c r="BI713" i="7"/>
  <c r="BJ713" i="7" s="1"/>
  <c r="BI714" i="7"/>
  <c r="BJ714" i="7" s="1"/>
  <c r="BI715" i="7"/>
  <c r="BJ715" i="7" s="1"/>
  <c r="BI716" i="7"/>
  <c r="BJ716" i="7" s="1"/>
  <c r="BI717" i="7"/>
  <c r="BJ717" i="7" s="1"/>
  <c r="BI718" i="7"/>
  <c r="BJ718" i="7" s="1"/>
  <c r="BI719" i="7"/>
  <c r="BJ719" i="7" s="1"/>
  <c r="BI720" i="7"/>
  <c r="BJ720" i="7" s="1"/>
  <c r="BI721" i="7"/>
  <c r="BJ721" i="7" s="1"/>
  <c r="BI722" i="7"/>
  <c r="BJ722" i="7" s="1"/>
  <c r="BI723" i="7"/>
  <c r="BJ723" i="7" s="1"/>
  <c r="BI724" i="7"/>
  <c r="BJ724" i="7" s="1"/>
  <c r="BI725" i="7"/>
  <c r="BJ725" i="7" s="1"/>
  <c r="BI726" i="7"/>
  <c r="BJ726" i="7" s="1"/>
  <c r="BI727" i="7"/>
  <c r="BJ727" i="7" s="1"/>
  <c r="BI728" i="7"/>
  <c r="BJ728" i="7" s="1"/>
  <c r="BI729" i="7"/>
  <c r="BJ729" i="7" s="1"/>
  <c r="BI730" i="7"/>
  <c r="BJ730" i="7" s="1"/>
  <c r="BI731" i="7"/>
  <c r="BJ731" i="7" s="1"/>
  <c r="BI732" i="7"/>
  <c r="BJ732" i="7" s="1"/>
  <c r="BI733" i="7"/>
  <c r="BJ733" i="7" s="1"/>
  <c r="BI734" i="7"/>
  <c r="BJ734" i="7" s="1"/>
  <c r="BI735" i="7"/>
  <c r="BJ735" i="7" s="1"/>
  <c r="BI736" i="7"/>
  <c r="BJ736" i="7" s="1"/>
  <c r="BI737" i="7"/>
  <c r="BJ737" i="7" s="1"/>
  <c r="BI738" i="7"/>
  <c r="BJ738" i="7" s="1"/>
  <c r="BI739" i="7"/>
  <c r="BJ739" i="7" s="1"/>
  <c r="BI740" i="7"/>
  <c r="BJ740" i="7" s="1"/>
  <c r="BI741" i="7"/>
  <c r="BJ741" i="7" s="1"/>
  <c r="BI742" i="7"/>
  <c r="BJ742" i="7" s="1"/>
  <c r="BI743" i="7"/>
  <c r="BJ743" i="7" s="1"/>
  <c r="BI744" i="7"/>
  <c r="BJ744" i="7" s="1"/>
  <c r="BI745" i="7"/>
  <c r="BJ745" i="7" s="1"/>
  <c r="BI746" i="7"/>
  <c r="BJ746" i="7" s="1"/>
  <c r="BI747" i="7"/>
  <c r="BJ747" i="7" s="1"/>
  <c r="BI748" i="7"/>
  <c r="BJ748" i="7" s="1"/>
  <c r="BI749" i="7"/>
  <c r="BJ749" i="7" s="1"/>
  <c r="BI750" i="7"/>
  <c r="BJ750" i="7" s="1"/>
  <c r="BI751" i="7"/>
  <c r="BJ751" i="7" s="1"/>
  <c r="BI752" i="7"/>
  <c r="BJ752" i="7" s="1"/>
  <c r="BI753" i="7"/>
  <c r="BJ753" i="7" s="1"/>
  <c r="BI754" i="7"/>
  <c r="BJ754" i="7" s="1"/>
  <c r="BI755" i="7"/>
  <c r="BJ755" i="7" s="1"/>
  <c r="BI756" i="7"/>
  <c r="BJ756" i="7" s="1"/>
  <c r="BI757" i="7"/>
  <c r="BJ757" i="7" s="1"/>
  <c r="BI758" i="7"/>
  <c r="BJ758" i="7" s="1"/>
  <c r="BI759" i="7"/>
  <c r="BJ759" i="7" s="1"/>
  <c r="BI760" i="7"/>
  <c r="BJ760" i="7" s="1"/>
  <c r="BI761" i="7"/>
  <c r="BJ761" i="7" s="1"/>
  <c r="BI762" i="7"/>
  <c r="BJ762" i="7" s="1"/>
  <c r="BI763" i="7"/>
  <c r="BJ763" i="7" s="1"/>
  <c r="BI764" i="7"/>
  <c r="BJ764" i="7" s="1"/>
  <c r="BI765" i="7"/>
  <c r="BJ765" i="7" s="1"/>
  <c r="BI766" i="7"/>
  <c r="BJ766" i="7" s="1"/>
  <c r="BI767" i="7"/>
  <c r="BJ767" i="7" s="1"/>
  <c r="BI768" i="7"/>
  <c r="BJ768" i="7" s="1"/>
  <c r="BI769" i="7"/>
  <c r="BJ769" i="7" s="1"/>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D3" i="7"/>
  <c r="AA2" i="9" s="1"/>
  <c r="D4" i="7"/>
  <c r="AA3" i="9" s="1"/>
  <c r="D5" i="7"/>
  <c r="AA4" i="9" s="1"/>
  <c r="D6" i="7"/>
  <c r="AA5" i="9" s="1"/>
  <c r="D7" i="7"/>
  <c r="AA6" i="9" s="1"/>
  <c r="D8" i="7"/>
  <c r="AA7" i="9" s="1"/>
  <c r="D9" i="7"/>
  <c r="AA8" i="9" s="1"/>
  <c r="D10" i="7"/>
  <c r="AA9" i="9" s="1"/>
  <c r="D11" i="7"/>
  <c r="AA10" i="9" s="1"/>
  <c r="D12" i="7"/>
  <c r="AA11" i="9" s="1"/>
  <c r="D13" i="7"/>
  <c r="AA12" i="9" s="1"/>
  <c r="D14" i="7"/>
  <c r="AA13" i="9" s="1"/>
  <c r="D15" i="7"/>
  <c r="AA14" i="9" s="1"/>
  <c r="D16" i="7"/>
  <c r="AA15" i="9" s="1"/>
  <c r="D17" i="7"/>
  <c r="AA16" i="9" s="1"/>
  <c r="D18" i="7"/>
  <c r="AA17" i="9" s="1"/>
  <c r="D19" i="7"/>
  <c r="AA18" i="9" s="1"/>
  <c r="D20" i="7"/>
  <c r="AA19" i="9" s="1"/>
  <c r="D21" i="7"/>
  <c r="AA20" i="9" s="1"/>
  <c r="D22" i="7"/>
  <c r="AA21" i="9" s="1"/>
  <c r="D23" i="7"/>
  <c r="AA22" i="9" s="1"/>
  <c r="D24" i="7"/>
  <c r="AA23" i="9" s="1"/>
  <c r="D25" i="7"/>
  <c r="AA24" i="9" s="1"/>
  <c r="D26" i="7"/>
  <c r="AA25" i="9" s="1"/>
  <c r="D27" i="7"/>
  <c r="AA26" i="9" s="1"/>
  <c r="D28" i="7"/>
  <c r="AA27" i="9" s="1"/>
  <c r="D29" i="7"/>
  <c r="AA28" i="9" s="1"/>
  <c r="D30" i="7"/>
  <c r="AA29" i="9" s="1"/>
  <c r="D31" i="7"/>
  <c r="AA30" i="9" s="1"/>
  <c r="D32" i="7"/>
  <c r="AA31" i="9" s="1"/>
  <c r="D33" i="7"/>
  <c r="AA32" i="9" s="1"/>
  <c r="D34" i="7"/>
  <c r="AA33" i="9" s="1"/>
  <c r="D35" i="7"/>
  <c r="AA34" i="9" s="1"/>
  <c r="D36" i="7"/>
  <c r="AA35" i="9" s="1"/>
  <c r="D37" i="7"/>
  <c r="AA36" i="9" s="1"/>
  <c r="D38" i="7"/>
  <c r="AA37" i="9" s="1"/>
  <c r="D39" i="7"/>
  <c r="AA38" i="9" s="1"/>
  <c r="D40" i="7"/>
  <c r="AA39" i="9" s="1"/>
  <c r="D41" i="7"/>
  <c r="AA40" i="9" s="1"/>
  <c r="D42" i="7"/>
  <c r="AA41" i="9" s="1"/>
  <c r="D43" i="7"/>
  <c r="AA42" i="9" s="1"/>
  <c r="D44" i="7"/>
  <c r="AA43" i="9" s="1"/>
  <c r="D45" i="7"/>
  <c r="AA44" i="9" s="1"/>
  <c r="D46" i="7"/>
  <c r="AA45" i="9" s="1"/>
  <c r="D47" i="7"/>
  <c r="AA46" i="9" s="1"/>
  <c r="D48" i="7"/>
  <c r="AA47" i="9" s="1"/>
  <c r="D49" i="7"/>
  <c r="AA48" i="9" s="1"/>
  <c r="D50" i="7"/>
  <c r="AA49" i="9" s="1"/>
  <c r="D51" i="7"/>
  <c r="AA50" i="9" s="1"/>
  <c r="D52" i="7"/>
  <c r="AA51" i="9" s="1"/>
  <c r="D53" i="7"/>
  <c r="AA52" i="9" s="1"/>
  <c r="D54" i="7"/>
  <c r="AA53" i="9" s="1"/>
  <c r="D55" i="7"/>
  <c r="AA54" i="9" s="1"/>
  <c r="D56" i="7"/>
  <c r="AA55" i="9" s="1"/>
  <c r="D57" i="7"/>
  <c r="AA56" i="9" s="1"/>
  <c r="D58" i="7"/>
  <c r="AA57" i="9" s="1"/>
  <c r="D59" i="7"/>
  <c r="AA58" i="9" s="1"/>
  <c r="D60" i="7"/>
  <c r="AA59" i="9" s="1"/>
  <c r="D61" i="7"/>
  <c r="AA60" i="9" s="1"/>
  <c r="D62" i="7"/>
  <c r="AA61" i="9" s="1"/>
  <c r="D63" i="7"/>
  <c r="AA62" i="9" s="1"/>
  <c r="D64" i="7"/>
  <c r="AA63" i="9" s="1"/>
  <c r="D65" i="7"/>
  <c r="AA64" i="9" s="1"/>
  <c r="D66" i="7"/>
  <c r="AA65" i="9" s="1"/>
  <c r="D67" i="7"/>
  <c r="AA66" i="9" s="1"/>
  <c r="D68" i="7"/>
  <c r="AA67" i="9" s="1"/>
  <c r="D69" i="7"/>
  <c r="AA68" i="9" s="1"/>
  <c r="D70" i="7"/>
  <c r="AA69" i="9" s="1"/>
  <c r="D71" i="7"/>
  <c r="AA70" i="9" s="1"/>
  <c r="D72" i="7"/>
  <c r="AA71" i="9" s="1"/>
  <c r="D73" i="7"/>
  <c r="AA72" i="9" s="1"/>
  <c r="D74" i="7"/>
  <c r="AA73" i="9" s="1"/>
  <c r="D75" i="7"/>
  <c r="AA74" i="9" s="1"/>
  <c r="D76" i="7"/>
  <c r="AA75" i="9" s="1"/>
  <c r="D77" i="7"/>
  <c r="AA76" i="9" s="1"/>
  <c r="D78" i="7"/>
  <c r="AA77" i="9" s="1"/>
  <c r="D79" i="7"/>
  <c r="AA78" i="9" s="1"/>
  <c r="D80" i="7"/>
  <c r="AA79" i="9" s="1"/>
  <c r="D81" i="7"/>
  <c r="AA80" i="9" s="1"/>
  <c r="D82" i="7"/>
  <c r="AA81" i="9" s="1"/>
  <c r="D83" i="7"/>
  <c r="AA82" i="9" s="1"/>
  <c r="D84" i="7"/>
  <c r="AA83" i="9" s="1"/>
  <c r="D85" i="7"/>
  <c r="AA84" i="9" s="1"/>
  <c r="D86" i="7"/>
  <c r="AA85" i="9" s="1"/>
  <c r="D87" i="7"/>
  <c r="AA86" i="9" s="1"/>
  <c r="D88" i="7"/>
  <c r="AA87" i="9" s="1"/>
  <c r="D89" i="7"/>
  <c r="AA88" i="9" s="1"/>
  <c r="D90" i="7"/>
  <c r="AA89" i="9" s="1"/>
  <c r="D91" i="7"/>
  <c r="AA90" i="9" s="1"/>
  <c r="D92" i="7"/>
  <c r="AA91" i="9" s="1"/>
  <c r="D93" i="7"/>
  <c r="AA92" i="9" s="1"/>
  <c r="D94" i="7"/>
  <c r="AA93" i="9" s="1"/>
  <c r="D95" i="7"/>
  <c r="AA94" i="9" s="1"/>
  <c r="D96" i="7"/>
  <c r="AA95" i="9" s="1"/>
  <c r="D97" i="7"/>
  <c r="AA96" i="9" s="1"/>
  <c r="D98" i="7"/>
  <c r="AA97" i="9" s="1"/>
  <c r="D99" i="7"/>
  <c r="AA98" i="9" s="1"/>
  <c r="D100" i="7"/>
  <c r="AA99" i="9" s="1"/>
  <c r="D101" i="7"/>
  <c r="AA100" i="9" s="1"/>
  <c r="D102" i="7"/>
  <c r="AA101" i="9" s="1"/>
  <c r="D103" i="7"/>
  <c r="AA102" i="9" s="1"/>
  <c r="D104" i="7"/>
  <c r="AA103" i="9" s="1"/>
  <c r="D105" i="7"/>
  <c r="AA104" i="9" s="1"/>
  <c r="D106" i="7"/>
  <c r="AA105" i="9" s="1"/>
  <c r="D107" i="7"/>
  <c r="AA106" i="9" s="1"/>
  <c r="D108" i="7"/>
  <c r="AA107" i="9" s="1"/>
  <c r="D109" i="7"/>
  <c r="AA108" i="9" s="1"/>
  <c r="D110" i="7"/>
  <c r="AA109" i="9" s="1"/>
  <c r="D111" i="7"/>
  <c r="AA110" i="9" s="1"/>
  <c r="D112" i="7"/>
  <c r="AA111" i="9" s="1"/>
  <c r="D113" i="7"/>
  <c r="AA112" i="9" s="1"/>
  <c r="D114" i="7"/>
  <c r="AA113" i="9" s="1"/>
  <c r="D115" i="7"/>
  <c r="AA114" i="9" s="1"/>
  <c r="D116" i="7"/>
  <c r="AA115" i="9" s="1"/>
  <c r="D117" i="7"/>
  <c r="AA116" i="9" s="1"/>
  <c r="D118" i="7"/>
  <c r="AA117" i="9" s="1"/>
  <c r="D119" i="7"/>
  <c r="AA118" i="9" s="1"/>
  <c r="D120" i="7"/>
  <c r="AA119" i="9" s="1"/>
  <c r="D121" i="7"/>
  <c r="AA120" i="9" s="1"/>
  <c r="D122" i="7"/>
  <c r="AA121" i="9" s="1"/>
  <c r="D123" i="7"/>
  <c r="AA122" i="9" s="1"/>
  <c r="D124" i="7"/>
  <c r="AA123" i="9" s="1"/>
  <c r="D125" i="7"/>
  <c r="AA124" i="9" s="1"/>
  <c r="D126" i="7"/>
  <c r="AA125" i="9" s="1"/>
  <c r="D127" i="7"/>
  <c r="AA126" i="9" s="1"/>
  <c r="D128" i="7"/>
  <c r="AA127" i="9" s="1"/>
  <c r="D129" i="7"/>
  <c r="AA128" i="9" s="1"/>
  <c r="D130" i="7"/>
  <c r="AA129" i="9" s="1"/>
  <c r="D131" i="7"/>
  <c r="AA130" i="9" s="1"/>
  <c r="D132" i="7"/>
  <c r="AA131" i="9" s="1"/>
  <c r="D133" i="7"/>
  <c r="AA132" i="9" s="1"/>
  <c r="D134" i="7"/>
  <c r="AA133" i="9" s="1"/>
  <c r="D135" i="7"/>
  <c r="AA134" i="9" s="1"/>
  <c r="D136" i="7"/>
  <c r="AA135" i="9" s="1"/>
  <c r="D137" i="7"/>
  <c r="AA136" i="9" s="1"/>
  <c r="D138" i="7"/>
  <c r="AA137" i="9" s="1"/>
  <c r="D139" i="7"/>
  <c r="AA138" i="9" s="1"/>
  <c r="D140" i="7"/>
  <c r="AA139" i="9" s="1"/>
  <c r="D141" i="7"/>
  <c r="AA140" i="9" s="1"/>
  <c r="D142" i="7"/>
  <c r="AA141" i="9" s="1"/>
  <c r="D143" i="7"/>
  <c r="AA142" i="9" s="1"/>
  <c r="D144" i="7"/>
  <c r="AA143" i="9" s="1"/>
  <c r="D145" i="7"/>
  <c r="AA144" i="9" s="1"/>
  <c r="D146" i="7"/>
  <c r="AA145" i="9" s="1"/>
  <c r="D147" i="7"/>
  <c r="AA146" i="9" s="1"/>
  <c r="D148" i="7"/>
  <c r="AA147" i="9" s="1"/>
  <c r="D149" i="7"/>
  <c r="AA148" i="9" s="1"/>
  <c r="D150" i="7"/>
  <c r="AA149" i="9" s="1"/>
  <c r="D151" i="7"/>
  <c r="AA150" i="9" s="1"/>
  <c r="D152" i="7"/>
  <c r="AA151" i="9" s="1"/>
  <c r="D153" i="7"/>
  <c r="AA152" i="9" s="1"/>
  <c r="D154" i="7"/>
  <c r="AA153" i="9" s="1"/>
  <c r="D155" i="7"/>
  <c r="AA154" i="9" s="1"/>
  <c r="D156" i="7"/>
  <c r="AA155" i="9" s="1"/>
  <c r="D157" i="7"/>
  <c r="AA156" i="9" s="1"/>
  <c r="D158" i="7"/>
  <c r="AA157" i="9" s="1"/>
  <c r="D159" i="7"/>
  <c r="AA158" i="9" s="1"/>
  <c r="D160" i="7"/>
  <c r="AA159" i="9" s="1"/>
  <c r="D161" i="7"/>
  <c r="AA160" i="9" s="1"/>
  <c r="D162" i="7"/>
  <c r="AA161" i="9" s="1"/>
  <c r="D163" i="7"/>
  <c r="AA162" i="9" s="1"/>
  <c r="D164" i="7"/>
  <c r="AA163" i="9" s="1"/>
  <c r="D165" i="7"/>
  <c r="AA164" i="9" s="1"/>
  <c r="D166" i="7"/>
  <c r="AA165" i="9" s="1"/>
  <c r="D167" i="7"/>
  <c r="AA166" i="9" s="1"/>
  <c r="D168" i="7"/>
  <c r="AA167" i="9" s="1"/>
  <c r="D169" i="7"/>
  <c r="AA168" i="9" s="1"/>
  <c r="D170" i="7"/>
  <c r="AA169" i="9" s="1"/>
  <c r="D171" i="7"/>
  <c r="AA170" i="9" s="1"/>
  <c r="D172" i="7"/>
  <c r="AA171" i="9" s="1"/>
  <c r="D173" i="7"/>
  <c r="AA172" i="9" s="1"/>
  <c r="D174" i="7"/>
  <c r="AA173" i="9" s="1"/>
  <c r="D175" i="7"/>
  <c r="AA174" i="9" s="1"/>
  <c r="D176" i="7"/>
  <c r="AA175" i="9" s="1"/>
  <c r="D177" i="7"/>
  <c r="AA176" i="9" s="1"/>
  <c r="D178" i="7"/>
  <c r="AA177" i="9" s="1"/>
  <c r="D179" i="7"/>
  <c r="AA178" i="9" s="1"/>
  <c r="D180" i="7"/>
  <c r="AA179" i="9" s="1"/>
  <c r="D181" i="7"/>
  <c r="AA180" i="9" s="1"/>
  <c r="D182" i="7"/>
  <c r="AA181" i="9" s="1"/>
  <c r="D183" i="7"/>
  <c r="AA182" i="9" s="1"/>
  <c r="D184" i="7"/>
  <c r="AA183" i="9" s="1"/>
  <c r="D185" i="7"/>
  <c r="AA184" i="9" s="1"/>
  <c r="D186" i="7"/>
  <c r="AA185" i="9" s="1"/>
  <c r="D187" i="7"/>
  <c r="AA186" i="9" s="1"/>
  <c r="D188" i="7"/>
  <c r="AA187" i="9" s="1"/>
  <c r="D189" i="7"/>
  <c r="AA188" i="9" s="1"/>
  <c r="D190" i="7"/>
  <c r="AA189" i="9" s="1"/>
  <c r="D191" i="7"/>
  <c r="AA190" i="9" s="1"/>
  <c r="D192" i="7"/>
  <c r="AA191" i="9" s="1"/>
  <c r="D193" i="7"/>
  <c r="AA192" i="9" s="1"/>
  <c r="D194" i="7"/>
  <c r="AA193" i="9" s="1"/>
  <c r="D195" i="7"/>
  <c r="AA194" i="9" s="1"/>
  <c r="D196" i="7"/>
  <c r="AA195" i="9" s="1"/>
  <c r="D197" i="7"/>
  <c r="AA196" i="9" s="1"/>
  <c r="D198" i="7"/>
  <c r="AA197" i="9" s="1"/>
  <c r="D199" i="7"/>
  <c r="AA198" i="9" s="1"/>
  <c r="D200" i="7"/>
  <c r="AA199" i="9" s="1"/>
  <c r="D201" i="7"/>
  <c r="AA200" i="9" s="1"/>
  <c r="D202" i="7"/>
  <c r="AA201" i="9" s="1"/>
  <c r="D203" i="7"/>
  <c r="AA202" i="9" s="1"/>
  <c r="D204" i="7"/>
  <c r="AA203" i="9" s="1"/>
  <c r="D205" i="7"/>
  <c r="AA204" i="9" s="1"/>
  <c r="D206" i="7"/>
  <c r="AA205" i="9" s="1"/>
  <c r="D207" i="7"/>
  <c r="AA206" i="9" s="1"/>
  <c r="D208" i="7"/>
  <c r="AA207" i="9" s="1"/>
  <c r="D209" i="7"/>
  <c r="AA208" i="9" s="1"/>
  <c r="D210" i="7"/>
  <c r="AA209" i="9" s="1"/>
  <c r="D211" i="7"/>
  <c r="AA210" i="9" s="1"/>
  <c r="D212" i="7"/>
  <c r="AA211" i="9" s="1"/>
  <c r="D213" i="7"/>
  <c r="AA212" i="9" s="1"/>
  <c r="D214" i="7"/>
  <c r="AA213" i="9" s="1"/>
  <c r="D215" i="7"/>
  <c r="AA214" i="9" s="1"/>
  <c r="D216" i="7"/>
  <c r="AA215" i="9" s="1"/>
  <c r="D217" i="7"/>
  <c r="AA216" i="9" s="1"/>
  <c r="D218" i="7"/>
  <c r="AA217" i="9" s="1"/>
  <c r="D219" i="7"/>
  <c r="AA218" i="9" s="1"/>
  <c r="D220" i="7"/>
  <c r="AA219" i="9" s="1"/>
  <c r="D221" i="7"/>
  <c r="AA220" i="9" s="1"/>
  <c r="D222" i="7"/>
  <c r="AA221" i="9" s="1"/>
  <c r="D223" i="7"/>
  <c r="AA222" i="9" s="1"/>
  <c r="D224" i="7"/>
  <c r="AA223" i="9" s="1"/>
  <c r="D225" i="7"/>
  <c r="AA224" i="9" s="1"/>
  <c r="D226" i="7"/>
  <c r="AA225" i="9" s="1"/>
  <c r="D227" i="7"/>
  <c r="AA226" i="9" s="1"/>
  <c r="D228" i="7"/>
  <c r="AA227" i="9" s="1"/>
  <c r="D229" i="7"/>
  <c r="AA228" i="9" s="1"/>
  <c r="D230" i="7"/>
  <c r="AA229" i="9" s="1"/>
  <c r="D231" i="7"/>
  <c r="AA230" i="9" s="1"/>
  <c r="D232" i="7"/>
  <c r="AA231" i="9" s="1"/>
  <c r="D233" i="7"/>
  <c r="AA232" i="9" s="1"/>
  <c r="D234" i="7"/>
  <c r="AA233" i="9" s="1"/>
  <c r="D235" i="7"/>
  <c r="AA234" i="9" s="1"/>
  <c r="D236" i="7"/>
  <c r="AA235" i="9" s="1"/>
  <c r="D237" i="7"/>
  <c r="AA236" i="9" s="1"/>
  <c r="D238" i="7"/>
  <c r="AA237" i="9" s="1"/>
  <c r="D239" i="7"/>
  <c r="AA238" i="9" s="1"/>
  <c r="D240" i="7"/>
  <c r="AA239" i="9" s="1"/>
  <c r="D241" i="7"/>
  <c r="AA240" i="9" s="1"/>
  <c r="D242" i="7"/>
  <c r="AA241" i="9" s="1"/>
  <c r="D243" i="7"/>
  <c r="AA242" i="9" s="1"/>
  <c r="D244" i="7"/>
  <c r="AA243" i="9" s="1"/>
  <c r="D245" i="7"/>
  <c r="AA244" i="9" s="1"/>
  <c r="D246" i="7"/>
  <c r="AA245" i="9" s="1"/>
  <c r="D247" i="7"/>
  <c r="AA246" i="9" s="1"/>
  <c r="D248" i="7"/>
  <c r="AA247" i="9" s="1"/>
  <c r="D249" i="7"/>
  <c r="AA248" i="9" s="1"/>
  <c r="D250" i="7"/>
  <c r="AA249" i="9" s="1"/>
  <c r="D251" i="7"/>
  <c r="AA250" i="9" s="1"/>
  <c r="D252" i="7"/>
  <c r="AA251" i="9" s="1"/>
  <c r="D253" i="7"/>
  <c r="AA252" i="9" s="1"/>
  <c r="D254" i="7"/>
  <c r="AA253" i="9" s="1"/>
  <c r="D255" i="7"/>
  <c r="AA254" i="9" s="1"/>
  <c r="D256" i="7"/>
  <c r="AA255" i="9" s="1"/>
  <c r="D257" i="7"/>
  <c r="AA256" i="9" s="1"/>
  <c r="D258" i="7"/>
  <c r="AA257" i="9" s="1"/>
  <c r="D259" i="7"/>
  <c r="AA258" i="9" s="1"/>
  <c r="D260" i="7"/>
  <c r="AA259" i="9" s="1"/>
  <c r="D261" i="7"/>
  <c r="AA260" i="9" s="1"/>
  <c r="D262" i="7"/>
  <c r="AA261" i="9" s="1"/>
  <c r="D263" i="7"/>
  <c r="AA262" i="9" s="1"/>
  <c r="D264" i="7"/>
  <c r="AA263" i="9" s="1"/>
  <c r="D265" i="7"/>
  <c r="AA264" i="9" s="1"/>
  <c r="D266" i="7"/>
  <c r="AA265" i="9" s="1"/>
  <c r="D267" i="7"/>
  <c r="AA266" i="9" s="1"/>
  <c r="D268" i="7"/>
  <c r="AA267" i="9" s="1"/>
  <c r="D269" i="7"/>
  <c r="AA268" i="9" s="1"/>
  <c r="D270" i="7"/>
  <c r="AA269" i="9" s="1"/>
  <c r="D271" i="7"/>
  <c r="AA270" i="9" s="1"/>
  <c r="D272" i="7"/>
  <c r="AA271" i="9" s="1"/>
  <c r="D273" i="7"/>
  <c r="AA272" i="9" s="1"/>
  <c r="D274" i="7"/>
  <c r="AA273" i="9" s="1"/>
  <c r="D275" i="7"/>
  <c r="AA274" i="9" s="1"/>
  <c r="D276" i="7"/>
  <c r="AA275" i="9" s="1"/>
  <c r="D277" i="7"/>
  <c r="AA276" i="9" s="1"/>
  <c r="D278" i="7"/>
  <c r="AA277" i="9" s="1"/>
  <c r="D279" i="7"/>
  <c r="AA278" i="9" s="1"/>
  <c r="D280" i="7"/>
  <c r="AA279" i="9" s="1"/>
  <c r="D281" i="7"/>
  <c r="AA280" i="9" s="1"/>
  <c r="D282" i="7"/>
  <c r="AA281" i="9" s="1"/>
  <c r="D283" i="7"/>
  <c r="AA282" i="9" s="1"/>
  <c r="D284" i="7"/>
  <c r="AA283" i="9" s="1"/>
  <c r="D285" i="7"/>
  <c r="AA284" i="9" s="1"/>
  <c r="D286" i="7"/>
  <c r="AA285" i="9" s="1"/>
  <c r="D287" i="7"/>
  <c r="AA286" i="9" s="1"/>
  <c r="D288" i="7"/>
  <c r="AA287" i="9" s="1"/>
  <c r="D289" i="7"/>
  <c r="AA288" i="9" s="1"/>
  <c r="D290" i="7"/>
  <c r="AA289" i="9" s="1"/>
  <c r="D291" i="7"/>
  <c r="AA290" i="9" s="1"/>
  <c r="D292" i="7"/>
  <c r="AA291" i="9" s="1"/>
  <c r="D293" i="7"/>
  <c r="AA292" i="9" s="1"/>
  <c r="D294" i="7"/>
  <c r="AA293" i="9" s="1"/>
  <c r="D295" i="7"/>
  <c r="AA294" i="9" s="1"/>
  <c r="D296" i="7"/>
  <c r="AA295" i="9" s="1"/>
  <c r="D297" i="7"/>
  <c r="AA296" i="9" s="1"/>
  <c r="D298" i="7"/>
  <c r="AA297" i="9" s="1"/>
  <c r="D299" i="7"/>
  <c r="AA298" i="9" s="1"/>
  <c r="D300" i="7"/>
  <c r="AA299" i="9" s="1"/>
  <c r="D301" i="7"/>
  <c r="AA300" i="9" s="1"/>
  <c r="D302" i="7"/>
  <c r="AA301" i="9" s="1"/>
  <c r="D303" i="7"/>
  <c r="AA302" i="9" s="1"/>
  <c r="D304" i="7"/>
  <c r="AA303" i="9" s="1"/>
  <c r="D305" i="7"/>
  <c r="AA304" i="9" s="1"/>
  <c r="D306" i="7"/>
  <c r="AA305" i="9" s="1"/>
  <c r="D307" i="7"/>
  <c r="AA306" i="9" s="1"/>
  <c r="D308" i="7"/>
  <c r="AA307" i="9" s="1"/>
  <c r="D309" i="7"/>
  <c r="AA308" i="9" s="1"/>
  <c r="D310" i="7"/>
  <c r="AA309" i="9" s="1"/>
  <c r="D311" i="7"/>
  <c r="AA310" i="9" s="1"/>
  <c r="D312" i="7"/>
  <c r="AA311" i="9" s="1"/>
  <c r="D313" i="7"/>
  <c r="AA312" i="9" s="1"/>
  <c r="D314" i="7"/>
  <c r="AA313" i="9" s="1"/>
  <c r="D315" i="7"/>
  <c r="AA314" i="9" s="1"/>
  <c r="D316" i="7"/>
  <c r="AA315" i="9" s="1"/>
  <c r="D317" i="7"/>
  <c r="AA316" i="9" s="1"/>
  <c r="D318" i="7"/>
  <c r="AA317" i="9" s="1"/>
  <c r="D319" i="7"/>
  <c r="AA318" i="9" s="1"/>
  <c r="D320" i="7"/>
  <c r="AA319" i="9" s="1"/>
  <c r="D321" i="7"/>
  <c r="AA320" i="9" s="1"/>
  <c r="D322" i="7"/>
  <c r="AA321" i="9" s="1"/>
  <c r="D323" i="7"/>
  <c r="AA322" i="9" s="1"/>
  <c r="D324" i="7"/>
  <c r="AA323" i="9" s="1"/>
  <c r="D325" i="7"/>
  <c r="AA324" i="9" s="1"/>
  <c r="D326" i="7"/>
  <c r="AA325" i="9" s="1"/>
  <c r="D327" i="7"/>
  <c r="AA326" i="9" s="1"/>
  <c r="D328" i="7"/>
  <c r="AA327" i="9" s="1"/>
  <c r="D329" i="7"/>
  <c r="AA328" i="9" s="1"/>
  <c r="D330" i="7"/>
  <c r="AA329" i="9" s="1"/>
  <c r="D331" i="7"/>
  <c r="AA330" i="9" s="1"/>
  <c r="D332" i="7"/>
  <c r="AA331" i="9" s="1"/>
  <c r="D333" i="7"/>
  <c r="AA332" i="9" s="1"/>
  <c r="D334" i="7"/>
  <c r="AA333" i="9" s="1"/>
  <c r="D335" i="7"/>
  <c r="AA334" i="9" s="1"/>
  <c r="D336" i="7"/>
  <c r="AA335" i="9" s="1"/>
  <c r="D337" i="7"/>
  <c r="AA336" i="9" s="1"/>
  <c r="D338" i="7"/>
  <c r="AA337" i="9" s="1"/>
  <c r="D339" i="7"/>
  <c r="AA338" i="9" s="1"/>
  <c r="D340" i="7"/>
  <c r="AA339" i="9" s="1"/>
  <c r="D341" i="7"/>
  <c r="AA340" i="9" s="1"/>
  <c r="D342" i="7"/>
  <c r="AA341" i="9" s="1"/>
  <c r="D343" i="7"/>
  <c r="AA342" i="9" s="1"/>
  <c r="D344" i="7"/>
  <c r="AA343" i="9" s="1"/>
  <c r="D345" i="7"/>
  <c r="AA344" i="9" s="1"/>
  <c r="D346" i="7"/>
  <c r="AA345" i="9" s="1"/>
  <c r="D347" i="7"/>
  <c r="AA346" i="9" s="1"/>
  <c r="D348" i="7"/>
  <c r="AA347" i="9" s="1"/>
  <c r="D349" i="7"/>
  <c r="AA348" i="9" s="1"/>
  <c r="D350" i="7"/>
  <c r="AA349" i="9" s="1"/>
  <c r="D351" i="7"/>
  <c r="AA350" i="9" s="1"/>
  <c r="D352" i="7"/>
  <c r="AA351" i="9" s="1"/>
  <c r="D353" i="7"/>
  <c r="AA352" i="9" s="1"/>
  <c r="D354" i="7"/>
  <c r="AA353" i="9" s="1"/>
  <c r="D355" i="7"/>
  <c r="AA354" i="9" s="1"/>
  <c r="D356" i="7"/>
  <c r="AA355" i="9" s="1"/>
  <c r="D357" i="7"/>
  <c r="AA356" i="9" s="1"/>
  <c r="D358" i="7"/>
  <c r="AA357" i="9" s="1"/>
  <c r="D359" i="7"/>
  <c r="AA358" i="9" s="1"/>
  <c r="D360" i="7"/>
  <c r="AA359" i="9" s="1"/>
  <c r="D361" i="7"/>
  <c r="AA360" i="9" s="1"/>
  <c r="D362" i="7"/>
  <c r="AA361" i="9" s="1"/>
  <c r="D363" i="7"/>
  <c r="AA362" i="9" s="1"/>
  <c r="D364" i="7"/>
  <c r="AA363" i="9" s="1"/>
  <c r="D365" i="7"/>
  <c r="AA364" i="9" s="1"/>
  <c r="D366" i="7"/>
  <c r="AA365" i="9" s="1"/>
  <c r="D367" i="7"/>
  <c r="AA366" i="9" s="1"/>
  <c r="D368" i="7"/>
  <c r="AA367" i="9" s="1"/>
  <c r="D369" i="7"/>
  <c r="AA368" i="9" s="1"/>
  <c r="D370" i="7"/>
  <c r="AA369" i="9" s="1"/>
  <c r="D371" i="7"/>
  <c r="AA370" i="9" s="1"/>
  <c r="D372" i="7"/>
  <c r="AA371" i="9" s="1"/>
  <c r="D373" i="7"/>
  <c r="AA372" i="9" s="1"/>
  <c r="D374" i="7"/>
  <c r="AA373" i="9" s="1"/>
  <c r="D375" i="7"/>
  <c r="AA374" i="9" s="1"/>
  <c r="D376" i="7"/>
  <c r="AA375" i="9" s="1"/>
  <c r="D377" i="7"/>
  <c r="AA376" i="9" s="1"/>
  <c r="D378" i="7"/>
  <c r="AA377" i="9" s="1"/>
  <c r="D379" i="7"/>
  <c r="AA378" i="9" s="1"/>
  <c r="D380" i="7"/>
  <c r="AA379" i="9" s="1"/>
  <c r="D381" i="7"/>
  <c r="AA380" i="9" s="1"/>
  <c r="D382" i="7"/>
  <c r="AA381" i="9" s="1"/>
  <c r="D383" i="7"/>
  <c r="AA382" i="9" s="1"/>
  <c r="D384" i="7"/>
  <c r="AA383" i="9" s="1"/>
  <c r="D385" i="7"/>
  <c r="AA384" i="9" s="1"/>
  <c r="D386" i="7"/>
  <c r="AA385" i="9" s="1"/>
  <c r="D387" i="7"/>
  <c r="AA386" i="9" s="1"/>
  <c r="D388" i="7"/>
  <c r="AA387" i="9" s="1"/>
  <c r="D389" i="7"/>
  <c r="AA388" i="9" s="1"/>
  <c r="D390" i="7"/>
  <c r="AA389" i="9" s="1"/>
  <c r="D391" i="7"/>
  <c r="AA390" i="9" s="1"/>
  <c r="D392" i="7"/>
  <c r="AA391" i="9" s="1"/>
  <c r="D393" i="7"/>
  <c r="AA392" i="9" s="1"/>
  <c r="D394" i="7"/>
  <c r="AA393" i="9" s="1"/>
  <c r="D395" i="7"/>
  <c r="AA394" i="9" s="1"/>
  <c r="D396" i="7"/>
  <c r="AA395" i="9" s="1"/>
  <c r="D397" i="7"/>
  <c r="AA396" i="9" s="1"/>
  <c r="D398" i="7"/>
  <c r="AA397" i="9" s="1"/>
  <c r="D399" i="7"/>
  <c r="AA398" i="9" s="1"/>
  <c r="D400" i="7"/>
  <c r="AA399" i="9" s="1"/>
  <c r="D401" i="7"/>
  <c r="AA400" i="9" s="1"/>
  <c r="D402" i="7"/>
  <c r="AA401" i="9" s="1"/>
  <c r="D403" i="7"/>
  <c r="AA402" i="9" s="1"/>
  <c r="D404" i="7"/>
  <c r="AA403" i="9" s="1"/>
  <c r="D405" i="7"/>
  <c r="AA404" i="9" s="1"/>
  <c r="D406" i="7"/>
  <c r="AA405" i="9" s="1"/>
  <c r="D407" i="7"/>
  <c r="AA406" i="9" s="1"/>
  <c r="D408" i="7"/>
  <c r="AA407" i="9" s="1"/>
  <c r="D409" i="7"/>
  <c r="AA408" i="9" s="1"/>
  <c r="D410" i="7"/>
  <c r="AA409" i="9" s="1"/>
  <c r="D411" i="7"/>
  <c r="AA410" i="9" s="1"/>
  <c r="D412" i="7"/>
  <c r="AA411" i="9" s="1"/>
  <c r="D413" i="7"/>
  <c r="AA412" i="9" s="1"/>
  <c r="D414" i="7"/>
  <c r="AA413" i="9" s="1"/>
  <c r="D415" i="7"/>
  <c r="AA414" i="9" s="1"/>
  <c r="D416" i="7"/>
  <c r="AA415" i="9" s="1"/>
  <c r="D417" i="7"/>
  <c r="AA416" i="9" s="1"/>
  <c r="D418" i="7"/>
  <c r="AA417" i="9" s="1"/>
  <c r="D419" i="7"/>
  <c r="AA418" i="9" s="1"/>
  <c r="D420" i="7"/>
  <c r="AA419" i="9" s="1"/>
  <c r="D421" i="7"/>
  <c r="AA420" i="9" s="1"/>
  <c r="D422" i="7"/>
  <c r="AA421" i="9" s="1"/>
  <c r="D423" i="7"/>
  <c r="AA422" i="9" s="1"/>
  <c r="D424" i="7"/>
  <c r="AA423" i="9" s="1"/>
  <c r="D425" i="7"/>
  <c r="AA424" i="9" s="1"/>
  <c r="D426" i="7"/>
  <c r="AA425" i="9" s="1"/>
  <c r="D427" i="7"/>
  <c r="AA426" i="9" s="1"/>
  <c r="D428" i="7"/>
  <c r="AA427" i="9" s="1"/>
  <c r="D429" i="7"/>
  <c r="AA428" i="9" s="1"/>
  <c r="D430" i="7"/>
  <c r="AA429" i="9" s="1"/>
  <c r="D431" i="7"/>
  <c r="AA430" i="9" s="1"/>
  <c r="D432" i="7"/>
  <c r="AA431" i="9" s="1"/>
  <c r="D433" i="7"/>
  <c r="AA432" i="9" s="1"/>
  <c r="D434" i="7"/>
  <c r="AA433" i="9" s="1"/>
  <c r="D435" i="7"/>
  <c r="AA434" i="9" s="1"/>
  <c r="D436" i="7"/>
  <c r="AA435" i="9" s="1"/>
  <c r="D437" i="7"/>
  <c r="AA436" i="9" s="1"/>
  <c r="D438" i="7"/>
  <c r="AA437" i="9" s="1"/>
  <c r="D439" i="7"/>
  <c r="AA438" i="9" s="1"/>
  <c r="D440" i="7"/>
  <c r="AA439" i="9" s="1"/>
  <c r="D441" i="7"/>
  <c r="AA440" i="9" s="1"/>
  <c r="D442" i="7"/>
  <c r="AA441" i="9" s="1"/>
  <c r="D443" i="7"/>
  <c r="AA442" i="9" s="1"/>
  <c r="D444" i="7"/>
  <c r="AA443" i="9" s="1"/>
  <c r="D445" i="7"/>
  <c r="AA444" i="9" s="1"/>
  <c r="D446" i="7"/>
  <c r="AA445" i="9" s="1"/>
  <c r="D447" i="7"/>
  <c r="AA446" i="9" s="1"/>
  <c r="D448" i="7"/>
  <c r="AA447" i="9" s="1"/>
  <c r="D449" i="7"/>
  <c r="AA448" i="9" s="1"/>
  <c r="D450" i="7"/>
  <c r="AA449" i="9" s="1"/>
  <c r="D451" i="7"/>
  <c r="AA450" i="9" s="1"/>
  <c r="D452" i="7"/>
  <c r="AA451" i="9" s="1"/>
  <c r="D453" i="7"/>
  <c r="AA452" i="9" s="1"/>
  <c r="D454" i="7"/>
  <c r="AA453" i="9" s="1"/>
  <c r="D455" i="7"/>
  <c r="AA454" i="9" s="1"/>
  <c r="D456" i="7"/>
  <c r="AA455" i="9" s="1"/>
  <c r="D457" i="7"/>
  <c r="AA456" i="9" s="1"/>
  <c r="D458" i="7"/>
  <c r="AA457" i="9" s="1"/>
  <c r="D459" i="7"/>
  <c r="AA458" i="9" s="1"/>
  <c r="D460" i="7"/>
  <c r="AA459" i="9" s="1"/>
  <c r="D461" i="7"/>
  <c r="AA460" i="9" s="1"/>
  <c r="D462" i="7"/>
  <c r="AA461" i="9" s="1"/>
  <c r="D463" i="7"/>
  <c r="AA462" i="9" s="1"/>
  <c r="D464" i="7"/>
  <c r="AA463" i="9" s="1"/>
  <c r="D465" i="7"/>
  <c r="AA464" i="9" s="1"/>
  <c r="D466" i="7"/>
  <c r="AA465" i="9" s="1"/>
  <c r="D467" i="7"/>
  <c r="AA466" i="9" s="1"/>
  <c r="D468" i="7"/>
  <c r="AA467" i="9" s="1"/>
  <c r="D469" i="7"/>
  <c r="AA468" i="9" s="1"/>
  <c r="D470" i="7"/>
  <c r="AA469" i="9" s="1"/>
  <c r="D471" i="7"/>
  <c r="AA470" i="9" s="1"/>
  <c r="D472" i="7"/>
  <c r="AA471" i="9" s="1"/>
  <c r="D473" i="7"/>
  <c r="AA472" i="9" s="1"/>
  <c r="D474" i="7"/>
  <c r="AA473" i="9" s="1"/>
  <c r="D475" i="7"/>
  <c r="AA474" i="9" s="1"/>
  <c r="D476" i="7"/>
  <c r="AA475" i="9" s="1"/>
  <c r="D477" i="7"/>
  <c r="AA476" i="9" s="1"/>
  <c r="D478" i="7"/>
  <c r="AA477" i="9" s="1"/>
  <c r="D479" i="7"/>
  <c r="AA478" i="9" s="1"/>
  <c r="D480" i="7"/>
  <c r="AA479" i="9" s="1"/>
  <c r="D481" i="7"/>
  <c r="AA480" i="9" s="1"/>
  <c r="D482" i="7"/>
  <c r="AA481" i="9" s="1"/>
  <c r="D483" i="7"/>
  <c r="AA482" i="9" s="1"/>
  <c r="D484" i="7"/>
  <c r="AA483" i="9" s="1"/>
  <c r="D485" i="7"/>
  <c r="AA484" i="9" s="1"/>
  <c r="D486" i="7"/>
  <c r="AA485" i="9" s="1"/>
  <c r="D487" i="7"/>
  <c r="AA486" i="9" s="1"/>
  <c r="D488" i="7"/>
  <c r="AA487" i="9" s="1"/>
  <c r="D489" i="7"/>
  <c r="AA488" i="9" s="1"/>
  <c r="D490" i="7"/>
  <c r="AA489" i="9" s="1"/>
  <c r="D491" i="7"/>
  <c r="AA490" i="9" s="1"/>
  <c r="D492" i="7"/>
  <c r="AA491" i="9" s="1"/>
  <c r="D493" i="7"/>
  <c r="AA492" i="9" s="1"/>
  <c r="D494" i="7"/>
  <c r="AA493" i="9" s="1"/>
  <c r="D495" i="7"/>
  <c r="AA494" i="9" s="1"/>
  <c r="D496" i="7"/>
  <c r="AA495" i="9" s="1"/>
  <c r="D497" i="7"/>
  <c r="AA496" i="9" s="1"/>
  <c r="D498" i="7"/>
  <c r="AA497" i="9" s="1"/>
  <c r="D499" i="7"/>
  <c r="AA498" i="9" s="1"/>
  <c r="D500" i="7"/>
  <c r="AA499" i="9" s="1"/>
  <c r="D501" i="7"/>
  <c r="AA500" i="9" s="1"/>
  <c r="D502" i="7"/>
  <c r="AA501" i="9" s="1"/>
  <c r="D503" i="7"/>
  <c r="AA502" i="9" s="1"/>
  <c r="D504" i="7"/>
  <c r="AA503" i="9" s="1"/>
  <c r="D505" i="7"/>
  <c r="AA504" i="9" s="1"/>
  <c r="D506" i="7"/>
  <c r="AA505" i="9" s="1"/>
  <c r="D507" i="7"/>
  <c r="AA506" i="9" s="1"/>
  <c r="D508" i="7"/>
  <c r="AA507" i="9" s="1"/>
  <c r="D509" i="7"/>
  <c r="AA508" i="9" s="1"/>
  <c r="D510" i="7"/>
  <c r="AA509" i="9" s="1"/>
  <c r="D511" i="7"/>
  <c r="AA510" i="9" s="1"/>
  <c r="D512" i="7"/>
  <c r="AA511" i="9" s="1"/>
  <c r="D513" i="7"/>
  <c r="AA512" i="9" s="1"/>
  <c r="D514" i="7"/>
  <c r="AA513" i="9" s="1"/>
  <c r="D515" i="7"/>
  <c r="AA514" i="9" s="1"/>
  <c r="D516" i="7"/>
  <c r="AA515" i="9" s="1"/>
  <c r="D517" i="7"/>
  <c r="AA516" i="9" s="1"/>
  <c r="D518" i="7"/>
  <c r="AA517" i="9" s="1"/>
  <c r="D519" i="7"/>
  <c r="AA518" i="9" s="1"/>
  <c r="D520" i="7"/>
  <c r="AA519" i="9" s="1"/>
  <c r="D521" i="7"/>
  <c r="AA520" i="9" s="1"/>
  <c r="D522" i="7"/>
  <c r="AA521" i="9" s="1"/>
  <c r="D523" i="7"/>
  <c r="AA522" i="9" s="1"/>
  <c r="D524" i="7"/>
  <c r="AA523" i="9" s="1"/>
  <c r="D525" i="7"/>
  <c r="AA524" i="9" s="1"/>
  <c r="D526" i="7"/>
  <c r="AA525" i="9" s="1"/>
  <c r="D527" i="7"/>
  <c r="AA526" i="9" s="1"/>
  <c r="D528" i="7"/>
  <c r="AA527" i="9" s="1"/>
  <c r="D529" i="7"/>
  <c r="AA528" i="9" s="1"/>
  <c r="D530" i="7"/>
  <c r="AA529" i="9" s="1"/>
  <c r="D531" i="7"/>
  <c r="AA530" i="9" s="1"/>
  <c r="D532" i="7"/>
  <c r="AA531" i="9" s="1"/>
  <c r="D533" i="7"/>
  <c r="AA532" i="9" s="1"/>
  <c r="D534" i="7"/>
  <c r="AA533" i="9" s="1"/>
  <c r="D535" i="7"/>
  <c r="AA534" i="9" s="1"/>
  <c r="D536" i="7"/>
  <c r="AA535" i="9" s="1"/>
  <c r="D537" i="7"/>
  <c r="AA536" i="9" s="1"/>
  <c r="D538" i="7"/>
  <c r="AA537" i="9" s="1"/>
  <c r="D539" i="7"/>
  <c r="AA538" i="9" s="1"/>
  <c r="D540" i="7"/>
  <c r="AA539" i="9" s="1"/>
  <c r="D541" i="7"/>
  <c r="AA540" i="9" s="1"/>
  <c r="D542" i="7"/>
  <c r="AA541" i="9" s="1"/>
  <c r="D543" i="7"/>
  <c r="AA542" i="9" s="1"/>
  <c r="D544" i="7"/>
  <c r="AA543" i="9" s="1"/>
  <c r="D545" i="7"/>
  <c r="AA544" i="9" s="1"/>
  <c r="D546" i="7"/>
  <c r="AA545" i="9" s="1"/>
  <c r="D547" i="7"/>
  <c r="AA546" i="9" s="1"/>
  <c r="D548" i="7"/>
  <c r="AA547" i="9" s="1"/>
  <c r="D549" i="7"/>
  <c r="AA548" i="9" s="1"/>
  <c r="D550" i="7"/>
  <c r="AA549" i="9" s="1"/>
  <c r="D551" i="7"/>
  <c r="AA550" i="9" s="1"/>
  <c r="D552" i="7"/>
  <c r="AA551" i="9" s="1"/>
  <c r="D553" i="7"/>
  <c r="AA552" i="9" s="1"/>
  <c r="D554" i="7"/>
  <c r="AA553" i="9" s="1"/>
  <c r="D555" i="7"/>
  <c r="AA554" i="9" s="1"/>
  <c r="D556" i="7"/>
  <c r="AA555" i="9" s="1"/>
  <c r="D557" i="7"/>
  <c r="AA556" i="9" s="1"/>
  <c r="D558" i="7"/>
  <c r="AA557" i="9" s="1"/>
  <c r="D559" i="7"/>
  <c r="AA558" i="9" s="1"/>
  <c r="D560" i="7"/>
  <c r="AA559" i="9" s="1"/>
  <c r="D561" i="7"/>
  <c r="AA560" i="9" s="1"/>
  <c r="D562" i="7"/>
  <c r="AA561" i="9" s="1"/>
  <c r="D563" i="7"/>
  <c r="AA562" i="9" s="1"/>
  <c r="D564" i="7"/>
  <c r="AA563" i="9" s="1"/>
  <c r="D565" i="7"/>
  <c r="AA564" i="9" s="1"/>
  <c r="D566" i="7"/>
  <c r="AA565" i="9" s="1"/>
  <c r="D567" i="7"/>
  <c r="AA566" i="9" s="1"/>
  <c r="D568" i="7"/>
  <c r="AA567" i="9" s="1"/>
  <c r="D569" i="7"/>
  <c r="AA568" i="9" s="1"/>
  <c r="D570" i="7"/>
  <c r="AA569" i="9" s="1"/>
  <c r="D571" i="7"/>
  <c r="AA570" i="9" s="1"/>
  <c r="D572" i="7"/>
  <c r="AA571" i="9" s="1"/>
  <c r="D573" i="7"/>
  <c r="AA572" i="9" s="1"/>
  <c r="D574" i="7"/>
  <c r="AA573" i="9" s="1"/>
  <c r="D575" i="7"/>
  <c r="AA574" i="9" s="1"/>
  <c r="D576" i="7"/>
  <c r="AA575" i="9" s="1"/>
  <c r="D577" i="7"/>
  <c r="AA576" i="9" s="1"/>
  <c r="D578" i="7"/>
  <c r="AA577" i="9" s="1"/>
  <c r="D579" i="7"/>
  <c r="AA578" i="9" s="1"/>
  <c r="D580" i="7"/>
  <c r="AA579" i="9" s="1"/>
  <c r="D581" i="7"/>
  <c r="AA580" i="9" s="1"/>
  <c r="D582" i="7"/>
  <c r="AA581" i="9" s="1"/>
  <c r="D583" i="7"/>
  <c r="AA582" i="9" s="1"/>
  <c r="D584" i="7"/>
  <c r="AA583" i="9" s="1"/>
  <c r="D585" i="7"/>
  <c r="AA584" i="9" s="1"/>
  <c r="D586" i="7"/>
  <c r="AA585" i="9" s="1"/>
  <c r="D587" i="7"/>
  <c r="AA586" i="9" s="1"/>
  <c r="D588" i="7"/>
  <c r="AA587" i="9" s="1"/>
  <c r="D589" i="7"/>
  <c r="AA588" i="9" s="1"/>
  <c r="D590" i="7"/>
  <c r="AA589" i="9" s="1"/>
  <c r="D591" i="7"/>
  <c r="AA590" i="9" s="1"/>
  <c r="D592" i="7"/>
  <c r="AA591" i="9" s="1"/>
  <c r="D593" i="7"/>
  <c r="AA592" i="9" s="1"/>
  <c r="D594" i="7"/>
  <c r="AA593" i="9" s="1"/>
  <c r="D595" i="7"/>
  <c r="AA594" i="9" s="1"/>
  <c r="D596" i="7"/>
  <c r="AA595" i="9" s="1"/>
  <c r="D597" i="7"/>
  <c r="AA596" i="9" s="1"/>
  <c r="D598" i="7"/>
  <c r="AA597" i="9" s="1"/>
  <c r="D599" i="7"/>
  <c r="AA598" i="9" s="1"/>
  <c r="D600" i="7"/>
  <c r="AA599" i="9" s="1"/>
  <c r="D601" i="7"/>
  <c r="AA600" i="9" s="1"/>
  <c r="D602" i="7"/>
  <c r="AA601" i="9" s="1"/>
  <c r="D603" i="7"/>
  <c r="AA602" i="9" s="1"/>
  <c r="D604" i="7"/>
  <c r="AA603" i="9" s="1"/>
  <c r="D605" i="7"/>
  <c r="AA604" i="9" s="1"/>
  <c r="D606" i="7"/>
  <c r="AA605" i="9" s="1"/>
  <c r="D607" i="7"/>
  <c r="AA606" i="9" s="1"/>
  <c r="D608" i="7"/>
  <c r="AA607" i="9" s="1"/>
  <c r="D609" i="7"/>
  <c r="AA608" i="9" s="1"/>
  <c r="D610" i="7"/>
  <c r="AA609" i="9" s="1"/>
  <c r="D611" i="7"/>
  <c r="AA610" i="9" s="1"/>
  <c r="D612" i="7"/>
  <c r="AA611" i="9" s="1"/>
  <c r="D613" i="7"/>
  <c r="AA612" i="9" s="1"/>
  <c r="D614" i="7"/>
  <c r="AA613" i="9" s="1"/>
  <c r="D615" i="7"/>
  <c r="AA614" i="9" s="1"/>
  <c r="D616" i="7"/>
  <c r="AA615" i="9" s="1"/>
  <c r="D617" i="7"/>
  <c r="AA616" i="9" s="1"/>
  <c r="D618" i="7"/>
  <c r="AA617" i="9" s="1"/>
  <c r="D619" i="7"/>
  <c r="AA618" i="9" s="1"/>
  <c r="D620" i="7"/>
  <c r="AA619" i="9" s="1"/>
  <c r="D621" i="7"/>
  <c r="AA620" i="9" s="1"/>
  <c r="D622" i="7"/>
  <c r="AA621" i="9" s="1"/>
  <c r="D623" i="7"/>
  <c r="AA622" i="9" s="1"/>
  <c r="D624" i="7"/>
  <c r="AA623" i="9" s="1"/>
  <c r="D625" i="7"/>
  <c r="AA624" i="9" s="1"/>
  <c r="D626" i="7"/>
  <c r="AA625" i="9" s="1"/>
  <c r="D627" i="7"/>
  <c r="AA626" i="9" s="1"/>
  <c r="D628" i="7"/>
  <c r="AA627" i="9" s="1"/>
  <c r="D629" i="7"/>
  <c r="AA628" i="9" s="1"/>
  <c r="D630" i="7"/>
  <c r="AA629" i="9" s="1"/>
  <c r="D631" i="7"/>
  <c r="AA630" i="9" s="1"/>
  <c r="D632" i="7"/>
  <c r="AA631" i="9" s="1"/>
  <c r="D633" i="7"/>
  <c r="AA632" i="9" s="1"/>
  <c r="D634" i="7"/>
  <c r="AA633" i="9" s="1"/>
  <c r="D635" i="7"/>
  <c r="AA634" i="9" s="1"/>
  <c r="D636" i="7"/>
  <c r="AA635" i="9" s="1"/>
  <c r="D637" i="7"/>
  <c r="AA636" i="9" s="1"/>
  <c r="D638" i="7"/>
  <c r="AA637" i="9" s="1"/>
  <c r="D639" i="7"/>
  <c r="AA638" i="9" s="1"/>
  <c r="D640" i="7"/>
  <c r="AA639" i="9" s="1"/>
  <c r="D641" i="7"/>
  <c r="AA640" i="9" s="1"/>
  <c r="D642" i="7"/>
  <c r="AA641" i="9" s="1"/>
  <c r="D643" i="7"/>
  <c r="AA642" i="9" s="1"/>
  <c r="D644" i="7"/>
  <c r="AA643" i="9" s="1"/>
  <c r="D645" i="7"/>
  <c r="AA644" i="9" s="1"/>
  <c r="D646" i="7"/>
  <c r="AA645" i="9" s="1"/>
  <c r="D647" i="7"/>
  <c r="AA646" i="9" s="1"/>
  <c r="D648" i="7"/>
  <c r="AA647" i="9" s="1"/>
  <c r="D649" i="7"/>
  <c r="AA648" i="9" s="1"/>
  <c r="D650" i="7"/>
  <c r="AA649" i="9" s="1"/>
  <c r="D651" i="7"/>
  <c r="AA650" i="9" s="1"/>
  <c r="D652" i="7"/>
  <c r="AA651" i="9" s="1"/>
  <c r="D653" i="7"/>
  <c r="AA652" i="9" s="1"/>
  <c r="D654" i="7"/>
  <c r="AA653" i="9" s="1"/>
  <c r="D655" i="7"/>
  <c r="AA654" i="9" s="1"/>
  <c r="D656" i="7"/>
  <c r="AA655" i="9" s="1"/>
  <c r="D657" i="7"/>
  <c r="AA656" i="9" s="1"/>
  <c r="D658" i="7"/>
  <c r="AA657" i="9" s="1"/>
  <c r="D659" i="7"/>
  <c r="AA658" i="9" s="1"/>
  <c r="D660" i="7"/>
  <c r="AA659" i="9" s="1"/>
  <c r="D661" i="7"/>
  <c r="AA660" i="9" s="1"/>
  <c r="D662" i="7"/>
  <c r="AA661" i="9" s="1"/>
  <c r="D663" i="7"/>
  <c r="AA662" i="9" s="1"/>
  <c r="D664" i="7"/>
  <c r="AA663" i="9" s="1"/>
  <c r="D665" i="7"/>
  <c r="AA664" i="9" s="1"/>
  <c r="D666" i="7"/>
  <c r="AA665" i="9" s="1"/>
  <c r="D667" i="7"/>
  <c r="AA666" i="9" s="1"/>
  <c r="D668" i="7"/>
  <c r="AA667" i="9" s="1"/>
  <c r="D669" i="7"/>
  <c r="AA668" i="9" s="1"/>
  <c r="D670" i="7"/>
  <c r="AA669" i="9" s="1"/>
  <c r="D671" i="7"/>
  <c r="AA670" i="9" s="1"/>
  <c r="D672" i="7"/>
  <c r="AA671" i="9" s="1"/>
  <c r="D673" i="7"/>
  <c r="AA672" i="9" s="1"/>
  <c r="D674" i="7"/>
  <c r="AA673" i="9" s="1"/>
  <c r="D675" i="7"/>
  <c r="AA674" i="9" s="1"/>
  <c r="D676" i="7"/>
  <c r="AA675" i="9" s="1"/>
  <c r="D677" i="7"/>
  <c r="AA676" i="9" s="1"/>
  <c r="D678" i="7"/>
  <c r="AA677" i="9" s="1"/>
  <c r="D679" i="7"/>
  <c r="AA678" i="9" s="1"/>
  <c r="D680" i="7"/>
  <c r="AA679" i="9" s="1"/>
  <c r="D681" i="7"/>
  <c r="AA680" i="9" s="1"/>
  <c r="D682" i="7"/>
  <c r="AA681" i="9" s="1"/>
  <c r="D683" i="7"/>
  <c r="AA682" i="9" s="1"/>
  <c r="D684" i="7"/>
  <c r="AA683" i="9" s="1"/>
  <c r="D685" i="7"/>
  <c r="AA684" i="9" s="1"/>
  <c r="D686" i="7"/>
  <c r="AA685" i="9" s="1"/>
  <c r="D687" i="7"/>
  <c r="AA686" i="9" s="1"/>
  <c r="D688" i="7"/>
  <c r="AA687" i="9" s="1"/>
  <c r="D689" i="7"/>
  <c r="AA688" i="9" s="1"/>
  <c r="D690" i="7"/>
  <c r="AA689" i="9" s="1"/>
  <c r="D691" i="7"/>
  <c r="AA690" i="9" s="1"/>
  <c r="D692" i="7"/>
  <c r="AA691" i="9" s="1"/>
  <c r="D693" i="7"/>
  <c r="AA692" i="9" s="1"/>
  <c r="D694" i="7"/>
  <c r="AA693" i="9" s="1"/>
  <c r="D695" i="7"/>
  <c r="AA694" i="9" s="1"/>
  <c r="D696" i="7"/>
  <c r="AA695" i="9" s="1"/>
  <c r="D697" i="7"/>
  <c r="AA696" i="9" s="1"/>
  <c r="D698" i="7"/>
  <c r="AA697" i="9" s="1"/>
  <c r="D699" i="7"/>
  <c r="AA698" i="9" s="1"/>
  <c r="D700" i="7"/>
  <c r="AA699" i="9" s="1"/>
  <c r="D701" i="7"/>
  <c r="AA700" i="9" s="1"/>
  <c r="D702" i="7"/>
  <c r="AA701" i="9" s="1"/>
  <c r="D703" i="7"/>
  <c r="AA702" i="9" s="1"/>
  <c r="D704" i="7"/>
  <c r="AA703" i="9" s="1"/>
  <c r="D705" i="7"/>
  <c r="AA704" i="9" s="1"/>
  <c r="D706" i="7"/>
  <c r="AA705" i="9" s="1"/>
  <c r="D707" i="7"/>
  <c r="AA706" i="9" s="1"/>
  <c r="D708" i="7"/>
  <c r="AA707" i="9" s="1"/>
  <c r="D709" i="7"/>
  <c r="AA708" i="9" s="1"/>
  <c r="D710" i="7"/>
  <c r="AA709" i="9" s="1"/>
  <c r="D711" i="7"/>
  <c r="AA710" i="9" s="1"/>
  <c r="D712" i="7"/>
  <c r="AA711" i="9" s="1"/>
  <c r="D713" i="7"/>
  <c r="AA712" i="9" s="1"/>
  <c r="D714" i="7"/>
  <c r="AA713" i="9" s="1"/>
  <c r="D715" i="7"/>
  <c r="AA714" i="9" s="1"/>
  <c r="D716" i="7"/>
  <c r="AA715" i="9" s="1"/>
  <c r="D717" i="7"/>
  <c r="AA716" i="9" s="1"/>
  <c r="D718" i="7"/>
  <c r="AA717" i="9" s="1"/>
  <c r="D719" i="7"/>
  <c r="AA718" i="9" s="1"/>
  <c r="D720" i="7"/>
  <c r="AA719" i="9" s="1"/>
  <c r="D721" i="7"/>
  <c r="AA720" i="9" s="1"/>
  <c r="D722" i="7"/>
  <c r="AA721" i="9" s="1"/>
  <c r="D723" i="7"/>
  <c r="AA722" i="9" s="1"/>
  <c r="D724" i="7"/>
  <c r="AA723" i="9" s="1"/>
  <c r="D725" i="7"/>
  <c r="AA724" i="9" s="1"/>
  <c r="D726" i="7"/>
  <c r="AA725" i="9" s="1"/>
  <c r="D727" i="7"/>
  <c r="AA726" i="9" s="1"/>
  <c r="D728" i="7"/>
  <c r="AA727" i="9" s="1"/>
  <c r="D729" i="7"/>
  <c r="AA728" i="9" s="1"/>
  <c r="D730" i="7"/>
  <c r="AA729" i="9" s="1"/>
  <c r="D731" i="7"/>
  <c r="AA730" i="9" s="1"/>
  <c r="D732" i="7"/>
  <c r="AA731" i="9" s="1"/>
  <c r="D733" i="7"/>
  <c r="AA732" i="9" s="1"/>
  <c r="D734" i="7"/>
  <c r="AA733" i="9" s="1"/>
  <c r="D735" i="7"/>
  <c r="AA734" i="9" s="1"/>
  <c r="D736" i="7"/>
  <c r="AA735" i="9" s="1"/>
  <c r="D737" i="7"/>
  <c r="AA736" i="9" s="1"/>
  <c r="D738" i="7"/>
  <c r="AA737" i="9" s="1"/>
  <c r="D739" i="7"/>
  <c r="AA738" i="9" s="1"/>
  <c r="D740" i="7"/>
  <c r="AA739" i="9" s="1"/>
  <c r="D741" i="7"/>
  <c r="AA740" i="9" s="1"/>
  <c r="D742" i="7"/>
  <c r="AA741" i="9" s="1"/>
  <c r="D743" i="7"/>
  <c r="AA742" i="9" s="1"/>
  <c r="D744" i="7"/>
  <c r="AA743" i="9" s="1"/>
  <c r="D745" i="7"/>
  <c r="AA744" i="9" s="1"/>
  <c r="D746" i="7"/>
  <c r="AA745" i="9" s="1"/>
  <c r="D747" i="7"/>
  <c r="AA746" i="9" s="1"/>
  <c r="D748" i="7"/>
  <c r="AA747" i="9" s="1"/>
  <c r="D749" i="7"/>
  <c r="AA748" i="9" s="1"/>
  <c r="D750" i="7"/>
  <c r="AA749" i="9" s="1"/>
  <c r="D751" i="7"/>
  <c r="AA750" i="9" s="1"/>
  <c r="D752" i="7"/>
  <c r="AA751" i="9" s="1"/>
  <c r="D753" i="7"/>
  <c r="AA752" i="9" s="1"/>
  <c r="D754" i="7"/>
  <c r="AA753" i="9" s="1"/>
  <c r="D755" i="7"/>
  <c r="AA754" i="9" s="1"/>
  <c r="D756" i="7"/>
  <c r="AA755" i="9" s="1"/>
  <c r="D757" i="7"/>
  <c r="AA756" i="9" s="1"/>
  <c r="D758" i="7"/>
  <c r="AA757" i="9" s="1"/>
  <c r="D759" i="7"/>
  <c r="AA758" i="9" s="1"/>
  <c r="D760" i="7"/>
  <c r="AA759" i="9" s="1"/>
  <c r="D761" i="7"/>
  <c r="AA760" i="9" s="1"/>
  <c r="D762" i="7"/>
  <c r="AA761" i="9" s="1"/>
  <c r="D763" i="7"/>
  <c r="AA762" i="9" s="1"/>
  <c r="D764" i="7"/>
  <c r="AA763" i="9" s="1"/>
  <c r="D765" i="7"/>
  <c r="AA764" i="9" s="1"/>
  <c r="D766" i="7"/>
  <c r="AA765" i="9" s="1"/>
  <c r="D767" i="7"/>
  <c r="AA766" i="9" s="1"/>
  <c r="D768" i="7"/>
  <c r="AA767" i="9" s="1"/>
  <c r="D769" i="7"/>
  <c r="AA768" i="9" s="1"/>
  <c r="BE3" i="7"/>
  <c r="BE4" i="7"/>
  <c r="BE5" i="7"/>
  <c r="BE6" i="7"/>
  <c r="BE7" i="7"/>
  <c r="BE8" i="7"/>
  <c r="BE9" i="7"/>
  <c r="BE10" i="7"/>
  <c r="BE11" i="7"/>
  <c r="BE12" i="7"/>
  <c r="BE13" i="7"/>
  <c r="BE14" i="7"/>
  <c r="BE15" i="7"/>
  <c r="BE16" i="7"/>
  <c r="BE17" i="7"/>
  <c r="BE18" i="7"/>
  <c r="BE19" i="7"/>
  <c r="BE20" i="7"/>
  <c r="BE21" i="7"/>
  <c r="BE22" i="7"/>
  <c r="BE23" i="7"/>
  <c r="BE24" i="7"/>
  <c r="BE25" i="7"/>
  <c r="BE26" i="7"/>
  <c r="BE27" i="7"/>
  <c r="BE28" i="7"/>
  <c r="BE29" i="7"/>
  <c r="BE30" i="7"/>
  <c r="BE31" i="7"/>
  <c r="BE32" i="7"/>
  <c r="BE33" i="7"/>
  <c r="BE34" i="7"/>
  <c r="BE35" i="7"/>
  <c r="BE36" i="7"/>
  <c r="BE37" i="7"/>
  <c r="BE38" i="7"/>
  <c r="BE39" i="7"/>
  <c r="BE40" i="7"/>
  <c r="BE41" i="7"/>
  <c r="BE42" i="7"/>
  <c r="BE43" i="7"/>
  <c r="BE44" i="7"/>
  <c r="BE45" i="7"/>
  <c r="BE46" i="7"/>
  <c r="BE47" i="7"/>
  <c r="BE48" i="7"/>
  <c r="BE49" i="7"/>
  <c r="BE50" i="7"/>
  <c r="BE51" i="7"/>
  <c r="BE52" i="7"/>
  <c r="BE53" i="7"/>
  <c r="BE54" i="7"/>
  <c r="BE55" i="7"/>
  <c r="BE56" i="7"/>
  <c r="BE57" i="7"/>
  <c r="BE58" i="7"/>
  <c r="BE59" i="7"/>
  <c r="BE60" i="7"/>
  <c r="BE61" i="7"/>
  <c r="BE62" i="7"/>
  <c r="BE63" i="7"/>
  <c r="BE64" i="7"/>
  <c r="BE65" i="7"/>
  <c r="BE66" i="7"/>
  <c r="BE67" i="7"/>
  <c r="BE68" i="7"/>
  <c r="BE69" i="7"/>
  <c r="BE70" i="7"/>
  <c r="BE71" i="7"/>
  <c r="BE72" i="7"/>
  <c r="BE73" i="7"/>
  <c r="BE74" i="7"/>
  <c r="BE75" i="7"/>
  <c r="BE76" i="7"/>
  <c r="BE77" i="7"/>
  <c r="BE78" i="7"/>
  <c r="BE79" i="7"/>
  <c r="BE80" i="7"/>
  <c r="BE81" i="7"/>
  <c r="BE82" i="7"/>
  <c r="BE83" i="7"/>
  <c r="BE84" i="7"/>
  <c r="BE85" i="7"/>
  <c r="BE86" i="7"/>
  <c r="BE87" i="7"/>
  <c r="BE88" i="7"/>
  <c r="BE89" i="7"/>
  <c r="BE90" i="7"/>
  <c r="BE91" i="7"/>
  <c r="BE92" i="7"/>
  <c r="BE93" i="7"/>
  <c r="BE94" i="7"/>
  <c r="BE95" i="7"/>
  <c r="BE96" i="7"/>
  <c r="BE97" i="7"/>
  <c r="BE98" i="7"/>
  <c r="BE99" i="7"/>
  <c r="BE100" i="7"/>
  <c r="BE101" i="7"/>
  <c r="BE102" i="7"/>
  <c r="BE103" i="7"/>
  <c r="BE104" i="7"/>
  <c r="BE105" i="7"/>
  <c r="BE106" i="7"/>
  <c r="BE107" i="7"/>
  <c r="BE108" i="7"/>
  <c r="BE109" i="7"/>
  <c r="BE110" i="7"/>
  <c r="BE111" i="7"/>
  <c r="BE112" i="7"/>
  <c r="BE113" i="7"/>
  <c r="BE114" i="7"/>
  <c r="BE115" i="7"/>
  <c r="BE116" i="7"/>
  <c r="BE117" i="7"/>
  <c r="BE118" i="7"/>
  <c r="BE119" i="7"/>
  <c r="BE120" i="7"/>
  <c r="BE121" i="7"/>
  <c r="BE122" i="7"/>
  <c r="BE123" i="7"/>
  <c r="BE124" i="7"/>
  <c r="BE125" i="7"/>
  <c r="BE126" i="7"/>
  <c r="BE127" i="7"/>
  <c r="BE128" i="7"/>
  <c r="BE129" i="7"/>
  <c r="BE130" i="7"/>
  <c r="BE131" i="7"/>
  <c r="BE132" i="7"/>
  <c r="BE133" i="7"/>
  <c r="BE134" i="7"/>
  <c r="BE135" i="7"/>
  <c r="BE136" i="7"/>
  <c r="BE137" i="7"/>
  <c r="BE138" i="7"/>
  <c r="BE139" i="7"/>
  <c r="BE140" i="7"/>
  <c r="BE141" i="7"/>
  <c r="BE142" i="7"/>
  <c r="BE143" i="7"/>
  <c r="BE144" i="7"/>
  <c r="BE145" i="7"/>
  <c r="BE146" i="7"/>
  <c r="BE147" i="7"/>
  <c r="BE148" i="7"/>
  <c r="BE149" i="7"/>
  <c r="BE150" i="7"/>
  <c r="BE151" i="7"/>
  <c r="BE152" i="7"/>
  <c r="BE153" i="7"/>
  <c r="BE154" i="7"/>
  <c r="BE155" i="7"/>
  <c r="BE156" i="7"/>
  <c r="BE157" i="7"/>
  <c r="BE158" i="7"/>
  <c r="BE159" i="7"/>
  <c r="BE160" i="7"/>
  <c r="BE161" i="7"/>
  <c r="BE162" i="7"/>
  <c r="BE163" i="7"/>
  <c r="BE164" i="7"/>
  <c r="BE165" i="7"/>
  <c r="BE166" i="7"/>
  <c r="BE167" i="7"/>
  <c r="BE168" i="7"/>
  <c r="BE169" i="7"/>
  <c r="BE170" i="7"/>
  <c r="BE171" i="7"/>
  <c r="BE172" i="7"/>
  <c r="BE173" i="7"/>
  <c r="BE174" i="7"/>
  <c r="BE175" i="7"/>
  <c r="BE176" i="7"/>
  <c r="BE177" i="7"/>
  <c r="BE178" i="7"/>
  <c r="BE179" i="7"/>
  <c r="BE180" i="7"/>
  <c r="BE181" i="7"/>
  <c r="BE182" i="7"/>
  <c r="BE183" i="7"/>
  <c r="BE184" i="7"/>
  <c r="BE185" i="7"/>
  <c r="BE186" i="7"/>
  <c r="BE187" i="7"/>
  <c r="BE188" i="7"/>
  <c r="BE189" i="7"/>
  <c r="BE190" i="7"/>
  <c r="BE191" i="7"/>
  <c r="BE192" i="7"/>
  <c r="BE193" i="7"/>
  <c r="BE194" i="7"/>
  <c r="BE195" i="7"/>
  <c r="BE196" i="7"/>
  <c r="BE197" i="7"/>
  <c r="BE198" i="7"/>
  <c r="BE199" i="7"/>
  <c r="BE200" i="7"/>
  <c r="BE201" i="7"/>
  <c r="BE202" i="7"/>
  <c r="BE203" i="7"/>
  <c r="BE204" i="7"/>
  <c r="BE205" i="7"/>
  <c r="BE206" i="7"/>
  <c r="BE207" i="7"/>
  <c r="BE208" i="7"/>
  <c r="BE209" i="7"/>
  <c r="BE210" i="7"/>
  <c r="BE211" i="7"/>
  <c r="BE212" i="7"/>
  <c r="BE213" i="7"/>
  <c r="BE214" i="7"/>
  <c r="BE215" i="7"/>
  <c r="BE216" i="7"/>
  <c r="BE217" i="7"/>
  <c r="BE218" i="7"/>
  <c r="BE219" i="7"/>
  <c r="BE220" i="7"/>
  <c r="BE221" i="7"/>
  <c r="BE222" i="7"/>
  <c r="BE223" i="7"/>
  <c r="BE224" i="7"/>
  <c r="BE225" i="7"/>
  <c r="BE226" i="7"/>
  <c r="BE227" i="7"/>
  <c r="BE228" i="7"/>
  <c r="BE229" i="7"/>
  <c r="BE230" i="7"/>
  <c r="BE231" i="7"/>
  <c r="BE232" i="7"/>
  <c r="BE233" i="7"/>
  <c r="BE234" i="7"/>
  <c r="BE235" i="7"/>
  <c r="BE236" i="7"/>
  <c r="BE237" i="7"/>
  <c r="BE238" i="7"/>
  <c r="BE239" i="7"/>
  <c r="BE240" i="7"/>
  <c r="BE241" i="7"/>
  <c r="BE242" i="7"/>
  <c r="BE243" i="7"/>
  <c r="BE244" i="7"/>
  <c r="BE245" i="7"/>
  <c r="BE246" i="7"/>
  <c r="BE247" i="7"/>
  <c r="BE248" i="7"/>
  <c r="BE249" i="7"/>
  <c r="BE250" i="7"/>
  <c r="BE251" i="7"/>
  <c r="BE252" i="7"/>
  <c r="BE253" i="7"/>
  <c r="BE254" i="7"/>
  <c r="BE255" i="7"/>
  <c r="BE256" i="7"/>
  <c r="BE257" i="7"/>
  <c r="BE258" i="7"/>
  <c r="BE259" i="7"/>
  <c r="BE260" i="7"/>
  <c r="BE261" i="7"/>
  <c r="BE262" i="7"/>
  <c r="BE263" i="7"/>
  <c r="BE264" i="7"/>
  <c r="BE265" i="7"/>
  <c r="BE266" i="7"/>
  <c r="BE267" i="7"/>
  <c r="BE268" i="7"/>
  <c r="BE269" i="7"/>
  <c r="BE270" i="7"/>
  <c r="BE271" i="7"/>
  <c r="BE272" i="7"/>
  <c r="BE273" i="7"/>
  <c r="BE274" i="7"/>
  <c r="BE275" i="7"/>
  <c r="BE276" i="7"/>
  <c r="BE277" i="7"/>
  <c r="BE278" i="7"/>
  <c r="BE279" i="7"/>
  <c r="BE280" i="7"/>
  <c r="BE281" i="7"/>
  <c r="BE282" i="7"/>
  <c r="BE283" i="7"/>
  <c r="BE284" i="7"/>
  <c r="BE285" i="7"/>
  <c r="BE286" i="7"/>
  <c r="BE287" i="7"/>
  <c r="BE288" i="7"/>
  <c r="BE289" i="7"/>
  <c r="BE290" i="7"/>
  <c r="BE291" i="7"/>
  <c r="BE292" i="7"/>
  <c r="BE293" i="7"/>
  <c r="BE294" i="7"/>
  <c r="BE295" i="7"/>
  <c r="BE296" i="7"/>
  <c r="BE297" i="7"/>
  <c r="BE298" i="7"/>
  <c r="BE299" i="7"/>
  <c r="BE300" i="7"/>
  <c r="BE301" i="7"/>
  <c r="BE302" i="7"/>
  <c r="BE303" i="7"/>
  <c r="BE304" i="7"/>
  <c r="BE305" i="7"/>
  <c r="BE306" i="7"/>
  <c r="BE307" i="7"/>
  <c r="BE308" i="7"/>
  <c r="BE309" i="7"/>
  <c r="BE310" i="7"/>
  <c r="BE311" i="7"/>
  <c r="BE312" i="7"/>
  <c r="BE313" i="7"/>
  <c r="BE314" i="7"/>
  <c r="BE315" i="7"/>
  <c r="BE316" i="7"/>
  <c r="BE317" i="7"/>
  <c r="BE318" i="7"/>
  <c r="BE319" i="7"/>
  <c r="BE320" i="7"/>
  <c r="BE321" i="7"/>
  <c r="BE322" i="7"/>
  <c r="BE323" i="7"/>
  <c r="BE324" i="7"/>
  <c r="BE325" i="7"/>
  <c r="BE326" i="7"/>
  <c r="BE327" i="7"/>
  <c r="BE328" i="7"/>
  <c r="BE329" i="7"/>
  <c r="BE330" i="7"/>
  <c r="BE331" i="7"/>
  <c r="BE332" i="7"/>
  <c r="BE333" i="7"/>
  <c r="BE334" i="7"/>
  <c r="BE335" i="7"/>
  <c r="BE336" i="7"/>
  <c r="BE337" i="7"/>
  <c r="BE338" i="7"/>
  <c r="BE339" i="7"/>
  <c r="BE340" i="7"/>
  <c r="BE341" i="7"/>
  <c r="BE342" i="7"/>
  <c r="BE343" i="7"/>
  <c r="BE344" i="7"/>
  <c r="BE345" i="7"/>
  <c r="BE346" i="7"/>
  <c r="BE347" i="7"/>
  <c r="BE348" i="7"/>
  <c r="BE349" i="7"/>
  <c r="BE350" i="7"/>
  <c r="BE351" i="7"/>
  <c r="BE352" i="7"/>
  <c r="BE353" i="7"/>
  <c r="BE354" i="7"/>
  <c r="BE355" i="7"/>
  <c r="BE356" i="7"/>
  <c r="BE357" i="7"/>
  <c r="BE358" i="7"/>
  <c r="BE359" i="7"/>
  <c r="BE360" i="7"/>
  <c r="BE361" i="7"/>
  <c r="BE362" i="7"/>
  <c r="BE363" i="7"/>
  <c r="BE364" i="7"/>
  <c r="BE365" i="7"/>
  <c r="BE366" i="7"/>
  <c r="BE367" i="7"/>
  <c r="BE368" i="7"/>
  <c r="BE369" i="7"/>
  <c r="BE370" i="7"/>
  <c r="BE371" i="7"/>
  <c r="BE372" i="7"/>
  <c r="BE373" i="7"/>
  <c r="BE374" i="7"/>
  <c r="BE375" i="7"/>
  <c r="BE376" i="7"/>
  <c r="BE377" i="7"/>
  <c r="BE378" i="7"/>
  <c r="BE379" i="7"/>
  <c r="BE380" i="7"/>
  <c r="BE381" i="7"/>
  <c r="BE382" i="7"/>
  <c r="BE383" i="7"/>
  <c r="BE384" i="7"/>
  <c r="BE385" i="7"/>
  <c r="BE386" i="7"/>
  <c r="BE387" i="7"/>
  <c r="BE388" i="7"/>
  <c r="BE389" i="7"/>
  <c r="BE390" i="7"/>
  <c r="BE391" i="7"/>
  <c r="BE392" i="7"/>
  <c r="BE393" i="7"/>
  <c r="BE394" i="7"/>
  <c r="BE395" i="7"/>
  <c r="BE396" i="7"/>
  <c r="BE397" i="7"/>
  <c r="BE398" i="7"/>
  <c r="BE399" i="7"/>
  <c r="BE400" i="7"/>
  <c r="BE401" i="7"/>
  <c r="BE402" i="7"/>
  <c r="BE403" i="7"/>
  <c r="BE404" i="7"/>
  <c r="BE405" i="7"/>
  <c r="BE406" i="7"/>
  <c r="BE407" i="7"/>
  <c r="BE408" i="7"/>
  <c r="BE409" i="7"/>
  <c r="BE410" i="7"/>
  <c r="BE411" i="7"/>
  <c r="BE412" i="7"/>
  <c r="BE413" i="7"/>
  <c r="BE414" i="7"/>
  <c r="BE415" i="7"/>
  <c r="BE416" i="7"/>
  <c r="BE417" i="7"/>
  <c r="BE418" i="7"/>
  <c r="BE419" i="7"/>
  <c r="BE420" i="7"/>
  <c r="BE421" i="7"/>
  <c r="BE422" i="7"/>
  <c r="BE423" i="7"/>
  <c r="BE424" i="7"/>
  <c r="BE425" i="7"/>
  <c r="BE426" i="7"/>
  <c r="BE427" i="7"/>
  <c r="BE428" i="7"/>
  <c r="BE429" i="7"/>
  <c r="BE430" i="7"/>
  <c r="BE431" i="7"/>
  <c r="BE432" i="7"/>
  <c r="BE433" i="7"/>
  <c r="BE434" i="7"/>
  <c r="BE435" i="7"/>
  <c r="BE436" i="7"/>
  <c r="BE437" i="7"/>
  <c r="BE438" i="7"/>
  <c r="BE439" i="7"/>
  <c r="BE440" i="7"/>
  <c r="BE441" i="7"/>
  <c r="BE442" i="7"/>
  <c r="BE443" i="7"/>
  <c r="BE444" i="7"/>
  <c r="BE445" i="7"/>
  <c r="BE446" i="7"/>
  <c r="BE447" i="7"/>
  <c r="BE448" i="7"/>
  <c r="BE449" i="7"/>
  <c r="BE450" i="7"/>
  <c r="BE451" i="7"/>
  <c r="BE452" i="7"/>
  <c r="BE453" i="7"/>
  <c r="BE454" i="7"/>
  <c r="BE455" i="7"/>
  <c r="BE456" i="7"/>
  <c r="BE457" i="7"/>
  <c r="BE458" i="7"/>
  <c r="BE459" i="7"/>
  <c r="BE460" i="7"/>
  <c r="BE461" i="7"/>
  <c r="BE462" i="7"/>
  <c r="BE463" i="7"/>
  <c r="BE464" i="7"/>
  <c r="BE465" i="7"/>
  <c r="BE466" i="7"/>
  <c r="BE467" i="7"/>
  <c r="BE468" i="7"/>
  <c r="BE469" i="7"/>
  <c r="BE470" i="7"/>
  <c r="BE471" i="7"/>
  <c r="BE472" i="7"/>
  <c r="BE473" i="7"/>
  <c r="BE474" i="7"/>
  <c r="BE475" i="7"/>
  <c r="BE476" i="7"/>
  <c r="BE477" i="7"/>
  <c r="BE478" i="7"/>
  <c r="BE479" i="7"/>
  <c r="BE480" i="7"/>
  <c r="BE481" i="7"/>
  <c r="BE482" i="7"/>
  <c r="BE483" i="7"/>
  <c r="BE484" i="7"/>
  <c r="BE485" i="7"/>
  <c r="BE486" i="7"/>
  <c r="BE487" i="7"/>
  <c r="BE488" i="7"/>
  <c r="BE489" i="7"/>
  <c r="BE490" i="7"/>
  <c r="BE491" i="7"/>
  <c r="BE492" i="7"/>
  <c r="BE493" i="7"/>
  <c r="BE494" i="7"/>
  <c r="BE495" i="7"/>
  <c r="BE496" i="7"/>
  <c r="BE497" i="7"/>
  <c r="BE498" i="7"/>
  <c r="BE499" i="7"/>
  <c r="BE500" i="7"/>
  <c r="BE501" i="7"/>
  <c r="BE502" i="7"/>
  <c r="BE503" i="7"/>
  <c r="BE504" i="7"/>
  <c r="BE505" i="7"/>
  <c r="BE506" i="7"/>
  <c r="BE507" i="7"/>
  <c r="BE508" i="7"/>
  <c r="BE509" i="7"/>
  <c r="BE510" i="7"/>
  <c r="BE511" i="7"/>
  <c r="BE512" i="7"/>
  <c r="BE513" i="7"/>
  <c r="BE514" i="7"/>
  <c r="BE515" i="7"/>
  <c r="BE516" i="7"/>
  <c r="BE517" i="7"/>
  <c r="BE518" i="7"/>
  <c r="BE519" i="7"/>
  <c r="BE520" i="7"/>
  <c r="BE521" i="7"/>
  <c r="BE522" i="7"/>
  <c r="BE523" i="7"/>
  <c r="BE524" i="7"/>
  <c r="BE525" i="7"/>
  <c r="BE526" i="7"/>
  <c r="BE527" i="7"/>
  <c r="BE528" i="7"/>
  <c r="BE529" i="7"/>
  <c r="BE530" i="7"/>
  <c r="BE531" i="7"/>
  <c r="BE532" i="7"/>
  <c r="BE533" i="7"/>
  <c r="BE534" i="7"/>
  <c r="BE535" i="7"/>
  <c r="BE536" i="7"/>
  <c r="BE537" i="7"/>
  <c r="BE538" i="7"/>
  <c r="BE539" i="7"/>
  <c r="BE540" i="7"/>
  <c r="BE541" i="7"/>
  <c r="BE542" i="7"/>
  <c r="BE543" i="7"/>
  <c r="BE544" i="7"/>
  <c r="BE545" i="7"/>
  <c r="BE546" i="7"/>
  <c r="BE547" i="7"/>
  <c r="BE548" i="7"/>
  <c r="BE549" i="7"/>
  <c r="BE550" i="7"/>
  <c r="BE551" i="7"/>
  <c r="BE552" i="7"/>
  <c r="BE553" i="7"/>
  <c r="BE554" i="7"/>
  <c r="BE555" i="7"/>
  <c r="BE556" i="7"/>
  <c r="BE557" i="7"/>
  <c r="BE558" i="7"/>
  <c r="BE559" i="7"/>
  <c r="BE560" i="7"/>
  <c r="BE561" i="7"/>
  <c r="BE562" i="7"/>
  <c r="BE563" i="7"/>
  <c r="BE564" i="7"/>
  <c r="BE565" i="7"/>
  <c r="BE566" i="7"/>
  <c r="BE567" i="7"/>
  <c r="BE568" i="7"/>
  <c r="BE569" i="7"/>
  <c r="BE570" i="7"/>
  <c r="BE571" i="7"/>
  <c r="BE572" i="7"/>
  <c r="BE573" i="7"/>
  <c r="BE574" i="7"/>
  <c r="BE575" i="7"/>
  <c r="BE576" i="7"/>
  <c r="BE577" i="7"/>
  <c r="BE578" i="7"/>
  <c r="BE579" i="7"/>
  <c r="BE580" i="7"/>
  <c r="BE581" i="7"/>
  <c r="BE582" i="7"/>
  <c r="BE583" i="7"/>
  <c r="BE584" i="7"/>
  <c r="BE585" i="7"/>
  <c r="BE586" i="7"/>
  <c r="BE587" i="7"/>
  <c r="BE588" i="7"/>
  <c r="BE589" i="7"/>
  <c r="BE590" i="7"/>
  <c r="BE591" i="7"/>
  <c r="BE592" i="7"/>
  <c r="BE593" i="7"/>
  <c r="BE594" i="7"/>
  <c r="BE595" i="7"/>
  <c r="BE596" i="7"/>
  <c r="BE597" i="7"/>
  <c r="BE598" i="7"/>
  <c r="BE599" i="7"/>
  <c r="BE600" i="7"/>
  <c r="BE601" i="7"/>
  <c r="BE602" i="7"/>
  <c r="BE603" i="7"/>
  <c r="BE604" i="7"/>
  <c r="BE605" i="7"/>
  <c r="BE606" i="7"/>
  <c r="BE607" i="7"/>
  <c r="BE608" i="7"/>
  <c r="BE609" i="7"/>
  <c r="BE610" i="7"/>
  <c r="BE611" i="7"/>
  <c r="BE612" i="7"/>
  <c r="BE613" i="7"/>
  <c r="BE614" i="7"/>
  <c r="BE615" i="7"/>
  <c r="BE616" i="7"/>
  <c r="BE617" i="7"/>
  <c r="BE618" i="7"/>
  <c r="BE619" i="7"/>
  <c r="BE620" i="7"/>
  <c r="BE621" i="7"/>
  <c r="BE622" i="7"/>
  <c r="BE623" i="7"/>
  <c r="BE624" i="7"/>
  <c r="BE625" i="7"/>
  <c r="BE626" i="7"/>
  <c r="BE627" i="7"/>
  <c r="BE628" i="7"/>
  <c r="BE629" i="7"/>
  <c r="BE630" i="7"/>
  <c r="BE631" i="7"/>
  <c r="BE632" i="7"/>
  <c r="BE633" i="7"/>
  <c r="BE634" i="7"/>
  <c r="BE635" i="7"/>
  <c r="BE636" i="7"/>
  <c r="BE637" i="7"/>
  <c r="BE638" i="7"/>
  <c r="BE639" i="7"/>
  <c r="BE640" i="7"/>
  <c r="BE641" i="7"/>
  <c r="BE642" i="7"/>
  <c r="BE643" i="7"/>
  <c r="BE644" i="7"/>
  <c r="BE645" i="7"/>
  <c r="BE646" i="7"/>
  <c r="BE647" i="7"/>
  <c r="BE648" i="7"/>
  <c r="BE649" i="7"/>
  <c r="BE650" i="7"/>
  <c r="BE651" i="7"/>
  <c r="BE652" i="7"/>
  <c r="BE653" i="7"/>
  <c r="BE654" i="7"/>
  <c r="BE655" i="7"/>
  <c r="BE656" i="7"/>
  <c r="BE657" i="7"/>
  <c r="BE658" i="7"/>
  <c r="BE659" i="7"/>
  <c r="BE660" i="7"/>
  <c r="BE661" i="7"/>
  <c r="BE662" i="7"/>
  <c r="BE663" i="7"/>
  <c r="BE664" i="7"/>
  <c r="BE665" i="7"/>
  <c r="BE666" i="7"/>
  <c r="BE667" i="7"/>
  <c r="BE668" i="7"/>
  <c r="BE669" i="7"/>
  <c r="BE670" i="7"/>
  <c r="BE671" i="7"/>
  <c r="BE672" i="7"/>
  <c r="BE673" i="7"/>
  <c r="BE674" i="7"/>
  <c r="BE675" i="7"/>
  <c r="BE676" i="7"/>
  <c r="BE677" i="7"/>
  <c r="BE678" i="7"/>
  <c r="BE679" i="7"/>
  <c r="BE680" i="7"/>
  <c r="BE681" i="7"/>
  <c r="BE682" i="7"/>
  <c r="BE683" i="7"/>
  <c r="BE684" i="7"/>
  <c r="BE685" i="7"/>
  <c r="BE686" i="7"/>
  <c r="BE687" i="7"/>
  <c r="BE688" i="7"/>
  <c r="BE689" i="7"/>
  <c r="BE690" i="7"/>
  <c r="BE691" i="7"/>
  <c r="BE692" i="7"/>
  <c r="BE693" i="7"/>
  <c r="BE694" i="7"/>
  <c r="BE695" i="7"/>
  <c r="BE696" i="7"/>
  <c r="BE697" i="7"/>
  <c r="BE698" i="7"/>
  <c r="BE699" i="7"/>
  <c r="BE700" i="7"/>
  <c r="BE701" i="7"/>
  <c r="BE702" i="7"/>
  <c r="BE703" i="7"/>
  <c r="BE704" i="7"/>
  <c r="BE705" i="7"/>
  <c r="BE706" i="7"/>
  <c r="BE707" i="7"/>
  <c r="BE708" i="7"/>
  <c r="BE709" i="7"/>
  <c r="BE710" i="7"/>
  <c r="BE711" i="7"/>
  <c r="BE712" i="7"/>
  <c r="BE713" i="7"/>
  <c r="BE714" i="7"/>
  <c r="BE715" i="7"/>
  <c r="BE716" i="7"/>
  <c r="BE717" i="7"/>
  <c r="BE718" i="7"/>
  <c r="BE719" i="7"/>
  <c r="BE720" i="7"/>
  <c r="BE721" i="7"/>
  <c r="BE722" i="7"/>
  <c r="BE723" i="7"/>
  <c r="BE724" i="7"/>
  <c r="BE725" i="7"/>
  <c r="BE726" i="7"/>
  <c r="BE727" i="7"/>
  <c r="BE728" i="7"/>
  <c r="BE729" i="7"/>
  <c r="BE730" i="7"/>
  <c r="BE731" i="7"/>
  <c r="BE732" i="7"/>
  <c r="BE733" i="7"/>
  <c r="BE734" i="7"/>
  <c r="BE735" i="7"/>
  <c r="BE736" i="7"/>
  <c r="BE737" i="7"/>
  <c r="BE738" i="7"/>
  <c r="BE739" i="7"/>
  <c r="BE740" i="7"/>
  <c r="BE741" i="7"/>
  <c r="BE742" i="7"/>
  <c r="BE743" i="7"/>
  <c r="BE744" i="7"/>
  <c r="BE745" i="7"/>
  <c r="BE746" i="7"/>
  <c r="BE747" i="7"/>
  <c r="BE748" i="7"/>
  <c r="BE749" i="7"/>
  <c r="BE750" i="7"/>
  <c r="BE751" i="7"/>
  <c r="BE752" i="7"/>
  <c r="BE753" i="7"/>
  <c r="BE754" i="7"/>
  <c r="BE755" i="7"/>
  <c r="BE756" i="7"/>
  <c r="BE757" i="7"/>
  <c r="BE758" i="7"/>
  <c r="BE759" i="7"/>
  <c r="BE760" i="7"/>
  <c r="BE761" i="7"/>
  <c r="BE762" i="7"/>
  <c r="BE763" i="7"/>
  <c r="BE764" i="7"/>
  <c r="BE765" i="7"/>
  <c r="BE766" i="7"/>
  <c r="BE767" i="7"/>
  <c r="BE768" i="7"/>
  <c r="BE769" i="7"/>
  <c r="BD3" i="7"/>
  <c r="BD4" i="7"/>
  <c r="BD5" i="7"/>
  <c r="BD6" i="7"/>
  <c r="BD7" i="7"/>
  <c r="BD8" i="7"/>
  <c r="BD9" i="7"/>
  <c r="BD10" i="7"/>
  <c r="BD11" i="7"/>
  <c r="BD12" i="7"/>
  <c r="BD13" i="7"/>
  <c r="BD14" i="7"/>
  <c r="BD15" i="7"/>
  <c r="BD16" i="7"/>
  <c r="BD17" i="7"/>
  <c r="BD18" i="7"/>
  <c r="BD19" i="7"/>
  <c r="BD20" i="7"/>
  <c r="BD21" i="7"/>
  <c r="BD22" i="7"/>
  <c r="BD23" i="7"/>
  <c r="BD24" i="7"/>
  <c r="BD25" i="7"/>
  <c r="BD26" i="7"/>
  <c r="BD27" i="7"/>
  <c r="BD28" i="7"/>
  <c r="BD29" i="7"/>
  <c r="BD30" i="7"/>
  <c r="BD31" i="7"/>
  <c r="BD32" i="7"/>
  <c r="BD33" i="7"/>
  <c r="BD34" i="7"/>
  <c r="BD35" i="7"/>
  <c r="BD36" i="7"/>
  <c r="BD37" i="7"/>
  <c r="BD38" i="7"/>
  <c r="BD39" i="7"/>
  <c r="BD40" i="7"/>
  <c r="BD41" i="7"/>
  <c r="BD42" i="7"/>
  <c r="BD43" i="7"/>
  <c r="BD44" i="7"/>
  <c r="BD45" i="7"/>
  <c r="BD46" i="7"/>
  <c r="BD47" i="7"/>
  <c r="BD48" i="7"/>
  <c r="BD49" i="7"/>
  <c r="BD50" i="7"/>
  <c r="BD51" i="7"/>
  <c r="BD52" i="7"/>
  <c r="BD53" i="7"/>
  <c r="BD54" i="7"/>
  <c r="BD55" i="7"/>
  <c r="BD56" i="7"/>
  <c r="BD57" i="7"/>
  <c r="BD58" i="7"/>
  <c r="BD59" i="7"/>
  <c r="BD60" i="7"/>
  <c r="BD61" i="7"/>
  <c r="BD62" i="7"/>
  <c r="BD63" i="7"/>
  <c r="BD64" i="7"/>
  <c r="BD65" i="7"/>
  <c r="BD66" i="7"/>
  <c r="BD67" i="7"/>
  <c r="BD68" i="7"/>
  <c r="BD69" i="7"/>
  <c r="BD70" i="7"/>
  <c r="BD71" i="7"/>
  <c r="BD72" i="7"/>
  <c r="BD73" i="7"/>
  <c r="BD74" i="7"/>
  <c r="BD75" i="7"/>
  <c r="BD76" i="7"/>
  <c r="BD77" i="7"/>
  <c r="BD78" i="7"/>
  <c r="BD79" i="7"/>
  <c r="BD80" i="7"/>
  <c r="BD81" i="7"/>
  <c r="BD82" i="7"/>
  <c r="BD83" i="7"/>
  <c r="BD84" i="7"/>
  <c r="BD85" i="7"/>
  <c r="BD86" i="7"/>
  <c r="BD87" i="7"/>
  <c r="BD88" i="7"/>
  <c r="BD89" i="7"/>
  <c r="BD90" i="7"/>
  <c r="BD91" i="7"/>
  <c r="BD92" i="7"/>
  <c r="BD93" i="7"/>
  <c r="BD94" i="7"/>
  <c r="BD95" i="7"/>
  <c r="BD96" i="7"/>
  <c r="BD97" i="7"/>
  <c r="BD98" i="7"/>
  <c r="BD99" i="7"/>
  <c r="BD100" i="7"/>
  <c r="BD101" i="7"/>
  <c r="BD102" i="7"/>
  <c r="BD103" i="7"/>
  <c r="BD104" i="7"/>
  <c r="BD105" i="7"/>
  <c r="BD106" i="7"/>
  <c r="BD107" i="7"/>
  <c r="BD108" i="7"/>
  <c r="BD109" i="7"/>
  <c r="BD110" i="7"/>
  <c r="BD111" i="7"/>
  <c r="BD112" i="7"/>
  <c r="BD113" i="7"/>
  <c r="BD114" i="7"/>
  <c r="BD115" i="7"/>
  <c r="BD116" i="7"/>
  <c r="BD117" i="7"/>
  <c r="BD118" i="7"/>
  <c r="BD119" i="7"/>
  <c r="BD120" i="7"/>
  <c r="BD121" i="7"/>
  <c r="BD122" i="7"/>
  <c r="BD123" i="7"/>
  <c r="BD124" i="7"/>
  <c r="BD125" i="7"/>
  <c r="BD126" i="7"/>
  <c r="BD127" i="7"/>
  <c r="BD128" i="7"/>
  <c r="BD129" i="7"/>
  <c r="BD130" i="7"/>
  <c r="BD131" i="7"/>
  <c r="BD132" i="7"/>
  <c r="BD133" i="7"/>
  <c r="BD134" i="7"/>
  <c r="BD135" i="7"/>
  <c r="BD136" i="7"/>
  <c r="BD137" i="7"/>
  <c r="BD138" i="7"/>
  <c r="BD139" i="7"/>
  <c r="BD140" i="7"/>
  <c r="BD141" i="7"/>
  <c r="BD142" i="7"/>
  <c r="BD143" i="7"/>
  <c r="BD144" i="7"/>
  <c r="BD145" i="7"/>
  <c r="BD146" i="7"/>
  <c r="BD147" i="7"/>
  <c r="BD148" i="7"/>
  <c r="BD149" i="7"/>
  <c r="BD150" i="7"/>
  <c r="BD151" i="7"/>
  <c r="BD152" i="7"/>
  <c r="BD153" i="7"/>
  <c r="BD154" i="7"/>
  <c r="BD155" i="7"/>
  <c r="BD156" i="7"/>
  <c r="BD157" i="7"/>
  <c r="BD158" i="7"/>
  <c r="BD159" i="7"/>
  <c r="BD160" i="7"/>
  <c r="BD161" i="7"/>
  <c r="BD162" i="7"/>
  <c r="BD163" i="7"/>
  <c r="BD164" i="7"/>
  <c r="BD165" i="7"/>
  <c r="BD166" i="7"/>
  <c r="BD167" i="7"/>
  <c r="BD168" i="7"/>
  <c r="BD169" i="7"/>
  <c r="BD170" i="7"/>
  <c r="BD171" i="7"/>
  <c r="BD172" i="7"/>
  <c r="BD173" i="7"/>
  <c r="BD174" i="7"/>
  <c r="BD175" i="7"/>
  <c r="BD176" i="7"/>
  <c r="BD177" i="7"/>
  <c r="BD178" i="7"/>
  <c r="BD179" i="7"/>
  <c r="BD180" i="7"/>
  <c r="BD181" i="7"/>
  <c r="BD182" i="7"/>
  <c r="BD183" i="7"/>
  <c r="BD184" i="7"/>
  <c r="BD185" i="7"/>
  <c r="BD186" i="7"/>
  <c r="BD187" i="7"/>
  <c r="BD188" i="7"/>
  <c r="BD189" i="7"/>
  <c r="BD190" i="7"/>
  <c r="BD191" i="7"/>
  <c r="BD192" i="7"/>
  <c r="BD193" i="7"/>
  <c r="BD194" i="7"/>
  <c r="BD195" i="7"/>
  <c r="BD196" i="7"/>
  <c r="BD197" i="7"/>
  <c r="BD198" i="7"/>
  <c r="BD199" i="7"/>
  <c r="BD200" i="7"/>
  <c r="BD201" i="7"/>
  <c r="BD202" i="7"/>
  <c r="BD203" i="7"/>
  <c r="BD204" i="7"/>
  <c r="BD205" i="7"/>
  <c r="BD206" i="7"/>
  <c r="BD207" i="7"/>
  <c r="BD208" i="7"/>
  <c r="BD209" i="7"/>
  <c r="BD210" i="7"/>
  <c r="BD211" i="7"/>
  <c r="BD212" i="7"/>
  <c r="BD213" i="7"/>
  <c r="BD214" i="7"/>
  <c r="BD215" i="7"/>
  <c r="BD216" i="7"/>
  <c r="BD217" i="7"/>
  <c r="BD218" i="7"/>
  <c r="BD219" i="7"/>
  <c r="BD220" i="7"/>
  <c r="BD221" i="7"/>
  <c r="BD222" i="7"/>
  <c r="BD223" i="7"/>
  <c r="BD224" i="7"/>
  <c r="BD225" i="7"/>
  <c r="BD226" i="7"/>
  <c r="BD227" i="7"/>
  <c r="BD228" i="7"/>
  <c r="BD229" i="7"/>
  <c r="BD230" i="7"/>
  <c r="BD231" i="7"/>
  <c r="BD232" i="7"/>
  <c r="BD233" i="7"/>
  <c r="BD234" i="7"/>
  <c r="BD235" i="7"/>
  <c r="BD236" i="7"/>
  <c r="BD237" i="7"/>
  <c r="BD238" i="7"/>
  <c r="BD239" i="7"/>
  <c r="BD240" i="7"/>
  <c r="BD241" i="7"/>
  <c r="BD242" i="7"/>
  <c r="BD243" i="7"/>
  <c r="BD244" i="7"/>
  <c r="BD245" i="7"/>
  <c r="BD246" i="7"/>
  <c r="BD247" i="7"/>
  <c r="BD248" i="7"/>
  <c r="BD249" i="7"/>
  <c r="BD250" i="7"/>
  <c r="BD251" i="7"/>
  <c r="BD252" i="7"/>
  <c r="BD253" i="7"/>
  <c r="BD254" i="7"/>
  <c r="BD255" i="7"/>
  <c r="BD256" i="7"/>
  <c r="BD257" i="7"/>
  <c r="BD258" i="7"/>
  <c r="BD259" i="7"/>
  <c r="BD260" i="7"/>
  <c r="BD261" i="7"/>
  <c r="BD262" i="7"/>
  <c r="BD263" i="7"/>
  <c r="BD264" i="7"/>
  <c r="BD265" i="7"/>
  <c r="BD266" i="7"/>
  <c r="BD267" i="7"/>
  <c r="BD268" i="7"/>
  <c r="BD269" i="7"/>
  <c r="BD270" i="7"/>
  <c r="BD271" i="7"/>
  <c r="BD272" i="7"/>
  <c r="BD273" i="7"/>
  <c r="BD274" i="7"/>
  <c r="BD275" i="7"/>
  <c r="BD276" i="7"/>
  <c r="BD277" i="7"/>
  <c r="BD278" i="7"/>
  <c r="BD279" i="7"/>
  <c r="BD280" i="7"/>
  <c r="BD281" i="7"/>
  <c r="BD282" i="7"/>
  <c r="BD283" i="7"/>
  <c r="BD284" i="7"/>
  <c r="BD285" i="7"/>
  <c r="BD286" i="7"/>
  <c r="BD287" i="7"/>
  <c r="BD288" i="7"/>
  <c r="BD289" i="7"/>
  <c r="BD290" i="7"/>
  <c r="BD291" i="7"/>
  <c r="BD292" i="7"/>
  <c r="BD293" i="7"/>
  <c r="BD294" i="7"/>
  <c r="BD295" i="7"/>
  <c r="BD296" i="7"/>
  <c r="BD297" i="7"/>
  <c r="BD298" i="7"/>
  <c r="BD299" i="7"/>
  <c r="BD300" i="7"/>
  <c r="BD301" i="7"/>
  <c r="BD302" i="7"/>
  <c r="BD303" i="7"/>
  <c r="BD304" i="7"/>
  <c r="BD305" i="7"/>
  <c r="BD306" i="7"/>
  <c r="BD307" i="7"/>
  <c r="BD308" i="7"/>
  <c r="BD309" i="7"/>
  <c r="BD310" i="7"/>
  <c r="BD311" i="7"/>
  <c r="BD312" i="7"/>
  <c r="BD313" i="7"/>
  <c r="BD314" i="7"/>
  <c r="BD315" i="7"/>
  <c r="BD316" i="7"/>
  <c r="BD317" i="7"/>
  <c r="BD318" i="7"/>
  <c r="BD319" i="7"/>
  <c r="BD320" i="7"/>
  <c r="BD321" i="7"/>
  <c r="BD322" i="7"/>
  <c r="BD323" i="7"/>
  <c r="BD324" i="7"/>
  <c r="BD325" i="7"/>
  <c r="BD326" i="7"/>
  <c r="BD327" i="7"/>
  <c r="BD328" i="7"/>
  <c r="BD329" i="7"/>
  <c r="BD330" i="7"/>
  <c r="BD331" i="7"/>
  <c r="BD332" i="7"/>
  <c r="BD333" i="7"/>
  <c r="BD334" i="7"/>
  <c r="BD335" i="7"/>
  <c r="BD336" i="7"/>
  <c r="BD337" i="7"/>
  <c r="BD338" i="7"/>
  <c r="BD339" i="7"/>
  <c r="BD340" i="7"/>
  <c r="BD341" i="7"/>
  <c r="BD342" i="7"/>
  <c r="BD343" i="7"/>
  <c r="BD344" i="7"/>
  <c r="BD345" i="7"/>
  <c r="BD346" i="7"/>
  <c r="BD347" i="7"/>
  <c r="BD348" i="7"/>
  <c r="BD349" i="7"/>
  <c r="BD350" i="7"/>
  <c r="BD351" i="7"/>
  <c r="BD352" i="7"/>
  <c r="BD353" i="7"/>
  <c r="BD354" i="7"/>
  <c r="BD355" i="7"/>
  <c r="BD356" i="7"/>
  <c r="BD357" i="7"/>
  <c r="BD358" i="7"/>
  <c r="BD359" i="7"/>
  <c r="BD360" i="7"/>
  <c r="BD361" i="7"/>
  <c r="BD362" i="7"/>
  <c r="BD363" i="7"/>
  <c r="BD364" i="7"/>
  <c r="BD365" i="7"/>
  <c r="BD366" i="7"/>
  <c r="BD367" i="7"/>
  <c r="BD368" i="7"/>
  <c r="BD369" i="7"/>
  <c r="BD370" i="7"/>
  <c r="BD371" i="7"/>
  <c r="BD372" i="7"/>
  <c r="BD373" i="7"/>
  <c r="BD374" i="7"/>
  <c r="BD375" i="7"/>
  <c r="BD376" i="7"/>
  <c r="BD377" i="7"/>
  <c r="BD378" i="7"/>
  <c r="BD379" i="7"/>
  <c r="BD380" i="7"/>
  <c r="BD381" i="7"/>
  <c r="BD382" i="7"/>
  <c r="BD383" i="7"/>
  <c r="BD384" i="7"/>
  <c r="BD385" i="7"/>
  <c r="BD386" i="7"/>
  <c r="BD387" i="7"/>
  <c r="BD388" i="7"/>
  <c r="BD389" i="7"/>
  <c r="BD390" i="7"/>
  <c r="BD391" i="7"/>
  <c r="BD392" i="7"/>
  <c r="BD393" i="7"/>
  <c r="BD394" i="7"/>
  <c r="BD395" i="7"/>
  <c r="BD396" i="7"/>
  <c r="BD397" i="7"/>
  <c r="BD398" i="7"/>
  <c r="BD399" i="7"/>
  <c r="BD400" i="7"/>
  <c r="BD401" i="7"/>
  <c r="BD402" i="7"/>
  <c r="BD403" i="7"/>
  <c r="BD404" i="7"/>
  <c r="BD405" i="7"/>
  <c r="BD406" i="7"/>
  <c r="BD407" i="7"/>
  <c r="BD408" i="7"/>
  <c r="BD409" i="7"/>
  <c r="BD410" i="7"/>
  <c r="BD411" i="7"/>
  <c r="BD412" i="7"/>
  <c r="BD413" i="7"/>
  <c r="BD414" i="7"/>
  <c r="BD415" i="7"/>
  <c r="BD416" i="7"/>
  <c r="BD417" i="7"/>
  <c r="BD418" i="7"/>
  <c r="BD419" i="7"/>
  <c r="BD420" i="7"/>
  <c r="BD421" i="7"/>
  <c r="BD422" i="7"/>
  <c r="BD423" i="7"/>
  <c r="BD424" i="7"/>
  <c r="BD425" i="7"/>
  <c r="BD426" i="7"/>
  <c r="BD427" i="7"/>
  <c r="BD428" i="7"/>
  <c r="BD429" i="7"/>
  <c r="BD430" i="7"/>
  <c r="BD431" i="7"/>
  <c r="BD432" i="7"/>
  <c r="BD433" i="7"/>
  <c r="BD434" i="7"/>
  <c r="BD435" i="7"/>
  <c r="BD436" i="7"/>
  <c r="BD437" i="7"/>
  <c r="BD438" i="7"/>
  <c r="BD439" i="7"/>
  <c r="BD440" i="7"/>
  <c r="BD441" i="7"/>
  <c r="BD442" i="7"/>
  <c r="BD443" i="7"/>
  <c r="BD444" i="7"/>
  <c r="BD445" i="7"/>
  <c r="BD446" i="7"/>
  <c r="BD447" i="7"/>
  <c r="BD448" i="7"/>
  <c r="BD449" i="7"/>
  <c r="BD450" i="7"/>
  <c r="BD451" i="7"/>
  <c r="BD452" i="7"/>
  <c r="BD453" i="7"/>
  <c r="BD454" i="7"/>
  <c r="BD455" i="7"/>
  <c r="BD456" i="7"/>
  <c r="BD457" i="7"/>
  <c r="BD458" i="7"/>
  <c r="BD459" i="7"/>
  <c r="BD460" i="7"/>
  <c r="BD461" i="7"/>
  <c r="BD462" i="7"/>
  <c r="BD463" i="7"/>
  <c r="BD464" i="7"/>
  <c r="BD465" i="7"/>
  <c r="BD466" i="7"/>
  <c r="BD467" i="7"/>
  <c r="BD468" i="7"/>
  <c r="BD469" i="7"/>
  <c r="BD470" i="7"/>
  <c r="BD471" i="7"/>
  <c r="BD472" i="7"/>
  <c r="BD473" i="7"/>
  <c r="BD474" i="7"/>
  <c r="BD475" i="7"/>
  <c r="BD476" i="7"/>
  <c r="BD477" i="7"/>
  <c r="BD478" i="7"/>
  <c r="BD479" i="7"/>
  <c r="BD480" i="7"/>
  <c r="BD481" i="7"/>
  <c r="BD482" i="7"/>
  <c r="BD483" i="7"/>
  <c r="BD484" i="7"/>
  <c r="BD485" i="7"/>
  <c r="BD486" i="7"/>
  <c r="BD487" i="7"/>
  <c r="BD488" i="7"/>
  <c r="BD489" i="7"/>
  <c r="BD490" i="7"/>
  <c r="BD491" i="7"/>
  <c r="BD492" i="7"/>
  <c r="BD493" i="7"/>
  <c r="BD494" i="7"/>
  <c r="BD495" i="7"/>
  <c r="BD496" i="7"/>
  <c r="BD497" i="7"/>
  <c r="BD498" i="7"/>
  <c r="BD499" i="7"/>
  <c r="BD500" i="7"/>
  <c r="BD501" i="7"/>
  <c r="BD502" i="7"/>
  <c r="BD503" i="7"/>
  <c r="BD504" i="7"/>
  <c r="BD505" i="7"/>
  <c r="BD506" i="7"/>
  <c r="BD507" i="7"/>
  <c r="BD508" i="7"/>
  <c r="BD509" i="7"/>
  <c r="BD510" i="7"/>
  <c r="BD511" i="7"/>
  <c r="BD512" i="7"/>
  <c r="BD513" i="7"/>
  <c r="BD514" i="7"/>
  <c r="BD515" i="7"/>
  <c r="BD516" i="7"/>
  <c r="BD517" i="7"/>
  <c r="BD518" i="7"/>
  <c r="BD519" i="7"/>
  <c r="BD520" i="7"/>
  <c r="BD521" i="7"/>
  <c r="BD522" i="7"/>
  <c r="BD523" i="7"/>
  <c r="BD524" i="7"/>
  <c r="BD525" i="7"/>
  <c r="BD526" i="7"/>
  <c r="BD527" i="7"/>
  <c r="BD528" i="7"/>
  <c r="BD529" i="7"/>
  <c r="BD530" i="7"/>
  <c r="BD531" i="7"/>
  <c r="BD532" i="7"/>
  <c r="BD533" i="7"/>
  <c r="BD534" i="7"/>
  <c r="BD535" i="7"/>
  <c r="BD536" i="7"/>
  <c r="BD537" i="7"/>
  <c r="BD538" i="7"/>
  <c r="BD539" i="7"/>
  <c r="BD540" i="7"/>
  <c r="BD541" i="7"/>
  <c r="BD542" i="7"/>
  <c r="BD543" i="7"/>
  <c r="BD544" i="7"/>
  <c r="BD545" i="7"/>
  <c r="BD546" i="7"/>
  <c r="BD547" i="7"/>
  <c r="BD548" i="7"/>
  <c r="BD549" i="7"/>
  <c r="BD550" i="7"/>
  <c r="BD551" i="7"/>
  <c r="BD552" i="7"/>
  <c r="BD553" i="7"/>
  <c r="BD554" i="7"/>
  <c r="BD555" i="7"/>
  <c r="BD556" i="7"/>
  <c r="BD557" i="7"/>
  <c r="BD558" i="7"/>
  <c r="BD559" i="7"/>
  <c r="BD560" i="7"/>
  <c r="BD561" i="7"/>
  <c r="BD562" i="7"/>
  <c r="BD563" i="7"/>
  <c r="BD564" i="7"/>
  <c r="BD565" i="7"/>
  <c r="BD566" i="7"/>
  <c r="BD567" i="7"/>
  <c r="BD568" i="7"/>
  <c r="BD569" i="7"/>
  <c r="BD570" i="7"/>
  <c r="BD571" i="7"/>
  <c r="BD572" i="7"/>
  <c r="BD573" i="7"/>
  <c r="BD574" i="7"/>
  <c r="BD575" i="7"/>
  <c r="BD576" i="7"/>
  <c r="BD577" i="7"/>
  <c r="BD578" i="7"/>
  <c r="BD579" i="7"/>
  <c r="BD580" i="7"/>
  <c r="BD581" i="7"/>
  <c r="BD582" i="7"/>
  <c r="BD583" i="7"/>
  <c r="BD584" i="7"/>
  <c r="BD585" i="7"/>
  <c r="BD586" i="7"/>
  <c r="BD587" i="7"/>
  <c r="BD588" i="7"/>
  <c r="BD589" i="7"/>
  <c r="BD590" i="7"/>
  <c r="BD591" i="7"/>
  <c r="BD592" i="7"/>
  <c r="BD593" i="7"/>
  <c r="BD594" i="7"/>
  <c r="BD595" i="7"/>
  <c r="BD596" i="7"/>
  <c r="BD597" i="7"/>
  <c r="BD598" i="7"/>
  <c r="BD599" i="7"/>
  <c r="BD600" i="7"/>
  <c r="BD601" i="7"/>
  <c r="BD602" i="7"/>
  <c r="BD603" i="7"/>
  <c r="BD604" i="7"/>
  <c r="BD605" i="7"/>
  <c r="BD606" i="7"/>
  <c r="BD607" i="7"/>
  <c r="BD608" i="7"/>
  <c r="BD609" i="7"/>
  <c r="BD610" i="7"/>
  <c r="BD611" i="7"/>
  <c r="BD612" i="7"/>
  <c r="BD613" i="7"/>
  <c r="BD614" i="7"/>
  <c r="BD615" i="7"/>
  <c r="BD616" i="7"/>
  <c r="BD617" i="7"/>
  <c r="BD618" i="7"/>
  <c r="BD619" i="7"/>
  <c r="BD620" i="7"/>
  <c r="BD621" i="7"/>
  <c r="BD622" i="7"/>
  <c r="BD623" i="7"/>
  <c r="BD624" i="7"/>
  <c r="BD625" i="7"/>
  <c r="BD626" i="7"/>
  <c r="BD627" i="7"/>
  <c r="BD628" i="7"/>
  <c r="BD629" i="7"/>
  <c r="BD630" i="7"/>
  <c r="BD631" i="7"/>
  <c r="BD632" i="7"/>
  <c r="BD633" i="7"/>
  <c r="BD634" i="7"/>
  <c r="BD635" i="7"/>
  <c r="BD636" i="7"/>
  <c r="BD637" i="7"/>
  <c r="BD638" i="7"/>
  <c r="BD639" i="7"/>
  <c r="BD640" i="7"/>
  <c r="BD641" i="7"/>
  <c r="BD642" i="7"/>
  <c r="BD643" i="7"/>
  <c r="BD644" i="7"/>
  <c r="BD645" i="7"/>
  <c r="BD646" i="7"/>
  <c r="BD647" i="7"/>
  <c r="BD648" i="7"/>
  <c r="BD649" i="7"/>
  <c r="BD650" i="7"/>
  <c r="BD651" i="7"/>
  <c r="BD652" i="7"/>
  <c r="BD653" i="7"/>
  <c r="BD654" i="7"/>
  <c r="BD655" i="7"/>
  <c r="BD656" i="7"/>
  <c r="BD657" i="7"/>
  <c r="BD658" i="7"/>
  <c r="BD659" i="7"/>
  <c r="BD660" i="7"/>
  <c r="BD661" i="7"/>
  <c r="BD662" i="7"/>
  <c r="BD663" i="7"/>
  <c r="BD664" i="7"/>
  <c r="BD665" i="7"/>
  <c r="BD666" i="7"/>
  <c r="BD667" i="7"/>
  <c r="BD668" i="7"/>
  <c r="BD669" i="7"/>
  <c r="BD670" i="7"/>
  <c r="BD671" i="7"/>
  <c r="BD672" i="7"/>
  <c r="BD673" i="7"/>
  <c r="BD674" i="7"/>
  <c r="BD675" i="7"/>
  <c r="BD676" i="7"/>
  <c r="BD677" i="7"/>
  <c r="BD678" i="7"/>
  <c r="BD679" i="7"/>
  <c r="BD680" i="7"/>
  <c r="BD681" i="7"/>
  <c r="BD682" i="7"/>
  <c r="BD683" i="7"/>
  <c r="BD684" i="7"/>
  <c r="BD685" i="7"/>
  <c r="BD686" i="7"/>
  <c r="BD687" i="7"/>
  <c r="BD688" i="7"/>
  <c r="BD689" i="7"/>
  <c r="BD690" i="7"/>
  <c r="BD691" i="7"/>
  <c r="BD692" i="7"/>
  <c r="BD693" i="7"/>
  <c r="BD694" i="7"/>
  <c r="BD695" i="7"/>
  <c r="BD696" i="7"/>
  <c r="BD697" i="7"/>
  <c r="BD698" i="7"/>
  <c r="BD699" i="7"/>
  <c r="BD700" i="7"/>
  <c r="BD701" i="7"/>
  <c r="BD702" i="7"/>
  <c r="BD703" i="7"/>
  <c r="BD704" i="7"/>
  <c r="BD705" i="7"/>
  <c r="BD706" i="7"/>
  <c r="BD707" i="7"/>
  <c r="BD708" i="7"/>
  <c r="BD709" i="7"/>
  <c r="BD710" i="7"/>
  <c r="BD711" i="7"/>
  <c r="BD712" i="7"/>
  <c r="BD713" i="7"/>
  <c r="BD714" i="7"/>
  <c r="BD715" i="7"/>
  <c r="BD716" i="7"/>
  <c r="BD717" i="7"/>
  <c r="BD718" i="7"/>
  <c r="BD719" i="7"/>
  <c r="BD720" i="7"/>
  <c r="BD721" i="7"/>
  <c r="BD722" i="7"/>
  <c r="BD723" i="7"/>
  <c r="BD724" i="7"/>
  <c r="BD725" i="7"/>
  <c r="BD726" i="7"/>
  <c r="BD727" i="7"/>
  <c r="BD728" i="7"/>
  <c r="BD729" i="7"/>
  <c r="BD730" i="7"/>
  <c r="BD731" i="7"/>
  <c r="BD732" i="7"/>
  <c r="BD733" i="7"/>
  <c r="BD734" i="7"/>
  <c r="BD735" i="7"/>
  <c r="BD736" i="7"/>
  <c r="BD737" i="7"/>
  <c r="BD738" i="7"/>
  <c r="BD739" i="7"/>
  <c r="BD740" i="7"/>
  <c r="BD741" i="7"/>
  <c r="BD742" i="7"/>
  <c r="BD743" i="7"/>
  <c r="BD744" i="7"/>
  <c r="BD745" i="7"/>
  <c r="BD746" i="7"/>
  <c r="BD747" i="7"/>
  <c r="BD748" i="7"/>
  <c r="BD749" i="7"/>
  <c r="BD750" i="7"/>
  <c r="BD751" i="7"/>
  <c r="BD752" i="7"/>
  <c r="BD753" i="7"/>
  <c r="BD754" i="7"/>
  <c r="BD755" i="7"/>
  <c r="BD756" i="7"/>
  <c r="BD757" i="7"/>
  <c r="BD758" i="7"/>
  <c r="BD759" i="7"/>
  <c r="BD760" i="7"/>
  <c r="BD761" i="7"/>
  <c r="BD762" i="7"/>
  <c r="BD763" i="7"/>
  <c r="BD764" i="7"/>
  <c r="BD765" i="7"/>
  <c r="BD766" i="7"/>
  <c r="BD767" i="7"/>
  <c r="BD768" i="7"/>
  <c r="BD769" i="7"/>
  <c r="BG4" i="7"/>
  <c r="BG5" i="7"/>
  <c r="BG6" i="7"/>
  <c r="BG7" i="7"/>
  <c r="BG8" i="7"/>
  <c r="BG9" i="7"/>
  <c r="BG10" i="7"/>
  <c r="BG11" i="7"/>
  <c r="BG12" i="7"/>
  <c r="BG13" i="7"/>
  <c r="BG14" i="7"/>
  <c r="BG15" i="7"/>
  <c r="BG16" i="7"/>
  <c r="BG17" i="7"/>
  <c r="BG18" i="7"/>
  <c r="BG19" i="7"/>
  <c r="BG20" i="7"/>
  <c r="BG21" i="7"/>
  <c r="BG22" i="7"/>
  <c r="BG23" i="7"/>
  <c r="BG24" i="7"/>
  <c r="BG25" i="7"/>
  <c r="BG26" i="7"/>
  <c r="BG27" i="7"/>
  <c r="BG28" i="7"/>
  <c r="BG29" i="7"/>
  <c r="BG30" i="7"/>
  <c r="BG31" i="7"/>
  <c r="BG32" i="7"/>
  <c r="BG33" i="7"/>
  <c r="BG34" i="7"/>
  <c r="BG35" i="7"/>
  <c r="BG36" i="7"/>
  <c r="BG37" i="7"/>
  <c r="BG38" i="7"/>
  <c r="BG39" i="7"/>
  <c r="BG40" i="7"/>
  <c r="BG41" i="7"/>
  <c r="BG42" i="7"/>
  <c r="BG43" i="7"/>
  <c r="BG44" i="7"/>
  <c r="BG45" i="7"/>
  <c r="BG46" i="7"/>
  <c r="BG47" i="7"/>
  <c r="BG48" i="7"/>
  <c r="BG49" i="7"/>
  <c r="BG50" i="7"/>
  <c r="BG51" i="7"/>
  <c r="BG52" i="7"/>
  <c r="BG53" i="7"/>
  <c r="BG54" i="7"/>
  <c r="BG55" i="7"/>
  <c r="BG56" i="7"/>
  <c r="BG57" i="7"/>
  <c r="BG58" i="7"/>
  <c r="BG59" i="7"/>
  <c r="BG60" i="7"/>
  <c r="BG61" i="7"/>
  <c r="BG62" i="7"/>
  <c r="BG63" i="7"/>
  <c r="BG64" i="7"/>
  <c r="BG65" i="7"/>
  <c r="BG66" i="7"/>
  <c r="BG67" i="7"/>
  <c r="BG68" i="7"/>
  <c r="BG69" i="7"/>
  <c r="BG70" i="7"/>
  <c r="BG71" i="7"/>
  <c r="BG72" i="7"/>
  <c r="BG73" i="7"/>
  <c r="BG74" i="7"/>
  <c r="BG75" i="7"/>
  <c r="BG76" i="7"/>
  <c r="BG77" i="7"/>
  <c r="BG78" i="7"/>
  <c r="BG79" i="7"/>
  <c r="BG80" i="7"/>
  <c r="BG81" i="7"/>
  <c r="BG82" i="7"/>
  <c r="BG83" i="7"/>
  <c r="BG84" i="7"/>
  <c r="BG85" i="7"/>
  <c r="BG86" i="7"/>
  <c r="BG87" i="7"/>
  <c r="BG88" i="7"/>
  <c r="BG89" i="7"/>
  <c r="BG90" i="7"/>
  <c r="BG91" i="7"/>
  <c r="BG92" i="7"/>
  <c r="BG93" i="7"/>
  <c r="BG94" i="7"/>
  <c r="BG95" i="7"/>
  <c r="BG96" i="7"/>
  <c r="BG97" i="7"/>
  <c r="BG98" i="7"/>
  <c r="BG99" i="7"/>
  <c r="BG100" i="7"/>
  <c r="BG101" i="7"/>
  <c r="BG102" i="7"/>
  <c r="BG103" i="7"/>
  <c r="BG104" i="7"/>
  <c r="BG105" i="7"/>
  <c r="BG106" i="7"/>
  <c r="BG107" i="7"/>
  <c r="BG108" i="7"/>
  <c r="BG109" i="7"/>
  <c r="BG110" i="7"/>
  <c r="BG111" i="7"/>
  <c r="BG112" i="7"/>
  <c r="BG113" i="7"/>
  <c r="BG114" i="7"/>
  <c r="BG115" i="7"/>
  <c r="BG116" i="7"/>
  <c r="BG117" i="7"/>
  <c r="BG118" i="7"/>
  <c r="BG119" i="7"/>
  <c r="BG120" i="7"/>
  <c r="BG121" i="7"/>
  <c r="BG122" i="7"/>
  <c r="BG123" i="7"/>
  <c r="BG124" i="7"/>
  <c r="BG125" i="7"/>
  <c r="BG126" i="7"/>
  <c r="BG127" i="7"/>
  <c r="BG128" i="7"/>
  <c r="BG129" i="7"/>
  <c r="BG130" i="7"/>
  <c r="BG131" i="7"/>
  <c r="BG132" i="7"/>
  <c r="BG133" i="7"/>
  <c r="BG134" i="7"/>
  <c r="BG135" i="7"/>
  <c r="BG136" i="7"/>
  <c r="BG137" i="7"/>
  <c r="BG138" i="7"/>
  <c r="BG139" i="7"/>
  <c r="BG140" i="7"/>
  <c r="BG141" i="7"/>
  <c r="BG142" i="7"/>
  <c r="BG143" i="7"/>
  <c r="BG144" i="7"/>
  <c r="BG145" i="7"/>
  <c r="BG146" i="7"/>
  <c r="BG147" i="7"/>
  <c r="BG148" i="7"/>
  <c r="BG149" i="7"/>
  <c r="BG150" i="7"/>
  <c r="BG151" i="7"/>
  <c r="BG152" i="7"/>
  <c r="BG153" i="7"/>
  <c r="BG154" i="7"/>
  <c r="BG155" i="7"/>
  <c r="BG156" i="7"/>
  <c r="BG157" i="7"/>
  <c r="BG158" i="7"/>
  <c r="BG159" i="7"/>
  <c r="BG160" i="7"/>
  <c r="BG161" i="7"/>
  <c r="BG162" i="7"/>
  <c r="BG163" i="7"/>
  <c r="BG164" i="7"/>
  <c r="BG165" i="7"/>
  <c r="BG166" i="7"/>
  <c r="BG167" i="7"/>
  <c r="BG168" i="7"/>
  <c r="BG169" i="7"/>
  <c r="BG170" i="7"/>
  <c r="BG171" i="7"/>
  <c r="BG172" i="7"/>
  <c r="BG173" i="7"/>
  <c r="BG174" i="7"/>
  <c r="BG175" i="7"/>
  <c r="BG176" i="7"/>
  <c r="BG177" i="7"/>
  <c r="BG178" i="7"/>
  <c r="BG179" i="7"/>
  <c r="BG180" i="7"/>
  <c r="BG181" i="7"/>
  <c r="BG182" i="7"/>
  <c r="BG183" i="7"/>
  <c r="BG184" i="7"/>
  <c r="BG185" i="7"/>
  <c r="BG186" i="7"/>
  <c r="BG187" i="7"/>
  <c r="BG188" i="7"/>
  <c r="BG189" i="7"/>
  <c r="BG190" i="7"/>
  <c r="BG191" i="7"/>
  <c r="BG192" i="7"/>
  <c r="BG193" i="7"/>
  <c r="BG194" i="7"/>
  <c r="BG195" i="7"/>
  <c r="BG196" i="7"/>
  <c r="BG197" i="7"/>
  <c r="BG198" i="7"/>
  <c r="BG199" i="7"/>
  <c r="BG200" i="7"/>
  <c r="BG201" i="7"/>
  <c r="BG202" i="7"/>
  <c r="BG203" i="7"/>
  <c r="BG204" i="7"/>
  <c r="BG205" i="7"/>
  <c r="BG206" i="7"/>
  <c r="BG207" i="7"/>
  <c r="BG208" i="7"/>
  <c r="BG209" i="7"/>
  <c r="BG210" i="7"/>
  <c r="BG211" i="7"/>
  <c r="BG212" i="7"/>
  <c r="BG213" i="7"/>
  <c r="BG214" i="7"/>
  <c r="BG215" i="7"/>
  <c r="BG216" i="7"/>
  <c r="BG217" i="7"/>
  <c r="BG218" i="7"/>
  <c r="BG219" i="7"/>
  <c r="BG220" i="7"/>
  <c r="BG221" i="7"/>
  <c r="BG222" i="7"/>
  <c r="BG223" i="7"/>
  <c r="BG224" i="7"/>
  <c r="BG225" i="7"/>
  <c r="BG226" i="7"/>
  <c r="BG227" i="7"/>
  <c r="BG228" i="7"/>
  <c r="BG229" i="7"/>
  <c r="BG230" i="7"/>
  <c r="BG231" i="7"/>
  <c r="BG232" i="7"/>
  <c r="BG233" i="7"/>
  <c r="BG234" i="7"/>
  <c r="BG235" i="7"/>
  <c r="BG236" i="7"/>
  <c r="BG237" i="7"/>
  <c r="BG238" i="7"/>
  <c r="BG239" i="7"/>
  <c r="BG240" i="7"/>
  <c r="BG241" i="7"/>
  <c r="BG242" i="7"/>
  <c r="BG243" i="7"/>
  <c r="BG244" i="7"/>
  <c r="BG245" i="7"/>
  <c r="BG246" i="7"/>
  <c r="BG247" i="7"/>
  <c r="BG248" i="7"/>
  <c r="BG249" i="7"/>
  <c r="BG250" i="7"/>
  <c r="BG251" i="7"/>
  <c r="BG252" i="7"/>
  <c r="BG253" i="7"/>
  <c r="BG254" i="7"/>
  <c r="BG255" i="7"/>
  <c r="BG256" i="7"/>
  <c r="BG257" i="7"/>
  <c r="BG258" i="7"/>
  <c r="BG259" i="7"/>
  <c r="BG260" i="7"/>
  <c r="BG261" i="7"/>
  <c r="BG262" i="7"/>
  <c r="BG263" i="7"/>
  <c r="BG264" i="7"/>
  <c r="BG265" i="7"/>
  <c r="BG266" i="7"/>
  <c r="BG267" i="7"/>
  <c r="BG268" i="7"/>
  <c r="BG269" i="7"/>
  <c r="BG270" i="7"/>
  <c r="BG271" i="7"/>
  <c r="BG272" i="7"/>
  <c r="BG273" i="7"/>
  <c r="BG274" i="7"/>
  <c r="BG275" i="7"/>
  <c r="BG276" i="7"/>
  <c r="BG277" i="7"/>
  <c r="BG278" i="7"/>
  <c r="BG279" i="7"/>
  <c r="BG280" i="7"/>
  <c r="BG281" i="7"/>
  <c r="BG282" i="7"/>
  <c r="BG283" i="7"/>
  <c r="BG284" i="7"/>
  <c r="BG285" i="7"/>
  <c r="BG286" i="7"/>
  <c r="BG287" i="7"/>
  <c r="BG288" i="7"/>
  <c r="BG289" i="7"/>
  <c r="BG290" i="7"/>
  <c r="BG291" i="7"/>
  <c r="BG292" i="7"/>
  <c r="BG293" i="7"/>
  <c r="BG294" i="7"/>
  <c r="BG295" i="7"/>
  <c r="BG296" i="7"/>
  <c r="BG297" i="7"/>
  <c r="BG298" i="7"/>
  <c r="BG299" i="7"/>
  <c r="BG300" i="7"/>
  <c r="BG301" i="7"/>
  <c r="BG302" i="7"/>
  <c r="BG303" i="7"/>
  <c r="BG304" i="7"/>
  <c r="BG305" i="7"/>
  <c r="BG306" i="7"/>
  <c r="BG307" i="7"/>
  <c r="BG308" i="7"/>
  <c r="BG309" i="7"/>
  <c r="BG310" i="7"/>
  <c r="BG311" i="7"/>
  <c r="BG312" i="7"/>
  <c r="BG313" i="7"/>
  <c r="BG314" i="7"/>
  <c r="BG315" i="7"/>
  <c r="BG316" i="7"/>
  <c r="BG317" i="7"/>
  <c r="BG318" i="7"/>
  <c r="BG319" i="7"/>
  <c r="BG320" i="7"/>
  <c r="BG321" i="7"/>
  <c r="BG322" i="7"/>
  <c r="BG323" i="7"/>
  <c r="BG324" i="7"/>
  <c r="BG325" i="7"/>
  <c r="BG326" i="7"/>
  <c r="BG327" i="7"/>
  <c r="BG328" i="7"/>
  <c r="BG329" i="7"/>
  <c r="BG330" i="7"/>
  <c r="BG331" i="7"/>
  <c r="BG332" i="7"/>
  <c r="BG333" i="7"/>
  <c r="BG334" i="7"/>
  <c r="BG335" i="7"/>
  <c r="BG336" i="7"/>
  <c r="BG337" i="7"/>
  <c r="BG338" i="7"/>
  <c r="BG339" i="7"/>
  <c r="BG340" i="7"/>
  <c r="BG341" i="7"/>
  <c r="BG342" i="7"/>
  <c r="BG343" i="7"/>
  <c r="BG344" i="7"/>
  <c r="BG345" i="7"/>
  <c r="BG346" i="7"/>
  <c r="BG347" i="7"/>
  <c r="BG348" i="7"/>
  <c r="BG349" i="7"/>
  <c r="BG350" i="7"/>
  <c r="BG351" i="7"/>
  <c r="BG352" i="7"/>
  <c r="BG353" i="7"/>
  <c r="BG354" i="7"/>
  <c r="BG355" i="7"/>
  <c r="BG356" i="7"/>
  <c r="BG357" i="7"/>
  <c r="BG358" i="7"/>
  <c r="BG359" i="7"/>
  <c r="BG360" i="7"/>
  <c r="BG361" i="7"/>
  <c r="BG362" i="7"/>
  <c r="BG363" i="7"/>
  <c r="BG364" i="7"/>
  <c r="BG365" i="7"/>
  <c r="BG366" i="7"/>
  <c r="BG367" i="7"/>
  <c r="BG368" i="7"/>
  <c r="BG369" i="7"/>
  <c r="BG370" i="7"/>
  <c r="BG371" i="7"/>
  <c r="BG372" i="7"/>
  <c r="BG373" i="7"/>
  <c r="BG374" i="7"/>
  <c r="BG375" i="7"/>
  <c r="BG376" i="7"/>
  <c r="BG377" i="7"/>
  <c r="BG378" i="7"/>
  <c r="BG379" i="7"/>
  <c r="BG380" i="7"/>
  <c r="BG381" i="7"/>
  <c r="BG382" i="7"/>
  <c r="BG383" i="7"/>
  <c r="BG384" i="7"/>
  <c r="BG385" i="7"/>
  <c r="BG386" i="7"/>
  <c r="BG387" i="7"/>
  <c r="BG388" i="7"/>
  <c r="BG389" i="7"/>
  <c r="BG390" i="7"/>
  <c r="BG391" i="7"/>
  <c r="BG392" i="7"/>
  <c r="BG393" i="7"/>
  <c r="BG394" i="7"/>
  <c r="BG395" i="7"/>
  <c r="BG396" i="7"/>
  <c r="BG397" i="7"/>
  <c r="BG398" i="7"/>
  <c r="BG399" i="7"/>
  <c r="BG400" i="7"/>
  <c r="BG401" i="7"/>
  <c r="BG402" i="7"/>
  <c r="BG403" i="7"/>
  <c r="BG404" i="7"/>
  <c r="BG405" i="7"/>
  <c r="BG406" i="7"/>
  <c r="BG407" i="7"/>
  <c r="BG408" i="7"/>
  <c r="BG409" i="7"/>
  <c r="BG410" i="7"/>
  <c r="BG411" i="7"/>
  <c r="BG412" i="7"/>
  <c r="BG413" i="7"/>
  <c r="BG414" i="7"/>
  <c r="BG415" i="7"/>
  <c r="BG416" i="7"/>
  <c r="BG417" i="7"/>
  <c r="BG418" i="7"/>
  <c r="BG419" i="7"/>
  <c r="BG420" i="7"/>
  <c r="BG421" i="7"/>
  <c r="BG422" i="7"/>
  <c r="BG423" i="7"/>
  <c r="BG424" i="7"/>
  <c r="BG425" i="7"/>
  <c r="BG426" i="7"/>
  <c r="BG427" i="7"/>
  <c r="BG428" i="7"/>
  <c r="BG429" i="7"/>
  <c r="BG430" i="7"/>
  <c r="BG431" i="7"/>
  <c r="BG432" i="7"/>
  <c r="BG433" i="7"/>
  <c r="BG434" i="7"/>
  <c r="BG435" i="7"/>
  <c r="BG436" i="7"/>
  <c r="BG437" i="7"/>
  <c r="BG438" i="7"/>
  <c r="BG439" i="7"/>
  <c r="BG440" i="7"/>
  <c r="BG441" i="7"/>
  <c r="BG442" i="7"/>
  <c r="BG443" i="7"/>
  <c r="BG444" i="7"/>
  <c r="BG445" i="7"/>
  <c r="BG446" i="7"/>
  <c r="BG447" i="7"/>
  <c r="BG448" i="7"/>
  <c r="BG449" i="7"/>
  <c r="BG450" i="7"/>
  <c r="BG451" i="7"/>
  <c r="BG452" i="7"/>
  <c r="BG453" i="7"/>
  <c r="BG454" i="7"/>
  <c r="BG455" i="7"/>
  <c r="BG456" i="7"/>
  <c r="BG457" i="7"/>
  <c r="BG458" i="7"/>
  <c r="BG459" i="7"/>
  <c r="BG460" i="7"/>
  <c r="BG461" i="7"/>
  <c r="BG462" i="7"/>
  <c r="BG463" i="7"/>
  <c r="BG464" i="7"/>
  <c r="BG465" i="7"/>
  <c r="BG466" i="7"/>
  <c r="BG467" i="7"/>
  <c r="BG468" i="7"/>
  <c r="BG469" i="7"/>
  <c r="BG470" i="7"/>
  <c r="BG471" i="7"/>
  <c r="BG472" i="7"/>
  <c r="BG473" i="7"/>
  <c r="BG474" i="7"/>
  <c r="BG475" i="7"/>
  <c r="BG476" i="7"/>
  <c r="BG477" i="7"/>
  <c r="BG478" i="7"/>
  <c r="BG479" i="7"/>
  <c r="BG480" i="7"/>
  <c r="BG481" i="7"/>
  <c r="BG482" i="7"/>
  <c r="BG483" i="7"/>
  <c r="BG484" i="7"/>
  <c r="BG485" i="7"/>
  <c r="BG486" i="7"/>
  <c r="BG487" i="7"/>
  <c r="BG488" i="7"/>
  <c r="BG489" i="7"/>
  <c r="BG490" i="7"/>
  <c r="BG491" i="7"/>
  <c r="BG492" i="7"/>
  <c r="BG493" i="7"/>
  <c r="BG494" i="7"/>
  <c r="BG495" i="7"/>
  <c r="BG496" i="7"/>
  <c r="BG497" i="7"/>
  <c r="BG498" i="7"/>
  <c r="BG499" i="7"/>
  <c r="BG500" i="7"/>
  <c r="BG501" i="7"/>
  <c r="BG502" i="7"/>
  <c r="BG503" i="7"/>
  <c r="BG504" i="7"/>
  <c r="BG505" i="7"/>
  <c r="BG506" i="7"/>
  <c r="BG507" i="7"/>
  <c r="BG508" i="7"/>
  <c r="BG509" i="7"/>
  <c r="BG510" i="7"/>
  <c r="BG511" i="7"/>
  <c r="BG512" i="7"/>
  <c r="BG513" i="7"/>
  <c r="BG514" i="7"/>
  <c r="BG515" i="7"/>
  <c r="BG516" i="7"/>
  <c r="BG517" i="7"/>
  <c r="BG518" i="7"/>
  <c r="BG519" i="7"/>
  <c r="BG520" i="7"/>
  <c r="BG521" i="7"/>
  <c r="BG522" i="7"/>
  <c r="BG523" i="7"/>
  <c r="BG524" i="7"/>
  <c r="BG525" i="7"/>
  <c r="BG526" i="7"/>
  <c r="BG527" i="7"/>
  <c r="BG528" i="7"/>
  <c r="BG529" i="7"/>
  <c r="BG530" i="7"/>
  <c r="BG531" i="7"/>
  <c r="BG532" i="7"/>
  <c r="BG533" i="7"/>
  <c r="BG534" i="7"/>
  <c r="BG535" i="7"/>
  <c r="BG536" i="7"/>
  <c r="BG537" i="7"/>
  <c r="BG538" i="7"/>
  <c r="BG539" i="7"/>
  <c r="BG540" i="7"/>
  <c r="BG541" i="7"/>
  <c r="BG542" i="7"/>
  <c r="BG543" i="7"/>
  <c r="BG544" i="7"/>
  <c r="BG545" i="7"/>
  <c r="BG546" i="7"/>
  <c r="BG547" i="7"/>
  <c r="BG548" i="7"/>
  <c r="BG549" i="7"/>
  <c r="BG550" i="7"/>
  <c r="BG551" i="7"/>
  <c r="BG552" i="7"/>
  <c r="BG553" i="7"/>
  <c r="BG554" i="7"/>
  <c r="BG555" i="7"/>
  <c r="BG556" i="7"/>
  <c r="BG557" i="7"/>
  <c r="BG558" i="7"/>
  <c r="BG559" i="7"/>
  <c r="BG560" i="7"/>
  <c r="BG561" i="7"/>
  <c r="BG562" i="7"/>
  <c r="BG563" i="7"/>
  <c r="BG564" i="7"/>
  <c r="BG565" i="7"/>
  <c r="BG566" i="7"/>
  <c r="BG567" i="7"/>
  <c r="BG568" i="7"/>
  <c r="BG569" i="7"/>
  <c r="BG570" i="7"/>
  <c r="BG571" i="7"/>
  <c r="BG572" i="7"/>
  <c r="BG573" i="7"/>
  <c r="BG574" i="7"/>
  <c r="BG575" i="7"/>
  <c r="BG576" i="7"/>
  <c r="BG577" i="7"/>
  <c r="BG578" i="7"/>
  <c r="BG579" i="7"/>
  <c r="BG580" i="7"/>
  <c r="BG581" i="7"/>
  <c r="BG582" i="7"/>
  <c r="BG583" i="7"/>
  <c r="BG584" i="7"/>
  <c r="BG585" i="7"/>
  <c r="BG586" i="7"/>
  <c r="BG587" i="7"/>
  <c r="BG588" i="7"/>
  <c r="BG589" i="7"/>
  <c r="BG590" i="7"/>
  <c r="BG591" i="7"/>
  <c r="BG592" i="7"/>
  <c r="BG593" i="7"/>
  <c r="BG594" i="7"/>
  <c r="BG595" i="7"/>
  <c r="BG596" i="7"/>
  <c r="BG597" i="7"/>
  <c r="BG598" i="7"/>
  <c r="BG599" i="7"/>
  <c r="BG600" i="7"/>
  <c r="BG601" i="7"/>
  <c r="BG602" i="7"/>
  <c r="BG603" i="7"/>
  <c r="BG604" i="7"/>
  <c r="BG605" i="7"/>
  <c r="BG606" i="7"/>
  <c r="BG607" i="7"/>
  <c r="BG608" i="7"/>
  <c r="BG609" i="7"/>
  <c r="BG610" i="7"/>
  <c r="BG611" i="7"/>
  <c r="BG612" i="7"/>
  <c r="BG613" i="7"/>
  <c r="BG614" i="7"/>
  <c r="BG615" i="7"/>
  <c r="BG616" i="7"/>
  <c r="BG617" i="7"/>
  <c r="BG618" i="7"/>
  <c r="BG619" i="7"/>
  <c r="BG620" i="7"/>
  <c r="BG621" i="7"/>
  <c r="BG622" i="7"/>
  <c r="BG623" i="7"/>
  <c r="BG624" i="7"/>
  <c r="BG625" i="7"/>
  <c r="BG626" i="7"/>
  <c r="BG627" i="7"/>
  <c r="BG628" i="7"/>
  <c r="BG629" i="7"/>
  <c r="BG630" i="7"/>
  <c r="BG631" i="7"/>
  <c r="BG632" i="7"/>
  <c r="BG633" i="7"/>
  <c r="BG634" i="7"/>
  <c r="BG635" i="7"/>
  <c r="BG636" i="7"/>
  <c r="BG637" i="7"/>
  <c r="BG638" i="7"/>
  <c r="BG639" i="7"/>
  <c r="BG640" i="7"/>
  <c r="BG641" i="7"/>
  <c r="BG642" i="7"/>
  <c r="BG643" i="7"/>
  <c r="BG644" i="7"/>
  <c r="BG645" i="7"/>
  <c r="BG646" i="7"/>
  <c r="BG647" i="7"/>
  <c r="BG648" i="7"/>
  <c r="BG649" i="7"/>
  <c r="BG650" i="7"/>
  <c r="BG651" i="7"/>
  <c r="BG652" i="7"/>
  <c r="BG653" i="7"/>
  <c r="BG654" i="7"/>
  <c r="BG655" i="7"/>
  <c r="BG656" i="7"/>
  <c r="BG657" i="7"/>
  <c r="BG658" i="7"/>
  <c r="BG659" i="7"/>
  <c r="BG660" i="7"/>
  <c r="BG661" i="7"/>
  <c r="BG662" i="7"/>
  <c r="BG663" i="7"/>
  <c r="BG664" i="7"/>
  <c r="BG665" i="7"/>
  <c r="BG666" i="7"/>
  <c r="BG667" i="7"/>
  <c r="BG668" i="7"/>
  <c r="BG669" i="7"/>
  <c r="BG670" i="7"/>
  <c r="BG671" i="7"/>
  <c r="BG672" i="7"/>
  <c r="BG673" i="7"/>
  <c r="BG674" i="7"/>
  <c r="BG675" i="7"/>
  <c r="BG676" i="7"/>
  <c r="BG677" i="7"/>
  <c r="BG678" i="7"/>
  <c r="BG679" i="7"/>
  <c r="BG680" i="7"/>
  <c r="BG681" i="7"/>
  <c r="BG682" i="7"/>
  <c r="BG683" i="7"/>
  <c r="BG684" i="7"/>
  <c r="BG685" i="7"/>
  <c r="BG686" i="7"/>
  <c r="BG687" i="7"/>
  <c r="BG688" i="7"/>
  <c r="BG689" i="7"/>
  <c r="BG690" i="7"/>
  <c r="BG691" i="7"/>
  <c r="BG692" i="7"/>
  <c r="BG693" i="7"/>
  <c r="BG694" i="7"/>
  <c r="BG695" i="7"/>
  <c r="BG696" i="7"/>
  <c r="BG697" i="7"/>
  <c r="BG698" i="7"/>
  <c r="BG699" i="7"/>
  <c r="BG700" i="7"/>
  <c r="BG701" i="7"/>
  <c r="BG702" i="7"/>
  <c r="BG703" i="7"/>
  <c r="BG704" i="7"/>
  <c r="BG705" i="7"/>
  <c r="BG706" i="7"/>
  <c r="BG707" i="7"/>
  <c r="BG708" i="7"/>
  <c r="BG709" i="7"/>
  <c r="BG710" i="7"/>
  <c r="BG711" i="7"/>
  <c r="BG712" i="7"/>
  <c r="BG713" i="7"/>
  <c r="BG714" i="7"/>
  <c r="BG715" i="7"/>
  <c r="BG716" i="7"/>
  <c r="BG717" i="7"/>
  <c r="BG718" i="7"/>
  <c r="BG719" i="7"/>
  <c r="BG720" i="7"/>
  <c r="BG721" i="7"/>
  <c r="BG722" i="7"/>
  <c r="BG723" i="7"/>
  <c r="BG724" i="7"/>
  <c r="BG725" i="7"/>
  <c r="BG726" i="7"/>
  <c r="BG727" i="7"/>
  <c r="BG728" i="7"/>
  <c r="BG729" i="7"/>
  <c r="BG730" i="7"/>
  <c r="BG731" i="7"/>
  <c r="BG732" i="7"/>
  <c r="BG733" i="7"/>
  <c r="BG734" i="7"/>
  <c r="BG735" i="7"/>
  <c r="BG736" i="7"/>
  <c r="BG737" i="7"/>
  <c r="BG738" i="7"/>
  <c r="BG739" i="7"/>
  <c r="BG740" i="7"/>
  <c r="BG741" i="7"/>
  <c r="BG742" i="7"/>
  <c r="BG743" i="7"/>
  <c r="BG744" i="7"/>
  <c r="BG745" i="7"/>
  <c r="BG746" i="7"/>
  <c r="BG747" i="7"/>
  <c r="BG748" i="7"/>
  <c r="BG749" i="7"/>
  <c r="BG750" i="7"/>
  <c r="BG751" i="7"/>
  <c r="BG752" i="7"/>
  <c r="BG753" i="7"/>
  <c r="BG754" i="7"/>
  <c r="BG755" i="7"/>
  <c r="BG756" i="7"/>
  <c r="BG757" i="7"/>
  <c r="BG758" i="7"/>
  <c r="BG759" i="7"/>
  <c r="BG760" i="7"/>
  <c r="BG761" i="7"/>
  <c r="BG762" i="7"/>
  <c r="BG763" i="7"/>
  <c r="BG764" i="7"/>
  <c r="BG765" i="7"/>
  <c r="BG766" i="7"/>
  <c r="BG767" i="7"/>
  <c r="BG768" i="7"/>
  <c r="BG769" i="7"/>
  <c r="BC4" i="7"/>
  <c r="BB4" i="7" s="1"/>
  <c r="S3" i="9" s="1"/>
  <c r="BC5" i="7"/>
  <c r="BB5" i="7" s="1"/>
  <c r="S4" i="9" s="1"/>
  <c r="BC6" i="7"/>
  <c r="BB6" i="7" s="1"/>
  <c r="S5" i="9" s="1"/>
  <c r="BC7" i="7"/>
  <c r="BB7" i="7" s="1"/>
  <c r="S6" i="9" s="1"/>
  <c r="BC8" i="7"/>
  <c r="BB8" i="7" s="1"/>
  <c r="S7" i="9" s="1"/>
  <c r="BC9" i="7"/>
  <c r="BB9" i="7" s="1"/>
  <c r="S8" i="9" s="1"/>
  <c r="BC10" i="7"/>
  <c r="BB10" i="7" s="1"/>
  <c r="S9" i="9" s="1"/>
  <c r="BC11" i="7"/>
  <c r="BB11" i="7" s="1"/>
  <c r="S10" i="9" s="1"/>
  <c r="BC12" i="7"/>
  <c r="BB12" i="7" s="1"/>
  <c r="S11" i="9" s="1"/>
  <c r="BC13" i="7"/>
  <c r="BB13" i="7" s="1"/>
  <c r="S12" i="9" s="1"/>
  <c r="BC14" i="7"/>
  <c r="BB14" i="7" s="1"/>
  <c r="S13" i="9" s="1"/>
  <c r="BC15" i="7"/>
  <c r="BB15" i="7" s="1"/>
  <c r="S14" i="9" s="1"/>
  <c r="BC16" i="7"/>
  <c r="BB16" i="7" s="1"/>
  <c r="S15" i="9" s="1"/>
  <c r="BC17" i="7"/>
  <c r="BB17" i="7" s="1"/>
  <c r="S16" i="9" s="1"/>
  <c r="BC18" i="7"/>
  <c r="BB18" i="7" s="1"/>
  <c r="S17" i="9" s="1"/>
  <c r="BC19" i="7"/>
  <c r="BB19" i="7" s="1"/>
  <c r="S18" i="9" s="1"/>
  <c r="BC20" i="7"/>
  <c r="BB20" i="7" s="1"/>
  <c r="S19" i="9" s="1"/>
  <c r="BC21" i="7"/>
  <c r="BB21" i="7" s="1"/>
  <c r="S20" i="9" s="1"/>
  <c r="BC22" i="7"/>
  <c r="BB22" i="7" s="1"/>
  <c r="S21" i="9" s="1"/>
  <c r="BC23" i="7"/>
  <c r="BB23" i="7" s="1"/>
  <c r="S22" i="9" s="1"/>
  <c r="BC24" i="7"/>
  <c r="BB24" i="7" s="1"/>
  <c r="S23" i="9" s="1"/>
  <c r="BC25" i="7"/>
  <c r="BB25" i="7" s="1"/>
  <c r="S24" i="9" s="1"/>
  <c r="BC26" i="7"/>
  <c r="BB26" i="7" s="1"/>
  <c r="S25" i="9" s="1"/>
  <c r="BC27" i="7"/>
  <c r="BB27" i="7" s="1"/>
  <c r="S26" i="9" s="1"/>
  <c r="BC28" i="7"/>
  <c r="BB28" i="7" s="1"/>
  <c r="S27" i="9" s="1"/>
  <c r="BC29" i="7"/>
  <c r="BB29" i="7" s="1"/>
  <c r="S28" i="9" s="1"/>
  <c r="BC30" i="7"/>
  <c r="BB30" i="7" s="1"/>
  <c r="S29" i="9" s="1"/>
  <c r="BC31" i="7"/>
  <c r="BB31" i="7" s="1"/>
  <c r="S30" i="9" s="1"/>
  <c r="BC32" i="7"/>
  <c r="BB32" i="7" s="1"/>
  <c r="S31" i="9" s="1"/>
  <c r="BC33" i="7"/>
  <c r="BB33" i="7" s="1"/>
  <c r="S32" i="9" s="1"/>
  <c r="BC34" i="7"/>
  <c r="BB34" i="7" s="1"/>
  <c r="S33" i="9" s="1"/>
  <c r="BC35" i="7"/>
  <c r="BB35" i="7" s="1"/>
  <c r="S34" i="9" s="1"/>
  <c r="BC36" i="7"/>
  <c r="BB36" i="7" s="1"/>
  <c r="S35" i="9" s="1"/>
  <c r="BC37" i="7"/>
  <c r="BB37" i="7" s="1"/>
  <c r="S36" i="9" s="1"/>
  <c r="BC38" i="7"/>
  <c r="BB38" i="7" s="1"/>
  <c r="S37" i="9" s="1"/>
  <c r="BC39" i="7"/>
  <c r="BB39" i="7" s="1"/>
  <c r="S38" i="9" s="1"/>
  <c r="BC40" i="7"/>
  <c r="BB40" i="7" s="1"/>
  <c r="S39" i="9" s="1"/>
  <c r="BC41" i="7"/>
  <c r="BB41" i="7" s="1"/>
  <c r="S40" i="9" s="1"/>
  <c r="BC42" i="7"/>
  <c r="BB42" i="7" s="1"/>
  <c r="S41" i="9" s="1"/>
  <c r="BC43" i="7"/>
  <c r="BB43" i="7" s="1"/>
  <c r="S42" i="9" s="1"/>
  <c r="BC44" i="7"/>
  <c r="BB44" i="7" s="1"/>
  <c r="S43" i="9" s="1"/>
  <c r="BC45" i="7"/>
  <c r="BB45" i="7" s="1"/>
  <c r="S44" i="9" s="1"/>
  <c r="BC46" i="7"/>
  <c r="BB46" i="7" s="1"/>
  <c r="S45" i="9" s="1"/>
  <c r="BC47" i="7"/>
  <c r="BB47" i="7" s="1"/>
  <c r="S46" i="9" s="1"/>
  <c r="BC48" i="7"/>
  <c r="BB48" i="7" s="1"/>
  <c r="S47" i="9" s="1"/>
  <c r="BC49" i="7"/>
  <c r="BB49" i="7" s="1"/>
  <c r="S48" i="9" s="1"/>
  <c r="BC50" i="7"/>
  <c r="BB50" i="7" s="1"/>
  <c r="S49" i="9" s="1"/>
  <c r="BC51" i="7"/>
  <c r="BB51" i="7" s="1"/>
  <c r="S50" i="9" s="1"/>
  <c r="BC52" i="7"/>
  <c r="BB52" i="7" s="1"/>
  <c r="S51" i="9" s="1"/>
  <c r="BC53" i="7"/>
  <c r="BB53" i="7" s="1"/>
  <c r="S52" i="9" s="1"/>
  <c r="BC54" i="7"/>
  <c r="BB54" i="7" s="1"/>
  <c r="S53" i="9" s="1"/>
  <c r="BC55" i="7"/>
  <c r="BB55" i="7" s="1"/>
  <c r="S54" i="9" s="1"/>
  <c r="BC56" i="7"/>
  <c r="BB56" i="7" s="1"/>
  <c r="S55" i="9" s="1"/>
  <c r="BC57" i="7"/>
  <c r="BB57" i="7" s="1"/>
  <c r="S56" i="9" s="1"/>
  <c r="BC58" i="7"/>
  <c r="BB58" i="7" s="1"/>
  <c r="S57" i="9" s="1"/>
  <c r="BC59" i="7"/>
  <c r="BB59" i="7" s="1"/>
  <c r="S58" i="9" s="1"/>
  <c r="BC60" i="7"/>
  <c r="BB60" i="7" s="1"/>
  <c r="S59" i="9" s="1"/>
  <c r="BC61" i="7"/>
  <c r="BB61" i="7" s="1"/>
  <c r="S60" i="9" s="1"/>
  <c r="BC62" i="7"/>
  <c r="BB62" i="7" s="1"/>
  <c r="S61" i="9" s="1"/>
  <c r="BC63" i="7"/>
  <c r="BB63" i="7" s="1"/>
  <c r="S62" i="9" s="1"/>
  <c r="BC64" i="7"/>
  <c r="BB64" i="7" s="1"/>
  <c r="S63" i="9" s="1"/>
  <c r="BC65" i="7"/>
  <c r="BB65" i="7" s="1"/>
  <c r="S64" i="9" s="1"/>
  <c r="BC66" i="7"/>
  <c r="BB66" i="7" s="1"/>
  <c r="S65" i="9" s="1"/>
  <c r="BC67" i="7"/>
  <c r="BB67" i="7" s="1"/>
  <c r="S66" i="9" s="1"/>
  <c r="BC68" i="7"/>
  <c r="BB68" i="7" s="1"/>
  <c r="S67" i="9" s="1"/>
  <c r="BC69" i="7"/>
  <c r="BB69" i="7" s="1"/>
  <c r="S68" i="9" s="1"/>
  <c r="BC70" i="7"/>
  <c r="BB70" i="7" s="1"/>
  <c r="S69" i="9" s="1"/>
  <c r="BC71" i="7"/>
  <c r="BB71" i="7" s="1"/>
  <c r="S70" i="9" s="1"/>
  <c r="BC72" i="7"/>
  <c r="BB72" i="7" s="1"/>
  <c r="S71" i="9" s="1"/>
  <c r="BC73" i="7"/>
  <c r="BB73" i="7" s="1"/>
  <c r="S72" i="9" s="1"/>
  <c r="BC74" i="7"/>
  <c r="BB74" i="7" s="1"/>
  <c r="S73" i="9" s="1"/>
  <c r="BC75" i="7"/>
  <c r="BB75" i="7" s="1"/>
  <c r="S74" i="9" s="1"/>
  <c r="BC76" i="7"/>
  <c r="BB76" i="7" s="1"/>
  <c r="S75" i="9" s="1"/>
  <c r="BC77" i="7"/>
  <c r="BB77" i="7" s="1"/>
  <c r="S76" i="9" s="1"/>
  <c r="BC78" i="7"/>
  <c r="BB78" i="7" s="1"/>
  <c r="S77" i="9" s="1"/>
  <c r="BC79" i="7"/>
  <c r="BB79" i="7" s="1"/>
  <c r="S78" i="9" s="1"/>
  <c r="BC80" i="7"/>
  <c r="BB80" i="7" s="1"/>
  <c r="S79" i="9" s="1"/>
  <c r="BC81" i="7"/>
  <c r="BB81" i="7" s="1"/>
  <c r="S80" i="9" s="1"/>
  <c r="BC82" i="7"/>
  <c r="BB82" i="7" s="1"/>
  <c r="S81" i="9" s="1"/>
  <c r="BC83" i="7"/>
  <c r="BB83" i="7" s="1"/>
  <c r="S82" i="9" s="1"/>
  <c r="BC84" i="7"/>
  <c r="BB84" i="7" s="1"/>
  <c r="S83" i="9" s="1"/>
  <c r="BC85" i="7"/>
  <c r="BB85" i="7" s="1"/>
  <c r="S84" i="9" s="1"/>
  <c r="BC86" i="7"/>
  <c r="BB86" i="7" s="1"/>
  <c r="S85" i="9" s="1"/>
  <c r="BC87" i="7"/>
  <c r="BB87" i="7" s="1"/>
  <c r="S86" i="9" s="1"/>
  <c r="BC88" i="7"/>
  <c r="BB88" i="7" s="1"/>
  <c r="S87" i="9" s="1"/>
  <c r="BC89" i="7"/>
  <c r="BB89" i="7" s="1"/>
  <c r="S88" i="9" s="1"/>
  <c r="BC90" i="7"/>
  <c r="BB90" i="7" s="1"/>
  <c r="S89" i="9" s="1"/>
  <c r="BC91" i="7"/>
  <c r="BB91" i="7" s="1"/>
  <c r="S90" i="9" s="1"/>
  <c r="BC92" i="7"/>
  <c r="BB92" i="7" s="1"/>
  <c r="S91" i="9" s="1"/>
  <c r="BC93" i="7"/>
  <c r="BB93" i="7" s="1"/>
  <c r="S92" i="9" s="1"/>
  <c r="BC94" i="7"/>
  <c r="BB94" i="7" s="1"/>
  <c r="S93" i="9" s="1"/>
  <c r="BC95" i="7"/>
  <c r="BB95" i="7" s="1"/>
  <c r="S94" i="9" s="1"/>
  <c r="BC96" i="7"/>
  <c r="BB96" i="7" s="1"/>
  <c r="S95" i="9" s="1"/>
  <c r="BC97" i="7"/>
  <c r="BB97" i="7" s="1"/>
  <c r="S96" i="9" s="1"/>
  <c r="BC98" i="7"/>
  <c r="BB98" i="7" s="1"/>
  <c r="S97" i="9" s="1"/>
  <c r="BC99" i="7"/>
  <c r="BB99" i="7" s="1"/>
  <c r="S98" i="9" s="1"/>
  <c r="BC100" i="7"/>
  <c r="BB100" i="7" s="1"/>
  <c r="S99" i="9" s="1"/>
  <c r="BC101" i="7"/>
  <c r="BB101" i="7" s="1"/>
  <c r="S100" i="9" s="1"/>
  <c r="BC102" i="7"/>
  <c r="BB102" i="7" s="1"/>
  <c r="S101" i="9" s="1"/>
  <c r="BC103" i="7"/>
  <c r="BB103" i="7" s="1"/>
  <c r="S102" i="9" s="1"/>
  <c r="BC104" i="7"/>
  <c r="BB104" i="7" s="1"/>
  <c r="S103" i="9" s="1"/>
  <c r="BC105" i="7"/>
  <c r="BB105" i="7" s="1"/>
  <c r="S104" i="9" s="1"/>
  <c r="BC106" i="7"/>
  <c r="BB106" i="7" s="1"/>
  <c r="S105" i="9" s="1"/>
  <c r="BC107" i="7"/>
  <c r="BB107" i="7" s="1"/>
  <c r="S106" i="9" s="1"/>
  <c r="BC108" i="7"/>
  <c r="BB108" i="7" s="1"/>
  <c r="S107" i="9" s="1"/>
  <c r="BC109" i="7"/>
  <c r="BB109" i="7" s="1"/>
  <c r="S108" i="9" s="1"/>
  <c r="BC110" i="7"/>
  <c r="BB110" i="7" s="1"/>
  <c r="S109" i="9" s="1"/>
  <c r="BC111" i="7"/>
  <c r="BB111" i="7" s="1"/>
  <c r="S110" i="9" s="1"/>
  <c r="BC112" i="7"/>
  <c r="BB112" i="7" s="1"/>
  <c r="S111" i="9" s="1"/>
  <c r="BC113" i="7"/>
  <c r="BB113" i="7" s="1"/>
  <c r="S112" i="9" s="1"/>
  <c r="BC114" i="7"/>
  <c r="BB114" i="7" s="1"/>
  <c r="S113" i="9" s="1"/>
  <c r="BC115" i="7"/>
  <c r="BB115" i="7" s="1"/>
  <c r="S114" i="9" s="1"/>
  <c r="BC116" i="7"/>
  <c r="BB116" i="7" s="1"/>
  <c r="S115" i="9" s="1"/>
  <c r="BC117" i="7"/>
  <c r="BB117" i="7" s="1"/>
  <c r="S116" i="9" s="1"/>
  <c r="BC118" i="7"/>
  <c r="BB118" i="7" s="1"/>
  <c r="S117" i="9" s="1"/>
  <c r="BC119" i="7"/>
  <c r="BB119" i="7" s="1"/>
  <c r="S118" i="9" s="1"/>
  <c r="BC120" i="7"/>
  <c r="BB120" i="7" s="1"/>
  <c r="S119" i="9" s="1"/>
  <c r="BC121" i="7"/>
  <c r="BB121" i="7" s="1"/>
  <c r="S120" i="9" s="1"/>
  <c r="BC122" i="7"/>
  <c r="BB122" i="7" s="1"/>
  <c r="S121" i="9" s="1"/>
  <c r="BC123" i="7"/>
  <c r="BB123" i="7" s="1"/>
  <c r="S122" i="9" s="1"/>
  <c r="BC124" i="7"/>
  <c r="BB124" i="7" s="1"/>
  <c r="S123" i="9" s="1"/>
  <c r="BC125" i="7"/>
  <c r="BB125" i="7" s="1"/>
  <c r="S124" i="9" s="1"/>
  <c r="BC126" i="7"/>
  <c r="BB126" i="7" s="1"/>
  <c r="S125" i="9" s="1"/>
  <c r="BC127" i="7"/>
  <c r="BB127" i="7" s="1"/>
  <c r="S126" i="9" s="1"/>
  <c r="BC128" i="7"/>
  <c r="BB128" i="7" s="1"/>
  <c r="S127" i="9" s="1"/>
  <c r="BC129" i="7"/>
  <c r="BB129" i="7" s="1"/>
  <c r="S128" i="9" s="1"/>
  <c r="BC130" i="7"/>
  <c r="BB130" i="7" s="1"/>
  <c r="S129" i="9" s="1"/>
  <c r="BC131" i="7"/>
  <c r="BB131" i="7" s="1"/>
  <c r="S130" i="9" s="1"/>
  <c r="BC132" i="7"/>
  <c r="BB132" i="7" s="1"/>
  <c r="S131" i="9" s="1"/>
  <c r="BC133" i="7"/>
  <c r="BB133" i="7" s="1"/>
  <c r="S132" i="9" s="1"/>
  <c r="BC134" i="7"/>
  <c r="BB134" i="7" s="1"/>
  <c r="S133" i="9" s="1"/>
  <c r="BC135" i="7"/>
  <c r="BB135" i="7" s="1"/>
  <c r="S134" i="9" s="1"/>
  <c r="BC136" i="7"/>
  <c r="BB136" i="7" s="1"/>
  <c r="S135" i="9" s="1"/>
  <c r="BC137" i="7"/>
  <c r="BB137" i="7" s="1"/>
  <c r="S136" i="9" s="1"/>
  <c r="BC138" i="7"/>
  <c r="BB138" i="7" s="1"/>
  <c r="S137" i="9" s="1"/>
  <c r="BC139" i="7"/>
  <c r="BB139" i="7" s="1"/>
  <c r="S138" i="9" s="1"/>
  <c r="BC140" i="7"/>
  <c r="BB140" i="7" s="1"/>
  <c r="S139" i="9" s="1"/>
  <c r="BC141" i="7"/>
  <c r="BB141" i="7" s="1"/>
  <c r="S140" i="9" s="1"/>
  <c r="BC142" i="7"/>
  <c r="BB142" i="7" s="1"/>
  <c r="S141" i="9" s="1"/>
  <c r="BC143" i="7"/>
  <c r="BB143" i="7" s="1"/>
  <c r="S142" i="9" s="1"/>
  <c r="BC144" i="7"/>
  <c r="BB144" i="7" s="1"/>
  <c r="S143" i="9" s="1"/>
  <c r="BC145" i="7"/>
  <c r="BB145" i="7" s="1"/>
  <c r="S144" i="9" s="1"/>
  <c r="BC146" i="7"/>
  <c r="BB146" i="7" s="1"/>
  <c r="S145" i="9" s="1"/>
  <c r="BC147" i="7"/>
  <c r="BB147" i="7" s="1"/>
  <c r="S146" i="9" s="1"/>
  <c r="BC148" i="7"/>
  <c r="BB148" i="7" s="1"/>
  <c r="S147" i="9" s="1"/>
  <c r="BC149" i="7"/>
  <c r="BB149" i="7" s="1"/>
  <c r="S148" i="9" s="1"/>
  <c r="BC150" i="7"/>
  <c r="BB150" i="7" s="1"/>
  <c r="S149" i="9" s="1"/>
  <c r="BC151" i="7"/>
  <c r="BB151" i="7" s="1"/>
  <c r="S150" i="9" s="1"/>
  <c r="BC152" i="7"/>
  <c r="BB152" i="7" s="1"/>
  <c r="S151" i="9" s="1"/>
  <c r="BC153" i="7"/>
  <c r="BB153" i="7" s="1"/>
  <c r="S152" i="9" s="1"/>
  <c r="BC154" i="7"/>
  <c r="BB154" i="7" s="1"/>
  <c r="S153" i="9" s="1"/>
  <c r="BC155" i="7"/>
  <c r="BB155" i="7" s="1"/>
  <c r="S154" i="9" s="1"/>
  <c r="BC156" i="7"/>
  <c r="BB156" i="7" s="1"/>
  <c r="S155" i="9" s="1"/>
  <c r="BC157" i="7"/>
  <c r="BB157" i="7" s="1"/>
  <c r="S156" i="9" s="1"/>
  <c r="BC158" i="7"/>
  <c r="BB158" i="7" s="1"/>
  <c r="S157" i="9" s="1"/>
  <c r="BC159" i="7"/>
  <c r="BB159" i="7" s="1"/>
  <c r="S158" i="9" s="1"/>
  <c r="BC160" i="7"/>
  <c r="BB160" i="7" s="1"/>
  <c r="S159" i="9" s="1"/>
  <c r="BC161" i="7"/>
  <c r="BB161" i="7" s="1"/>
  <c r="S160" i="9" s="1"/>
  <c r="BC162" i="7"/>
  <c r="BB162" i="7" s="1"/>
  <c r="S161" i="9" s="1"/>
  <c r="BC163" i="7"/>
  <c r="BB163" i="7" s="1"/>
  <c r="S162" i="9" s="1"/>
  <c r="BC164" i="7"/>
  <c r="BB164" i="7" s="1"/>
  <c r="S163" i="9" s="1"/>
  <c r="BC165" i="7"/>
  <c r="BB165" i="7" s="1"/>
  <c r="S164" i="9" s="1"/>
  <c r="BC166" i="7"/>
  <c r="BB166" i="7" s="1"/>
  <c r="S165" i="9" s="1"/>
  <c r="BC167" i="7"/>
  <c r="BB167" i="7" s="1"/>
  <c r="S166" i="9" s="1"/>
  <c r="BC168" i="7"/>
  <c r="BB168" i="7" s="1"/>
  <c r="S167" i="9" s="1"/>
  <c r="BC169" i="7"/>
  <c r="BB169" i="7" s="1"/>
  <c r="S168" i="9" s="1"/>
  <c r="BC170" i="7"/>
  <c r="BB170" i="7" s="1"/>
  <c r="S169" i="9" s="1"/>
  <c r="BC171" i="7"/>
  <c r="BB171" i="7" s="1"/>
  <c r="S170" i="9" s="1"/>
  <c r="BC172" i="7"/>
  <c r="BB172" i="7" s="1"/>
  <c r="S171" i="9" s="1"/>
  <c r="BC173" i="7"/>
  <c r="BB173" i="7" s="1"/>
  <c r="S172" i="9" s="1"/>
  <c r="BC174" i="7"/>
  <c r="BB174" i="7" s="1"/>
  <c r="S173" i="9" s="1"/>
  <c r="BC175" i="7"/>
  <c r="BB175" i="7" s="1"/>
  <c r="S174" i="9" s="1"/>
  <c r="BC176" i="7"/>
  <c r="BB176" i="7" s="1"/>
  <c r="S175" i="9" s="1"/>
  <c r="BC177" i="7"/>
  <c r="BB177" i="7" s="1"/>
  <c r="S176" i="9" s="1"/>
  <c r="BC178" i="7"/>
  <c r="BB178" i="7" s="1"/>
  <c r="S177" i="9" s="1"/>
  <c r="BC179" i="7"/>
  <c r="BB179" i="7" s="1"/>
  <c r="S178" i="9" s="1"/>
  <c r="BC180" i="7"/>
  <c r="BB180" i="7" s="1"/>
  <c r="S179" i="9" s="1"/>
  <c r="BC181" i="7"/>
  <c r="BB181" i="7" s="1"/>
  <c r="S180" i="9" s="1"/>
  <c r="BC182" i="7"/>
  <c r="BB182" i="7" s="1"/>
  <c r="S181" i="9" s="1"/>
  <c r="BC183" i="7"/>
  <c r="BB183" i="7" s="1"/>
  <c r="S182" i="9" s="1"/>
  <c r="BC184" i="7"/>
  <c r="BB184" i="7" s="1"/>
  <c r="S183" i="9" s="1"/>
  <c r="BC185" i="7"/>
  <c r="BB185" i="7" s="1"/>
  <c r="S184" i="9" s="1"/>
  <c r="BC186" i="7"/>
  <c r="BB186" i="7" s="1"/>
  <c r="S185" i="9" s="1"/>
  <c r="BC187" i="7"/>
  <c r="BB187" i="7" s="1"/>
  <c r="S186" i="9" s="1"/>
  <c r="BC188" i="7"/>
  <c r="BB188" i="7" s="1"/>
  <c r="S187" i="9" s="1"/>
  <c r="BC189" i="7"/>
  <c r="BB189" i="7" s="1"/>
  <c r="S188" i="9" s="1"/>
  <c r="BC190" i="7"/>
  <c r="BB190" i="7" s="1"/>
  <c r="S189" i="9" s="1"/>
  <c r="BC191" i="7"/>
  <c r="BB191" i="7" s="1"/>
  <c r="S190" i="9" s="1"/>
  <c r="BC192" i="7"/>
  <c r="BB192" i="7" s="1"/>
  <c r="S191" i="9" s="1"/>
  <c r="BC193" i="7"/>
  <c r="BB193" i="7" s="1"/>
  <c r="S192" i="9" s="1"/>
  <c r="BC194" i="7"/>
  <c r="BB194" i="7" s="1"/>
  <c r="S193" i="9" s="1"/>
  <c r="BC195" i="7"/>
  <c r="BB195" i="7" s="1"/>
  <c r="S194" i="9" s="1"/>
  <c r="BC196" i="7"/>
  <c r="BB196" i="7" s="1"/>
  <c r="S195" i="9" s="1"/>
  <c r="BC197" i="7"/>
  <c r="BB197" i="7" s="1"/>
  <c r="S196" i="9" s="1"/>
  <c r="BC198" i="7"/>
  <c r="BB198" i="7" s="1"/>
  <c r="S197" i="9" s="1"/>
  <c r="BC199" i="7"/>
  <c r="BB199" i="7" s="1"/>
  <c r="S198" i="9" s="1"/>
  <c r="BC200" i="7"/>
  <c r="BB200" i="7" s="1"/>
  <c r="S199" i="9" s="1"/>
  <c r="BC201" i="7"/>
  <c r="BB201" i="7" s="1"/>
  <c r="S200" i="9" s="1"/>
  <c r="BC202" i="7"/>
  <c r="BB202" i="7" s="1"/>
  <c r="S201" i="9" s="1"/>
  <c r="BC203" i="7"/>
  <c r="BB203" i="7" s="1"/>
  <c r="S202" i="9" s="1"/>
  <c r="BC204" i="7"/>
  <c r="BB204" i="7" s="1"/>
  <c r="S203" i="9" s="1"/>
  <c r="BC205" i="7"/>
  <c r="BB205" i="7" s="1"/>
  <c r="S204" i="9" s="1"/>
  <c r="BC206" i="7"/>
  <c r="BB206" i="7" s="1"/>
  <c r="S205" i="9" s="1"/>
  <c r="BC207" i="7"/>
  <c r="BB207" i="7" s="1"/>
  <c r="S206" i="9" s="1"/>
  <c r="BC208" i="7"/>
  <c r="BB208" i="7" s="1"/>
  <c r="S207" i="9" s="1"/>
  <c r="BC209" i="7"/>
  <c r="BB209" i="7" s="1"/>
  <c r="S208" i="9" s="1"/>
  <c r="BC210" i="7"/>
  <c r="BB210" i="7" s="1"/>
  <c r="S209" i="9" s="1"/>
  <c r="BC211" i="7"/>
  <c r="BB211" i="7" s="1"/>
  <c r="S210" i="9" s="1"/>
  <c r="BC212" i="7"/>
  <c r="BB212" i="7" s="1"/>
  <c r="S211" i="9" s="1"/>
  <c r="BC213" i="7"/>
  <c r="BB213" i="7" s="1"/>
  <c r="S212" i="9" s="1"/>
  <c r="BC214" i="7"/>
  <c r="BB214" i="7" s="1"/>
  <c r="S213" i="9" s="1"/>
  <c r="BC215" i="7"/>
  <c r="BB215" i="7" s="1"/>
  <c r="S214" i="9" s="1"/>
  <c r="BC216" i="7"/>
  <c r="BB216" i="7" s="1"/>
  <c r="S215" i="9" s="1"/>
  <c r="BC217" i="7"/>
  <c r="BB217" i="7" s="1"/>
  <c r="S216" i="9" s="1"/>
  <c r="BC218" i="7"/>
  <c r="BB218" i="7" s="1"/>
  <c r="S217" i="9" s="1"/>
  <c r="BC219" i="7"/>
  <c r="BB219" i="7" s="1"/>
  <c r="S218" i="9" s="1"/>
  <c r="BC220" i="7"/>
  <c r="BB220" i="7" s="1"/>
  <c r="S219" i="9" s="1"/>
  <c r="BC221" i="7"/>
  <c r="BB221" i="7" s="1"/>
  <c r="S220" i="9" s="1"/>
  <c r="BC222" i="7"/>
  <c r="BB222" i="7" s="1"/>
  <c r="S221" i="9" s="1"/>
  <c r="BC223" i="7"/>
  <c r="BB223" i="7" s="1"/>
  <c r="S222" i="9" s="1"/>
  <c r="BC224" i="7"/>
  <c r="BB224" i="7" s="1"/>
  <c r="S223" i="9" s="1"/>
  <c r="BC225" i="7"/>
  <c r="BB225" i="7" s="1"/>
  <c r="S224" i="9" s="1"/>
  <c r="BC226" i="7"/>
  <c r="BB226" i="7" s="1"/>
  <c r="S225" i="9" s="1"/>
  <c r="BC227" i="7"/>
  <c r="BB227" i="7" s="1"/>
  <c r="S226" i="9" s="1"/>
  <c r="BC228" i="7"/>
  <c r="BB228" i="7" s="1"/>
  <c r="S227" i="9" s="1"/>
  <c r="BC229" i="7"/>
  <c r="BB229" i="7" s="1"/>
  <c r="S228" i="9" s="1"/>
  <c r="BC230" i="7"/>
  <c r="BB230" i="7" s="1"/>
  <c r="S229" i="9" s="1"/>
  <c r="BC231" i="7"/>
  <c r="BB231" i="7" s="1"/>
  <c r="S230" i="9" s="1"/>
  <c r="BC232" i="7"/>
  <c r="BB232" i="7" s="1"/>
  <c r="S231" i="9" s="1"/>
  <c r="BC233" i="7"/>
  <c r="BB233" i="7" s="1"/>
  <c r="S232" i="9" s="1"/>
  <c r="BC234" i="7"/>
  <c r="BB234" i="7" s="1"/>
  <c r="S233" i="9" s="1"/>
  <c r="BC235" i="7"/>
  <c r="BB235" i="7" s="1"/>
  <c r="S234" i="9" s="1"/>
  <c r="BC236" i="7"/>
  <c r="BB236" i="7" s="1"/>
  <c r="S235" i="9" s="1"/>
  <c r="BC237" i="7"/>
  <c r="BB237" i="7" s="1"/>
  <c r="S236" i="9" s="1"/>
  <c r="BC238" i="7"/>
  <c r="BB238" i="7" s="1"/>
  <c r="S237" i="9" s="1"/>
  <c r="BC239" i="7"/>
  <c r="BB239" i="7" s="1"/>
  <c r="S238" i="9" s="1"/>
  <c r="BC240" i="7"/>
  <c r="BB240" i="7" s="1"/>
  <c r="S239" i="9" s="1"/>
  <c r="BC241" i="7"/>
  <c r="BB241" i="7" s="1"/>
  <c r="S240" i="9" s="1"/>
  <c r="BC242" i="7"/>
  <c r="BB242" i="7" s="1"/>
  <c r="S241" i="9" s="1"/>
  <c r="BC243" i="7"/>
  <c r="BB243" i="7" s="1"/>
  <c r="S242" i="9" s="1"/>
  <c r="BC244" i="7"/>
  <c r="BB244" i="7" s="1"/>
  <c r="S243" i="9" s="1"/>
  <c r="BC245" i="7"/>
  <c r="BB245" i="7" s="1"/>
  <c r="S244" i="9" s="1"/>
  <c r="BC246" i="7"/>
  <c r="BB246" i="7" s="1"/>
  <c r="S245" i="9" s="1"/>
  <c r="BC247" i="7"/>
  <c r="BB247" i="7" s="1"/>
  <c r="S246" i="9" s="1"/>
  <c r="BC248" i="7"/>
  <c r="BB248" i="7" s="1"/>
  <c r="S247" i="9" s="1"/>
  <c r="BC249" i="7"/>
  <c r="BB249" i="7" s="1"/>
  <c r="S248" i="9" s="1"/>
  <c r="BC250" i="7"/>
  <c r="BB250" i="7" s="1"/>
  <c r="S249" i="9" s="1"/>
  <c r="BC251" i="7"/>
  <c r="BB251" i="7" s="1"/>
  <c r="S250" i="9" s="1"/>
  <c r="BC252" i="7"/>
  <c r="BB252" i="7" s="1"/>
  <c r="S251" i="9" s="1"/>
  <c r="BC253" i="7"/>
  <c r="BB253" i="7" s="1"/>
  <c r="S252" i="9" s="1"/>
  <c r="BC254" i="7"/>
  <c r="BB254" i="7" s="1"/>
  <c r="S253" i="9" s="1"/>
  <c r="BC255" i="7"/>
  <c r="BB255" i="7" s="1"/>
  <c r="S254" i="9" s="1"/>
  <c r="BC256" i="7"/>
  <c r="BB256" i="7" s="1"/>
  <c r="S255" i="9" s="1"/>
  <c r="BC257" i="7"/>
  <c r="BB257" i="7" s="1"/>
  <c r="S256" i="9" s="1"/>
  <c r="BC258" i="7"/>
  <c r="BB258" i="7" s="1"/>
  <c r="S257" i="9" s="1"/>
  <c r="BC259" i="7"/>
  <c r="BB259" i="7" s="1"/>
  <c r="S258" i="9" s="1"/>
  <c r="BC260" i="7"/>
  <c r="BB260" i="7" s="1"/>
  <c r="S259" i="9" s="1"/>
  <c r="BC261" i="7"/>
  <c r="BB261" i="7" s="1"/>
  <c r="S260" i="9" s="1"/>
  <c r="BC262" i="7"/>
  <c r="BB262" i="7" s="1"/>
  <c r="S261" i="9" s="1"/>
  <c r="BC263" i="7"/>
  <c r="BB263" i="7" s="1"/>
  <c r="S262" i="9" s="1"/>
  <c r="BC264" i="7"/>
  <c r="BB264" i="7" s="1"/>
  <c r="S263" i="9" s="1"/>
  <c r="BC265" i="7"/>
  <c r="BB265" i="7" s="1"/>
  <c r="S264" i="9" s="1"/>
  <c r="BC266" i="7"/>
  <c r="BB266" i="7" s="1"/>
  <c r="S265" i="9" s="1"/>
  <c r="BC267" i="7"/>
  <c r="BB267" i="7" s="1"/>
  <c r="S266" i="9" s="1"/>
  <c r="BC268" i="7"/>
  <c r="BB268" i="7" s="1"/>
  <c r="S267" i="9" s="1"/>
  <c r="BC269" i="7"/>
  <c r="BB269" i="7" s="1"/>
  <c r="S268" i="9" s="1"/>
  <c r="BC270" i="7"/>
  <c r="BB270" i="7" s="1"/>
  <c r="S269" i="9" s="1"/>
  <c r="BC271" i="7"/>
  <c r="BB271" i="7" s="1"/>
  <c r="S270" i="9" s="1"/>
  <c r="BC272" i="7"/>
  <c r="BB272" i="7" s="1"/>
  <c r="S271" i="9" s="1"/>
  <c r="BC273" i="7"/>
  <c r="BB273" i="7" s="1"/>
  <c r="S272" i="9" s="1"/>
  <c r="BC274" i="7"/>
  <c r="BB274" i="7" s="1"/>
  <c r="S273" i="9" s="1"/>
  <c r="BC275" i="7"/>
  <c r="BB275" i="7" s="1"/>
  <c r="S274" i="9" s="1"/>
  <c r="BC276" i="7"/>
  <c r="BB276" i="7" s="1"/>
  <c r="S275" i="9" s="1"/>
  <c r="BC277" i="7"/>
  <c r="BB277" i="7" s="1"/>
  <c r="S276" i="9" s="1"/>
  <c r="BC278" i="7"/>
  <c r="BB278" i="7" s="1"/>
  <c r="S277" i="9" s="1"/>
  <c r="BC279" i="7"/>
  <c r="BB279" i="7" s="1"/>
  <c r="S278" i="9" s="1"/>
  <c r="BC280" i="7"/>
  <c r="BB280" i="7" s="1"/>
  <c r="S279" i="9" s="1"/>
  <c r="BC281" i="7"/>
  <c r="BB281" i="7" s="1"/>
  <c r="S280" i="9" s="1"/>
  <c r="BC282" i="7"/>
  <c r="BB282" i="7" s="1"/>
  <c r="S281" i="9" s="1"/>
  <c r="BC283" i="7"/>
  <c r="BB283" i="7" s="1"/>
  <c r="S282" i="9" s="1"/>
  <c r="BC284" i="7"/>
  <c r="BB284" i="7" s="1"/>
  <c r="S283" i="9" s="1"/>
  <c r="BC285" i="7"/>
  <c r="BB285" i="7" s="1"/>
  <c r="S284" i="9" s="1"/>
  <c r="BC286" i="7"/>
  <c r="BB286" i="7" s="1"/>
  <c r="S285" i="9" s="1"/>
  <c r="BC287" i="7"/>
  <c r="BB287" i="7" s="1"/>
  <c r="S286" i="9" s="1"/>
  <c r="BC288" i="7"/>
  <c r="BB288" i="7" s="1"/>
  <c r="S287" i="9" s="1"/>
  <c r="BC289" i="7"/>
  <c r="BB289" i="7" s="1"/>
  <c r="S288" i="9" s="1"/>
  <c r="BC290" i="7"/>
  <c r="BB290" i="7" s="1"/>
  <c r="S289" i="9" s="1"/>
  <c r="BC291" i="7"/>
  <c r="BB291" i="7" s="1"/>
  <c r="S290" i="9" s="1"/>
  <c r="BC292" i="7"/>
  <c r="BB292" i="7" s="1"/>
  <c r="S291" i="9" s="1"/>
  <c r="BC293" i="7"/>
  <c r="BB293" i="7" s="1"/>
  <c r="S292" i="9" s="1"/>
  <c r="BC294" i="7"/>
  <c r="BB294" i="7" s="1"/>
  <c r="S293" i="9" s="1"/>
  <c r="BC295" i="7"/>
  <c r="BB295" i="7" s="1"/>
  <c r="S294" i="9" s="1"/>
  <c r="BC296" i="7"/>
  <c r="BB296" i="7" s="1"/>
  <c r="S295" i="9" s="1"/>
  <c r="BC297" i="7"/>
  <c r="BB297" i="7" s="1"/>
  <c r="S296" i="9" s="1"/>
  <c r="BC298" i="7"/>
  <c r="BB298" i="7" s="1"/>
  <c r="S297" i="9" s="1"/>
  <c r="BC299" i="7"/>
  <c r="BB299" i="7" s="1"/>
  <c r="S298" i="9" s="1"/>
  <c r="BC300" i="7"/>
  <c r="BB300" i="7" s="1"/>
  <c r="S299" i="9" s="1"/>
  <c r="BC301" i="7"/>
  <c r="BB301" i="7" s="1"/>
  <c r="S300" i="9" s="1"/>
  <c r="BC302" i="7"/>
  <c r="BB302" i="7" s="1"/>
  <c r="S301" i="9" s="1"/>
  <c r="BC303" i="7"/>
  <c r="BB303" i="7" s="1"/>
  <c r="S302" i="9" s="1"/>
  <c r="BC304" i="7"/>
  <c r="BB304" i="7" s="1"/>
  <c r="S303" i="9" s="1"/>
  <c r="BC305" i="7"/>
  <c r="BB305" i="7" s="1"/>
  <c r="S304" i="9" s="1"/>
  <c r="BC306" i="7"/>
  <c r="BB306" i="7" s="1"/>
  <c r="S305" i="9" s="1"/>
  <c r="BC307" i="7"/>
  <c r="BB307" i="7" s="1"/>
  <c r="S306" i="9" s="1"/>
  <c r="BC308" i="7"/>
  <c r="BB308" i="7" s="1"/>
  <c r="S307" i="9" s="1"/>
  <c r="BC309" i="7"/>
  <c r="BB309" i="7" s="1"/>
  <c r="S308" i="9" s="1"/>
  <c r="BC310" i="7"/>
  <c r="BB310" i="7" s="1"/>
  <c r="S309" i="9" s="1"/>
  <c r="BC311" i="7"/>
  <c r="BB311" i="7" s="1"/>
  <c r="S310" i="9" s="1"/>
  <c r="BC312" i="7"/>
  <c r="BB312" i="7" s="1"/>
  <c r="S311" i="9" s="1"/>
  <c r="BC313" i="7"/>
  <c r="BB313" i="7" s="1"/>
  <c r="S312" i="9" s="1"/>
  <c r="BC314" i="7"/>
  <c r="BB314" i="7" s="1"/>
  <c r="S313" i="9" s="1"/>
  <c r="BC315" i="7"/>
  <c r="BB315" i="7" s="1"/>
  <c r="S314" i="9" s="1"/>
  <c r="BC316" i="7"/>
  <c r="BB316" i="7" s="1"/>
  <c r="S315" i="9" s="1"/>
  <c r="BC317" i="7"/>
  <c r="BB317" i="7" s="1"/>
  <c r="S316" i="9" s="1"/>
  <c r="BC318" i="7"/>
  <c r="BB318" i="7" s="1"/>
  <c r="S317" i="9" s="1"/>
  <c r="BC319" i="7"/>
  <c r="BB319" i="7" s="1"/>
  <c r="S318" i="9" s="1"/>
  <c r="BC320" i="7"/>
  <c r="BB320" i="7" s="1"/>
  <c r="S319" i="9" s="1"/>
  <c r="BC321" i="7"/>
  <c r="BB321" i="7" s="1"/>
  <c r="S320" i="9" s="1"/>
  <c r="BC322" i="7"/>
  <c r="BB322" i="7" s="1"/>
  <c r="S321" i="9" s="1"/>
  <c r="BC323" i="7"/>
  <c r="BB323" i="7" s="1"/>
  <c r="S322" i="9" s="1"/>
  <c r="BC324" i="7"/>
  <c r="BB324" i="7" s="1"/>
  <c r="S323" i="9" s="1"/>
  <c r="BC325" i="7"/>
  <c r="BB325" i="7" s="1"/>
  <c r="S324" i="9" s="1"/>
  <c r="BC326" i="7"/>
  <c r="BB326" i="7" s="1"/>
  <c r="S325" i="9" s="1"/>
  <c r="BC327" i="7"/>
  <c r="BB327" i="7" s="1"/>
  <c r="S326" i="9" s="1"/>
  <c r="BC328" i="7"/>
  <c r="BB328" i="7" s="1"/>
  <c r="S327" i="9" s="1"/>
  <c r="BC329" i="7"/>
  <c r="BB329" i="7" s="1"/>
  <c r="S328" i="9" s="1"/>
  <c r="BC330" i="7"/>
  <c r="BB330" i="7" s="1"/>
  <c r="S329" i="9" s="1"/>
  <c r="BC331" i="7"/>
  <c r="BB331" i="7" s="1"/>
  <c r="S330" i="9" s="1"/>
  <c r="BC332" i="7"/>
  <c r="BB332" i="7" s="1"/>
  <c r="S331" i="9" s="1"/>
  <c r="BC333" i="7"/>
  <c r="BB333" i="7" s="1"/>
  <c r="S332" i="9" s="1"/>
  <c r="BC334" i="7"/>
  <c r="BB334" i="7" s="1"/>
  <c r="S333" i="9" s="1"/>
  <c r="BC335" i="7"/>
  <c r="BB335" i="7" s="1"/>
  <c r="S334" i="9" s="1"/>
  <c r="BC336" i="7"/>
  <c r="BB336" i="7" s="1"/>
  <c r="S335" i="9" s="1"/>
  <c r="BC337" i="7"/>
  <c r="BB337" i="7" s="1"/>
  <c r="S336" i="9" s="1"/>
  <c r="BC338" i="7"/>
  <c r="BB338" i="7" s="1"/>
  <c r="S337" i="9" s="1"/>
  <c r="BC339" i="7"/>
  <c r="BB339" i="7" s="1"/>
  <c r="S338" i="9" s="1"/>
  <c r="BC340" i="7"/>
  <c r="BB340" i="7" s="1"/>
  <c r="S339" i="9" s="1"/>
  <c r="BC341" i="7"/>
  <c r="BB341" i="7" s="1"/>
  <c r="S340" i="9" s="1"/>
  <c r="BC342" i="7"/>
  <c r="BB342" i="7" s="1"/>
  <c r="S341" i="9" s="1"/>
  <c r="BC343" i="7"/>
  <c r="BB343" i="7" s="1"/>
  <c r="S342" i="9" s="1"/>
  <c r="BC344" i="7"/>
  <c r="BB344" i="7" s="1"/>
  <c r="S343" i="9" s="1"/>
  <c r="BC345" i="7"/>
  <c r="BB345" i="7" s="1"/>
  <c r="S344" i="9" s="1"/>
  <c r="BC346" i="7"/>
  <c r="BB346" i="7" s="1"/>
  <c r="S345" i="9" s="1"/>
  <c r="BC347" i="7"/>
  <c r="BB347" i="7" s="1"/>
  <c r="S346" i="9" s="1"/>
  <c r="BC348" i="7"/>
  <c r="BB348" i="7" s="1"/>
  <c r="S347" i="9" s="1"/>
  <c r="BC349" i="7"/>
  <c r="BB349" i="7" s="1"/>
  <c r="S348" i="9" s="1"/>
  <c r="BC350" i="7"/>
  <c r="BB350" i="7" s="1"/>
  <c r="S349" i="9" s="1"/>
  <c r="BC351" i="7"/>
  <c r="BB351" i="7" s="1"/>
  <c r="S350" i="9" s="1"/>
  <c r="BC352" i="7"/>
  <c r="BB352" i="7" s="1"/>
  <c r="S351" i="9" s="1"/>
  <c r="BC353" i="7"/>
  <c r="BB353" i="7" s="1"/>
  <c r="S352" i="9" s="1"/>
  <c r="BC354" i="7"/>
  <c r="BB354" i="7" s="1"/>
  <c r="S353" i="9" s="1"/>
  <c r="BC355" i="7"/>
  <c r="BB355" i="7" s="1"/>
  <c r="S354" i="9" s="1"/>
  <c r="BC356" i="7"/>
  <c r="BB356" i="7" s="1"/>
  <c r="S355" i="9" s="1"/>
  <c r="BC357" i="7"/>
  <c r="BB357" i="7" s="1"/>
  <c r="S356" i="9" s="1"/>
  <c r="BC358" i="7"/>
  <c r="BB358" i="7" s="1"/>
  <c r="S357" i="9" s="1"/>
  <c r="BC359" i="7"/>
  <c r="BB359" i="7" s="1"/>
  <c r="S358" i="9" s="1"/>
  <c r="BC360" i="7"/>
  <c r="BB360" i="7" s="1"/>
  <c r="S359" i="9" s="1"/>
  <c r="BC361" i="7"/>
  <c r="BB361" i="7" s="1"/>
  <c r="S360" i="9" s="1"/>
  <c r="BC362" i="7"/>
  <c r="BB362" i="7" s="1"/>
  <c r="S361" i="9" s="1"/>
  <c r="BC363" i="7"/>
  <c r="BB363" i="7" s="1"/>
  <c r="S362" i="9" s="1"/>
  <c r="BC364" i="7"/>
  <c r="BB364" i="7" s="1"/>
  <c r="S363" i="9" s="1"/>
  <c r="BC365" i="7"/>
  <c r="BB365" i="7" s="1"/>
  <c r="S364" i="9" s="1"/>
  <c r="BC366" i="7"/>
  <c r="BB366" i="7" s="1"/>
  <c r="S365" i="9" s="1"/>
  <c r="BC367" i="7"/>
  <c r="BB367" i="7" s="1"/>
  <c r="S366" i="9" s="1"/>
  <c r="BC368" i="7"/>
  <c r="BB368" i="7" s="1"/>
  <c r="S367" i="9" s="1"/>
  <c r="BC369" i="7"/>
  <c r="BB369" i="7" s="1"/>
  <c r="S368" i="9" s="1"/>
  <c r="BC370" i="7"/>
  <c r="BB370" i="7" s="1"/>
  <c r="S369" i="9" s="1"/>
  <c r="BC371" i="7"/>
  <c r="BB371" i="7" s="1"/>
  <c r="S370" i="9" s="1"/>
  <c r="BC372" i="7"/>
  <c r="BB372" i="7" s="1"/>
  <c r="S371" i="9" s="1"/>
  <c r="BC373" i="7"/>
  <c r="BB373" i="7" s="1"/>
  <c r="S372" i="9" s="1"/>
  <c r="BC374" i="7"/>
  <c r="BB374" i="7" s="1"/>
  <c r="S373" i="9" s="1"/>
  <c r="BC375" i="7"/>
  <c r="BB375" i="7" s="1"/>
  <c r="S374" i="9" s="1"/>
  <c r="BC376" i="7"/>
  <c r="BB376" i="7" s="1"/>
  <c r="S375" i="9" s="1"/>
  <c r="BC377" i="7"/>
  <c r="BB377" i="7" s="1"/>
  <c r="S376" i="9" s="1"/>
  <c r="BC378" i="7"/>
  <c r="BB378" i="7" s="1"/>
  <c r="S377" i="9" s="1"/>
  <c r="BC379" i="7"/>
  <c r="BB379" i="7" s="1"/>
  <c r="S378" i="9" s="1"/>
  <c r="BC380" i="7"/>
  <c r="BB380" i="7" s="1"/>
  <c r="S379" i="9" s="1"/>
  <c r="BC381" i="7"/>
  <c r="BB381" i="7" s="1"/>
  <c r="S380" i="9" s="1"/>
  <c r="BC382" i="7"/>
  <c r="BB382" i="7" s="1"/>
  <c r="S381" i="9" s="1"/>
  <c r="BC383" i="7"/>
  <c r="BB383" i="7" s="1"/>
  <c r="S382" i="9" s="1"/>
  <c r="BC384" i="7"/>
  <c r="BB384" i="7" s="1"/>
  <c r="S383" i="9" s="1"/>
  <c r="BC385" i="7"/>
  <c r="BB385" i="7" s="1"/>
  <c r="S384" i="9" s="1"/>
  <c r="BC386" i="7"/>
  <c r="BB386" i="7" s="1"/>
  <c r="S385" i="9" s="1"/>
  <c r="BC387" i="7"/>
  <c r="BB387" i="7" s="1"/>
  <c r="S386" i="9" s="1"/>
  <c r="BC388" i="7"/>
  <c r="BB388" i="7" s="1"/>
  <c r="S387" i="9" s="1"/>
  <c r="BC389" i="7"/>
  <c r="BB389" i="7" s="1"/>
  <c r="S388" i="9" s="1"/>
  <c r="BC390" i="7"/>
  <c r="BB390" i="7" s="1"/>
  <c r="S389" i="9" s="1"/>
  <c r="BC391" i="7"/>
  <c r="BB391" i="7" s="1"/>
  <c r="S390" i="9" s="1"/>
  <c r="BC392" i="7"/>
  <c r="BB392" i="7" s="1"/>
  <c r="S391" i="9" s="1"/>
  <c r="BC393" i="7"/>
  <c r="BB393" i="7" s="1"/>
  <c r="S392" i="9" s="1"/>
  <c r="BC394" i="7"/>
  <c r="BB394" i="7" s="1"/>
  <c r="S393" i="9" s="1"/>
  <c r="BC395" i="7"/>
  <c r="BB395" i="7" s="1"/>
  <c r="S394" i="9" s="1"/>
  <c r="BC396" i="7"/>
  <c r="BB396" i="7" s="1"/>
  <c r="S395" i="9" s="1"/>
  <c r="BC397" i="7"/>
  <c r="BB397" i="7" s="1"/>
  <c r="S396" i="9" s="1"/>
  <c r="BC398" i="7"/>
  <c r="BB398" i="7" s="1"/>
  <c r="S397" i="9" s="1"/>
  <c r="BC399" i="7"/>
  <c r="BB399" i="7" s="1"/>
  <c r="S398" i="9" s="1"/>
  <c r="BC400" i="7"/>
  <c r="BB400" i="7" s="1"/>
  <c r="S399" i="9" s="1"/>
  <c r="BC401" i="7"/>
  <c r="BB401" i="7" s="1"/>
  <c r="S400" i="9" s="1"/>
  <c r="BC402" i="7"/>
  <c r="BB402" i="7" s="1"/>
  <c r="S401" i="9" s="1"/>
  <c r="BC403" i="7"/>
  <c r="BB403" i="7" s="1"/>
  <c r="S402" i="9" s="1"/>
  <c r="BC404" i="7"/>
  <c r="BB404" i="7" s="1"/>
  <c r="S403" i="9" s="1"/>
  <c r="BC405" i="7"/>
  <c r="BB405" i="7" s="1"/>
  <c r="S404" i="9" s="1"/>
  <c r="BC406" i="7"/>
  <c r="BB406" i="7" s="1"/>
  <c r="S405" i="9" s="1"/>
  <c r="BC407" i="7"/>
  <c r="BB407" i="7" s="1"/>
  <c r="S406" i="9" s="1"/>
  <c r="BC408" i="7"/>
  <c r="BB408" i="7" s="1"/>
  <c r="S407" i="9" s="1"/>
  <c r="BC409" i="7"/>
  <c r="BB409" i="7" s="1"/>
  <c r="S408" i="9" s="1"/>
  <c r="BC410" i="7"/>
  <c r="BB410" i="7" s="1"/>
  <c r="S409" i="9" s="1"/>
  <c r="BC411" i="7"/>
  <c r="BB411" i="7" s="1"/>
  <c r="S410" i="9" s="1"/>
  <c r="BC412" i="7"/>
  <c r="BB412" i="7" s="1"/>
  <c r="S411" i="9" s="1"/>
  <c r="BC413" i="7"/>
  <c r="BB413" i="7" s="1"/>
  <c r="S412" i="9" s="1"/>
  <c r="BC414" i="7"/>
  <c r="BB414" i="7" s="1"/>
  <c r="S413" i="9" s="1"/>
  <c r="BC415" i="7"/>
  <c r="BB415" i="7" s="1"/>
  <c r="S414" i="9" s="1"/>
  <c r="BC416" i="7"/>
  <c r="BB416" i="7" s="1"/>
  <c r="S415" i="9" s="1"/>
  <c r="BC417" i="7"/>
  <c r="BB417" i="7" s="1"/>
  <c r="S416" i="9" s="1"/>
  <c r="BC418" i="7"/>
  <c r="BB418" i="7" s="1"/>
  <c r="S417" i="9" s="1"/>
  <c r="BC419" i="7"/>
  <c r="BB419" i="7" s="1"/>
  <c r="S418" i="9" s="1"/>
  <c r="BC420" i="7"/>
  <c r="BB420" i="7" s="1"/>
  <c r="S419" i="9" s="1"/>
  <c r="BC421" i="7"/>
  <c r="BB421" i="7" s="1"/>
  <c r="S420" i="9" s="1"/>
  <c r="BC422" i="7"/>
  <c r="BB422" i="7" s="1"/>
  <c r="S421" i="9" s="1"/>
  <c r="BC423" i="7"/>
  <c r="BB423" i="7" s="1"/>
  <c r="S422" i="9" s="1"/>
  <c r="BC424" i="7"/>
  <c r="BB424" i="7" s="1"/>
  <c r="S423" i="9" s="1"/>
  <c r="BC425" i="7"/>
  <c r="BB425" i="7" s="1"/>
  <c r="S424" i="9" s="1"/>
  <c r="BC426" i="7"/>
  <c r="BB426" i="7" s="1"/>
  <c r="S425" i="9" s="1"/>
  <c r="BC427" i="7"/>
  <c r="BB427" i="7" s="1"/>
  <c r="S426" i="9" s="1"/>
  <c r="BC428" i="7"/>
  <c r="BB428" i="7" s="1"/>
  <c r="S427" i="9" s="1"/>
  <c r="BC429" i="7"/>
  <c r="BB429" i="7" s="1"/>
  <c r="S428" i="9" s="1"/>
  <c r="BC430" i="7"/>
  <c r="BB430" i="7" s="1"/>
  <c r="S429" i="9" s="1"/>
  <c r="BC431" i="7"/>
  <c r="BB431" i="7" s="1"/>
  <c r="S430" i="9" s="1"/>
  <c r="BC432" i="7"/>
  <c r="BB432" i="7" s="1"/>
  <c r="S431" i="9" s="1"/>
  <c r="BC433" i="7"/>
  <c r="BB433" i="7" s="1"/>
  <c r="S432" i="9" s="1"/>
  <c r="BC434" i="7"/>
  <c r="BB434" i="7" s="1"/>
  <c r="S433" i="9" s="1"/>
  <c r="BC435" i="7"/>
  <c r="BB435" i="7" s="1"/>
  <c r="S434" i="9" s="1"/>
  <c r="BC436" i="7"/>
  <c r="BB436" i="7" s="1"/>
  <c r="S435" i="9" s="1"/>
  <c r="BC437" i="7"/>
  <c r="BB437" i="7" s="1"/>
  <c r="S436" i="9" s="1"/>
  <c r="BC438" i="7"/>
  <c r="BB438" i="7" s="1"/>
  <c r="S437" i="9" s="1"/>
  <c r="BC439" i="7"/>
  <c r="BB439" i="7" s="1"/>
  <c r="S438" i="9" s="1"/>
  <c r="BC440" i="7"/>
  <c r="BB440" i="7" s="1"/>
  <c r="S439" i="9" s="1"/>
  <c r="BC441" i="7"/>
  <c r="BB441" i="7" s="1"/>
  <c r="S440" i="9" s="1"/>
  <c r="BC442" i="7"/>
  <c r="BB442" i="7" s="1"/>
  <c r="S441" i="9" s="1"/>
  <c r="BC443" i="7"/>
  <c r="BB443" i="7" s="1"/>
  <c r="S442" i="9" s="1"/>
  <c r="BC444" i="7"/>
  <c r="BB444" i="7" s="1"/>
  <c r="S443" i="9" s="1"/>
  <c r="BC445" i="7"/>
  <c r="BB445" i="7" s="1"/>
  <c r="S444" i="9" s="1"/>
  <c r="BC446" i="7"/>
  <c r="BB446" i="7" s="1"/>
  <c r="S445" i="9" s="1"/>
  <c r="BC447" i="7"/>
  <c r="BB447" i="7" s="1"/>
  <c r="S446" i="9" s="1"/>
  <c r="BC448" i="7"/>
  <c r="BB448" i="7" s="1"/>
  <c r="S447" i="9" s="1"/>
  <c r="BC449" i="7"/>
  <c r="BB449" i="7" s="1"/>
  <c r="S448" i="9" s="1"/>
  <c r="BC450" i="7"/>
  <c r="BB450" i="7" s="1"/>
  <c r="S449" i="9" s="1"/>
  <c r="BC451" i="7"/>
  <c r="BB451" i="7" s="1"/>
  <c r="S450" i="9" s="1"/>
  <c r="BC452" i="7"/>
  <c r="BB452" i="7" s="1"/>
  <c r="S451" i="9" s="1"/>
  <c r="BC453" i="7"/>
  <c r="BB453" i="7" s="1"/>
  <c r="S452" i="9" s="1"/>
  <c r="BC454" i="7"/>
  <c r="BB454" i="7" s="1"/>
  <c r="S453" i="9" s="1"/>
  <c r="BC455" i="7"/>
  <c r="BB455" i="7" s="1"/>
  <c r="S454" i="9" s="1"/>
  <c r="BC456" i="7"/>
  <c r="BB456" i="7" s="1"/>
  <c r="S455" i="9" s="1"/>
  <c r="BC457" i="7"/>
  <c r="BB457" i="7" s="1"/>
  <c r="S456" i="9" s="1"/>
  <c r="BC458" i="7"/>
  <c r="BB458" i="7" s="1"/>
  <c r="S457" i="9" s="1"/>
  <c r="BC459" i="7"/>
  <c r="BB459" i="7" s="1"/>
  <c r="S458" i="9" s="1"/>
  <c r="BC460" i="7"/>
  <c r="BB460" i="7" s="1"/>
  <c r="S459" i="9" s="1"/>
  <c r="BC461" i="7"/>
  <c r="BB461" i="7" s="1"/>
  <c r="S460" i="9" s="1"/>
  <c r="BC462" i="7"/>
  <c r="BB462" i="7" s="1"/>
  <c r="S461" i="9" s="1"/>
  <c r="BC463" i="7"/>
  <c r="BB463" i="7" s="1"/>
  <c r="S462" i="9" s="1"/>
  <c r="BC464" i="7"/>
  <c r="BB464" i="7" s="1"/>
  <c r="S463" i="9" s="1"/>
  <c r="BC465" i="7"/>
  <c r="BB465" i="7" s="1"/>
  <c r="S464" i="9" s="1"/>
  <c r="BC466" i="7"/>
  <c r="BB466" i="7" s="1"/>
  <c r="S465" i="9" s="1"/>
  <c r="BC467" i="7"/>
  <c r="BB467" i="7" s="1"/>
  <c r="S466" i="9" s="1"/>
  <c r="BC468" i="7"/>
  <c r="BB468" i="7" s="1"/>
  <c r="S467" i="9" s="1"/>
  <c r="BC469" i="7"/>
  <c r="BB469" i="7" s="1"/>
  <c r="S468" i="9" s="1"/>
  <c r="BC470" i="7"/>
  <c r="BB470" i="7" s="1"/>
  <c r="S469" i="9" s="1"/>
  <c r="BC471" i="7"/>
  <c r="BB471" i="7" s="1"/>
  <c r="S470" i="9" s="1"/>
  <c r="BC472" i="7"/>
  <c r="BB472" i="7" s="1"/>
  <c r="S471" i="9" s="1"/>
  <c r="BC473" i="7"/>
  <c r="BB473" i="7" s="1"/>
  <c r="S472" i="9" s="1"/>
  <c r="BC474" i="7"/>
  <c r="BB474" i="7" s="1"/>
  <c r="S473" i="9" s="1"/>
  <c r="BC475" i="7"/>
  <c r="BB475" i="7" s="1"/>
  <c r="S474" i="9" s="1"/>
  <c r="BC476" i="7"/>
  <c r="BB476" i="7" s="1"/>
  <c r="S475" i="9" s="1"/>
  <c r="BC477" i="7"/>
  <c r="BB477" i="7" s="1"/>
  <c r="S476" i="9" s="1"/>
  <c r="BC478" i="7"/>
  <c r="BB478" i="7" s="1"/>
  <c r="S477" i="9" s="1"/>
  <c r="BC479" i="7"/>
  <c r="BB479" i="7" s="1"/>
  <c r="S478" i="9" s="1"/>
  <c r="BC480" i="7"/>
  <c r="BB480" i="7" s="1"/>
  <c r="S479" i="9" s="1"/>
  <c r="BC481" i="7"/>
  <c r="BB481" i="7" s="1"/>
  <c r="S480" i="9" s="1"/>
  <c r="BC482" i="7"/>
  <c r="BB482" i="7" s="1"/>
  <c r="S481" i="9" s="1"/>
  <c r="BC483" i="7"/>
  <c r="BB483" i="7" s="1"/>
  <c r="S482" i="9" s="1"/>
  <c r="BC484" i="7"/>
  <c r="BB484" i="7" s="1"/>
  <c r="S483" i="9" s="1"/>
  <c r="BC485" i="7"/>
  <c r="BB485" i="7" s="1"/>
  <c r="S484" i="9" s="1"/>
  <c r="BC486" i="7"/>
  <c r="BB486" i="7" s="1"/>
  <c r="S485" i="9" s="1"/>
  <c r="BC487" i="7"/>
  <c r="BB487" i="7" s="1"/>
  <c r="S486" i="9" s="1"/>
  <c r="BC488" i="7"/>
  <c r="BB488" i="7" s="1"/>
  <c r="S487" i="9" s="1"/>
  <c r="BC489" i="7"/>
  <c r="BB489" i="7" s="1"/>
  <c r="S488" i="9" s="1"/>
  <c r="BC490" i="7"/>
  <c r="BB490" i="7" s="1"/>
  <c r="S489" i="9" s="1"/>
  <c r="BC491" i="7"/>
  <c r="BB491" i="7" s="1"/>
  <c r="S490" i="9" s="1"/>
  <c r="BC492" i="7"/>
  <c r="BB492" i="7" s="1"/>
  <c r="S491" i="9" s="1"/>
  <c r="BC493" i="7"/>
  <c r="BB493" i="7" s="1"/>
  <c r="S492" i="9" s="1"/>
  <c r="BC494" i="7"/>
  <c r="BB494" i="7" s="1"/>
  <c r="S493" i="9" s="1"/>
  <c r="BC495" i="7"/>
  <c r="BB495" i="7" s="1"/>
  <c r="S494" i="9" s="1"/>
  <c r="BC496" i="7"/>
  <c r="BB496" i="7" s="1"/>
  <c r="S495" i="9" s="1"/>
  <c r="BC497" i="7"/>
  <c r="BB497" i="7" s="1"/>
  <c r="S496" i="9" s="1"/>
  <c r="BC498" i="7"/>
  <c r="BB498" i="7" s="1"/>
  <c r="S497" i="9" s="1"/>
  <c r="BC499" i="7"/>
  <c r="BB499" i="7" s="1"/>
  <c r="S498" i="9" s="1"/>
  <c r="BC500" i="7"/>
  <c r="BB500" i="7" s="1"/>
  <c r="S499" i="9" s="1"/>
  <c r="BC501" i="7"/>
  <c r="BB501" i="7" s="1"/>
  <c r="S500" i="9" s="1"/>
  <c r="BC502" i="7"/>
  <c r="BB502" i="7" s="1"/>
  <c r="S501" i="9" s="1"/>
  <c r="BC503" i="7"/>
  <c r="BB503" i="7" s="1"/>
  <c r="S502" i="9" s="1"/>
  <c r="BC504" i="7"/>
  <c r="BB504" i="7" s="1"/>
  <c r="S503" i="9" s="1"/>
  <c r="BC505" i="7"/>
  <c r="BB505" i="7" s="1"/>
  <c r="S504" i="9" s="1"/>
  <c r="BC506" i="7"/>
  <c r="BB506" i="7" s="1"/>
  <c r="S505" i="9" s="1"/>
  <c r="BC507" i="7"/>
  <c r="BB507" i="7" s="1"/>
  <c r="S506" i="9" s="1"/>
  <c r="BC508" i="7"/>
  <c r="BB508" i="7" s="1"/>
  <c r="S507" i="9" s="1"/>
  <c r="BC509" i="7"/>
  <c r="BB509" i="7" s="1"/>
  <c r="S508" i="9" s="1"/>
  <c r="BC510" i="7"/>
  <c r="BB510" i="7" s="1"/>
  <c r="S509" i="9" s="1"/>
  <c r="BC511" i="7"/>
  <c r="BB511" i="7" s="1"/>
  <c r="S510" i="9" s="1"/>
  <c r="BC512" i="7"/>
  <c r="BB512" i="7" s="1"/>
  <c r="S511" i="9" s="1"/>
  <c r="BC513" i="7"/>
  <c r="BB513" i="7" s="1"/>
  <c r="S512" i="9" s="1"/>
  <c r="BC514" i="7"/>
  <c r="BB514" i="7" s="1"/>
  <c r="S513" i="9" s="1"/>
  <c r="BC515" i="7"/>
  <c r="BB515" i="7" s="1"/>
  <c r="S514" i="9" s="1"/>
  <c r="BC516" i="7"/>
  <c r="BB516" i="7" s="1"/>
  <c r="S515" i="9" s="1"/>
  <c r="BC517" i="7"/>
  <c r="BB517" i="7" s="1"/>
  <c r="S516" i="9" s="1"/>
  <c r="BC518" i="7"/>
  <c r="BB518" i="7" s="1"/>
  <c r="S517" i="9" s="1"/>
  <c r="BC519" i="7"/>
  <c r="BB519" i="7" s="1"/>
  <c r="S518" i="9" s="1"/>
  <c r="BC520" i="7"/>
  <c r="BB520" i="7" s="1"/>
  <c r="S519" i="9" s="1"/>
  <c r="BC521" i="7"/>
  <c r="BB521" i="7" s="1"/>
  <c r="S520" i="9" s="1"/>
  <c r="BC522" i="7"/>
  <c r="BB522" i="7" s="1"/>
  <c r="S521" i="9" s="1"/>
  <c r="BC523" i="7"/>
  <c r="BB523" i="7" s="1"/>
  <c r="S522" i="9" s="1"/>
  <c r="BC524" i="7"/>
  <c r="BB524" i="7" s="1"/>
  <c r="S523" i="9" s="1"/>
  <c r="BC525" i="7"/>
  <c r="BB525" i="7" s="1"/>
  <c r="S524" i="9" s="1"/>
  <c r="BC526" i="7"/>
  <c r="BB526" i="7" s="1"/>
  <c r="S525" i="9" s="1"/>
  <c r="BC527" i="7"/>
  <c r="BB527" i="7" s="1"/>
  <c r="S526" i="9" s="1"/>
  <c r="BC528" i="7"/>
  <c r="BB528" i="7" s="1"/>
  <c r="S527" i="9" s="1"/>
  <c r="BC529" i="7"/>
  <c r="BB529" i="7" s="1"/>
  <c r="S528" i="9" s="1"/>
  <c r="BC530" i="7"/>
  <c r="BB530" i="7" s="1"/>
  <c r="S529" i="9" s="1"/>
  <c r="BC531" i="7"/>
  <c r="BB531" i="7" s="1"/>
  <c r="S530" i="9" s="1"/>
  <c r="BC532" i="7"/>
  <c r="BB532" i="7" s="1"/>
  <c r="S531" i="9" s="1"/>
  <c r="BC533" i="7"/>
  <c r="BB533" i="7" s="1"/>
  <c r="S532" i="9" s="1"/>
  <c r="BC534" i="7"/>
  <c r="BB534" i="7" s="1"/>
  <c r="S533" i="9" s="1"/>
  <c r="BC535" i="7"/>
  <c r="BB535" i="7" s="1"/>
  <c r="S534" i="9" s="1"/>
  <c r="BC536" i="7"/>
  <c r="BB536" i="7" s="1"/>
  <c r="S535" i="9" s="1"/>
  <c r="BC537" i="7"/>
  <c r="BB537" i="7" s="1"/>
  <c r="S536" i="9" s="1"/>
  <c r="BC538" i="7"/>
  <c r="BB538" i="7" s="1"/>
  <c r="S537" i="9" s="1"/>
  <c r="BC539" i="7"/>
  <c r="BB539" i="7" s="1"/>
  <c r="S538" i="9" s="1"/>
  <c r="BC540" i="7"/>
  <c r="BB540" i="7" s="1"/>
  <c r="S539" i="9" s="1"/>
  <c r="BC541" i="7"/>
  <c r="BB541" i="7" s="1"/>
  <c r="S540" i="9" s="1"/>
  <c r="BC542" i="7"/>
  <c r="BB542" i="7" s="1"/>
  <c r="S541" i="9" s="1"/>
  <c r="BC543" i="7"/>
  <c r="BB543" i="7" s="1"/>
  <c r="S542" i="9" s="1"/>
  <c r="BC544" i="7"/>
  <c r="BB544" i="7" s="1"/>
  <c r="S543" i="9" s="1"/>
  <c r="BC545" i="7"/>
  <c r="BB545" i="7" s="1"/>
  <c r="S544" i="9" s="1"/>
  <c r="BC546" i="7"/>
  <c r="BB546" i="7" s="1"/>
  <c r="S545" i="9" s="1"/>
  <c r="BC547" i="7"/>
  <c r="BB547" i="7" s="1"/>
  <c r="S546" i="9" s="1"/>
  <c r="BC548" i="7"/>
  <c r="BB548" i="7" s="1"/>
  <c r="S547" i="9" s="1"/>
  <c r="BC549" i="7"/>
  <c r="BB549" i="7" s="1"/>
  <c r="S548" i="9" s="1"/>
  <c r="BC550" i="7"/>
  <c r="BB550" i="7" s="1"/>
  <c r="S549" i="9" s="1"/>
  <c r="BC551" i="7"/>
  <c r="BB551" i="7" s="1"/>
  <c r="S550" i="9" s="1"/>
  <c r="BC552" i="7"/>
  <c r="BB552" i="7" s="1"/>
  <c r="S551" i="9" s="1"/>
  <c r="BC553" i="7"/>
  <c r="BB553" i="7" s="1"/>
  <c r="S552" i="9" s="1"/>
  <c r="BC554" i="7"/>
  <c r="BB554" i="7" s="1"/>
  <c r="S553" i="9" s="1"/>
  <c r="BC555" i="7"/>
  <c r="BB555" i="7" s="1"/>
  <c r="S554" i="9" s="1"/>
  <c r="BC556" i="7"/>
  <c r="BB556" i="7" s="1"/>
  <c r="S555" i="9" s="1"/>
  <c r="BC557" i="7"/>
  <c r="BB557" i="7" s="1"/>
  <c r="S556" i="9" s="1"/>
  <c r="BC558" i="7"/>
  <c r="BB558" i="7" s="1"/>
  <c r="S557" i="9" s="1"/>
  <c r="BC559" i="7"/>
  <c r="BB559" i="7" s="1"/>
  <c r="S558" i="9" s="1"/>
  <c r="BC560" i="7"/>
  <c r="BB560" i="7" s="1"/>
  <c r="S559" i="9" s="1"/>
  <c r="BC561" i="7"/>
  <c r="BB561" i="7" s="1"/>
  <c r="S560" i="9" s="1"/>
  <c r="BC562" i="7"/>
  <c r="BB562" i="7" s="1"/>
  <c r="S561" i="9" s="1"/>
  <c r="BC563" i="7"/>
  <c r="BB563" i="7" s="1"/>
  <c r="S562" i="9" s="1"/>
  <c r="BC564" i="7"/>
  <c r="BB564" i="7" s="1"/>
  <c r="S563" i="9" s="1"/>
  <c r="BC565" i="7"/>
  <c r="BB565" i="7" s="1"/>
  <c r="S564" i="9" s="1"/>
  <c r="BC566" i="7"/>
  <c r="BB566" i="7" s="1"/>
  <c r="S565" i="9" s="1"/>
  <c r="BC567" i="7"/>
  <c r="BB567" i="7" s="1"/>
  <c r="S566" i="9" s="1"/>
  <c r="BC568" i="7"/>
  <c r="BB568" i="7" s="1"/>
  <c r="S567" i="9" s="1"/>
  <c r="BC569" i="7"/>
  <c r="BB569" i="7" s="1"/>
  <c r="S568" i="9" s="1"/>
  <c r="BC570" i="7"/>
  <c r="BB570" i="7" s="1"/>
  <c r="S569" i="9" s="1"/>
  <c r="BC571" i="7"/>
  <c r="BB571" i="7" s="1"/>
  <c r="S570" i="9" s="1"/>
  <c r="BC572" i="7"/>
  <c r="BB572" i="7" s="1"/>
  <c r="S571" i="9" s="1"/>
  <c r="BC573" i="7"/>
  <c r="BB573" i="7" s="1"/>
  <c r="S572" i="9" s="1"/>
  <c r="BC574" i="7"/>
  <c r="BB574" i="7" s="1"/>
  <c r="S573" i="9" s="1"/>
  <c r="BC575" i="7"/>
  <c r="BB575" i="7" s="1"/>
  <c r="S574" i="9" s="1"/>
  <c r="BC576" i="7"/>
  <c r="BB576" i="7" s="1"/>
  <c r="S575" i="9" s="1"/>
  <c r="BC577" i="7"/>
  <c r="BB577" i="7" s="1"/>
  <c r="S576" i="9" s="1"/>
  <c r="BC578" i="7"/>
  <c r="BB578" i="7" s="1"/>
  <c r="S577" i="9" s="1"/>
  <c r="BC579" i="7"/>
  <c r="BB579" i="7" s="1"/>
  <c r="S578" i="9" s="1"/>
  <c r="BC580" i="7"/>
  <c r="BB580" i="7" s="1"/>
  <c r="S579" i="9" s="1"/>
  <c r="BC581" i="7"/>
  <c r="BB581" i="7" s="1"/>
  <c r="S580" i="9" s="1"/>
  <c r="BC582" i="7"/>
  <c r="BB582" i="7" s="1"/>
  <c r="S581" i="9" s="1"/>
  <c r="BC583" i="7"/>
  <c r="BB583" i="7" s="1"/>
  <c r="S582" i="9" s="1"/>
  <c r="BC584" i="7"/>
  <c r="BB584" i="7" s="1"/>
  <c r="S583" i="9" s="1"/>
  <c r="BC585" i="7"/>
  <c r="BB585" i="7" s="1"/>
  <c r="S584" i="9" s="1"/>
  <c r="BC586" i="7"/>
  <c r="BB586" i="7" s="1"/>
  <c r="S585" i="9" s="1"/>
  <c r="BC587" i="7"/>
  <c r="BB587" i="7" s="1"/>
  <c r="S586" i="9" s="1"/>
  <c r="BC588" i="7"/>
  <c r="BB588" i="7" s="1"/>
  <c r="S587" i="9" s="1"/>
  <c r="BC589" i="7"/>
  <c r="BB589" i="7" s="1"/>
  <c r="S588" i="9" s="1"/>
  <c r="BC590" i="7"/>
  <c r="BB590" i="7" s="1"/>
  <c r="S589" i="9" s="1"/>
  <c r="BC591" i="7"/>
  <c r="BB591" i="7" s="1"/>
  <c r="S590" i="9" s="1"/>
  <c r="BC592" i="7"/>
  <c r="BB592" i="7" s="1"/>
  <c r="S591" i="9" s="1"/>
  <c r="BC593" i="7"/>
  <c r="BB593" i="7" s="1"/>
  <c r="S592" i="9" s="1"/>
  <c r="BC594" i="7"/>
  <c r="BB594" i="7" s="1"/>
  <c r="S593" i="9" s="1"/>
  <c r="BC595" i="7"/>
  <c r="BB595" i="7" s="1"/>
  <c r="S594" i="9" s="1"/>
  <c r="BC596" i="7"/>
  <c r="BB596" i="7" s="1"/>
  <c r="S595" i="9" s="1"/>
  <c r="BC597" i="7"/>
  <c r="BB597" i="7" s="1"/>
  <c r="S596" i="9" s="1"/>
  <c r="BC598" i="7"/>
  <c r="BB598" i="7" s="1"/>
  <c r="S597" i="9" s="1"/>
  <c r="BC599" i="7"/>
  <c r="BB599" i="7" s="1"/>
  <c r="S598" i="9" s="1"/>
  <c r="BC600" i="7"/>
  <c r="BB600" i="7" s="1"/>
  <c r="S599" i="9" s="1"/>
  <c r="BC601" i="7"/>
  <c r="BB601" i="7" s="1"/>
  <c r="S600" i="9" s="1"/>
  <c r="BC602" i="7"/>
  <c r="BB602" i="7" s="1"/>
  <c r="S601" i="9" s="1"/>
  <c r="BC603" i="7"/>
  <c r="BB603" i="7" s="1"/>
  <c r="S602" i="9" s="1"/>
  <c r="BC604" i="7"/>
  <c r="BB604" i="7" s="1"/>
  <c r="S603" i="9" s="1"/>
  <c r="BC605" i="7"/>
  <c r="BB605" i="7" s="1"/>
  <c r="S604" i="9" s="1"/>
  <c r="BC606" i="7"/>
  <c r="BB606" i="7" s="1"/>
  <c r="S605" i="9" s="1"/>
  <c r="BC607" i="7"/>
  <c r="BB607" i="7" s="1"/>
  <c r="S606" i="9" s="1"/>
  <c r="BC608" i="7"/>
  <c r="BB608" i="7" s="1"/>
  <c r="S607" i="9" s="1"/>
  <c r="BC609" i="7"/>
  <c r="BB609" i="7" s="1"/>
  <c r="S608" i="9" s="1"/>
  <c r="BC610" i="7"/>
  <c r="BB610" i="7" s="1"/>
  <c r="S609" i="9" s="1"/>
  <c r="BC611" i="7"/>
  <c r="BB611" i="7" s="1"/>
  <c r="S610" i="9" s="1"/>
  <c r="BC612" i="7"/>
  <c r="BB612" i="7" s="1"/>
  <c r="S611" i="9" s="1"/>
  <c r="BC613" i="7"/>
  <c r="BB613" i="7" s="1"/>
  <c r="S612" i="9" s="1"/>
  <c r="BC614" i="7"/>
  <c r="BB614" i="7" s="1"/>
  <c r="S613" i="9" s="1"/>
  <c r="BC615" i="7"/>
  <c r="BB615" i="7" s="1"/>
  <c r="S614" i="9" s="1"/>
  <c r="BC616" i="7"/>
  <c r="BB616" i="7" s="1"/>
  <c r="S615" i="9" s="1"/>
  <c r="BC617" i="7"/>
  <c r="BB617" i="7" s="1"/>
  <c r="S616" i="9" s="1"/>
  <c r="BC618" i="7"/>
  <c r="BB618" i="7" s="1"/>
  <c r="S617" i="9" s="1"/>
  <c r="BC619" i="7"/>
  <c r="BB619" i="7" s="1"/>
  <c r="S618" i="9" s="1"/>
  <c r="BC620" i="7"/>
  <c r="BB620" i="7" s="1"/>
  <c r="S619" i="9" s="1"/>
  <c r="BC621" i="7"/>
  <c r="BB621" i="7" s="1"/>
  <c r="S620" i="9" s="1"/>
  <c r="BC622" i="7"/>
  <c r="BB622" i="7" s="1"/>
  <c r="S621" i="9" s="1"/>
  <c r="BC623" i="7"/>
  <c r="BB623" i="7" s="1"/>
  <c r="S622" i="9" s="1"/>
  <c r="BC624" i="7"/>
  <c r="BB624" i="7" s="1"/>
  <c r="S623" i="9" s="1"/>
  <c r="BC625" i="7"/>
  <c r="BB625" i="7" s="1"/>
  <c r="S624" i="9" s="1"/>
  <c r="BC626" i="7"/>
  <c r="BB626" i="7" s="1"/>
  <c r="S625" i="9" s="1"/>
  <c r="BC627" i="7"/>
  <c r="BB627" i="7" s="1"/>
  <c r="S626" i="9" s="1"/>
  <c r="BC628" i="7"/>
  <c r="BB628" i="7" s="1"/>
  <c r="S627" i="9" s="1"/>
  <c r="BC629" i="7"/>
  <c r="BB629" i="7" s="1"/>
  <c r="S628" i="9" s="1"/>
  <c r="BC630" i="7"/>
  <c r="BB630" i="7" s="1"/>
  <c r="S629" i="9" s="1"/>
  <c r="BC631" i="7"/>
  <c r="BB631" i="7" s="1"/>
  <c r="S630" i="9" s="1"/>
  <c r="BC632" i="7"/>
  <c r="BB632" i="7" s="1"/>
  <c r="S631" i="9" s="1"/>
  <c r="BC633" i="7"/>
  <c r="BB633" i="7" s="1"/>
  <c r="S632" i="9" s="1"/>
  <c r="BC634" i="7"/>
  <c r="BB634" i="7" s="1"/>
  <c r="S633" i="9" s="1"/>
  <c r="BC635" i="7"/>
  <c r="BB635" i="7" s="1"/>
  <c r="S634" i="9" s="1"/>
  <c r="BC636" i="7"/>
  <c r="BB636" i="7" s="1"/>
  <c r="S635" i="9" s="1"/>
  <c r="BC637" i="7"/>
  <c r="BB637" i="7" s="1"/>
  <c r="S636" i="9" s="1"/>
  <c r="BC638" i="7"/>
  <c r="BB638" i="7" s="1"/>
  <c r="S637" i="9" s="1"/>
  <c r="BC639" i="7"/>
  <c r="BB639" i="7" s="1"/>
  <c r="S638" i="9" s="1"/>
  <c r="BC640" i="7"/>
  <c r="BB640" i="7" s="1"/>
  <c r="S639" i="9" s="1"/>
  <c r="BC641" i="7"/>
  <c r="BB641" i="7" s="1"/>
  <c r="S640" i="9" s="1"/>
  <c r="BC642" i="7"/>
  <c r="BB642" i="7" s="1"/>
  <c r="S641" i="9" s="1"/>
  <c r="BC643" i="7"/>
  <c r="BB643" i="7" s="1"/>
  <c r="S642" i="9" s="1"/>
  <c r="BC644" i="7"/>
  <c r="BB644" i="7" s="1"/>
  <c r="S643" i="9" s="1"/>
  <c r="BC645" i="7"/>
  <c r="BB645" i="7" s="1"/>
  <c r="S644" i="9" s="1"/>
  <c r="BC646" i="7"/>
  <c r="BB646" i="7" s="1"/>
  <c r="S645" i="9" s="1"/>
  <c r="BC647" i="7"/>
  <c r="BB647" i="7" s="1"/>
  <c r="S646" i="9" s="1"/>
  <c r="BC648" i="7"/>
  <c r="BB648" i="7" s="1"/>
  <c r="S647" i="9" s="1"/>
  <c r="BC649" i="7"/>
  <c r="BB649" i="7" s="1"/>
  <c r="S648" i="9" s="1"/>
  <c r="BC650" i="7"/>
  <c r="BB650" i="7" s="1"/>
  <c r="S649" i="9" s="1"/>
  <c r="BC651" i="7"/>
  <c r="BB651" i="7" s="1"/>
  <c r="S650" i="9" s="1"/>
  <c r="BC652" i="7"/>
  <c r="BB652" i="7" s="1"/>
  <c r="S651" i="9" s="1"/>
  <c r="BC653" i="7"/>
  <c r="BB653" i="7" s="1"/>
  <c r="S652" i="9" s="1"/>
  <c r="BC654" i="7"/>
  <c r="BB654" i="7" s="1"/>
  <c r="S653" i="9" s="1"/>
  <c r="BC655" i="7"/>
  <c r="BB655" i="7" s="1"/>
  <c r="S654" i="9" s="1"/>
  <c r="BC656" i="7"/>
  <c r="BB656" i="7" s="1"/>
  <c r="S655" i="9" s="1"/>
  <c r="BC657" i="7"/>
  <c r="BB657" i="7" s="1"/>
  <c r="S656" i="9" s="1"/>
  <c r="BC658" i="7"/>
  <c r="BB658" i="7" s="1"/>
  <c r="S657" i="9" s="1"/>
  <c r="BC659" i="7"/>
  <c r="BB659" i="7" s="1"/>
  <c r="S658" i="9" s="1"/>
  <c r="BC660" i="7"/>
  <c r="BB660" i="7" s="1"/>
  <c r="S659" i="9" s="1"/>
  <c r="BC661" i="7"/>
  <c r="BB661" i="7" s="1"/>
  <c r="S660" i="9" s="1"/>
  <c r="BC662" i="7"/>
  <c r="BB662" i="7" s="1"/>
  <c r="S661" i="9" s="1"/>
  <c r="BC663" i="7"/>
  <c r="BB663" i="7" s="1"/>
  <c r="S662" i="9" s="1"/>
  <c r="BC664" i="7"/>
  <c r="BB664" i="7" s="1"/>
  <c r="S663" i="9" s="1"/>
  <c r="BC665" i="7"/>
  <c r="BB665" i="7" s="1"/>
  <c r="S664" i="9" s="1"/>
  <c r="BC666" i="7"/>
  <c r="BB666" i="7" s="1"/>
  <c r="S665" i="9" s="1"/>
  <c r="BC667" i="7"/>
  <c r="BB667" i="7" s="1"/>
  <c r="S666" i="9" s="1"/>
  <c r="BC668" i="7"/>
  <c r="BB668" i="7" s="1"/>
  <c r="S667" i="9" s="1"/>
  <c r="BC669" i="7"/>
  <c r="BB669" i="7" s="1"/>
  <c r="S668" i="9" s="1"/>
  <c r="BC670" i="7"/>
  <c r="BB670" i="7" s="1"/>
  <c r="S669" i="9" s="1"/>
  <c r="BC671" i="7"/>
  <c r="BB671" i="7" s="1"/>
  <c r="S670" i="9" s="1"/>
  <c r="BC672" i="7"/>
  <c r="BB672" i="7" s="1"/>
  <c r="S671" i="9" s="1"/>
  <c r="BC673" i="7"/>
  <c r="BB673" i="7" s="1"/>
  <c r="S672" i="9" s="1"/>
  <c r="BC674" i="7"/>
  <c r="BB674" i="7" s="1"/>
  <c r="S673" i="9" s="1"/>
  <c r="BC675" i="7"/>
  <c r="BB675" i="7" s="1"/>
  <c r="S674" i="9" s="1"/>
  <c r="BC676" i="7"/>
  <c r="BB676" i="7" s="1"/>
  <c r="S675" i="9" s="1"/>
  <c r="BC677" i="7"/>
  <c r="BB677" i="7" s="1"/>
  <c r="S676" i="9" s="1"/>
  <c r="BC678" i="7"/>
  <c r="BB678" i="7" s="1"/>
  <c r="S677" i="9" s="1"/>
  <c r="BC679" i="7"/>
  <c r="BB679" i="7" s="1"/>
  <c r="S678" i="9" s="1"/>
  <c r="BC680" i="7"/>
  <c r="BB680" i="7" s="1"/>
  <c r="S679" i="9" s="1"/>
  <c r="BC681" i="7"/>
  <c r="BB681" i="7" s="1"/>
  <c r="S680" i="9" s="1"/>
  <c r="BC682" i="7"/>
  <c r="BB682" i="7" s="1"/>
  <c r="S681" i="9" s="1"/>
  <c r="BC683" i="7"/>
  <c r="BB683" i="7" s="1"/>
  <c r="S682" i="9" s="1"/>
  <c r="BC684" i="7"/>
  <c r="BB684" i="7" s="1"/>
  <c r="S683" i="9" s="1"/>
  <c r="BC685" i="7"/>
  <c r="BB685" i="7" s="1"/>
  <c r="S684" i="9" s="1"/>
  <c r="BC686" i="7"/>
  <c r="BB686" i="7" s="1"/>
  <c r="S685" i="9" s="1"/>
  <c r="BC687" i="7"/>
  <c r="BB687" i="7" s="1"/>
  <c r="S686" i="9" s="1"/>
  <c r="BC688" i="7"/>
  <c r="BB688" i="7" s="1"/>
  <c r="S687" i="9" s="1"/>
  <c r="BC689" i="7"/>
  <c r="BB689" i="7" s="1"/>
  <c r="S688" i="9" s="1"/>
  <c r="BC690" i="7"/>
  <c r="BB690" i="7" s="1"/>
  <c r="S689" i="9" s="1"/>
  <c r="BC691" i="7"/>
  <c r="BB691" i="7" s="1"/>
  <c r="S690" i="9" s="1"/>
  <c r="BC692" i="7"/>
  <c r="BB692" i="7" s="1"/>
  <c r="S691" i="9" s="1"/>
  <c r="BC693" i="7"/>
  <c r="BB693" i="7" s="1"/>
  <c r="S692" i="9" s="1"/>
  <c r="BC694" i="7"/>
  <c r="BB694" i="7" s="1"/>
  <c r="S693" i="9" s="1"/>
  <c r="BC695" i="7"/>
  <c r="BB695" i="7" s="1"/>
  <c r="S694" i="9" s="1"/>
  <c r="BC696" i="7"/>
  <c r="BB696" i="7" s="1"/>
  <c r="S695" i="9" s="1"/>
  <c r="BC697" i="7"/>
  <c r="BB697" i="7" s="1"/>
  <c r="S696" i="9" s="1"/>
  <c r="BC698" i="7"/>
  <c r="BB698" i="7" s="1"/>
  <c r="S697" i="9" s="1"/>
  <c r="BC699" i="7"/>
  <c r="BB699" i="7" s="1"/>
  <c r="S698" i="9" s="1"/>
  <c r="BC700" i="7"/>
  <c r="BB700" i="7" s="1"/>
  <c r="S699" i="9" s="1"/>
  <c r="BC701" i="7"/>
  <c r="BB701" i="7" s="1"/>
  <c r="S700" i="9" s="1"/>
  <c r="BC702" i="7"/>
  <c r="BB702" i="7" s="1"/>
  <c r="S701" i="9" s="1"/>
  <c r="BC703" i="7"/>
  <c r="BB703" i="7" s="1"/>
  <c r="S702" i="9" s="1"/>
  <c r="BC704" i="7"/>
  <c r="BB704" i="7" s="1"/>
  <c r="S703" i="9" s="1"/>
  <c r="BC705" i="7"/>
  <c r="BB705" i="7" s="1"/>
  <c r="S704" i="9" s="1"/>
  <c r="BC706" i="7"/>
  <c r="BB706" i="7" s="1"/>
  <c r="S705" i="9" s="1"/>
  <c r="BC707" i="7"/>
  <c r="BB707" i="7" s="1"/>
  <c r="S706" i="9" s="1"/>
  <c r="BC708" i="7"/>
  <c r="BB708" i="7" s="1"/>
  <c r="S707" i="9" s="1"/>
  <c r="BC709" i="7"/>
  <c r="BB709" i="7" s="1"/>
  <c r="S708" i="9" s="1"/>
  <c r="BC710" i="7"/>
  <c r="BB710" i="7" s="1"/>
  <c r="S709" i="9" s="1"/>
  <c r="BC711" i="7"/>
  <c r="BB711" i="7" s="1"/>
  <c r="S710" i="9" s="1"/>
  <c r="BC712" i="7"/>
  <c r="BB712" i="7" s="1"/>
  <c r="S711" i="9" s="1"/>
  <c r="BC713" i="7"/>
  <c r="BB713" i="7" s="1"/>
  <c r="S712" i="9" s="1"/>
  <c r="BC714" i="7"/>
  <c r="BB714" i="7" s="1"/>
  <c r="S713" i="9" s="1"/>
  <c r="BC715" i="7"/>
  <c r="BB715" i="7" s="1"/>
  <c r="S714" i="9" s="1"/>
  <c r="BC716" i="7"/>
  <c r="BB716" i="7" s="1"/>
  <c r="S715" i="9" s="1"/>
  <c r="BC717" i="7"/>
  <c r="BB717" i="7" s="1"/>
  <c r="S716" i="9" s="1"/>
  <c r="BC718" i="7"/>
  <c r="BB718" i="7" s="1"/>
  <c r="S717" i="9" s="1"/>
  <c r="BC719" i="7"/>
  <c r="BB719" i="7" s="1"/>
  <c r="S718" i="9" s="1"/>
  <c r="BC720" i="7"/>
  <c r="BB720" i="7" s="1"/>
  <c r="S719" i="9" s="1"/>
  <c r="BC721" i="7"/>
  <c r="BB721" i="7" s="1"/>
  <c r="S720" i="9" s="1"/>
  <c r="BC722" i="7"/>
  <c r="BB722" i="7" s="1"/>
  <c r="S721" i="9" s="1"/>
  <c r="BC723" i="7"/>
  <c r="BB723" i="7" s="1"/>
  <c r="S722" i="9" s="1"/>
  <c r="BC724" i="7"/>
  <c r="BB724" i="7" s="1"/>
  <c r="S723" i="9" s="1"/>
  <c r="BC725" i="7"/>
  <c r="BB725" i="7" s="1"/>
  <c r="S724" i="9" s="1"/>
  <c r="BC726" i="7"/>
  <c r="BB726" i="7" s="1"/>
  <c r="S725" i="9" s="1"/>
  <c r="BC727" i="7"/>
  <c r="BB727" i="7" s="1"/>
  <c r="S726" i="9" s="1"/>
  <c r="BC728" i="7"/>
  <c r="BB728" i="7" s="1"/>
  <c r="S727" i="9" s="1"/>
  <c r="BC729" i="7"/>
  <c r="BB729" i="7" s="1"/>
  <c r="S728" i="9" s="1"/>
  <c r="BC730" i="7"/>
  <c r="BB730" i="7" s="1"/>
  <c r="S729" i="9" s="1"/>
  <c r="BC731" i="7"/>
  <c r="BB731" i="7" s="1"/>
  <c r="S730" i="9" s="1"/>
  <c r="BC732" i="7"/>
  <c r="BB732" i="7" s="1"/>
  <c r="S731" i="9" s="1"/>
  <c r="BC733" i="7"/>
  <c r="BB733" i="7" s="1"/>
  <c r="S732" i="9" s="1"/>
  <c r="BC734" i="7"/>
  <c r="BB734" i="7" s="1"/>
  <c r="S733" i="9" s="1"/>
  <c r="BC735" i="7"/>
  <c r="BB735" i="7" s="1"/>
  <c r="S734" i="9" s="1"/>
  <c r="BC736" i="7"/>
  <c r="BB736" i="7" s="1"/>
  <c r="S735" i="9" s="1"/>
  <c r="BC737" i="7"/>
  <c r="BB737" i="7" s="1"/>
  <c r="S736" i="9" s="1"/>
  <c r="BC738" i="7"/>
  <c r="BB738" i="7" s="1"/>
  <c r="S737" i="9" s="1"/>
  <c r="BC739" i="7"/>
  <c r="BB739" i="7" s="1"/>
  <c r="S738" i="9" s="1"/>
  <c r="BC740" i="7"/>
  <c r="BB740" i="7" s="1"/>
  <c r="S739" i="9" s="1"/>
  <c r="BC741" i="7"/>
  <c r="BB741" i="7" s="1"/>
  <c r="S740" i="9" s="1"/>
  <c r="BC742" i="7"/>
  <c r="BB742" i="7" s="1"/>
  <c r="S741" i="9" s="1"/>
  <c r="BC743" i="7"/>
  <c r="BB743" i="7" s="1"/>
  <c r="S742" i="9" s="1"/>
  <c r="BC744" i="7"/>
  <c r="BB744" i="7" s="1"/>
  <c r="S743" i="9" s="1"/>
  <c r="BC745" i="7"/>
  <c r="BB745" i="7" s="1"/>
  <c r="S744" i="9" s="1"/>
  <c r="BC746" i="7"/>
  <c r="BB746" i="7" s="1"/>
  <c r="S745" i="9" s="1"/>
  <c r="BC747" i="7"/>
  <c r="BB747" i="7" s="1"/>
  <c r="S746" i="9" s="1"/>
  <c r="BC748" i="7"/>
  <c r="BB748" i="7" s="1"/>
  <c r="S747" i="9" s="1"/>
  <c r="BC749" i="7"/>
  <c r="BB749" i="7" s="1"/>
  <c r="S748" i="9" s="1"/>
  <c r="BC750" i="7"/>
  <c r="BB750" i="7" s="1"/>
  <c r="S749" i="9" s="1"/>
  <c r="BC751" i="7"/>
  <c r="BB751" i="7" s="1"/>
  <c r="S750" i="9" s="1"/>
  <c r="BC752" i="7"/>
  <c r="BB752" i="7" s="1"/>
  <c r="S751" i="9" s="1"/>
  <c r="BC753" i="7"/>
  <c r="BB753" i="7" s="1"/>
  <c r="S752" i="9" s="1"/>
  <c r="BC754" i="7"/>
  <c r="BB754" i="7" s="1"/>
  <c r="S753" i="9" s="1"/>
  <c r="BC755" i="7"/>
  <c r="BB755" i="7" s="1"/>
  <c r="S754" i="9" s="1"/>
  <c r="BC756" i="7"/>
  <c r="BB756" i="7" s="1"/>
  <c r="S755" i="9" s="1"/>
  <c r="BC757" i="7"/>
  <c r="BB757" i="7" s="1"/>
  <c r="S756" i="9" s="1"/>
  <c r="BC758" i="7"/>
  <c r="BB758" i="7" s="1"/>
  <c r="S757" i="9" s="1"/>
  <c r="BC759" i="7"/>
  <c r="BB759" i="7" s="1"/>
  <c r="S758" i="9" s="1"/>
  <c r="BC760" i="7"/>
  <c r="BB760" i="7" s="1"/>
  <c r="S759" i="9" s="1"/>
  <c r="BC761" i="7"/>
  <c r="BB761" i="7" s="1"/>
  <c r="S760" i="9" s="1"/>
  <c r="BC762" i="7"/>
  <c r="BB762" i="7" s="1"/>
  <c r="S761" i="9" s="1"/>
  <c r="BC763" i="7"/>
  <c r="BB763" i="7" s="1"/>
  <c r="S762" i="9" s="1"/>
  <c r="BC764" i="7"/>
  <c r="BB764" i="7" s="1"/>
  <c r="S763" i="9" s="1"/>
  <c r="BC765" i="7"/>
  <c r="BB765" i="7" s="1"/>
  <c r="S764" i="9" s="1"/>
  <c r="BC766" i="7"/>
  <c r="BB766" i="7" s="1"/>
  <c r="S765" i="9" s="1"/>
  <c r="BC767" i="7"/>
  <c r="BB767" i="7" s="1"/>
  <c r="S766" i="9" s="1"/>
  <c r="BC768" i="7"/>
  <c r="BB768" i="7" s="1"/>
  <c r="S767" i="9" s="1"/>
  <c r="BC769" i="7"/>
  <c r="BB769" i="7" s="1"/>
  <c r="S768" i="9" s="1"/>
  <c r="BC3" i="7"/>
  <c r="BB3" i="7" s="1"/>
  <c r="S2" i="9" s="1"/>
  <c r="BF313" i="7"/>
  <c r="BF314" i="7"/>
  <c r="BF315" i="7"/>
  <c r="BF316" i="7"/>
  <c r="BF317" i="7"/>
  <c r="BF318" i="7"/>
  <c r="BK318" i="7" s="1" a="1"/>
  <c r="BK318" i="7" s="1"/>
  <c r="H318" i="7" s="1"/>
  <c r="BF320" i="7"/>
  <c r="BF321" i="7"/>
  <c r="BF322" i="7"/>
  <c r="BF323" i="7"/>
  <c r="BF324" i="7"/>
  <c r="BF325" i="7"/>
  <c r="BF326" i="7"/>
  <c r="BF327" i="7"/>
  <c r="BF328" i="7"/>
  <c r="BF329" i="7"/>
  <c r="BK329" i="7" s="1" a="1"/>
  <c r="BK329" i="7" s="1"/>
  <c r="H329" i="7" s="1"/>
  <c r="BF330" i="7"/>
  <c r="BF331" i="7"/>
  <c r="BK331" i="7" s="1" a="1"/>
  <c r="BK331" i="7" s="1"/>
  <c r="H331" i="7" s="1"/>
  <c r="BF332" i="7"/>
  <c r="BF333" i="7"/>
  <c r="BF334" i="7"/>
  <c r="BF335" i="7"/>
  <c r="BK335" i="7" s="1" a="1"/>
  <c r="BK335" i="7" s="1"/>
  <c r="H335" i="7" s="1"/>
  <c r="BF336" i="7"/>
  <c r="BF337" i="7"/>
  <c r="BF338" i="7"/>
  <c r="BF339" i="7"/>
  <c r="BF340" i="7"/>
  <c r="BF341" i="7"/>
  <c r="BF342" i="7"/>
  <c r="BF343" i="7"/>
  <c r="BF344" i="7"/>
  <c r="BF345" i="7"/>
  <c r="BK345" i="7" s="1" a="1"/>
  <c r="BK345" i="7" s="1"/>
  <c r="H345" i="7" s="1"/>
  <c r="BF346" i="7"/>
  <c r="BF347" i="7"/>
  <c r="BF348" i="7"/>
  <c r="BK348" i="7" s="1" a="1"/>
  <c r="BK348" i="7" s="1"/>
  <c r="H348" i="7" s="1"/>
  <c r="BF349" i="7"/>
  <c r="BF350" i="7"/>
  <c r="BF351" i="7"/>
  <c r="BF352" i="7"/>
  <c r="BF353" i="7"/>
  <c r="BF354" i="7"/>
  <c r="BK354" i="7" s="1" a="1"/>
  <c r="BK354" i="7" s="1"/>
  <c r="H354" i="7" s="1"/>
  <c r="BF355" i="7"/>
  <c r="BF356" i="7"/>
  <c r="BF357" i="7"/>
  <c r="BF358" i="7"/>
  <c r="BF359" i="7"/>
  <c r="BF360" i="7"/>
  <c r="BF361" i="7"/>
  <c r="BF362" i="7"/>
  <c r="BF363" i="7"/>
  <c r="BF364" i="7"/>
  <c r="BF365" i="7"/>
  <c r="BK365" i="7" s="1" a="1"/>
  <c r="BK365" i="7" s="1"/>
  <c r="H365" i="7" s="1"/>
  <c r="BF366" i="7"/>
  <c r="BF367" i="7"/>
  <c r="BK367" i="7" s="1" a="1"/>
  <c r="BK367" i="7" s="1"/>
  <c r="H367" i="7" s="1"/>
  <c r="BF368" i="7"/>
  <c r="BF369" i="7"/>
  <c r="BF370" i="7"/>
  <c r="BF371" i="7"/>
  <c r="BK371" i="7" s="1" a="1"/>
  <c r="BK371" i="7" s="1"/>
  <c r="H371" i="7" s="1"/>
  <c r="BF372" i="7"/>
  <c r="BF373" i="7"/>
  <c r="BF374" i="7"/>
  <c r="BF375" i="7"/>
  <c r="BF376" i="7"/>
  <c r="BF377" i="7"/>
  <c r="BF378" i="7"/>
  <c r="BF379" i="7"/>
  <c r="BF380" i="7"/>
  <c r="BF381" i="7"/>
  <c r="BK381" i="7" s="1" a="1"/>
  <c r="BK381" i="7" s="1"/>
  <c r="H381" i="7" s="1"/>
  <c r="BF382" i="7"/>
  <c r="BF383" i="7"/>
  <c r="BF384" i="7"/>
  <c r="BK384" i="7" s="1" a="1"/>
  <c r="BK384" i="7" s="1"/>
  <c r="H384" i="7" s="1"/>
  <c r="BF385" i="7"/>
  <c r="BF386" i="7"/>
  <c r="BF387" i="7"/>
  <c r="BF388" i="7"/>
  <c r="BF389" i="7"/>
  <c r="BF390" i="7"/>
  <c r="BK390" i="7" s="1" a="1"/>
  <c r="BK390" i="7" s="1"/>
  <c r="H390" i="7" s="1"/>
  <c r="BF391" i="7"/>
  <c r="BF392" i="7"/>
  <c r="BF393" i="7"/>
  <c r="BF394" i="7"/>
  <c r="BF395" i="7"/>
  <c r="BF396" i="7"/>
  <c r="BF397" i="7"/>
  <c r="BF398" i="7"/>
  <c r="BF399" i="7"/>
  <c r="BF400" i="7"/>
  <c r="BF401" i="7"/>
  <c r="BK401" i="7" s="1" a="1"/>
  <c r="BK401" i="7" s="1"/>
  <c r="H401" i="7" s="1"/>
  <c r="BF402" i="7"/>
  <c r="BF403" i="7"/>
  <c r="BK403" i="7" s="1" a="1"/>
  <c r="BK403" i="7" s="1"/>
  <c r="H403" i="7" s="1"/>
  <c r="BF404" i="7"/>
  <c r="BF405" i="7"/>
  <c r="BF406" i="7"/>
  <c r="BF407" i="7"/>
  <c r="BK407" i="7" s="1" a="1"/>
  <c r="BK407" i="7" s="1"/>
  <c r="H407" i="7" s="1"/>
  <c r="BF408" i="7"/>
  <c r="BF409" i="7"/>
  <c r="BF410" i="7"/>
  <c r="BF411" i="7"/>
  <c r="BF412" i="7"/>
  <c r="BF413" i="7"/>
  <c r="BF414" i="7"/>
  <c r="BF415" i="7"/>
  <c r="BF416" i="7"/>
  <c r="BF417" i="7"/>
  <c r="BK417" i="7" s="1" a="1"/>
  <c r="BK417" i="7" s="1"/>
  <c r="H417" i="7" s="1"/>
  <c r="BF418" i="7"/>
  <c r="BF419" i="7"/>
  <c r="BF420" i="7"/>
  <c r="BK420" i="7" s="1" a="1"/>
  <c r="BK420" i="7" s="1"/>
  <c r="H420" i="7" s="1"/>
  <c r="BF421" i="7"/>
  <c r="BF422" i="7"/>
  <c r="BF423" i="7"/>
  <c r="BF424" i="7"/>
  <c r="BF425" i="7"/>
  <c r="BF426" i="7"/>
  <c r="BK426" i="7" s="1" a="1"/>
  <c r="BK426" i="7" s="1"/>
  <c r="H426" i="7" s="1"/>
  <c r="BF427" i="7"/>
  <c r="BF428" i="7"/>
  <c r="BF429" i="7"/>
  <c r="BF430" i="7"/>
  <c r="BF431" i="7"/>
  <c r="BF432" i="7"/>
  <c r="BF433" i="7"/>
  <c r="BF434" i="7"/>
  <c r="BF435" i="7"/>
  <c r="BF436" i="7"/>
  <c r="BF437" i="7"/>
  <c r="BK437" i="7" s="1" a="1"/>
  <c r="BK437" i="7" s="1"/>
  <c r="H437" i="7" s="1"/>
  <c r="BF438" i="7"/>
  <c r="BF439" i="7"/>
  <c r="BK439" i="7" s="1" a="1"/>
  <c r="BK439" i="7" s="1"/>
  <c r="H439" i="7" s="1"/>
  <c r="BF440" i="7"/>
  <c r="BF441" i="7"/>
  <c r="BF442" i="7"/>
  <c r="BF443" i="7"/>
  <c r="BK443" i="7" s="1" a="1"/>
  <c r="BK443" i="7" s="1"/>
  <c r="H443" i="7" s="1"/>
  <c r="BF444" i="7"/>
  <c r="BF445" i="7"/>
  <c r="BF446" i="7"/>
  <c r="BF447" i="7"/>
  <c r="BF448" i="7"/>
  <c r="BF449" i="7"/>
  <c r="BF450" i="7"/>
  <c r="BF451" i="7"/>
  <c r="BF452" i="7"/>
  <c r="BF453" i="7"/>
  <c r="BK453" i="7" s="1" a="1"/>
  <c r="BK453" i="7" s="1"/>
  <c r="H453" i="7" s="1"/>
  <c r="BF454" i="7"/>
  <c r="BF455" i="7"/>
  <c r="BF456" i="7"/>
  <c r="BK456" i="7" s="1" a="1"/>
  <c r="BK456" i="7" s="1"/>
  <c r="H456" i="7" s="1"/>
  <c r="BF457" i="7"/>
  <c r="BF458" i="7"/>
  <c r="BF459" i="7"/>
  <c r="BF460" i="7"/>
  <c r="BF461" i="7"/>
  <c r="BF462" i="7"/>
  <c r="BK462" i="7" s="1" a="1"/>
  <c r="BK462" i="7" s="1"/>
  <c r="H462" i="7" s="1"/>
  <c r="BF463" i="7"/>
  <c r="BF464" i="7"/>
  <c r="BF465" i="7"/>
  <c r="BF466" i="7"/>
  <c r="BF467" i="7"/>
  <c r="BF468" i="7"/>
  <c r="BF469" i="7"/>
  <c r="BF470" i="7"/>
  <c r="BF471" i="7"/>
  <c r="BF472" i="7"/>
  <c r="BF473" i="7"/>
  <c r="BK473" i="7" s="1" a="1"/>
  <c r="BK473" i="7" s="1"/>
  <c r="H473" i="7" s="1"/>
  <c r="BF474" i="7"/>
  <c r="BF475" i="7"/>
  <c r="BK475" i="7" s="1" a="1"/>
  <c r="BK475" i="7" s="1"/>
  <c r="H475" i="7" s="1"/>
  <c r="BF476" i="7"/>
  <c r="BF477" i="7"/>
  <c r="BF478" i="7"/>
  <c r="BF479" i="7"/>
  <c r="BK479" i="7" s="1" a="1"/>
  <c r="BK479" i="7" s="1"/>
  <c r="H479" i="7" s="1"/>
  <c r="BF480" i="7"/>
  <c r="BF481" i="7"/>
  <c r="BF482" i="7"/>
  <c r="BF483" i="7"/>
  <c r="BF484" i="7"/>
  <c r="BF485" i="7"/>
  <c r="BF486" i="7"/>
  <c r="BF487" i="7"/>
  <c r="BF488" i="7"/>
  <c r="BF489" i="7"/>
  <c r="BK489" i="7" s="1" a="1"/>
  <c r="BK489" i="7" s="1"/>
  <c r="H489" i="7" s="1"/>
  <c r="BF490" i="7"/>
  <c r="BF491" i="7"/>
  <c r="BF492" i="7"/>
  <c r="BK492" i="7" s="1" a="1"/>
  <c r="BK492" i="7" s="1"/>
  <c r="H492" i="7" s="1"/>
  <c r="BF493" i="7"/>
  <c r="BF494" i="7"/>
  <c r="BF495" i="7"/>
  <c r="BF496" i="7"/>
  <c r="BF497" i="7"/>
  <c r="BF498" i="7"/>
  <c r="BK498" i="7" s="1" a="1"/>
  <c r="BK498" i="7" s="1"/>
  <c r="H498" i="7" s="1"/>
  <c r="BF499" i="7"/>
  <c r="BF500" i="7"/>
  <c r="BF501" i="7"/>
  <c r="BF502" i="7"/>
  <c r="BF503" i="7"/>
  <c r="BF504" i="7"/>
  <c r="BF505" i="7"/>
  <c r="BF506" i="7"/>
  <c r="BF507" i="7"/>
  <c r="BF508" i="7"/>
  <c r="BF509" i="7"/>
  <c r="BK509" i="7" s="1" a="1"/>
  <c r="BK509" i="7" s="1"/>
  <c r="H509" i="7" s="1"/>
  <c r="BF510" i="7"/>
  <c r="BF511" i="7"/>
  <c r="BK511" i="7" s="1" a="1"/>
  <c r="BK511" i="7" s="1"/>
  <c r="H511" i="7" s="1"/>
  <c r="BF512" i="7"/>
  <c r="BF513" i="7"/>
  <c r="BF514" i="7"/>
  <c r="BF515" i="7"/>
  <c r="BK515" i="7" s="1" a="1"/>
  <c r="BK515" i="7" s="1"/>
  <c r="H515" i="7" s="1"/>
  <c r="BF516" i="7"/>
  <c r="BF517" i="7"/>
  <c r="BF518" i="7"/>
  <c r="BF519" i="7"/>
  <c r="BF520" i="7"/>
  <c r="BF521" i="7"/>
  <c r="BF522" i="7"/>
  <c r="BF523" i="7"/>
  <c r="BF524" i="7"/>
  <c r="BF525" i="7"/>
  <c r="BK525" i="7" s="1" a="1"/>
  <c r="BK525" i="7" s="1"/>
  <c r="H525" i="7" s="1"/>
  <c r="BF526" i="7"/>
  <c r="BF527" i="7"/>
  <c r="BF528" i="7"/>
  <c r="BK528" i="7" s="1" a="1"/>
  <c r="BK528" i="7" s="1"/>
  <c r="H528" i="7" s="1"/>
  <c r="BF529" i="7"/>
  <c r="BF530" i="7"/>
  <c r="BF531" i="7"/>
  <c r="BF532" i="7"/>
  <c r="BF533" i="7"/>
  <c r="BF534" i="7"/>
  <c r="BK534" i="7" s="1" a="1"/>
  <c r="BK534" i="7" s="1"/>
  <c r="H534" i="7" s="1"/>
  <c r="BF535" i="7"/>
  <c r="BF536" i="7"/>
  <c r="BF537" i="7"/>
  <c r="BF538" i="7"/>
  <c r="BF539" i="7"/>
  <c r="BF540" i="7"/>
  <c r="BF541" i="7"/>
  <c r="BF542" i="7"/>
  <c r="BF543" i="7"/>
  <c r="BF544" i="7"/>
  <c r="BF545" i="7"/>
  <c r="BK545" i="7" s="1" a="1"/>
  <c r="BK545" i="7" s="1"/>
  <c r="H545" i="7" s="1"/>
  <c r="BF546" i="7"/>
  <c r="BF547" i="7"/>
  <c r="BK547" i="7" s="1" a="1"/>
  <c r="BK547" i="7" s="1"/>
  <c r="H547" i="7" s="1"/>
  <c r="BF548" i="7"/>
  <c r="BF549" i="7"/>
  <c r="BF550" i="7"/>
  <c r="BF551" i="7"/>
  <c r="BK551" i="7" s="1" a="1"/>
  <c r="BK551" i="7" s="1"/>
  <c r="H551" i="7" s="1"/>
  <c r="BF552" i="7"/>
  <c r="BF553" i="7"/>
  <c r="BF554" i="7"/>
  <c r="BF555" i="7"/>
  <c r="BF556" i="7"/>
  <c r="BF557" i="7"/>
  <c r="BF558" i="7"/>
  <c r="BF559" i="7"/>
  <c r="BF560" i="7"/>
  <c r="BK560" i="7" s="1" a="1"/>
  <c r="BK560" i="7" s="1"/>
  <c r="H560" i="7" s="1"/>
  <c r="BF561" i="7"/>
  <c r="BF562" i="7"/>
  <c r="BF563" i="7"/>
  <c r="BK563" i="7" s="1" a="1"/>
  <c r="BK563" i="7" s="1"/>
  <c r="H563" i="7" s="1"/>
  <c r="BF564" i="7"/>
  <c r="BF565" i="7"/>
  <c r="BF566" i="7"/>
  <c r="BF567" i="7"/>
  <c r="BF568" i="7"/>
  <c r="BK568" i="7" s="1" a="1"/>
  <c r="BK568" i="7" s="1"/>
  <c r="H568" i="7" s="1"/>
  <c r="BF569" i="7"/>
  <c r="BF570" i="7"/>
  <c r="BF571" i="7"/>
  <c r="BF572" i="7"/>
  <c r="BF573" i="7"/>
  <c r="BF574" i="7"/>
  <c r="BF575" i="7"/>
  <c r="BF576" i="7"/>
  <c r="BK576" i="7" s="1" a="1"/>
  <c r="BK576" i="7" s="1"/>
  <c r="H576" i="7" s="1"/>
  <c r="BF577" i="7"/>
  <c r="BF578" i="7"/>
  <c r="BF579" i="7"/>
  <c r="BF580" i="7"/>
  <c r="BK580" i="7" s="1" a="1"/>
  <c r="BK580" i="7" s="1"/>
  <c r="H580" i="7" s="1"/>
  <c r="BF581" i="7"/>
  <c r="BF582" i="7"/>
  <c r="BF583" i="7"/>
  <c r="BK583" i="7" s="1" a="1"/>
  <c r="BK583" i="7" s="1"/>
  <c r="H583" i="7" s="1"/>
  <c r="BF584" i="7"/>
  <c r="BF585" i="7"/>
  <c r="BF586" i="7"/>
  <c r="BF587" i="7"/>
  <c r="BF588" i="7"/>
  <c r="BF589" i="7"/>
  <c r="BF590" i="7"/>
  <c r="BF591" i="7"/>
  <c r="BF592" i="7"/>
  <c r="BF593" i="7"/>
  <c r="BK593" i="7" s="1" a="1"/>
  <c r="BK593" i="7" s="1"/>
  <c r="H593" i="7" s="1"/>
  <c r="BF594" i="7"/>
  <c r="BF595" i="7"/>
  <c r="BK595" i="7" s="1" a="1"/>
  <c r="BK595" i="7" s="1"/>
  <c r="H595" i="7" s="1"/>
  <c r="BF596" i="7"/>
  <c r="BF597" i="7"/>
  <c r="BF598" i="7"/>
  <c r="BF599" i="7"/>
  <c r="BK599" i="7" s="1" a="1"/>
  <c r="BK599" i="7" s="1"/>
  <c r="H599" i="7" s="1"/>
  <c r="BF600" i="7"/>
  <c r="BF601" i="7"/>
  <c r="BF602" i="7"/>
  <c r="BF603" i="7"/>
  <c r="BF604" i="7"/>
  <c r="BF605" i="7"/>
  <c r="BF606" i="7"/>
  <c r="BF607" i="7"/>
  <c r="BF608" i="7"/>
  <c r="BK608" i="7" s="1" a="1"/>
  <c r="BK608" i="7" s="1"/>
  <c r="H608" i="7" s="1"/>
  <c r="BF609" i="7"/>
  <c r="BF610" i="7"/>
  <c r="BF611" i="7"/>
  <c r="BK611" i="7" s="1" a="1"/>
  <c r="BK611" i="7" s="1"/>
  <c r="H611" i="7" s="1"/>
  <c r="BF612" i="7"/>
  <c r="BF613" i="7"/>
  <c r="BF614" i="7"/>
  <c r="BF615" i="7"/>
  <c r="BF616" i="7"/>
  <c r="BK616" i="7" s="1" a="1"/>
  <c r="BK616" i="7" s="1"/>
  <c r="H616" i="7" s="1"/>
  <c r="BF617" i="7"/>
  <c r="BF618" i="7"/>
  <c r="BF619" i="7"/>
  <c r="BF620" i="7"/>
  <c r="BF621" i="7"/>
  <c r="BF622" i="7"/>
  <c r="BF623" i="7"/>
  <c r="BF624" i="7"/>
  <c r="BK624" i="7" s="1" a="1"/>
  <c r="BK624" i="7" s="1"/>
  <c r="H624" i="7" s="1"/>
  <c r="BF625" i="7"/>
  <c r="BF626" i="7"/>
  <c r="BK626" i="7" s="1" a="1"/>
  <c r="BK626" i="7" s="1"/>
  <c r="H626" i="7" s="1"/>
  <c r="BF627" i="7"/>
  <c r="BF628" i="7"/>
  <c r="BF629" i="7"/>
  <c r="BF630" i="7"/>
  <c r="BK630" i="7" s="1" a="1"/>
  <c r="BK630" i="7" s="1"/>
  <c r="H630" i="7" s="1"/>
  <c r="BF631" i="7"/>
  <c r="BF632" i="7"/>
  <c r="BF633" i="7"/>
  <c r="BF634" i="7"/>
  <c r="BF635" i="7"/>
  <c r="BF636" i="7"/>
  <c r="BF637" i="7"/>
  <c r="BF638" i="7"/>
  <c r="BK638" i="7" s="1" a="1"/>
  <c r="BK638" i="7" s="1"/>
  <c r="H638" i="7" s="1"/>
  <c r="BF639" i="7"/>
  <c r="BF640" i="7"/>
  <c r="BF641" i="7"/>
  <c r="BK641" i="7" s="1" a="1"/>
  <c r="BK641" i="7" s="1"/>
  <c r="H641" i="7" s="1"/>
  <c r="BF642" i="7"/>
  <c r="BF643" i="7"/>
  <c r="BF644" i="7"/>
  <c r="BK644" i="7" s="1" a="1"/>
  <c r="BK644" i="7" s="1"/>
  <c r="H644" i="7" s="1"/>
  <c r="BF645" i="7"/>
  <c r="BF646" i="7"/>
  <c r="BF647" i="7"/>
  <c r="BF648" i="7"/>
  <c r="BF649" i="7"/>
  <c r="BF650" i="7"/>
  <c r="BF651" i="7"/>
  <c r="BF652" i="7"/>
  <c r="BF653" i="7"/>
  <c r="BK653" i="7" s="1" a="1"/>
  <c r="BK653" i="7" s="1"/>
  <c r="H653" i="7" s="1"/>
  <c r="BF654" i="7"/>
  <c r="BF655" i="7"/>
  <c r="BK655" i="7" s="1" a="1"/>
  <c r="BK655" i="7" s="1"/>
  <c r="H655" i="7" s="1"/>
  <c r="BF656" i="7"/>
  <c r="BF657" i="7"/>
  <c r="BF658" i="7"/>
  <c r="BF659" i="7"/>
  <c r="BK659" i="7" s="1" a="1"/>
  <c r="BK659" i="7" s="1"/>
  <c r="H659" i="7" s="1"/>
  <c r="BF660" i="7"/>
  <c r="BF661" i="7"/>
  <c r="BF662" i="7"/>
  <c r="BF663" i="7"/>
  <c r="BF664" i="7"/>
  <c r="BF665" i="7"/>
  <c r="BF666" i="7"/>
  <c r="BF667" i="7"/>
  <c r="BK667" i="7" s="1" a="1"/>
  <c r="BK667" i="7" s="1"/>
  <c r="H667" i="7" s="1"/>
  <c r="BF668" i="7"/>
  <c r="BF669" i="7"/>
  <c r="BK669" i="7" s="1" a="1"/>
  <c r="BK669" i="7" s="1"/>
  <c r="H669" i="7" s="1"/>
  <c r="BF670" i="7"/>
  <c r="BF671" i="7"/>
  <c r="BF672" i="7"/>
  <c r="BF673" i="7"/>
  <c r="BK673" i="7" s="1" a="1"/>
  <c r="BK673" i="7" s="1"/>
  <c r="H673" i="7" s="1"/>
  <c r="BF674" i="7"/>
  <c r="BF675" i="7"/>
  <c r="BF676" i="7"/>
  <c r="BF677" i="7"/>
  <c r="BF678" i="7"/>
  <c r="BF679" i="7"/>
  <c r="BF680" i="7"/>
  <c r="BF681" i="7"/>
  <c r="BK681" i="7" s="1" a="1"/>
  <c r="BK681" i="7" s="1"/>
  <c r="H681" i="7" s="1"/>
  <c r="BF682" i="7"/>
  <c r="BF683" i="7"/>
  <c r="BF684" i="7"/>
  <c r="BK684" i="7" s="1" a="1"/>
  <c r="BK684" i="7" s="1"/>
  <c r="H684" i="7" s="1"/>
  <c r="BF685" i="7"/>
  <c r="BF686" i="7"/>
  <c r="BF687" i="7"/>
  <c r="BF688" i="7"/>
  <c r="BK688" i="7" s="1" a="1"/>
  <c r="BK688" i="7" s="1"/>
  <c r="H688" i="7" s="1"/>
  <c r="BF689" i="7"/>
  <c r="BF690" i="7"/>
  <c r="BF691" i="7"/>
  <c r="BF692" i="7"/>
  <c r="BF693" i="7"/>
  <c r="BF694" i="7"/>
  <c r="BF695" i="7"/>
  <c r="BF696" i="7"/>
  <c r="BK696" i="7" s="1" a="1"/>
  <c r="BK696" i="7" s="1"/>
  <c r="H696" i="7" s="1"/>
  <c r="BF697" i="7"/>
  <c r="BF698" i="7"/>
  <c r="BK698" i="7" s="1" a="1"/>
  <c r="BK698" i="7" s="1"/>
  <c r="H698" i="7" s="1"/>
  <c r="BF699" i="7"/>
  <c r="BF700" i="7"/>
  <c r="BF701" i="7"/>
  <c r="BK701" i="7" s="1" a="1"/>
  <c r="BK701" i="7" s="1"/>
  <c r="H701" i="7" s="1"/>
  <c r="BF702" i="7"/>
  <c r="BF703" i="7"/>
  <c r="BF704" i="7"/>
  <c r="BF705" i="7"/>
  <c r="BF706" i="7"/>
  <c r="BF707" i="7"/>
  <c r="BF708" i="7"/>
  <c r="BF709" i="7"/>
  <c r="BK709" i="7" s="1" a="1"/>
  <c r="BK709" i="7" s="1"/>
  <c r="H709" i="7" s="1"/>
  <c r="BF710" i="7"/>
  <c r="BF711" i="7"/>
  <c r="BK711" i="7" s="1" a="1"/>
  <c r="BK711" i="7" s="1"/>
  <c r="H711" i="7" s="1"/>
  <c r="BF712" i="7"/>
  <c r="BF713" i="7"/>
  <c r="BF714" i="7"/>
  <c r="BH714" i="7" s="1" a="1"/>
  <c r="BH714" i="7" s="1"/>
  <c r="BF715" i="7"/>
  <c r="BF716" i="7"/>
  <c r="BF717" i="7"/>
  <c r="BF718" i="7"/>
  <c r="BF719" i="7"/>
  <c r="BF720" i="7"/>
  <c r="BF721" i="7"/>
  <c r="BF722" i="7"/>
  <c r="BK722" i="7" s="1" a="1"/>
  <c r="BK722" i="7" s="1"/>
  <c r="H722" i="7" s="1"/>
  <c r="BF723" i="7"/>
  <c r="BF724" i="7"/>
  <c r="BH724" i="7" s="1" a="1"/>
  <c r="BH724" i="7" s="1"/>
  <c r="BF725" i="7"/>
  <c r="BF726" i="7"/>
  <c r="BF727" i="7"/>
  <c r="BK727" i="7" s="1" a="1"/>
  <c r="BK727" i="7" s="1"/>
  <c r="H727" i="7" s="1"/>
  <c r="BF728" i="7"/>
  <c r="BF729" i="7"/>
  <c r="BF730" i="7"/>
  <c r="BF731" i="7"/>
  <c r="BF732" i="7"/>
  <c r="BF733" i="7"/>
  <c r="BK733" i="7" s="1" a="1"/>
  <c r="BK733" i="7" s="1"/>
  <c r="H733" i="7" s="1"/>
  <c r="BF734" i="7"/>
  <c r="BF735" i="7"/>
  <c r="BK735" i="7" s="1" a="1"/>
  <c r="BK735" i="7" s="1"/>
  <c r="H735" i="7" s="1"/>
  <c r="BF736" i="7"/>
  <c r="BF737" i="7"/>
  <c r="BK737" i="7" s="1" a="1"/>
  <c r="BK737" i="7" s="1"/>
  <c r="H737" i="7" s="1"/>
  <c r="BF738" i="7"/>
  <c r="BF739" i="7"/>
  <c r="BF740" i="7"/>
  <c r="BK740" i="7" s="1" a="1"/>
  <c r="BK740" i="7" s="1"/>
  <c r="H740" i="7" s="1"/>
  <c r="BF741" i="7"/>
  <c r="BF742" i="7"/>
  <c r="BF743" i="7"/>
  <c r="BF744" i="7"/>
  <c r="BF745" i="7"/>
  <c r="BF746" i="7"/>
  <c r="BK746" i="7" s="1" a="1"/>
  <c r="BK746" i="7" s="1"/>
  <c r="H746" i="7" s="1"/>
  <c r="BF747" i="7"/>
  <c r="BF748" i="7"/>
  <c r="BH748" i="7" s="1" a="1"/>
  <c r="BH748" i="7" s="1"/>
  <c r="BF749" i="7"/>
  <c r="BF750" i="7"/>
  <c r="BH750" i="7" s="1" a="1"/>
  <c r="BH750" i="7" s="1"/>
  <c r="BF751" i="7"/>
  <c r="BF752" i="7"/>
  <c r="BF753" i="7"/>
  <c r="BH753" i="7" s="1" a="1"/>
  <c r="BH753" i="7" s="1"/>
  <c r="BF754" i="7"/>
  <c r="BF755" i="7"/>
  <c r="BF756" i="7"/>
  <c r="BF757" i="7"/>
  <c r="BF758" i="7"/>
  <c r="BF759" i="7"/>
  <c r="BK759" i="7" s="1" a="1"/>
  <c r="BK759" i="7" s="1"/>
  <c r="H759" i="7" s="1"/>
  <c r="BF760" i="7"/>
  <c r="BF761" i="7"/>
  <c r="BK761" i="7" s="1" a="1"/>
  <c r="BK761" i="7" s="1"/>
  <c r="H761" i="7" s="1"/>
  <c r="BF762" i="7"/>
  <c r="BF763" i="7"/>
  <c r="BK763" i="7" s="1" a="1"/>
  <c r="BK763" i="7" s="1"/>
  <c r="H763" i="7" s="1"/>
  <c r="BF764" i="7"/>
  <c r="BF765" i="7"/>
  <c r="BF766" i="7"/>
  <c r="BK766" i="7" s="1" a="1"/>
  <c r="BK766" i="7" s="1"/>
  <c r="H766" i="7" s="1"/>
  <c r="BF767" i="7"/>
  <c r="BF768" i="7"/>
  <c r="BF769" i="7"/>
  <c r="BF319" i="7"/>
  <c r="BF312" i="7"/>
  <c r="BK312" i="7" s="1" a="1"/>
  <c r="BK312" i="7" s="1"/>
  <c r="H312" i="7" s="1"/>
  <c r="BF311" i="7"/>
  <c r="BF310" i="7"/>
  <c r="BF309" i="7"/>
  <c r="BK309" i="7" s="1" a="1"/>
  <c r="BK309" i="7" s="1"/>
  <c r="H309" i="7" s="1"/>
  <c r="BF308" i="7"/>
  <c r="BF307" i="7"/>
  <c r="BF306" i="7"/>
  <c r="BF305" i="7"/>
  <c r="BF304" i="7"/>
  <c r="BF303" i="7"/>
  <c r="BF302" i="7"/>
  <c r="BF301" i="7"/>
  <c r="BF300" i="7"/>
  <c r="BF299" i="7"/>
  <c r="BK299" i="7" s="1" a="1"/>
  <c r="BK299" i="7" s="1"/>
  <c r="H299" i="7" s="1"/>
  <c r="BF298" i="7"/>
  <c r="BF297" i="7"/>
  <c r="BF296" i="7"/>
  <c r="BF295" i="7"/>
  <c r="BK295" i="7" s="1" a="1"/>
  <c r="BK295" i="7" s="1"/>
  <c r="H295" i="7" s="1"/>
  <c r="BF294" i="7"/>
  <c r="BF293" i="7"/>
  <c r="BK293" i="7" s="1" a="1"/>
  <c r="BK293" i="7" s="1"/>
  <c r="H293" i="7" s="1"/>
  <c r="BF292" i="7"/>
  <c r="BF291" i="7"/>
  <c r="BF290" i="7"/>
  <c r="BF289" i="7"/>
  <c r="BF288" i="7"/>
  <c r="BF287" i="7"/>
  <c r="BF286" i="7"/>
  <c r="BF285" i="7"/>
  <c r="BF284" i="7"/>
  <c r="BF283" i="7"/>
  <c r="BF282" i="7"/>
  <c r="BK282" i="7" s="1" a="1"/>
  <c r="BK282" i="7" s="1"/>
  <c r="H282" i="7" s="1"/>
  <c r="BF281" i="7"/>
  <c r="BF280" i="7"/>
  <c r="BF279" i="7"/>
  <c r="BF278" i="7"/>
  <c r="BF277" i="7"/>
  <c r="BF276" i="7"/>
  <c r="BK276" i="7" s="1" a="1"/>
  <c r="BK276" i="7" s="1"/>
  <c r="H276" i="7" s="1"/>
  <c r="BF275" i="7"/>
  <c r="BF274" i="7"/>
  <c r="BF273" i="7"/>
  <c r="BK273" i="7" s="1" a="1"/>
  <c r="BK273" i="7" s="1"/>
  <c r="H273" i="7" s="1"/>
  <c r="BF272" i="7"/>
  <c r="BF271" i="7"/>
  <c r="BF270" i="7"/>
  <c r="BF269" i="7"/>
  <c r="BF268" i="7"/>
  <c r="BF267" i="7"/>
  <c r="BF266" i="7"/>
  <c r="BF265" i="7"/>
  <c r="BF264" i="7"/>
  <c r="BF263" i="7"/>
  <c r="BK263" i="7" s="1" a="1"/>
  <c r="BK263" i="7" s="1"/>
  <c r="H263" i="7" s="1"/>
  <c r="BF262" i="7"/>
  <c r="BF261" i="7"/>
  <c r="BF260" i="7"/>
  <c r="BF259" i="7"/>
  <c r="BK259" i="7" s="1" a="1"/>
  <c r="BK259" i="7" s="1"/>
  <c r="H259" i="7" s="1"/>
  <c r="BF258" i="7"/>
  <c r="BF257" i="7"/>
  <c r="BK257" i="7" s="1" a="1"/>
  <c r="BK257" i="7" s="1"/>
  <c r="H257" i="7" s="1"/>
  <c r="BF256" i="7"/>
  <c r="BF255" i="7"/>
  <c r="BF254" i="7"/>
  <c r="BF253" i="7"/>
  <c r="BF252" i="7"/>
  <c r="BF251" i="7"/>
  <c r="BF250" i="7"/>
  <c r="BF249" i="7"/>
  <c r="BF248" i="7"/>
  <c r="BF247" i="7"/>
  <c r="BF246" i="7"/>
  <c r="BK246" i="7" s="1" a="1"/>
  <c r="BK246" i="7" s="1"/>
  <c r="H246" i="7" s="1"/>
  <c r="BF245" i="7"/>
  <c r="BF244" i="7"/>
  <c r="BF243" i="7"/>
  <c r="BF242" i="7"/>
  <c r="BF241" i="7"/>
  <c r="BF240" i="7"/>
  <c r="BK240" i="7" s="1" a="1"/>
  <c r="BK240" i="7" s="1"/>
  <c r="H240" i="7" s="1"/>
  <c r="BF239" i="7"/>
  <c r="BF238" i="7"/>
  <c r="BF237" i="7"/>
  <c r="BK237" i="7" s="1" a="1"/>
  <c r="BK237" i="7" s="1"/>
  <c r="H237" i="7" s="1"/>
  <c r="BF236" i="7"/>
  <c r="BF235" i="7"/>
  <c r="BF234" i="7"/>
  <c r="BF233" i="7"/>
  <c r="BF232" i="7"/>
  <c r="BF231" i="7"/>
  <c r="BF230" i="7"/>
  <c r="BF229" i="7"/>
  <c r="BF228" i="7"/>
  <c r="BF227" i="7"/>
  <c r="BK227" i="7" s="1" a="1"/>
  <c r="BK227" i="7" s="1"/>
  <c r="H227" i="7" s="1"/>
  <c r="BF226" i="7"/>
  <c r="BF225" i="7"/>
  <c r="BF224" i="7"/>
  <c r="BF223" i="7"/>
  <c r="BK223" i="7" s="1" a="1"/>
  <c r="BK223" i="7" s="1"/>
  <c r="H223" i="7" s="1"/>
  <c r="BF222" i="7"/>
  <c r="BF221" i="7"/>
  <c r="BK221" i="7" s="1" a="1"/>
  <c r="BK221" i="7" s="1"/>
  <c r="H221" i="7" s="1"/>
  <c r="BF220" i="7"/>
  <c r="BF219" i="7"/>
  <c r="BF218" i="7"/>
  <c r="BF217" i="7"/>
  <c r="BF216" i="7"/>
  <c r="BF215" i="7"/>
  <c r="BF214" i="7"/>
  <c r="BF213" i="7"/>
  <c r="BF212" i="7"/>
  <c r="BF211" i="7"/>
  <c r="BF210" i="7"/>
  <c r="BK210" i="7" s="1" a="1"/>
  <c r="BK210" i="7" s="1"/>
  <c r="H210" i="7" s="1"/>
  <c r="BF209" i="7"/>
  <c r="BF208" i="7"/>
  <c r="BF207" i="7"/>
  <c r="BF206" i="7"/>
  <c r="BF205" i="7"/>
  <c r="BF204" i="7"/>
  <c r="BK204" i="7" s="1" a="1"/>
  <c r="BK204" i="7" s="1"/>
  <c r="H204" i="7" s="1"/>
  <c r="BF203" i="7"/>
  <c r="BF202" i="7"/>
  <c r="BF201" i="7"/>
  <c r="BK201" i="7" s="1" a="1"/>
  <c r="BK201" i="7" s="1"/>
  <c r="H201" i="7" s="1"/>
  <c r="BF200" i="7"/>
  <c r="BF199" i="7"/>
  <c r="BF198" i="7"/>
  <c r="BF197" i="7"/>
  <c r="BF196" i="7"/>
  <c r="BF195" i="7"/>
  <c r="BF194" i="7"/>
  <c r="BF193" i="7"/>
  <c r="BF192" i="7"/>
  <c r="BF191" i="7"/>
  <c r="BK191" i="7" s="1" a="1"/>
  <c r="BK191" i="7" s="1"/>
  <c r="H191" i="7" s="1"/>
  <c r="BF190" i="7"/>
  <c r="BF189" i="7"/>
  <c r="BF188" i="7"/>
  <c r="BF187" i="7"/>
  <c r="BK187" i="7" s="1" a="1"/>
  <c r="BK187" i="7" s="1"/>
  <c r="H187" i="7" s="1"/>
  <c r="BF186" i="7"/>
  <c r="BF185" i="7"/>
  <c r="BK185" i="7" s="1" a="1"/>
  <c r="BK185" i="7" s="1"/>
  <c r="H185" i="7" s="1"/>
  <c r="BF184" i="7"/>
  <c r="BF183" i="7"/>
  <c r="BF182" i="7"/>
  <c r="BF181" i="7"/>
  <c r="BF180" i="7"/>
  <c r="BF179" i="7"/>
  <c r="BF178" i="7"/>
  <c r="BF177" i="7"/>
  <c r="BF176" i="7"/>
  <c r="BF175" i="7"/>
  <c r="BF174" i="7"/>
  <c r="BK174" i="7" s="1" a="1"/>
  <c r="BK174" i="7" s="1"/>
  <c r="H174" i="7" s="1"/>
  <c r="BF173" i="7"/>
  <c r="BF172" i="7"/>
  <c r="BF171" i="7"/>
  <c r="BF170" i="7"/>
  <c r="BF169" i="7"/>
  <c r="BF168" i="7"/>
  <c r="BK168" i="7" s="1" a="1"/>
  <c r="BK168" i="7" s="1"/>
  <c r="H168" i="7" s="1"/>
  <c r="BF167" i="7"/>
  <c r="BF166" i="7"/>
  <c r="BF165" i="7"/>
  <c r="BK165" i="7" s="1" a="1"/>
  <c r="BK165" i="7" s="1"/>
  <c r="H165" i="7" s="1"/>
  <c r="BF164" i="7"/>
  <c r="BF163" i="7"/>
  <c r="BF162" i="7"/>
  <c r="BF161" i="7"/>
  <c r="BF160" i="7"/>
  <c r="BF159" i="7"/>
  <c r="BF158" i="7"/>
  <c r="BF157" i="7"/>
  <c r="BF156" i="7"/>
  <c r="BF155" i="7"/>
  <c r="BK155" i="7" s="1" a="1"/>
  <c r="BK155" i="7" s="1"/>
  <c r="H155" i="7" s="1"/>
  <c r="BF154" i="7"/>
  <c r="BF153" i="7"/>
  <c r="BF152" i="7"/>
  <c r="BF151" i="7"/>
  <c r="BF150" i="7"/>
  <c r="BK150" i="7" s="1" a="1"/>
  <c r="BK150" i="7" s="1"/>
  <c r="H150" i="7" s="1"/>
  <c r="BF149" i="7"/>
  <c r="BF148" i="7"/>
  <c r="BK148" i="7" s="1" a="1"/>
  <c r="BK148" i="7" s="1"/>
  <c r="H148" i="7" s="1"/>
  <c r="BF147" i="7"/>
  <c r="BF146" i="7"/>
  <c r="BF145" i="7"/>
  <c r="BF144" i="7"/>
  <c r="BF143" i="7"/>
  <c r="BF142" i="7"/>
  <c r="BF141" i="7"/>
  <c r="BF140" i="7"/>
  <c r="BF139" i="7"/>
  <c r="BF138" i="7"/>
  <c r="BF137" i="7"/>
  <c r="BF136" i="7"/>
  <c r="BF135" i="7"/>
  <c r="BF134" i="7"/>
  <c r="BF133" i="7"/>
  <c r="BF132" i="7"/>
  <c r="BF131" i="7"/>
  <c r="BF130" i="7"/>
  <c r="BF129" i="7"/>
  <c r="BF128" i="7"/>
  <c r="BF127" i="7"/>
  <c r="BF126" i="7"/>
  <c r="BF125" i="7"/>
  <c r="BF124" i="7"/>
  <c r="BF123" i="7"/>
  <c r="BF122" i="7"/>
  <c r="BF121" i="7"/>
  <c r="BF120" i="7"/>
  <c r="BF119" i="7"/>
  <c r="BF118" i="7"/>
  <c r="BF117" i="7"/>
  <c r="BF116" i="7"/>
  <c r="BF115" i="7"/>
  <c r="BF114" i="7"/>
  <c r="BF113" i="7"/>
  <c r="BF112" i="7"/>
  <c r="BF111" i="7"/>
  <c r="BF110" i="7"/>
  <c r="BK110" i="7" s="1" a="1"/>
  <c r="BK110" i="7" s="1"/>
  <c r="H110" i="7" s="1"/>
  <c r="BF109" i="7"/>
  <c r="BF108" i="7"/>
  <c r="BF107" i="7"/>
  <c r="BF106" i="7"/>
  <c r="BF105" i="7"/>
  <c r="BF104" i="7"/>
  <c r="BF103" i="7"/>
  <c r="BF102" i="7"/>
  <c r="BF101" i="7"/>
  <c r="BF100" i="7"/>
  <c r="BF99" i="7"/>
  <c r="BF98" i="7"/>
  <c r="BF97" i="7"/>
  <c r="BF96" i="7"/>
  <c r="BF95" i="7"/>
  <c r="BF94" i="7"/>
  <c r="BF93" i="7"/>
  <c r="BK93" i="7" s="1" a="1"/>
  <c r="BK93" i="7" s="1"/>
  <c r="H93" i="7" s="1"/>
  <c r="BF92" i="7"/>
  <c r="BF91" i="7"/>
  <c r="BF90" i="7"/>
  <c r="BF89" i="7"/>
  <c r="BF88" i="7"/>
  <c r="BF87" i="7"/>
  <c r="BF86" i="7"/>
  <c r="BF85" i="7"/>
  <c r="BF84" i="7"/>
  <c r="BF83" i="7"/>
  <c r="BF82" i="7"/>
  <c r="BF81" i="7"/>
  <c r="BF80" i="7"/>
  <c r="BF79" i="7"/>
  <c r="BF78" i="7"/>
  <c r="BK78" i="7" s="1" a="1"/>
  <c r="BK78" i="7" s="1"/>
  <c r="H78" i="7" s="1"/>
  <c r="BF77" i="7"/>
  <c r="BF76" i="7"/>
  <c r="BF75" i="7"/>
  <c r="BF74" i="7"/>
  <c r="BF73" i="7"/>
  <c r="BF72" i="7"/>
  <c r="BF71" i="7"/>
  <c r="BF70" i="7"/>
  <c r="BF69" i="7"/>
  <c r="BF68" i="7"/>
  <c r="BF67" i="7"/>
  <c r="BF66" i="7"/>
  <c r="BF65" i="7"/>
  <c r="BF64" i="7"/>
  <c r="BF63" i="7"/>
  <c r="BF62" i="7"/>
  <c r="BF61" i="7"/>
  <c r="BF60" i="7"/>
  <c r="BF59" i="7"/>
  <c r="BF58" i="7"/>
  <c r="BF57" i="7"/>
  <c r="BF56" i="7"/>
  <c r="BF55" i="7"/>
  <c r="BF54" i="7"/>
  <c r="BF53" i="7"/>
  <c r="BF52" i="7"/>
  <c r="BF51" i="7"/>
  <c r="BF50" i="7"/>
  <c r="BF49" i="7"/>
  <c r="BF48" i="7"/>
  <c r="BF47" i="7"/>
  <c r="BF46" i="7"/>
  <c r="BF45" i="7"/>
  <c r="BF44" i="7"/>
  <c r="BF43" i="7"/>
  <c r="BF42" i="7"/>
  <c r="BF41" i="7"/>
  <c r="BF40" i="7"/>
  <c r="BF39" i="7"/>
  <c r="BF38" i="7"/>
  <c r="BF37" i="7"/>
  <c r="BF36" i="7"/>
  <c r="BF35" i="7"/>
  <c r="BF34" i="7"/>
  <c r="BF33" i="7"/>
  <c r="BF32" i="7"/>
  <c r="BF31" i="7"/>
  <c r="BF30" i="7"/>
  <c r="BF29" i="7"/>
  <c r="BF28" i="7"/>
  <c r="BF27" i="7"/>
  <c r="BF26" i="7"/>
  <c r="BF25" i="7"/>
  <c r="BF24" i="7"/>
  <c r="BF23" i="7"/>
  <c r="BK23" i="7" s="1" a="1"/>
  <c r="BK23" i="7" s="1"/>
  <c r="H23" i="7" s="1"/>
  <c r="BF22" i="7"/>
  <c r="BF21" i="7"/>
  <c r="BF20" i="7"/>
  <c r="BF19" i="7"/>
  <c r="BF18" i="7"/>
  <c r="BF17" i="7"/>
  <c r="BF16" i="7"/>
  <c r="BF15" i="7"/>
  <c r="BF14" i="7"/>
  <c r="BF13" i="7"/>
  <c r="BF12" i="7"/>
  <c r="BF11" i="7"/>
  <c r="BF10" i="7"/>
  <c r="BF9" i="7"/>
  <c r="BF8" i="7"/>
  <c r="BF7" i="7"/>
  <c r="BF6" i="7"/>
  <c r="BK6" i="7" s="1" a="1"/>
  <c r="BK6" i="7" s="1"/>
  <c r="H6" i="7" s="1"/>
  <c r="BF5" i="7"/>
  <c r="BF4" i="7"/>
  <c r="BF3" i="7"/>
  <c r="T749" i="9" l="1"/>
  <c r="AB749" i="9" s="1"/>
  <c r="T708" i="9"/>
  <c r="AB708" i="9" s="1"/>
  <c r="T652" i="9"/>
  <c r="AB652" i="9" s="1"/>
  <c r="T592" i="9"/>
  <c r="AB592" i="9" s="1"/>
  <c r="T524" i="9"/>
  <c r="AB524" i="9" s="1"/>
  <c r="T452" i="9"/>
  <c r="AB452" i="9" s="1"/>
  <c r="T380" i="9"/>
  <c r="AB380" i="9" s="1"/>
  <c r="T308" i="9"/>
  <c r="AB308" i="9" s="1"/>
  <c r="T236" i="9"/>
  <c r="AB236" i="9" s="1"/>
  <c r="T164" i="9"/>
  <c r="V164" i="9" s="1" a="1"/>
  <c r="V164" i="9" s="1"/>
  <c r="AD164" i="9" s="1"/>
  <c r="T747" i="9"/>
  <c r="AB747" i="9" s="1"/>
  <c r="T700" i="9"/>
  <c r="AB700" i="9" s="1"/>
  <c r="T643" i="9"/>
  <c r="AB643" i="9" s="1"/>
  <c r="T582" i="9"/>
  <c r="AB582" i="9" s="1"/>
  <c r="T514" i="9"/>
  <c r="AB514" i="9" s="1"/>
  <c r="T442" i="9"/>
  <c r="AB442" i="9" s="1"/>
  <c r="T370" i="9"/>
  <c r="AB370" i="9" s="1"/>
  <c r="T298" i="9"/>
  <c r="AB298" i="9" s="1"/>
  <c r="T226" i="9"/>
  <c r="AB226" i="9" s="1"/>
  <c r="T154" i="9"/>
  <c r="AB154" i="9" s="1"/>
  <c r="T745" i="9"/>
  <c r="AB745" i="9" s="1"/>
  <c r="T697" i="9"/>
  <c r="AB697" i="9" s="1"/>
  <c r="T640" i="9"/>
  <c r="AB640" i="9" s="1"/>
  <c r="T579" i="9"/>
  <c r="AB579" i="9" s="1"/>
  <c r="T510" i="9"/>
  <c r="AB510" i="9" s="1"/>
  <c r="T438" i="9"/>
  <c r="AB438" i="9" s="1"/>
  <c r="T366" i="9"/>
  <c r="AB366" i="9" s="1"/>
  <c r="T294" i="9"/>
  <c r="AB294" i="9" s="1"/>
  <c r="T222" i="9"/>
  <c r="AB222" i="9" s="1"/>
  <c r="T149" i="9"/>
  <c r="V149" i="9" s="1" a="1"/>
  <c r="V149" i="9" s="1"/>
  <c r="AD149" i="9" s="1"/>
  <c r="T739" i="9"/>
  <c r="AB739" i="9" s="1"/>
  <c r="T695" i="9"/>
  <c r="AB695" i="9" s="1"/>
  <c r="T637" i="9"/>
  <c r="AB637" i="9" s="1"/>
  <c r="T575" i="9"/>
  <c r="AB575" i="9" s="1"/>
  <c r="T508" i="9"/>
  <c r="AB508" i="9" s="1"/>
  <c r="T436" i="9"/>
  <c r="AB436" i="9" s="1"/>
  <c r="T364" i="9"/>
  <c r="AB364" i="9" s="1"/>
  <c r="T292" i="9"/>
  <c r="AB292" i="9" s="1"/>
  <c r="T220" i="9"/>
  <c r="AB220" i="9" s="1"/>
  <c r="T147" i="9"/>
  <c r="AB147" i="9" s="1"/>
  <c r="T736" i="9"/>
  <c r="AB736" i="9" s="1"/>
  <c r="T687" i="9"/>
  <c r="AB687" i="9" s="1"/>
  <c r="T629" i="9"/>
  <c r="AB629" i="9" s="1"/>
  <c r="T567" i="9"/>
  <c r="AB567" i="9" s="1"/>
  <c r="T497" i="9"/>
  <c r="AB497" i="9" s="1"/>
  <c r="T425" i="9"/>
  <c r="AB425" i="9" s="1"/>
  <c r="T353" i="9"/>
  <c r="AB353" i="9" s="1"/>
  <c r="T281" i="9"/>
  <c r="AB281" i="9" s="1"/>
  <c r="T209" i="9"/>
  <c r="AB209" i="9" s="1"/>
  <c r="T109" i="9"/>
  <c r="V109" i="9" s="1" a="1"/>
  <c r="V109" i="9" s="1"/>
  <c r="AD109" i="9" s="1"/>
  <c r="T734" i="9"/>
  <c r="AB734" i="9" s="1"/>
  <c r="T683" i="9"/>
  <c r="AB683" i="9" s="1"/>
  <c r="T625" i="9"/>
  <c r="AB625" i="9" s="1"/>
  <c r="T562" i="9"/>
  <c r="AB562" i="9" s="1"/>
  <c r="T491" i="9"/>
  <c r="AB491" i="9" s="1"/>
  <c r="T419" i="9"/>
  <c r="AB419" i="9" s="1"/>
  <c r="T347" i="9"/>
  <c r="AB347" i="9" s="1"/>
  <c r="T275" i="9"/>
  <c r="AB275" i="9" s="1"/>
  <c r="T203" i="9"/>
  <c r="AB203" i="9" s="1"/>
  <c r="T92" i="9"/>
  <c r="V92" i="9" s="1" a="1"/>
  <c r="V92" i="9" s="1"/>
  <c r="AD92" i="9" s="1"/>
  <c r="T732" i="9"/>
  <c r="AB732" i="9" s="1"/>
  <c r="T680" i="9"/>
  <c r="AB680" i="9" s="1"/>
  <c r="T623" i="9"/>
  <c r="AB623" i="9" s="1"/>
  <c r="T559" i="9"/>
  <c r="AB559" i="9" s="1"/>
  <c r="T488" i="9"/>
  <c r="AB488" i="9" s="1"/>
  <c r="T416" i="9"/>
  <c r="AB416" i="9" s="1"/>
  <c r="T344" i="9"/>
  <c r="AB344" i="9" s="1"/>
  <c r="T272" i="9"/>
  <c r="AB272" i="9" s="1"/>
  <c r="T200" i="9"/>
  <c r="AB200" i="9" s="1"/>
  <c r="T77" i="9"/>
  <c r="V77" i="9" s="1" a="1"/>
  <c r="V77" i="9" s="1"/>
  <c r="AD77" i="9" s="1"/>
  <c r="T765" i="9"/>
  <c r="AB765" i="9" s="1"/>
  <c r="T726" i="9"/>
  <c r="AB726" i="9" s="1"/>
  <c r="T672" i="9"/>
  <c r="AB672" i="9" s="1"/>
  <c r="T615" i="9"/>
  <c r="AB615" i="9" s="1"/>
  <c r="T550" i="9"/>
  <c r="AB550" i="9" s="1"/>
  <c r="T478" i="9"/>
  <c r="AB478" i="9" s="1"/>
  <c r="T406" i="9"/>
  <c r="AB406" i="9" s="1"/>
  <c r="T334" i="9"/>
  <c r="AB334" i="9" s="1"/>
  <c r="T262" i="9"/>
  <c r="AB262" i="9" s="1"/>
  <c r="T190" i="9"/>
  <c r="AB190" i="9" s="1"/>
  <c r="T22" i="9"/>
  <c r="V22" i="9" s="1" a="1"/>
  <c r="V22" i="9" s="1"/>
  <c r="AD22" i="9" s="1"/>
  <c r="T762" i="9"/>
  <c r="AB762" i="9" s="1"/>
  <c r="T723" i="9"/>
  <c r="AB723" i="9" s="1"/>
  <c r="T668" i="9"/>
  <c r="AB668" i="9" s="1"/>
  <c r="T610" i="9"/>
  <c r="AB610" i="9" s="1"/>
  <c r="T546" i="9"/>
  <c r="AB546" i="9" s="1"/>
  <c r="T474" i="9"/>
  <c r="AB474" i="9" s="1"/>
  <c r="T402" i="9"/>
  <c r="AB402" i="9" s="1"/>
  <c r="T330" i="9"/>
  <c r="AB330" i="9" s="1"/>
  <c r="T258" i="9"/>
  <c r="AB258" i="9" s="1"/>
  <c r="T186" i="9"/>
  <c r="AB186" i="9" s="1"/>
  <c r="T5" i="9"/>
  <c r="V5" i="9" s="1" a="1"/>
  <c r="V5" i="9" s="1"/>
  <c r="AD5" i="9" s="1"/>
  <c r="T760" i="9"/>
  <c r="AB760" i="9" s="1"/>
  <c r="T721" i="9"/>
  <c r="AB721" i="9" s="1"/>
  <c r="T666" i="9"/>
  <c r="AB666" i="9" s="1"/>
  <c r="T607" i="9"/>
  <c r="AB607" i="9" s="1"/>
  <c r="T544" i="9"/>
  <c r="AB544" i="9" s="1"/>
  <c r="T472" i="9"/>
  <c r="AB472" i="9" s="1"/>
  <c r="T400" i="9"/>
  <c r="AB400" i="9" s="1"/>
  <c r="T328" i="9"/>
  <c r="AB328" i="9" s="1"/>
  <c r="T256" i="9"/>
  <c r="AB256" i="9" s="1"/>
  <c r="T184" i="9"/>
  <c r="AB184" i="9" s="1"/>
  <c r="T758" i="9"/>
  <c r="AB758" i="9" s="1"/>
  <c r="T713" i="9"/>
  <c r="AB713" i="9" s="1"/>
  <c r="T658" i="9"/>
  <c r="AB658" i="9" s="1"/>
  <c r="T598" i="9"/>
  <c r="AB598" i="9" s="1"/>
  <c r="T533" i="9"/>
  <c r="AB533" i="9" s="1"/>
  <c r="T461" i="9"/>
  <c r="AB461" i="9" s="1"/>
  <c r="T389" i="9"/>
  <c r="AB389" i="9" s="1"/>
  <c r="T317" i="9"/>
  <c r="AB317" i="9" s="1"/>
  <c r="T245" i="9"/>
  <c r="AB245" i="9" s="1"/>
  <c r="T173" i="9"/>
  <c r="V173" i="9" s="1" a="1"/>
  <c r="V173" i="9" s="1"/>
  <c r="AD173" i="9" s="1"/>
  <c r="T752" i="9"/>
  <c r="AB752" i="9" s="1"/>
  <c r="T710" i="9"/>
  <c r="AB710" i="9" s="1"/>
  <c r="T654" i="9"/>
  <c r="AB654" i="9" s="1"/>
  <c r="T594" i="9"/>
  <c r="AB594" i="9" s="1"/>
  <c r="T527" i="9"/>
  <c r="AB527" i="9" s="1"/>
  <c r="T455" i="9"/>
  <c r="AB455" i="9" s="1"/>
  <c r="T383" i="9"/>
  <c r="AB383" i="9" s="1"/>
  <c r="T311" i="9"/>
  <c r="AB311" i="9" s="1"/>
  <c r="T239" i="9"/>
  <c r="AB239" i="9" s="1"/>
  <c r="T167" i="9"/>
  <c r="V167" i="9" s="1" a="1"/>
  <c r="V167" i="9" s="1"/>
  <c r="AD167" i="9" s="1"/>
  <c r="BK3" i="7" a="1"/>
  <c r="BK3" i="7" s="1"/>
  <c r="H3" i="7" s="1"/>
  <c r="T2" i="9"/>
  <c r="V2" i="9" s="1" a="1"/>
  <c r="V2" i="9" s="1"/>
  <c r="AD2" i="9" s="1"/>
  <c r="BK4" i="7" a="1"/>
  <c r="BK4" i="7" s="1"/>
  <c r="H4" i="7" s="1"/>
  <c r="T3" i="9"/>
  <c r="V3" i="9" s="1" a="1"/>
  <c r="V3" i="9" s="1"/>
  <c r="AD3" i="9" s="1"/>
  <c r="BK5" i="7" a="1"/>
  <c r="BK5" i="7" s="1"/>
  <c r="H5" i="7" s="1"/>
  <c r="T4" i="9"/>
  <c r="V4" i="9" s="1" a="1"/>
  <c r="V4" i="9" s="1"/>
  <c r="AD4" i="9" s="1"/>
  <c r="BK7" i="7" a="1"/>
  <c r="BK7" i="7" s="1"/>
  <c r="H7" i="7" s="1"/>
  <c r="T6" i="9"/>
  <c r="V6" i="9" s="1" a="1"/>
  <c r="V6" i="9" s="1"/>
  <c r="AD6" i="9" s="1"/>
  <c r="BK8" i="7" a="1"/>
  <c r="BK8" i="7" s="1"/>
  <c r="H8" i="7" s="1"/>
  <c r="T7" i="9"/>
  <c r="V7" i="9" s="1" a="1"/>
  <c r="V7" i="9" s="1"/>
  <c r="AD7" i="9" s="1"/>
  <c r="BK9" i="7" a="1"/>
  <c r="BK9" i="7" s="1"/>
  <c r="H9" i="7" s="1"/>
  <c r="T8" i="9"/>
  <c r="V8" i="9" s="1" a="1"/>
  <c r="V8" i="9" s="1"/>
  <c r="AD8" i="9" s="1"/>
  <c r="BK10" i="7" a="1"/>
  <c r="BK10" i="7" s="1"/>
  <c r="H10" i="7" s="1"/>
  <c r="T9" i="9"/>
  <c r="V9" i="9" s="1" a="1"/>
  <c r="V9" i="9" s="1"/>
  <c r="AD9" i="9" s="1"/>
  <c r="BK11" i="7" a="1"/>
  <c r="BK11" i="7" s="1"/>
  <c r="H11" i="7" s="1"/>
  <c r="T10" i="9"/>
  <c r="V10" i="9" s="1" a="1"/>
  <c r="V10" i="9" s="1"/>
  <c r="AD10" i="9" s="1"/>
  <c r="BK12" i="7" a="1"/>
  <c r="BK12" i="7" s="1"/>
  <c r="H12" i="7" s="1"/>
  <c r="T11" i="9"/>
  <c r="V11" i="9" s="1" a="1"/>
  <c r="V11" i="9" s="1"/>
  <c r="AD11" i="9" s="1"/>
  <c r="BK13" i="7" a="1"/>
  <c r="BK13" i="7" s="1"/>
  <c r="H13" i="7" s="1"/>
  <c r="T12" i="9"/>
  <c r="V12" i="9" s="1" a="1"/>
  <c r="V12" i="9" s="1"/>
  <c r="AD12" i="9" s="1"/>
  <c r="BK14" i="7" a="1"/>
  <c r="BK14" i="7" s="1"/>
  <c r="H14" i="7" s="1"/>
  <c r="T13" i="9"/>
  <c r="V13" i="9" s="1" a="1"/>
  <c r="V13" i="9" s="1"/>
  <c r="AD13" i="9" s="1"/>
  <c r="BK15" i="7" a="1"/>
  <c r="BK15" i="7" s="1"/>
  <c r="H15" i="7" s="1"/>
  <c r="T14" i="9"/>
  <c r="V14" i="9" s="1" a="1"/>
  <c r="V14" i="9" s="1"/>
  <c r="AD14" i="9" s="1"/>
  <c r="BK16" i="7" a="1"/>
  <c r="BK16" i="7" s="1"/>
  <c r="H16" i="7" s="1"/>
  <c r="T15" i="9"/>
  <c r="V15" i="9" s="1" a="1"/>
  <c r="V15" i="9" s="1"/>
  <c r="AD15" i="9" s="1"/>
  <c r="BK17" i="7" a="1"/>
  <c r="BK17" i="7" s="1"/>
  <c r="H17" i="7" s="1"/>
  <c r="T16" i="9"/>
  <c r="V16" i="9" s="1" a="1"/>
  <c r="V16" i="9" s="1"/>
  <c r="AD16" i="9" s="1"/>
  <c r="BK18" i="7" a="1"/>
  <c r="BK18" i="7" s="1"/>
  <c r="H18" i="7" s="1"/>
  <c r="T17" i="9"/>
  <c r="V17" i="9" s="1" a="1"/>
  <c r="V17" i="9" s="1"/>
  <c r="AD17" i="9" s="1"/>
  <c r="BK19" i="7" a="1"/>
  <c r="BK19" i="7" s="1"/>
  <c r="H19" i="7" s="1"/>
  <c r="T18" i="9"/>
  <c r="V18" i="9" s="1" a="1"/>
  <c r="V18" i="9" s="1"/>
  <c r="AD18" i="9" s="1"/>
  <c r="BK20" i="7" a="1"/>
  <c r="BK20" i="7" s="1"/>
  <c r="H20" i="7" s="1"/>
  <c r="T19" i="9"/>
  <c r="V19" i="9" s="1" a="1"/>
  <c r="V19" i="9" s="1"/>
  <c r="AD19" i="9" s="1"/>
  <c r="BK21" i="7" a="1"/>
  <c r="BK21" i="7" s="1"/>
  <c r="H21" i="7" s="1"/>
  <c r="T20" i="9"/>
  <c r="V20" i="9" s="1" a="1"/>
  <c r="V20" i="9" s="1"/>
  <c r="AD20" i="9" s="1"/>
  <c r="BK22" i="7" a="1"/>
  <c r="BK22" i="7" s="1"/>
  <c r="H22" i="7" s="1"/>
  <c r="T21" i="9"/>
  <c r="V21" i="9" s="1" a="1"/>
  <c r="V21" i="9" s="1"/>
  <c r="AD21" i="9" s="1"/>
  <c r="BK24" i="7" a="1"/>
  <c r="BK24" i="7" s="1"/>
  <c r="H24" i="7" s="1"/>
  <c r="T23" i="9"/>
  <c r="V23" i="9" s="1" a="1"/>
  <c r="V23" i="9" s="1"/>
  <c r="AD23" i="9" s="1"/>
  <c r="BK25" i="7" a="1"/>
  <c r="BK25" i="7" s="1"/>
  <c r="H25" i="7" s="1"/>
  <c r="T24" i="9"/>
  <c r="V24" i="9" s="1" a="1"/>
  <c r="V24" i="9" s="1"/>
  <c r="AD24" i="9" s="1"/>
  <c r="BK26" i="7" a="1"/>
  <c r="BK26" i="7" s="1"/>
  <c r="H26" i="7" s="1"/>
  <c r="T25" i="9"/>
  <c r="V25" i="9" s="1" a="1"/>
  <c r="V25" i="9" s="1"/>
  <c r="AD25" i="9" s="1"/>
  <c r="BK27" i="7" a="1"/>
  <c r="BK27" i="7" s="1"/>
  <c r="H27" i="7" s="1"/>
  <c r="T26" i="9"/>
  <c r="V26" i="9" s="1" a="1"/>
  <c r="V26" i="9" s="1"/>
  <c r="AD26" i="9" s="1"/>
  <c r="BK28" i="7" a="1"/>
  <c r="BK28" i="7" s="1"/>
  <c r="H28" i="7" s="1"/>
  <c r="T27" i="9"/>
  <c r="V27" i="9" s="1" a="1"/>
  <c r="V27" i="9" s="1"/>
  <c r="AD27" i="9" s="1"/>
  <c r="BK29" i="7" a="1"/>
  <c r="BK29" i="7" s="1"/>
  <c r="H29" i="7" s="1"/>
  <c r="T28" i="9"/>
  <c r="V28" i="9" s="1" a="1"/>
  <c r="V28" i="9" s="1"/>
  <c r="AD28" i="9" s="1"/>
  <c r="BK30" i="7" a="1"/>
  <c r="BK30" i="7" s="1"/>
  <c r="H30" i="7" s="1"/>
  <c r="T29" i="9"/>
  <c r="V29" i="9" s="1" a="1"/>
  <c r="V29" i="9" s="1"/>
  <c r="AD29" i="9" s="1"/>
  <c r="BK31" i="7" a="1"/>
  <c r="BK31" i="7" s="1"/>
  <c r="H31" i="7" s="1"/>
  <c r="T30" i="9"/>
  <c r="V30" i="9" s="1" a="1"/>
  <c r="V30" i="9" s="1"/>
  <c r="AD30" i="9" s="1"/>
  <c r="BK32" i="7" a="1"/>
  <c r="BK32" i="7" s="1"/>
  <c r="H32" i="7" s="1"/>
  <c r="T31" i="9"/>
  <c r="V31" i="9" s="1" a="1"/>
  <c r="V31" i="9" s="1"/>
  <c r="AD31" i="9" s="1"/>
  <c r="BK33" i="7" a="1"/>
  <c r="BK33" i="7" s="1"/>
  <c r="H33" i="7" s="1"/>
  <c r="T32" i="9"/>
  <c r="V32" i="9" s="1" a="1"/>
  <c r="V32" i="9" s="1"/>
  <c r="AD32" i="9" s="1"/>
  <c r="BK34" i="7" a="1"/>
  <c r="BK34" i="7" s="1"/>
  <c r="H34" i="7" s="1"/>
  <c r="T33" i="9"/>
  <c r="V33" i="9" s="1" a="1"/>
  <c r="V33" i="9" s="1"/>
  <c r="AD33" i="9" s="1"/>
  <c r="BK35" i="7" a="1"/>
  <c r="BK35" i="7" s="1"/>
  <c r="H35" i="7" s="1"/>
  <c r="T34" i="9"/>
  <c r="V34" i="9" s="1" a="1"/>
  <c r="V34" i="9" s="1"/>
  <c r="AD34" i="9" s="1"/>
  <c r="BK36" i="7" a="1"/>
  <c r="BK36" i="7" s="1"/>
  <c r="H36" i="7" s="1"/>
  <c r="T35" i="9"/>
  <c r="V35" i="9" s="1" a="1"/>
  <c r="V35" i="9" s="1"/>
  <c r="AD35" i="9" s="1"/>
  <c r="BK37" i="7" a="1"/>
  <c r="BK37" i="7" s="1"/>
  <c r="H37" i="7" s="1"/>
  <c r="T36" i="9"/>
  <c r="V36" i="9" s="1" a="1"/>
  <c r="V36" i="9" s="1"/>
  <c r="AD36" i="9" s="1"/>
  <c r="BK38" i="7" a="1"/>
  <c r="BK38" i="7" s="1"/>
  <c r="H38" i="7" s="1"/>
  <c r="T37" i="9"/>
  <c r="V37" i="9" s="1" a="1"/>
  <c r="V37" i="9" s="1"/>
  <c r="AD37" i="9" s="1"/>
  <c r="BK39" i="7" a="1"/>
  <c r="BK39" i="7" s="1"/>
  <c r="H39" i="7" s="1"/>
  <c r="T38" i="9"/>
  <c r="V38" i="9" s="1" a="1"/>
  <c r="V38" i="9" s="1"/>
  <c r="AD38" i="9" s="1"/>
  <c r="BK40" i="7" a="1"/>
  <c r="BK40" i="7" s="1"/>
  <c r="H40" i="7" s="1"/>
  <c r="T39" i="9"/>
  <c r="V39" i="9" s="1" a="1"/>
  <c r="V39" i="9" s="1"/>
  <c r="AD39" i="9" s="1"/>
  <c r="BK41" i="7" a="1"/>
  <c r="BK41" i="7" s="1"/>
  <c r="H41" i="7" s="1"/>
  <c r="T40" i="9"/>
  <c r="V40" i="9" s="1" a="1"/>
  <c r="V40" i="9" s="1"/>
  <c r="AD40" i="9" s="1"/>
  <c r="BK42" i="7" a="1"/>
  <c r="BK42" i="7" s="1"/>
  <c r="H42" i="7" s="1"/>
  <c r="T41" i="9"/>
  <c r="V41" i="9" s="1" a="1"/>
  <c r="V41" i="9" s="1"/>
  <c r="AD41" i="9" s="1"/>
  <c r="BK43" i="7" a="1"/>
  <c r="BK43" i="7" s="1"/>
  <c r="H43" i="7" s="1"/>
  <c r="T42" i="9"/>
  <c r="V42" i="9" s="1" a="1"/>
  <c r="V42" i="9" s="1"/>
  <c r="AD42" i="9" s="1"/>
  <c r="BK44" i="7" a="1"/>
  <c r="BK44" i="7" s="1"/>
  <c r="H44" i="7" s="1"/>
  <c r="T43" i="9"/>
  <c r="V43" i="9" s="1" a="1"/>
  <c r="V43" i="9" s="1"/>
  <c r="AD43" i="9" s="1"/>
  <c r="BK45" i="7" a="1"/>
  <c r="BK45" i="7" s="1"/>
  <c r="H45" i="7" s="1"/>
  <c r="T44" i="9"/>
  <c r="V44" i="9" s="1" a="1"/>
  <c r="V44" i="9" s="1"/>
  <c r="AD44" i="9" s="1"/>
  <c r="BK46" i="7" a="1"/>
  <c r="BK46" i="7" s="1"/>
  <c r="H46" i="7" s="1"/>
  <c r="T45" i="9"/>
  <c r="V45" i="9" s="1" a="1"/>
  <c r="V45" i="9" s="1"/>
  <c r="AD45" i="9" s="1"/>
  <c r="BK47" i="7" a="1"/>
  <c r="BK47" i="7" s="1"/>
  <c r="H47" i="7" s="1"/>
  <c r="T46" i="9"/>
  <c r="V46" i="9" s="1" a="1"/>
  <c r="V46" i="9" s="1"/>
  <c r="AD46" i="9" s="1"/>
  <c r="BK48" i="7" a="1"/>
  <c r="BK48" i="7" s="1"/>
  <c r="H48" i="7" s="1"/>
  <c r="T47" i="9"/>
  <c r="V47" i="9" s="1" a="1"/>
  <c r="V47" i="9" s="1"/>
  <c r="AD47" i="9" s="1"/>
  <c r="BK49" i="7" a="1"/>
  <c r="BK49" i="7" s="1"/>
  <c r="H49" i="7" s="1"/>
  <c r="T48" i="9"/>
  <c r="V48" i="9" s="1" a="1"/>
  <c r="V48" i="9" s="1"/>
  <c r="AD48" i="9" s="1"/>
  <c r="BK50" i="7" a="1"/>
  <c r="BK50" i="7" s="1"/>
  <c r="H50" i="7" s="1"/>
  <c r="T49" i="9"/>
  <c r="V49" i="9" s="1" a="1"/>
  <c r="V49" i="9" s="1"/>
  <c r="AD49" i="9" s="1"/>
  <c r="BK51" i="7" a="1"/>
  <c r="BK51" i="7" s="1"/>
  <c r="H51" i="7" s="1"/>
  <c r="T50" i="9"/>
  <c r="V50" i="9" s="1" a="1"/>
  <c r="V50" i="9" s="1"/>
  <c r="AD50" i="9" s="1"/>
  <c r="BK52" i="7" a="1"/>
  <c r="BK52" i="7" s="1"/>
  <c r="H52" i="7" s="1"/>
  <c r="T51" i="9"/>
  <c r="BK53" i="7" a="1"/>
  <c r="BK53" i="7" s="1"/>
  <c r="H53" i="7" s="1"/>
  <c r="T52" i="9"/>
  <c r="V52" i="9" s="1" a="1"/>
  <c r="V52" i="9" s="1"/>
  <c r="AD52" i="9" s="1"/>
  <c r="BK54" i="7" a="1"/>
  <c r="BK54" i="7" s="1"/>
  <c r="H54" i="7" s="1"/>
  <c r="T53" i="9"/>
  <c r="BK55" i="7" a="1"/>
  <c r="BK55" i="7" s="1"/>
  <c r="H55" i="7" s="1"/>
  <c r="T54" i="9"/>
  <c r="BK56" i="7" a="1"/>
  <c r="BK56" i="7" s="1"/>
  <c r="H56" i="7" s="1"/>
  <c r="T55" i="9"/>
  <c r="V55" i="9" s="1" a="1"/>
  <c r="V55" i="9" s="1"/>
  <c r="AD55" i="9" s="1"/>
  <c r="BK57" i="7" a="1"/>
  <c r="BK57" i="7" s="1"/>
  <c r="H57" i="7" s="1"/>
  <c r="T56" i="9"/>
  <c r="BK58" i="7" a="1"/>
  <c r="BK58" i="7" s="1"/>
  <c r="H58" i="7" s="1"/>
  <c r="T57" i="9"/>
  <c r="BK59" i="7" a="1"/>
  <c r="BK59" i="7" s="1"/>
  <c r="H59" i="7" s="1"/>
  <c r="T58" i="9"/>
  <c r="BK60" i="7" a="1"/>
  <c r="BK60" i="7" s="1"/>
  <c r="H60" i="7" s="1"/>
  <c r="T59" i="9"/>
  <c r="BK61" i="7" a="1"/>
  <c r="BK61" i="7" s="1"/>
  <c r="H61" i="7" s="1"/>
  <c r="T60" i="9"/>
  <c r="BK62" i="7" a="1"/>
  <c r="BK62" i="7" s="1"/>
  <c r="H62" i="7" s="1"/>
  <c r="T61" i="9"/>
  <c r="BK63" i="7" a="1"/>
  <c r="BK63" i="7" s="1"/>
  <c r="H63" i="7" s="1"/>
  <c r="T62" i="9"/>
  <c r="V62" i="9" s="1" a="1"/>
  <c r="V62" i="9" s="1"/>
  <c r="AD62" i="9" s="1"/>
  <c r="BK64" i="7" a="1"/>
  <c r="BK64" i="7" s="1"/>
  <c r="H64" i="7" s="1"/>
  <c r="T63" i="9"/>
  <c r="V63" i="9" s="1" a="1"/>
  <c r="V63" i="9" s="1"/>
  <c r="AD63" i="9" s="1"/>
  <c r="BK65" i="7" a="1"/>
  <c r="BK65" i="7" s="1"/>
  <c r="H65" i="7" s="1"/>
  <c r="T64" i="9"/>
  <c r="V64" i="9" s="1" a="1"/>
  <c r="V64" i="9" s="1"/>
  <c r="AD64" i="9" s="1"/>
  <c r="BK66" i="7" a="1"/>
  <c r="BK66" i="7" s="1"/>
  <c r="H66" i="7" s="1"/>
  <c r="T65" i="9"/>
  <c r="V65" i="9" s="1" a="1"/>
  <c r="V65" i="9" s="1"/>
  <c r="AD65" i="9" s="1"/>
  <c r="BK67" i="7" a="1"/>
  <c r="BK67" i="7" s="1"/>
  <c r="H67" i="7" s="1"/>
  <c r="T66" i="9"/>
  <c r="V66" i="9" s="1" a="1"/>
  <c r="V66" i="9" s="1"/>
  <c r="AD66" i="9" s="1"/>
  <c r="BK68" i="7" a="1"/>
  <c r="BK68" i="7" s="1"/>
  <c r="H68" i="7" s="1"/>
  <c r="T67" i="9"/>
  <c r="V67" i="9" s="1" a="1"/>
  <c r="V67" i="9" s="1"/>
  <c r="AD67" i="9" s="1"/>
  <c r="BK69" i="7" a="1"/>
  <c r="BK69" i="7" s="1"/>
  <c r="H69" i="7" s="1"/>
  <c r="T68" i="9"/>
  <c r="V68" i="9" s="1" a="1"/>
  <c r="V68" i="9" s="1"/>
  <c r="AD68" i="9" s="1"/>
  <c r="BK70" i="7" a="1"/>
  <c r="BK70" i="7" s="1"/>
  <c r="H70" i="7" s="1"/>
  <c r="T69" i="9"/>
  <c r="V69" i="9" s="1" a="1"/>
  <c r="V69" i="9" s="1"/>
  <c r="AD69" i="9" s="1"/>
  <c r="BK71" i="7" a="1"/>
  <c r="BK71" i="7" s="1"/>
  <c r="H71" i="7" s="1"/>
  <c r="T70" i="9"/>
  <c r="V70" i="9" s="1" a="1"/>
  <c r="V70" i="9" s="1"/>
  <c r="AD70" i="9" s="1"/>
  <c r="BK72" i="7" a="1"/>
  <c r="BK72" i="7" s="1"/>
  <c r="H72" i="7" s="1"/>
  <c r="T71" i="9"/>
  <c r="V71" i="9" s="1" a="1"/>
  <c r="V71" i="9" s="1"/>
  <c r="AD71" i="9" s="1"/>
  <c r="BK73" i="7" a="1"/>
  <c r="BK73" i="7" s="1"/>
  <c r="H73" i="7" s="1"/>
  <c r="T72" i="9"/>
  <c r="V72" i="9" s="1" a="1"/>
  <c r="V72" i="9" s="1"/>
  <c r="AD72" i="9" s="1"/>
  <c r="BK74" i="7" a="1"/>
  <c r="BK74" i="7" s="1"/>
  <c r="H74" i="7" s="1"/>
  <c r="T73" i="9"/>
  <c r="V73" i="9" s="1" a="1"/>
  <c r="V73" i="9" s="1"/>
  <c r="AD73" i="9" s="1"/>
  <c r="BK75" i="7" a="1"/>
  <c r="BK75" i="7" s="1"/>
  <c r="H75" i="7" s="1"/>
  <c r="T74" i="9"/>
  <c r="BK76" i="7" a="1"/>
  <c r="BK76" i="7" s="1"/>
  <c r="H76" i="7" s="1"/>
  <c r="T75" i="9"/>
  <c r="BK77" i="7" a="1"/>
  <c r="BK77" i="7" s="1"/>
  <c r="H77" i="7" s="1"/>
  <c r="T76" i="9"/>
  <c r="BK79" i="7" a="1"/>
  <c r="BK79" i="7" s="1"/>
  <c r="H79" i="7" s="1"/>
  <c r="T78" i="9"/>
  <c r="BK80" i="7" a="1"/>
  <c r="BK80" i="7" s="1"/>
  <c r="H80" i="7" s="1"/>
  <c r="T79" i="9"/>
  <c r="BK81" i="7" a="1"/>
  <c r="BK81" i="7" s="1"/>
  <c r="H81" i="7" s="1"/>
  <c r="T80" i="9"/>
  <c r="BK82" i="7" a="1"/>
  <c r="BK82" i="7" s="1"/>
  <c r="H82" i="7" s="1"/>
  <c r="T81" i="9"/>
  <c r="BK83" i="7" a="1"/>
  <c r="BK83" i="7" s="1"/>
  <c r="H83" i="7" s="1"/>
  <c r="T82" i="9"/>
  <c r="BK84" i="7" a="1"/>
  <c r="BK84" i="7" s="1"/>
  <c r="H84" i="7" s="1"/>
  <c r="T83" i="9"/>
  <c r="BK85" i="7" a="1"/>
  <c r="BK85" i="7" s="1"/>
  <c r="H85" i="7" s="1"/>
  <c r="T84" i="9"/>
  <c r="BK86" i="7" a="1"/>
  <c r="BK86" i="7" s="1"/>
  <c r="H86" i="7" s="1"/>
  <c r="T85" i="9"/>
  <c r="BK87" i="7" a="1"/>
  <c r="BK87" i="7" s="1"/>
  <c r="H87" i="7" s="1"/>
  <c r="T86" i="9"/>
  <c r="V86" i="9" s="1" a="1"/>
  <c r="V86" i="9" s="1"/>
  <c r="AD86" i="9" s="1"/>
  <c r="BK88" i="7" a="1"/>
  <c r="BK88" i="7" s="1"/>
  <c r="H88" i="7" s="1"/>
  <c r="T87" i="9"/>
  <c r="V87" i="9" s="1" a="1"/>
  <c r="V87" i="9" s="1"/>
  <c r="AD87" i="9" s="1"/>
  <c r="BK89" i="7" a="1"/>
  <c r="BK89" i="7" s="1"/>
  <c r="H89" i="7" s="1"/>
  <c r="T88" i="9"/>
  <c r="V88" i="9" s="1" a="1"/>
  <c r="V88" i="9" s="1"/>
  <c r="AD88" i="9" s="1"/>
  <c r="BK90" i="7" a="1"/>
  <c r="BK90" i="7" s="1"/>
  <c r="H90" i="7" s="1"/>
  <c r="T89" i="9"/>
  <c r="V89" i="9" s="1" a="1"/>
  <c r="V89" i="9" s="1"/>
  <c r="AD89" i="9" s="1"/>
  <c r="BK91" i="7" a="1"/>
  <c r="BK91" i="7" s="1"/>
  <c r="H91" i="7" s="1"/>
  <c r="T90" i="9"/>
  <c r="V90" i="9" s="1" a="1"/>
  <c r="V90" i="9" s="1"/>
  <c r="AD90" i="9" s="1"/>
  <c r="BK92" i="7" a="1"/>
  <c r="BK92" i="7" s="1"/>
  <c r="H92" i="7" s="1"/>
  <c r="T91" i="9"/>
  <c r="V91" i="9" s="1" a="1"/>
  <c r="V91" i="9" s="1"/>
  <c r="AD91" i="9" s="1"/>
  <c r="BK94" i="7" a="1"/>
  <c r="BK94" i="7" s="1"/>
  <c r="H94" i="7" s="1"/>
  <c r="T93" i="9"/>
  <c r="V93" i="9" s="1" a="1"/>
  <c r="V93" i="9" s="1"/>
  <c r="AD93" i="9" s="1"/>
  <c r="BK95" i="7" a="1"/>
  <c r="BK95" i="7" s="1"/>
  <c r="H95" i="7" s="1"/>
  <c r="T94" i="9"/>
  <c r="BK96" i="7" a="1"/>
  <c r="BK96" i="7" s="1"/>
  <c r="H96" i="7" s="1"/>
  <c r="T95" i="9"/>
  <c r="BK97" i="7" a="1"/>
  <c r="BK97" i="7" s="1"/>
  <c r="H97" i="7" s="1"/>
  <c r="T96" i="9"/>
  <c r="V96" i="9" s="1" a="1"/>
  <c r="V96" i="9" s="1"/>
  <c r="AD96" i="9" s="1"/>
  <c r="BK98" i="7" a="1"/>
  <c r="BK98" i="7" s="1"/>
  <c r="H98" i="7" s="1"/>
  <c r="T97" i="9"/>
  <c r="BK99" i="7" a="1"/>
  <c r="BK99" i="7" s="1"/>
  <c r="H99" i="7" s="1"/>
  <c r="T98" i="9"/>
  <c r="BK100" i="7" a="1"/>
  <c r="BK100" i="7" s="1"/>
  <c r="H100" i="7" s="1"/>
  <c r="T99" i="9"/>
  <c r="BK101" i="7" a="1"/>
  <c r="BK101" i="7" s="1"/>
  <c r="H101" i="7" s="1"/>
  <c r="T100" i="9"/>
  <c r="BK102" i="7" a="1"/>
  <c r="BK102" i="7" s="1"/>
  <c r="H102" i="7" s="1"/>
  <c r="T101" i="9"/>
  <c r="BK103" i="7" a="1"/>
  <c r="BK103" i="7" s="1"/>
  <c r="H103" i="7" s="1"/>
  <c r="T102" i="9"/>
  <c r="BK104" i="7" a="1"/>
  <c r="BK104" i="7" s="1"/>
  <c r="H104" i="7" s="1"/>
  <c r="T103" i="9"/>
  <c r="BK105" i="7" a="1"/>
  <c r="BK105" i="7" s="1"/>
  <c r="H105" i="7" s="1"/>
  <c r="T104" i="9"/>
  <c r="BK106" i="7" a="1"/>
  <c r="BK106" i="7" s="1"/>
  <c r="H106" i="7" s="1"/>
  <c r="T105" i="9"/>
  <c r="BK107" i="7" a="1"/>
  <c r="BK107" i="7" s="1"/>
  <c r="H107" i="7" s="1"/>
  <c r="T106" i="9"/>
  <c r="BK108" i="7" a="1"/>
  <c r="BK108" i="7" s="1"/>
  <c r="H108" i="7" s="1"/>
  <c r="T107" i="9"/>
  <c r="BK109" i="7" a="1"/>
  <c r="BK109" i="7" s="1"/>
  <c r="H109" i="7" s="1"/>
  <c r="T108" i="9"/>
  <c r="BK111" i="7" a="1"/>
  <c r="BK111" i="7" s="1"/>
  <c r="H111" i="7" s="1"/>
  <c r="T110" i="9"/>
  <c r="BK112" i="7" a="1"/>
  <c r="BK112" i="7" s="1"/>
  <c r="H112" i="7" s="1"/>
  <c r="T111" i="9"/>
  <c r="V111" i="9" s="1" a="1"/>
  <c r="V111" i="9" s="1"/>
  <c r="AD111" i="9" s="1"/>
  <c r="BK113" i="7" a="1"/>
  <c r="BK113" i="7" s="1"/>
  <c r="H113" i="7" s="1"/>
  <c r="T112" i="9"/>
  <c r="V112" i="9" s="1" a="1"/>
  <c r="V112" i="9" s="1"/>
  <c r="AD112" i="9" s="1"/>
  <c r="BK114" i="7" a="1"/>
  <c r="BK114" i="7" s="1"/>
  <c r="H114" i="7" s="1"/>
  <c r="T113" i="9"/>
  <c r="BK115" i="7" a="1"/>
  <c r="BK115" i="7" s="1"/>
  <c r="H115" i="7" s="1"/>
  <c r="T114" i="9"/>
  <c r="BK116" i="7" a="1"/>
  <c r="BK116" i="7" s="1"/>
  <c r="H116" i="7" s="1"/>
  <c r="T115" i="9"/>
  <c r="BK117" i="7" a="1"/>
  <c r="BK117" i="7" s="1"/>
  <c r="H117" i="7" s="1"/>
  <c r="T116" i="9"/>
  <c r="BK118" i="7" a="1"/>
  <c r="BK118" i="7" s="1"/>
  <c r="H118" i="7" s="1"/>
  <c r="T117" i="9"/>
  <c r="BK119" i="7" a="1"/>
  <c r="BK119" i="7" s="1"/>
  <c r="H119" i="7" s="1"/>
  <c r="T118" i="9"/>
  <c r="V118" i="9" s="1" a="1"/>
  <c r="V118" i="9" s="1"/>
  <c r="AD118" i="9" s="1"/>
  <c r="BK120" i="7" a="1"/>
  <c r="BK120" i="7" s="1"/>
  <c r="H120" i="7" s="1"/>
  <c r="T119" i="9"/>
  <c r="BK121" i="7" a="1"/>
  <c r="BK121" i="7" s="1"/>
  <c r="H121" i="7" s="1"/>
  <c r="T120" i="9"/>
  <c r="V120" i="9" s="1" a="1"/>
  <c r="V120" i="9" s="1"/>
  <c r="AD120" i="9" s="1"/>
  <c r="BK122" i="7" a="1"/>
  <c r="BK122" i="7" s="1"/>
  <c r="H122" i="7" s="1"/>
  <c r="T121" i="9"/>
  <c r="BK123" i="7" a="1"/>
  <c r="BK123" i="7" s="1"/>
  <c r="H123" i="7" s="1"/>
  <c r="T122" i="9"/>
  <c r="BK124" i="7" a="1"/>
  <c r="BK124" i="7" s="1"/>
  <c r="H124" i="7" s="1"/>
  <c r="T123" i="9"/>
  <c r="V123" i="9" s="1" a="1"/>
  <c r="V123" i="9" s="1"/>
  <c r="AD123" i="9" s="1"/>
  <c r="BK125" i="7" a="1"/>
  <c r="BK125" i="7" s="1"/>
  <c r="H125" i="7" s="1"/>
  <c r="T124" i="9"/>
  <c r="BK126" i="7" a="1"/>
  <c r="BK126" i="7" s="1"/>
  <c r="H126" i="7" s="1"/>
  <c r="T125" i="9"/>
  <c r="V125" i="9" s="1" a="1"/>
  <c r="V125" i="9" s="1"/>
  <c r="AD125" i="9" s="1"/>
  <c r="BK127" i="7" a="1"/>
  <c r="BK127" i="7" s="1"/>
  <c r="H127" i="7" s="1"/>
  <c r="T126" i="9"/>
  <c r="BK128" i="7" a="1"/>
  <c r="BK128" i="7" s="1"/>
  <c r="H128" i="7" s="1"/>
  <c r="T127" i="9"/>
  <c r="V127" i="9" s="1" a="1"/>
  <c r="V127" i="9" s="1"/>
  <c r="AD127" i="9" s="1"/>
  <c r="BK129" i="7" a="1"/>
  <c r="BK129" i="7" s="1"/>
  <c r="H129" i="7" s="1"/>
  <c r="T128" i="9"/>
  <c r="BK130" i="7" a="1"/>
  <c r="BK130" i="7" s="1"/>
  <c r="H130" i="7" s="1"/>
  <c r="T129" i="9"/>
  <c r="V129" i="9" s="1" a="1"/>
  <c r="V129" i="9" s="1"/>
  <c r="AD129" i="9" s="1"/>
  <c r="BK131" i="7" a="1"/>
  <c r="BK131" i="7" s="1"/>
  <c r="H131" i="7" s="1"/>
  <c r="T130" i="9"/>
  <c r="BK132" i="7" a="1"/>
  <c r="BK132" i="7" s="1"/>
  <c r="H132" i="7" s="1"/>
  <c r="T131" i="9"/>
  <c r="V131" i="9" s="1" a="1"/>
  <c r="V131" i="9" s="1"/>
  <c r="AD131" i="9" s="1"/>
  <c r="BK133" i="7" a="1"/>
  <c r="BK133" i="7" s="1"/>
  <c r="H133" i="7" s="1"/>
  <c r="T132" i="9"/>
  <c r="V132" i="9" s="1" a="1"/>
  <c r="V132" i="9" s="1"/>
  <c r="AD132" i="9" s="1"/>
  <c r="BK134" i="7" a="1"/>
  <c r="BK134" i="7" s="1"/>
  <c r="H134" i="7" s="1"/>
  <c r="T133" i="9"/>
  <c r="V133" i="9" s="1" a="1"/>
  <c r="V133" i="9" s="1"/>
  <c r="AD133" i="9" s="1"/>
  <c r="BK135" i="7" a="1"/>
  <c r="BK135" i="7" s="1"/>
  <c r="H135" i="7" s="1"/>
  <c r="T134" i="9"/>
  <c r="V134" i="9" s="1" a="1"/>
  <c r="V134" i="9" s="1"/>
  <c r="AD134" i="9" s="1"/>
  <c r="BK136" i="7" a="1"/>
  <c r="BK136" i="7" s="1"/>
  <c r="H136" i="7" s="1"/>
  <c r="T135" i="9"/>
  <c r="V135" i="9" s="1" a="1"/>
  <c r="V135" i="9" s="1"/>
  <c r="AD135" i="9" s="1"/>
  <c r="BK137" i="7" a="1"/>
  <c r="BK137" i="7" s="1"/>
  <c r="H137" i="7" s="1"/>
  <c r="T136" i="9"/>
  <c r="BK138" i="7" a="1"/>
  <c r="BK138" i="7" s="1"/>
  <c r="H138" i="7" s="1"/>
  <c r="T137" i="9"/>
  <c r="BK139" i="7" a="1"/>
  <c r="BK139" i="7" s="1"/>
  <c r="H139" i="7" s="1"/>
  <c r="T138" i="9"/>
  <c r="BK140" i="7" a="1"/>
  <c r="BK140" i="7" s="1"/>
  <c r="H140" i="7" s="1"/>
  <c r="T139" i="9"/>
  <c r="BK141" i="7" a="1"/>
  <c r="BK141" i="7" s="1"/>
  <c r="H141" i="7" s="1"/>
  <c r="T140" i="9"/>
  <c r="V140" i="9" s="1" a="1"/>
  <c r="V140" i="9" s="1"/>
  <c r="AD140" i="9" s="1"/>
  <c r="BK142" i="7" a="1"/>
  <c r="BK142" i="7" s="1"/>
  <c r="H142" i="7" s="1"/>
  <c r="T141" i="9"/>
  <c r="V141" i="9" s="1" a="1"/>
  <c r="V141" i="9" s="1"/>
  <c r="AD141" i="9" s="1"/>
  <c r="BK143" i="7" a="1"/>
  <c r="BK143" i="7" s="1"/>
  <c r="H143" i="7" s="1"/>
  <c r="T142" i="9"/>
  <c r="BK144" i="7" a="1"/>
  <c r="BK144" i="7" s="1"/>
  <c r="H144" i="7" s="1"/>
  <c r="T143" i="9"/>
  <c r="V143" i="9" s="1" a="1"/>
  <c r="V143" i="9" s="1"/>
  <c r="AD143" i="9" s="1"/>
  <c r="BK145" i="7" a="1"/>
  <c r="BK145" i="7" s="1"/>
  <c r="H145" i="7" s="1"/>
  <c r="T144" i="9"/>
  <c r="BK146" i="7" a="1"/>
  <c r="BK146" i="7" s="1"/>
  <c r="H146" i="7" s="1"/>
  <c r="T145" i="9"/>
  <c r="BK147" i="7" a="1"/>
  <c r="BK147" i="7" s="1"/>
  <c r="H147" i="7" s="1"/>
  <c r="T146" i="9"/>
  <c r="BK149" i="7" a="1"/>
  <c r="BK149" i="7" s="1"/>
  <c r="H149" i="7" s="1"/>
  <c r="T148" i="9"/>
  <c r="BK151" i="7" a="1"/>
  <c r="BK151" i="7" s="1"/>
  <c r="H151" i="7" s="1"/>
  <c r="T150" i="9"/>
  <c r="BK152" i="7" a="1"/>
  <c r="BK152" i="7" s="1"/>
  <c r="H152" i="7" s="1"/>
  <c r="T151" i="9"/>
  <c r="BK153" i="7" a="1"/>
  <c r="BK153" i="7" s="1"/>
  <c r="H153" i="7" s="1"/>
  <c r="T152" i="9"/>
  <c r="BK154" i="7" a="1"/>
  <c r="BK154" i="7" s="1"/>
  <c r="H154" i="7" s="1"/>
  <c r="T153" i="9"/>
  <c r="AB153" i="9" s="1"/>
  <c r="BK156" i="7" a="1"/>
  <c r="BK156" i="7" s="1"/>
  <c r="H156" i="7" s="1"/>
  <c r="T155" i="9"/>
  <c r="BK157" i="7" a="1"/>
  <c r="BK157" i="7" s="1"/>
  <c r="H157" i="7" s="1"/>
  <c r="T156" i="9"/>
  <c r="BK158" i="7" a="1"/>
  <c r="BK158" i="7" s="1"/>
  <c r="H158" i="7" s="1"/>
  <c r="T157" i="9"/>
  <c r="BK159" i="7" a="1"/>
  <c r="BK159" i="7" s="1"/>
  <c r="H159" i="7" s="1"/>
  <c r="T158" i="9"/>
  <c r="BK160" i="7" a="1"/>
  <c r="BK160" i="7" s="1"/>
  <c r="H160" i="7" s="1"/>
  <c r="T159" i="9"/>
  <c r="BK161" i="7" a="1"/>
  <c r="BK161" i="7" s="1"/>
  <c r="H161" i="7" s="1"/>
  <c r="T160" i="9"/>
  <c r="BK162" i="7" a="1"/>
  <c r="BK162" i="7" s="1"/>
  <c r="H162" i="7" s="1"/>
  <c r="T161" i="9"/>
  <c r="V161" i="9" s="1" a="1"/>
  <c r="V161" i="9" s="1"/>
  <c r="AD161" i="9" s="1"/>
  <c r="BK163" i="7" a="1"/>
  <c r="BK163" i="7" s="1"/>
  <c r="H163" i="7" s="1"/>
  <c r="T162" i="9"/>
  <c r="AB162" i="9" s="1"/>
  <c r="BK164" i="7" a="1"/>
  <c r="BK164" i="7" s="1"/>
  <c r="H164" i="7" s="1"/>
  <c r="T163" i="9"/>
  <c r="BK166" i="7" a="1"/>
  <c r="BK166" i="7" s="1"/>
  <c r="H166" i="7" s="1"/>
  <c r="T165" i="9"/>
  <c r="AB165" i="9" s="1"/>
  <c r="BK167" i="7" a="1"/>
  <c r="BK167" i="7" s="1"/>
  <c r="H167" i="7" s="1"/>
  <c r="T166" i="9"/>
  <c r="BK169" i="7" a="1"/>
  <c r="BK169" i="7" s="1"/>
  <c r="H169" i="7" s="1"/>
  <c r="T168" i="9"/>
  <c r="BK170" i="7" a="1"/>
  <c r="BK170" i="7" s="1"/>
  <c r="H170" i="7" s="1"/>
  <c r="T169" i="9"/>
  <c r="BK171" i="7" a="1"/>
  <c r="BK171" i="7" s="1"/>
  <c r="H171" i="7" s="1"/>
  <c r="T170" i="9"/>
  <c r="BK172" i="7" a="1"/>
  <c r="BK172" i="7" s="1"/>
  <c r="H172" i="7" s="1"/>
  <c r="T171" i="9"/>
  <c r="BK173" i="7" a="1"/>
  <c r="BK173" i="7" s="1"/>
  <c r="H173" i="7" s="1"/>
  <c r="T172" i="9"/>
  <c r="BK175" i="7" a="1"/>
  <c r="BK175" i="7" s="1"/>
  <c r="H175" i="7" s="1"/>
  <c r="T174" i="9"/>
  <c r="BK176" i="7" a="1"/>
  <c r="BK176" i="7" s="1"/>
  <c r="H176" i="7" s="1"/>
  <c r="T175" i="9"/>
  <c r="BK177" i="7" a="1"/>
  <c r="BK177" i="7" s="1"/>
  <c r="H177" i="7" s="1"/>
  <c r="T176" i="9"/>
  <c r="BK178" i="7" a="1"/>
  <c r="BK178" i="7" s="1"/>
  <c r="H178" i="7" s="1"/>
  <c r="T177" i="9"/>
  <c r="AB177" i="9" s="1"/>
  <c r="BK179" i="7" a="1"/>
  <c r="BK179" i="7" s="1"/>
  <c r="H179" i="7" s="1"/>
  <c r="T178" i="9"/>
  <c r="AB178" i="9" s="1"/>
  <c r="BK180" i="7" a="1"/>
  <c r="BK180" i="7" s="1"/>
  <c r="H180" i="7" s="1"/>
  <c r="T179" i="9"/>
  <c r="BK181" i="7" a="1"/>
  <c r="BK181" i="7" s="1"/>
  <c r="H181" i="7" s="1"/>
  <c r="T180" i="9"/>
  <c r="BK182" i="7" a="1"/>
  <c r="BK182" i="7" s="1"/>
  <c r="H182" i="7" s="1"/>
  <c r="T181" i="9"/>
  <c r="BK183" i="7" a="1"/>
  <c r="BK183" i="7" s="1"/>
  <c r="H183" i="7" s="1"/>
  <c r="T182" i="9"/>
  <c r="BK184" i="7" a="1"/>
  <c r="BK184" i="7" s="1"/>
  <c r="H184" i="7" s="1"/>
  <c r="T183" i="9"/>
  <c r="BK186" i="7" a="1"/>
  <c r="BK186" i="7" s="1"/>
  <c r="H186" i="7" s="1"/>
  <c r="T185" i="9"/>
  <c r="BK188" i="7" a="1"/>
  <c r="BK188" i="7" s="1"/>
  <c r="H188" i="7" s="1"/>
  <c r="T187" i="9"/>
  <c r="BK189" i="7" a="1"/>
  <c r="BK189" i="7" s="1"/>
  <c r="H189" i="7" s="1"/>
  <c r="T188" i="9"/>
  <c r="BK190" i="7" a="1"/>
  <c r="BK190" i="7" s="1"/>
  <c r="H190" i="7" s="1"/>
  <c r="T189" i="9"/>
  <c r="AB189" i="9" s="1"/>
  <c r="BK192" i="7" a="1"/>
  <c r="BK192" i="7" s="1"/>
  <c r="H192" i="7" s="1"/>
  <c r="T191" i="9"/>
  <c r="BK193" i="7" a="1"/>
  <c r="BK193" i="7" s="1"/>
  <c r="H193" i="7" s="1"/>
  <c r="T192" i="9"/>
  <c r="AB192" i="9" s="1"/>
  <c r="BK194" i="7" a="1"/>
  <c r="BK194" i="7" s="1"/>
  <c r="H194" i="7" s="1"/>
  <c r="T193" i="9"/>
  <c r="BK195" i="7" a="1"/>
  <c r="BK195" i="7" s="1"/>
  <c r="H195" i="7" s="1"/>
  <c r="T194" i="9"/>
  <c r="BK196" i="7" a="1"/>
  <c r="BK196" i="7" s="1"/>
  <c r="H196" i="7" s="1"/>
  <c r="T195" i="9"/>
  <c r="BK197" i="7" a="1"/>
  <c r="BK197" i="7" s="1"/>
  <c r="H197" i="7" s="1"/>
  <c r="T196" i="9"/>
  <c r="BK198" i="7" a="1"/>
  <c r="BK198" i="7" s="1"/>
  <c r="H198" i="7" s="1"/>
  <c r="T197" i="9"/>
  <c r="BK199" i="7" a="1"/>
  <c r="BK199" i="7" s="1"/>
  <c r="H199" i="7" s="1"/>
  <c r="T198" i="9"/>
  <c r="BK200" i="7" a="1"/>
  <c r="BK200" i="7" s="1"/>
  <c r="H200" i="7" s="1"/>
  <c r="T199" i="9"/>
  <c r="BK202" i="7" a="1"/>
  <c r="BK202" i="7" s="1"/>
  <c r="H202" i="7" s="1"/>
  <c r="T201" i="9"/>
  <c r="BK203" i="7" a="1"/>
  <c r="BK203" i="7" s="1"/>
  <c r="H203" i="7" s="1"/>
  <c r="T202" i="9"/>
  <c r="AB202" i="9" s="1"/>
  <c r="BK205" i="7" a="1"/>
  <c r="BK205" i="7" s="1"/>
  <c r="H205" i="7" s="1"/>
  <c r="T204" i="9"/>
  <c r="BK206" i="7" a="1"/>
  <c r="BK206" i="7" s="1"/>
  <c r="H206" i="7" s="1"/>
  <c r="T205" i="9"/>
  <c r="BK207" i="7" a="1"/>
  <c r="BK207" i="7" s="1"/>
  <c r="H207" i="7" s="1"/>
  <c r="T206" i="9"/>
  <c r="BK208" i="7" a="1"/>
  <c r="BK208" i="7" s="1"/>
  <c r="H208" i="7" s="1"/>
  <c r="T207" i="9"/>
  <c r="BK209" i="7" a="1"/>
  <c r="BK209" i="7" s="1"/>
  <c r="H209" i="7" s="1"/>
  <c r="T208" i="9"/>
  <c r="BK211" i="7" a="1"/>
  <c r="BK211" i="7" s="1"/>
  <c r="H211" i="7" s="1"/>
  <c r="T210" i="9"/>
  <c r="AB210" i="9" s="1"/>
  <c r="BK212" i="7" a="1"/>
  <c r="BK212" i="7" s="1"/>
  <c r="H212" i="7" s="1"/>
  <c r="T211" i="9"/>
  <c r="BK213" i="7" a="1"/>
  <c r="BK213" i="7" s="1"/>
  <c r="H213" i="7" s="1"/>
  <c r="T212" i="9"/>
  <c r="AB212" i="9" s="1"/>
  <c r="BK214" i="7" a="1"/>
  <c r="BK214" i="7" s="1"/>
  <c r="H214" i="7" s="1"/>
  <c r="T213" i="9"/>
  <c r="BK215" i="7" a="1"/>
  <c r="BK215" i="7" s="1"/>
  <c r="H215" i="7" s="1"/>
  <c r="T214" i="9"/>
  <c r="AB214" i="9" s="1"/>
  <c r="BK216" i="7" a="1"/>
  <c r="BK216" i="7" s="1"/>
  <c r="H216" i="7" s="1"/>
  <c r="T215" i="9"/>
  <c r="AB215" i="9" s="1"/>
  <c r="BK217" i="7" a="1"/>
  <c r="BK217" i="7" s="1"/>
  <c r="H217" i="7" s="1"/>
  <c r="T216" i="9"/>
  <c r="AB216" i="9" s="1"/>
  <c r="BK218" i="7" a="1"/>
  <c r="BK218" i="7" s="1"/>
  <c r="H218" i="7" s="1"/>
  <c r="T217" i="9"/>
  <c r="AB217" i="9" s="1"/>
  <c r="BK219" i="7" a="1"/>
  <c r="BK219" i="7" s="1"/>
  <c r="H219" i="7" s="1"/>
  <c r="T218" i="9"/>
  <c r="BK220" i="7" a="1"/>
  <c r="BK220" i="7" s="1"/>
  <c r="H220" i="7" s="1"/>
  <c r="T219" i="9"/>
  <c r="BK222" i="7" a="1"/>
  <c r="BK222" i="7" s="1"/>
  <c r="H222" i="7" s="1"/>
  <c r="T221" i="9"/>
  <c r="BK224" i="7" a="1"/>
  <c r="BK224" i="7" s="1"/>
  <c r="H224" i="7" s="1"/>
  <c r="T223" i="9"/>
  <c r="BK225" i="7" a="1"/>
  <c r="BK225" i="7" s="1"/>
  <c r="H225" i="7" s="1"/>
  <c r="T224" i="9"/>
  <c r="AB224" i="9" s="1"/>
  <c r="BK226" i="7" a="1"/>
  <c r="BK226" i="7" s="1"/>
  <c r="H226" i="7" s="1"/>
  <c r="T225" i="9"/>
  <c r="AB225" i="9" s="1"/>
  <c r="BK228" i="7" a="1"/>
  <c r="BK228" i="7" s="1"/>
  <c r="H228" i="7" s="1"/>
  <c r="T227" i="9"/>
  <c r="AB227" i="9" s="1"/>
  <c r="BK229" i="7" a="1"/>
  <c r="BK229" i="7" s="1"/>
  <c r="H229" i="7" s="1"/>
  <c r="T228" i="9"/>
  <c r="BK230" i="7" a="1"/>
  <c r="BK230" i="7" s="1"/>
  <c r="H230" i="7" s="1"/>
  <c r="T229" i="9"/>
  <c r="BK231" i="7" a="1"/>
  <c r="BK231" i="7" s="1"/>
  <c r="H231" i="7" s="1"/>
  <c r="T230" i="9"/>
  <c r="BK232" i="7" a="1"/>
  <c r="BK232" i="7" s="1"/>
  <c r="H232" i="7" s="1"/>
  <c r="T231" i="9"/>
  <c r="BK233" i="7" a="1"/>
  <c r="BK233" i="7" s="1"/>
  <c r="H233" i="7" s="1"/>
  <c r="T232" i="9"/>
  <c r="BK234" i="7" a="1"/>
  <c r="BK234" i="7" s="1"/>
  <c r="H234" i="7" s="1"/>
  <c r="T233" i="9"/>
  <c r="BK235" i="7" a="1"/>
  <c r="BK235" i="7" s="1"/>
  <c r="H235" i="7" s="1"/>
  <c r="T234" i="9"/>
  <c r="BK236" i="7" a="1"/>
  <c r="BK236" i="7" s="1"/>
  <c r="H236" i="7" s="1"/>
  <c r="T235" i="9"/>
  <c r="BK238" i="7" a="1"/>
  <c r="BK238" i="7" s="1"/>
  <c r="H238" i="7" s="1"/>
  <c r="T237" i="9"/>
  <c r="AB237" i="9" s="1"/>
  <c r="BK239" i="7" a="1"/>
  <c r="BK239" i="7" s="1"/>
  <c r="H239" i="7" s="1"/>
  <c r="T238" i="9"/>
  <c r="BK241" i="7" a="1"/>
  <c r="BK241" i="7" s="1"/>
  <c r="H241" i="7" s="1"/>
  <c r="T240" i="9"/>
  <c r="BK242" i="7" a="1"/>
  <c r="BK242" i="7" s="1"/>
  <c r="H242" i="7" s="1"/>
  <c r="T241" i="9"/>
  <c r="BK243" i="7" a="1"/>
  <c r="BK243" i="7" s="1"/>
  <c r="H243" i="7" s="1"/>
  <c r="T242" i="9"/>
  <c r="AB242" i="9" s="1"/>
  <c r="BK244" i="7" a="1"/>
  <c r="BK244" i="7" s="1"/>
  <c r="H244" i="7" s="1"/>
  <c r="T243" i="9"/>
  <c r="BK245" i="7" a="1"/>
  <c r="BK245" i="7" s="1"/>
  <c r="H245" i="7" s="1"/>
  <c r="T244" i="9"/>
  <c r="BK247" i="7" a="1"/>
  <c r="BK247" i="7" s="1"/>
  <c r="H247" i="7" s="1"/>
  <c r="T246" i="9"/>
  <c r="BK248" i="7" a="1"/>
  <c r="BK248" i="7" s="1"/>
  <c r="H248" i="7" s="1"/>
  <c r="T247" i="9"/>
  <c r="BK249" i="7" a="1"/>
  <c r="BK249" i="7" s="1"/>
  <c r="H249" i="7" s="1"/>
  <c r="T248" i="9"/>
  <c r="AB248" i="9" s="1"/>
  <c r="BK250" i="7" a="1"/>
  <c r="BK250" i="7" s="1"/>
  <c r="H250" i="7" s="1"/>
  <c r="T249" i="9"/>
  <c r="AB249" i="9" s="1"/>
  <c r="BK251" i="7" a="1"/>
  <c r="BK251" i="7" s="1"/>
  <c r="H251" i="7" s="1"/>
  <c r="T250" i="9"/>
  <c r="AB250" i="9" s="1"/>
  <c r="BK252" i="7" a="1"/>
  <c r="BK252" i="7" s="1"/>
  <c r="H252" i="7" s="1"/>
  <c r="T251" i="9"/>
  <c r="BK253" i="7" a="1"/>
  <c r="BK253" i="7" s="1"/>
  <c r="H253" i="7" s="1"/>
  <c r="T252" i="9"/>
  <c r="BK254" i="7" a="1"/>
  <c r="BK254" i="7" s="1"/>
  <c r="H254" i="7" s="1"/>
  <c r="T253" i="9"/>
  <c r="BK255" i="7" a="1"/>
  <c r="BK255" i="7" s="1"/>
  <c r="H255" i="7" s="1"/>
  <c r="T254" i="9"/>
  <c r="BK256" i="7" a="1"/>
  <c r="BK256" i="7" s="1"/>
  <c r="H256" i="7" s="1"/>
  <c r="T255" i="9"/>
  <c r="BK258" i="7" a="1"/>
  <c r="BK258" i="7" s="1"/>
  <c r="H258" i="7" s="1"/>
  <c r="T257" i="9"/>
  <c r="BK260" i="7" a="1"/>
  <c r="BK260" i="7" s="1"/>
  <c r="H260" i="7" s="1"/>
  <c r="T259" i="9"/>
  <c r="AB259" i="9" s="1"/>
  <c r="BK261" i="7" a="1"/>
  <c r="BK261" i="7" s="1"/>
  <c r="H261" i="7" s="1"/>
  <c r="T260" i="9"/>
  <c r="BK262" i="7" a="1"/>
  <c r="BK262" i="7" s="1"/>
  <c r="H262" i="7" s="1"/>
  <c r="T261" i="9"/>
  <c r="AB261" i="9" s="1"/>
  <c r="BK264" i="7" a="1"/>
  <c r="BK264" i="7" s="1"/>
  <c r="H264" i="7" s="1"/>
  <c r="T263" i="9"/>
  <c r="BK265" i="7" a="1"/>
  <c r="BK265" i="7" s="1"/>
  <c r="H265" i="7" s="1"/>
  <c r="T264" i="9"/>
  <c r="AB264" i="9" s="1"/>
  <c r="BK266" i="7" a="1"/>
  <c r="BK266" i="7" s="1"/>
  <c r="H266" i="7" s="1"/>
  <c r="T265" i="9"/>
  <c r="BK267" i="7" a="1"/>
  <c r="BK267" i="7" s="1"/>
  <c r="H267" i="7" s="1"/>
  <c r="T266" i="9"/>
  <c r="BK268" i="7" a="1"/>
  <c r="BK268" i="7" s="1"/>
  <c r="H268" i="7" s="1"/>
  <c r="T267" i="9"/>
  <c r="BK269" i="7" a="1"/>
  <c r="BK269" i="7" s="1"/>
  <c r="H269" i="7" s="1"/>
  <c r="T268" i="9"/>
  <c r="BK270" i="7" a="1"/>
  <c r="BK270" i="7" s="1"/>
  <c r="H270" i="7" s="1"/>
  <c r="T269" i="9"/>
  <c r="BK271" i="7" a="1"/>
  <c r="BK271" i="7" s="1"/>
  <c r="H271" i="7" s="1"/>
  <c r="T270" i="9"/>
  <c r="AB270" i="9" s="1"/>
  <c r="BK272" i="7" a="1"/>
  <c r="BK272" i="7" s="1"/>
  <c r="H272" i="7" s="1"/>
  <c r="T271" i="9"/>
  <c r="BK274" i="7" a="1"/>
  <c r="BK274" i="7" s="1"/>
  <c r="H274" i="7" s="1"/>
  <c r="T273" i="9"/>
  <c r="AB273" i="9" s="1"/>
  <c r="BK275" i="7" a="1"/>
  <c r="BK275" i="7" s="1"/>
  <c r="H275" i="7" s="1"/>
  <c r="T274" i="9"/>
  <c r="AB274" i="9" s="1"/>
  <c r="BK277" i="7" a="1"/>
  <c r="BK277" i="7" s="1"/>
  <c r="H277" i="7" s="1"/>
  <c r="T276" i="9"/>
  <c r="BK278" i="7" a="1"/>
  <c r="BK278" i="7" s="1"/>
  <c r="H278" i="7" s="1"/>
  <c r="T277" i="9"/>
  <c r="BK279" i="7" a="1"/>
  <c r="BK279" i="7" s="1"/>
  <c r="H279" i="7" s="1"/>
  <c r="T278" i="9"/>
  <c r="BK280" i="7" a="1"/>
  <c r="BK280" i="7" s="1"/>
  <c r="H280" i="7" s="1"/>
  <c r="T279" i="9"/>
  <c r="BK281" i="7" a="1"/>
  <c r="BK281" i="7" s="1"/>
  <c r="H281" i="7" s="1"/>
  <c r="T280" i="9"/>
  <c r="BK283" i="7" a="1"/>
  <c r="BK283" i="7" s="1"/>
  <c r="H283" i="7" s="1"/>
  <c r="T282" i="9"/>
  <c r="BK284" i="7" a="1"/>
  <c r="BK284" i="7" s="1"/>
  <c r="H284" i="7" s="1"/>
  <c r="T283" i="9"/>
  <c r="BK285" i="7" a="1"/>
  <c r="BK285" i="7" s="1"/>
  <c r="H285" i="7" s="1"/>
  <c r="T284" i="9"/>
  <c r="AB284" i="9" s="1"/>
  <c r="BK286" i="7" a="1"/>
  <c r="BK286" i="7" s="1"/>
  <c r="H286" i="7" s="1"/>
  <c r="T285" i="9"/>
  <c r="BK287" i="7" a="1"/>
  <c r="BK287" i="7" s="1"/>
  <c r="H287" i="7" s="1"/>
  <c r="T286" i="9"/>
  <c r="AB286" i="9" s="1"/>
  <c r="BK288" i="7" a="1"/>
  <c r="BK288" i="7" s="1"/>
  <c r="H288" i="7" s="1"/>
  <c r="T287" i="9"/>
  <c r="AB287" i="9" s="1"/>
  <c r="BK289" i="7" a="1"/>
  <c r="BK289" i="7" s="1"/>
  <c r="H289" i="7" s="1"/>
  <c r="T288" i="9"/>
  <c r="BK290" i="7" a="1"/>
  <c r="BK290" i="7" s="1"/>
  <c r="H290" i="7" s="1"/>
  <c r="T289" i="9"/>
  <c r="BK291" i="7" a="1"/>
  <c r="BK291" i="7" s="1"/>
  <c r="H291" i="7" s="1"/>
  <c r="T290" i="9"/>
  <c r="BK292" i="7" a="1"/>
  <c r="BK292" i="7" s="1"/>
  <c r="H292" i="7" s="1"/>
  <c r="T291" i="9"/>
  <c r="BK294" i="7" a="1"/>
  <c r="BK294" i="7" s="1"/>
  <c r="H294" i="7" s="1"/>
  <c r="T293" i="9"/>
  <c r="BK296" i="7" a="1"/>
  <c r="BK296" i="7" s="1"/>
  <c r="H296" i="7" s="1"/>
  <c r="T295" i="9"/>
  <c r="BK297" i="7" a="1"/>
  <c r="BK297" i="7" s="1"/>
  <c r="H297" i="7" s="1"/>
  <c r="T296" i="9"/>
  <c r="AB296" i="9" s="1"/>
  <c r="BK298" i="7" a="1"/>
  <c r="BK298" i="7" s="1"/>
  <c r="H298" i="7" s="1"/>
  <c r="T297" i="9"/>
  <c r="AB297" i="9" s="1"/>
  <c r="BK300" i="7" a="1"/>
  <c r="BK300" i="7" s="1"/>
  <c r="H300" i="7" s="1"/>
  <c r="T299" i="9"/>
  <c r="AB299" i="9" s="1"/>
  <c r="BK301" i="7" a="1"/>
  <c r="BK301" i="7" s="1"/>
  <c r="H301" i="7" s="1"/>
  <c r="T300" i="9"/>
  <c r="AB300" i="9" s="1"/>
  <c r="BK302" i="7" a="1"/>
  <c r="BK302" i="7" s="1"/>
  <c r="H302" i="7" s="1"/>
  <c r="T301" i="9"/>
  <c r="BK303" i="7" a="1"/>
  <c r="BK303" i="7" s="1"/>
  <c r="H303" i="7" s="1"/>
  <c r="T302" i="9"/>
  <c r="BK304" i="7" a="1"/>
  <c r="BK304" i="7" s="1"/>
  <c r="H304" i="7" s="1"/>
  <c r="T303" i="9"/>
  <c r="BK305" i="7" a="1"/>
  <c r="BK305" i="7" s="1"/>
  <c r="H305" i="7" s="1"/>
  <c r="T304" i="9"/>
  <c r="BK306" i="7" a="1"/>
  <c r="BK306" i="7" s="1"/>
  <c r="H306" i="7" s="1"/>
  <c r="T305" i="9"/>
  <c r="BK307" i="7" a="1"/>
  <c r="BK307" i="7" s="1"/>
  <c r="H307" i="7" s="1"/>
  <c r="T306" i="9"/>
  <c r="BK308" i="7" a="1"/>
  <c r="BK308" i="7" s="1"/>
  <c r="H308" i="7" s="1"/>
  <c r="T307" i="9"/>
  <c r="BK310" i="7" a="1"/>
  <c r="BK310" i="7" s="1"/>
  <c r="H310" i="7" s="1"/>
  <c r="T309" i="9"/>
  <c r="AB309" i="9" s="1"/>
  <c r="BK311" i="7" a="1"/>
  <c r="BK311" i="7" s="1"/>
  <c r="H311" i="7" s="1"/>
  <c r="T310" i="9"/>
  <c r="BK319" i="7" a="1"/>
  <c r="BK319" i="7" s="1"/>
  <c r="H319" i="7" s="1"/>
  <c r="T318" i="9"/>
  <c r="BK769" i="7" a="1"/>
  <c r="BK769" i="7" s="1"/>
  <c r="H769" i="7" s="1"/>
  <c r="T768" i="9"/>
  <c r="BK768" i="7" a="1"/>
  <c r="BK768" i="7" s="1"/>
  <c r="H768" i="7" s="1"/>
  <c r="T767" i="9"/>
  <c r="BK767" i="7" a="1"/>
  <c r="BK767" i="7" s="1"/>
  <c r="H767" i="7" s="1"/>
  <c r="T766" i="9"/>
  <c r="AB766" i="9" s="1"/>
  <c r="BK765" i="7" a="1"/>
  <c r="BK765" i="7" s="1"/>
  <c r="H765" i="7" s="1"/>
  <c r="T764" i="9"/>
  <c r="BK764" i="7" a="1"/>
  <c r="BK764" i="7" s="1"/>
  <c r="H764" i="7" s="1"/>
  <c r="T763" i="9"/>
  <c r="BK762" i="7" a="1"/>
  <c r="BK762" i="7" s="1"/>
  <c r="H762" i="7" s="1"/>
  <c r="T761" i="9"/>
  <c r="BH760" i="7" a="1"/>
  <c r="BH760" i="7" s="1"/>
  <c r="T759" i="9"/>
  <c r="BK758" i="7" a="1"/>
  <c r="BK758" i="7" s="1"/>
  <c r="H758" i="7" s="1"/>
  <c r="T757" i="9"/>
  <c r="BK757" i="7" a="1"/>
  <c r="BK757" i="7" s="1"/>
  <c r="H757" i="7" s="1"/>
  <c r="T756" i="9"/>
  <c r="AB756" i="9" s="1"/>
  <c r="BK756" i="7" a="1"/>
  <c r="BK756" i="7" s="1"/>
  <c r="H756" i="7" s="1"/>
  <c r="T755" i="9"/>
  <c r="BK755" i="7" a="1"/>
  <c r="BK755" i="7" s="1"/>
  <c r="H755" i="7" s="1"/>
  <c r="T754" i="9"/>
  <c r="AB754" i="9" s="1"/>
  <c r="BH754" i="7" a="1"/>
  <c r="BH754" i="7" s="1"/>
  <c r="T753" i="9"/>
  <c r="AB753" i="9" s="1"/>
  <c r="BK752" i="7" a="1"/>
  <c r="BK752" i="7" s="1"/>
  <c r="H752" i="7" s="1"/>
  <c r="T751" i="9"/>
  <c r="BK751" i="7" a="1"/>
  <c r="BK751" i="7" s="1"/>
  <c r="H751" i="7" s="1"/>
  <c r="T750" i="9"/>
  <c r="BK749" i="7" a="1"/>
  <c r="BK749" i="7" s="1"/>
  <c r="H749" i="7" s="1"/>
  <c r="T748" i="9"/>
  <c r="BK747" i="7" a="1"/>
  <c r="BK747" i="7" s="1"/>
  <c r="H747" i="7" s="1"/>
  <c r="T746" i="9"/>
  <c r="BK745" i="7" a="1"/>
  <c r="BK745" i="7" s="1"/>
  <c r="H745" i="7" s="1"/>
  <c r="T744" i="9"/>
  <c r="BK744" i="7" a="1"/>
  <c r="BK744" i="7" s="1"/>
  <c r="H744" i="7" s="1"/>
  <c r="T743" i="9"/>
  <c r="AB743" i="9" s="1"/>
  <c r="BK743" i="7" a="1"/>
  <c r="BK743" i="7" s="1"/>
  <c r="H743" i="7" s="1"/>
  <c r="T742" i="9"/>
  <c r="AB742" i="9" s="1"/>
  <c r="BK742" i="7" a="1"/>
  <c r="BK742" i="7" s="1"/>
  <c r="H742" i="7" s="1"/>
  <c r="T741" i="9"/>
  <c r="AB741" i="9" s="1"/>
  <c r="BK741" i="7" a="1"/>
  <c r="BK741" i="7" s="1"/>
  <c r="H741" i="7" s="1"/>
  <c r="T740" i="9"/>
  <c r="AB740" i="9" s="1"/>
  <c r="BK739" i="7" a="1"/>
  <c r="BK739" i="7" s="1"/>
  <c r="H739" i="7" s="1"/>
  <c r="T738" i="9"/>
  <c r="BK738" i="7" a="1"/>
  <c r="BK738" i="7" s="1"/>
  <c r="H738" i="7" s="1"/>
  <c r="T737" i="9"/>
  <c r="BH736" i="7" a="1"/>
  <c r="BH736" i="7" s="1"/>
  <c r="T735" i="9"/>
  <c r="BK734" i="7" a="1"/>
  <c r="BK734" i="7" s="1"/>
  <c r="H734" i="7" s="1"/>
  <c r="T733" i="9"/>
  <c r="BH732" i="7" a="1"/>
  <c r="BH732" i="7" s="1"/>
  <c r="T731" i="9"/>
  <c r="BK731" i="7" a="1"/>
  <c r="BK731" i="7" s="1"/>
  <c r="H731" i="7" s="1"/>
  <c r="T730" i="9"/>
  <c r="BH730" i="7" a="1"/>
  <c r="BH730" i="7" s="1"/>
  <c r="T729" i="9"/>
  <c r="AB729" i="9" s="1"/>
  <c r="BK729" i="7" a="1"/>
  <c r="BK729" i="7" s="1"/>
  <c r="H729" i="7" s="1"/>
  <c r="T728" i="9"/>
  <c r="AB728" i="9" s="1"/>
  <c r="BK728" i="7" a="1"/>
  <c r="BK728" i="7" s="1"/>
  <c r="H728" i="7" s="1"/>
  <c r="T727" i="9"/>
  <c r="BH726" i="7" a="1"/>
  <c r="BH726" i="7" s="1"/>
  <c r="T725" i="9"/>
  <c r="BK725" i="7" a="1"/>
  <c r="BK725" i="7" s="1"/>
  <c r="H725" i="7" s="1"/>
  <c r="T724" i="9"/>
  <c r="BK723" i="7" a="1"/>
  <c r="BK723" i="7" s="1"/>
  <c r="H723" i="7" s="1"/>
  <c r="T722" i="9"/>
  <c r="BK721" i="7" a="1"/>
  <c r="BK721" i="7" s="1"/>
  <c r="H721" i="7" s="1"/>
  <c r="T720" i="9"/>
  <c r="BK720" i="7" a="1"/>
  <c r="BK720" i="7" s="1"/>
  <c r="H720" i="7" s="1"/>
  <c r="T719" i="9"/>
  <c r="BK719" i="7" a="1"/>
  <c r="BK719" i="7" s="1"/>
  <c r="H719" i="7" s="1"/>
  <c r="T718" i="9"/>
  <c r="BK718" i="7" a="1"/>
  <c r="BK718" i="7" s="1"/>
  <c r="H718" i="7" s="1"/>
  <c r="T717" i="9"/>
  <c r="BK717" i="7" a="1"/>
  <c r="BK717" i="7" s="1"/>
  <c r="H717" i="7" s="1"/>
  <c r="T716" i="9"/>
  <c r="AB716" i="9" s="1"/>
  <c r="BK716" i="7" a="1"/>
  <c r="BK716" i="7" s="1"/>
  <c r="H716" i="7" s="1"/>
  <c r="T715" i="9"/>
  <c r="BK715" i="7" a="1"/>
  <c r="BK715" i="7" s="1"/>
  <c r="H715" i="7" s="1"/>
  <c r="T714" i="9"/>
  <c r="BK713" i="7" a="1"/>
  <c r="BK713" i="7" s="1"/>
  <c r="H713" i="7" s="1"/>
  <c r="T712" i="9"/>
  <c r="BH712" i="7" a="1"/>
  <c r="BH712" i="7" s="1"/>
  <c r="T711" i="9"/>
  <c r="BK710" i="7" a="1"/>
  <c r="BK710" i="7" s="1"/>
  <c r="H710" i="7" s="1"/>
  <c r="T709" i="9"/>
  <c r="BK708" i="7" a="1"/>
  <c r="BK708" i="7" s="1"/>
  <c r="H708" i="7" s="1"/>
  <c r="T707" i="9"/>
  <c r="BK707" i="7" a="1"/>
  <c r="BK707" i="7" s="1"/>
  <c r="H707" i="7" s="1"/>
  <c r="T706" i="9"/>
  <c r="AB706" i="9" s="1"/>
  <c r="BK706" i="7" a="1"/>
  <c r="BK706" i="7" s="1"/>
  <c r="H706" i="7" s="1"/>
  <c r="T705" i="9"/>
  <c r="AB705" i="9" s="1"/>
  <c r="BK705" i="7" a="1"/>
  <c r="BK705" i="7" s="1"/>
  <c r="H705" i="7" s="1"/>
  <c r="T704" i="9"/>
  <c r="AB704" i="9" s="1"/>
  <c r="BK704" i="7" a="1"/>
  <c r="BK704" i="7" s="1"/>
  <c r="H704" i="7" s="1"/>
  <c r="T703" i="9"/>
  <c r="BK703" i="7" a="1"/>
  <c r="BK703" i="7" s="1"/>
  <c r="H703" i="7" s="1"/>
  <c r="T702" i="9"/>
  <c r="BK702" i="7" a="1"/>
  <c r="BK702" i="7" s="1"/>
  <c r="H702" i="7" s="1"/>
  <c r="T701" i="9"/>
  <c r="BK700" i="7" a="1"/>
  <c r="BK700" i="7" s="1"/>
  <c r="H700" i="7" s="1"/>
  <c r="T699" i="9"/>
  <c r="BK699" i="7" a="1"/>
  <c r="BK699" i="7" s="1"/>
  <c r="H699" i="7" s="1"/>
  <c r="T698" i="9"/>
  <c r="BK697" i="7" a="1"/>
  <c r="BK697" i="7" s="1"/>
  <c r="H697" i="7" s="1"/>
  <c r="T696" i="9"/>
  <c r="BK695" i="7" a="1"/>
  <c r="BK695" i="7" s="1"/>
  <c r="H695" i="7" s="1"/>
  <c r="T694" i="9"/>
  <c r="BK694" i="7" a="1"/>
  <c r="BK694" i="7" s="1"/>
  <c r="H694" i="7" s="1"/>
  <c r="T693" i="9"/>
  <c r="AB693" i="9" s="1"/>
  <c r="BK693" i="7" a="1"/>
  <c r="BK693" i="7" s="1"/>
  <c r="H693" i="7" s="1"/>
  <c r="T692" i="9"/>
  <c r="BK692" i="7" a="1"/>
  <c r="BK692" i="7" s="1"/>
  <c r="H692" i="7" s="1"/>
  <c r="T691" i="9"/>
  <c r="BK691" i="7" a="1"/>
  <c r="BK691" i="7" s="1"/>
  <c r="H691" i="7" s="1"/>
  <c r="T690" i="9"/>
  <c r="BK690" i="7" a="1"/>
  <c r="BK690" i="7" s="1"/>
  <c r="H690" i="7" s="1"/>
  <c r="T689" i="9"/>
  <c r="BK689" i="7" a="1"/>
  <c r="BK689" i="7" s="1"/>
  <c r="H689" i="7" s="1"/>
  <c r="T688" i="9"/>
  <c r="BK687" i="7" a="1"/>
  <c r="BK687" i="7" s="1"/>
  <c r="H687" i="7" s="1"/>
  <c r="T686" i="9"/>
  <c r="BK686" i="7" a="1"/>
  <c r="BK686" i="7" s="1"/>
  <c r="H686" i="7" s="1"/>
  <c r="T685" i="9"/>
  <c r="BK685" i="7" a="1"/>
  <c r="BK685" i="7" s="1"/>
  <c r="H685" i="7" s="1"/>
  <c r="T684" i="9"/>
  <c r="AB684" i="9" s="1"/>
  <c r="BK683" i="7" a="1"/>
  <c r="BK683" i="7" s="1"/>
  <c r="H683" i="7" s="1"/>
  <c r="T682" i="9"/>
  <c r="AB682" i="9" s="1"/>
  <c r="BK682" i="7" a="1"/>
  <c r="BK682" i="7" s="1"/>
  <c r="H682" i="7" s="1"/>
  <c r="T681" i="9"/>
  <c r="AB681" i="9" s="1"/>
  <c r="BK680" i="7" a="1"/>
  <c r="BK680" i="7" s="1"/>
  <c r="H680" i="7" s="1"/>
  <c r="T679" i="9"/>
  <c r="BK679" i="7" a="1"/>
  <c r="BK679" i="7" s="1"/>
  <c r="H679" i="7" s="1"/>
  <c r="T678" i="9"/>
  <c r="BK678" i="7" a="1"/>
  <c r="BK678" i="7" s="1"/>
  <c r="H678" i="7" s="1"/>
  <c r="T677" i="9"/>
  <c r="BK677" i="7" a="1"/>
  <c r="BK677" i="7" s="1"/>
  <c r="H677" i="7" s="1"/>
  <c r="T676" i="9"/>
  <c r="BK676" i="7" a="1"/>
  <c r="BK676" i="7" s="1"/>
  <c r="H676" i="7" s="1"/>
  <c r="T675" i="9"/>
  <c r="BK675" i="7" a="1"/>
  <c r="BK675" i="7" s="1"/>
  <c r="H675" i="7" s="1"/>
  <c r="T674" i="9"/>
  <c r="BK674" i="7" a="1"/>
  <c r="BK674" i="7" s="1"/>
  <c r="H674" i="7" s="1"/>
  <c r="T673" i="9"/>
  <c r="BK672" i="7" a="1"/>
  <c r="BK672" i="7" s="1"/>
  <c r="H672" i="7" s="1"/>
  <c r="T671" i="9"/>
  <c r="AB671" i="9" s="1"/>
  <c r="BK671" i="7" a="1"/>
  <c r="BK671" i="7" s="1"/>
  <c r="H671" i="7" s="1"/>
  <c r="T670" i="9"/>
  <c r="AB670" i="9" s="1"/>
  <c r="BK670" i="7" a="1"/>
  <c r="BK670" i="7" s="1"/>
  <c r="H670" i="7" s="1"/>
  <c r="T669" i="9"/>
  <c r="AB669" i="9" s="1"/>
  <c r="BK668" i="7" a="1"/>
  <c r="BK668" i="7" s="1"/>
  <c r="H668" i="7" s="1"/>
  <c r="T667" i="9"/>
  <c r="BK666" i="7" a="1"/>
  <c r="BK666" i="7" s="1"/>
  <c r="H666" i="7" s="1"/>
  <c r="T665" i="9"/>
  <c r="AB665" i="9" s="1"/>
  <c r="BK665" i="7" a="1"/>
  <c r="BK665" i="7" s="1"/>
  <c r="H665" i="7" s="1"/>
  <c r="T664" i="9"/>
  <c r="BK664" i="7" a="1"/>
  <c r="BK664" i="7" s="1"/>
  <c r="H664" i="7" s="1"/>
  <c r="T663" i="9"/>
  <c r="BK663" i="7" a="1"/>
  <c r="BK663" i="7" s="1"/>
  <c r="H663" i="7" s="1"/>
  <c r="T662" i="9"/>
  <c r="BK662" i="7" a="1"/>
  <c r="BK662" i="7" s="1"/>
  <c r="H662" i="7" s="1"/>
  <c r="T661" i="9"/>
  <c r="BK661" i="7" a="1"/>
  <c r="BK661" i="7" s="1"/>
  <c r="H661" i="7" s="1"/>
  <c r="T660" i="9"/>
  <c r="AB660" i="9" s="1"/>
  <c r="BK660" i="7" a="1"/>
  <c r="BK660" i="7" s="1"/>
  <c r="H660" i="7" s="1"/>
  <c r="T659" i="9"/>
  <c r="BK658" i="7" a="1"/>
  <c r="BK658" i="7" s="1"/>
  <c r="H658" i="7" s="1"/>
  <c r="T657" i="9"/>
  <c r="AB657" i="9" s="1"/>
  <c r="BK657" i="7" a="1"/>
  <c r="BK657" i="7" s="1"/>
  <c r="H657" i="7" s="1"/>
  <c r="T656" i="9"/>
  <c r="AB656" i="9" s="1"/>
  <c r="BK656" i="7" a="1"/>
  <c r="BK656" i="7" s="1"/>
  <c r="H656" i="7" s="1"/>
  <c r="T655" i="9"/>
  <c r="AB655" i="9" s="1"/>
  <c r="BK654" i="7" a="1"/>
  <c r="BK654" i="7" s="1"/>
  <c r="H654" i="7" s="1"/>
  <c r="T653" i="9"/>
  <c r="BK652" i="7" a="1"/>
  <c r="BK652" i="7" s="1"/>
  <c r="H652" i="7" s="1"/>
  <c r="T651" i="9"/>
  <c r="BK651" i="7" a="1"/>
  <c r="BK651" i="7" s="1"/>
  <c r="H651" i="7" s="1"/>
  <c r="T650" i="9"/>
  <c r="BK650" i="7" a="1"/>
  <c r="BK650" i="7" s="1"/>
  <c r="H650" i="7" s="1"/>
  <c r="T649" i="9"/>
  <c r="AB649" i="9" s="1"/>
  <c r="BK649" i="7" a="1"/>
  <c r="BK649" i="7" s="1"/>
  <c r="H649" i="7" s="1"/>
  <c r="T648" i="9"/>
  <c r="BK648" i="7" a="1"/>
  <c r="BK648" i="7" s="1"/>
  <c r="H648" i="7" s="1"/>
  <c r="T647" i="9"/>
  <c r="BK647" i="7" a="1"/>
  <c r="BK647" i="7" s="1"/>
  <c r="H647" i="7" s="1"/>
  <c r="T646" i="9"/>
  <c r="BK646" i="7" a="1"/>
  <c r="BK646" i="7" s="1"/>
  <c r="H646" i="7" s="1"/>
  <c r="T645" i="9"/>
  <c r="BK645" i="7" a="1"/>
  <c r="BK645" i="7" s="1"/>
  <c r="H645" i="7" s="1"/>
  <c r="T644" i="9"/>
  <c r="AB644" i="9" s="1"/>
  <c r="BK643" i="7" a="1"/>
  <c r="BK643" i="7" s="1"/>
  <c r="H643" i="7" s="1"/>
  <c r="T642" i="9"/>
  <c r="BK642" i="7" a="1"/>
  <c r="BK642" i="7" s="1"/>
  <c r="H642" i="7" s="1"/>
  <c r="T641" i="9"/>
  <c r="BK640" i="7" a="1"/>
  <c r="BK640" i="7" s="1"/>
  <c r="H640" i="7" s="1"/>
  <c r="T639" i="9"/>
  <c r="BK639" i="7" a="1"/>
  <c r="BK639" i="7" s="1"/>
  <c r="H639" i="7" s="1"/>
  <c r="T638" i="9"/>
  <c r="BK637" i="7" a="1"/>
  <c r="BK637" i="7" s="1"/>
  <c r="H637" i="7" s="1"/>
  <c r="T636" i="9"/>
  <c r="BK636" i="7" a="1"/>
  <c r="BK636" i="7" s="1"/>
  <c r="H636" i="7" s="1"/>
  <c r="T635" i="9"/>
  <c r="BK635" i="7" a="1"/>
  <c r="BK635" i="7" s="1"/>
  <c r="H635" i="7" s="1"/>
  <c r="T634" i="9"/>
  <c r="AB634" i="9" s="1"/>
  <c r="BK634" i="7" a="1"/>
  <c r="BK634" i="7" s="1"/>
  <c r="H634" i="7" s="1"/>
  <c r="T633" i="9"/>
  <c r="BK633" i="7" a="1"/>
  <c r="BK633" i="7" s="1"/>
  <c r="H633" i="7" s="1"/>
  <c r="T632" i="9"/>
  <c r="AB632" i="9" s="1"/>
  <c r="BK632" i="7" a="1"/>
  <c r="BK632" i="7" s="1"/>
  <c r="H632" i="7" s="1"/>
  <c r="T631" i="9"/>
  <c r="BK631" i="7" a="1"/>
  <c r="BK631" i="7" s="1"/>
  <c r="H631" i="7" s="1"/>
  <c r="T630" i="9"/>
  <c r="BK629" i="7" a="1"/>
  <c r="BK629" i="7" s="1"/>
  <c r="H629" i="7" s="1"/>
  <c r="T628" i="9"/>
  <c r="BK628" i="7" a="1"/>
  <c r="BK628" i="7" s="1"/>
  <c r="H628" i="7" s="1"/>
  <c r="T627" i="9"/>
  <c r="BK627" i="7" a="1"/>
  <c r="BK627" i="7" s="1"/>
  <c r="H627" i="7" s="1"/>
  <c r="T626" i="9"/>
  <c r="BK625" i="7" a="1"/>
  <c r="BK625" i="7" s="1"/>
  <c r="H625" i="7" s="1"/>
  <c r="T624" i="9"/>
  <c r="BK623" i="7" a="1"/>
  <c r="BK623" i="7" s="1"/>
  <c r="H623" i="7" s="1"/>
  <c r="T622" i="9"/>
  <c r="BK622" i="7" a="1"/>
  <c r="BK622" i="7" s="1"/>
  <c r="H622" i="7" s="1"/>
  <c r="T621" i="9"/>
  <c r="AB621" i="9" s="1"/>
  <c r="BK621" i="7" a="1"/>
  <c r="BK621" i="7" s="1"/>
  <c r="H621" i="7" s="1"/>
  <c r="T620" i="9"/>
  <c r="BK620" i="7" a="1"/>
  <c r="BK620" i="7" s="1"/>
  <c r="H620" i="7" s="1"/>
  <c r="T619" i="9"/>
  <c r="BK619" i="7" a="1"/>
  <c r="BK619" i="7" s="1"/>
  <c r="H619" i="7" s="1"/>
  <c r="T618" i="9"/>
  <c r="BK618" i="7" a="1"/>
  <c r="BK618" i="7" s="1"/>
  <c r="H618" i="7" s="1"/>
  <c r="T617" i="9"/>
  <c r="BK617" i="7" a="1"/>
  <c r="BK617" i="7" s="1"/>
  <c r="H617" i="7" s="1"/>
  <c r="T616" i="9"/>
  <c r="BK615" i="7" a="1"/>
  <c r="BK615" i="7" s="1"/>
  <c r="H615" i="7" s="1"/>
  <c r="T614" i="9"/>
  <c r="AB614" i="9" s="1"/>
  <c r="BK614" i="7" a="1"/>
  <c r="BK614" i="7" s="1"/>
  <c r="H614" i="7" s="1"/>
  <c r="T613" i="9"/>
  <c r="BK613" i="7" a="1"/>
  <c r="BK613" i="7" s="1"/>
  <c r="H613" i="7" s="1"/>
  <c r="T612" i="9"/>
  <c r="AB612" i="9" s="1"/>
  <c r="BK612" i="7" a="1"/>
  <c r="BK612" i="7" s="1"/>
  <c r="H612" i="7" s="1"/>
  <c r="T611" i="9"/>
  <c r="BK610" i="7" a="1"/>
  <c r="BK610" i="7" s="1"/>
  <c r="H610" i="7" s="1"/>
  <c r="T609" i="9"/>
  <c r="AB609" i="9" s="1"/>
  <c r="BK609" i="7" a="1"/>
  <c r="BK609" i="7" s="1"/>
  <c r="H609" i="7" s="1"/>
  <c r="T608" i="9"/>
  <c r="AB608" i="9" s="1"/>
  <c r="BK607" i="7" a="1"/>
  <c r="BK607" i="7" s="1"/>
  <c r="H607" i="7" s="1"/>
  <c r="T606" i="9"/>
  <c r="BK606" i="7" a="1"/>
  <c r="BK606" i="7" s="1"/>
  <c r="H606" i="7" s="1"/>
  <c r="T605" i="9"/>
  <c r="BK605" i="7" a="1"/>
  <c r="BK605" i="7" s="1"/>
  <c r="H605" i="7" s="1"/>
  <c r="T604" i="9"/>
  <c r="BK604" i="7" a="1"/>
  <c r="BK604" i="7" s="1"/>
  <c r="H604" i="7" s="1"/>
  <c r="T603" i="9"/>
  <c r="BK603" i="7" a="1"/>
  <c r="BK603" i="7" s="1"/>
  <c r="H603" i="7" s="1"/>
  <c r="T602" i="9"/>
  <c r="BK602" i="7" a="1"/>
  <c r="BK602" i="7" s="1"/>
  <c r="H602" i="7" s="1"/>
  <c r="T601" i="9"/>
  <c r="BK601" i="7" a="1"/>
  <c r="BK601" i="7" s="1"/>
  <c r="H601" i="7" s="1"/>
  <c r="T600" i="9"/>
  <c r="BK600" i="7" a="1"/>
  <c r="BK600" i="7" s="1"/>
  <c r="H600" i="7" s="1"/>
  <c r="T599" i="9"/>
  <c r="AB599" i="9" s="1"/>
  <c r="BK598" i="7" a="1"/>
  <c r="BK598" i="7" s="1"/>
  <c r="H598" i="7" s="1"/>
  <c r="T597" i="9"/>
  <c r="AB597" i="9" s="1"/>
  <c r="BK597" i="7" a="1"/>
  <c r="BK597" i="7" s="1"/>
  <c r="H597" i="7" s="1"/>
  <c r="T596" i="9"/>
  <c r="AB596" i="9" s="1"/>
  <c r="BK596" i="7" a="1"/>
  <c r="BK596" i="7" s="1"/>
  <c r="H596" i="7" s="1"/>
  <c r="T595" i="9"/>
  <c r="BK594" i="7" a="1"/>
  <c r="BK594" i="7" s="1"/>
  <c r="H594" i="7" s="1"/>
  <c r="T593" i="9"/>
  <c r="BK592" i="7" a="1"/>
  <c r="BK592" i="7" s="1"/>
  <c r="H592" i="7" s="1"/>
  <c r="T591" i="9"/>
  <c r="BK591" i="7" a="1"/>
  <c r="BK591" i="7" s="1"/>
  <c r="H591" i="7" s="1"/>
  <c r="T590" i="9"/>
  <c r="BK590" i="7" a="1"/>
  <c r="BK590" i="7" s="1"/>
  <c r="H590" i="7" s="1"/>
  <c r="T589" i="9"/>
  <c r="BK589" i="7" a="1"/>
  <c r="BK589" i="7" s="1"/>
  <c r="H589" i="7" s="1"/>
  <c r="T588" i="9"/>
  <c r="AB588" i="9" s="1"/>
  <c r="BK588" i="7" a="1"/>
  <c r="BK588" i="7" s="1"/>
  <c r="H588" i="7" s="1"/>
  <c r="T587" i="9"/>
  <c r="BK587" i="7" a="1"/>
  <c r="BK587" i="7" s="1"/>
  <c r="H587" i="7" s="1"/>
  <c r="T586" i="9"/>
  <c r="BK586" i="7" a="1"/>
  <c r="BK586" i="7" s="1"/>
  <c r="H586" i="7" s="1"/>
  <c r="T585" i="9"/>
  <c r="AB585" i="9" s="1"/>
  <c r="BK585" i="7" a="1"/>
  <c r="BK585" i="7" s="1"/>
  <c r="H585" i="7" s="1"/>
  <c r="T584" i="9"/>
  <c r="AB584" i="9" s="1"/>
  <c r="BK584" i="7" a="1"/>
  <c r="BK584" i="7" s="1"/>
  <c r="H584" i="7" s="1"/>
  <c r="T583" i="9"/>
  <c r="BK582" i="7" a="1"/>
  <c r="BK582" i="7" s="1"/>
  <c r="H582" i="7" s="1"/>
  <c r="T581" i="9"/>
  <c r="BK581" i="7" a="1"/>
  <c r="BK581" i="7" s="1"/>
  <c r="H581" i="7" s="1"/>
  <c r="T580" i="9"/>
  <c r="BK579" i="7" a="1"/>
  <c r="BK579" i="7" s="1"/>
  <c r="H579" i="7" s="1"/>
  <c r="T578" i="9"/>
  <c r="BK578" i="7" a="1"/>
  <c r="BK578" i="7" s="1"/>
  <c r="H578" i="7" s="1"/>
  <c r="T577" i="9"/>
  <c r="BK577" i="7" a="1"/>
  <c r="BK577" i="7" s="1"/>
  <c r="H577" i="7" s="1"/>
  <c r="T576" i="9"/>
  <c r="BK575" i="7" a="1"/>
  <c r="BK575" i="7" s="1"/>
  <c r="H575" i="7" s="1"/>
  <c r="T574" i="9"/>
  <c r="BK574" i="7" a="1"/>
  <c r="BK574" i="7" s="1"/>
  <c r="H574" i="7" s="1"/>
  <c r="T573" i="9"/>
  <c r="BK573" i="7" a="1"/>
  <c r="BK573" i="7" s="1"/>
  <c r="H573" i="7" s="1"/>
  <c r="T572" i="9"/>
  <c r="AB572" i="9" s="1"/>
  <c r="BK572" i="7" a="1"/>
  <c r="BK572" i="7" s="1"/>
  <c r="H572" i="7" s="1"/>
  <c r="T571" i="9"/>
  <c r="BK571" i="7" a="1"/>
  <c r="BK571" i="7" s="1"/>
  <c r="H571" i="7" s="1"/>
  <c r="T570" i="9"/>
  <c r="BK570" i="7" a="1"/>
  <c r="BK570" i="7" s="1"/>
  <c r="H570" i="7" s="1"/>
  <c r="T569" i="9"/>
  <c r="BK569" i="7" a="1"/>
  <c r="BK569" i="7" s="1"/>
  <c r="H569" i="7" s="1"/>
  <c r="T568" i="9"/>
  <c r="BK567" i="7" a="1"/>
  <c r="BK567" i="7" s="1"/>
  <c r="H567" i="7" s="1"/>
  <c r="T566" i="9"/>
  <c r="BK566" i="7" a="1"/>
  <c r="BK566" i="7" s="1"/>
  <c r="H566" i="7" s="1"/>
  <c r="T565" i="9"/>
  <c r="BK565" i="7" a="1"/>
  <c r="BK565" i="7" s="1"/>
  <c r="H565" i="7" s="1"/>
  <c r="T564" i="9"/>
  <c r="BK564" i="7" a="1"/>
  <c r="BK564" i="7" s="1"/>
  <c r="H564" i="7" s="1"/>
  <c r="T563" i="9"/>
  <c r="BK562" i="7" a="1"/>
  <c r="BK562" i="7" s="1"/>
  <c r="H562" i="7" s="1"/>
  <c r="T561" i="9"/>
  <c r="AB561" i="9" s="1"/>
  <c r="BK561" i="7" a="1"/>
  <c r="BK561" i="7" s="1"/>
  <c r="H561" i="7" s="1"/>
  <c r="T560" i="9"/>
  <c r="AB560" i="9" s="1"/>
  <c r="BK559" i="7" a="1"/>
  <c r="BK559" i="7" s="1"/>
  <c r="H559" i="7" s="1"/>
  <c r="T558" i="9"/>
  <c r="BK558" i="7" a="1"/>
  <c r="BK558" i="7" s="1"/>
  <c r="H558" i="7" s="1"/>
  <c r="T557" i="9"/>
  <c r="BK557" i="7" a="1"/>
  <c r="BK557" i="7" s="1"/>
  <c r="H557" i="7" s="1"/>
  <c r="T556" i="9"/>
  <c r="BK556" i="7" a="1"/>
  <c r="BK556" i="7" s="1"/>
  <c r="H556" i="7" s="1"/>
  <c r="T555" i="9"/>
  <c r="BK555" i="7" a="1"/>
  <c r="BK555" i="7" s="1"/>
  <c r="H555" i="7" s="1"/>
  <c r="T554" i="9"/>
  <c r="BK554" i="7" a="1"/>
  <c r="BK554" i="7" s="1"/>
  <c r="H554" i="7" s="1"/>
  <c r="T553" i="9"/>
  <c r="BK553" i="7" a="1"/>
  <c r="BK553" i="7" s="1"/>
  <c r="H553" i="7" s="1"/>
  <c r="T552" i="9"/>
  <c r="BK552" i="7" a="1"/>
  <c r="BK552" i="7" s="1"/>
  <c r="H552" i="7" s="1"/>
  <c r="T551" i="9"/>
  <c r="BK550" i="7" a="1"/>
  <c r="BK550" i="7" s="1"/>
  <c r="H550" i="7" s="1"/>
  <c r="T549" i="9"/>
  <c r="AB549" i="9" s="1"/>
  <c r="BK549" i="7" a="1"/>
  <c r="BK549" i="7" s="1"/>
  <c r="H549" i="7" s="1"/>
  <c r="T548" i="9"/>
  <c r="BK548" i="7" a="1"/>
  <c r="BK548" i="7" s="1"/>
  <c r="H548" i="7" s="1"/>
  <c r="T547" i="9"/>
  <c r="AB547" i="9" s="1"/>
  <c r="BK546" i="7" a="1"/>
  <c r="BK546" i="7" s="1"/>
  <c r="H546" i="7" s="1"/>
  <c r="T545" i="9"/>
  <c r="BK544" i="7" a="1"/>
  <c r="BK544" i="7" s="1"/>
  <c r="H544" i="7" s="1"/>
  <c r="T543" i="9"/>
  <c r="BK543" i="7" a="1"/>
  <c r="BK543" i="7" s="1"/>
  <c r="H543" i="7" s="1"/>
  <c r="T542" i="9"/>
  <c r="BK542" i="7" a="1"/>
  <c r="BK542" i="7" s="1"/>
  <c r="H542" i="7" s="1"/>
  <c r="T541" i="9"/>
  <c r="BK541" i="7" a="1"/>
  <c r="BK541" i="7" s="1"/>
  <c r="H541" i="7" s="1"/>
  <c r="T540" i="9"/>
  <c r="BK540" i="7" a="1"/>
  <c r="BK540" i="7" s="1"/>
  <c r="H540" i="7" s="1"/>
  <c r="T539" i="9"/>
  <c r="AB539" i="9" s="1"/>
  <c r="BK539" i="7" a="1"/>
  <c r="BK539" i="7" s="1"/>
  <c r="H539" i="7" s="1"/>
  <c r="T538" i="9"/>
  <c r="BK538" i="7" a="1"/>
  <c r="BK538" i="7" s="1"/>
  <c r="H538" i="7" s="1"/>
  <c r="T537" i="9"/>
  <c r="AB537" i="9" s="1"/>
  <c r="BK537" i="7" a="1"/>
  <c r="BK537" i="7" s="1"/>
  <c r="H537" i="7" s="1"/>
  <c r="T536" i="9"/>
  <c r="BK536" i="7" a="1"/>
  <c r="BK536" i="7" s="1"/>
  <c r="H536" i="7" s="1"/>
  <c r="T535" i="9"/>
  <c r="BK535" i="7" a="1"/>
  <c r="BK535" i="7" s="1"/>
  <c r="H535" i="7" s="1"/>
  <c r="T534" i="9"/>
  <c r="BK533" i="7" a="1"/>
  <c r="BK533" i="7" s="1"/>
  <c r="H533" i="7" s="1"/>
  <c r="T532" i="9"/>
  <c r="BK532" i="7" a="1"/>
  <c r="BK532" i="7" s="1"/>
  <c r="H532" i="7" s="1"/>
  <c r="T531" i="9"/>
  <c r="BK531" i="7" a="1"/>
  <c r="BK531" i="7" s="1"/>
  <c r="H531" i="7" s="1"/>
  <c r="T530" i="9"/>
  <c r="AB530" i="9" s="1"/>
  <c r="BK530" i="7" a="1"/>
  <c r="BK530" i="7" s="1"/>
  <c r="H530" i="7" s="1"/>
  <c r="T529" i="9"/>
  <c r="BK529" i="7" a="1"/>
  <c r="BK529" i="7" s="1"/>
  <c r="H529" i="7" s="1"/>
  <c r="T528" i="9"/>
  <c r="AB528" i="9" s="1"/>
  <c r="BK527" i="7" a="1"/>
  <c r="BK527" i="7" s="1"/>
  <c r="H527" i="7" s="1"/>
  <c r="T526" i="9"/>
  <c r="AB526" i="9" s="1"/>
  <c r="BK526" i="7" a="1"/>
  <c r="BK526" i="7" s="1"/>
  <c r="H526" i="7" s="1"/>
  <c r="T525" i="9"/>
  <c r="AB525" i="9" s="1"/>
  <c r="BK524" i="7" a="1"/>
  <c r="BK524" i="7" s="1"/>
  <c r="H524" i="7" s="1"/>
  <c r="T523" i="9"/>
  <c r="BK523" i="7" a="1"/>
  <c r="BK523" i="7" s="1"/>
  <c r="H523" i="7" s="1"/>
  <c r="T522" i="9"/>
  <c r="AB522" i="9" s="1"/>
  <c r="BK522" i="7" a="1"/>
  <c r="BK522" i="7" s="1"/>
  <c r="H522" i="7" s="1"/>
  <c r="T521" i="9"/>
  <c r="BK521" i="7" a="1"/>
  <c r="BK521" i="7" s="1"/>
  <c r="H521" i="7" s="1"/>
  <c r="T520" i="9"/>
  <c r="BK520" i="7" a="1"/>
  <c r="BK520" i="7" s="1"/>
  <c r="H520" i="7" s="1"/>
  <c r="T519" i="9"/>
  <c r="BK519" i="7" a="1"/>
  <c r="BK519" i="7" s="1"/>
  <c r="H519" i="7" s="1"/>
  <c r="T518" i="9"/>
  <c r="BK518" i="7" a="1"/>
  <c r="BK518" i="7" s="1"/>
  <c r="H518" i="7" s="1"/>
  <c r="T517" i="9"/>
  <c r="BK517" i="7" a="1"/>
  <c r="BK517" i="7" s="1"/>
  <c r="H517" i="7" s="1"/>
  <c r="T516" i="9"/>
  <c r="BK516" i="7" a="1"/>
  <c r="BK516" i="7" s="1"/>
  <c r="H516" i="7" s="1"/>
  <c r="T515" i="9"/>
  <c r="AB515" i="9" s="1"/>
  <c r="BK514" i="7" a="1"/>
  <c r="BK514" i="7" s="1"/>
  <c r="H514" i="7" s="1"/>
  <c r="T513" i="9"/>
  <c r="AB513" i="9" s="1"/>
  <c r="BK513" i="7" a="1"/>
  <c r="BK513" i="7" s="1"/>
  <c r="H513" i="7" s="1"/>
  <c r="T512" i="9"/>
  <c r="AB512" i="9" s="1"/>
  <c r="BK512" i="7" a="1"/>
  <c r="BK512" i="7" s="1"/>
  <c r="H512" i="7" s="1"/>
  <c r="T511" i="9"/>
  <c r="BK510" i="7" a="1"/>
  <c r="BK510" i="7" s="1"/>
  <c r="H510" i="7" s="1"/>
  <c r="T509" i="9"/>
  <c r="BK508" i="7" a="1"/>
  <c r="BK508" i="7" s="1"/>
  <c r="H508" i="7" s="1"/>
  <c r="T507" i="9"/>
  <c r="BK507" i="7" a="1"/>
  <c r="BK507" i="7" s="1"/>
  <c r="H507" i="7" s="1"/>
  <c r="T506" i="9"/>
  <c r="BK506" i="7" a="1"/>
  <c r="BK506" i="7" s="1"/>
  <c r="H506" i="7" s="1"/>
  <c r="T505" i="9"/>
  <c r="BK505" i="7" a="1"/>
  <c r="BK505" i="7" s="1"/>
  <c r="H505" i="7" s="1"/>
  <c r="T504" i="9"/>
  <c r="AB504" i="9" s="1"/>
  <c r="BK504" i="7" a="1"/>
  <c r="BK504" i="7" s="1"/>
  <c r="H504" i="7" s="1"/>
  <c r="T503" i="9"/>
  <c r="BK503" i="7" a="1"/>
  <c r="BK503" i="7" s="1"/>
  <c r="H503" i="7" s="1"/>
  <c r="T502" i="9"/>
  <c r="BK502" i="7" a="1"/>
  <c r="BK502" i="7" s="1"/>
  <c r="H502" i="7" s="1"/>
  <c r="T501" i="9"/>
  <c r="BK501" i="7" a="1"/>
  <c r="BK501" i="7" s="1"/>
  <c r="H501" i="7" s="1"/>
  <c r="T500" i="9"/>
  <c r="AB500" i="9" s="1"/>
  <c r="BK500" i="7" a="1"/>
  <c r="BK500" i="7" s="1"/>
  <c r="H500" i="7" s="1"/>
  <c r="T499" i="9"/>
  <c r="BK499" i="7" a="1"/>
  <c r="BK499" i="7" s="1"/>
  <c r="H499" i="7" s="1"/>
  <c r="T498" i="9"/>
  <c r="BK497" i="7" a="1"/>
  <c r="BK497" i="7" s="1"/>
  <c r="H497" i="7" s="1"/>
  <c r="T496" i="9"/>
  <c r="BK496" i="7" a="1"/>
  <c r="BK496" i="7" s="1"/>
  <c r="H496" i="7" s="1"/>
  <c r="T495" i="9"/>
  <c r="BK495" i="7" a="1"/>
  <c r="BK495" i="7" s="1"/>
  <c r="H495" i="7" s="1"/>
  <c r="T494" i="9"/>
  <c r="BK494" i="7" a="1"/>
  <c r="BK494" i="7" s="1"/>
  <c r="H494" i="7" s="1"/>
  <c r="T493" i="9"/>
  <c r="BK493" i="7" a="1"/>
  <c r="BK493" i="7" s="1"/>
  <c r="H493" i="7" s="1"/>
  <c r="T492" i="9"/>
  <c r="BK491" i="7" a="1"/>
  <c r="BK491" i="7" s="1"/>
  <c r="H491" i="7" s="1"/>
  <c r="T490" i="9"/>
  <c r="AB490" i="9" s="1"/>
  <c r="BK490" i="7" a="1"/>
  <c r="BK490" i="7" s="1"/>
  <c r="H490" i="7" s="1"/>
  <c r="T489" i="9"/>
  <c r="BK488" i="7" a="1"/>
  <c r="BK488" i="7" s="1"/>
  <c r="H488" i="7" s="1"/>
  <c r="T487" i="9"/>
  <c r="BK487" i="7" a="1"/>
  <c r="BK487" i="7" s="1"/>
  <c r="H487" i="7" s="1"/>
  <c r="T486" i="9"/>
  <c r="BK486" i="7" a="1"/>
  <c r="BK486" i="7" s="1"/>
  <c r="H486" i="7" s="1"/>
  <c r="T485" i="9"/>
  <c r="BK485" i="7" a="1"/>
  <c r="BK485" i="7" s="1"/>
  <c r="H485" i="7" s="1"/>
  <c r="T484" i="9"/>
  <c r="BK484" i="7" a="1"/>
  <c r="BK484" i="7" s="1"/>
  <c r="H484" i="7" s="1"/>
  <c r="T483" i="9"/>
  <c r="BK483" i="7" a="1"/>
  <c r="BK483" i="7" s="1"/>
  <c r="H483" i="7" s="1"/>
  <c r="T482" i="9"/>
  <c r="BK482" i="7" a="1"/>
  <c r="BK482" i="7" s="1"/>
  <c r="H482" i="7" s="1"/>
  <c r="T481" i="9"/>
  <c r="AB481" i="9" s="1"/>
  <c r="BK481" i="7" a="1"/>
  <c r="BK481" i="7" s="1"/>
  <c r="H481" i="7" s="1"/>
  <c r="T480" i="9"/>
  <c r="BK480" i="7" a="1"/>
  <c r="BK480" i="7" s="1"/>
  <c r="H480" i="7" s="1"/>
  <c r="T479" i="9"/>
  <c r="BK478" i="7" a="1"/>
  <c r="BK478" i="7" s="1"/>
  <c r="H478" i="7" s="1"/>
  <c r="T477" i="9"/>
  <c r="AB477" i="9" s="1"/>
  <c r="BK477" i="7" a="1"/>
  <c r="BK477" i="7" s="1"/>
  <c r="H477" i="7" s="1"/>
  <c r="T476" i="9"/>
  <c r="BK476" i="7" a="1"/>
  <c r="BK476" i="7" s="1"/>
  <c r="H476" i="7" s="1"/>
  <c r="T475" i="9"/>
  <c r="BK474" i="7" a="1"/>
  <c r="BK474" i="7" s="1"/>
  <c r="H474" i="7" s="1"/>
  <c r="T473" i="9"/>
  <c r="BK472" i="7" a="1"/>
  <c r="BK472" i="7" s="1"/>
  <c r="H472" i="7" s="1"/>
  <c r="T471" i="9"/>
  <c r="BK471" i="7" a="1"/>
  <c r="BK471" i="7" s="1"/>
  <c r="H471" i="7" s="1"/>
  <c r="T470" i="9"/>
  <c r="BK470" i="7" a="1"/>
  <c r="BK470" i="7" s="1"/>
  <c r="H470" i="7" s="1"/>
  <c r="T469" i="9"/>
  <c r="BK469" i="7" a="1"/>
  <c r="BK469" i="7" s="1"/>
  <c r="H469" i="7" s="1"/>
  <c r="T468" i="9"/>
  <c r="BK468" i="7" a="1"/>
  <c r="BK468" i="7" s="1"/>
  <c r="H468" i="7" s="1"/>
  <c r="T467" i="9"/>
  <c r="AB467" i="9" s="1"/>
  <c r="BK467" i="7" a="1"/>
  <c r="BK467" i="7" s="1"/>
  <c r="H467" i="7" s="1"/>
  <c r="T466" i="9"/>
  <c r="BK466" i="7" a="1"/>
  <c r="BK466" i="7" s="1"/>
  <c r="H466" i="7" s="1"/>
  <c r="T465" i="9"/>
  <c r="AB465" i="9" s="1"/>
  <c r="BK465" i="7" a="1"/>
  <c r="BK465" i="7" s="1"/>
  <c r="H465" i="7" s="1"/>
  <c r="T464" i="9"/>
  <c r="AB464" i="9" s="1"/>
  <c r="BK464" i="7" a="1"/>
  <c r="BK464" i="7" s="1"/>
  <c r="H464" i="7" s="1"/>
  <c r="T463" i="9"/>
  <c r="BK463" i="7" a="1"/>
  <c r="BK463" i="7" s="1"/>
  <c r="H463" i="7" s="1"/>
  <c r="T462" i="9"/>
  <c r="BK461" i="7" a="1"/>
  <c r="BK461" i="7" s="1"/>
  <c r="H461" i="7" s="1"/>
  <c r="T460" i="9"/>
  <c r="BK460" i="7" a="1"/>
  <c r="BK460" i="7" s="1"/>
  <c r="H460" i="7" s="1"/>
  <c r="T459" i="9"/>
  <c r="BK459" i="7" a="1"/>
  <c r="BK459" i="7" s="1"/>
  <c r="H459" i="7" s="1"/>
  <c r="T458" i="9"/>
  <c r="BK458" i="7" a="1"/>
  <c r="BK458" i="7" s="1"/>
  <c r="H458" i="7" s="1"/>
  <c r="T457" i="9"/>
  <c r="BK457" i="7" a="1"/>
  <c r="BK457" i="7" s="1"/>
  <c r="H457" i="7" s="1"/>
  <c r="T456" i="9"/>
  <c r="AB456" i="9" s="1"/>
  <c r="BK455" i="7" a="1"/>
  <c r="BK455" i="7" s="1"/>
  <c r="H455" i="7" s="1"/>
  <c r="T454" i="9"/>
  <c r="AB454" i="9" s="1"/>
  <c r="BK454" i="7" a="1"/>
  <c r="BK454" i="7" s="1"/>
  <c r="H454" i="7" s="1"/>
  <c r="T453" i="9"/>
  <c r="AB453" i="9" s="1"/>
  <c r="BK452" i="7" a="1"/>
  <c r="BK452" i="7" s="1"/>
  <c r="H452" i="7" s="1"/>
  <c r="T451" i="9"/>
  <c r="BK451" i="7" a="1"/>
  <c r="BK451" i="7" s="1"/>
  <c r="H451" i="7" s="1"/>
  <c r="T450" i="9"/>
  <c r="BK450" i="7" a="1"/>
  <c r="BK450" i="7" s="1"/>
  <c r="H450" i="7" s="1"/>
  <c r="T449" i="9"/>
  <c r="BK449" i="7" a="1"/>
  <c r="BK449" i="7" s="1"/>
  <c r="H449" i="7" s="1"/>
  <c r="T448" i="9"/>
  <c r="BK448" i="7" a="1"/>
  <c r="BK448" i="7" s="1"/>
  <c r="H448" i="7" s="1"/>
  <c r="T447" i="9"/>
  <c r="BK447" i="7" a="1"/>
  <c r="BK447" i="7" s="1"/>
  <c r="H447" i="7" s="1"/>
  <c r="T446" i="9"/>
  <c r="BK446" i="7" a="1"/>
  <c r="BK446" i="7" s="1"/>
  <c r="H446" i="7" s="1"/>
  <c r="T445" i="9"/>
  <c r="BK445" i="7" a="1"/>
  <c r="BK445" i="7" s="1"/>
  <c r="H445" i="7" s="1"/>
  <c r="T444" i="9"/>
  <c r="BK444" i="7" a="1"/>
  <c r="BK444" i="7" s="1"/>
  <c r="H444" i="7" s="1"/>
  <c r="T443" i="9"/>
  <c r="AB443" i="9" s="1"/>
  <c r="BK442" i="7" a="1"/>
  <c r="BK442" i="7" s="1"/>
  <c r="H442" i="7" s="1"/>
  <c r="T441" i="9"/>
  <c r="AB441" i="9" s="1"/>
  <c r="BK441" i="7" a="1"/>
  <c r="BK441" i="7" s="1"/>
  <c r="H441" i="7" s="1"/>
  <c r="T440" i="9"/>
  <c r="AB440" i="9" s="1"/>
  <c r="BK440" i="7" a="1"/>
  <c r="BK440" i="7" s="1"/>
  <c r="H440" i="7" s="1"/>
  <c r="T439" i="9"/>
  <c r="BK438" i="7" a="1"/>
  <c r="BK438" i="7" s="1"/>
  <c r="H438" i="7" s="1"/>
  <c r="T437" i="9"/>
  <c r="BK436" i="7" a="1"/>
  <c r="BK436" i="7" s="1"/>
  <c r="H436" i="7" s="1"/>
  <c r="T435" i="9"/>
  <c r="BK435" i="7" a="1"/>
  <c r="BK435" i="7" s="1"/>
  <c r="H435" i="7" s="1"/>
  <c r="T434" i="9"/>
  <c r="BK434" i="7" a="1"/>
  <c r="BK434" i="7" s="1"/>
  <c r="H434" i="7" s="1"/>
  <c r="T433" i="9"/>
  <c r="BK433" i="7" a="1"/>
  <c r="BK433" i="7" s="1"/>
  <c r="H433" i="7" s="1"/>
  <c r="T432" i="9"/>
  <c r="AB432" i="9" s="1"/>
  <c r="BK432" i="7" a="1"/>
  <c r="BK432" i="7" s="1"/>
  <c r="H432" i="7" s="1"/>
  <c r="T431" i="9"/>
  <c r="BK431" i="7" a="1"/>
  <c r="BK431" i="7" s="1"/>
  <c r="H431" i="7" s="1"/>
  <c r="T430" i="9"/>
  <c r="BK430" i="7" a="1"/>
  <c r="BK430" i="7" s="1"/>
  <c r="H430" i="7" s="1"/>
  <c r="T429" i="9"/>
  <c r="BK429" i="7" a="1"/>
  <c r="BK429" i="7" s="1"/>
  <c r="H429" i="7" s="1"/>
  <c r="T428" i="9"/>
  <c r="AB428" i="9" s="1"/>
  <c r="BK428" i="7" a="1"/>
  <c r="BK428" i="7" s="1"/>
  <c r="H428" i="7" s="1"/>
  <c r="T427" i="9"/>
  <c r="BK427" i="7" a="1"/>
  <c r="BK427" i="7" s="1"/>
  <c r="H427" i="7" s="1"/>
  <c r="T426" i="9"/>
  <c r="BK425" i="7" a="1"/>
  <c r="BK425" i="7" s="1"/>
  <c r="H425" i="7" s="1"/>
  <c r="T424" i="9"/>
  <c r="BK424" i="7" a="1"/>
  <c r="BK424" i="7" s="1"/>
  <c r="H424" i="7" s="1"/>
  <c r="T423" i="9"/>
  <c r="BK423" i="7" a="1"/>
  <c r="BK423" i="7" s="1"/>
  <c r="H423" i="7" s="1"/>
  <c r="T422" i="9"/>
  <c r="AB422" i="9" s="1"/>
  <c r="BK422" i="7" a="1"/>
  <c r="BK422" i="7" s="1"/>
  <c r="H422" i="7" s="1"/>
  <c r="T421" i="9"/>
  <c r="BK421" i="7" a="1"/>
  <c r="BK421" i="7" s="1"/>
  <c r="H421" i="7" s="1"/>
  <c r="T420" i="9"/>
  <c r="BK419" i="7" a="1"/>
  <c r="BK419" i="7" s="1"/>
  <c r="H419" i="7" s="1"/>
  <c r="T418" i="9"/>
  <c r="AB418" i="9" s="1"/>
  <c r="BK418" i="7" a="1"/>
  <c r="BK418" i="7" s="1"/>
  <c r="H418" i="7" s="1"/>
  <c r="T417" i="9"/>
  <c r="AB417" i="9" s="1"/>
  <c r="BK416" i="7" a="1"/>
  <c r="BK416" i="7" s="1"/>
  <c r="H416" i="7" s="1"/>
  <c r="T415" i="9"/>
  <c r="BK415" i="7" a="1"/>
  <c r="BK415" i="7" s="1"/>
  <c r="H415" i="7" s="1"/>
  <c r="T414" i="9"/>
  <c r="BK414" i="7" a="1"/>
  <c r="BK414" i="7" s="1"/>
  <c r="H414" i="7" s="1"/>
  <c r="T413" i="9"/>
  <c r="BK413" i="7" a="1"/>
  <c r="BK413" i="7" s="1"/>
  <c r="H413" i="7" s="1"/>
  <c r="T412" i="9"/>
  <c r="BK412" i="7" a="1"/>
  <c r="BK412" i="7" s="1"/>
  <c r="H412" i="7" s="1"/>
  <c r="T411" i="9"/>
  <c r="BK411" i="7" a="1"/>
  <c r="BK411" i="7" s="1"/>
  <c r="H411" i="7" s="1"/>
  <c r="T410" i="9"/>
  <c r="BK410" i="7" a="1"/>
  <c r="BK410" i="7" s="1"/>
  <c r="H410" i="7" s="1"/>
  <c r="T409" i="9"/>
  <c r="BK409" i="7" a="1"/>
  <c r="BK409" i="7" s="1"/>
  <c r="H409" i="7" s="1"/>
  <c r="T408" i="9"/>
  <c r="BK408" i="7" a="1"/>
  <c r="BK408" i="7" s="1"/>
  <c r="H408" i="7" s="1"/>
  <c r="T407" i="9"/>
  <c r="BK406" i="7" a="1"/>
  <c r="BK406" i="7" s="1"/>
  <c r="H406" i="7" s="1"/>
  <c r="T405" i="9"/>
  <c r="AB405" i="9" s="1"/>
  <c r="BK405" i="7" a="1"/>
  <c r="BK405" i="7" s="1"/>
  <c r="H405" i="7" s="1"/>
  <c r="T404" i="9"/>
  <c r="BK404" i="7" a="1"/>
  <c r="BK404" i="7" s="1"/>
  <c r="H404" i="7" s="1"/>
  <c r="T403" i="9"/>
  <c r="AB403" i="9" s="1"/>
  <c r="BK402" i="7" a="1"/>
  <c r="BK402" i="7" s="1"/>
  <c r="H402" i="7" s="1"/>
  <c r="T401" i="9"/>
  <c r="BK400" i="7" a="1"/>
  <c r="BK400" i="7" s="1"/>
  <c r="H400" i="7" s="1"/>
  <c r="T399" i="9"/>
  <c r="BK399" i="7" a="1"/>
  <c r="BK399" i="7" s="1"/>
  <c r="H399" i="7" s="1"/>
  <c r="T398" i="9"/>
  <c r="BK398" i="7" a="1"/>
  <c r="BK398" i="7" s="1"/>
  <c r="H398" i="7" s="1"/>
  <c r="T397" i="9"/>
  <c r="AB397" i="9" s="1"/>
  <c r="BK397" i="7" a="1"/>
  <c r="BK397" i="7" s="1"/>
  <c r="H397" i="7" s="1"/>
  <c r="T396" i="9"/>
  <c r="BK396" i="7" a="1"/>
  <c r="BK396" i="7" s="1"/>
  <c r="H396" i="7" s="1"/>
  <c r="T395" i="9"/>
  <c r="BK395" i="7" a="1"/>
  <c r="BK395" i="7" s="1"/>
  <c r="H395" i="7" s="1"/>
  <c r="T394" i="9"/>
  <c r="AB394" i="9" s="1"/>
  <c r="BK394" i="7" a="1"/>
  <c r="BK394" i="7" s="1"/>
  <c r="H394" i="7" s="1"/>
  <c r="T393" i="9"/>
  <c r="AB393" i="9" s="1"/>
  <c r="BK393" i="7" a="1"/>
  <c r="BK393" i="7" s="1"/>
  <c r="H393" i="7" s="1"/>
  <c r="T392" i="9"/>
  <c r="AB392" i="9" s="1"/>
  <c r="BK392" i="7" a="1"/>
  <c r="BK392" i="7" s="1"/>
  <c r="H392" i="7" s="1"/>
  <c r="T391" i="9"/>
  <c r="BK391" i="7" a="1"/>
  <c r="BK391" i="7" s="1"/>
  <c r="H391" i="7" s="1"/>
  <c r="T390" i="9"/>
  <c r="BK389" i="7" a="1"/>
  <c r="BK389" i="7" s="1"/>
  <c r="H389" i="7" s="1"/>
  <c r="T388" i="9"/>
  <c r="BK388" i="7" a="1"/>
  <c r="BK388" i="7" s="1"/>
  <c r="H388" i="7" s="1"/>
  <c r="T387" i="9"/>
  <c r="BK387" i="7" a="1"/>
  <c r="BK387" i="7" s="1"/>
  <c r="H387" i="7" s="1"/>
  <c r="T386" i="9"/>
  <c r="BK386" i="7" a="1"/>
  <c r="BK386" i="7" s="1"/>
  <c r="H386" i="7" s="1"/>
  <c r="T385" i="9"/>
  <c r="BK385" i="7" a="1"/>
  <c r="BK385" i="7" s="1"/>
  <c r="H385" i="7" s="1"/>
  <c r="T384" i="9"/>
  <c r="BK383" i="7" a="1"/>
  <c r="BK383" i="7" s="1"/>
  <c r="H383" i="7" s="1"/>
  <c r="T382" i="9"/>
  <c r="BK382" i="7" a="1"/>
  <c r="BK382" i="7" s="1"/>
  <c r="H382" i="7" s="1"/>
  <c r="T381" i="9"/>
  <c r="AB381" i="9" s="1"/>
  <c r="BK380" i="7" a="1"/>
  <c r="BK380" i="7" s="1"/>
  <c r="H380" i="7" s="1"/>
  <c r="T379" i="9"/>
  <c r="BK379" i="7" a="1"/>
  <c r="BK379" i="7" s="1"/>
  <c r="H379" i="7" s="1"/>
  <c r="T378" i="9"/>
  <c r="AB378" i="9" s="1"/>
  <c r="BK378" i="7" a="1"/>
  <c r="BK378" i="7" s="1"/>
  <c r="H378" i="7" s="1"/>
  <c r="T377" i="9"/>
  <c r="BK377" i="7" a="1"/>
  <c r="BK377" i="7" s="1"/>
  <c r="H377" i="7" s="1"/>
  <c r="T376" i="9"/>
  <c r="BK376" i="7" a="1"/>
  <c r="BK376" i="7" s="1"/>
  <c r="H376" i="7" s="1"/>
  <c r="T375" i="9"/>
  <c r="BK375" i="7" a="1"/>
  <c r="BK375" i="7" s="1"/>
  <c r="H375" i="7" s="1"/>
  <c r="T374" i="9"/>
  <c r="BK374" i="7" a="1"/>
  <c r="BK374" i="7" s="1"/>
  <c r="H374" i="7" s="1"/>
  <c r="T373" i="9"/>
  <c r="BK373" i="7" a="1"/>
  <c r="BK373" i="7" s="1"/>
  <c r="H373" i="7" s="1"/>
  <c r="T372" i="9"/>
  <c r="AB372" i="9" s="1"/>
  <c r="BK372" i="7" a="1"/>
  <c r="BK372" i="7" s="1"/>
  <c r="H372" i="7" s="1"/>
  <c r="T371" i="9"/>
  <c r="AB371" i="9" s="1"/>
  <c r="BK370" i="7" a="1"/>
  <c r="BK370" i="7" s="1"/>
  <c r="H370" i="7" s="1"/>
  <c r="T369" i="9"/>
  <c r="AB369" i="9" s="1"/>
  <c r="BK369" i="7" a="1"/>
  <c r="BK369" i="7" s="1"/>
  <c r="H369" i="7" s="1"/>
  <c r="T368" i="9"/>
  <c r="AB368" i="9" s="1"/>
  <c r="BK368" i="7" a="1"/>
  <c r="BK368" i="7" s="1"/>
  <c r="H368" i="7" s="1"/>
  <c r="T367" i="9"/>
  <c r="BK366" i="7" a="1"/>
  <c r="BK366" i="7" s="1"/>
  <c r="H366" i="7" s="1"/>
  <c r="T365" i="9"/>
  <c r="BK364" i="7" a="1"/>
  <c r="BK364" i="7" s="1"/>
  <c r="H364" i="7" s="1"/>
  <c r="T363" i="9"/>
  <c r="BK363" i="7" a="1"/>
  <c r="BK363" i="7" s="1"/>
  <c r="H363" i="7" s="1"/>
  <c r="T362" i="9"/>
  <c r="BK362" i="7" a="1"/>
  <c r="BK362" i="7" s="1"/>
  <c r="H362" i="7" s="1"/>
  <c r="T361" i="9"/>
  <c r="BK361" i="7" a="1"/>
  <c r="BK361" i="7" s="1"/>
  <c r="H361" i="7" s="1"/>
  <c r="T360" i="9"/>
  <c r="BK360" i="7" a="1"/>
  <c r="BK360" i="7" s="1"/>
  <c r="H360" i="7" s="1"/>
  <c r="T359" i="9"/>
  <c r="AB359" i="9" s="1"/>
  <c r="BK359" i="7" a="1"/>
  <c r="BK359" i="7" s="1"/>
  <c r="H359" i="7" s="1"/>
  <c r="T358" i="9"/>
  <c r="BK358" i="7" a="1"/>
  <c r="BK358" i="7" s="1"/>
  <c r="H358" i="7" s="1"/>
  <c r="T357" i="9"/>
  <c r="BK357" i="7" a="1"/>
  <c r="BK357" i="7" s="1"/>
  <c r="H357" i="7" s="1"/>
  <c r="T356" i="9"/>
  <c r="AB356" i="9" s="1"/>
  <c r="BK356" i="7" a="1"/>
  <c r="BK356" i="7" s="1"/>
  <c r="H356" i="7" s="1"/>
  <c r="T355" i="9"/>
  <c r="BK355" i="7" a="1"/>
  <c r="BK355" i="7" s="1"/>
  <c r="H355" i="7" s="1"/>
  <c r="T354" i="9"/>
  <c r="BK353" i="7" a="1"/>
  <c r="BK353" i="7" s="1"/>
  <c r="H353" i="7" s="1"/>
  <c r="T352" i="9"/>
  <c r="BK352" i="7" a="1"/>
  <c r="BK352" i="7" s="1"/>
  <c r="H352" i="7" s="1"/>
  <c r="T351" i="9"/>
  <c r="BK351" i="7" a="1"/>
  <c r="BK351" i="7" s="1"/>
  <c r="H351" i="7" s="1"/>
  <c r="T350" i="9"/>
  <c r="BK350" i="7" a="1"/>
  <c r="BK350" i="7" s="1"/>
  <c r="H350" i="7" s="1"/>
  <c r="T349" i="9"/>
  <c r="BK349" i="7" a="1"/>
  <c r="BK349" i="7" s="1"/>
  <c r="H349" i="7" s="1"/>
  <c r="T348" i="9"/>
  <c r="BK347" i="7" a="1"/>
  <c r="BK347" i="7" s="1"/>
  <c r="H347" i="7" s="1"/>
  <c r="T346" i="9"/>
  <c r="AB346" i="9" s="1"/>
  <c r="BK346" i="7" a="1"/>
  <c r="BK346" i="7" s="1"/>
  <c r="H346" i="7" s="1"/>
  <c r="T345" i="9"/>
  <c r="BK344" i="7" a="1"/>
  <c r="BK344" i="7" s="1"/>
  <c r="H344" i="7" s="1"/>
  <c r="T343" i="9"/>
  <c r="BK343" i="7" a="1"/>
  <c r="BK343" i="7" s="1"/>
  <c r="H343" i="7" s="1"/>
  <c r="T342" i="9"/>
  <c r="BK342" i="7" a="1"/>
  <c r="BK342" i="7" s="1"/>
  <c r="H342" i="7" s="1"/>
  <c r="T341" i="9"/>
  <c r="BK341" i="7" a="1"/>
  <c r="BK341" i="7" s="1"/>
  <c r="H341" i="7" s="1"/>
  <c r="T340" i="9"/>
  <c r="BK340" i="7" a="1"/>
  <c r="BK340" i="7" s="1"/>
  <c r="H340" i="7" s="1"/>
  <c r="T339" i="9"/>
  <c r="BK339" i="7" a="1"/>
  <c r="BK339" i="7" s="1"/>
  <c r="H339" i="7" s="1"/>
  <c r="T338" i="9"/>
  <c r="BK338" i="7" a="1"/>
  <c r="BK338" i="7" s="1"/>
  <c r="H338" i="7" s="1"/>
  <c r="T337" i="9"/>
  <c r="BK337" i="7" a="1"/>
  <c r="BK337" i="7" s="1"/>
  <c r="H337" i="7" s="1"/>
  <c r="T336" i="9"/>
  <c r="BK336" i="7" a="1"/>
  <c r="BK336" i="7" s="1"/>
  <c r="H336" i="7" s="1"/>
  <c r="T335" i="9"/>
  <c r="BK334" i="7" a="1"/>
  <c r="BK334" i="7" s="1"/>
  <c r="H334" i="7" s="1"/>
  <c r="T333" i="9"/>
  <c r="AB333" i="9" s="1"/>
  <c r="BK333" i="7" a="1"/>
  <c r="BK333" i="7" s="1"/>
  <c r="H333" i="7" s="1"/>
  <c r="T332" i="9"/>
  <c r="BK332" i="7" a="1"/>
  <c r="BK332" i="7" s="1"/>
  <c r="H332" i="7" s="1"/>
  <c r="T331" i="9"/>
  <c r="BK330" i="7" a="1"/>
  <c r="BK330" i="7" s="1"/>
  <c r="H330" i="7" s="1"/>
  <c r="T329" i="9"/>
  <c r="BK328" i="7" a="1"/>
  <c r="BK328" i="7" s="1"/>
  <c r="H328" i="7" s="1"/>
  <c r="T327" i="9"/>
  <c r="BK327" i="7" a="1"/>
  <c r="BK327" i="7" s="1"/>
  <c r="H327" i="7" s="1"/>
  <c r="T326" i="9"/>
  <c r="AB326" i="9" s="1"/>
  <c r="BK326" i="7" a="1"/>
  <c r="BK326" i="7" s="1"/>
  <c r="H326" i="7" s="1"/>
  <c r="T325" i="9"/>
  <c r="BK325" i="7" a="1"/>
  <c r="BK325" i="7" s="1"/>
  <c r="H325" i="7" s="1"/>
  <c r="T324" i="9"/>
  <c r="BK324" i="7" a="1"/>
  <c r="BK324" i="7" s="1"/>
  <c r="H324" i="7" s="1"/>
  <c r="T323" i="9"/>
  <c r="BK323" i="7" a="1"/>
  <c r="BK323" i="7" s="1"/>
  <c r="H323" i="7" s="1"/>
  <c r="T322" i="9"/>
  <c r="AB322" i="9" s="1"/>
  <c r="BK322" i="7" a="1"/>
  <c r="BK322" i="7" s="1"/>
  <c r="H322" i="7" s="1"/>
  <c r="T321" i="9"/>
  <c r="AB321" i="9" s="1"/>
  <c r="BK321" i="7" a="1"/>
  <c r="BK321" i="7" s="1"/>
  <c r="H321" i="7" s="1"/>
  <c r="T320" i="9"/>
  <c r="AB320" i="9" s="1"/>
  <c r="BK320" i="7" a="1"/>
  <c r="BK320" i="7" s="1"/>
  <c r="H320" i="7" s="1"/>
  <c r="T319" i="9"/>
  <c r="BK317" i="7" a="1"/>
  <c r="BK317" i="7" s="1"/>
  <c r="H317" i="7" s="1"/>
  <c r="T316" i="9"/>
  <c r="BK316" i="7" a="1"/>
  <c r="BK316" i="7" s="1"/>
  <c r="H316" i="7" s="1"/>
  <c r="T315" i="9"/>
  <c r="BK315" i="7" a="1"/>
  <c r="BK315" i="7" s="1"/>
  <c r="H315" i="7" s="1"/>
  <c r="T314" i="9"/>
  <c r="BK314" i="7" a="1"/>
  <c r="BK314" i="7" s="1"/>
  <c r="H314" i="7" s="1"/>
  <c r="T313" i="9"/>
  <c r="AB313" i="9" s="1"/>
  <c r="BK313" i="7" a="1"/>
  <c r="BK313" i="7" s="1"/>
  <c r="H313" i="7" s="1"/>
  <c r="T312" i="9"/>
  <c r="AB12" i="9"/>
  <c r="AB109" i="9"/>
  <c r="AB73" i="9"/>
  <c r="AB49" i="9"/>
  <c r="AB25" i="9"/>
  <c r="AB96" i="9"/>
  <c r="AB48" i="9"/>
  <c r="AB24" i="9"/>
  <c r="AB95" i="9"/>
  <c r="AB47" i="9"/>
  <c r="AB23" i="9"/>
  <c r="AB129" i="9"/>
  <c r="AB70" i="9"/>
  <c r="AB46" i="9"/>
  <c r="AB22" i="9"/>
  <c r="AB93" i="9"/>
  <c r="AB45" i="9"/>
  <c r="AB21" i="9"/>
  <c r="AB123" i="9"/>
  <c r="AB92" i="9"/>
  <c r="AB68" i="9"/>
  <c r="AB44" i="9"/>
  <c r="AB20" i="9"/>
  <c r="AB91" i="9"/>
  <c r="AB67" i="9"/>
  <c r="AB43" i="9"/>
  <c r="AB19" i="9"/>
  <c r="AB120" i="9"/>
  <c r="AB66" i="9"/>
  <c r="AB42" i="9"/>
  <c r="AB18" i="9"/>
  <c r="AB89" i="9"/>
  <c r="AB65" i="9"/>
  <c r="AB41" i="9"/>
  <c r="AB17" i="9"/>
  <c r="AB5" i="9"/>
  <c r="AB88" i="9"/>
  <c r="AB64" i="9"/>
  <c r="AB40" i="9"/>
  <c r="AB16" i="9"/>
  <c r="AB112" i="9"/>
  <c r="AB63" i="9"/>
  <c r="AB39" i="9"/>
  <c r="AB15" i="9"/>
  <c r="AB3" i="9"/>
  <c r="AB111" i="9"/>
  <c r="AB62" i="9"/>
  <c r="AB38" i="9"/>
  <c r="AB14" i="9"/>
  <c r="AB167" i="9"/>
  <c r="AB131" i="9"/>
  <c r="AB118" i="9"/>
  <c r="AB164" i="9"/>
  <c r="AB140" i="9"/>
  <c r="AB127" i="9"/>
  <c r="AB173" i="9"/>
  <c r="AB149" i="9"/>
  <c r="AB125" i="9"/>
  <c r="AB135" i="9"/>
  <c r="AB134" i="9"/>
  <c r="AB133" i="9"/>
  <c r="Z751" i="9"/>
  <c r="V739" i="9" a="1"/>
  <c r="V739" i="9" s="1"/>
  <c r="AD739" i="9" s="1"/>
  <c r="Z739" i="9"/>
  <c r="V703" i="9" a="1"/>
  <c r="V703" i="9" s="1"/>
  <c r="AD703" i="9" s="1"/>
  <c r="V679" i="9" a="1"/>
  <c r="V679" i="9" s="1"/>
  <c r="AD679" i="9" s="1"/>
  <c r="V655" i="9" a="1"/>
  <c r="V655" i="9" s="1"/>
  <c r="AD655" i="9" s="1"/>
  <c r="V643" i="9" a="1"/>
  <c r="V643" i="9" s="1"/>
  <c r="AD643" i="9" s="1"/>
  <c r="Z643" i="9"/>
  <c r="Z619" i="9"/>
  <c r="Z607" i="9"/>
  <c r="Z595" i="9"/>
  <c r="V559" i="9" a="1"/>
  <c r="V559" i="9" s="1"/>
  <c r="AD559" i="9" s="1"/>
  <c r="Z559" i="9"/>
  <c r="V547" i="9" a="1"/>
  <c r="V547" i="9" s="1"/>
  <c r="AD547" i="9" s="1"/>
  <c r="Z523" i="9"/>
  <c r="V487" i="9" a="1"/>
  <c r="V487" i="9" s="1"/>
  <c r="AD487" i="9" s="1"/>
  <c r="Z463" i="9"/>
  <c r="V427" i="9" a="1"/>
  <c r="V427" i="9" s="1"/>
  <c r="AD427" i="9" s="1"/>
  <c r="V403" i="9" a="1"/>
  <c r="V403" i="9" s="1"/>
  <c r="AD403" i="9" s="1"/>
  <c r="Z379" i="9"/>
  <c r="V343" i="9" a="1"/>
  <c r="V343" i="9" s="1"/>
  <c r="AD343" i="9" s="1"/>
  <c r="Z319" i="9"/>
  <c r="V283" i="9" a="1"/>
  <c r="V283" i="9" s="1"/>
  <c r="AD283" i="9" s="1"/>
  <c r="V259" i="9" a="1"/>
  <c r="V259" i="9" s="1"/>
  <c r="AD259" i="9" s="1"/>
  <c r="Z235" i="9"/>
  <c r="V199" i="9" a="1"/>
  <c r="V199" i="9" s="1"/>
  <c r="AD199" i="9" s="1"/>
  <c r="Z175" i="9"/>
  <c r="V762" i="9" a="1"/>
  <c r="V762" i="9" s="1"/>
  <c r="AD762" i="9" s="1"/>
  <c r="Z762" i="9"/>
  <c r="V750" i="9" a="1"/>
  <c r="V750" i="9" s="1"/>
  <c r="AD750" i="9" s="1"/>
  <c r="Z726" i="9"/>
  <c r="V690" i="9" a="1"/>
  <c r="V690" i="9" s="1"/>
  <c r="AD690" i="9" s="1"/>
  <c r="V666" i="9" a="1"/>
  <c r="V666" i="9" s="1"/>
  <c r="AD666" i="9" s="1"/>
  <c r="Z666" i="9"/>
  <c r="V654" i="9" a="1"/>
  <c r="V654" i="9" s="1"/>
  <c r="AD654" i="9" s="1"/>
  <c r="Z654" i="9"/>
  <c r="Z642" i="9"/>
  <c r="Z606" i="9"/>
  <c r="V594" i="9" a="1"/>
  <c r="V594" i="9" s="1"/>
  <c r="AD594" i="9" s="1"/>
  <c r="Z594" i="9"/>
  <c r="V582" i="9" a="1"/>
  <c r="V582" i="9" s="1"/>
  <c r="AD582" i="9" s="1"/>
  <c r="Z582" i="9"/>
  <c r="V546" i="9" a="1"/>
  <c r="V546" i="9" s="1"/>
  <c r="AD546" i="9" s="1"/>
  <c r="V522" i="9" a="1"/>
  <c r="V522" i="9" s="1"/>
  <c r="AD522" i="9" s="1"/>
  <c r="V510" i="9" a="1"/>
  <c r="V510" i="9" s="1"/>
  <c r="AD510" i="9" s="1"/>
  <c r="Z510" i="9"/>
  <c r="V474" i="9" a="1"/>
  <c r="V474" i="9" s="1"/>
  <c r="AD474" i="9" s="1"/>
  <c r="Z474" i="9"/>
  <c r="V462" i="9" a="1"/>
  <c r="V462" i="9" s="1"/>
  <c r="AD462" i="9" s="1"/>
  <c r="V438" i="9" a="1"/>
  <c r="V438" i="9" s="1"/>
  <c r="AD438" i="9" s="1"/>
  <c r="Z438" i="9"/>
  <c r="Z426" i="9"/>
  <c r="V402" i="9" a="1"/>
  <c r="V402" i="9" s="1"/>
  <c r="AD402" i="9" s="1"/>
  <c r="Z402" i="9"/>
  <c r="V378" i="9" a="1"/>
  <c r="V378" i="9" s="1"/>
  <c r="AD378" i="9" s="1"/>
  <c r="V366" i="9" a="1"/>
  <c r="V366" i="9" s="1"/>
  <c r="AD366" i="9" s="1"/>
  <c r="Z366" i="9"/>
  <c r="V330" i="9" a="1"/>
  <c r="V330" i="9" s="1"/>
  <c r="AD330" i="9" s="1"/>
  <c r="Z330" i="9"/>
  <c r="V318" i="9" a="1"/>
  <c r="V318" i="9" s="1"/>
  <c r="AD318" i="9" s="1"/>
  <c r="V294" i="9" a="1"/>
  <c r="V294" i="9" s="1"/>
  <c r="AD294" i="9" s="1"/>
  <c r="Z294" i="9"/>
  <c r="V270" i="9" a="1"/>
  <c r="V270" i="9" s="1"/>
  <c r="AD270" i="9" s="1"/>
  <c r="V258" i="9" a="1"/>
  <c r="V258" i="9" s="1"/>
  <c r="AD258" i="9" s="1"/>
  <c r="Z258" i="9"/>
  <c r="V222" i="9" a="1"/>
  <c r="V222" i="9" s="1"/>
  <c r="AD222" i="9" s="1"/>
  <c r="Z222" i="9"/>
  <c r="V210" i="9" a="1"/>
  <c r="V210" i="9" s="1"/>
  <c r="AD210" i="9" s="1"/>
  <c r="V186" i="9" a="1"/>
  <c r="V186" i="9" s="1"/>
  <c r="AD186" i="9" s="1"/>
  <c r="Z186" i="9"/>
  <c r="V162" i="9" a="1"/>
  <c r="V162" i="9" s="1"/>
  <c r="AD162" i="9" s="1"/>
  <c r="Z761" i="9"/>
  <c r="V749" i="9" a="1"/>
  <c r="V749" i="9" s="1"/>
  <c r="AD749" i="9" s="1"/>
  <c r="Z749" i="9"/>
  <c r="V713" i="9" a="1"/>
  <c r="V713" i="9" s="1"/>
  <c r="AD713" i="9" s="1"/>
  <c r="Z713" i="9"/>
  <c r="Z701" i="9"/>
  <c r="Z665" i="9"/>
  <c r="V629" i="9" a="1"/>
  <c r="V629" i="9" s="1"/>
  <c r="AD629" i="9" s="1"/>
  <c r="Z629" i="9"/>
  <c r="V617" i="9" a="1"/>
  <c r="V617" i="9" s="1"/>
  <c r="AD617" i="9" s="1"/>
  <c r="Z593" i="9"/>
  <c r="Z557" i="9"/>
  <c r="V533" i="9" a="1"/>
  <c r="V533" i="9" s="1"/>
  <c r="AD533" i="9" s="1"/>
  <c r="Z533" i="9"/>
  <c r="Z521" i="9"/>
  <c r="V497" i="9" a="1"/>
  <c r="V497" i="9" s="1"/>
  <c r="AD497" i="9" s="1"/>
  <c r="Z497" i="9"/>
  <c r="Z485" i="9"/>
  <c r="V461" i="9" a="1"/>
  <c r="V461" i="9" s="1"/>
  <c r="AD461" i="9" s="1"/>
  <c r="Z461" i="9"/>
  <c r="Z449" i="9"/>
  <c r="V425" i="9" a="1"/>
  <c r="V425" i="9" s="1"/>
  <c r="AD425" i="9" s="1"/>
  <c r="Z425" i="9"/>
  <c r="Z413" i="9"/>
  <c r="V389" i="9" a="1"/>
  <c r="V389" i="9" s="1"/>
  <c r="AD389" i="9" s="1"/>
  <c r="Z389" i="9"/>
  <c r="Z377" i="9"/>
  <c r="V353" i="9" a="1"/>
  <c r="V353" i="9" s="1"/>
  <c r="AD353" i="9" s="1"/>
  <c r="Z353" i="9"/>
  <c r="Z341" i="9"/>
  <c r="V317" i="9" a="1"/>
  <c r="V317" i="9" s="1"/>
  <c r="AD317" i="9" s="1"/>
  <c r="Z317" i="9"/>
  <c r="Z305" i="9"/>
  <c r="V281" i="9" a="1"/>
  <c r="V281" i="9" s="1"/>
  <c r="AD281" i="9" s="1"/>
  <c r="Z281" i="9"/>
  <c r="Z269" i="9"/>
  <c r="V245" i="9" a="1"/>
  <c r="V245" i="9" s="1"/>
  <c r="AD245" i="9" s="1"/>
  <c r="Z245" i="9"/>
  <c r="Z233" i="9"/>
  <c r="V209" i="9" a="1"/>
  <c r="V209" i="9" s="1"/>
  <c r="AD209" i="9" s="1"/>
  <c r="Z209" i="9"/>
  <c r="Z197" i="9"/>
  <c r="V760" i="9" a="1"/>
  <c r="V760" i="9" s="1"/>
  <c r="AD760" i="9" s="1"/>
  <c r="Z760" i="9"/>
  <c r="Z748" i="9"/>
  <c r="V736" i="9" a="1"/>
  <c r="V736" i="9" s="1"/>
  <c r="AD736" i="9" s="1"/>
  <c r="Z736" i="9"/>
  <c r="Z724" i="9"/>
  <c r="V700" i="9" a="1"/>
  <c r="V700" i="9" s="1"/>
  <c r="AD700" i="9" s="1"/>
  <c r="Z700" i="9"/>
  <c r="V688" i="9" a="1"/>
  <c r="V688" i="9" s="1"/>
  <c r="AD688" i="9" s="1"/>
  <c r="Z676" i="9"/>
  <c r="V652" i="9" a="1"/>
  <c r="V652" i="9" s="1"/>
  <c r="AD652" i="9" s="1"/>
  <c r="Z652" i="9"/>
  <c r="V640" i="9" a="1"/>
  <c r="V640" i="9" s="1"/>
  <c r="AD640" i="9" s="1"/>
  <c r="Z640" i="9"/>
  <c r="Z628" i="9"/>
  <c r="Z616" i="9"/>
  <c r="V592" i="9" a="1"/>
  <c r="V592" i="9" s="1"/>
  <c r="AD592" i="9" s="1"/>
  <c r="Z592" i="9"/>
  <c r="V580" i="9" a="1"/>
  <c r="V580" i="9" s="1"/>
  <c r="AD580" i="9" s="1"/>
  <c r="Z568" i="9"/>
  <c r="V544" i="9" a="1"/>
  <c r="V544" i="9" s="1"/>
  <c r="AD544" i="9" s="1"/>
  <c r="Z544" i="9"/>
  <c r="Z532" i="9"/>
  <c r="V508" i="9" a="1"/>
  <c r="V508" i="9" s="1"/>
  <c r="AD508" i="9" s="1"/>
  <c r="Z508" i="9"/>
  <c r="Z496" i="9"/>
  <c r="V472" i="9" a="1"/>
  <c r="V472" i="9" s="1"/>
  <c r="AD472" i="9" s="1"/>
  <c r="Z472" i="9"/>
  <c r="Z460" i="9"/>
  <c r="V436" i="9" a="1"/>
  <c r="V436" i="9" s="1"/>
  <c r="AD436" i="9" s="1"/>
  <c r="Z436" i="9"/>
  <c r="Z424" i="9"/>
  <c r="V400" i="9" a="1"/>
  <c r="V400" i="9" s="1"/>
  <c r="AD400" i="9" s="1"/>
  <c r="Z400" i="9"/>
  <c r="Z388" i="9"/>
  <c r="V364" i="9" a="1"/>
  <c r="V364" i="9" s="1"/>
  <c r="AD364" i="9" s="1"/>
  <c r="B129" i="9" s="1"/>
  <c r="Z364" i="9"/>
  <c r="Z352" i="9"/>
  <c r="V328" i="9" a="1"/>
  <c r="V328" i="9" s="1"/>
  <c r="AD328" i="9" s="1"/>
  <c r="Z328" i="9"/>
  <c r="Z316" i="9"/>
  <c r="V292" i="9" a="1"/>
  <c r="V292" i="9" s="1"/>
  <c r="AD292" i="9" s="1"/>
  <c r="Z292" i="9"/>
  <c r="Z280" i="9"/>
  <c r="V256" i="9" a="1"/>
  <c r="V256" i="9" s="1"/>
  <c r="AD256" i="9" s="1"/>
  <c r="Z256" i="9"/>
  <c r="Z244" i="9"/>
  <c r="V220" i="9" a="1"/>
  <c r="V220" i="9" s="1"/>
  <c r="AD220" i="9" s="1"/>
  <c r="Z220" i="9"/>
  <c r="Z208" i="9"/>
  <c r="V184" i="9" a="1"/>
  <c r="V184" i="9" s="1"/>
  <c r="AD184" i="9" s="1"/>
  <c r="Z184" i="9"/>
  <c r="Z172" i="9"/>
  <c r="Z160" i="9"/>
  <c r="Z148" i="9"/>
  <c r="V747" i="9" a="1"/>
  <c r="V747" i="9" s="1"/>
  <c r="AD747" i="9" s="1"/>
  <c r="Z747" i="9"/>
  <c r="V735" i="9" a="1"/>
  <c r="V735" i="9" s="1"/>
  <c r="AD735" i="9" s="1"/>
  <c r="V723" i="9" a="1"/>
  <c r="V723" i="9" s="1"/>
  <c r="AD723" i="9" s="1"/>
  <c r="Z723" i="9"/>
  <c r="V711" i="9" a="1"/>
  <c r="V711" i="9" s="1"/>
  <c r="AD711" i="9" s="1"/>
  <c r="V699" i="9" a="1"/>
  <c r="V699" i="9" s="1"/>
  <c r="AD699" i="9" s="1"/>
  <c r="V687" i="9" a="1"/>
  <c r="V687" i="9" s="1"/>
  <c r="AD687" i="9" s="1"/>
  <c r="Z687" i="9"/>
  <c r="Z675" i="9"/>
  <c r="Z663" i="9"/>
  <c r="V639" i="9" a="1"/>
  <c r="V639" i="9" s="1"/>
  <c r="AD639" i="9" s="1"/>
  <c r="V627" i="9" a="1"/>
  <c r="V627" i="9" s="1"/>
  <c r="AD627" i="9" s="1"/>
  <c r="V615" i="9" a="1"/>
  <c r="V615" i="9" s="1"/>
  <c r="AD615" i="9" s="1"/>
  <c r="Z615" i="9"/>
  <c r="Z603" i="9"/>
  <c r="Z591" i="9"/>
  <c r="V579" i="9" a="1"/>
  <c r="V579" i="9" s="1"/>
  <c r="AD579" i="9" s="1"/>
  <c r="Z579" i="9"/>
  <c r="V567" i="9" a="1"/>
  <c r="V567" i="9" s="1"/>
  <c r="AD567" i="9" s="1"/>
  <c r="Z567" i="9"/>
  <c r="Z555" i="9"/>
  <c r="Z531" i="9"/>
  <c r="Z519" i="9"/>
  <c r="V495" i="9" a="1"/>
  <c r="V495" i="9" s="1"/>
  <c r="AD495" i="9" s="1"/>
  <c r="V483" i="9" a="1"/>
  <c r="V483" i="9" s="1"/>
  <c r="AD483" i="9" s="1"/>
  <c r="Z471" i="9"/>
  <c r="V447" i="9" a="1"/>
  <c r="V447" i="9" s="1"/>
  <c r="AD447" i="9" s="1"/>
  <c r="Z435" i="9"/>
  <c r="Z423" i="9"/>
  <c r="Z411" i="9"/>
  <c r="Z387" i="9"/>
  <c r="Z375" i="9"/>
  <c r="V351" i="9" a="1"/>
  <c r="V351" i="9" s="1"/>
  <c r="AD351" i="9" s="1"/>
  <c r="V339" i="9" a="1"/>
  <c r="V339" i="9" s="1"/>
  <c r="AD339" i="9" s="1"/>
  <c r="Z327" i="9"/>
  <c r="V303" i="9" a="1"/>
  <c r="V303" i="9" s="1"/>
  <c r="AD303" i="9" s="1"/>
  <c r="Z291" i="9"/>
  <c r="Z279" i="9"/>
  <c r="Z267" i="9"/>
  <c r="Z243" i="9"/>
  <c r="Z231" i="9"/>
  <c r="V207" i="9" a="1"/>
  <c r="V207" i="9" s="1"/>
  <c r="AD207" i="9" s="1"/>
  <c r="V195" i="9" a="1"/>
  <c r="V195" i="9" s="1"/>
  <c r="AD195" i="9" s="1"/>
  <c r="Z183" i="9"/>
  <c r="V159" i="9" a="1"/>
  <c r="V159" i="9" s="1"/>
  <c r="AD159" i="9" s="1"/>
  <c r="V147" i="9" a="1"/>
  <c r="V147" i="9" s="1"/>
  <c r="AD147" i="9" s="1"/>
  <c r="Z147" i="9"/>
  <c r="V758" i="9" a="1"/>
  <c r="V758" i="9" s="1"/>
  <c r="AD758" i="9" s="1"/>
  <c r="Z758" i="9"/>
  <c r="V746" i="9" a="1"/>
  <c r="V746" i="9" s="1"/>
  <c r="AD746" i="9" s="1"/>
  <c r="V734" i="9" a="1"/>
  <c r="V734" i="9" s="1"/>
  <c r="AD734" i="9" s="1"/>
  <c r="Z734" i="9"/>
  <c r="Z722" i="9"/>
  <c r="V710" i="9" a="1"/>
  <c r="V710" i="9" s="1"/>
  <c r="AD710" i="9" s="1"/>
  <c r="Z710" i="9"/>
  <c r="V686" i="9" a="1"/>
  <c r="V686" i="9" s="1"/>
  <c r="AD686" i="9" s="1"/>
  <c r="V674" i="9" a="1"/>
  <c r="V674" i="9" s="1"/>
  <c r="AD674" i="9" s="1"/>
  <c r="Z662" i="9"/>
  <c r="V638" i="9" a="1"/>
  <c r="V638" i="9" s="1"/>
  <c r="AD638" i="9" s="1"/>
  <c r="Z626" i="9"/>
  <c r="V614" i="9" a="1"/>
  <c r="V614" i="9" s="1"/>
  <c r="AD614" i="9" s="1"/>
  <c r="Z614" i="9"/>
  <c r="Z602" i="9"/>
  <c r="Z578" i="9"/>
  <c r="Z566" i="9"/>
  <c r="V542" i="9" a="1"/>
  <c r="V542" i="9" s="1"/>
  <c r="AD542" i="9" s="1"/>
  <c r="V530" i="9" a="1"/>
  <c r="V530" i="9" s="1"/>
  <c r="AD530" i="9" s="1"/>
  <c r="Z530" i="9"/>
  <c r="Z518" i="9"/>
  <c r="V494" i="9" a="1"/>
  <c r="V494" i="9" s="1"/>
  <c r="AD494" i="9" s="1"/>
  <c r="Z482" i="9"/>
  <c r="Z470" i="9"/>
  <c r="Z458" i="9"/>
  <c r="Z434" i="9"/>
  <c r="V422" i="9" a="1"/>
  <c r="V422" i="9" s="1"/>
  <c r="AD422" i="9" s="1"/>
  <c r="Z422" i="9"/>
  <c r="V398" i="9" a="1"/>
  <c r="V398" i="9" s="1"/>
  <c r="AD398" i="9" s="1"/>
  <c r="V386" i="9" a="1"/>
  <c r="V386" i="9" s="1"/>
  <c r="AD386" i="9" s="1"/>
  <c r="Z374" i="9"/>
  <c r="V350" i="9" a="1"/>
  <c r="V350" i="9" s="1"/>
  <c r="AD350" i="9" s="1"/>
  <c r="Z338" i="9"/>
  <c r="V326" i="9" a="1"/>
  <c r="V326" i="9" s="1"/>
  <c r="AD326" i="9" s="1"/>
  <c r="Z326" i="9"/>
  <c r="Z314" i="9"/>
  <c r="Z290" i="9"/>
  <c r="Z278" i="9"/>
  <c r="V254" i="9" a="1"/>
  <c r="V254" i="9" s="1"/>
  <c r="AD254" i="9" s="1"/>
  <c r="V242" i="9" a="1"/>
  <c r="V242" i="9" s="1"/>
  <c r="AD242" i="9" s="1"/>
  <c r="Z242" i="9"/>
  <c r="Z230" i="9"/>
  <c r="V206" i="9" a="1"/>
  <c r="V206" i="9" s="1"/>
  <c r="AD206" i="9" s="1"/>
  <c r="Z194" i="9"/>
  <c r="Z182" i="9"/>
  <c r="Z757" i="9"/>
  <c r="V745" i="9" a="1"/>
  <c r="V745" i="9" s="1"/>
  <c r="AD745" i="9" s="1"/>
  <c r="Z745" i="9"/>
  <c r="Z733" i="9"/>
  <c r="V721" i="9" a="1"/>
  <c r="V721" i="9" s="1"/>
  <c r="AD721" i="9" s="1"/>
  <c r="Z721" i="9"/>
  <c r="Z709" i="9"/>
  <c r="V697" i="9" a="1"/>
  <c r="V697" i="9" s="1"/>
  <c r="AD697" i="9" s="1"/>
  <c r="Z697" i="9"/>
  <c r="Z685" i="9"/>
  <c r="Z673" i="9"/>
  <c r="V649" i="9" a="1"/>
  <c r="V649" i="9" s="1"/>
  <c r="AD649" i="9" s="1"/>
  <c r="Z649" i="9"/>
  <c r="V637" i="9" a="1"/>
  <c r="V637" i="9" s="1"/>
  <c r="AD637" i="9" s="1"/>
  <c r="Z637" i="9"/>
  <c r="V625" i="9" a="1"/>
  <c r="V625" i="9" s="1"/>
  <c r="AD625" i="9" s="1"/>
  <c r="Z625" i="9"/>
  <c r="V613" i="9" a="1"/>
  <c r="V613" i="9" s="1"/>
  <c r="AD613" i="9" s="1"/>
  <c r="V601" i="9" a="1"/>
  <c r="V601" i="9" s="1"/>
  <c r="AD601" i="9" s="1"/>
  <c r="Z589" i="9"/>
  <c r="Z577" i="9"/>
  <c r="Z565" i="9"/>
  <c r="V553" i="9" a="1"/>
  <c r="V553" i="9" s="1"/>
  <c r="AD553" i="9" s="1"/>
  <c r="V541" i="9" a="1"/>
  <c r="V541" i="9" s="1"/>
  <c r="AD541" i="9" s="1"/>
  <c r="V529" i="9" a="1"/>
  <c r="V529" i="9" s="1"/>
  <c r="AD529" i="9" s="1"/>
  <c r="Z517" i="9"/>
  <c r="Z505" i="9"/>
  <c r="V481" i="9" a="1"/>
  <c r="V481" i="9" s="1"/>
  <c r="AD481" i="9" s="1"/>
  <c r="Z481" i="9"/>
  <c r="V469" i="9" a="1"/>
  <c r="V469" i="9" s="1"/>
  <c r="AD469" i="9" s="1"/>
  <c r="V457" i="9" a="1"/>
  <c r="V457" i="9" s="1"/>
  <c r="AD457" i="9" s="1"/>
  <c r="Z445" i="9"/>
  <c r="Z433" i="9"/>
  <c r="V409" i="9" a="1"/>
  <c r="V409" i="9" s="1"/>
  <c r="AD409" i="9" s="1"/>
  <c r="V397" i="9" a="1"/>
  <c r="V397" i="9" s="1"/>
  <c r="AD397" i="9" s="1"/>
  <c r="Z397" i="9"/>
  <c r="V385" i="9" a="1"/>
  <c r="V385" i="9" s="1"/>
  <c r="AD385" i="9" s="1"/>
  <c r="Z373" i="9"/>
  <c r="Z361" i="9"/>
  <c r="V337" i="9" a="1"/>
  <c r="V337" i="9" s="1"/>
  <c r="AD337" i="9" s="1"/>
  <c r="V325" i="9" a="1"/>
  <c r="V325" i="9" s="1"/>
  <c r="AD325" i="9" s="1"/>
  <c r="V313" i="9" a="1"/>
  <c r="V313" i="9" s="1"/>
  <c r="AD313" i="9" s="1"/>
  <c r="Z313" i="9"/>
  <c r="Z301" i="9"/>
  <c r="Z289" i="9"/>
  <c r="V265" i="9" a="1"/>
  <c r="V265" i="9" s="1"/>
  <c r="AD265" i="9" s="1"/>
  <c r="V253" i="9" a="1"/>
  <c r="V253" i="9" s="1"/>
  <c r="AD253" i="9" s="1"/>
  <c r="V241" i="9" a="1"/>
  <c r="V241" i="9" s="1"/>
  <c r="AD241" i="9" s="1"/>
  <c r="Z229" i="9"/>
  <c r="V217" i="9" a="1"/>
  <c r="V217" i="9" s="1"/>
  <c r="AD217" i="9" s="1"/>
  <c r="Z217" i="9"/>
  <c r="V193" i="9" a="1"/>
  <c r="V193" i="9" s="1"/>
  <c r="AD193" i="9" s="1"/>
  <c r="V181" i="9" a="1"/>
  <c r="V181" i="9" s="1"/>
  <c r="AD181" i="9" s="1"/>
  <c r="V169" i="9" a="1"/>
  <c r="V169" i="9" s="1"/>
  <c r="AD169" i="9" s="1"/>
  <c r="Z157" i="9"/>
  <c r="Z768" i="9"/>
  <c r="V756" i="9" a="1"/>
  <c r="V756" i="9" s="1"/>
  <c r="AD756" i="9" s="1"/>
  <c r="Z756" i="9"/>
  <c r="Z744" i="9"/>
  <c r="V732" i="9" a="1"/>
  <c r="V732" i="9" s="1"/>
  <c r="AD732" i="9" s="1"/>
  <c r="Z732" i="9"/>
  <c r="Z720" i="9"/>
  <c r="V708" i="9" a="1"/>
  <c r="V708" i="9" s="1"/>
  <c r="AD708" i="9" s="1"/>
  <c r="Z708" i="9"/>
  <c r="Z696" i="9"/>
  <c r="V684" i="9" a="1"/>
  <c r="V684" i="9" s="1"/>
  <c r="AD684" i="9" s="1"/>
  <c r="Z684" i="9"/>
  <c r="V672" i="9" a="1"/>
  <c r="V672" i="9" s="1"/>
  <c r="AD672" i="9" s="1"/>
  <c r="Z672" i="9"/>
  <c r="V660" i="9" a="1"/>
  <c r="V660" i="9" s="1"/>
  <c r="AD660" i="9" s="1"/>
  <c r="Z660" i="9"/>
  <c r="Z648" i="9"/>
  <c r="V624" i="9" a="1"/>
  <c r="V624" i="9" s="1"/>
  <c r="AD624" i="9" s="1"/>
  <c r="V612" i="9" a="1"/>
  <c r="V612" i="9" s="1"/>
  <c r="AD612" i="9" s="1"/>
  <c r="Z612" i="9"/>
  <c r="V600" i="9" a="1"/>
  <c r="V600" i="9" s="1"/>
  <c r="AD600" i="9" s="1"/>
  <c r="V588" i="9" a="1"/>
  <c r="V588" i="9" s="1"/>
  <c r="AD588" i="9" s="1"/>
  <c r="Z588" i="9"/>
  <c r="V576" i="9" a="1"/>
  <c r="V576" i="9" s="1"/>
  <c r="AD576" i="9" s="1"/>
  <c r="Z564" i="9"/>
  <c r="Z552" i="9"/>
  <c r="Z540" i="9"/>
  <c r="V528" i="9" a="1"/>
  <c r="V528" i="9" s="1"/>
  <c r="AD528" i="9" s="1"/>
  <c r="Z528" i="9"/>
  <c r="Z516" i="9"/>
  <c r="V504" i="9" a="1"/>
  <c r="V504" i="9" s="1"/>
  <c r="AD504" i="9" s="1"/>
  <c r="Z504" i="9"/>
  <c r="V480" i="9" a="1"/>
  <c r="V480" i="9" s="1"/>
  <c r="AD480" i="9" s="1"/>
  <c r="V468" i="9" a="1"/>
  <c r="V468" i="9" s="1"/>
  <c r="AD468" i="9" s="1"/>
  <c r="V456" i="9" a="1"/>
  <c r="V456" i="9" s="1"/>
  <c r="AD456" i="9" s="1"/>
  <c r="Z456" i="9"/>
  <c r="V444" i="9" a="1"/>
  <c r="V444" i="9" s="1"/>
  <c r="AD444" i="9" s="1"/>
  <c r="V432" i="9" a="1"/>
  <c r="V432" i="9" s="1"/>
  <c r="AD432" i="9" s="1"/>
  <c r="Z432" i="9"/>
  <c r="Z420" i="9"/>
  <c r="Z408" i="9"/>
  <c r="Z396" i="9"/>
  <c r="Z384" i="9"/>
  <c r="V372" i="9" a="1"/>
  <c r="V372" i="9" s="1"/>
  <c r="AD372" i="9" s="1"/>
  <c r="Z372" i="9"/>
  <c r="Z360" i="9"/>
  <c r="Z348" i="9"/>
  <c r="V336" i="9" a="1"/>
  <c r="V336" i="9" s="1"/>
  <c r="AD336" i="9" s="1"/>
  <c r="V324" i="9" a="1"/>
  <c r="V324" i="9" s="1"/>
  <c r="AD324" i="9" s="1"/>
  <c r="V312" i="9" a="1"/>
  <c r="V312" i="9" s="1"/>
  <c r="AD312" i="9" s="1"/>
  <c r="V300" i="9" a="1"/>
  <c r="V300" i="9" s="1"/>
  <c r="AD300" i="9" s="1"/>
  <c r="Z300" i="9"/>
  <c r="V288" i="9" a="1"/>
  <c r="V288" i="9" s="1"/>
  <c r="AD288" i="9" s="1"/>
  <c r="Z276" i="9"/>
  <c r="V264" i="9" a="1"/>
  <c r="V264" i="9" s="1"/>
  <c r="AD264" i="9" s="1"/>
  <c r="Z264" i="9"/>
  <c r="Z252" i="9"/>
  <c r="Z240" i="9"/>
  <c r="Z228" i="9"/>
  <c r="V216" i="9" a="1"/>
  <c r="V216" i="9" s="1"/>
  <c r="AD216" i="9" s="1"/>
  <c r="Z216" i="9"/>
  <c r="V192" i="9" a="1"/>
  <c r="V192" i="9" s="1"/>
  <c r="AD192" i="9" s="1"/>
  <c r="Z192" i="9"/>
  <c r="V180" i="9" a="1"/>
  <c r="V180" i="9" s="1"/>
  <c r="AD180" i="9" s="1"/>
  <c r="V168" i="9" a="1"/>
  <c r="V168" i="9" s="1"/>
  <c r="AD168" i="9" s="1"/>
  <c r="V156" i="9" a="1"/>
  <c r="V156" i="9" s="1"/>
  <c r="AD156" i="9" s="1"/>
  <c r="V767" i="9" a="1"/>
  <c r="V767" i="9" s="1"/>
  <c r="AD767" i="9" s="1"/>
  <c r="V755" i="9" a="1"/>
  <c r="V755" i="9" s="1"/>
  <c r="AD755" i="9" s="1"/>
  <c r="V743" i="9" a="1"/>
  <c r="V743" i="9" s="1"/>
  <c r="AD743" i="9" s="1"/>
  <c r="Z743" i="9"/>
  <c r="V731" i="9" a="1"/>
  <c r="V731" i="9" s="1"/>
  <c r="AD731" i="9" s="1"/>
  <c r="V719" i="9" a="1"/>
  <c r="V719" i="9" s="1"/>
  <c r="AD719" i="9" s="1"/>
  <c r="V707" i="9" a="1"/>
  <c r="V707" i="9" s="1"/>
  <c r="AD707" i="9" s="1"/>
  <c r="V695" i="9" a="1"/>
  <c r="V695" i="9" s="1"/>
  <c r="AD695" i="9" s="1"/>
  <c r="Z695" i="9"/>
  <c r="V683" i="9" a="1"/>
  <c r="V683" i="9" s="1"/>
  <c r="AD683" i="9" s="1"/>
  <c r="Z683" i="9"/>
  <c r="V671" i="9" a="1"/>
  <c r="V671" i="9" s="1"/>
  <c r="AD671" i="9" s="1"/>
  <c r="Z671" i="9"/>
  <c r="V659" i="9" a="1"/>
  <c r="V659" i="9" s="1"/>
  <c r="AD659" i="9" s="1"/>
  <c r="V647" i="9" a="1"/>
  <c r="V647" i="9" s="1"/>
  <c r="AD647" i="9" s="1"/>
  <c r="V635" i="9" a="1"/>
  <c r="V635" i="9" s="1"/>
  <c r="AD635" i="9" s="1"/>
  <c r="V623" i="9" a="1"/>
  <c r="V623" i="9" s="1"/>
  <c r="AD623" i="9" s="1"/>
  <c r="Z623" i="9"/>
  <c r="V611" i="9" a="1"/>
  <c r="V611" i="9" s="1"/>
  <c r="AD611" i="9" s="1"/>
  <c r="V599" i="9" a="1"/>
  <c r="V599" i="9" s="1"/>
  <c r="AD599" i="9" s="1"/>
  <c r="Z599" i="9"/>
  <c r="V587" i="9" a="1"/>
  <c r="V587" i="9" s="1"/>
  <c r="AD587" i="9" s="1"/>
  <c r="V575" i="9" a="1"/>
  <c r="V575" i="9" s="1"/>
  <c r="AD575" i="9" s="1"/>
  <c r="Z575" i="9"/>
  <c r="V563" i="9" a="1"/>
  <c r="V563" i="9" s="1"/>
  <c r="AD563" i="9" s="1"/>
  <c r="V551" i="9" a="1"/>
  <c r="V551" i="9" s="1"/>
  <c r="AD551" i="9" s="1"/>
  <c r="V539" i="9" a="1"/>
  <c r="V539" i="9" s="1"/>
  <c r="AD539" i="9" s="1"/>
  <c r="Z539" i="9"/>
  <c r="V527" i="9" a="1"/>
  <c r="V527" i="9" s="1"/>
  <c r="AD527" i="9" s="1"/>
  <c r="Z527" i="9"/>
  <c r="V515" i="9" a="1"/>
  <c r="V515" i="9" s="1"/>
  <c r="AD515" i="9" s="1"/>
  <c r="Z515" i="9"/>
  <c r="Z503" i="9"/>
  <c r="V491" i="9" a="1"/>
  <c r="V491" i="9" s="1"/>
  <c r="AD491" i="9" s="1"/>
  <c r="Z491" i="9"/>
  <c r="V467" i="9" a="1"/>
  <c r="V467" i="9" s="1"/>
  <c r="AD467" i="9" s="1"/>
  <c r="Z467" i="9"/>
  <c r="V455" i="9" a="1"/>
  <c r="V455" i="9" s="1"/>
  <c r="AD455" i="9" s="1"/>
  <c r="Z455" i="9"/>
  <c r="V443" i="9" a="1"/>
  <c r="V443" i="9" s="1"/>
  <c r="AD443" i="9" s="1"/>
  <c r="Z443" i="9"/>
  <c r="V431" i="9" a="1"/>
  <c r="V431" i="9" s="1"/>
  <c r="AD431" i="9" s="1"/>
  <c r="V419" i="9" a="1"/>
  <c r="V419" i="9" s="1"/>
  <c r="AD419" i="9" s="1"/>
  <c r="Z419" i="9"/>
  <c r="V407" i="9" a="1"/>
  <c r="V407" i="9" s="1"/>
  <c r="AD407" i="9" s="1"/>
  <c r="Z395" i="9"/>
  <c r="V383" i="9" a="1"/>
  <c r="V383" i="9" s="1"/>
  <c r="AD383" i="9" s="1"/>
  <c r="Z383" i="9"/>
  <c r="V371" i="9" a="1"/>
  <c r="V371" i="9" s="1"/>
  <c r="AD371" i="9" s="1"/>
  <c r="Z371" i="9"/>
  <c r="V359" i="9" a="1"/>
  <c r="V359" i="9" s="1"/>
  <c r="AD359" i="9" s="1"/>
  <c r="Z359" i="9"/>
  <c r="V347" i="9" a="1"/>
  <c r="V347" i="9" s="1"/>
  <c r="AD347" i="9" s="1"/>
  <c r="Z347" i="9"/>
  <c r="V323" i="9" a="1"/>
  <c r="V323" i="9" s="1"/>
  <c r="AD323" i="9" s="1"/>
  <c r="V311" i="9" a="1"/>
  <c r="V311" i="9" s="1"/>
  <c r="AD311" i="9" s="1"/>
  <c r="Z311" i="9"/>
  <c r="V299" i="9" a="1"/>
  <c r="V299" i="9" s="1"/>
  <c r="AD299" i="9" s="1"/>
  <c r="Z299" i="9"/>
  <c r="V287" i="9" a="1"/>
  <c r="V287" i="9" s="1"/>
  <c r="AD287" i="9" s="1"/>
  <c r="Z287" i="9"/>
  <c r="V275" i="9" a="1"/>
  <c r="V275" i="9" s="1"/>
  <c r="AD275" i="9" s="1"/>
  <c r="Z275" i="9"/>
  <c r="V263" i="9" a="1"/>
  <c r="V263" i="9" s="1"/>
  <c r="AD263" i="9" s="1"/>
  <c r="Z251" i="9"/>
  <c r="V239" i="9" a="1"/>
  <c r="V239" i="9" s="1"/>
  <c r="AD239" i="9" s="1"/>
  <c r="Z239" i="9"/>
  <c r="V227" i="9" a="1"/>
  <c r="V227" i="9" s="1"/>
  <c r="AD227" i="9" s="1"/>
  <c r="Z227" i="9"/>
  <c r="V215" i="9" a="1"/>
  <c r="V215" i="9" s="1"/>
  <c r="AD215" i="9" s="1"/>
  <c r="Z215" i="9"/>
  <c r="V203" i="9" a="1"/>
  <c r="V203" i="9" s="1"/>
  <c r="AD203" i="9" s="1"/>
  <c r="Z203" i="9"/>
  <c r="V191" i="9" a="1"/>
  <c r="V191" i="9" s="1"/>
  <c r="AD191" i="9" s="1"/>
  <c r="V179" i="9" a="1"/>
  <c r="V179" i="9" s="1"/>
  <c r="AD179" i="9" s="1"/>
  <c r="V766" i="9" a="1"/>
  <c r="V766" i="9" s="1"/>
  <c r="AD766" i="9" s="1"/>
  <c r="Z766" i="9"/>
  <c r="V754" i="9" a="1"/>
  <c r="V754" i="9" s="1"/>
  <c r="AD754" i="9" s="1"/>
  <c r="Z754" i="9"/>
  <c r="V742" i="9" a="1"/>
  <c r="V742" i="9" s="1"/>
  <c r="AD742" i="9" s="1"/>
  <c r="Z742" i="9"/>
  <c r="V730" i="9" a="1"/>
  <c r="V730" i="9" s="1"/>
  <c r="AD730" i="9" s="1"/>
  <c r="Z730" i="9"/>
  <c r="V718" i="9" a="1"/>
  <c r="V718" i="9" s="1"/>
  <c r="AD718" i="9" s="1"/>
  <c r="V706" i="9" a="1"/>
  <c r="V706" i="9" s="1"/>
  <c r="AD706" i="9" s="1"/>
  <c r="Z706" i="9"/>
  <c r="Z694" i="9"/>
  <c r="V682" i="9" a="1"/>
  <c r="V682" i="9" s="1"/>
  <c r="AD682" i="9" s="1"/>
  <c r="Z682" i="9"/>
  <c r="V670" i="9" a="1"/>
  <c r="V670" i="9" s="1"/>
  <c r="AD670" i="9" s="1"/>
  <c r="Z670" i="9"/>
  <c r="V658" i="9" a="1"/>
  <c r="V658" i="9" s="1"/>
  <c r="AD658" i="9" s="1"/>
  <c r="Z658" i="9"/>
  <c r="V646" i="9" a="1"/>
  <c r="V646" i="9" s="1"/>
  <c r="AD646" i="9" s="1"/>
  <c r="V634" i="9" a="1"/>
  <c r="V634" i="9" s="1"/>
  <c r="AD634" i="9" s="1"/>
  <c r="Z634" i="9"/>
  <c r="V622" i="9" a="1"/>
  <c r="V622" i="9" s="1"/>
  <c r="AD622" i="9" s="1"/>
  <c r="V610" i="9" a="1"/>
  <c r="V610" i="9" s="1"/>
  <c r="AD610" i="9" s="1"/>
  <c r="Z610" i="9"/>
  <c r="V598" i="9" a="1"/>
  <c r="V598" i="9" s="1"/>
  <c r="AD598" i="9" s="1"/>
  <c r="Z598" i="9"/>
  <c r="V586" i="9" a="1"/>
  <c r="V586" i="9" s="1"/>
  <c r="AD586" i="9" s="1"/>
  <c r="Z586" i="9"/>
  <c r="V574" i="9" a="1"/>
  <c r="V574" i="9" s="1"/>
  <c r="AD574" i="9" s="1"/>
  <c r="V562" i="9" a="1"/>
  <c r="V562" i="9" s="1"/>
  <c r="AD562" i="9" s="1"/>
  <c r="Z562" i="9"/>
  <c r="V550" i="9" a="1"/>
  <c r="V550" i="9" s="1"/>
  <c r="AD550" i="9" s="1"/>
  <c r="Z550" i="9"/>
  <c r="Z538" i="9"/>
  <c r="V526" i="9" a="1"/>
  <c r="V526" i="9" s="1"/>
  <c r="AD526" i="9" s="1"/>
  <c r="Z526" i="9"/>
  <c r="V514" i="9" a="1"/>
  <c r="V514" i="9" s="1"/>
  <c r="AD514" i="9" s="1"/>
  <c r="Z514" i="9"/>
  <c r="V502" i="9" a="1"/>
  <c r="V502" i="9" s="1"/>
  <c r="AD502" i="9" s="1"/>
  <c r="V490" i="9" a="1"/>
  <c r="V490" i="9" s="1"/>
  <c r="AD490" i="9" s="1"/>
  <c r="Z490" i="9"/>
  <c r="V478" i="9" a="1"/>
  <c r="V478" i="9" s="1"/>
  <c r="AD478" i="9" s="1"/>
  <c r="Z478" i="9"/>
  <c r="V466" i="9" a="1"/>
  <c r="V466" i="9" s="1"/>
  <c r="AD466" i="9" s="1"/>
  <c r="V454" i="9" a="1"/>
  <c r="V454" i="9" s="1"/>
  <c r="AD454" i="9" s="1"/>
  <c r="Z454" i="9"/>
  <c r="V442" i="9" a="1"/>
  <c r="V442" i="9" s="1"/>
  <c r="AD442" i="9" s="1"/>
  <c r="Z442" i="9"/>
  <c r="V430" i="9" a="1"/>
  <c r="V430" i="9" s="1"/>
  <c r="AD430" i="9" s="1"/>
  <c r="V418" i="9" a="1"/>
  <c r="V418" i="9" s="1"/>
  <c r="AD418" i="9" s="1"/>
  <c r="Z418" i="9"/>
  <c r="V406" i="9" a="1"/>
  <c r="V406" i="9" s="1"/>
  <c r="AD406" i="9" s="1"/>
  <c r="Z406" i="9"/>
  <c r="V394" i="9" a="1"/>
  <c r="V394" i="9" s="1"/>
  <c r="AD394" i="9" s="1"/>
  <c r="Z394" i="9"/>
  <c r="Z382" i="9"/>
  <c r="V370" i="9" a="1"/>
  <c r="V370" i="9" s="1"/>
  <c r="AD370" i="9" s="1"/>
  <c r="Z370" i="9"/>
  <c r="V358" i="9" a="1"/>
  <c r="V358" i="9" s="1"/>
  <c r="AD358" i="9" s="1"/>
  <c r="V346" i="9" a="1"/>
  <c r="V346" i="9" s="1"/>
  <c r="AD346" i="9" s="1"/>
  <c r="Z346" i="9"/>
  <c r="V334" i="9" a="1"/>
  <c r="V334" i="9" s="1"/>
  <c r="AD334" i="9" s="1"/>
  <c r="Z334" i="9"/>
  <c r="V322" i="9" a="1"/>
  <c r="V322" i="9" s="1"/>
  <c r="AD322" i="9" s="1"/>
  <c r="Z322" i="9"/>
  <c r="V310" i="9" a="1"/>
  <c r="V310" i="9" s="1"/>
  <c r="AD310" i="9" s="1"/>
  <c r="V298" i="9" a="1"/>
  <c r="V298" i="9" s="1"/>
  <c r="AD298" i="9" s="1"/>
  <c r="Z298" i="9"/>
  <c r="V286" i="9" a="1"/>
  <c r="V286" i="9" s="1"/>
  <c r="AD286" i="9" s="1"/>
  <c r="Z286" i="9"/>
  <c r="V274" i="9" a="1"/>
  <c r="V274" i="9" s="1"/>
  <c r="AD274" i="9" s="1"/>
  <c r="Z274" i="9"/>
  <c r="V262" i="9" a="1"/>
  <c r="V262" i="9" s="1"/>
  <c r="AD262" i="9" s="1"/>
  <c r="Z262" i="9"/>
  <c r="V250" i="9" a="1"/>
  <c r="V250" i="9" s="1"/>
  <c r="AD250" i="9" s="1"/>
  <c r="Z250" i="9"/>
  <c r="V238" i="9" a="1"/>
  <c r="V238" i="9" s="1"/>
  <c r="AD238" i="9" s="1"/>
  <c r="V226" i="9" a="1"/>
  <c r="V226" i="9" s="1"/>
  <c r="AD226" i="9" s="1"/>
  <c r="Z226" i="9"/>
  <c r="V214" i="9" a="1"/>
  <c r="V214" i="9" s="1"/>
  <c r="AD214" i="9" s="1"/>
  <c r="Z214" i="9"/>
  <c r="V202" i="9" a="1"/>
  <c r="V202" i="9" s="1"/>
  <c r="AD202" i="9" s="1"/>
  <c r="Z202" i="9"/>
  <c r="V190" i="9" a="1"/>
  <c r="V190" i="9" s="1"/>
  <c r="AD190" i="9" s="1"/>
  <c r="Z190" i="9"/>
  <c r="V178" i="9" a="1"/>
  <c r="V178" i="9" s="1"/>
  <c r="AD178" i="9" s="1"/>
  <c r="Z178" i="9"/>
  <c r="V166" i="9" a="1"/>
  <c r="V166" i="9" s="1"/>
  <c r="AD166" i="9" s="1"/>
  <c r="V154" i="9" a="1"/>
  <c r="V154" i="9" s="1"/>
  <c r="AD154" i="9" s="1"/>
  <c r="Z154" i="9"/>
  <c r="V765" i="9" a="1"/>
  <c r="V765" i="9" s="1"/>
  <c r="AD765" i="9" s="1"/>
  <c r="Z765" i="9"/>
  <c r="V753" i="9" a="1"/>
  <c r="V753" i="9" s="1"/>
  <c r="AD753" i="9" s="1"/>
  <c r="Z753" i="9"/>
  <c r="V741" i="9" a="1"/>
  <c r="V741" i="9" s="1"/>
  <c r="AD741" i="9" s="1"/>
  <c r="Z741" i="9"/>
  <c r="V729" i="9" a="1"/>
  <c r="V729" i="9" s="1"/>
  <c r="AD729" i="9" s="1"/>
  <c r="Z729" i="9"/>
  <c r="V717" i="9" a="1"/>
  <c r="V717" i="9" s="1"/>
  <c r="AD717" i="9" s="1"/>
  <c r="V705" i="9" a="1"/>
  <c r="V705" i="9" s="1"/>
  <c r="AD705" i="9" s="1"/>
  <c r="Z705" i="9"/>
  <c r="V693" i="9" a="1"/>
  <c r="V693" i="9" s="1"/>
  <c r="AD693" i="9" s="1"/>
  <c r="Z693" i="9"/>
  <c r="V681" i="9" a="1"/>
  <c r="V681" i="9" s="1"/>
  <c r="AD681" i="9" s="1"/>
  <c r="Z681" i="9"/>
  <c r="V669" i="9" a="1"/>
  <c r="V669" i="9" s="1"/>
  <c r="AD669" i="9" s="1"/>
  <c r="Z669" i="9"/>
  <c r="V657" i="9" a="1"/>
  <c r="V657" i="9" s="1"/>
  <c r="AD657" i="9" s="1"/>
  <c r="Z657" i="9"/>
  <c r="V645" i="9" a="1"/>
  <c r="V645" i="9" s="1"/>
  <c r="AD645" i="9" s="1"/>
  <c r="V633" i="9" a="1"/>
  <c r="V633" i="9" s="1"/>
  <c r="AD633" i="9" s="1"/>
  <c r="Z633" i="9"/>
  <c r="V621" i="9" a="1"/>
  <c r="V621" i="9" s="1"/>
  <c r="AD621" i="9" s="1"/>
  <c r="Z621" i="9"/>
  <c r="V609" i="9" a="1"/>
  <c r="V609" i="9" s="1"/>
  <c r="AD609" i="9" s="1"/>
  <c r="Z609" i="9"/>
  <c r="V597" i="9" a="1"/>
  <c r="V597" i="9" s="1"/>
  <c r="AD597" i="9" s="1"/>
  <c r="Z597" i="9"/>
  <c r="V585" i="9" a="1"/>
  <c r="V585" i="9" s="1"/>
  <c r="AD585" i="9" s="1"/>
  <c r="Z585" i="9"/>
  <c r="V573" i="9" a="1"/>
  <c r="V573" i="9" s="1"/>
  <c r="AD573" i="9" s="1"/>
  <c r="V561" i="9" a="1"/>
  <c r="V561" i="9" s="1"/>
  <c r="AD561" i="9" s="1"/>
  <c r="Z561" i="9"/>
  <c r="V549" i="9" a="1"/>
  <c r="V549" i="9" s="1"/>
  <c r="AD549" i="9" s="1"/>
  <c r="Z549" i="9"/>
  <c r="V537" i="9" a="1"/>
  <c r="V537" i="9" s="1"/>
  <c r="AD537" i="9" s="1"/>
  <c r="Z537" i="9"/>
  <c r="V525" i="9" a="1"/>
  <c r="V525" i="9" s="1"/>
  <c r="AD525" i="9" s="1"/>
  <c r="Z525" i="9"/>
  <c r="V513" i="9" a="1"/>
  <c r="V513" i="9" s="1"/>
  <c r="AD513" i="9" s="1"/>
  <c r="Z513" i="9"/>
  <c r="V501" i="9" a="1"/>
  <c r="V501" i="9" s="1"/>
  <c r="AD501" i="9" s="1"/>
  <c r="V489" i="9" a="1"/>
  <c r="V489" i="9" s="1"/>
  <c r="AD489" i="9" s="1"/>
  <c r="Z489" i="9"/>
  <c r="V477" i="9" a="1"/>
  <c r="V477" i="9" s="1"/>
  <c r="AD477" i="9" s="1"/>
  <c r="Z477" i="9"/>
  <c r="V465" i="9" a="1"/>
  <c r="V465" i="9" s="1"/>
  <c r="AD465" i="9" s="1"/>
  <c r="Z465" i="9"/>
  <c r="V453" i="9" a="1"/>
  <c r="V453" i="9" s="1"/>
  <c r="AD453" i="9" s="1"/>
  <c r="Z453" i="9"/>
  <c r="V441" i="9" a="1"/>
  <c r="V441" i="9" s="1"/>
  <c r="AD441" i="9" s="1"/>
  <c r="Z441" i="9"/>
  <c r="V429" i="9" a="1"/>
  <c r="V429" i="9" s="1"/>
  <c r="AD429" i="9" s="1"/>
  <c r="V417" i="9" a="1"/>
  <c r="V417" i="9" s="1"/>
  <c r="AD417" i="9" s="1"/>
  <c r="Z417" i="9"/>
  <c r="V405" i="9" a="1"/>
  <c r="V405" i="9" s="1"/>
  <c r="AD405" i="9" s="1"/>
  <c r="Z405" i="9"/>
  <c r="V393" i="9" a="1"/>
  <c r="V393" i="9" s="1"/>
  <c r="AD393" i="9" s="1"/>
  <c r="Z393" i="9"/>
  <c r="V381" i="9" a="1"/>
  <c r="V381" i="9" s="1"/>
  <c r="AD381" i="9" s="1"/>
  <c r="Z381" i="9"/>
  <c r="V369" i="9" a="1"/>
  <c r="V369" i="9" s="1"/>
  <c r="AD369" i="9" s="1"/>
  <c r="Z369" i="9"/>
  <c r="V357" i="9" a="1"/>
  <c r="V357" i="9" s="1"/>
  <c r="AD357" i="9" s="1"/>
  <c r="V345" i="9" a="1"/>
  <c r="V345" i="9" s="1"/>
  <c r="AD345" i="9" s="1"/>
  <c r="Z345" i="9"/>
  <c r="V333" i="9" a="1"/>
  <c r="V333" i="9" s="1"/>
  <c r="AD333" i="9" s="1"/>
  <c r="Z333" i="9"/>
  <c r="V321" i="9" a="1"/>
  <c r="V321" i="9" s="1"/>
  <c r="AD321" i="9" s="1"/>
  <c r="Z321" i="9"/>
  <c r="V309" i="9" a="1"/>
  <c r="V309" i="9" s="1"/>
  <c r="AD309" i="9" s="1"/>
  <c r="Z309" i="9"/>
  <c r="V297" i="9" a="1"/>
  <c r="V297" i="9" s="1"/>
  <c r="AD297" i="9" s="1"/>
  <c r="Z297" i="9"/>
  <c r="V285" i="9" a="1"/>
  <c r="V285" i="9" s="1"/>
  <c r="AD285" i="9" s="1"/>
  <c r="V273" i="9" a="1"/>
  <c r="V273" i="9" s="1"/>
  <c r="AD273" i="9" s="1"/>
  <c r="Z273" i="9"/>
  <c r="V261" i="9" a="1"/>
  <c r="V261" i="9" s="1"/>
  <c r="AD261" i="9" s="1"/>
  <c r="Z261" i="9"/>
  <c r="V249" i="9" a="1"/>
  <c r="V249" i="9" s="1"/>
  <c r="AD249" i="9" s="1"/>
  <c r="Z249" i="9"/>
  <c r="V237" i="9" a="1"/>
  <c r="V237" i="9" s="1"/>
  <c r="AD237" i="9" s="1"/>
  <c r="Z237" i="9"/>
  <c r="V225" i="9" a="1"/>
  <c r="V225" i="9" s="1"/>
  <c r="AD225" i="9" s="1"/>
  <c r="Z225" i="9"/>
  <c r="V213" i="9" a="1"/>
  <c r="V213" i="9" s="1"/>
  <c r="AD213" i="9" s="1"/>
  <c r="V201" i="9" a="1"/>
  <c r="V201" i="9" s="1"/>
  <c r="AD201" i="9" s="1"/>
  <c r="Z201" i="9"/>
  <c r="V189" i="9" a="1"/>
  <c r="V189" i="9" s="1"/>
  <c r="AD189" i="9" s="1"/>
  <c r="Z189" i="9"/>
  <c r="V177" i="9" a="1"/>
  <c r="V177" i="9" s="1"/>
  <c r="AD177" i="9" s="1"/>
  <c r="Z177" i="9"/>
  <c r="V165" i="9" a="1"/>
  <c r="V165" i="9" s="1"/>
  <c r="AD165" i="9" s="1"/>
  <c r="Z165" i="9"/>
  <c r="V153" i="9" a="1"/>
  <c r="V153" i="9" s="1"/>
  <c r="AD153" i="9" s="1"/>
  <c r="Z153" i="9"/>
  <c r="V764" i="9" a="1"/>
  <c r="V764" i="9" s="1"/>
  <c r="AD764" i="9" s="1"/>
  <c r="V752" i="9" a="1"/>
  <c r="V752" i="9" s="1"/>
  <c r="AD752" i="9" s="1"/>
  <c r="Z752" i="9"/>
  <c r="V740" i="9" a="1"/>
  <c r="V740" i="9" s="1"/>
  <c r="AD740" i="9" s="1"/>
  <c r="Z740" i="9"/>
  <c r="V728" i="9" a="1"/>
  <c r="V728" i="9" s="1"/>
  <c r="AD728" i="9" s="1"/>
  <c r="Z728" i="9"/>
  <c r="V716" i="9" a="1"/>
  <c r="V716" i="9" s="1"/>
  <c r="AD716" i="9" s="1"/>
  <c r="Z716" i="9"/>
  <c r="V704" i="9" a="1"/>
  <c r="V704" i="9" s="1"/>
  <c r="AD704" i="9" s="1"/>
  <c r="Z704" i="9"/>
  <c r="V692" i="9" a="1"/>
  <c r="V692" i="9" s="1"/>
  <c r="AD692" i="9" s="1"/>
  <c r="V680" i="9" a="1"/>
  <c r="V680" i="9" s="1"/>
  <c r="AD680" i="9" s="1"/>
  <c r="Z680" i="9"/>
  <c r="V668" i="9" a="1"/>
  <c r="V668" i="9" s="1"/>
  <c r="AD668" i="9" s="1"/>
  <c r="Z668" i="9"/>
  <c r="V656" i="9" a="1"/>
  <c r="V656" i="9" s="1"/>
  <c r="AD656" i="9" s="1"/>
  <c r="Z656" i="9"/>
  <c r="V644" i="9" a="1"/>
  <c r="V644" i="9" s="1"/>
  <c r="AD644" i="9" s="1"/>
  <c r="Z644" i="9"/>
  <c r="V632" i="9" a="1"/>
  <c r="V632" i="9" s="1"/>
  <c r="AD632" i="9" s="1"/>
  <c r="Z632" i="9"/>
  <c r="V620" i="9" a="1"/>
  <c r="V620" i="9" s="1"/>
  <c r="AD620" i="9" s="1"/>
  <c r="V608" i="9" a="1"/>
  <c r="V608" i="9" s="1"/>
  <c r="AD608" i="9" s="1"/>
  <c r="Z608" i="9"/>
  <c r="V596" i="9" a="1"/>
  <c r="V596" i="9" s="1"/>
  <c r="AD596" i="9" s="1"/>
  <c r="Z596" i="9"/>
  <c r="V584" i="9" a="1"/>
  <c r="V584" i="9" s="1"/>
  <c r="AD584" i="9" s="1"/>
  <c r="Z584" i="9"/>
  <c r="V572" i="9" a="1"/>
  <c r="V572" i="9" s="1"/>
  <c r="AD572" i="9" s="1"/>
  <c r="Z572" i="9"/>
  <c r="V560" i="9" a="1"/>
  <c r="V560" i="9" s="1"/>
  <c r="AD560" i="9" s="1"/>
  <c r="Z560" i="9"/>
  <c r="V548" i="9" a="1"/>
  <c r="V548" i="9" s="1"/>
  <c r="AD548" i="9" s="1"/>
  <c r="V536" i="9" a="1"/>
  <c r="V536" i="9" s="1"/>
  <c r="AD536" i="9" s="1"/>
  <c r="Z536" i="9"/>
  <c r="V524" i="9" a="1"/>
  <c r="V524" i="9" s="1"/>
  <c r="AD524" i="9" s="1"/>
  <c r="Z524" i="9"/>
  <c r="V512" i="9" a="1"/>
  <c r="V512" i="9" s="1"/>
  <c r="AD512" i="9" s="1"/>
  <c r="Z512" i="9"/>
  <c r="V500" i="9" a="1"/>
  <c r="V500" i="9" s="1"/>
  <c r="AD500" i="9" s="1"/>
  <c r="Z500" i="9"/>
  <c r="V488" i="9" a="1"/>
  <c r="V488" i="9" s="1"/>
  <c r="AD488" i="9" s="1"/>
  <c r="Z488" i="9"/>
  <c r="V476" i="9" a="1"/>
  <c r="V476" i="9" s="1"/>
  <c r="AD476" i="9" s="1"/>
  <c r="V464" i="9" a="1"/>
  <c r="V464" i="9" s="1"/>
  <c r="AD464" i="9" s="1"/>
  <c r="Z464" i="9"/>
  <c r="V452" i="9" a="1"/>
  <c r="V452" i="9" s="1"/>
  <c r="AD452" i="9" s="1"/>
  <c r="Z452" i="9"/>
  <c r="V440" i="9" a="1"/>
  <c r="V440" i="9" s="1"/>
  <c r="AD440" i="9" s="1"/>
  <c r="Z440" i="9"/>
  <c r="V428" i="9" a="1"/>
  <c r="V428" i="9" s="1"/>
  <c r="AD428" i="9" s="1"/>
  <c r="Z428" i="9"/>
  <c r="V416" i="9" a="1"/>
  <c r="V416" i="9" s="1"/>
  <c r="AD416" i="9" s="1"/>
  <c r="Z416" i="9"/>
  <c r="V404" i="9" a="1"/>
  <c r="V404" i="9" s="1"/>
  <c r="AD404" i="9" s="1"/>
  <c r="V392" i="9" a="1"/>
  <c r="V392" i="9" s="1"/>
  <c r="AD392" i="9" s="1"/>
  <c r="Z392" i="9"/>
  <c r="V380" i="9" a="1"/>
  <c r="V380" i="9" s="1"/>
  <c r="AD380" i="9" s="1"/>
  <c r="Z380" i="9"/>
  <c r="V368" i="9" a="1"/>
  <c r="V368" i="9" s="1"/>
  <c r="AD368" i="9" s="1"/>
  <c r="Z368" i="9"/>
  <c r="V356" i="9" a="1"/>
  <c r="V356" i="9" s="1"/>
  <c r="AD356" i="9" s="1"/>
  <c r="Z356" i="9"/>
  <c r="V344" i="9" a="1"/>
  <c r="V344" i="9" s="1"/>
  <c r="AD344" i="9" s="1"/>
  <c r="Z344" i="9"/>
  <c r="V332" i="9" a="1"/>
  <c r="V332" i="9" s="1"/>
  <c r="AD332" i="9" s="1"/>
  <c r="V320" i="9" a="1"/>
  <c r="V320" i="9" s="1"/>
  <c r="AD320" i="9" s="1"/>
  <c r="Z320" i="9"/>
  <c r="V308" i="9" a="1"/>
  <c r="V308" i="9" s="1"/>
  <c r="AD308" i="9" s="1"/>
  <c r="Z308" i="9"/>
  <c r="V296" i="9" a="1"/>
  <c r="V296" i="9" s="1"/>
  <c r="AD296" i="9" s="1"/>
  <c r="Z296" i="9"/>
  <c r="V284" i="9" a="1"/>
  <c r="V284" i="9" s="1"/>
  <c r="AD284" i="9" s="1"/>
  <c r="Z284" i="9"/>
  <c r="V272" i="9" a="1"/>
  <c r="V272" i="9" s="1"/>
  <c r="AD272" i="9" s="1"/>
  <c r="Z272" i="9"/>
  <c r="V260" i="9" a="1"/>
  <c r="V260" i="9" s="1"/>
  <c r="AD260" i="9" s="1"/>
  <c r="V248" i="9" a="1"/>
  <c r="V248" i="9" s="1"/>
  <c r="AD248" i="9" s="1"/>
  <c r="Z248" i="9"/>
  <c r="V236" i="9" a="1"/>
  <c r="V236" i="9" s="1"/>
  <c r="AD236" i="9" s="1"/>
  <c r="Z236" i="9"/>
  <c r="V224" i="9" a="1"/>
  <c r="V224" i="9" s="1"/>
  <c r="AD224" i="9" s="1"/>
  <c r="Z224" i="9"/>
  <c r="V212" i="9" a="1"/>
  <c r="V212" i="9" s="1"/>
  <c r="AD212" i="9" s="1"/>
  <c r="Z212" i="9"/>
  <c r="V200" i="9" a="1"/>
  <c r="V200" i="9" s="1"/>
  <c r="AD200" i="9" s="1"/>
  <c r="Z200" i="9"/>
  <c r="V188" i="9" a="1"/>
  <c r="V188" i="9" s="1"/>
  <c r="AD188" i="9" s="1"/>
  <c r="Z170" i="9"/>
  <c r="Z158" i="9"/>
  <c r="Z146" i="9"/>
  <c r="Z134" i="9"/>
  <c r="Z122" i="9"/>
  <c r="Z110" i="9"/>
  <c r="Z98" i="9"/>
  <c r="Z86" i="9"/>
  <c r="Z74" i="9"/>
  <c r="Z62" i="9"/>
  <c r="Z50" i="9"/>
  <c r="Z38" i="9"/>
  <c r="Z26" i="9"/>
  <c r="Z14" i="9"/>
  <c r="Z145" i="9"/>
  <c r="Z133" i="9"/>
  <c r="Z121" i="9"/>
  <c r="Z109" i="9"/>
  <c r="Z97" i="9"/>
  <c r="Z85" i="9"/>
  <c r="Z73" i="9"/>
  <c r="Z61" i="9"/>
  <c r="Z49" i="9"/>
  <c r="Z37" i="9"/>
  <c r="Z25" i="9"/>
  <c r="Z13" i="9"/>
  <c r="Z144" i="9"/>
  <c r="Z132" i="9"/>
  <c r="Z120" i="9"/>
  <c r="Z108" i="9"/>
  <c r="Z96" i="9"/>
  <c r="Z84" i="9"/>
  <c r="Z72" i="9"/>
  <c r="Z60" i="9"/>
  <c r="Z48" i="9"/>
  <c r="Z36" i="9"/>
  <c r="Z24" i="9"/>
  <c r="Z12" i="9"/>
  <c r="Z167" i="9"/>
  <c r="Z155" i="9"/>
  <c r="Z143" i="9"/>
  <c r="Z131" i="9"/>
  <c r="Z119" i="9"/>
  <c r="Z107" i="9"/>
  <c r="Z83" i="9"/>
  <c r="Z71" i="9"/>
  <c r="Z59" i="9"/>
  <c r="Z47" i="9"/>
  <c r="Z35" i="9"/>
  <c r="Z23" i="9"/>
  <c r="Z142" i="9"/>
  <c r="Z130" i="9"/>
  <c r="Z118" i="9"/>
  <c r="Z106" i="9"/>
  <c r="Z94" i="9"/>
  <c r="Z70" i="9"/>
  <c r="Z58" i="9"/>
  <c r="Z46" i="9"/>
  <c r="Z34" i="9"/>
  <c r="Z22" i="9"/>
  <c r="Z10" i="9"/>
  <c r="Z141" i="9"/>
  <c r="Z129" i="9"/>
  <c r="Z117" i="9"/>
  <c r="Z105" i="9"/>
  <c r="Z93" i="9"/>
  <c r="Z81" i="9"/>
  <c r="Z69" i="9"/>
  <c r="Z57" i="9"/>
  <c r="Z45" i="9"/>
  <c r="Z33" i="9"/>
  <c r="Z21" i="9"/>
  <c r="Z9" i="9"/>
  <c r="Z176" i="9"/>
  <c r="Z164" i="9"/>
  <c r="Z152" i="9"/>
  <c r="Z140" i="9"/>
  <c r="Z128" i="9"/>
  <c r="Z104" i="9"/>
  <c r="Z92" i="9"/>
  <c r="Z80" i="9"/>
  <c r="Z68" i="9"/>
  <c r="Z56" i="9"/>
  <c r="Z44" i="9"/>
  <c r="Z32" i="9"/>
  <c r="Z20" i="9"/>
  <c r="Z8" i="9"/>
  <c r="Z139" i="9"/>
  <c r="Z127" i="9"/>
  <c r="Z103" i="9"/>
  <c r="Z91" i="9"/>
  <c r="Z79" i="9"/>
  <c r="Z67" i="9"/>
  <c r="Z55" i="9"/>
  <c r="Z43" i="9"/>
  <c r="Z31" i="9"/>
  <c r="Z19" i="9"/>
  <c r="Z7" i="9"/>
  <c r="Z138" i="9"/>
  <c r="Z114" i="9"/>
  <c r="Z102" i="9"/>
  <c r="Z90" i="9"/>
  <c r="Z78" i="9"/>
  <c r="Z66" i="9"/>
  <c r="Z54" i="9"/>
  <c r="Z42" i="9"/>
  <c r="Z30" i="9"/>
  <c r="Z18" i="9"/>
  <c r="Z6" i="9"/>
  <c r="W64" i="9"/>
  <c r="Z173" i="9"/>
  <c r="Z161" i="9"/>
  <c r="Z149" i="9"/>
  <c r="Z137" i="9"/>
  <c r="Z125" i="9"/>
  <c r="Z113" i="9"/>
  <c r="Z101" i="9"/>
  <c r="Z89" i="9"/>
  <c r="Z77" i="9"/>
  <c r="Z65" i="9"/>
  <c r="Z53" i="9"/>
  <c r="Z41" i="9"/>
  <c r="Z29" i="9"/>
  <c r="Z17" i="9"/>
  <c r="Z5" i="9"/>
  <c r="Z136" i="9"/>
  <c r="Z124" i="9"/>
  <c r="Z112" i="9"/>
  <c r="Z100" i="9"/>
  <c r="Z88" i="9"/>
  <c r="Z76" i="9"/>
  <c r="Z64" i="9"/>
  <c r="Z52" i="9"/>
  <c r="Z40" i="9"/>
  <c r="Z28" i="9"/>
  <c r="Z16" i="9"/>
  <c r="Z4" i="9"/>
  <c r="Z135" i="9"/>
  <c r="Z123" i="9"/>
  <c r="Z111" i="9"/>
  <c r="Z99" i="9"/>
  <c r="Z87" i="9"/>
  <c r="Z75" i="9"/>
  <c r="Z63" i="9"/>
  <c r="Z51" i="9"/>
  <c r="Z39" i="9"/>
  <c r="Z27" i="9"/>
  <c r="Z15" i="9"/>
  <c r="Z3" i="9"/>
  <c r="X13" i="9"/>
  <c r="X11" i="9"/>
  <c r="X767" i="9"/>
  <c r="X755" i="9"/>
  <c r="X743" i="9"/>
  <c r="X731" i="9"/>
  <c r="X719" i="9"/>
  <c r="X707" i="9"/>
  <c r="X695" i="9"/>
  <c r="X683" i="9"/>
  <c r="X671" i="9"/>
  <c r="X659" i="9"/>
  <c r="X647" i="9"/>
  <c r="X635" i="9"/>
  <c r="X623" i="9"/>
  <c r="X611" i="9"/>
  <c r="X599" i="9"/>
  <c r="X587" i="9"/>
  <c r="X575" i="9"/>
  <c r="X563" i="9"/>
  <c r="X539" i="9"/>
  <c r="X527" i="9"/>
  <c r="X515" i="9"/>
  <c r="X503" i="9"/>
  <c r="X491" i="9"/>
  <c r="X479" i="9"/>
  <c r="X467" i="9"/>
  <c r="X455" i="9"/>
  <c r="X443" i="9"/>
  <c r="X431" i="9"/>
  <c r="X419" i="9"/>
  <c r="X395" i="9"/>
  <c r="X383" i="9"/>
  <c r="X371" i="9"/>
  <c r="X359" i="9"/>
  <c r="X347" i="9"/>
  <c r="X335" i="9"/>
  <c r="X323" i="9"/>
  <c r="X311" i="9"/>
  <c r="X299" i="9"/>
  <c r="X287" i="9"/>
  <c r="X275" i="9"/>
  <c r="X251" i="9"/>
  <c r="X239" i="9"/>
  <c r="X227" i="9"/>
  <c r="X215" i="9"/>
  <c r="X203" i="9"/>
  <c r="X191" i="9"/>
  <c r="X179" i="9"/>
  <c r="X167" i="9"/>
  <c r="X155" i="9"/>
  <c r="X143" i="9"/>
  <c r="X131" i="9"/>
  <c r="X107" i="9"/>
  <c r="X95" i="9"/>
  <c r="X83" i="9"/>
  <c r="X71" i="9"/>
  <c r="X59" i="9"/>
  <c r="X47" i="9"/>
  <c r="X35" i="9"/>
  <c r="X23" i="9"/>
  <c r="X766" i="9"/>
  <c r="X754" i="9"/>
  <c r="X742" i="9"/>
  <c r="X718" i="9"/>
  <c r="X706" i="9"/>
  <c r="X694" i="9"/>
  <c r="X682" i="9"/>
  <c r="X670" i="9"/>
  <c r="X658" i="9"/>
  <c r="X646" i="9"/>
  <c r="X634" i="9"/>
  <c r="X622" i="9"/>
  <c r="X610" i="9"/>
  <c r="X598" i="9"/>
  <c r="X574" i="9"/>
  <c r="X562" i="9"/>
  <c r="X550" i="9"/>
  <c r="X538" i="9"/>
  <c r="X526" i="9"/>
  <c r="X514" i="9"/>
  <c r="X502" i="9"/>
  <c r="X490" i="9"/>
  <c r="X478" i="9"/>
  <c r="X466" i="9"/>
  <c r="X454" i="9"/>
  <c r="X442" i="9"/>
  <c r="X430" i="9"/>
  <c r="X418" i="9"/>
  <c r="X406" i="9"/>
  <c r="X394" i="9"/>
  <c r="X382" i="9"/>
  <c r="X370" i="9"/>
  <c r="X358" i="9"/>
  <c r="X346" i="9"/>
  <c r="X334" i="9"/>
  <c r="X322" i="9"/>
  <c r="X310" i="9"/>
  <c r="X298" i="9"/>
  <c r="X286" i="9"/>
  <c r="X274" i="9"/>
  <c r="X262" i="9"/>
  <c r="X250" i="9"/>
  <c r="X238" i="9"/>
  <c r="X226" i="9"/>
  <c r="X214" i="9"/>
  <c r="X202" i="9"/>
  <c r="X190" i="9"/>
  <c r="X178" i="9"/>
  <c r="X166" i="9"/>
  <c r="X154" i="9"/>
  <c r="X142" i="9"/>
  <c r="X130" i="9"/>
  <c r="X118" i="9"/>
  <c r="X106" i="9"/>
  <c r="X94" i="9"/>
  <c r="X82" i="9"/>
  <c r="X70" i="9"/>
  <c r="X58" i="9"/>
  <c r="X46" i="9"/>
  <c r="X34" i="9"/>
  <c r="X22" i="9"/>
  <c r="X10" i="9"/>
  <c r="X765" i="9"/>
  <c r="X753" i="9"/>
  <c r="X741" i="9"/>
  <c r="X729" i="9"/>
  <c r="X717" i="9"/>
  <c r="X705" i="9"/>
  <c r="X693" i="9"/>
  <c r="X681" i="9"/>
  <c r="X669" i="9"/>
  <c r="X657" i="9"/>
  <c r="X645" i="9"/>
  <c r="X621" i="9"/>
  <c r="X609" i="9"/>
  <c r="X597" i="9"/>
  <c r="X585" i="9"/>
  <c r="X573" i="9"/>
  <c r="X561" i="9"/>
  <c r="X549" i="9"/>
  <c r="X537" i="9"/>
  <c r="X525" i="9"/>
  <c r="X513" i="9"/>
  <c r="X501" i="9"/>
  <c r="X477" i="9"/>
  <c r="X465" i="9"/>
  <c r="X453" i="9"/>
  <c r="X441" i="9"/>
  <c r="X429" i="9"/>
  <c r="X417" i="9"/>
  <c r="X405" i="9"/>
  <c r="X393" i="9"/>
  <c r="X381" i="9"/>
  <c r="X369" i="9"/>
  <c r="X357" i="9"/>
  <c r="X333" i="9"/>
  <c r="X321" i="9"/>
  <c r="X309" i="9"/>
  <c r="X297" i="9"/>
  <c r="X285" i="9"/>
  <c r="X273" i="9"/>
  <c r="X261" i="9"/>
  <c r="X249" i="9"/>
  <c r="X237" i="9"/>
  <c r="X225" i="9"/>
  <c r="X213" i="9"/>
  <c r="X189" i="9"/>
  <c r="X177" i="9"/>
  <c r="X165" i="9"/>
  <c r="X153" i="9"/>
  <c r="X141" i="9"/>
  <c r="X129" i="9"/>
  <c r="X117" i="9"/>
  <c r="X105" i="9"/>
  <c r="X93" i="9"/>
  <c r="X81" i="9"/>
  <c r="X69" i="9"/>
  <c r="X57" i="9"/>
  <c r="X45" i="9"/>
  <c r="X33" i="9"/>
  <c r="X21" i="9"/>
  <c r="X9" i="9"/>
  <c r="X764" i="9"/>
  <c r="X752" i="9"/>
  <c r="X740" i="9"/>
  <c r="X728" i="9"/>
  <c r="X716" i="9"/>
  <c r="X704" i="9"/>
  <c r="X692" i="9"/>
  <c r="X680" i="9"/>
  <c r="X668" i="9"/>
  <c r="X656" i="9"/>
  <c r="X644" i="9"/>
  <c r="X632" i="9"/>
  <c r="X620" i="9"/>
  <c r="X608" i="9"/>
  <c r="X596" i="9"/>
  <c r="X584" i="9"/>
  <c r="X572" i="9"/>
  <c r="X560" i="9"/>
  <c r="X548" i="9"/>
  <c r="X524" i="9"/>
  <c r="X512" i="9"/>
  <c r="X500" i="9"/>
  <c r="X488" i="9"/>
  <c r="X476" i="9"/>
  <c r="X464" i="9"/>
  <c r="X452" i="9"/>
  <c r="X440" i="9"/>
  <c r="X428" i="9"/>
  <c r="X416" i="9"/>
  <c r="X404" i="9"/>
  <c r="X392" i="9"/>
  <c r="X380" i="9"/>
  <c r="X368" i="9"/>
  <c r="X356" i="9"/>
  <c r="X344" i="9"/>
  <c r="X332" i="9"/>
  <c r="X320" i="9"/>
  <c r="X308" i="9"/>
  <c r="X296" i="9"/>
  <c r="X284" i="9"/>
  <c r="X272" i="9"/>
  <c r="X260" i="9"/>
  <c r="X248" i="9"/>
  <c r="X236" i="9"/>
  <c r="X224" i="9"/>
  <c r="X212" i="9"/>
  <c r="X200" i="9"/>
  <c r="X188" i="9"/>
  <c r="X176" i="9"/>
  <c r="X164" i="9"/>
  <c r="X152" i="9"/>
  <c r="X140" i="9"/>
  <c r="X128" i="9"/>
  <c r="X116" i="9"/>
  <c r="X104" i="9"/>
  <c r="X92" i="9"/>
  <c r="X80" i="9"/>
  <c r="X68" i="9"/>
  <c r="X56" i="9"/>
  <c r="X44" i="9"/>
  <c r="X32" i="9"/>
  <c r="X20" i="9"/>
  <c r="X8" i="9"/>
  <c r="X763" i="9"/>
  <c r="X751" i="9"/>
  <c r="X739" i="9"/>
  <c r="X727" i="9"/>
  <c r="X715" i="9"/>
  <c r="X703" i="9"/>
  <c r="X691" i="9"/>
  <c r="X679" i="9"/>
  <c r="X667" i="9"/>
  <c r="X655" i="9"/>
  <c r="X643" i="9"/>
  <c r="X631" i="9"/>
  <c r="X619" i="9"/>
  <c r="X607" i="9"/>
  <c r="X595" i="9"/>
  <c r="X583" i="9"/>
  <c r="X571" i="9"/>
  <c r="X559" i="9"/>
  <c r="X547" i="9"/>
  <c r="X535" i="9"/>
  <c r="X523" i="9"/>
  <c r="X511" i="9"/>
  <c r="X499" i="9"/>
  <c r="X487" i="9"/>
  <c r="X475" i="9"/>
  <c r="X463" i="9"/>
  <c r="X451" i="9"/>
  <c r="X439" i="9"/>
  <c r="X427" i="9"/>
  <c r="X415" i="9"/>
  <c r="X403" i="9"/>
  <c r="X391" i="9"/>
  <c r="X379" i="9"/>
  <c r="X367" i="9"/>
  <c r="X355" i="9"/>
  <c r="X343" i="9"/>
  <c r="X331" i="9"/>
  <c r="X319" i="9"/>
  <c r="X307" i="9"/>
  <c r="X295" i="9"/>
  <c r="X283" i="9"/>
  <c r="X271" i="9"/>
  <c r="X259" i="9"/>
  <c r="X247" i="9"/>
  <c r="X235" i="9"/>
  <c r="X223" i="9"/>
  <c r="X211" i="9"/>
  <c r="X199" i="9"/>
  <c r="X187" i="9"/>
  <c r="X175" i="9"/>
  <c r="X163" i="9"/>
  <c r="X151" i="9"/>
  <c r="X139" i="9"/>
  <c r="X127" i="9"/>
  <c r="X115" i="9"/>
  <c r="X103" i="9"/>
  <c r="X91" i="9"/>
  <c r="X79" i="9"/>
  <c r="X67" i="9"/>
  <c r="X55" i="9"/>
  <c r="X43" i="9"/>
  <c r="X31" i="9"/>
  <c r="X19" i="9"/>
  <c r="X7" i="9"/>
  <c r="X762" i="9"/>
  <c r="X750" i="9"/>
  <c r="X738" i="9"/>
  <c r="X726" i="9"/>
  <c r="X714" i="9"/>
  <c r="X702" i="9"/>
  <c r="X690" i="9"/>
  <c r="X678" i="9"/>
  <c r="X666" i="9"/>
  <c r="X654" i="9"/>
  <c r="X642" i="9"/>
  <c r="X630" i="9"/>
  <c r="X618" i="9"/>
  <c r="X606" i="9"/>
  <c r="X594" i="9"/>
  <c r="X582" i="9"/>
  <c r="X570" i="9"/>
  <c r="X558" i="9"/>
  <c r="X546" i="9"/>
  <c r="X534" i="9"/>
  <c r="X522" i="9"/>
  <c r="X510" i="9"/>
  <c r="X498" i="9"/>
  <c r="X486" i="9"/>
  <c r="X474" i="9"/>
  <c r="X462" i="9"/>
  <c r="X450" i="9"/>
  <c r="X438" i="9"/>
  <c r="X426" i="9"/>
  <c r="X414" i="9"/>
  <c r="X402" i="9"/>
  <c r="X390" i="9"/>
  <c r="X378" i="9"/>
  <c r="X366" i="9"/>
  <c r="X354" i="9"/>
  <c r="X342" i="9"/>
  <c r="X330" i="9"/>
  <c r="X318" i="9"/>
  <c r="X306" i="9"/>
  <c r="X294" i="9"/>
  <c r="X282" i="9"/>
  <c r="X270" i="9"/>
  <c r="X258" i="9"/>
  <c r="X246" i="9"/>
  <c r="X234" i="9"/>
  <c r="X222" i="9"/>
  <c r="X210" i="9"/>
  <c r="X198" i="9"/>
  <c r="X186" i="9"/>
  <c r="X174" i="9"/>
  <c r="X162" i="9"/>
  <c r="X150" i="9"/>
  <c r="X138" i="9"/>
  <c r="X126" i="9"/>
  <c r="X114" i="9"/>
  <c r="X102" i="9"/>
  <c r="X90" i="9"/>
  <c r="X78" i="9"/>
  <c r="X66" i="9"/>
  <c r="X54" i="9"/>
  <c r="X42" i="9"/>
  <c r="X30" i="9"/>
  <c r="X18" i="9"/>
  <c r="X6" i="9"/>
  <c r="X761" i="9"/>
  <c r="X749" i="9"/>
  <c r="X737" i="9"/>
  <c r="X725" i="9"/>
  <c r="X713" i="9"/>
  <c r="X701" i="9"/>
  <c r="X689" i="9"/>
  <c r="X677" i="9"/>
  <c r="X665" i="9"/>
  <c r="X653" i="9"/>
  <c r="X641" i="9"/>
  <c r="X629" i="9"/>
  <c r="X617" i="9"/>
  <c r="X605" i="9"/>
  <c r="X593" i="9"/>
  <c r="X581" i="9"/>
  <c r="X569" i="9"/>
  <c r="X557" i="9"/>
  <c r="X545" i="9"/>
  <c r="X533" i="9"/>
  <c r="X521" i="9"/>
  <c r="X509" i="9"/>
  <c r="X497" i="9"/>
  <c r="X485" i="9"/>
  <c r="X473" i="9"/>
  <c r="X461" i="9"/>
  <c r="X449" i="9"/>
  <c r="X437" i="9"/>
  <c r="X425" i="9"/>
  <c r="X413" i="9"/>
  <c r="X401" i="9"/>
  <c r="X389" i="9"/>
  <c r="X377" i="9"/>
  <c r="X365" i="9"/>
  <c r="X353" i="9"/>
  <c r="X341" i="9"/>
  <c r="X329" i="9"/>
  <c r="X317" i="9"/>
  <c r="X305" i="9"/>
  <c r="X293" i="9"/>
  <c r="X281" i="9"/>
  <c r="X269" i="9"/>
  <c r="X257" i="9"/>
  <c r="X245" i="9"/>
  <c r="X233" i="9"/>
  <c r="X221" i="9"/>
  <c r="X209" i="9"/>
  <c r="X197" i="9"/>
  <c r="X185" i="9"/>
  <c r="X173" i="9"/>
  <c r="X161" i="9"/>
  <c r="X149" i="9"/>
  <c r="X137" i="9"/>
  <c r="X125" i="9"/>
  <c r="X113" i="9"/>
  <c r="X101" i="9"/>
  <c r="X89" i="9"/>
  <c r="X77" i="9"/>
  <c r="X65" i="9"/>
  <c r="X53" i="9"/>
  <c r="X41" i="9"/>
  <c r="X29" i="9"/>
  <c r="X17" i="9"/>
  <c r="X5" i="9"/>
  <c r="X760" i="9"/>
  <c r="X748" i="9"/>
  <c r="X736" i="9"/>
  <c r="X724" i="9"/>
  <c r="X712" i="9"/>
  <c r="X700" i="9"/>
  <c r="X688" i="9"/>
  <c r="X676" i="9"/>
  <c r="X664" i="9"/>
  <c r="X652" i="9"/>
  <c r="X640" i="9"/>
  <c r="X628" i="9"/>
  <c r="X616" i="9"/>
  <c r="X604" i="9"/>
  <c r="X592" i="9"/>
  <c r="X580" i="9"/>
  <c r="X568" i="9"/>
  <c r="X556" i="9"/>
  <c r="X544" i="9"/>
  <c r="X532" i="9"/>
  <c r="X520" i="9"/>
  <c r="X508" i="9"/>
  <c r="X496" i="9"/>
  <c r="X484" i="9"/>
  <c r="X472" i="9"/>
  <c r="X460" i="9"/>
  <c r="X448" i="9"/>
  <c r="X436" i="9"/>
  <c r="X424" i="9"/>
  <c r="X412" i="9"/>
  <c r="X400" i="9"/>
  <c r="X388" i="9"/>
  <c r="X376" i="9"/>
  <c r="X364" i="9"/>
  <c r="X352" i="9"/>
  <c r="X340" i="9"/>
  <c r="X328" i="9"/>
  <c r="X316" i="9"/>
  <c r="X304" i="9"/>
  <c r="X292" i="9"/>
  <c r="X280" i="9"/>
  <c r="X268" i="9"/>
  <c r="X256" i="9"/>
  <c r="X244" i="9"/>
  <c r="X232" i="9"/>
  <c r="X220" i="9"/>
  <c r="X208" i="9"/>
  <c r="X196" i="9"/>
  <c r="X184" i="9"/>
  <c r="X172" i="9"/>
  <c r="X160" i="9"/>
  <c r="X148" i="9"/>
  <c r="X136" i="9"/>
  <c r="X124" i="9"/>
  <c r="X112" i="9"/>
  <c r="X100" i="9"/>
  <c r="X88" i="9"/>
  <c r="X76" i="9"/>
  <c r="X64" i="9"/>
  <c r="X52" i="9"/>
  <c r="X40" i="9"/>
  <c r="X28" i="9"/>
  <c r="X16" i="9"/>
  <c r="X4" i="9"/>
  <c r="X759" i="9"/>
  <c r="X747" i="9"/>
  <c r="X735" i="9"/>
  <c r="X723" i="9"/>
  <c r="X711" i="9"/>
  <c r="X699" i="9"/>
  <c r="X687" i="9"/>
  <c r="X675" i="9"/>
  <c r="X663" i="9"/>
  <c r="X651" i="9"/>
  <c r="X639" i="9"/>
  <c r="X627" i="9"/>
  <c r="X615" i="9"/>
  <c r="X603" i="9"/>
  <c r="X591" i="9"/>
  <c r="X579" i="9"/>
  <c r="X567" i="9"/>
  <c r="X555" i="9"/>
  <c r="X543" i="9"/>
  <c r="X531" i="9"/>
  <c r="X519" i="9"/>
  <c r="X507" i="9"/>
  <c r="X495" i="9"/>
  <c r="X483" i="9"/>
  <c r="X471" i="9"/>
  <c r="X459" i="9"/>
  <c r="X447" i="9"/>
  <c r="X435" i="9"/>
  <c r="X423" i="9"/>
  <c r="X411" i="9"/>
  <c r="X399" i="9"/>
  <c r="X387" i="9"/>
  <c r="X375" i="9"/>
  <c r="X363" i="9"/>
  <c r="X351" i="9"/>
  <c r="X339" i="9"/>
  <c r="X327" i="9"/>
  <c r="X315" i="9"/>
  <c r="X303" i="9"/>
  <c r="X291" i="9"/>
  <c r="X279" i="9"/>
  <c r="X267" i="9"/>
  <c r="X255" i="9"/>
  <c r="X243" i="9"/>
  <c r="X231" i="9"/>
  <c r="X219" i="9"/>
  <c r="X207" i="9"/>
  <c r="X195" i="9"/>
  <c r="X183" i="9"/>
  <c r="X171" i="9"/>
  <c r="X159" i="9"/>
  <c r="X147" i="9"/>
  <c r="X135" i="9"/>
  <c r="X123" i="9"/>
  <c r="X111" i="9"/>
  <c r="X99" i="9"/>
  <c r="X87" i="9"/>
  <c r="X75" i="9"/>
  <c r="X63" i="9"/>
  <c r="X51" i="9"/>
  <c r="X39" i="9"/>
  <c r="X27" i="9"/>
  <c r="X15" i="9"/>
  <c r="X3" i="9"/>
  <c r="X758" i="9"/>
  <c r="X746" i="9"/>
  <c r="X734" i="9"/>
  <c r="X722" i="9"/>
  <c r="X710" i="9"/>
  <c r="X698" i="9"/>
  <c r="X686" i="9"/>
  <c r="X674" i="9"/>
  <c r="X662" i="9"/>
  <c r="X650" i="9"/>
  <c r="X638" i="9"/>
  <c r="X626" i="9"/>
  <c r="X614" i="9"/>
  <c r="X602" i="9"/>
  <c r="X590" i="9"/>
  <c r="X578" i="9"/>
  <c r="X566" i="9"/>
  <c r="X554" i="9"/>
  <c r="X542" i="9"/>
  <c r="X530" i="9"/>
  <c r="X518" i="9"/>
  <c r="X506" i="9"/>
  <c r="X494" i="9"/>
  <c r="X482" i="9"/>
  <c r="X470" i="9"/>
  <c r="X458" i="9"/>
  <c r="X446" i="9"/>
  <c r="X434" i="9"/>
  <c r="X422" i="9"/>
  <c r="X410" i="9"/>
  <c r="X398" i="9"/>
  <c r="X386" i="9"/>
  <c r="X374" i="9"/>
  <c r="X362" i="9"/>
  <c r="X350" i="9"/>
  <c r="X338" i="9"/>
  <c r="X326" i="9"/>
  <c r="X314" i="9"/>
  <c r="X302" i="9"/>
  <c r="X290" i="9"/>
  <c r="X278" i="9"/>
  <c r="X266" i="9"/>
  <c r="X254" i="9"/>
  <c r="X242" i="9"/>
  <c r="X230" i="9"/>
  <c r="X218" i="9"/>
  <c r="X206" i="9"/>
  <c r="X194" i="9"/>
  <c r="X182" i="9"/>
  <c r="X170" i="9"/>
  <c r="X158" i="9"/>
  <c r="X146" i="9"/>
  <c r="X134" i="9"/>
  <c r="X122" i="9"/>
  <c r="X110" i="9"/>
  <c r="X98" i="9"/>
  <c r="X86" i="9"/>
  <c r="X74" i="9"/>
  <c r="X62" i="9"/>
  <c r="X50" i="9"/>
  <c r="X38" i="9"/>
  <c r="X26" i="9"/>
  <c r="X14" i="9"/>
  <c r="X2" i="9"/>
  <c r="X757" i="9"/>
  <c r="X745" i="9"/>
  <c r="X733" i="9"/>
  <c r="X721" i="9"/>
  <c r="X709" i="9"/>
  <c r="X697" i="9"/>
  <c r="X685" i="9"/>
  <c r="X673" i="9"/>
  <c r="X661" i="9"/>
  <c r="X649" i="9"/>
  <c r="X637" i="9"/>
  <c r="X625" i="9"/>
  <c r="X613" i="9"/>
  <c r="X601" i="9"/>
  <c r="X589" i="9"/>
  <c r="X577" i="9"/>
  <c r="X565" i="9"/>
  <c r="X553" i="9"/>
  <c r="X541" i="9"/>
  <c r="X529" i="9"/>
  <c r="X517" i="9"/>
  <c r="X505" i="9"/>
  <c r="X493" i="9"/>
  <c r="X481" i="9"/>
  <c r="X469" i="9"/>
  <c r="X457" i="9"/>
  <c r="X445" i="9"/>
  <c r="X433" i="9"/>
  <c r="X421" i="9"/>
  <c r="X409" i="9"/>
  <c r="X397" i="9"/>
  <c r="X385" i="9"/>
  <c r="X373" i="9"/>
  <c r="X361" i="9"/>
  <c r="X349" i="9"/>
  <c r="X337" i="9"/>
  <c r="X325" i="9"/>
  <c r="X313" i="9"/>
  <c r="X301" i="9"/>
  <c r="X289" i="9"/>
  <c r="X277" i="9"/>
  <c r="X265" i="9"/>
  <c r="X253" i="9"/>
  <c r="X241" i="9"/>
  <c r="X229" i="9"/>
  <c r="X217" i="9"/>
  <c r="X205" i="9"/>
  <c r="X193" i="9"/>
  <c r="X181" i="9"/>
  <c r="X169" i="9"/>
  <c r="X157" i="9"/>
  <c r="X145" i="9"/>
  <c r="X133" i="9"/>
  <c r="X121" i="9"/>
  <c r="X109" i="9"/>
  <c r="X97" i="9"/>
  <c r="X85" i="9"/>
  <c r="X73" i="9"/>
  <c r="X61" i="9"/>
  <c r="X49" i="9"/>
  <c r="X37" i="9"/>
  <c r="X25" i="9"/>
  <c r="X768" i="9"/>
  <c r="X756" i="9"/>
  <c r="X744" i="9"/>
  <c r="X732" i="9"/>
  <c r="X720" i="9"/>
  <c r="X708" i="9"/>
  <c r="X696" i="9"/>
  <c r="X684" i="9"/>
  <c r="X672" i="9"/>
  <c r="X660" i="9"/>
  <c r="X648" i="9"/>
  <c r="X636" i="9"/>
  <c r="X624" i="9"/>
  <c r="X612" i="9"/>
  <c r="X600" i="9"/>
  <c r="X588" i="9"/>
  <c r="X576" i="9"/>
  <c r="X564" i="9"/>
  <c r="X552" i="9"/>
  <c r="X540" i="9"/>
  <c r="X528" i="9"/>
  <c r="X516" i="9"/>
  <c r="X504" i="9"/>
  <c r="X492" i="9"/>
  <c r="X480" i="9"/>
  <c r="X468" i="9"/>
  <c r="X456" i="9"/>
  <c r="X444" i="9"/>
  <c r="X432" i="9"/>
  <c r="X420" i="9"/>
  <c r="X408" i="9"/>
  <c r="X396" i="9"/>
  <c r="X384" i="9"/>
  <c r="X372" i="9"/>
  <c r="X360" i="9"/>
  <c r="X348" i="9"/>
  <c r="X336" i="9"/>
  <c r="X324" i="9"/>
  <c r="X312" i="9"/>
  <c r="X300" i="9"/>
  <c r="X288" i="9"/>
  <c r="X276" i="9"/>
  <c r="X264" i="9"/>
  <c r="X252" i="9"/>
  <c r="X240" i="9"/>
  <c r="X228" i="9"/>
  <c r="X216" i="9"/>
  <c r="X204" i="9"/>
  <c r="X192" i="9"/>
  <c r="X180" i="9"/>
  <c r="X168" i="9"/>
  <c r="X156" i="9"/>
  <c r="X144" i="9"/>
  <c r="X132" i="9"/>
  <c r="X120" i="9"/>
  <c r="X108" i="9"/>
  <c r="X96" i="9"/>
  <c r="X84" i="9"/>
  <c r="X72" i="9"/>
  <c r="X60" i="9"/>
  <c r="X48" i="9"/>
  <c r="X36" i="9"/>
  <c r="X24" i="9"/>
  <c r="X12" i="9"/>
  <c r="AZ768" i="7" a="1"/>
  <c r="AZ768" i="7" s="1"/>
  <c r="AZ756" i="7" a="1"/>
  <c r="AZ756" i="7" s="1"/>
  <c r="AZ744" i="7" a="1"/>
  <c r="AZ744" i="7" s="1"/>
  <c r="AZ732" i="7" a="1"/>
  <c r="AZ732" i="7" s="1"/>
  <c r="AZ720" i="7" a="1"/>
  <c r="AZ720" i="7" s="1"/>
  <c r="AZ708" i="7" a="1"/>
  <c r="AZ708" i="7" s="1"/>
  <c r="AZ696" i="7" a="1"/>
  <c r="AZ696" i="7" s="1"/>
  <c r="AZ684" i="7" a="1"/>
  <c r="AZ684" i="7" s="1"/>
  <c r="AZ672" i="7" a="1"/>
  <c r="AZ672" i="7" s="1"/>
  <c r="AZ660" i="7" a="1"/>
  <c r="AZ660" i="7" s="1"/>
  <c r="AZ648" i="7" a="1"/>
  <c r="AZ648" i="7" s="1"/>
  <c r="AZ636" i="7" a="1"/>
  <c r="AZ636" i="7" s="1"/>
  <c r="AZ624" i="7" a="1"/>
  <c r="AZ624" i="7" s="1"/>
  <c r="AZ612" i="7" a="1"/>
  <c r="AZ612" i="7" s="1"/>
  <c r="AZ600" i="7" a="1"/>
  <c r="AZ600" i="7" s="1"/>
  <c r="AZ591" i="7" a="1"/>
  <c r="AZ591" i="7" s="1"/>
  <c r="AZ583" i="7" a="1"/>
  <c r="AZ583" i="7" s="1"/>
  <c r="AZ575" i="7" a="1"/>
  <c r="AZ575" i="7" s="1"/>
  <c r="AZ568" i="7" a="1"/>
  <c r="AZ568" i="7" s="1"/>
  <c r="AZ561" i="7" a="1"/>
  <c r="AZ561" i="7" s="1"/>
  <c r="AZ539" i="7" a="1"/>
  <c r="AZ539" i="7" s="1"/>
  <c r="AZ532" i="7" a="1"/>
  <c r="AZ532" i="7" s="1"/>
  <c r="AZ525" i="7" a="1"/>
  <c r="AZ525" i="7" s="1"/>
  <c r="AZ499" i="7" a="1"/>
  <c r="AZ499" i="7" s="1"/>
  <c r="AZ488" i="7" a="1"/>
  <c r="AZ488" i="7" s="1"/>
  <c r="AZ465" i="7" a="1"/>
  <c r="AZ465" i="7" s="1"/>
  <c r="AZ455" i="7" a="1"/>
  <c r="AZ455" i="7" s="1"/>
  <c r="AZ444" i="7" a="1"/>
  <c r="AZ444" i="7" s="1"/>
  <c r="AZ433" i="7" a="1"/>
  <c r="AZ433" i="7" s="1"/>
  <c r="AZ411" i="7" a="1"/>
  <c r="AZ411" i="7" s="1"/>
  <c r="AZ400" i="7" a="1"/>
  <c r="AZ400" i="7" s="1"/>
  <c r="AZ389" i="7" a="1"/>
  <c r="AZ389" i="7" s="1"/>
  <c r="AZ378" i="7" a="1"/>
  <c r="AZ378" i="7" s="1"/>
  <c r="AZ368" i="7" a="1"/>
  <c r="AZ368" i="7" s="1"/>
  <c r="AZ356" i="7" a="1"/>
  <c r="AZ356" i="7" s="1"/>
  <c r="AZ345" i="7" a="1"/>
  <c r="AZ345" i="7" s="1"/>
  <c r="AZ333" i="7" a="1"/>
  <c r="AZ333" i="7" s="1"/>
  <c r="AZ322" i="7" a="1"/>
  <c r="AZ322" i="7" s="1"/>
  <c r="AZ310" i="7" a="1"/>
  <c r="AZ310" i="7" s="1"/>
  <c r="AZ298" i="7" a="1"/>
  <c r="AZ298" i="7" s="1"/>
  <c r="AZ286" i="7" a="1"/>
  <c r="AZ286" i="7" s="1"/>
  <c r="AZ274" i="7" a="1"/>
  <c r="AZ274" i="7" s="1"/>
  <c r="AZ262" i="7" a="1"/>
  <c r="AZ262" i="7" s="1"/>
  <c r="AZ250" i="7" a="1"/>
  <c r="AZ250" i="7" s="1"/>
  <c r="AZ238" i="7" a="1"/>
  <c r="AZ238" i="7" s="1"/>
  <c r="AZ226" i="7" a="1"/>
  <c r="AZ226" i="7" s="1"/>
  <c r="AZ214" i="7" a="1"/>
  <c r="AZ214" i="7" s="1"/>
  <c r="AZ202" i="7" a="1"/>
  <c r="AZ202" i="7" s="1"/>
  <c r="AZ188" i="7" a="1"/>
  <c r="AZ188" i="7" s="1"/>
  <c r="AZ175" i="7" a="1"/>
  <c r="AZ175" i="7" s="1"/>
  <c r="AZ162" i="7" a="1"/>
  <c r="AZ162" i="7" s="1"/>
  <c r="AZ149" i="7" a="1"/>
  <c r="AZ149" i="7" s="1"/>
  <c r="AZ136" i="7" a="1"/>
  <c r="AZ136" i="7" s="1"/>
  <c r="AZ123" i="7" a="1"/>
  <c r="AZ123" i="7" s="1"/>
  <c r="AZ110" i="7" a="1"/>
  <c r="AZ110" i="7" s="1"/>
  <c r="AZ97" i="7" a="1"/>
  <c r="AZ97" i="7" s="1"/>
  <c r="AZ84" i="7" a="1"/>
  <c r="AZ84" i="7" s="1"/>
  <c r="AZ71" i="7" a="1"/>
  <c r="AZ71" i="7" s="1"/>
  <c r="AZ58" i="7" a="1"/>
  <c r="AZ58" i="7" s="1"/>
  <c r="AZ44" i="7" a="1"/>
  <c r="AZ44" i="7" s="1"/>
  <c r="AZ31" i="7" a="1"/>
  <c r="AZ31" i="7" s="1"/>
  <c r="AZ18" i="7" a="1"/>
  <c r="AZ18" i="7" s="1"/>
  <c r="AZ4" i="7" a="1"/>
  <c r="AZ4" i="7" s="1"/>
  <c r="AY757" i="7" a="1"/>
  <c r="AY757" i="7" s="1"/>
  <c r="AY739" i="7" a="1"/>
  <c r="AY739" i="7" s="1"/>
  <c r="AY699" i="7" a="1"/>
  <c r="AY699" i="7" s="1"/>
  <c r="AY679" i="7" a="1"/>
  <c r="AY679" i="7" s="1"/>
  <c r="AY642" i="7" a="1"/>
  <c r="AY642" i="7" s="1"/>
  <c r="AY12" i="7" a="1"/>
  <c r="AY12" i="7" s="1"/>
  <c r="AZ12" i="7" a="1"/>
  <c r="AZ12" i="7" s="1"/>
  <c r="AZ767" i="7" a="1"/>
  <c r="AZ767" i="7" s="1"/>
  <c r="AZ755" i="7" a="1"/>
  <c r="AZ755" i="7" s="1"/>
  <c r="AZ743" i="7" a="1"/>
  <c r="AZ743" i="7" s="1"/>
  <c r="AZ731" i="7" a="1"/>
  <c r="AZ731" i="7" s="1"/>
  <c r="AZ719" i="7" a="1"/>
  <c r="AZ719" i="7" s="1"/>
  <c r="AZ707" i="7" a="1"/>
  <c r="AZ707" i="7" s="1"/>
  <c r="AZ695" i="7" a="1"/>
  <c r="AZ695" i="7" s="1"/>
  <c r="AZ683" i="7" a="1"/>
  <c r="AZ683" i="7" s="1"/>
  <c r="AZ671" i="7" a="1"/>
  <c r="AZ671" i="7" s="1"/>
  <c r="AZ659" i="7" a="1"/>
  <c r="AZ659" i="7" s="1"/>
  <c r="AZ647" i="7" a="1"/>
  <c r="AZ647" i="7" s="1"/>
  <c r="AZ635" i="7" a="1"/>
  <c r="AZ635" i="7" s="1"/>
  <c r="AZ623" i="7" a="1"/>
  <c r="AZ623" i="7" s="1"/>
  <c r="AZ611" i="7" a="1"/>
  <c r="AZ611" i="7" s="1"/>
  <c r="AZ599" i="7" a="1"/>
  <c r="AZ599" i="7" s="1"/>
  <c r="AZ590" i="7" a="1"/>
  <c r="AZ590" i="7" s="1"/>
  <c r="AZ560" i="7" a="1"/>
  <c r="AZ560" i="7" s="1"/>
  <c r="AZ553" i="7" a="1"/>
  <c r="AZ553" i="7" s="1"/>
  <c r="AZ546" i="7" a="1"/>
  <c r="AZ546" i="7" s="1"/>
  <c r="AZ524" i="7" a="1"/>
  <c r="AZ524" i="7" s="1"/>
  <c r="AZ517" i="7" a="1"/>
  <c r="AZ517" i="7" s="1"/>
  <c r="AZ509" i="7" a="1"/>
  <c r="AZ509" i="7" s="1"/>
  <c r="AZ498" i="7" a="1"/>
  <c r="AZ498" i="7" s="1"/>
  <c r="AZ487" i="7" a="1"/>
  <c r="AZ487" i="7" s="1"/>
  <c r="AZ476" i="7" a="1"/>
  <c r="AZ476" i="7" s="1"/>
  <c r="AZ454" i="7" a="1"/>
  <c r="AZ454" i="7" s="1"/>
  <c r="AZ443" i="7" a="1"/>
  <c r="AZ443" i="7" s="1"/>
  <c r="AZ432" i="7" a="1"/>
  <c r="AZ432" i="7" s="1"/>
  <c r="AZ422" i="7" a="1"/>
  <c r="AZ422" i="7" s="1"/>
  <c r="AZ410" i="7" a="1"/>
  <c r="AZ410" i="7" s="1"/>
  <c r="AZ399" i="7" a="1"/>
  <c r="AZ399" i="7" s="1"/>
  <c r="AZ388" i="7" a="1"/>
  <c r="AZ388" i="7" s="1"/>
  <c r="AZ377" i="7" a="1"/>
  <c r="AZ377" i="7" s="1"/>
  <c r="AZ367" i="7" a="1"/>
  <c r="AZ367" i="7" s="1"/>
  <c r="AZ355" i="7" a="1"/>
  <c r="AZ355" i="7" s="1"/>
  <c r="AZ344" i="7" a="1"/>
  <c r="AZ344" i="7" s="1"/>
  <c r="AZ321" i="7" a="1"/>
  <c r="AZ321" i="7" s="1"/>
  <c r="AZ309" i="7" a="1"/>
  <c r="AZ309" i="7" s="1"/>
  <c r="AZ297" i="7" a="1"/>
  <c r="AZ297" i="7" s="1"/>
  <c r="AZ285" i="7" a="1"/>
  <c r="AZ285" i="7" s="1"/>
  <c r="AZ273" i="7" a="1"/>
  <c r="AZ273" i="7" s="1"/>
  <c r="AZ261" i="7" a="1"/>
  <c r="AZ261" i="7" s="1"/>
  <c r="AZ249" i="7" a="1"/>
  <c r="AZ249" i="7" s="1"/>
  <c r="AZ237" i="7" a="1"/>
  <c r="AZ237" i="7" s="1"/>
  <c r="AZ225" i="7" a="1"/>
  <c r="AZ225" i="7" s="1"/>
  <c r="AZ213" i="7" a="1"/>
  <c r="AZ213" i="7" s="1"/>
  <c r="AZ200" i="7" a="1"/>
  <c r="AZ200" i="7" s="1"/>
  <c r="AZ187" i="7" a="1"/>
  <c r="AZ187" i="7" s="1"/>
  <c r="AZ174" i="7" a="1"/>
  <c r="AZ174" i="7" s="1"/>
  <c r="AZ161" i="7" a="1"/>
  <c r="AZ161" i="7" s="1"/>
  <c r="AZ148" i="7" a="1"/>
  <c r="AZ148" i="7" s="1"/>
  <c r="AZ135" i="7" a="1"/>
  <c r="AZ135" i="7" s="1"/>
  <c r="AZ122" i="7" a="1"/>
  <c r="AZ122" i="7" s="1"/>
  <c r="AZ109" i="7" a="1"/>
  <c r="AZ109" i="7" s="1"/>
  <c r="AZ96" i="7" a="1"/>
  <c r="AZ96" i="7" s="1"/>
  <c r="AZ83" i="7" a="1"/>
  <c r="AZ83" i="7" s="1"/>
  <c r="AZ70" i="7" a="1"/>
  <c r="AZ70" i="7" s="1"/>
  <c r="AZ56" i="7" a="1"/>
  <c r="AZ56" i="7" s="1"/>
  <c r="AZ43" i="7" a="1"/>
  <c r="AZ43" i="7" s="1"/>
  <c r="AZ30" i="7" a="1"/>
  <c r="AZ30" i="7" s="1"/>
  <c r="AZ17" i="7" a="1"/>
  <c r="AZ17" i="7" s="1"/>
  <c r="AZ3" i="7" a="1"/>
  <c r="AZ3" i="7" s="1"/>
  <c r="AY738" i="7" a="1"/>
  <c r="AY738" i="7" s="1"/>
  <c r="AY718" i="7" a="1"/>
  <c r="AY718" i="7" s="1"/>
  <c r="AY697" i="7" a="1"/>
  <c r="AY697" i="7" s="1"/>
  <c r="AY658" i="7" a="1"/>
  <c r="AY658" i="7" s="1"/>
  <c r="AY640" i="7" a="1"/>
  <c r="AY640" i="7" s="1"/>
  <c r="AY622" i="7" a="1"/>
  <c r="AY622" i="7" s="1"/>
  <c r="AZ766" i="7" a="1"/>
  <c r="AZ766" i="7" s="1"/>
  <c r="AZ754" i="7" a="1"/>
  <c r="AZ754" i="7" s="1"/>
  <c r="AZ742" i="7" a="1"/>
  <c r="AZ742" i="7" s="1"/>
  <c r="AZ730" i="7" a="1"/>
  <c r="AZ730" i="7" s="1"/>
  <c r="AZ706" i="7" a="1"/>
  <c r="AZ706" i="7" s="1"/>
  <c r="AZ694" i="7" a="1"/>
  <c r="AZ694" i="7" s="1"/>
  <c r="AZ682" i="7" a="1"/>
  <c r="AZ682" i="7" s="1"/>
  <c r="AZ670" i="7" a="1"/>
  <c r="AZ670" i="7" s="1"/>
  <c r="AZ646" i="7" a="1"/>
  <c r="AZ646" i="7" s="1"/>
  <c r="AZ634" i="7" a="1"/>
  <c r="AZ634" i="7" s="1"/>
  <c r="AZ610" i="7" a="1"/>
  <c r="AZ610" i="7" s="1"/>
  <c r="AZ598" i="7" a="1"/>
  <c r="AZ598" i="7" s="1"/>
  <c r="AZ582" i="7" a="1"/>
  <c r="AZ582" i="7" s="1"/>
  <c r="AZ574" i="7" a="1"/>
  <c r="AZ574" i="7" s="1"/>
  <c r="AZ567" i="7" a="1"/>
  <c r="AZ567" i="7" s="1"/>
  <c r="AZ545" i="7" a="1"/>
  <c r="AZ545" i="7" s="1"/>
  <c r="AZ538" i="7" a="1"/>
  <c r="AZ538" i="7" s="1"/>
  <c r="AZ531" i="7" a="1"/>
  <c r="AZ531" i="7" s="1"/>
  <c r="AZ508" i="7" a="1"/>
  <c r="AZ508" i="7" s="1"/>
  <c r="AZ497" i="7" a="1"/>
  <c r="AZ497" i="7" s="1"/>
  <c r="AZ486" i="7" a="1"/>
  <c r="AZ486" i="7" s="1"/>
  <c r="AZ475" i="7" a="1"/>
  <c r="AZ475" i="7" s="1"/>
  <c r="AZ464" i="7" a="1"/>
  <c r="AZ464" i="7" s="1"/>
  <c r="AZ453" i="7" a="1"/>
  <c r="AZ453" i="7" s="1"/>
  <c r="AZ442" i="7" a="1"/>
  <c r="AZ442" i="7" s="1"/>
  <c r="AZ431" i="7" a="1"/>
  <c r="AZ431" i="7" s="1"/>
  <c r="AZ421" i="7" a="1"/>
  <c r="AZ421" i="7" s="1"/>
  <c r="AZ409" i="7" a="1"/>
  <c r="AZ409" i="7" s="1"/>
  <c r="AZ398" i="7" a="1"/>
  <c r="AZ398" i="7" s="1"/>
  <c r="AZ387" i="7" a="1"/>
  <c r="AZ387" i="7" s="1"/>
  <c r="AZ376" i="7" a="1"/>
  <c r="AZ376" i="7" s="1"/>
  <c r="AZ366" i="7" a="1"/>
  <c r="AZ366" i="7" s="1"/>
  <c r="AZ354" i="7" a="1"/>
  <c r="AZ354" i="7" s="1"/>
  <c r="AZ343" i="7" a="1"/>
  <c r="AZ343" i="7" s="1"/>
  <c r="AZ332" i="7" a="1"/>
  <c r="AZ332" i="7" s="1"/>
  <c r="AZ320" i="7" a="1"/>
  <c r="AZ320" i="7" s="1"/>
  <c r="AZ308" i="7" a="1"/>
  <c r="AZ308" i="7" s="1"/>
  <c r="AZ296" i="7" a="1"/>
  <c r="AZ296" i="7" s="1"/>
  <c r="AZ284" i="7" a="1"/>
  <c r="AZ284" i="7" s="1"/>
  <c r="AZ272" i="7" a="1"/>
  <c r="AZ272" i="7" s="1"/>
  <c r="AZ260" i="7" a="1"/>
  <c r="AZ260" i="7" s="1"/>
  <c r="AZ248" i="7" a="1"/>
  <c r="AZ248" i="7" s="1"/>
  <c r="AZ236" i="7" a="1"/>
  <c r="AZ236" i="7" s="1"/>
  <c r="AZ224" i="7" a="1"/>
  <c r="AZ224" i="7" s="1"/>
  <c r="AZ212" i="7" a="1"/>
  <c r="AZ212" i="7" s="1"/>
  <c r="AZ199" i="7" a="1"/>
  <c r="AZ199" i="7" s="1"/>
  <c r="AZ186" i="7" a="1"/>
  <c r="AZ186" i="7" s="1"/>
  <c r="AZ173" i="7" a="1"/>
  <c r="AZ173" i="7" s="1"/>
  <c r="AZ160" i="7" a="1"/>
  <c r="AZ160" i="7" s="1"/>
  <c r="AZ147" i="7" a="1"/>
  <c r="AZ147" i="7" s="1"/>
  <c r="AZ134" i="7" a="1"/>
  <c r="AZ134" i="7" s="1"/>
  <c r="AZ121" i="7" a="1"/>
  <c r="AZ121" i="7" s="1"/>
  <c r="AZ108" i="7" a="1"/>
  <c r="AZ108" i="7" s="1"/>
  <c r="AZ95" i="7" a="1"/>
  <c r="AZ95" i="7" s="1"/>
  <c r="AZ82" i="7" a="1"/>
  <c r="AZ82" i="7" s="1"/>
  <c r="AZ68" i="7" a="1"/>
  <c r="AZ68" i="7" s="1"/>
  <c r="AZ55" i="7" a="1"/>
  <c r="AZ55" i="7" s="1"/>
  <c r="AZ42" i="7" a="1"/>
  <c r="AZ42" i="7" s="1"/>
  <c r="AZ29" i="7" a="1"/>
  <c r="AZ29" i="7" s="1"/>
  <c r="AZ16" i="7" a="1"/>
  <c r="AZ16" i="7" s="1"/>
  <c r="AY769" i="7" a="1"/>
  <c r="AY769" i="7" s="1"/>
  <c r="AY736" i="7" a="1"/>
  <c r="AY736" i="7" s="1"/>
  <c r="AY717" i="7" a="1"/>
  <c r="AY717" i="7" s="1"/>
  <c r="AY675" i="7" a="1"/>
  <c r="AY675" i="7" s="1"/>
  <c r="AY656" i="7" a="1"/>
  <c r="AY656" i="7" s="1"/>
  <c r="AY638" i="7" a="1"/>
  <c r="AY638" i="7" s="1"/>
  <c r="AY620" i="7" a="1"/>
  <c r="AY620" i="7" s="1"/>
  <c r="AY597" i="7" a="1"/>
  <c r="AY597" i="7" s="1"/>
  <c r="AZ765" i="7" a="1"/>
  <c r="AZ765" i="7" s="1"/>
  <c r="AZ753" i="7" a="1"/>
  <c r="AZ753" i="7" s="1"/>
  <c r="AZ741" i="7" a="1"/>
  <c r="AZ741" i="7" s="1"/>
  <c r="AZ729" i="7" a="1"/>
  <c r="AZ729" i="7" s="1"/>
  <c r="AZ705" i="7" a="1"/>
  <c r="AZ705" i="7" s="1"/>
  <c r="AZ693" i="7" a="1"/>
  <c r="AZ693" i="7" s="1"/>
  <c r="AZ681" i="7" a="1"/>
  <c r="AZ681" i="7" s="1"/>
  <c r="AZ669" i="7" a="1"/>
  <c r="AZ669" i="7" s="1"/>
  <c r="AZ657" i="7" a="1"/>
  <c r="AZ657" i="7" s="1"/>
  <c r="AZ645" i="7" a="1"/>
  <c r="AZ645" i="7" s="1"/>
  <c r="AZ633" i="7" a="1"/>
  <c r="AZ633" i="7" s="1"/>
  <c r="AZ621" i="7" a="1"/>
  <c r="AZ621" i="7" s="1"/>
  <c r="AZ609" i="7" a="1"/>
  <c r="AZ609" i="7" s="1"/>
  <c r="AZ589" i="7" a="1"/>
  <c r="AZ589" i="7" s="1"/>
  <c r="AZ581" i="7" a="1"/>
  <c r="AZ581" i="7" s="1"/>
  <c r="AZ566" i="7" a="1"/>
  <c r="AZ566" i="7" s="1"/>
  <c r="AZ559" i="7" a="1"/>
  <c r="AZ559" i="7" s="1"/>
  <c r="AZ552" i="7" a="1"/>
  <c r="AZ552" i="7" s="1"/>
  <c r="AZ530" i="7" a="1"/>
  <c r="AZ530" i="7" s="1"/>
  <c r="AZ523" i="7" a="1"/>
  <c r="AZ523" i="7" s="1"/>
  <c r="AZ516" i="7" a="1"/>
  <c r="AZ516" i="7" s="1"/>
  <c r="AZ507" i="7" a="1"/>
  <c r="AZ507" i="7" s="1"/>
  <c r="AZ496" i="7" a="1"/>
  <c r="AZ496" i="7" s="1"/>
  <c r="AZ485" i="7" a="1"/>
  <c r="AZ485" i="7" s="1"/>
  <c r="AZ474" i="7" a="1"/>
  <c r="AZ474" i="7" s="1"/>
  <c r="AZ463" i="7" a="1"/>
  <c r="AZ463" i="7" s="1"/>
  <c r="AZ452" i="7" a="1"/>
  <c r="AZ452" i="7" s="1"/>
  <c r="AZ441" i="7" a="1"/>
  <c r="AZ441" i="7" s="1"/>
  <c r="AZ430" i="7" a="1"/>
  <c r="AZ430" i="7" s="1"/>
  <c r="AZ420" i="7" a="1"/>
  <c r="AZ420" i="7" s="1"/>
  <c r="AZ408" i="7" a="1"/>
  <c r="AZ408" i="7" s="1"/>
  <c r="AZ397" i="7" a="1"/>
  <c r="AZ397" i="7" s="1"/>
  <c r="AZ375" i="7" a="1"/>
  <c r="AZ375" i="7" s="1"/>
  <c r="AZ365" i="7" a="1"/>
  <c r="AZ365" i="7" s="1"/>
  <c r="AZ353" i="7" a="1"/>
  <c r="AZ353" i="7" s="1"/>
  <c r="AZ342" i="7" a="1"/>
  <c r="AZ342" i="7" s="1"/>
  <c r="AZ331" i="7" a="1"/>
  <c r="AZ331" i="7" s="1"/>
  <c r="AZ319" i="7" a="1"/>
  <c r="AZ319" i="7" s="1"/>
  <c r="AZ307" i="7" a="1"/>
  <c r="AZ307" i="7" s="1"/>
  <c r="AZ295" i="7" a="1"/>
  <c r="AZ295" i="7" s="1"/>
  <c r="AZ283" i="7" a="1"/>
  <c r="AZ283" i="7" s="1"/>
  <c r="AZ271" i="7" a="1"/>
  <c r="AZ271" i="7" s="1"/>
  <c r="AZ259" i="7" a="1"/>
  <c r="AZ259" i="7" s="1"/>
  <c r="AZ247" i="7" a="1"/>
  <c r="AZ247" i="7" s="1"/>
  <c r="AZ235" i="7" a="1"/>
  <c r="AZ235" i="7" s="1"/>
  <c r="AZ223" i="7" a="1"/>
  <c r="AZ223" i="7" s="1"/>
  <c r="AZ211" i="7" a="1"/>
  <c r="AZ211" i="7" s="1"/>
  <c r="AZ198" i="7" a="1"/>
  <c r="AZ198" i="7" s="1"/>
  <c r="AZ185" i="7" a="1"/>
  <c r="AZ185" i="7" s="1"/>
  <c r="AZ172" i="7" a="1"/>
  <c r="AZ172" i="7" s="1"/>
  <c r="AZ159" i="7" a="1"/>
  <c r="AZ159" i="7" s="1"/>
  <c r="AZ146" i="7" a="1"/>
  <c r="AZ146" i="7" s="1"/>
  <c r="AZ133" i="7" a="1"/>
  <c r="AZ133" i="7" s="1"/>
  <c r="AZ120" i="7" a="1"/>
  <c r="AZ120" i="7" s="1"/>
  <c r="AZ107" i="7" a="1"/>
  <c r="AZ107" i="7" s="1"/>
  <c r="AZ94" i="7" a="1"/>
  <c r="AZ94" i="7" s="1"/>
  <c r="AZ80" i="7" a="1"/>
  <c r="AZ80" i="7" s="1"/>
  <c r="AZ67" i="7" a="1"/>
  <c r="AZ67" i="7" s="1"/>
  <c r="AZ54" i="7" a="1"/>
  <c r="AZ54" i="7" s="1"/>
  <c r="AZ41" i="7" a="1"/>
  <c r="AZ41" i="7" s="1"/>
  <c r="AZ28" i="7" a="1"/>
  <c r="AZ28" i="7" s="1"/>
  <c r="AZ15" i="7" a="1"/>
  <c r="AZ15" i="7" s="1"/>
  <c r="AY735" i="7" a="1"/>
  <c r="AY735" i="7" s="1"/>
  <c r="AY715" i="7" a="1"/>
  <c r="AY715" i="7" s="1"/>
  <c r="AY654" i="7" a="1"/>
  <c r="AY654" i="7" s="1"/>
  <c r="AY618" i="7" a="1"/>
  <c r="AY618" i="7" s="1"/>
  <c r="AY595" i="7" a="1"/>
  <c r="AY595" i="7" s="1"/>
  <c r="AZ201" i="7" a="1"/>
  <c r="AZ201" i="7" s="1"/>
  <c r="AY201" i="7" a="1"/>
  <c r="AY201" i="7" s="1"/>
  <c r="AZ189" i="7" a="1"/>
  <c r="AZ189" i="7" s="1"/>
  <c r="AY189" i="7" a="1"/>
  <c r="AY189" i="7" s="1"/>
  <c r="AZ177" i="7" a="1"/>
  <c r="AZ177" i="7" s="1"/>
  <c r="AY177" i="7" a="1"/>
  <c r="AY177" i="7" s="1"/>
  <c r="AZ165" i="7" a="1"/>
  <c r="AZ165" i="7" s="1"/>
  <c r="AY165" i="7" a="1"/>
  <c r="AY165" i="7" s="1"/>
  <c r="AY153" i="7" a="1"/>
  <c r="AY153" i="7" s="1"/>
  <c r="AZ153" i="7" a="1"/>
  <c r="AZ153" i="7" s="1"/>
  <c r="AY141" i="7" a="1"/>
  <c r="AY141" i="7" s="1"/>
  <c r="AZ141" i="7" a="1"/>
  <c r="AZ141" i="7" s="1"/>
  <c r="AZ129" i="7" a="1"/>
  <c r="AZ129" i="7" s="1"/>
  <c r="AY129" i="7" a="1"/>
  <c r="AY129" i="7" s="1"/>
  <c r="AZ117" i="7" a="1"/>
  <c r="AZ117" i="7" s="1"/>
  <c r="AY117" i="7" a="1"/>
  <c r="AY117" i="7" s="1"/>
  <c r="AY105" i="7" a="1"/>
  <c r="AY105" i="7" s="1"/>
  <c r="AZ105" i="7" a="1"/>
  <c r="AZ105" i="7" s="1"/>
  <c r="AZ93" i="7" a="1"/>
  <c r="AZ93" i="7" s="1"/>
  <c r="AY93" i="7" a="1"/>
  <c r="AY93" i="7" s="1"/>
  <c r="AZ81" i="7" a="1"/>
  <c r="AZ81" i="7" s="1"/>
  <c r="AY81" i="7" a="1"/>
  <c r="AY81" i="7" s="1"/>
  <c r="AY69" i="7" a="1"/>
  <c r="AY69" i="7" s="1"/>
  <c r="AZ69" i="7" a="1"/>
  <c r="AZ69" i="7" s="1"/>
  <c r="AY57" i="7" a="1"/>
  <c r="AY57" i="7" s="1"/>
  <c r="AZ57" i="7" a="1"/>
  <c r="AZ57" i="7" s="1"/>
  <c r="AY45" i="7" a="1"/>
  <c r="AY45" i="7" s="1"/>
  <c r="AZ45" i="7" a="1"/>
  <c r="AZ45" i="7" s="1"/>
  <c r="AY33" i="7" a="1"/>
  <c r="AY33" i="7" s="1"/>
  <c r="AZ33" i="7" a="1"/>
  <c r="AZ33" i="7" s="1"/>
  <c r="AY21" i="7" a="1"/>
  <c r="AY21" i="7" s="1"/>
  <c r="AZ21" i="7" a="1"/>
  <c r="AZ21" i="7" s="1"/>
  <c r="AY9" i="7" a="1"/>
  <c r="AY9" i="7" s="1"/>
  <c r="AZ9" i="7" a="1"/>
  <c r="AZ9" i="7" s="1"/>
  <c r="AZ764" i="7" a="1"/>
  <c r="AZ764" i="7" s="1"/>
  <c r="AZ752" i="7" a="1"/>
  <c r="AZ752" i="7" s="1"/>
  <c r="AZ740" i="7" a="1"/>
  <c r="AZ740" i="7" s="1"/>
  <c r="AZ728" i="7" a="1"/>
  <c r="AZ728" i="7" s="1"/>
  <c r="AZ716" i="7" a="1"/>
  <c r="AZ716" i="7" s="1"/>
  <c r="AZ704" i="7" a="1"/>
  <c r="AZ704" i="7" s="1"/>
  <c r="AZ692" i="7" a="1"/>
  <c r="AZ692" i="7" s="1"/>
  <c r="AZ680" i="7" a="1"/>
  <c r="AZ680" i="7" s="1"/>
  <c r="AZ668" i="7" a="1"/>
  <c r="AZ668" i="7" s="1"/>
  <c r="AZ644" i="7" a="1"/>
  <c r="AZ644" i="7" s="1"/>
  <c r="AZ632" i="7" a="1"/>
  <c r="AZ632" i="7" s="1"/>
  <c r="AZ608" i="7" a="1"/>
  <c r="AZ608" i="7" s="1"/>
  <c r="AZ580" i="7" a="1"/>
  <c r="AZ580" i="7" s="1"/>
  <c r="AZ573" i="7" a="1"/>
  <c r="AZ573" i="7" s="1"/>
  <c r="AZ551" i="7" a="1"/>
  <c r="AZ551" i="7" s="1"/>
  <c r="AZ544" i="7" a="1"/>
  <c r="AZ544" i="7" s="1"/>
  <c r="AZ537" i="7" a="1"/>
  <c r="AZ537" i="7" s="1"/>
  <c r="AZ515" i="7" a="1"/>
  <c r="AZ515" i="7" s="1"/>
  <c r="AZ506" i="7" a="1"/>
  <c r="AZ506" i="7" s="1"/>
  <c r="AZ495" i="7" a="1"/>
  <c r="AZ495" i="7" s="1"/>
  <c r="AZ484" i="7" a="1"/>
  <c r="AZ484" i="7" s="1"/>
  <c r="AZ473" i="7" a="1"/>
  <c r="AZ473" i="7" s="1"/>
  <c r="AZ462" i="7" a="1"/>
  <c r="AZ462" i="7" s="1"/>
  <c r="AZ451" i="7" a="1"/>
  <c r="AZ451" i="7" s="1"/>
  <c r="AZ429" i="7" a="1"/>
  <c r="AZ429" i="7" s="1"/>
  <c r="AZ419" i="7" a="1"/>
  <c r="AZ419" i="7" s="1"/>
  <c r="AZ407" i="7" a="1"/>
  <c r="AZ407" i="7" s="1"/>
  <c r="AZ396" i="7" a="1"/>
  <c r="AZ396" i="7" s="1"/>
  <c r="AZ386" i="7" a="1"/>
  <c r="AZ386" i="7" s="1"/>
  <c r="AZ364" i="7" a="1"/>
  <c r="AZ364" i="7" s="1"/>
  <c r="AZ352" i="7" a="1"/>
  <c r="AZ352" i="7" s="1"/>
  <c r="AZ341" i="7" a="1"/>
  <c r="AZ341" i="7" s="1"/>
  <c r="AZ330" i="7" a="1"/>
  <c r="AZ330" i="7" s="1"/>
  <c r="AZ318" i="7" a="1"/>
  <c r="AZ318" i="7" s="1"/>
  <c r="AZ306" i="7" a="1"/>
  <c r="AZ306" i="7" s="1"/>
  <c r="AZ294" i="7" a="1"/>
  <c r="AZ294" i="7" s="1"/>
  <c r="AZ282" i="7" a="1"/>
  <c r="AZ282" i="7" s="1"/>
  <c r="AZ270" i="7" a="1"/>
  <c r="AZ270" i="7" s="1"/>
  <c r="AZ258" i="7" a="1"/>
  <c r="AZ258" i="7" s="1"/>
  <c r="AZ246" i="7" a="1"/>
  <c r="AZ246" i="7" s="1"/>
  <c r="AZ234" i="7" a="1"/>
  <c r="AZ234" i="7" s="1"/>
  <c r="AZ222" i="7" a="1"/>
  <c r="AZ222" i="7" s="1"/>
  <c r="AZ210" i="7" a="1"/>
  <c r="AZ210" i="7" s="1"/>
  <c r="AZ197" i="7" a="1"/>
  <c r="AZ197" i="7" s="1"/>
  <c r="AZ184" i="7" a="1"/>
  <c r="AZ184" i="7" s="1"/>
  <c r="AZ171" i="7" a="1"/>
  <c r="AZ171" i="7" s="1"/>
  <c r="AZ158" i="7" a="1"/>
  <c r="AZ158" i="7" s="1"/>
  <c r="AZ145" i="7" a="1"/>
  <c r="AZ145" i="7" s="1"/>
  <c r="AZ132" i="7" a="1"/>
  <c r="AZ132" i="7" s="1"/>
  <c r="AZ119" i="7" a="1"/>
  <c r="AZ119" i="7" s="1"/>
  <c r="AZ106" i="7" a="1"/>
  <c r="AZ106" i="7" s="1"/>
  <c r="AZ92" i="7" a="1"/>
  <c r="AZ92" i="7" s="1"/>
  <c r="AZ79" i="7" a="1"/>
  <c r="AZ79" i="7" s="1"/>
  <c r="AZ66" i="7" a="1"/>
  <c r="AZ66" i="7" s="1"/>
  <c r="AZ53" i="7" a="1"/>
  <c r="AZ53" i="7" s="1"/>
  <c r="AZ40" i="7" a="1"/>
  <c r="AZ40" i="7" s="1"/>
  <c r="AZ27" i="7" a="1"/>
  <c r="AZ27" i="7" s="1"/>
  <c r="AZ14" i="7" a="1"/>
  <c r="AZ14" i="7" s="1"/>
  <c r="AY751" i="7" a="1"/>
  <c r="AY751" i="7" s="1"/>
  <c r="AY733" i="7" a="1"/>
  <c r="AY733" i="7" s="1"/>
  <c r="AY714" i="7" a="1"/>
  <c r="AY714" i="7" s="1"/>
  <c r="AY653" i="7" a="1"/>
  <c r="AY653" i="7" s="1"/>
  <c r="AY617" i="7" a="1"/>
  <c r="AY617" i="7" s="1"/>
  <c r="AZ763" i="7" a="1"/>
  <c r="AZ763" i="7" s="1"/>
  <c r="AZ727" i="7" a="1"/>
  <c r="AZ727" i="7" s="1"/>
  <c r="AZ703" i="7" a="1"/>
  <c r="AZ703" i="7" s="1"/>
  <c r="AZ691" i="7" a="1"/>
  <c r="AZ691" i="7" s="1"/>
  <c r="AZ667" i="7" a="1"/>
  <c r="AZ667" i="7" s="1"/>
  <c r="AZ655" i="7" a="1"/>
  <c r="AZ655" i="7" s="1"/>
  <c r="AZ643" i="7" a="1"/>
  <c r="AZ643" i="7" s="1"/>
  <c r="AZ631" i="7" a="1"/>
  <c r="AZ631" i="7" s="1"/>
  <c r="AZ619" i="7" a="1"/>
  <c r="AZ619" i="7" s="1"/>
  <c r="AZ607" i="7" a="1"/>
  <c r="AZ607" i="7" s="1"/>
  <c r="AZ596" i="7" a="1"/>
  <c r="AZ596" i="7" s="1"/>
  <c r="AZ588" i="7" a="1"/>
  <c r="AZ588" i="7" s="1"/>
  <c r="AZ572" i="7" a="1"/>
  <c r="AZ572" i="7" s="1"/>
  <c r="AZ565" i="7" a="1"/>
  <c r="AZ565" i="7" s="1"/>
  <c r="AZ558" i="7" a="1"/>
  <c r="AZ558" i="7" s="1"/>
  <c r="AZ536" i="7" a="1"/>
  <c r="AZ536" i="7" s="1"/>
  <c r="AZ529" i="7" a="1"/>
  <c r="AZ529" i="7" s="1"/>
  <c r="AZ522" i="7" a="1"/>
  <c r="AZ522" i="7" s="1"/>
  <c r="AZ505" i="7" a="1"/>
  <c r="AZ505" i="7" s="1"/>
  <c r="AZ483" i="7" a="1"/>
  <c r="AZ483" i="7" s="1"/>
  <c r="AZ472" i="7" a="1"/>
  <c r="AZ472" i="7" s="1"/>
  <c r="AZ461" i="7" a="1"/>
  <c r="AZ461" i="7" s="1"/>
  <c r="AZ450" i="7" a="1"/>
  <c r="AZ450" i="7" s="1"/>
  <c r="AZ440" i="7" a="1"/>
  <c r="AZ440" i="7" s="1"/>
  <c r="AZ418" i="7" a="1"/>
  <c r="AZ418" i="7" s="1"/>
  <c r="AZ406" i="7" a="1"/>
  <c r="AZ406" i="7" s="1"/>
  <c r="AZ395" i="7" a="1"/>
  <c r="AZ395" i="7" s="1"/>
  <c r="AZ385" i="7" a="1"/>
  <c r="AZ385" i="7" s="1"/>
  <c r="AZ374" i="7" a="1"/>
  <c r="AZ374" i="7" s="1"/>
  <c r="AZ363" i="7" a="1"/>
  <c r="AZ363" i="7" s="1"/>
  <c r="AZ351" i="7" a="1"/>
  <c r="AZ351" i="7" s="1"/>
  <c r="AZ340" i="7" a="1"/>
  <c r="AZ340" i="7" s="1"/>
  <c r="AZ329" i="7" a="1"/>
  <c r="AZ329" i="7" s="1"/>
  <c r="AZ317" i="7" a="1"/>
  <c r="AZ317" i="7" s="1"/>
  <c r="AZ305" i="7" a="1"/>
  <c r="AZ305" i="7" s="1"/>
  <c r="AZ293" i="7" a="1"/>
  <c r="AZ293" i="7" s="1"/>
  <c r="AZ281" i="7" a="1"/>
  <c r="AZ281" i="7" s="1"/>
  <c r="AZ269" i="7" a="1"/>
  <c r="AZ269" i="7" s="1"/>
  <c r="AZ257" i="7" a="1"/>
  <c r="AZ257" i="7" s="1"/>
  <c r="AZ245" i="7" a="1"/>
  <c r="AZ245" i="7" s="1"/>
  <c r="AZ233" i="7" a="1"/>
  <c r="AZ233" i="7" s="1"/>
  <c r="AZ221" i="7" a="1"/>
  <c r="AZ221" i="7" s="1"/>
  <c r="AZ209" i="7" a="1"/>
  <c r="AZ209" i="7" s="1"/>
  <c r="AZ196" i="7" a="1"/>
  <c r="AZ196" i="7" s="1"/>
  <c r="AZ183" i="7" a="1"/>
  <c r="AZ183" i="7" s="1"/>
  <c r="AZ170" i="7" a="1"/>
  <c r="AZ170" i="7" s="1"/>
  <c r="AZ157" i="7" a="1"/>
  <c r="AZ157" i="7" s="1"/>
  <c r="AZ144" i="7" a="1"/>
  <c r="AZ144" i="7" s="1"/>
  <c r="AZ131" i="7" a="1"/>
  <c r="AZ131" i="7" s="1"/>
  <c r="AZ118" i="7" a="1"/>
  <c r="AZ118" i="7" s="1"/>
  <c r="AZ104" i="7" a="1"/>
  <c r="AZ104" i="7" s="1"/>
  <c r="AZ91" i="7" a="1"/>
  <c r="AZ91" i="7" s="1"/>
  <c r="AZ78" i="7" a="1"/>
  <c r="AZ78" i="7" s="1"/>
  <c r="AZ65" i="7" a="1"/>
  <c r="AZ65" i="7" s="1"/>
  <c r="AZ52" i="7" a="1"/>
  <c r="AZ52" i="7" s="1"/>
  <c r="AZ39" i="7" a="1"/>
  <c r="AZ39" i="7" s="1"/>
  <c r="AZ26" i="7" a="1"/>
  <c r="AZ26" i="7" s="1"/>
  <c r="AZ13" i="7" a="1"/>
  <c r="AZ13" i="7" s="1"/>
  <c r="AY750" i="7" a="1"/>
  <c r="AY750" i="7" s="1"/>
  <c r="AY711" i="7" a="1"/>
  <c r="AY711" i="7" s="1"/>
  <c r="AY652" i="7" a="1"/>
  <c r="AY652" i="7" s="1"/>
  <c r="AY615" i="7" a="1"/>
  <c r="AY615" i="7" s="1"/>
  <c r="AY586" i="7" a="1"/>
  <c r="AY586" i="7" s="1"/>
  <c r="AZ762" i="7" a="1"/>
  <c r="AZ762" i="7" s="1"/>
  <c r="AZ726" i="7" a="1"/>
  <c r="AZ726" i="7" s="1"/>
  <c r="AZ702" i="7" a="1"/>
  <c r="AZ702" i="7" s="1"/>
  <c r="AZ690" i="7" a="1"/>
  <c r="AZ690" i="7" s="1"/>
  <c r="AZ678" i="7" a="1"/>
  <c r="AZ678" i="7" s="1"/>
  <c r="AZ666" i="7" a="1"/>
  <c r="AZ666" i="7" s="1"/>
  <c r="AZ630" i="7" a="1"/>
  <c r="AZ630" i="7" s="1"/>
  <c r="AZ606" i="7" a="1"/>
  <c r="AZ606" i="7" s="1"/>
  <c r="AZ587" i="7" a="1"/>
  <c r="AZ587" i="7" s="1"/>
  <c r="AZ579" i="7" a="1"/>
  <c r="AZ579" i="7" s="1"/>
  <c r="AZ557" i="7" a="1"/>
  <c r="AZ557" i="7" s="1"/>
  <c r="AZ550" i="7" a="1"/>
  <c r="AZ550" i="7" s="1"/>
  <c r="AZ543" i="7" a="1"/>
  <c r="AZ543" i="7" s="1"/>
  <c r="AZ521" i="7" a="1"/>
  <c r="AZ521" i="7" s="1"/>
  <c r="AZ514" i="7" a="1"/>
  <c r="AZ514" i="7" s="1"/>
  <c r="AZ504" i="7" a="1"/>
  <c r="AZ504" i="7" s="1"/>
  <c r="AZ494" i="7" a="1"/>
  <c r="AZ494" i="7" s="1"/>
  <c r="AZ482" i="7" a="1"/>
  <c r="AZ482" i="7" s="1"/>
  <c r="AZ471" i="7" a="1"/>
  <c r="AZ471" i="7" s="1"/>
  <c r="AZ460" i="7" a="1"/>
  <c r="AZ460" i="7" s="1"/>
  <c r="AZ449" i="7" a="1"/>
  <c r="AZ449" i="7" s="1"/>
  <c r="AZ439" i="7" a="1"/>
  <c r="AZ439" i="7" s="1"/>
  <c r="AZ428" i="7" a="1"/>
  <c r="AZ428" i="7" s="1"/>
  <c r="AZ417" i="7" a="1"/>
  <c r="AZ417" i="7" s="1"/>
  <c r="AZ405" i="7" a="1"/>
  <c r="AZ405" i="7" s="1"/>
  <c r="AZ394" i="7" a="1"/>
  <c r="AZ394" i="7" s="1"/>
  <c r="AZ384" i="7" a="1"/>
  <c r="AZ384" i="7" s="1"/>
  <c r="AZ373" i="7" a="1"/>
  <c r="AZ373" i="7" s="1"/>
  <c r="AZ362" i="7" a="1"/>
  <c r="AZ362" i="7" s="1"/>
  <c r="AZ339" i="7" a="1"/>
  <c r="AZ339" i="7" s="1"/>
  <c r="AZ328" i="7" a="1"/>
  <c r="AZ328" i="7" s="1"/>
  <c r="AZ316" i="7" a="1"/>
  <c r="AZ316" i="7" s="1"/>
  <c r="AZ304" i="7" a="1"/>
  <c r="AZ304" i="7" s="1"/>
  <c r="AZ292" i="7" a="1"/>
  <c r="AZ292" i="7" s="1"/>
  <c r="AZ280" i="7" a="1"/>
  <c r="AZ280" i="7" s="1"/>
  <c r="AZ268" i="7" a="1"/>
  <c r="AZ268" i="7" s="1"/>
  <c r="AZ256" i="7" a="1"/>
  <c r="AZ256" i="7" s="1"/>
  <c r="AZ244" i="7" a="1"/>
  <c r="AZ244" i="7" s="1"/>
  <c r="AZ232" i="7" a="1"/>
  <c r="AZ232" i="7" s="1"/>
  <c r="AZ220" i="7" a="1"/>
  <c r="AZ220" i="7" s="1"/>
  <c r="AZ208" i="7" a="1"/>
  <c r="AZ208" i="7" s="1"/>
  <c r="AZ195" i="7" a="1"/>
  <c r="AZ195" i="7" s="1"/>
  <c r="AZ182" i="7" a="1"/>
  <c r="AZ182" i="7" s="1"/>
  <c r="AZ169" i="7" a="1"/>
  <c r="AZ169" i="7" s="1"/>
  <c r="AZ156" i="7" a="1"/>
  <c r="AZ156" i="7" s="1"/>
  <c r="AZ143" i="7" a="1"/>
  <c r="AZ143" i="7" s="1"/>
  <c r="AZ130" i="7" a="1"/>
  <c r="AZ130" i="7" s="1"/>
  <c r="AZ116" i="7" a="1"/>
  <c r="AZ116" i="7" s="1"/>
  <c r="AZ103" i="7" a="1"/>
  <c r="AZ103" i="7" s="1"/>
  <c r="AZ90" i="7" a="1"/>
  <c r="AZ90" i="7" s="1"/>
  <c r="AZ77" i="7" a="1"/>
  <c r="AZ77" i="7" s="1"/>
  <c r="AZ64" i="7" a="1"/>
  <c r="AZ64" i="7" s="1"/>
  <c r="AZ51" i="7" a="1"/>
  <c r="AZ51" i="7" s="1"/>
  <c r="AZ38" i="7" a="1"/>
  <c r="AZ38" i="7" s="1"/>
  <c r="AZ25" i="7" a="1"/>
  <c r="AZ25" i="7" s="1"/>
  <c r="AZ11" i="7" a="1"/>
  <c r="AZ11" i="7" s="1"/>
  <c r="AY748" i="7" a="1"/>
  <c r="AY748" i="7" s="1"/>
  <c r="AY709" i="7" a="1"/>
  <c r="AY709" i="7" s="1"/>
  <c r="AY651" i="7" a="1"/>
  <c r="AY651" i="7" s="1"/>
  <c r="AY613" i="7" a="1"/>
  <c r="AY613" i="7" s="1"/>
  <c r="AZ761" i="7" a="1"/>
  <c r="AZ761" i="7" s="1"/>
  <c r="AZ749" i="7" a="1"/>
  <c r="AZ749" i="7" s="1"/>
  <c r="AZ737" i="7" a="1"/>
  <c r="AZ737" i="7" s="1"/>
  <c r="AZ725" i="7" a="1"/>
  <c r="AZ725" i="7" s="1"/>
  <c r="AZ713" i="7" a="1"/>
  <c r="AZ713" i="7" s="1"/>
  <c r="AZ701" i="7" a="1"/>
  <c r="AZ701" i="7" s="1"/>
  <c r="AZ689" i="7" a="1"/>
  <c r="AZ689" i="7" s="1"/>
  <c r="AZ677" i="7" a="1"/>
  <c r="AZ677" i="7" s="1"/>
  <c r="AZ665" i="7" a="1"/>
  <c r="AZ665" i="7" s="1"/>
  <c r="AZ641" i="7" a="1"/>
  <c r="AZ641" i="7" s="1"/>
  <c r="AZ629" i="7" a="1"/>
  <c r="AZ629" i="7" s="1"/>
  <c r="AZ605" i="7" a="1"/>
  <c r="AZ605" i="7" s="1"/>
  <c r="AZ578" i="7" a="1"/>
  <c r="AZ578" i="7" s="1"/>
  <c r="AZ571" i="7" a="1"/>
  <c r="AZ571" i="7" s="1"/>
  <c r="AZ564" i="7" a="1"/>
  <c r="AZ564" i="7" s="1"/>
  <c r="AZ542" i="7" a="1"/>
  <c r="AZ542" i="7" s="1"/>
  <c r="AZ535" i="7" a="1"/>
  <c r="AZ535" i="7" s="1"/>
  <c r="AZ528" i="7" a="1"/>
  <c r="AZ528" i="7" s="1"/>
  <c r="AZ503" i="7" a="1"/>
  <c r="AZ503" i="7" s="1"/>
  <c r="AZ493" i="7" a="1"/>
  <c r="AZ493" i="7" s="1"/>
  <c r="AZ481" i="7" a="1"/>
  <c r="AZ481" i="7" s="1"/>
  <c r="AZ470" i="7" a="1"/>
  <c r="AZ470" i="7" s="1"/>
  <c r="AZ459" i="7" a="1"/>
  <c r="AZ459" i="7" s="1"/>
  <c r="AZ448" i="7" a="1"/>
  <c r="AZ448" i="7" s="1"/>
  <c r="AZ438" i="7" a="1"/>
  <c r="AZ438" i="7" s="1"/>
  <c r="AZ427" i="7" a="1"/>
  <c r="AZ427" i="7" s="1"/>
  <c r="AZ416" i="7" a="1"/>
  <c r="AZ416" i="7" s="1"/>
  <c r="AZ393" i="7" a="1"/>
  <c r="AZ393" i="7" s="1"/>
  <c r="AZ383" i="7" a="1"/>
  <c r="AZ383" i="7" s="1"/>
  <c r="AZ372" i="7" a="1"/>
  <c r="AZ372" i="7" s="1"/>
  <c r="AZ361" i="7" a="1"/>
  <c r="AZ361" i="7" s="1"/>
  <c r="AZ350" i="7" a="1"/>
  <c r="AZ350" i="7" s="1"/>
  <c r="AZ338" i="7" a="1"/>
  <c r="AZ338" i="7" s="1"/>
  <c r="AZ327" i="7" a="1"/>
  <c r="AZ327" i="7" s="1"/>
  <c r="AZ315" i="7" a="1"/>
  <c r="AZ315" i="7" s="1"/>
  <c r="AZ303" i="7" a="1"/>
  <c r="AZ303" i="7" s="1"/>
  <c r="AZ291" i="7" a="1"/>
  <c r="AZ291" i="7" s="1"/>
  <c r="AZ279" i="7" a="1"/>
  <c r="AZ279" i="7" s="1"/>
  <c r="AZ267" i="7" a="1"/>
  <c r="AZ267" i="7" s="1"/>
  <c r="AZ255" i="7" a="1"/>
  <c r="AZ255" i="7" s="1"/>
  <c r="AZ243" i="7" a="1"/>
  <c r="AZ243" i="7" s="1"/>
  <c r="AZ231" i="7" a="1"/>
  <c r="AZ231" i="7" s="1"/>
  <c r="AZ219" i="7" a="1"/>
  <c r="AZ219" i="7" s="1"/>
  <c r="AZ207" i="7" a="1"/>
  <c r="AZ207" i="7" s="1"/>
  <c r="AZ194" i="7" a="1"/>
  <c r="AZ194" i="7" s="1"/>
  <c r="AZ181" i="7" a="1"/>
  <c r="AZ181" i="7" s="1"/>
  <c r="AZ168" i="7" a="1"/>
  <c r="AZ168" i="7" s="1"/>
  <c r="AZ155" i="7" a="1"/>
  <c r="AZ155" i="7" s="1"/>
  <c r="AZ142" i="7" a="1"/>
  <c r="AZ142" i="7" s="1"/>
  <c r="AZ128" i="7" a="1"/>
  <c r="AZ128" i="7" s="1"/>
  <c r="AZ115" i="7" a="1"/>
  <c r="AZ115" i="7" s="1"/>
  <c r="AZ102" i="7" a="1"/>
  <c r="AZ102" i="7" s="1"/>
  <c r="AZ89" i="7" a="1"/>
  <c r="AZ89" i="7" s="1"/>
  <c r="AZ76" i="7" a="1"/>
  <c r="AZ76" i="7" s="1"/>
  <c r="AZ63" i="7" a="1"/>
  <c r="AZ63" i="7" s="1"/>
  <c r="AZ50" i="7" a="1"/>
  <c r="AZ50" i="7" s="1"/>
  <c r="AZ37" i="7" a="1"/>
  <c r="AZ37" i="7" s="1"/>
  <c r="AZ24" i="7" a="1"/>
  <c r="AZ24" i="7" s="1"/>
  <c r="AZ10" i="7" a="1"/>
  <c r="AZ10" i="7" s="1"/>
  <c r="AY747" i="7" a="1"/>
  <c r="AY747" i="7" s="1"/>
  <c r="AY687" i="7" a="1"/>
  <c r="AY687" i="7" s="1"/>
  <c r="AY649" i="7" a="1"/>
  <c r="AY649" i="7" s="1"/>
  <c r="AY577" i="7" a="1"/>
  <c r="AY577" i="7" s="1"/>
  <c r="AZ760" i="7" a="1"/>
  <c r="AZ760" i="7" s="1"/>
  <c r="AZ724" i="7" a="1"/>
  <c r="AZ724" i="7" s="1"/>
  <c r="AZ712" i="7" a="1"/>
  <c r="AZ712" i="7" s="1"/>
  <c r="AZ700" i="7" a="1"/>
  <c r="AZ700" i="7" s="1"/>
  <c r="AZ688" i="7" a="1"/>
  <c r="AZ688" i="7" s="1"/>
  <c r="AZ676" i="7" a="1"/>
  <c r="AZ676" i="7" s="1"/>
  <c r="AZ664" i="7" a="1"/>
  <c r="AZ664" i="7" s="1"/>
  <c r="AZ628" i="7" a="1"/>
  <c r="AZ628" i="7" s="1"/>
  <c r="AZ616" i="7" a="1"/>
  <c r="AZ616" i="7" s="1"/>
  <c r="AZ604" i="7" a="1"/>
  <c r="AZ604" i="7" s="1"/>
  <c r="AZ594" i="7" a="1"/>
  <c r="AZ594" i="7" s="1"/>
  <c r="AZ563" i="7" a="1"/>
  <c r="AZ563" i="7" s="1"/>
  <c r="AZ556" i="7" a="1"/>
  <c r="AZ556" i="7" s="1"/>
  <c r="AZ549" i="7" a="1"/>
  <c r="AZ549" i="7" s="1"/>
  <c r="AZ527" i="7" a="1"/>
  <c r="AZ527" i="7" s="1"/>
  <c r="AZ520" i="7" a="1"/>
  <c r="AZ520" i="7" s="1"/>
  <c r="AZ513" i="7" a="1"/>
  <c r="AZ513" i="7" s="1"/>
  <c r="AZ502" i="7" a="1"/>
  <c r="AZ502" i="7" s="1"/>
  <c r="AZ492" i="7" a="1"/>
  <c r="AZ492" i="7" s="1"/>
  <c r="AZ480" i="7" a="1"/>
  <c r="AZ480" i="7" s="1"/>
  <c r="AZ469" i="7" a="1"/>
  <c r="AZ469" i="7" s="1"/>
  <c r="AZ447" i="7" a="1"/>
  <c r="AZ447" i="7" s="1"/>
  <c r="AZ437" i="7" a="1"/>
  <c r="AZ437" i="7" s="1"/>
  <c r="AZ426" i="7" a="1"/>
  <c r="AZ426" i="7" s="1"/>
  <c r="AZ415" i="7" a="1"/>
  <c r="AZ415" i="7" s="1"/>
  <c r="AZ404" i="7" a="1"/>
  <c r="AZ404" i="7" s="1"/>
  <c r="AZ382" i="7" a="1"/>
  <c r="AZ382" i="7" s="1"/>
  <c r="AZ371" i="7" a="1"/>
  <c r="AZ371" i="7" s="1"/>
  <c r="AZ360" i="7" a="1"/>
  <c r="AZ360" i="7" s="1"/>
  <c r="AZ349" i="7" a="1"/>
  <c r="AZ349" i="7" s="1"/>
  <c r="AZ337" i="7" a="1"/>
  <c r="AZ337" i="7" s="1"/>
  <c r="AZ326" i="7" a="1"/>
  <c r="AZ326" i="7" s="1"/>
  <c r="AZ314" i="7" a="1"/>
  <c r="AZ314" i="7" s="1"/>
  <c r="AZ302" i="7" a="1"/>
  <c r="AZ302" i="7" s="1"/>
  <c r="AZ290" i="7" a="1"/>
  <c r="AZ290" i="7" s="1"/>
  <c r="AZ278" i="7" a="1"/>
  <c r="AZ278" i="7" s="1"/>
  <c r="AZ266" i="7" a="1"/>
  <c r="AZ266" i="7" s="1"/>
  <c r="AZ254" i="7" a="1"/>
  <c r="AZ254" i="7" s="1"/>
  <c r="AZ242" i="7" a="1"/>
  <c r="AZ242" i="7" s="1"/>
  <c r="AZ230" i="7" a="1"/>
  <c r="AZ230" i="7" s="1"/>
  <c r="AZ218" i="7" a="1"/>
  <c r="AZ218" i="7" s="1"/>
  <c r="AZ206" i="7" a="1"/>
  <c r="AZ206" i="7" s="1"/>
  <c r="AZ193" i="7" a="1"/>
  <c r="AZ193" i="7" s="1"/>
  <c r="AZ180" i="7" a="1"/>
  <c r="AZ180" i="7" s="1"/>
  <c r="AZ167" i="7" a="1"/>
  <c r="AZ167" i="7" s="1"/>
  <c r="AZ154" i="7" a="1"/>
  <c r="AZ154" i="7" s="1"/>
  <c r="AZ140" i="7" a="1"/>
  <c r="AZ140" i="7" s="1"/>
  <c r="AZ127" i="7" a="1"/>
  <c r="AZ127" i="7" s="1"/>
  <c r="AZ114" i="7" a="1"/>
  <c r="AZ114" i="7" s="1"/>
  <c r="AZ101" i="7" a="1"/>
  <c r="AZ101" i="7" s="1"/>
  <c r="AZ88" i="7" a="1"/>
  <c r="AZ88" i="7" s="1"/>
  <c r="AZ75" i="7" a="1"/>
  <c r="AZ75" i="7" s="1"/>
  <c r="AZ62" i="7" a="1"/>
  <c r="AZ62" i="7" s="1"/>
  <c r="AZ49" i="7" a="1"/>
  <c r="AZ49" i="7" s="1"/>
  <c r="AZ36" i="7" a="1"/>
  <c r="AZ36" i="7" s="1"/>
  <c r="AZ23" i="7" a="1"/>
  <c r="AZ23" i="7" s="1"/>
  <c r="AZ8" i="7" a="1"/>
  <c r="AZ8" i="7" s="1"/>
  <c r="AY745" i="7" a="1"/>
  <c r="AY745" i="7" s="1"/>
  <c r="AY685" i="7" a="1"/>
  <c r="AY685" i="7" s="1"/>
  <c r="AZ759" i="7" a="1"/>
  <c r="AZ759" i="7" s="1"/>
  <c r="AZ723" i="7" a="1"/>
  <c r="AZ723" i="7" s="1"/>
  <c r="AZ663" i="7" a="1"/>
  <c r="AZ663" i="7" s="1"/>
  <c r="AZ639" i="7" a="1"/>
  <c r="AZ639" i="7" s="1"/>
  <c r="AZ627" i="7" a="1"/>
  <c r="AZ627" i="7" s="1"/>
  <c r="AZ603" i="7" a="1"/>
  <c r="AZ603" i="7" s="1"/>
  <c r="AZ593" i="7" a="1"/>
  <c r="AZ593" i="7" s="1"/>
  <c r="AZ585" i="7" a="1"/>
  <c r="AZ585" i="7" s="1"/>
  <c r="AZ570" i="7" a="1"/>
  <c r="AZ570" i="7" s="1"/>
  <c r="AZ548" i="7" a="1"/>
  <c r="AZ548" i="7" s="1"/>
  <c r="AZ541" i="7" a="1"/>
  <c r="AZ541" i="7" s="1"/>
  <c r="AZ534" i="7" a="1"/>
  <c r="AZ534" i="7" s="1"/>
  <c r="AZ512" i="7" a="1"/>
  <c r="AZ512" i="7" s="1"/>
  <c r="AZ501" i="7" a="1"/>
  <c r="AZ501" i="7" s="1"/>
  <c r="AZ491" i="7" a="1"/>
  <c r="AZ491" i="7" s="1"/>
  <c r="AZ479" i="7" a="1"/>
  <c r="AZ479" i="7" s="1"/>
  <c r="AZ468" i="7" a="1"/>
  <c r="AZ468" i="7" s="1"/>
  <c r="AZ458" i="7" a="1"/>
  <c r="AZ458" i="7" s="1"/>
  <c r="AZ436" i="7" a="1"/>
  <c r="AZ436" i="7" s="1"/>
  <c r="AZ425" i="7" a="1"/>
  <c r="AZ425" i="7" s="1"/>
  <c r="AZ414" i="7" a="1"/>
  <c r="AZ414" i="7" s="1"/>
  <c r="AZ403" i="7" a="1"/>
  <c r="AZ403" i="7" s="1"/>
  <c r="AZ392" i="7" a="1"/>
  <c r="AZ392" i="7" s="1"/>
  <c r="AZ381" i="7" a="1"/>
  <c r="AZ381" i="7" s="1"/>
  <c r="AZ370" i="7" a="1"/>
  <c r="AZ370" i="7" s="1"/>
  <c r="AZ359" i="7" a="1"/>
  <c r="AZ359" i="7" s="1"/>
  <c r="AZ348" i="7" a="1"/>
  <c r="AZ348" i="7" s="1"/>
  <c r="AZ336" i="7" a="1"/>
  <c r="AZ336" i="7" s="1"/>
  <c r="AZ325" i="7" a="1"/>
  <c r="AZ325" i="7" s="1"/>
  <c r="AZ313" i="7" a="1"/>
  <c r="AZ313" i="7" s="1"/>
  <c r="AZ301" i="7" a="1"/>
  <c r="AZ301" i="7" s="1"/>
  <c r="AZ289" i="7" a="1"/>
  <c r="AZ289" i="7" s="1"/>
  <c r="AZ277" i="7" a="1"/>
  <c r="AZ277" i="7" s="1"/>
  <c r="AZ265" i="7" a="1"/>
  <c r="AZ265" i="7" s="1"/>
  <c r="AZ253" i="7" a="1"/>
  <c r="AZ253" i="7" s="1"/>
  <c r="AZ241" i="7" a="1"/>
  <c r="AZ241" i="7" s="1"/>
  <c r="AZ229" i="7" a="1"/>
  <c r="AZ229" i="7" s="1"/>
  <c r="AZ217" i="7" a="1"/>
  <c r="AZ217" i="7" s="1"/>
  <c r="AZ205" i="7" a="1"/>
  <c r="AZ205" i="7" s="1"/>
  <c r="AZ192" i="7" a="1"/>
  <c r="AZ192" i="7" s="1"/>
  <c r="AZ179" i="7" a="1"/>
  <c r="AZ179" i="7" s="1"/>
  <c r="AZ166" i="7" a="1"/>
  <c r="AZ166" i="7" s="1"/>
  <c r="AZ152" i="7" a="1"/>
  <c r="AZ152" i="7" s="1"/>
  <c r="AZ139" i="7" a="1"/>
  <c r="AZ139" i="7" s="1"/>
  <c r="AZ126" i="7" a="1"/>
  <c r="AZ126" i="7" s="1"/>
  <c r="AZ113" i="7" a="1"/>
  <c r="AZ113" i="7" s="1"/>
  <c r="AZ100" i="7" a="1"/>
  <c r="AZ100" i="7" s="1"/>
  <c r="AZ87" i="7" a="1"/>
  <c r="AZ87" i="7" s="1"/>
  <c r="AZ74" i="7" a="1"/>
  <c r="AZ74" i="7" s="1"/>
  <c r="AZ61" i="7" a="1"/>
  <c r="AZ61" i="7" s="1"/>
  <c r="AZ48" i="7" a="1"/>
  <c r="AZ48" i="7" s="1"/>
  <c r="AZ35" i="7" a="1"/>
  <c r="AZ35" i="7" s="1"/>
  <c r="AZ22" i="7" a="1"/>
  <c r="AZ22" i="7" s="1"/>
  <c r="AZ7" i="7" a="1"/>
  <c r="AZ7" i="7" s="1"/>
  <c r="AZ758" i="7" a="1"/>
  <c r="AZ758" i="7" s="1"/>
  <c r="AZ746" i="7" a="1"/>
  <c r="AZ746" i="7" s="1"/>
  <c r="AZ734" i="7" a="1"/>
  <c r="AZ734" i="7" s="1"/>
  <c r="AZ722" i="7" a="1"/>
  <c r="AZ722" i="7" s="1"/>
  <c r="AZ710" i="7" a="1"/>
  <c r="AZ710" i="7" s="1"/>
  <c r="AZ698" i="7" a="1"/>
  <c r="AZ698" i="7" s="1"/>
  <c r="AZ686" i="7" a="1"/>
  <c r="AZ686" i="7" s="1"/>
  <c r="AZ674" i="7" a="1"/>
  <c r="AZ674" i="7" s="1"/>
  <c r="AZ662" i="7" a="1"/>
  <c r="AZ662" i="7" s="1"/>
  <c r="AZ650" i="7" a="1"/>
  <c r="AZ650" i="7" s="1"/>
  <c r="AZ626" i="7" a="1"/>
  <c r="AZ626" i="7" s="1"/>
  <c r="AZ614" i="7" a="1"/>
  <c r="AZ614" i="7" s="1"/>
  <c r="AZ602" i="7" a="1"/>
  <c r="AZ602" i="7" s="1"/>
  <c r="AZ592" i="7" a="1"/>
  <c r="AZ592" i="7" s="1"/>
  <c r="AZ584" i="7" a="1"/>
  <c r="AZ584" i="7" s="1"/>
  <c r="AZ569" i="7" a="1"/>
  <c r="AZ569" i="7" s="1"/>
  <c r="AZ562" i="7" a="1"/>
  <c r="AZ562" i="7" s="1"/>
  <c r="AZ555" i="7" a="1"/>
  <c r="AZ555" i="7" s="1"/>
  <c r="AZ533" i="7" a="1"/>
  <c r="AZ533" i="7" s="1"/>
  <c r="AZ526" i="7" a="1"/>
  <c r="AZ526" i="7" s="1"/>
  <c r="AZ519" i="7" a="1"/>
  <c r="AZ519" i="7" s="1"/>
  <c r="AZ511" i="7" a="1"/>
  <c r="AZ511" i="7" s="1"/>
  <c r="AZ490" i="7" a="1"/>
  <c r="AZ490" i="7" s="1"/>
  <c r="AZ478" i="7" a="1"/>
  <c r="AZ478" i="7" s="1"/>
  <c r="AZ467" i="7" a="1"/>
  <c r="AZ467" i="7" s="1"/>
  <c r="AZ457" i="7" a="1"/>
  <c r="AZ457" i="7" s="1"/>
  <c r="AZ446" i="7" a="1"/>
  <c r="AZ446" i="7" s="1"/>
  <c r="AZ435" i="7" a="1"/>
  <c r="AZ435" i="7" s="1"/>
  <c r="AZ424" i="7" a="1"/>
  <c r="AZ424" i="7" s="1"/>
  <c r="AZ413" i="7" a="1"/>
  <c r="AZ413" i="7" s="1"/>
  <c r="AZ402" i="7" a="1"/>
  <c r="AZ402" i="7" s="1"/>
  <c r="AZ391" i="7" a="1"/>
  <c r="AZ391" i="7" s="1"/>
  <c r="AZ380" i="7" a="1"/>
  <c r="AZ380" i="7" s="1"/>
  <c r="AZ369" i="7" a="1"/>
  <c r="AZ369" i="7" s="1"/>
  <c r="AZ358" i="7" a="1"/>
  <c r="AZ358" i="7" s="1"/>
  <c r="AZ347" i="7" a="1"/>
  <c r="AZ347" i="7" s="1"/>
  <c r="AZ335" i="7" a="1"/>
  <c r="AZ335" i="7" s="1"/>
  <c r="AZ324" i="7" a="1"/>
  <c r="AZ324" i="7" s="1"/>
  <c r="AZ312" i="7" a="1"/>
  <c r="AZ312" i="7" s="1"/>
  <c r="AZ300" i="7" a="1"/>
  <c r="AZ300" i="7" s="1"/>
  <c r="AZ288" i="7" a="1"/>
  <c r="AZ288" i="7" s="1"/>
  <c r="AZ276" i="7" a="1"/>
  <c r="AZ276" i="7" s="1"/>
  <c r="AZ264" i="7" a="1"/>
  <c r="AZ264" i="7" s="1"/>
  <c r="AZ252" i="7" a="1"/>
  <c r="AZ252" i="7" s="1"/>
  <c r="AZ240" i="7" a="1"/>
  <c r="AZ240" i="7" s="1"/>
  <c r="AZ228" i="7" a="1"/>
  <c r="AZ228" i="7" s="1"/>
  <c r="AZ216" i="7" a="1"/>
  <c r="AZ216" i="7" s="1"/>
  <c r="AZ204" i="7" a="1"/>
  <c r="AZ204" i="7" s="1"/>
  <c r="AZ191" i="7" a="1"/>
  <c r="AZ191" i="7" s="1"/>
  <c r="AZ178" i="7" a="1"/>
  <c r="AZ178" i="7" s="1"/>
  <c r="AZ164" i="7" a="1"/>
  <c r="AZ164" i="7" s="1"/>
  <c r="AZ151" i="7" a="1"/>
  <c r="AZ151" i="7" s="1"/>
  <c r="AZ138" i="7" a="1"/>
  <c r="AZ138" i="7" s="1"/>
  <c r="AZ125" i="7" a="1"/>
  <c r="AZ125" i="7" s="1"/>
  <c r="AZ112" i="7" a="1"/>
  <c r="AZ112" i="7" s="1"/>
  <c r="AZ99" i="7" a="1"/>
  <c r="AZ99" i="7" s="1"/>
  <c r="AZ86" i="7" a="1"/>
  <c r="AZ86" i="7" s="1"/>
  <c r="AZ73" i="7" a="1"/>
  <c r="AZ73" i="7" s="1"/>
  <c r="AZ60" i="7" a="1"/>
  <c r="AZ60" i="7" s="1"/>
  <c r="AZ47" i="7" a="1"/>
  <c r="AZ47" i="7" s="1"/>
  <c r="AZ34" i="7" a="1"/>
  <c r="AZ34" i="7" s="1"/>
  <c r="AZ20" i="7" a="1"/>
  <c r="AZ20" i="7" s="1"/>
  <c r="AZ6" i="7" a="1"/>
  <c r="AZ6" i="7" s="1"/>
  <c r="AZ721" i="7" a="1"/>
  <c r="AZ721" i="7" s="1"/>
  <c r="AZ673" i="7" a="1"/>
  <c r="AZ673" i="7" s="1"/>
  <c r="AZ661" i="7" a="1"/>
  <c r="AZ661" i="7" s="1"/>
  <c r="AZ637" i="7" a="1"/>
  <c r="AZ637" i="7" s="1"/>
  <c r="AZ625" i="7" a="1"/>
  <c r="AZ625" i="7" s="1"/>
  <c r="AZ601" i="7" a="1"/>
  <c r="AZ601" i="7" s="1"/>
  <c r="AZ576" i="7" a="1"/>
  <c r="AZ576" i="7" s="1"/>
  <c r="AZ554" i="7" a="1"/>
  <c r="AZ554" i="7" s="1"/>
  <c r="AZ547" i="7" a="1"/>
  <c r="AZ547" i="7" s="1"/>
  <c r="AZ540" i="7" a="1"/>
  <c r="AZ540" i="7" s="1"/>
  <c r="AZ518" i="7" a="1"/>
  <c r="AZ518" i="7" s="1"/>
  <c r="AZ510" i="7" a="1"/>
  <c r="AZ510" i="7" s="1"/>
  <c r="AZ500" i="7" a="1"/>
  <c r="AZ500" i="7" s="1"/>
  <c r="AZ489" i="7" a="1"/>
  <c r="AZ489" i="7" s="1"/>
  <c r="AZ477" i="7" a="1"/>
  <c r="AZ477" i="7" s="1"/>
  <c r="AZ466" i="7" a="1"/>
  <c r="AZ466" i="7" s="1"/>
  <c r="AZ456" i="7" a="1"/>
  <c r="AZ456" i="7" s="1"/>
  <c r="AZ445" i="7" a="1"/>
  <c r="AZ445" i="7" s="1"/>
  <c r="AZ434" i="7" a="1"/>
  <c r="AZ434" i="7" s="1"/>
  <c r="AZ423" i="7" a="1"/>
  <c r="AZ423" i="7" s="1"/>
  <c r="AZ412" i="7" a="1"/>
  <c r="AZ412" i="7" s="1"/>
  <c r="AZ401" i="7" a="1"/>
  <c r="AZ401" i="7" s="1"/>
  <c r="AZ390" i="7" a="1"/>
  <c r="AZ390" i="7" s="1"/>
  <c r="AZ379" i="7" a="1"/>
  <c r="AZ379" i="7" s="1"/>
  <c r="AZ357" i="7" a="1"/>
  <c r="AZ357" i="7" s="1"/>
  <c r="AZ346" i="7" a="1"/>
  <c r="AZ346" i="7" s="1"/>
  <c r="AZ334" i="7" a="1"/>
  <c r="AZ334" i="7" s="1"/>
  <c r="AZ323" i="7" a="1"/>
  <c r="AZ323" i="7" s="1"/>
  <c r="AZ311" i="7" a="1"/>
  <c r="AZ311" i="7" s="1"/>
  <c r="AZ299" i="7" a="1"/>
  <c r="AZ299" i="7" s="1"/>
  <c r="AZ287" i="7" a="1"/>
  <c r="AZ287" i="7" s="1"/>
  <c r="AZ275" i="7" a="1"/>
  <c r="AZ275" i="7" s="1"/>
  <c r="AZ263" i="7" a="1"/>
  <c r="AZ263" i="7" s="1"/>
  <c r="AZ251" i="7" a="1"/>
  <c r="AZ251" i="7" s="1"/>
  <c r="AZ239" i="7" a="1"/>
  <c r="AZ239" i="7" s="1"/>
  <c r="AZ227" i="7" a="1"/>
  <c r="AZ227" i="7" s="1"/>
  <c r="AZ215" i="7" a="1"/>
  <c r="AZ215" i="7" s="1"/>
  <c r="AZ203" i="7" a="1"/>
  <c r="AZ203" i="7" s="1"/>
  <c r="AZ190" i="7" a="1"/>
  <c r="AZ190" i="7" s="1"/>
  <c r="AZ176" i="7" a="1"/>
  <c r="AZ176" i="7" s="1"/>
  <c r="AZ163" i="7" a="1"/>
  <c r="AZ163" i="7" s="1"/>
  <c r="AZ150" i="7" a="1"/>
  <c r="AZ150" i="7" s="1"/>
  <c r="AZ137" i="7" a="1"/>
  <c r="AZ137" i="7" s="1"/>
  <c r="AZ124" i="7" a="1"/>
  <c r="AZ124" i="7" s="1"/>
  <c r="AZ111" i="7" a="1"/>
  <c r="AZ111" i="7" s="1"/>
  <c r="AZ98" i="7" a="1"/>
  <c r="AZ98" i="7" s="1"/>
  <c r="AZ85" i="7" a="1"/>
  <c r="AZ85" i="7" s="1"/>
  <c r="AZ72" i="7" a="1"/>
  <c r="AZ72" i="7" s="1"/>
  <c r="AZ59" i="7" a="1"/>
  <c r="AZ59" i="7" s="1"/>
  <c r="AZ46" i="7" a="1"/>
  <c r="AZ46" i="7" s="1"/>
  <c r="AZ32" i="7" a="1"/>
  <c r="AZ32" i="7" s="1"/>
  <c r="AZ19" i="7" a="1"/>
  <c r="AZ19" i="7" s="1"/>
  <c r="AZ5" i="7" a="1"/>
  <c r="AZ5" i="7" s="1"/>
  <c r="A123" i="7"/>
  <c r="A699" i="7"/>
  <c r="A555" i="7"/>
  <c r="A411" i="7"/>
  <c r="A267" i="7"/>
  <c r="A687" i="7"/>
  <c r="A543" i="7"/>
  <c r="A399" i="7"/>
  <c r="A255" i="7"/>
  <c r="A111" i="7"/>
  <c r="A675" i="7"/>
  <c r="A531" i="7"/>
  <c r="A387" i="7"/>
  <c r="A243" i="7"/>
  <c r="A99" i="7"/>
  <c r="A663" i="7"/>
  <c r="A519" i="7"/>
  <c r="A375" i="7"/>
  <c r="A231" i="7"/>
  <c r="A87" i="7"/>
  <c r="A651" i="7"/>
  <c r="A507" i="7"/>
  <c r="A363" i="7"/>
  <c r="A219" i="7"/>
  <c r="A75" i="7"/>
  <c r="A639" i="7"/>
  <c r="A495" i="7"/>
  <c r="A351" i="7"/>
  <c r="A207" i="7"/>
  <c r="A63" i="7"/>
  <c r="A627" i="7"/>
  <c r="A483" i="7"/>
  <c r="A339" i="7"/>
  <c r="A195" i="7"/>
  <c r="A51" i="7"/>
  <c r="A759" i="7"/>
  <c r="A615" i="7"/>
  <c r="A471" i="7"/>
  <c r="A327" i="7"/>
  <c r="A183" i="7"/>
  <c r="A39" i="7"/>
  <c r="A747" i="7"/>
  <c r="A603" i="7"/>
  <c r="A459" i="7"/>
  <c r="A315" i="7"/>
  <c r="A171" i="7"/>
  <c r="A27" i="7"/>
  <c r="A735" i="7"/>
  <c r="A591" i="7"/>
  <c r="A447" i="7"/>
  <c r="A303" i="7"/>
  <c r="A159" i="7"/>
  <c r="A15" i="7"/>
  <c r="A723" i="7"/>
  <c r="A579" i="7"/>
  <c r="A435" i="7"/>
  <c r="A291" i="7"/>
  <c r="A147" i="7"/>
  <c r="A3" i="7"/>
  <c r="A711" i="7"/>
  <c r="A567" i="7"/>
  <c r="A423" i="7"/>
  <c r="A279" i="7"/>
  <c r="A135" i="7"/>
  <c r="A758" i="7"/>
  <c r="A746" i="7"/>
  <c r="A734" i="7"/>
  <c r="A722" i="7"/>
  <c r="A710" i="7"/>
  <c r="A698" i="7"/>
  <c r="A686" i="7"/>
  <c r="A674" i="7"/>
  <c r="A662" i="7"/>
  <c r="A650" i="7"/>
  <c r="A638" i="7"/>
  <c r="A626" i="7"/>
  <c r="A614" i="7"/>
  <c r="A602" i="7"/>
  <c r="A590" i="7"/>
  <c r="A578" i="7"/>
  <c r="A566" i="7"/>
  <c r="A554" i="7"/>
  <c r="A542" i="7"/>
  <c r="A530" i="7"/>
  <c r="A518" i="7"/>
  <c r="A506" i="7"/>
  <c r="A494" i="7"/>
  <c r="A482" i="7"/>
  <c r="A470" i="7"/>
  <c r="A458" i="7"/>
  <c r="A446" i="7"/>
  <c r="A434" i="7"/>
  <c r="A422" i="7"/>
  <c r="A410" i="7"/>
  <c r="A398" i="7"/>
  <c r="A386" i="7"/>
  <c r="A374" i="7"/>
  <c r="A362" i="7"/>
  <c r="A350" i="7"/>
  <c r="A338" i="7"/>
  <c r="A326" i="7"/>
  <c r="A314" i="7"/>
  <c r="A302" i="7"/>
  <c r="A290" i="7"/>
  <c r="A278" i="7"/>
  <c r="A266" i="7"/>
  <c r="A254" i="7"/>
  <c r="A242" i="7"/>
  <c r="A230" i="7"/>
  <c r="A218" i="7"/>
  <c r="A206" i="7"/>
  <c r="A194" i="7"/>
  <c r="A182" i="7"/>
  <c r="A170" i="7"/>
  <c r="A158" i="7"/>
  <c r="A146" i="7"/>
  <c r="A134" i="7"/>
  <c r="A122" i="7"/>
  <c r="A110" i="7"/>
  <c r="A98" i="7"/>
  <c r="A86" i="7"/>
  <c r="A74" i="7"/>
  <c r="A62" i="7"/>
  <c r="A50" i="7"/>
  <c r="A38" i="7"/>
  <c r="A26" i="7"/>
  <c r="A14" i="7"/>
  <c r="A769" i="7"/>
  <c r="A757" i="7"/>
  <c r="A745" i="7"/>
  <c r="A733" i="7"/>
  <c r="A721" i="7"/>
  <c r="A709" i="7"/>
  <c r="A697" i="7"/>
  <c r="A685" i="7"/>
  <c r="A673" i="7"/>
  <c r="A661" i="7"/>
  <c r="A649" i="7"/>
  <c r="A637" i="7"/>
  <c r="A625" i="7"/>
  <c r="A613" i="7"/>
  <c r="A601" i="7"/>
  <c r="A589" i="7"/>
  <c r="A577" i="7"/>
  <c r="A565" i="7"/>
  <c r="A553" i="7"/>
  <c r="A541" i="7"/>
  <c r="A529" i="7"/>
  <c r="A517" i="7"/>
  <c r="A505" i="7"/>
  <c r="A493" i="7"/>
  <c r="A481" i="7"/>
  <c r="A469" i="7"/>
  <c r="A457" i="7"/>
  <c r="A445" i="7"/>
  <c r="A433" i="7"/>
  <c r="A421" i="7"/>
  <c r="A409" i="7"/>
  <c r="A397" i="7"/>
  <c r="A385" i="7"/>
  <c r="A373" i="7"/>
  <c r="A361" i="7"/>
  <c r="A349" i="7"/>
  <c r="A337" i="7"/>
  <c r="A325" i="7"/>
  <c r="A313" i="7"/>
  <c r="A301" i="7"/>
  <c r="A289" i="7"/>
  <c r="A277" i="7"/>
  <c r="A265" i="7"/>
  <c r="A253" i="7"/>
  <c r="A241" i="7"/>
  <c r="A229" i="7"/>
  <c r="A217" i="7"/>
  <c r="A205" i="7"/>
  <c r="A193" i="7"/>
  <c r="A181" i="7"/>
  <c r="A169" i="7"/>
  <c r="A157" i="7"/>
  <c r="A145" i="7"/>
  <c r="A133" i="7"/>
  <c r="A121" i="7"/>
  <c r="A109" i="7"/>
  <c r="A97" i="7"/>
  <c r="A85" i="7"/>
  <c r="A73" i="7"/>
  <c r="A61" i="7"/>
  <c r="A49" i="7"/>
  <c r="A37" i="7"/>
  <c r="A25" i="7"/>
  <c r="A13" i="7"/>
  <c r="A768" i="7"/>
  <c r="A756" i="7"/>
  <c r="A744" i="7"/>
  <c r="A732" i="7"/>
  <c r="A720" i="7"/>
  <c r="A708" i="7"/>
  <c r="A696" i="7"/>
  <c r="A684" i="7"/>
  <c r="A672" i="7"/>
  <c r="A660" i="7"/>
  <c r="A648" i="7"/>
  <c r="A636" i="7"/>
  <c r="A624" i="7"/>
  <c r="A612" i="7"/>
  <c r="A600" i="7"/>
  <c r="A588" i="7"/>
  <c r="A576" i="7"/>
  <c r="A564" i="7"/>
  <c r="A552" i="7"/>
  <c r="A540" i="7"/>
  <c r="A528" i="7"/>
  <c r="A516" i="7"/>
  <c r="A504" i="7"/>
  <c r="A492" i="7"/>
  <c r="A480" i="7"/>
  <c r="A468" i="7"/>
  <c r="A456" i="7"/>
  <c r="A444" i="7"/>
  <c r="A432" i="7"/>
  <c r="A420" i="7"/>
  <c r="A408" i="7"/>
  <c r="A396" i="7"/>
  <c r="A384" i="7"/>
  <c r="A372" i="7"/>
  <c r="A360" i="7"/>
  <c r="A348" i="7"/>
  <c r="A336" i="7"/>
  <c r="A324" i="7"/>
  <c r="A312" i="7"/>
  <c r="A300" i="7"/>
  <c r="A288" i="7"/>
  <c r="A276" i="7"/>
  <c r="A264" i="7"/>
  <c r="A252" i="7"/>
  <c r="A240" i="7"/>
  <c r="A228" i="7"/>
  <c r="A216" i="7"/>
  <c r="A204" i="7"/>
  <c r="A192" i="7"/>
  <c r="A180" i="7"/>
  <c r="A168" i="7"/>
  <c r="A156" i="7"/>
  <c r="A144" i="7"/>
  <c r="A132" i="7"/>
  <c r="A120" i="7"/>
  <c r="A108" i="7"/>
  <c r="A96" i="7"/>
  <c r="A84" i="7"/>
  <c r="A72" i="7"/>
  <c r="A60" i="7"/>
  <c r="A48" i="7"/>
  <c r="A36" i="7"/>
  <c r="A24" i="7"/>
  <c r="A12" i="7"/>
  <c r="A767" i="7"/>
  <c r="A755" i="7"/>
  <c r="A743" i="7"/>
  <c r="A731" i="7"/>
  <c r="A719" i="7"/>
  <c r="A707" i="7"/>
  <c r="A695" i="7"/>
  <c r="A683" i="7"/>
  <c r="A671" i="7"/>
  <c r="A659" i="7"/>
  <c r="A647" i="7"/>
  <c r="A635" i="7"/>
  <c r="A623" i="7"/>
  <c r="A611" i="7"/>
  <c r="A599" i="7"/>
  <c r="A587" i="7"/>
  <c r="A575" i="7"/>
  <c r="A563" i="7"/>
  <c r="A551" i="7"/>
  <c r="A539" i="7"/>
  <c r="A527" i="7"/>
  <c r="A515" i="7"/>
  <c r="A503" i="7"/>
  <c r="A491" i="7"/>
  <c r="A479" i="7"/>
  <c r="A467" i="7"/>
  <c r="A455" i="7"/>
  <c r="A443" i="7"/>
  <c r="A431" i="7"/>
  <c r="A419" i="7"/>
  <c r="A407" i="7"/>
  <c r="A395" i="7"/>
  <c r="A383" i="7"/>
  <c r="A371" i="7"/>
  <c r="A359" i="7"/>
  <c r="A347" i="7"/>
  <c r="A335" i="7"/>
  <c r="A323" i="7"/>
  <c r="A311" i="7"/>
  <c r="A299" i="7"/>
  <c r="A287" i="7"/>
  <c r="A275" i="7"/>
  <c r="A263" i="7"/>
  <c r="A251" i="7"/>
  <c r="A239" i="7"/>
  <c r="A227" i="7"/>
  <c r="A215" i="7"/>
  <c r="A203" i="7"/>
  <c r="A191" i="7"/>
  <c r="A179" i="7"/>
  <c r="A167" i="7"/>
  <c r="A155" i="7"/>
  <c r="A143" i="7"/>
  <c r="A131" i="7"/>
  <c r="A119" i="7"/>
  <c r="A107" i="7"/>
  <c r="A95" i="7"/>
  <c r="A83" i="7"/>
  <c r="A71" i="7"/>
  <c r="A59" i="7"/>
  <c r="A47" i="7"/>
  <c r="A35" i="7"/>
  <c r="A23" i="7"/>
  <c r="A11" i="7"/>
  <c r="A766" i="7"/>
  <c r="A754" i="7"/>
  <c r="A742" i="7"/>
  <c r="A730" i="7"/>
  <c r="A718" i="7"/>
  <c r="A706" i="7"/>
  <c r="A694" i="7"/>
  <c r="A682" i="7"/>
  <c r="A670" i="7"/>
  <c r="A658" i="7"/>
  <c r="A646" i="7"/>
  <c r="A634" i="7"/>
  <c r="A622" i="7"/>
  <c r="A610" i="7"/>
  <c r="A598" i="7"/>
  <c r="A586" i="7"/>
  <c r="A574" i="7"/>
  <c r="A562" i="7"/>
  <c r="A550" i="7"/>
  <c r="A538" i="7"/>
  <c r="A526" i="7"/>
  <c r="A514" i="7"/>
  <c r="A502" i="7"/>
  <c r="A490" i="7"/>
  <c r="A478" i="7"/>
  <c r="A466" i="7"/>
  <c r="A454" i="7"/>
  <c r="A442" i="7"/>
  <c r="A430" i="7"/>
  <c r="A418" i="7"/>
  <c r="A406" i="7"/>
  <c r="A394" i="7"/>
  <c r="A382" i="7"/>
  <c r="A370" i="7"/>
  <c r="A358" i="7"/>
  <c r="A346" i="7"/>
  <c r="A334" i="7"/>
  <c r="A322" i="7"/>
  <c r="A310" i="7"/>
  <c r="A298" i="7"/>
  <c r="A286" i="7"/>
  <c r="A274" i="7"/>
  <c r="A262" i="7"/>
  <c r="A250" i="7"/>
  <c r="A238" i="7"/>
  <c r="A226" i="7"/>
  <c r="A214" i="7"/>
  <c r="A202" i="7"/>
  <c r="A190" i="7"/>
  <c r="A178" i="7"/>
  <c r="A166" i="7"/>
  <c r="A154" i="7"/>
  <c r="A142" i="7"/>
  <c r="A130" i="7"/>
  <c r="A118" i="7"/>
  <c r="A106" i="7"/>
  <c r="A94" i="7"/>
  <c r="A82" i="7"/>
  <c r="A70" i="7"/>
  <c r="A58" i="7"/>
  <c r="A46" i="7"/>
  <c r="A34" i="7"/>
  <c r="A22" i="7"/>
  <c r="A10" i="7"/>
  <c r="A765" i="7"/>
  <c r="A753" i="7"/>
  <c r="A741" i="7"/>
  <c r="A729" i="7"/>
  <c r="A717" i="7"/>
  <c r="A705" i="7"/>
  <c r="A693" i="7"/>
  <c r="A681" i="7"/>
  <c r="A669" i="7"/>
  <c r="A657" i="7"/>
  <c r="A645" i="7"/>
  <c r="A633" i="7"/>
  <c r="A621" i="7"/>
  <c r="A609" i="7"/>
  <c r="A597" i="7"/>
  <c r="A585" i="7"/>
  <c r="A573" i="7"/>
  <c r="A561" i="7"/>
  <c r="A549" i="7"/>
  <c r="A537" i="7"/>
  <c r="A525" i="7"/>
  <c r="A513" i="7"/>
  <c r="A501" i="7"/>
  <c r="A489" i="7"/>
  <c r="A477" i="7"/>
  <c r="A465" i="7"/>
  <c r="A453" i="7"/>
  <c r="A441" i="7"/>
  <c r="A429" i="7"/>
  <c r="A417" i="7"/>
  <c r="A405" i="7"/>
  <c r="A393" i="7"/>
  <c r="A381" i="7"/>
  <c r="A369" i="7"/>
  <c r="A357" i="7"/>
  <c r="A345" i="7"/>
  <c r="A333" i="7"/>
  <c r="A321" i="7"/>
  <c r="A309" i="7"/>
  <c r="A297" i="7"/>
  <c r="A285" i="7"/>
  <c r="A273" i="7"/>
  <c r="A261" i="7"/>
  <c r="A249" i="7"/>
  <c r="A237" i="7"/>
  <c r="A225" i="7"/>
  <c r="A213" i="7"/>
  <c r="A201" i="7"/>
  <c r="A189" i="7"/>
  <c r="A177" i="7"/>
  <c r="A165" i="7"/>
  <c r="A153" i="7"/>
  <c r="A141" i="7"/>
  <c r="A129" i="7"/>
  <c r="A117" i="7"/>
  <c r="A105" i="7"/>
  <c r="A93" i="7"/>
  <c r="A81" i="7"/>
  <c r="A69" i="7"/>
  <c r="A57" i="7"/>
  <c r="A45" i="7"/>
  <c r="A33" i="7"/>
  <c r="A21" i="7"/>
  <c r="A9" i="7"/>
  <c r="A764" i="7"/>
  <c r="A752" i="7"/>
  <c r="A740" i="7"/>
  <c r="A728" i="7"/>
  <c r="A716" i="7"/>
  <c r="A704" i="7"/>
  <c r="A692" i="7"/>
  <c r="A680" i="7"/>
  <c r="A668" i="7"/>
  <c r="A656" i="7"/>
  <c r="A644" i="7"/>
  <c r="A632" i="7"/>
  <c r="A620" i="7"/>
  <c r="A608" i="7"/>
  <c r="A596" i="7"/>
  <c r="A584" i="7"/>
  <c r="A572" i="7"/>
  <c r="A560" i="7"/>
  <c r="A548" i="7"/>
  <c r="A536" i="7"/>
  <c r="A524" i="7"/>
  <c r="A512" i="7"/>
  <c r="A500" i="7"/>
  <c r="A488" i="7"/>
  <c r="A476" i="7"/>
  <c r="A464" i="7"/>
  <c r="A452" i="7"/>
  <c r="A440" i="7"/>
  <c r="A428" i="7"/>
  <c r="A416" i="7"/>
  <c r="A404" i="7"/>
  <c r="A392" i="7"/>
  <c r="A380" i="7"/>
  <c r="A368" i="7"/>
  <c r="A356" i="7"/>
  <c r="A344" i="7"/>
  <c r="A332" i="7"/>
  <c r="A320" i="7"/>
  <c r="A308" i="7"/>
  <c r="A296" i="7"/>
  <c r="A284" i="7"/>
  <c r="A272" i="7"/>
  <c r="A260" i="7"/>
  <c r="A248" i="7"/>
  <c r="A236" i="7"/>
  <c r="A224" i="7"/>
  <c r="A212" i="7"/>
  <c r="A200" i="7"/>
  <c r="A188" i="7"/>
  <c r="A176" i="7"/>
  <c r="A164" i="7"/>
  <c r="A152" i="7"/>
  <c r="A140" i="7"/>
  <c r="A128" i="7"/>
  <c r="A116" i="7"/>
  <c r="A104" i="7"/>
  <c r="A92" i="7"/>
  <c r="A80" i="7"/>
  <c r="A68" i="7"/>
  <c r="A56" i="7"/>
  <c r="A44" i="7"/>
  <c r="A32" i="7"/>
  <c r="A20" i="7"/>
  <c r="A8" i="7"/>
  <c r="A763" i="7"/>
  <c r="A751" i="7"/>
  <c r="A739" i="7"/>
  <c r="A727" i="7"/>
  <c r="A715" i="7"/>
  <c r="A703" i="7"/>
  <c r="A691" i="7"/>
  <c r="A679" i="7"/>
  <c r="A667" i="7"/>
  <c r="A655" i="7"/>
  <c r="A643" i="7"/>
  <c r="A631" i="7"/>
  <c r="A619" i="7"/>
  <c r="A607" i="7"/>
  <c r="A595" i="7"/>
  <c r="A583" i="7"/>
  <c r="A571" i="7"/>
  <c r="A559" i="7"/>
  <c r="A547" i="7"/>
  <c r="A535" i="7"/>
  <c r="A523" i="7"/>
  <c r="A511" i="7"/>
  <c r="A499" i="7"/>
  <c r="A487" i="7"/>
  <c r="A475" i="7"/>
  <c r="A463" i="7"/>
  <c r="A451" i="7"/>
  <c r="A439" i="7"/>
  <c r="A427" i="7"/>
  <c r="A415" i="7"/>
  <c r="A403" i="7"/>
  <c r="A391" i="7"/>
  <c r="A379" i="7"/>
  <c r="A367" i="7"/>
  <c r="A355" i="7"/>
  <c r="A343" i="7"/>
  <c r="A331" i="7"/>
  <c r="A319" i="7"/>
  <c r="A307" i="7"/>
  <c r="A295" i="7"/>
  <c r="A283" i="7"/>
  <c r="A271" i="7"/>
  <c r="A259" i="7"/>
  <c r="A247" i="7"/>
  <c r="A235" i="7"/>
  <c r="A223" i="7"/>
  <c r="A211" i="7"/>
  <c r="A199" i="7"/>
  <c r="A187" i="7"/>
  <c r="A175" i="7"/>
  <c r="A163" i="7"/>
  <c r="A151" i="7"/>
  <c r="A139" i="7"/>
  <c r="A127" i="7"/>
  <c r="A115" i="7"/>
  <c r="A103" i="7"/>
  <c r="A91" i="7"/>
  <c r="A79" i="7"/>
  <c r="A67" i="7"/>
  <c r="A55" i="7"/>
  <c r="A43" i="7"/>
  <c r="A31" i="7"/>
  <c r="A19" i="7"/>
  <c r="A7" i="7"/>
  <c r="A762" i="7"/>
  <c r="A750" i="7"/>
  <c r="A738" i="7"/>
  <c r="A726" i="7"/>
  <c r="A714" i="7"/>
  <c r="A702" i="7"/>
  <c r="A690" i="7"/>
  <c r="A678" i="7"/>
  <c r="A666" i="7"/>
  <c r="A654" i="7"/>
  <c r="A642" i="7"/>
  <c r="A630" i="7"/>
  <c r="A618" i="7"/>
  <c r="A606" i="7"/>
  <c r="A594" i="7"/>
  <c r="A582" i="7"/>
  <c r="A570" i="7"/>
  <c r="A558" i="7"/>
  <c r="A546" i="7"/>
  <c r="A534" i="7"/>
  <c r="A522" i="7"/>
  <c r="A510" i="7"/>
  <c r="A498" i="7"/>
  <c r="A486" i="7"/>
  <c r="A474" i="7"/>
  <c r="A462" i="7"/>
  <c r="A450" i="7"/>
  <c r="A438" i="7"/>
  <c r="A426" i="7"/>
  <c r="A414" i="7"/>
  <c r="A402" i="7"/>
  <c r="A390" i="7"/>
  <c r="A378" i="7"/>
  <c r="A366" i="7"/>
  <c r="A354" i="7"/>
  <c r="A342" i="7"/>
  <c r="A330" i="7"/>
  <c r="A318" i="7"/>
  <c r="A306" i="7"/>
  <c r="A294" i="7"/>
  <c r="A282" i="7"/>
  <c r="A270" i="7"/>
  <c r="A258" i="7"/>
  <c r="A246" i="7"/>
  <c r="A234" i="7"/>
  <c r="A222" i="7"/>
  <c r="A210" i="7"/>
  <c r="A198" i="7"/>
  <c r="A186" i="7"/>
  <c r="A174" i="7"/>
  <c r="A162" i="7"/>
  <c r="A150" i="7"/>
  <c r="A138" i="7"/>
  <c r="A126" i="7"/>
  <c r="A114" i="7"/>
  <c r="A102" i="7"/>
  <c r="A90" i="7"/>
  <c r="A78" i="7"/>
  <c r="A66" i="7"/>
  <c r="A54" i="7"/>
  <c r="A42" i="7"/>
  <c r="A30" i="7"/>
  <c r="A18" i="7"/>
  <c r="A6" i="7"/>
  <c r="A761" i="7"/>
  <c r="A749" i="7"/>
  <c r="A737" i="7"/>
  <c r="A725" i="7"/>
  <c r="A713" i="7"/>
  <c r="A701" i="7"/>
  <c r="A689" i="7"/>
  <c r="A677" i="7"/>
  <c r="A665" i="7"/>
  <c r="A653" i="7"/>
  <c r="A641" i="7"/>
  <c r="A629" i="7"/>
  <c r="A617" i="7"/>
  <c r="A605" i="7"/>
  <c r="A593" i="7"/>
  <c r="A581" i="7"/>
  <c r="A569" i="7"/>
  <c r="A557" i="7"/>
  <c r="A545" i="7"/>
  <c r="A533" i="7"/>
  <c r="A521" i="7"/>
  <c r="A509" i="7"/>
  <c r="A497" i="7"/>
  <c r="A485" i="7"/>
  <c r="A473" i="7"/>
  <c r="A461" i="7"/>
  <c r="A449" i="7"/>
  <c r="A437" i="7"/>
  <c r="A425" i="7"/>
  <c r="A413" i="7"/>
  <c r="A401" i="7"/>
  <c r="A389" i="7"/>
  <c r="A377" i="7"/>
  <c r="A365" i="7"/>
  <c r="A353" i="7"/>
  <c r="A341" i="7"/>
  <c r="A329" i="7"/>
  <c r="A317" i="7"/>
  <c r="A305" i="7"/>
  <c r="A293" i="7"/>
  <c r="A281" i="7"/>
  <c r="A269" i="7"/>
  <c r="A257" i="7"/>
  <c r="A245" i="7"/>
  <c r="A233" i="7"/>
  <c r="A221" i="7"/>
  <c r="A209" i="7"/>
  <c r="A197" i="7"/>
  <c r="A185" i="7"/>
  <c r="A173" i="7"/>
  <c r="A161" i="7"/>
  <c r="A149" i="7"/>
  <c r="A137" i="7"/>
  <c r="A125" i="7"/>
  <c r="A113" i="7"/>
  <c r="A101" i="7"/>
  <c r="A89" i="7"/>
  <c r="A77" i="7"/>
  <c r="A65" i="7"/>
  <c r="A53" i="7"/>
  <c r="A41" i="7"/>
  <c r="A29" i="7"/>
  <c r="A17" i="7"/>
  <c r="A5" i="7"/>
  <c r="A760" i="7"/>
  <c r="A748" i="7"/>
  <c r="A736" i="7"/>
  <c r="A724" i="7"/>
  <c r="A712" i="7"/>
  <c r="A700" i="7"/>
  <c r="A688" i="7"/>
  <c r="A676" i="7"/>
  <c r="A664" i="7"/>
  <c r="A652" i="7"/>
  <c r="A640" i="7"/>
  <c r="A628" i="7"/>
  <c r="A616" i="7"/>
  <c r="A604" i="7"/>
  <c r="A592" i="7"/>
  <c r="A580" i="7"/>
  <c r="A568" i="7"/>
  <c r="A556" i="7"/>
  <c r="A544" i="7"/>
  <c r="A532" i="7"/>
  <c r="A520" i="7"/>
  <c r="A508" i="7"/>
  <c r="A496" i="7"/>
  <c r="A484" i="7"/>
  <c r="A472" i="7"/>
  <c r="A460" i="7"/>
  <c r="A448" i="7"/>
  <c r="A436" i="7"/>
  <c r="A424" i="7"/>
  <c r="A412" i="7"/>
  <c r="A400" i="7"/>
  <c r="A388" i="7"/>
  <c r="A376" i="7"/>
  <c r="A364" i="7"/>
  <c r="A352" i="7"/>
  <c r="A340" i="7"/>
  <c r="A328" i="7"/>
  <c r="A316" i="7"/>
  <c r="A304" i="7"/>
  <c r="A292" i="7"/>
  <c r="A280" i="7"/>
  <c r="A268" i="7"/>
  <c r="A256" i="7"/>
  <c r="A244" i="7"/>
  <c r="A232" i="7"/>
  <c r="A220" i="7"/>
  <c r="A208" i="7"/>
  <c r="A196" i="7"/>
  <c r="A184" i="7"/>
  <c r="A172" i="7"/>
  <c r="A160" i="7"/>
  <c r="A148" i="7"/>
  <c r="A136" i="7"/>
  <c r="A124" i="7"/>
  <c r="A112" i="7"/>
  <c r="A100" i="7"/>
  <c r="A88" i="7"/>
  <c r="A76" i="7"/>
  <c r="A64" i="7"/>
  <c r="A52" i="7"/>
  <c r="A40" i="7"/>
  <c r="A28" i="7"/>
  <c r="A16" i="7"/>
  <c r="A4" i="7"/>
  <c r="G700" i="7"/>
  <c r="I700" i="7" s="1"/>
  <c r="J700" i="7" s="1"/>
  <c r="Y699" i="9" s="1"/>
  <c r="G628" i="7"/>
  <c r="I628" i="7" s="1"/>
  <c r="J628" i="7" s="1"/>
  <c r="Y627" i="9" s="1"/>
  <c r="G556" i="7"/>
  <c r="I556" i="7" s="1"/>
  <c r="J556" i="7" s="1"/>
  <c r="Y555" i="9" s="1"/>
  <c r="G484" i="7"/>
  <c r="I484" i="7" s="1"/>
  <c r="J484" i="7" s="1"/>
  <c r="Y483" i="9" s="1"/>
  <c r="G412" i="7"/>
  <c r="I412" i="7" s="1"/>
  <c r="J412" i="7" s="1"/>
  <c r="Y411" i="9" s="1"/>
  <c r="BK753" i="7" a="1"/>
  <c r="BK753" i="7" s="1"/>
  <c r="H753" i="7" s="1"/>
  <c r="G301" i="7"/>
  <c r="I301" i="7" s="1"/>
  <c r="J301" i="7" s="1"/>
  <c r="Y300" i="9" s="1"/>
  <c r="W300" i="9" s="1"/>
  <c r="G253" i="7"/>
  <c r="I253" i="7" s="1"/>
  <c r="J253" i="7" s="1"/>
  <c r="Y252" i="9" s="1"/>
  <c r="G205" i="7"/>
  <c r="I205" i="7" s="1"/>
  <c r="J205" i="7" s="1"/>
  <c r="Y204" i="9" s="1"/>
  <c r="W204" i="9" s="1"/>
  <c r="BK750" i="7" a="1"/>
  <c r="BK750" i="7" s="1"/>
  <c r="H750" i="7" s="1"/>
  <c r="BK726" i="7" a="1"/>
  <c r="BK726" i="7" s="1"/>
  <c r="H726" i="7" s="1"/>
  <c r="BK714" i="7" a="1"/>
  <c r="BK714" i="7" s="1"/>
  <c r="H714" i="7" s="1"/>
  <c r="BK760" i="7" a="1"/>
  <c r="BK760" i="7" s="1"/>
  <c r="H760" i="7" s="1"/>
  <c r="BK748" i="7" a="1"/>
  <c r="BK748" i="7" s="1"/>
  <c r="H748" i="7" s="1"/>
  <c r="BK736" i="7" a="1"/>
  <c r="BK736" i="7" s="1"/>
  <c r="H736" i="7" s="1"/>
  <c r="BK724" i="7" a="1"/>
  <c r="BK724" i="7" s="1"/>
  <c r="H724" i="7" s="1"/>
  <c r="BK712" i="7" a="1"/>
  <c r="BK712" i="7" s="1"/>
  <c r="H712" i="7" s="1"/>
  <c r="G161" i="7"/>
  <c r="I161" i="7" s="1"/>
  <c r="J161" i="7" s="1"/>
  <c r="Y160" i="9" s="1"/>
  <c r="G65" i="7"/>
  <c r="I65" i="7" s="1"/>
  <c r="J65" i="7" s="1"/>
  <c r="Y64" i="9" s="1"/>
  <c r="BK732" i="7" a="1"/>
  <c r="BK732" i="7" s="1"/>
  <c r="H732" i="7" s="1"/>
  <c r="G351" i="7"/>
  <c r="I351" i="7" s="1"/>
  <c r="J351" i="7" s="1"/>
  <c r="Y350" i="9" s="1"/>
  <c r="G147" i="7"/>
  <c r="I147" i="7" s="1"/>
  <c r="J147" i="7" s="1"/>
  <c r="Y146" i="9" s="1"/>
  <c r="W146" i="9" s="1"/>
  <c r="G51" i="7"/>
  <c r="I51" i="7" s="1"/>
  <c r="J51" i="7" s="1"/>
  <c r="Y50" i="9" s="1"/>
  <c r="W50" i="9" s="1"/>
  <c r="BK754" i="7" a="1"/>
  <c r="BK754" i="7" s="1"/>
  <c r="H754" i="7" s="1"/>
  <c r="BK730" i="7" a="1"/>
  <c r="BK730" i="7" s="1"/>
  <c r="H730" i="7" s="1"/>
  <c r="G18" i="7"/>
  <c r="I18" i="7" s="1"/>
  <c r="J18" i="7" s="1"/>
  <c r="Y17" i="9" s="1"/>
  <c r="W17" i="9" s="1"/>
  <c r="G113" i="7"/>
  <c r="I113" i="7" s="1"/>
  <c r="J113" i="7" s="1"/>
  <c r="Y112" i="9" s="1"/>
  <c r="W112" i="9" s="1"/>
  <c r="G17" i="7"/>
  <c r="I17" i="7" s="1"/>
  <c r="J17" i="7" s="1"/>
  <c r="Y16" i="9" s="1"/>
  <c r="W16" i="9" s="1"/>
  <c r="G711" i="7"/>
  <c r="I711" i="7" s="1"/>
  <c r="J711" i="7" s="1"/>
  <c r="Y710" i="9" s="1"/>
  <c r="G639" i="7"/>
  <c r="I639" i="7" s="1"/>
  <c r="J639" i="7" s="1"/>
  <c r="Y638" i="9" s="1"/>
  <c r="G567" i="7"/>
  <c r="I567" i="7" s="1"/>
  <c r="J567" i="7" s="1"/>
  <c r="Y566" i="9" s="1"/>
  <c r="G495" i="7"/>
  <c r="I495" i="7" s="1"/>
  <c r="J495" i="7" s="1"/>
  <c r="Y494" i="9" s="1"/>
  <c r="G423" i="7"/>
  <c r="I423" i="7" s="1"/>
  <c r="J423" i="7" s="1"/>
  <c r="Y422" i="9" s="1"/>
  <c r="G303" i="7"/>
  <c r="I303" i="7" s="1"/>
  <c r="J303" i="7" s="1"/>
  <c r="Y302" i="9" s="1"/>
  <c r="W302" i="9" s="1"/>
  <c r="G255" i="7"/>
  <c r="I255" i="7" s="1"/>
  <c r="J255" i="7" s="1"/>
  <c r="Y254" i="9" s="1"/>
  <c r="G207" i="7"/>
  <c r="I207" i="7" s="1"/>
  <c r="J207" i="7" s="1"/>
  <c r="Y206" i="9" s="1"/>
  <c r="G99" i="7"/>
  <c r="I99" i="7" s="1"/>
  <c r="J99" i="7" s="1"/>
  <c r="Y98" i="9" s="1"/>
  <c r="G3" i="7"/>
  <c r="I3" i="7" s="1"/>
  <c r="J3" i="7" s="1"/>
  <c r="Y2" i="9" s="1"/>
  <c r="G146" i="7"/>
  <c r="I146" i="7" s="1"/>
  <c r="J146" i="7" s="1"/>
  <c r="Y145" i="9" s="1"/>
  <c r="G98" i="7"/>
  <c r="I98" i="7" s="1"/>
  <c r="J98" i="7" s="1"/>
  <c r="Y97" i="9" s="1"/>
  <c r="G50" i="7"/>
  <c r="I50" i="7" s="1"/>
  <c r="J50" i="7" s="1"/>
  <c r="Y49" i="9" s="1"/>
  <c r="W49" i="9" s="1"/>
  <c r="G349" i="7"/>
  <c r="I349" i="7" s="1"/>
  <c r="J349" i="7" s="1"/>
  <c r="Y348" i="9" s="1"/>
  <c r="G180" i="7"/>
  <c r="I180" i="7" s="1"/>
  <c r="J180" i="7" s="1"/>
  <c r="Y179" i="9" s="1"/>
  <c r="G132" i="7"/>
  <c r="I132" i="7" s="1"/>
  <c r="J132" i="7" s="1"/>
  <c r="Y131" i="9" s="1"/>
  <c r="W131" i="9" s="1"/>
  <c r="G84" i="7"/>
  <c r="I84" i="7" s="1"/>
  <c r="J84" i="7" s="1"/>
  <c r="Y83" i="9" s="1"/>
  <c r="G36" i="7"/>
  <c r="I36" i="7" s="1"/>
  <c r="J36" i="7" s="1"/>
  <c r="Y35" i="9" s="1"/>
  <c r="W35" i="9" s="1"/>
  <c r="G179" i="7"/>
  <c r="I179" i="7" s="1"/>
  <c r="J179" i="7" s="1"/>
  <c r="Y178" i="9" s="1"/>
  <c r="W178" i="9" s="1"/>
  <c r="G131" i="7"/>
  <c r="I131" i="7" s="1"/>
  <c r="J131" i="7" s="1"/>
  <c r="Y130" i="9" s="1"/>
  <c r="G83" i="7"/>
  <c r="I83" i="7" s="1"/>
  <c r="J83" i="7" s="1"/>
  <c r="Y82" i="9" s="1"/>
  <c r="G35" i="7"/>
  <c r="I35" i="7" s="1"/>
  <c r="J35" i="7" s="1"/>
  <c r="Y34" i="9" s="1"/>
  <c r="W34" i="9" s="1"/>
  <c r="G249" i="7"/>
  <c r="I249" i="7" s="1"/>
  <c r="J249" i="7" s="1"/>
  <c r="Y248" i="9" s="1"/>
  <c r="G237" i="7"/>
  <c r="I237" i="7" s="1"/>
  <c r="J237" i="7" s="1"/>
  <c r="Y236" i="9" s="1"/>
  <c r="G225" i="7"/>
  <c r="I225" i="7" s="1"/>
  <c r="J225" i="7" s="1"/>
  <c r="Y224" i="9" s="1"/>
  <c r="G213" i="7"/>
  <c r="I213" i="7" s="1"/>
  <c r="J213" i="7" s="1"/>
  <c r="Y212" i="9" s="1"/>
  <c r="W212" i="9" s="1"/>
  <c r="G201" i="7"/>
  <c r="I201" i="7" s="1"/>
  <c r="J201" i="7" s="1"/>
  <c r="Y200" i="9" s="1"/>
  <c r="G189" i="7"/>
  <c r="I189" i="7" s="1"/>
  <c r="J189" i="7" s="1"/>
  <c r="Y188" i="9" s="1"/>
  <c r="G177" i="7"/>
  <c r="I177" i="7" s="1"/>
  <c r="J177" i="7" s="1"/>
  <c r="Y176" i="9" s="1"/>
  <c r="G165" i="7"/>
  <c r="I165" i="7" s="1"/>
  <c r="J165" i="7" s="1"/>
  <c r="Y164" i="9" s="1"/>
  <c r="W164" i="9" s="1"/>
  <c r="G153" i="7"/>
  <c r="I153" i="7" s="1"/>
  <c r="J153" i="7" s="1"/>
  <c r="Y152" i="9" s="1"/>
  <c r="G141" i="7"/>
  <c r="I141" i="7" s="1"/>
  <c r="J141" i="7" s="1"/>
  <c r="Y140" i="9" s="1"/>
  <c r="W140" i="9" s="1"/>
  <c r="G129" i="7"/>
  <c r="I129" i="7" s="1"/>
  <c r="J129" i="7" s="1"/>
  <c r="Y128" i="9" s="1"/>
  <c r="G117" i="7"/>
  <c r="I117" i="7" s="1"/>
  <c r="J117" i="7" s="1"/>
  <c r="Y116" i="9" s="1"/>
  <c r="G105" i="7"/>
  <c r="I105" i="7" s="1"/>
  <c r="J105" i="7" s="1"/>
  <c r="Y104" i="9" s="1"/>
  <c r="G93" i="7"/>
  <c r="I93" i="7" s="1"/>
  <c r="J93" i="7" s="1"/>
  <c r="Y92" i="9" s="1"/>
  <c r="W92" i="9" s="1"/>
  <c r="G81" i="7"/>
  <c r="I81" i="7" s="1"/>
  <c r="J81" i="7" s="1"/>
  <c r="Y80" i="9" s="1"/>
  <c r="G69" i="7"/>
  <c r="I69" i="7" s="1"/>
  <c r="J69" i="7" s="1"/>
  <c r="Y68" i="9" s="1"/>
  <c r="W68" i="9" s="1"/>
  <c r="G57" i="7"/>
  <c r="I57" i="7" s="1"/>
  <c r="J57" i="7" s="1"/>
  <c r="Y56" i="9" s="1"/>
  <c r="G45" i="7"/>
  <c r="I45" i="7" s="1"/>
  <c r="J45" i="7" s="1"/>
  <c r="Y44" i="9" s="1"/>
  <c r="W44" i="9" s="1"/>
  <c r="G33" i="7"/>
  <c r="I33" i="7" s="1"/>
  <c r="J33" i="7" s="1"/>
  <c r="Y32" i="9" s="1"/>
  <c r="W32" i="9" s="1"/>
  <c r="G21" i="7"/>
  <c r="I21" i="7" s="1"/>
  <c r="J21" i="7" s="1"/>
  <c r="Y20" i="9" s="1"/>
  <c r="W20" i="9" s="1"/>
  <c r="G9" i="7"/>
  <c r="I9" i="7" s="1"/>
  <c r="J9" i="7" s="1"/>
  <c r="Y8" i="9" s="1"/>
  <c r="W8" i="9" s="1"/>
  <c r="G476" i="7"/>
  <c r="I476" i="7" s="1"/>
  <c r="J476" i="7" s="1"/>
  <c r="Y475" i="9" s="1"/>
  <c r="W475" i="9" s="1"/>
  <c r="G464" i="7"/>
  <c r="I464" i="7" s="1"/>
  <c r="J464" i="7" s="1"/>
  <c r="Y463" i="9" s="1"/>
  <c r="G440" i="7"/>
  <c r="I440" i="7" s="1"/>
  <c r="J440" i="7" s="1"/>
  <c r="Y439" i="9" s="1"/>
  <c r="G428" i="7"/>
  <c r="I428" i="7" s="1"/>
  <c r="J428" i="7" s="1"/>
  <c r="Y427" i="9" s="1"/>
  <c r="W427" i="9" s="1"/>
  <c r="G416" i="7"/>
  <c r="I416" i="7" s="1"/>
  <c r="J416" i="7" s="1"/>
  <c r="Y415" i="9" s="1"/>
  <c r="G404" i="7"/>
  <c r="I404" i="7" s="1"/>
  <c r="J404" i="7" s="1"/>
  <c r="Y403" i="9" s="1"/>
  <c r="G392" i="7"/>
  <c r="I392" i="7" s="1"/>
  <c r="J392" i="7" s="1"/>
  <c r="Y391" i="9" s="1"/>
  <c r="G368" i="7"/>
  <c r="I368" i="7" s="1"/>
  <c r="J368" i="7" s="1"/>
  <c r="Y367" i="9" s="1"/>
  <c r="G356" i="7"/>
  <c r="I356" i="7" s="1"/>
  <c r="J356" i="7" s="1"/>
  <c r="Y355" i="9" s="1"/>
  <c r="G344" i="7"/>
  <c r="I344" i="7" s="1"/>
  <c r="J344" i="7" s="1"/>
  <c r="Y343" i="9" s="1"/>
  <c r="G332" i="7"/>
  <c r="I332" i="7" s="1"/>
  <c r="J332" i="7" s="1"/>
  <c r="Y331" i="9" s="1"/>
  <c r="G320" i="7"/>
  <c r="I320" i="7" s="1"/>
  <c r="J320" i="7" s="1"/>
  <c r="Y319" i="9" s="1"/>
  <c r="G296" i="7"/>
  <c r="I296" i="7" s="1"/>
  <c r="J296" i="7" s="1"/>
  <c r="Y295" i="9" s="1"/>
  <c r="G284" i="7"/>
  <c r="I284" i="7" s="1"/>
  <c r="J284" i="7" s="1"/>
  <c r="Y283" i="9" s="1"/>
  <c r="G272" i="7"/>
  <c r="I272" i="7" s="1"/>
  <c r="J272" i="7" s="1"/>
  <c r="Y271" i="9" s="1"/>
  <c r="G260" i="7"/>
  <c r="I260" i="7" s="1"/>
  <c r="J260" i="7" s="1"/>
  <c r="Y259" i="9" s="1"/>
  <c r="G248" i="7"/>
  <c r="I248" i="7" s="1"/>
  <c r="J248" i="7" s="1"/>
  <c r="Y247" i="9" s="1"/>
  <c r="W247" i="9" s="1"/>
  <c r="G188" i="7"/>
  <c r="I188" i="7" s="1"/>
  <c r="J188" i="7" s="1"/>
  <c r="Y187" i="9" s="1"/>
  <c r="G176" i="7"/>
  <c r="I176" i="7" s="1"/>
  <c r="J176" i="7" s="1"/>
  <c r="Y175" i="9" s="1"/>
  <c r="G164" i="7"/>
  <c r="I164" i="7" s="1"/>
  <c r="J164" i="7" s="1"/>
  <c r="Y163" i="9" s="1"/>
  <c r="G152" i="7"/>
  <c r="I152" i="7" s="1"/>
  <c r="J152" i="7" s="1"/>
  <c r="Y151" i="9" s="1"/>
  <c r="G140" i="7"/>
  <c r="I140" i="7" s="1"/>
  <c r="J140" i="7" s="1"/>
  <c r="Y139" i="9" s="1"/>
  <c r="W139" i="9" s="1"/>
  <c r="G128" i="7"/>
  <c r="I128" i="7" s="1"/>
  <c r="J128" i="7" s="1"/>
  <c r="Y127" i="9" s="1"/>
  <c r="W127" i="9" s="1"/>
  <c r="G116" i="7"/>
  <c r="I116" i="7" s="1"/>
  <c r="J116" i="7" s="1"/>
  <c r="Y115" i="9" s="1"/>
  <c r="G104" i="7"/>
  <c r="I104" i="7" s="1"/>
  <c r="J104" i="7" s="1"/>
  <c r="Y103" i="9" s="1"/>
  <c r="G92" i="7"/>
  <c r="I92" i="7" s="1"/>
  <c r="J92" i="7" s="1"/>
  <c r="Y91" i="9" s="1"/>
  <c r="W91" i="9" s="1"/>
  <c r="G80" i="7"/>
  <c r="I80" i="7" s="1"/>
  <c r="J80" i="7" s="1"/>
  <c r="Y79" i="9" s="1"/>
  <c r="G68" i="7"/>
  <c r="I68" i="7" s="1"/>
  <c r="J68" i="7" s="1"/>
  <c r="Y67" i="9" s="1"/>
  <c r="W67" i="9" s="1"/>
  <c r="G56" i="7"/>
  <c r="I56" i="7" s="1"/>
  <c r="J56" i="7" s="1"/>
  <c r="Y55" i="9" s="1"/>
  <c r="W55" i="9" s="1"/>
  <c r="G44" i="7"/>
  <c r="I44" i="7" s="1"/>
  <c r="J44" i="7" s="1"/>
  <c r="Y43" i="9" s="1"/>
  <c r="W43" i="9" s="1"/>
  <c r="G32" i="7"/>
  <c r="I32" i="7" s="1"/>
  <c r="J32" i="7" s="1"/>
  <c r="Y31" i="9" s="1"/>
  <c r="W31" i="9" s="1"/>
  <c r="G20" i="7"/>
  <c r="I20" i="7" s="1"/>
  <c r="J20" i="7" s="1"/>
  <c r="Y19" i="9" s="1"/>
  <c r="W19" i="9" s="1"/>
  <c r="G8" i="7"/>
  <c r="I8" i="7" s="1"/>
  <c r="J8" i="7" s="1"/>
  <c r="Y7" i="9" s="1"/>
  <c r="W7" i="9" s="1"/>
  <c r="G162" i="7"/>
  <c r="I162" i="7" s="1"/>
  <c r="J162" i="7" s="1"/>
  <c r="Y161" i="9" s="1"/>
  <c r="W161" i="9" s="1"/>
  <c r="G114" i="7"/>
  <c r="I114" i="7" s="1"/>
  <c r="J114" i="7" s="1"/>
  <c r="Y113" i="9" s="1"/>
  <c r="G66" i="7"/>
  <c r="I66" i="7" s="1"/>
  <c r="J66" i="7" s="1"/>
  <c r="Y65" i="9" s="1"/>
  <c r="W65" i="9" s="1"/>
  <c r="G767" i="7"/>
  <c r="I767" i="7" s="1"/>
  <c r="J767" i="7" s="1"/>
  <c r="Y766" i="9" s="1"/>
  <c r="W766" i="9" s="1"/>
  <c r="G755" i="7"/>
  <c r="I755" i="7" s="1"/>
  <c r="J755" i="7" s="1"/>
  <c r="Y754" i="9" s="1"/>
  <c r="G743" i="7"/>
  <c r="I743" i="7" s="1"/>
  <c r="J743" i="7" s="1"/>
  <c r="Y742" i="9" s="1"/>
  <c r="G731" i="7"/>
  <c r="I731" i="7" s="1"/>
  <c r="J731" i="7" s="1"/>
  <c r="Y730" i="9" s="1"/>
  <c r="G719" i="7"/>
  <c r="I719" i="7" s="1"/>
  <c r="J719" i="7" s="1"/>
  <c r="Y718" i="9" s="1"/>
  <c r="G707" i="7"/>
  <c r="I707" i="7" s="1"/>
  <c r="J707" i="7" s="1"/>
  <c r="Y706" i="9" s="1"/>
  <c r="G695" i="7"/>
  <c r="I695" i="7" s="1"/>
  <c r="J695" i="7" s="1"/>
  <c r="Y694" i="9" s="1"/>
  <c r="G683" i="7"/>
  <c r="I683" i="7" s="1"/>
  <c r="J683" i="7" s="1"/>
  <c r="Y682" i="9" s="1"/>
  <c r="G671" i="7"/>
  <c r="I671" i="7" s="1"/>
  <c r="J671" i="7" s="1"/>
  <c r="Y670" i="9" s="1"/>
  <c r="G659" i="7"/>
  <c r="I659" i="7" s="1"/>
  <c r="J659" i="7" s="1"/>
  <c r="Y658" i="9" s="1"/>
  <c r="G647" i="7"/>
  <c r="I647" i="7" s="1"/>
  <c r="J647" i="7" s="1"/>
  <c r="Y646" i="9" s="1"/>
  <c r="G635" i="7"/>
  <c r="I635" i="7" s="1"/>
  <c r="J635" i="7" s="1"/>
  <c r="Y634" i="9" s="1"/>
  <c r="W634" i="9" s="1"/>
  <c r="G623" i="7"/>
  <c r="I623" i="7" s="1"/>
  <c r="J623" i="7" s="1"/>
  <c r="Y622" i="9" s="1"/>
  <c r="G611" i="7"/>
  <c r="I611" i="7" s="1"/>
  <c r="J611" i="7" s="1"/>
  <c r="Y610" i="9" s="1"/>
  <c r="G599" i="7"/>
  <c r="I599" i="7" s="1"/>
  <c r="J599" i="7" s="1"/>
  <c r="Y598" i="9" s="1"/>
  <c r="G587" i="7"/>
  <c r="I587" i="7" s="1"/>
  <c r="J587" i="7" s="1"/>
  <c r="Y586" i="9" s="1"/>
  <c r="W586" i="9" s="1"/>
  <c r="G575" i="7"/>
  <c r="I575" i="7" s="1"/>
  <c r="J575" i="7" s="1"/>
  <c r="Y574" i="9" s="1"/>
  <c r="G563" i="7"/>
  <c r="I563" i="7" s="1"/>
  <c r="J563" i="7" s="1"/>
  <c r="Y562" i="9" s="1"/>
  <c r="G551" i="7"/>
  <c r="I551" i="7" s="1"/>
  <c r="J551" i="7" s="1"/>
  <c r="Y550" i="9" s="1"/>
  <c r="G539" i="7"/>
  <c r="I539" i="7" s="1"/>
  <c r="J539" i="7" s="1"/>
  <c r="Y538" i="9" s="1"/>
  <c r="G527" i="7"/>
  <c r="I527" i="7" s="1"/>
  <c r="J527" i="7" s="1"/>
  <c r="Y526" i="9" s="1"/>
  <c r="G515" i="7"/>
  <c r="I515" i="7" s="1"/>
  <c r="J515" i="7" s="1"/>
  <c r="Y514" i="9" s="1"/>
  <c r="G503" i="7"/>
  <c r="I503" i="7" s="1"/>
  <c r="J503" i="7" s="1"/>
  <c r="Y502" i="9" s="1"/>
  <c r="G491" i="7"/>
  <c r="I491" i="7" s="1"/>
  <c r="J491" i="7" s="1"/>
  <c r="Y490" i="9" s="1"/>
  <c r="G479" i="7"/>
  <c r="I479" i="7" s="1"/>
  <c r="J479" i="7" s="1"/>
  <c r="Y478" i="9" s="1"/>
  <c r="W478" i="9" s="1"/>
  <c r="G467" i="7"/>
  <c r="I467" i="7" s="1"/>
  <c r="J467" i="7" s="1"/>
  <c r="Y466" i="9" s="1"/>
  <c r="G455" i="7"/>
  <c r="I455" i="7" s="1"/>
  <c r="J455" i="7" s="1"/>
  <c r="Y454" i="9" s="1"/>
  <c r="W454" i="9" s="1"/>
  <c r="G443" i="7"/>
  <c r="I443" i="7" s="1"/>
  <c r="J443" i="7" s="1"/>
  <c r="Y442" i="9" s="1"/>
  <c r="G431" i="7"/>
  <c r="I431" i="7" s="1"/>
  <c r="J431" i="7" s="1"/>
  <c r="Y430" i="9" s="1"/>
  <c r="G419" i="7"/>
  <c r="I419" i="7" s="1"/>
  <c r="J419" i="7" s="1"/>
  <c r="Y418" i="9" s="1"/>
  <c r="W418" i="9" s="1"/>
  <c r="G407" i="7"/>
  <c r="I407" i="7" s="1"/>
  <c r="J407" i="7" s="1"/>
  <c r="Y406" i="9" s="1"/>
  <c r="G395" i="7"/>
  <c r="I395" i="7" s="1"/>
  <c r="J395" i="7" s="1"/>
  <c r="Y394" i="9" s="1"/>
  <c r="G383" i="7"/>
  <c r="I383" i="7" s="1"/>
  <c r="J383" i="7" s="1"/>
  <c r="Y382" i="9" s="1"/>
  <c r="G371" i="7"/>
  <c r="I371" i="7" s="1"/>
  <c r="J371" i="7" s="1"/>
  <c r="Y370" i="9" s="1"/>
  <c r="G359" i="7"/>
  <c r="I359" i="7" s="1"/>
  <c r="J359" i="7" s="1"/>
  <c r="Y358" i="9" s="1"/>
  <c r="G347" i="7"/>
  <c r="I347" i="7" s="1"/>
  <c r="J347" i="7" s="1"/>
  <c r="Y346" i="9" s="1"/>
  <c r="G335" i="7"/>
  <c r="I335" i="7" s="1"/>
  <c r="J335" i="7" s="1"/>
  <c r="Y334" i="9" s="1"/>
  <c r="G323" i="7"/>
  <c r="I323" i="7" s="1"/>
  <c r="J323" i="7" s="1"/>
  <c r="Y322" i="9" s="1"/>
  <c r="G311" i="7"/>
  <c r="I311" i="7" s="1"/>
  <c r="J311" i="7" s="1"/>
  <c r="Y310" i="9" s="1"/>
  <c r="G299" i="7"/>
  <c r="I299" i="7" s="1"/>
  <c r="J299" i="7" s="1"/>
  <c r="Y298" i="9" s="1"/>
  <c r="G287" i="7"/>
  <c r="I287" i="7" s="1"/>
  <c r="J287" i="7" s="1"/>
  <c r="Y286" i="9" s="1"/>
  <c r="G275" i="7"/>
  <c r="I275" i="7" s="1"/>
  <c r="J275" i="7" s="1"/>
  <c r="Y274" i="9" s="1"/>
  <c r="G263" i="7"/>
  <c r="I263" i="7" s="1"/>
  <c r="J263" i="7" s="1"/>
  <c r="Y262" i="9" s="1"/>
  <c r="G251" i="7"/>
  <c r="I251" i="7" s="1"/>
  <c r="J251" i="7" s="1"/>
  <c r="Y250" i="9" s="1"/>
  <c r="G239" i="7"/>
  <c r="I239" i="7" s="1"/>
  <c r="J239" i="7" s="1"/>
  <c r="Y238" i="9" s="1"/>
  <c r="G227" i="7"/>
  <c r="I227" i="7" s="1"/>
  <c r="J227" i="7" s="1"/>
  <c r="Y226" i="9" s="1"/>
  <c r="W226" i="9" s="1"/>
  <c r="G215" i="7"/>
  <c r="I215" i="7" s="1"/>
  <c r="J215" i="7" s="1"/>
  <c r="Y214" i="9" s="1"/>
  <c r="G203" i="7"/>
  <c r="I203" i="7" s="1"/>
  <c r="J203" i="7" s="1"/>
  <c r="Y202" i="9" s="1"/>
  <c r="G191" i="7"/>
  <c r="I191" i="7" s="1"/>
  <c r="J191" i="7" s="1"/>
  <c r="Y190" i="9" s="1"/>
  <c r="G167" i="7"/>
  <c r="I167" i="7" s="1"/>
  <c r="J167" i="7" s="1"/>
  <c r="Y166" i="9" s="1"/>
  <c r="G155" i="7"/>
  <c r="I155" i="7" s="1"/>
  <c r="J155" i="7" s="1"/>
  <c r="Y154" i="9" s="1"/>
  <c r="G143" i="7"/>
  <c r="I143" i="7" s="1"/>
  <c r="J143" i="7" s="1"/>
  <c r="Y142" i="9" s="1"/>
  <c r="G119" i="7"/>
  <c r="I119" i="7" s="1"/>
  <c r="J119" i="7" s="1"/>
  <c r="Y118" i="9" s="1"/>
  <c r="W118" i="9" s="1"/>
  <c r="G107" i="7"/>
  <c r="I107" i="7" s="1"/>
  <c r="J107" i="7" s="1"/>
  <c r="Y106" i="9" s="1"/>
  <c r="G95" i="7"/>
  <c r="I95" i="7" s="1"/>
  <c r="J95" i="7" s="1"/>
  <c r="Y94" i="9" s="1"/>
  <c r="G71" i="7"/>
  <c r="I71" i="7" s="1"/>
  <c r="J71" i="7" s="1"/>
  <c r="Y70" i="9" s="1"/>
  <c r="W70" i="9" s="1"/>
  <c r="G59" i="7"/>
  <c r="I59" i="7" s="1"/>
  <c r="J59" i="7" s="1"/>
  <c r="Y58" i="9" s="1"/>
  <c r="G47" i="7"/>
  <c r="I47" i="7" s="1"/>
  <c r="J47" i="7" s="1"/>
  <c r="Y46" i="9" s="1"/>
  <c r="W46" i="9" s="1"/>
  <c r="G23" i="7"/>
  <c r="I23" i="7" s="1"/>
  <c r="J23" i="7" s="1"/>
  <c r="Y22" i="9" s="1"/>
  <c r="W22" i="9" s="1"/>
  <c r="G11" i="7"/>
  <c r="I11" i="7" s="1"/>
  <c r="J11" i="7" s="1"/>
  <c r="Y10" i="9" s="1"/>
  <c r="W10" i="9" s="1"/>
  <c r="G766" i="7"/>
  <c r="I766" i="7" s="1"/>
  <c r="J766" i="7" s="1"/>
  <c r="Y765" i="9" s="1"/>
  <c r="G754" i="7"/>
  <c r="G742" i="7"/>
  <c r="I742" i="7" s="1"/>
  <c r="J742" i="7" s="1"/>
  <c r="Y741" i="9" s="1"/>
  <c r="G730" i="7"/>
  <c r="G718" i="7"/>
  <c r="I718" i="7" s="1"/>
  <c r="J718" i="7" s="1"/>
  <c r="Y717" i="9" s="1"/>
  <c r="G706" i="7"/>
  <c r="I706" i="7" s="1"/>
  <c r="J706" i="7" s="1"/>
  <c r="Y705" i="9" s="1"/>
  <c r="G694" i="7"/>
  <c r="I694" i="7" s="1"/>
  <c r="J694" i="7" s="1"/>
  <c r="Y693" i="9" s="1"/>
  <c r="G682" i="7"/>
  <c r="I682" i="7" s="1"/>
  <c r="J682" i="7" s="1"/>
  <c r="Y681" i="9" s="1"/>
  <c r="G670" i="7"/>
  <c r="I670" i="7" s="1"/>
  <c r="J670" i="7" s="1"/>
  <c r="Y669" i="9" s="1"/>
  <c r="G658" i="7"/>
  <c r="I658" i="7" s="1"/>
  <c r="J658" i="7" s="1"/>
  <c r="Y657" i="9" s="1"/>
  <c r="G646" i="7"/>
  <c r="I646" i="7" s="1"/>
  <c r="J646" i="7" s="1"/>
  <c r="Y645" i="9" s="1"/>
  <c r="G634" i="7"/>
  <c r="I634" i="7" s="1"/>
  <c r="J634" i="7" s="1"/>
  <c r="Y633" i="9" s="1"/>
  <c r="G622" i="7"/>
  <c r="I622" i="7" s="1"/>
  <c r="J622" i="7" s="1"/>
  <c r="Y621" i="9" s="1"/>
  <c r="G610" i="7"/>
  <c r="I610" i="7" s="1"/>
  <c r="J610" i="7" s="1"/>
  <c r="Y609" i="9" s="1"/>
  <c r="G598" i="7"/>
  <c r="I598" i="7" s="1"/>
  <c r="J598" i="7" s="1"/>
  <c r="Y597" i="9" s="1"/>
  <c r="W597" i="9" s="1"/>
  <c r="G586" i="7"/>
  <c r="I586" i="7" s="1"/>
  <c r="J586" i="7" s="1"/>
  <c r="Y585" i="9" s="1"/>
  <c r="G574" i="7"/>
  <c r="I574" i="7" s="1"/>
  <c r="J574" i="7" s="1"/>
  <c r="Y573" i="9" s="1"/>
  <c r="G562" i="7"/>
  <c r="I562" i="7" s="1"/>
  <c r="J562" i="7" s="1"/>
  <c r="Y561" i="9" s="1"/>
  <c r="G550" i="7"/>
  <c r="I550" i="7" s="1"/>
  <c r="J550" i="7" s="1"/>
  <c r="Y549" i="9" s="1"/>
  <c r="G538" i="7"/>
  <c r="I538" i="7" s="1"/>
  <c r="J538" i="7" s="1"/>
  <c r="Y537" i="9" s="1"/>
  <c r="W537" i="9" s="1"/>
  <c r="G526" i="7"/>
  <c r="I526" i="7" s="1"/>
  <c r="J526" i="7" s="1"/>
  <c r="Y525" i="9" s="1"/>
  <c r="G514" i="7"/>
  <c r="I514" i="7" s="1"/>
  <c r="J514" i="7" s="1"/>
  <c r="Y513" i="9" s="1"/>
  <c r="G502" i="7"/>
  <c r="I502" i="7" s="1"/>
  <c r="J502" i="7" s="1"/>
  <c r="Y501" i="9" s="1"/>
  <c r="G490" i="7"/>
  <c r="I490" i="7" s="1"/>
  <c r="J490" i="7" s="1"/>
  <c r="Y489" i="9" s="1"/>
  <c r="W489" i="9" s="1"/>
  <c r="G478" i="7"/>
  <c r="I478" i="7" s="1"/>
  <c r="J478" i="7" s="1"/>
  <c r="Y477" i="9" s="1"/>
  <c r="G466" i="7"/>
  <c r="I466" i="7" s="1"/>
  <c r="J466" i="7" s="1"/>
  <c r="Y465" i="9" s="1"/>
  <c r="G454" i="7"/>
  <c r="I454" i="7" s="1"/>
  <c r="J454" i="7" s="1"/>
  <c r="Y453" i="9" s="1"/>
  <c r="G442" i="7"/>
  <c r="I442" i="7" s="1"/>
  <c r="J442" i="7" s="1"/>
  <c r="Y441" i="9" s="1"/>
  <c r="G430" i="7"/>
  <c r="I430" i="7" s="1"/>
  <c r="J430" i="7" s="1"/>
  <c r="Y429" i="9" s="1"/>
  <c r="W429" i="9" s="1"/>
  <c r="G418" i="7"/>
  <c r="I418" i="7" s="1"/>
  <c r="J418" i="7" s="1"/>
  <c r="Y417" i="9" s="1"/>
  <c r="G406" i="7"/>
  <c r="I406" i="7" s="1"/>
  <c r="J406" i="7" s="1"/>
  <c r="Y405" i="9" s="1"/>
  <c r="G394" i="7"/>
  <c r="I394" i="7" s="1"/>
  <c r="J394" i="7" s="1"/>
  <c r="Y393" i="9" s="1"/>
  <c r="G382" i="7"/>
  <c r="I382" i="7" s="1"/>
  <c r="J382" i="7" s="1"/>
  <c r="Y381" i="9" s="1"/>
  <c r="G370" i="7"/>
  <c r="I370" i="7" s="1"/>
  <c r="J370" i="7" s="1"/>
  <c r="Y369" i="9" s="1"/>
  <c r="G358" i="7"/>
  <c r="I358" i="7" s="1"/>
  <c r="J358" i="7" s="1"/>
  <c r="Y357" i="9" s="1"/>
  <c r="G346" i="7"/>
  <c r="I346" i="7" s="1"/>
  <c r="J346" i="7" s="1"/>
  <c r="Y345" i="9" s="1"/>
  <c r="G334" i="7"/>
  <c r="I334" i="7" s="1"/>
  <c r="J334" i="7" s="1"/>
  <c r="Y333" i="9" s="1"/>
  <c r="G322" i="7"/>
  <c r="I322" i="7" s="1"/>
  <c r="J322" i="7" s="1"/>
  <c r="Y321" i="9" s="1"/>
  <c r="G310" i="7"/>
  <c r="I310" i="7" s="1"/>
  <c r="J310" i="7" s="1"/>
  <c r="Y309" i="9" s="1"/>
  <c r="W309" i="9" s="1"/>
  <c r="G298" i="7"/>
  <c r="I298" i="7" s="1"/>
  <c r="J298" i="7" s="1"/>
  <c r="Y297" i="9" s="1"/>
  <c r="G286" i="7"/>
  <c r="I286" i="7" s="1"/>
  <c r="J286" i="7" s="1"/>
  <c r="Y285" i="9" s="1"/>
  <c r="W285" i="9" s="1"/>
  <c r="G274" i="7"/>
  <c r="I274" i="7" s="1"/>
  <c r="J274" i="7" s="1"/>
  <c r="Y273" i="9" s="1"/>
  <c r="G262" i="7"/>
  <c r="I262" i="7" s="1"/>
  <c r="J262" i="7" s="1"/>
  <c r="Y261" i="9" s="1"/>
  <c r="G250" i="7"/>
  <c r="I250" i="7" s="1"/>
  <c r="J250" i="7" s="1"/>
  <c r="Y249" i="9" s="1"/>
  <c r="G238" i="7"/>
  <c r="I238" i="7" s="1"/>
  <c r="J238" i="7" s="1"/>
  <c r="Y237" i="9" s="1"/>
  <c r="W237" i="9" s="1"/>
  <c r="G226" i="7"/>
  <c r="I226" i="7" s="1"/>
  <c r="J226" i="7" s="1"/>
  <c r="Y225" i="9" s="1"/>
  <c r="G214" i="7"/>
  <c r="I214" i="7" s="1"/>
  <c r="J214" i="7" s="1"/>
  <c r="Y213" i="9" s="1"/>
  <c r="W213" i="9" s="1"/>
  <c r="G202" i="7"/>
  <c r="I202" i="7" s="1"/>
  <c r="J202" i="7" s="1"/>
  <c r="Y201" i="9" s="1"/>
  <c r="G190" i="7"/>
  <c r="I190" i="7" s="1"/>
  <c r="J190" i="7" s="1"/>
  <c r="Y189" i="9" s="1"/>
  <c r="W189" i="9" s="1"/>
  <c r="G178" i="7"/>
  <c r="I178" i="7" s="1"/>
  <c r="J178" i="7" s="1"/>
  <c r="Y177" i="9" s="1"/>
  <c r="G166" i="7"/>
  <c r="I166" i="7" s="1"/>
  <c r="J166" i="7" s="1"/>
  <c r="Y165" i="9" s="1"/>
  <c r="G154" i="7"/>
  <c r="I154" i="7" s="1"/>
  <c r="J154" i="7" s="1"/>
  <c r="Y153" i="9" s="1"/>
  <c r="G142" i="7"/>
  <c r="I142" i="7" s="1"/>
  <c r="J142" i="7" s="1"/>
  <c r="Y141" i="9" s="1"/>
  <c r="W141" i="9" s="1"/>
  <c r="G130" i="7"/>
  <c r="I130" i="7" s="1"/>
  <c r="J130" i="7" s="1"/>
  <c r="Y129" i="9" s="1"/>
  <c r="W129" i="9" s="1"/>
  <c r="G118" i="7"/>
  <c r="I118" i="7" s="1"/>
  <c r="J118" i="7" s="1"/>
  <c r="Y117" i="9" s="1"/>
  <c r="G106" i="7"/>
  <c r="I106" i="7" s="1"/>
  <c r="J106" i="7" s="1"/>
  <c r="Y105" i="9" s="1"/>
  <c r="G94" i="7"/>
  <c r="I94" i="7" s="1"/>
  <c r="J94" i="7" s="1"/>
  <c r="Y93" i="9" s="1"/>
  <c r="W93" i="9" s="1"/>
  <c r="G82" i="7"/>
  <c r="I82" i="7" s="1"/>
  <c r="J82" i="7" s="1"/>
  <c r="Y81" i="9" s="1"/>
  <c r="G70" i="7"/>
  <c r="I70" i="7" s="1"/>
  <c r="J70" i="7" s="1"/>
  <c r="Y69" i="9" s="1"/>
  <c r="W69" i="9" s="1"/>
  <c r="G58" i="7"/>
  <c r="I58" i="7" s="1"/>
  <c r="J58" i="7" s="1"/>
  <c r="Y57" i="9" s="1"/>
  <c r="G46" i="7"/>
  <c r="I46" i="7" s="1"/>
  <c r="J46" i="7" s="1"/>
  <c r="Y45" i="9" s="1"/>
  <c r="W45" i="9" s="1"/>
  <c r="G34" i="7"/>
  <c r="I34" i="7" s="1"/>
  <c r="J34" i="7" s="1"/>
  <c r="Y33" i="9" s="1"/>
  <c r="W33" i="9" s="1"/>
  <c r="G22" i="7"/>
  <c r="I22" i="7" s="1"/>
  <c r="J22" i="7" s="1"/>
  <c r="Y21" i="9" s="1"/>
  <c r="W21" i="9" s="1"/>
  <c r="G10" i="7"/>
  <c r="I10" i="7" s="1"/>
  <c r="J10" i="7" s="1"/>
  <c r="Y9" i="9" s="1"/>
  <c r="W9" i="9" s="1"/>
  <c r="G765" i="7"/>
  <c r="I765" i="7" s="1"/>
  <c r="J765" i="7" s="1"/>
  <c r="Y764" i="9" s="1"/>
  <c r="G753" i="7"/>
  <c r="G741" i="7"/>
  <c r="I741" i="7" s="1"/>
  <c r="J741" i="7" s="1"/>
  <c r="Y740" i="9" s="1"/>
  <c r="G729" i="7"/>
  <c r="I729" i="7" s="1"/>
  <c r="J729" i="7" s="1"/>
  <c r="Y728" i="9" s="1"/>
  <c r="G717" i="7"/>
  <c r="I717" i="7" s="1"/>
  <c r="J717" i="7" s="1"/>
  <c r="Y716" i="9" s="1"/>
  <c r="G705" i="7"/>
  <c r="I705" i="7" s="1"/>
  <c r="J705" i="7" s="1"/>
  <c r="Y704" i="9" s="1"/>
  <c r="G693" i="7"/>
  <c r="I693" i="7" s="1"/>
  <c r="J693" i="7" s="1"/>
  <c r="Y692" i="9" s="1"/>
  <c r="G681" i="7"/>
  <c r="I681" i="7" s="1"/>
  <c r="J681" i="7" s="1"/>
  <c r="Y680" i="9" s="1"/>
  <c r="G669" i="7"/>
  <c r="I669" i="7" s="1"/>
  <c r="J669" i="7" s="1"/>
  <c r="Y668" i="9" s="1"/>
  <c r="G657" i="7"/>
  <c r="I657" i="7" s="1"/>
  <c r="J657" i="7" s="1"/>
  <c r="Y656" i="9" s="1"/>
  <c r="G645" i="7"/>
  <c r="I645" i="7" s="1"/>
  <c r="J645" i="7" s="1"/>
  <c r="Y644" i="9" s="1"/>
  <c r="G633" i="7"/>
  <c r="I633" i="7" s="1"/>
  <c r="J633" i="7" s="1"/>
  <c r="Y632" i="9" s="1"/>
  <c r="G621" i="7"/>
  <c r="I621" i="7" s="1"/>
  <c r="J621" i="7" s="1"/>
  <c r="Y620" i="9" s="1"/>
  <c r="G609" i="7"/>
  <c r="I609" i="7" s="1"/>
  <c r="J609" i="7" s="1"/>
  <c r="Y608" i="9" s="1"/>
  <c r="G597" i="7"/>
  <c r="I597" i="7" s="1"/>
  <c r="J597" i="7" s="1"/>
  <c r="Y596" i="9" s="1"/>
  <c r="G585" i="7"/>
  <c r="I585" i="7" s="1"/>
  <c r="J585" i="7" s="1"/>
  <c r="Y584" i="9" s="1"/>
  <c r="G573" i="7"/>
  <c r="I573" i="7" s="1"/>
  <c r="J573" i="7" s="1"/>
  <c r="Y572" i="9" s="1"/>
  <c r="G561" i="7"/>
  <c r="I561" i="7" s="1"/>
  <c r="J561" i="7" s="1"/>
  <c r="Y560" i="9" s="1"/>
  <c r="G549" i="7"/>
  <c r="I549" i="7" s="1"/>
  <c r="J549" i="7" s="1"/>
  <c r="Y548" i="9" s="1"/>
  <c r="G537" i="7"/>
  <c r="I537" i="7" s="1"/>
  <c r="J537" i="7" s="1"/>
  <c r="Y536" i="9" s="1"/>
  <c r="G525" i="7"/>
  <c r="I525" i="7" s="1"/>
  <c r="J525" i="7" s="1"/>
  <c r="Y524" i="9" s="1"/>
  <c r="G513" i="7"/>
  <c r="I513" i="7" s="1"/>
  <c r="J513" i="7" s="1"/>
  <c r="Y512" i="9" s="1"/>
  <c r="G501" i="7"/>
  <c r="I501" i="7" s="1"/>
  <c r="J501" i="7" s="1"/>
  <c r="Y500" i="9" s="1"/>
  <c r="G489" i="7"/>
  <c r="I489" i="7" s="1"/>
  <c r="J489" i="7" s="1"/>
  <c r="Y488" i="9" s="1"/>
  <c r="G477" i="7"/>
  <c r="I477" i="7" s="1"/>
  <c r="J477" i="7" s="1"/>
  <c r="Y476" i="9" s="1"/>
  <c r="G465" i="7"/>
  <c r="I465" i="7" s="1"/>
  <c r="J465" i="7" s="1"/>
  <c r="Y464" i="9" s="1"/>
  <c r="G453" i="7"/>
  <c r="I453" i="7" s="1"/>
  <c r="J453" i="7" s="1"/>
  <c r="Y452" i="9" s="1"/>
  <c r="W452" i="9" s="1"/>
  <c r="G441" i="7"/>
  <c r="I441" i="7" s="1"/>
  <c r="J441" i="7" s="1"/>
  <c r="Y440" i="9" s="1"/>
  <c r="G429" i="7"/>
  <c r="I429" i="7" s="1"/>
  <c r="J429" i="7" s="1"/>
  <c r="Y428" i="9" s="1"/>
  <c r="W428" i="9" s="1"/>
  <c r="G417" i="7"/>
  <c r="I417" i="7" s="1"/>
  <c r="J417" i="7" s="1"/>
  <c r="Y416" i="9" s="1"/>
  <c r="G405" i="7"/>
  <c r="I405" i="7" s="1"/>
  <c r="J405" i="7" s="1"/>
  <c r="Y404" i="9" s="1"/>
  <c r="G393" i="7"/>
  <c r="I393" i="7" s="1"/>
  <c r="J393" i="7" s="1"/>
  <c r="Y392" i="9" s="1"/>
  <c r="G381" i="7"/>
  <c r="I381" i="7" s="1"/>
  <c r="J381" i="7" s="1"/>
  <c r="Y380" i="9" s="1"/>
  <c r="G369" i="7"/>
  <c r="I369" i="7" s="1"/>
  <c r="J369" i="7" s="1"/>
  <c r="Y368" i="9" s="1"/>
  <c r="G357" i="7"/>
  <c r="I357" i="7" s="1"/>
  <c r="J357" i="7" s="1"/>
  <c r="Y356" i="9" s="1"/>
  <c r="G345" i="7"/>
  <c r="I345" i="7" s="1"/>
  <c r="J345" i="7" s="1"/>
  <c r="Y344" i="9" s="1"/>
  <c r="G333" i="7"/>
  <c r="I333" i="7" s="1"/>
  <c r="J333" i="7" s="1"/>
  <c r="Y332" i="9" s="1"/>
  <c r="G321" i="7"/>
  <c r="I321" i="7" s="1"/>
  <c r="J321" i="7" s="1"/>
  <c r="Y320" i="9" s="1"/>
  <c r="G309" i="7"/>
  <c r="I309" i="7" s="1"/>
  <c r="J309" i="7" s="1"/>
  <c r="Y308" i="9" s="1"/>
  <c r="G297" i="7"/>
  <c r="I297" i="7" s="1"/>
  <c r="J297" i="7" s="1"/>
  <c r="Y296" i="9" s="1"/>
  <c r="W296" i="9" s="1"/>
  <c r="G285" i="7"/>
  <c r="I285" i="7" s="1"/>
  <c r="J285" i="7" s="1"/>
  <c r="Y284" i="9" s="1"/>
  <c r="G273" i="7"/>
  <c r="I273" i="7" s="1"/>
  <c r="J273" i="7" s="1"/>
  <c r="Y272" i="9" s="1"/>
  <c r="G261" i="7"/>
  <c r="I261" i="7" s="1"/>
  <c r="J261" i="7" s="1"/>
  <c r="Y260" i="9" s="1"/>
  <c r="G764" i="7"/>
  <c r="I764" i="7" s="1"/>
  <c r="J764" i="7" s="1"/>
  <c r="Y763" i="9" s="1"/>
  <c r="G752" i="7"/>
  <c r="I752" i="7" s="1"/>
  <c r="J752" i="7" s="1"/>
  <c r="Y751" i="9" s="1"/>
  <c r="W751" i="9" s="1"/>
  <c r="G740" i="7"/>
  <c r="I740" i="7" s="1"/>
  <c r="J740" i="7" s="1"/>
  <c r="Y739" i="9" s="1"/>
  <c r="W739" i="9" s="1"/>
  <c r="G728" i="7"/>
  <c r="I728" i="7" s="1"/>
  <c r="J728" i="7" s="1"/>
  <c r="Y727" i="9" s="1"/>
  <c r="G716" i="7"/>
  <c r="I716" i="7" s="1"/>
  <c r="J716" i="7" s="1"/>
  <c r="Y715" i="9" s="1"/>
  <c r="G704" i="7"/>
  <c r="I704" i="7" s="1"/>
  <c r="J704" i="7" s="1"/>
  <c r="Y703" i="9" s="1"/>
  <c r="G692" i="7"/>
  <c r="I692" i="7" s="1"/>
  <c r="J692" i="7" s="1"/>
  <c r="Y691" i="9" s="1"/>
  <c r="G680" i="7"/>
  <c r="I680" i="7" s="1"/>
  <c r="J680" i="7" s="1"/>
  <c r="Y679" i="9" s="1"/>
  <c r="G668" i="7"/>
  <c r="I668" i="7" s="1"/>
  <c r="J668" i="7" s="1"/>
  <c r="Y667" i="9" s="1"/>
  <c r="G656" i="7"/>
  <c r="I656" i="7" s="1"/>
  <c r="J656" i="7" s="1"/>
  <c r="Y655" i="9" s="1"/>
  <c r="G644" i="7"/>
  <c r="I644" i="7" s="1"/>
  <c r="J644" i="7" s="1"/>
  <c r="Y643" i="9" s="1"/>
  <c r="G632" i="7"/>
  <c r="I632" i="7" s="1"/>
  <c r="J632" i="7" s="1"/>
  <c r="Y631" i="9" s="1"/>
  <c r="G620" i="7"/>
  <c r="I620" i="7" s="1"/>
  <c r="J620" i="7" s="1"/>
  <c r="Y619" i="9" s="1"/>
  <c r="G608" i="7"/>
  <c r="I608" i="7" s="1"/>
  <c r="J608" i="7" s="1"/>
  <c r="Y607" i="9" s="1"/>
  <c r="G596" i="7"/>
  <c r="I596" i="7" s="1"/>
  <c r="J596" i="7" s="1"/>
  <c r="Y595" i="9" s="1"/>
  <c r="W595" i="9" s="1"/>
  <c r="G584" i="7"/>
  <c r="I584" i="7" s="1"/>
  <c r="J584" i="7" s="1"/>
  <c r="Y583" i="9" s="1"/>
  <c r="G572" i="7"/>
  <c r="I572" i="7" s="1"/>
  <c r="J572" i="7" s="1"/>
  <c r="Y571" i="9" s="1"/>
  <c r="G560" i="7"/>
  <c r="I560" i="7" s="1"/>
  <c r="J560" i="7" s="1"/>
  <c r="Y559" i="9" s="1"/>
  <c r="G548" i="7"/>
  <c r="I548" i="7" s="1"/>
  <c r="J548" i="7" s="1"/>
  <c r="Y547" i="9" s="1"/>
  <c r="G536" i="7"/>
  <c r="I536" i="7" s="1"/>
  <c r="J536" i="7" s="1"/>
  <c r="Y535" i="9" s="1"/>
  <c r="G524" i="7"/>
  <c r="I524" i="7" s="1"/>
  <c r="J524" i="7" s="1"/>
  <c r="Y523" i="9" s="1"/>
  <c r="G512" i="7"/>
  <c r="I512" i="7" s="1"/>
  <c r="J512" i="7" s="1"/>
  <c r="Y511" i="9" s="1"/>
  <c r="G500" i="7"/>
  <c r="I500" i="7" s="1"/>
  <c r="J500" i="7" s="1"/>
  <c r="Y499" i="9" s="1"/>
  <c r="G488" i="7"/>
  <c r="I488" i="7" s="1"/>
  <c r="J488" i="7" s="1"/>
  <c r="Y487" i="9" s="1"/>
  <c r="G452" i="7"/>
  <c r="I452" i="7" s="1"/>
  <c r="J452" i="7" s="1"/>
  <c r="Y451" i="9" s="1"/>
  <c r="G380" i="7"/>
  <c r="I380" i="7" s="1"/>
  <c r="J380" i="7" s="1"/>
  <c r="Y379" i="9" s="1"/>
  <c r="G308" i="7"/>
  <c r="I308" i="7" s="1"/>
  <c r="J308" i="7" s="1"/>
  <c r="Y307" i="9" s="1"/>
  <c r="G236" i="7"/>
  <c r="I236" i="7" s="1"/>
  <c r="J236" i="7" s="1"/>
  <c r="Y235" i="9" s="1"/>
  <c r="G224" i="7"/>
  <c r="I224" i="7" s="1"/>
  <c r="J224" i="7" s="1"/>
  <c r="Y223" i="9" s="1"/>
  <c r="G212" i="7"/>
  <c r="I212" i="7" s="1"/>
  <c r="J212" i="7" s="1"/>
  <c r="Y211" i="9" s="1"/>
  <c r="W211" i="9" s="1"/>
  <c r="G200" i="7"/>
  <c r="I200" i="7" s="1"/>
  <c r="J200" i="7" s="1"/>
  <c r="Y199" i="9" s="1"/>
  <c r="G763" i="7"/>
  <c r="I763" i="7" s="1"/>
  <c r="J763" i="7" s="1"/>
  <c r="Y762" i="9" s="1"/>
  <c r="W762" i="9" s="1"/>
  <c r="G751" i="7"/>
  <c r="I751" i="7" s="1"/>
  <c r="J751" i="7" s="1"/>
  <c r="Y750" i="9" s="1"/>
  <c r="G739" i="7"/>
  <c r="I739" i="7" s="1"/>
  <c r="J739" i="7" s="1"/>
  <c r="Y738" i="9" s="1"/>
  <c r="G727" i="7"/>
  <c r="I727" i="7" s="1"/>
  <c r="J727" i="7" s="1"/>
  <c r="Y726" i="9" s="1"/>
  <c r="G715" i="7"/>
  <c r="I715" i="7" s="1"/>
  <c r="J715" i="7" s="1"/>
  <c r="Y714" i="9" s="1"/>
  <c r="G703" i="7"/>
  <c r="I703" i="7" s="1"/>
  <c r="J703" i="7" s="1"/>
  <c r="Y702" i="9" s="1"/>
  <c r="G691" i="7"/>
  <c r="I691" i="7" s="1"/>
  <c r="J691" i="7" s="1"/>
  <c r="Y690" i="9" s="1"/>
  <c r="G679" i="7"/>
  <c r="I679" i="7" s="1"/>
  <c r="J679" i="7" s="1"/>
  <c r="Y678" i="9" s="1"/>
  <c r="W678" i="9" s="1"/>
  <c r="G667" i="7"/>
  <c r="I667" i="7" s="1"/>
  <c r="J667" i="7" s="1"/>
  <c r="Y666" i="9" s="1"/>
  <c r="G655" i="7"/>
  <c r="I655" i="7" s="1"/>
  <c r="J655" i="7" s="1"/>
  <c r="Y654" i="9" s="1"/>
  <c r="W654" i="9" s="1"/>
  <c r="G643" i="7"/>
  <c r="I643" i="7" s="1"/>
  <c r="J643" i="7" s="1"/>
  <c r="Y642" i="9" s="1"/>
  <c r="G631" i="7"/>
  <c r="I631" i="7" s="1"/>
  <c r="J631" i="7" s="1"/>
  <c r="Y630" i="9" s="1"/>
  <c r="G619" i="7"/>
  <c r="I619" i="7" s="1"/>
  <c r="J619" i="7" s="1"/>
  <c r="Y618" i="9" s="1"/>
  <c r="G607" i="7"/>
  <c r="I607" i="7" s="1"/>
  <c r="J607" i="7" s="1"/>
  <c r="Y606" i="9" s="1"/>
  <c r="G595" i="7"/>
  <c r="I595" i="7" s="1"/>
  <c r="J595" i="7" s="1"/>
  <c r="Y594" i="9" s="1"/>
  <c r="G583" i="7"/>
  <c r="I583" i="7" s="1"/>
  <c r="J583" i="7" s="1"/>
  <c r="Y582" i="9" s="1"/>
  <c r="G571" i="7"/>
  <c r="I571" i="7" s="1"/>
  <c r="J571" i="7" s="1"/>
  <c r="Y570" i="9" s="1"/>
  <c r="G559" i="7"/>
  <c r="I559" i="7" s="1"/>
  <c r="J559" i="7" s="1"/>
  <c r="Y558" i="9" s="1"/>
  <c r="G547" i="7"/>
  <c r="I547" i="7" s="1"/>
  <c r="J547" i="7" s="1"/>
  <c r="Y546" i="9" s="1"/>
  <c r="G535" i="7"/>
  <c r="I535" i="7" s="1"/>
  <c r="J535" i="7" s="1"/>
  <c r="Y534" i="9" s="1"/>
  <c r="G523" i="7"/>
  <c r="I523" i="7" s="1"/>
  <c r="J523" i="7" s="1"/>
  <c r="Y522" i="9" s="1"/>
  <c r="G511" i="7"/>
  <c r="I511" i="7" s="1"/>
  <c r="J511" i="7" s="1"/>
  <c r="Y510" i="9" s="1"/>
  <c r="G499" i="7"/>
  <c r="I499" i="7" s="1"/>
  <c r="J499" i="7" s="1"/>
  <c r="Y498" i="9" s="1"/>
  <c r="G487" i="7"/>
  <c r="I487" i="7" s="1"/>
  <c r="J487" i="7" s="1"/>
  <c r="Y486" i="9" s="1"/>
  <c r="G475" i="7"/>
  <c r="I475" i="7" s="1"/>
  <c r="J475" i="7" s="1"/>
  <c r="Y474" i="9" s="1"/>
  <c r="G463" i="7"/>
  <c r="I463" i="7" s="1"/>
  <c r="J463" i="7" s="1"/>
  <c r="Y462" i="9" s="1"/>
  <c r="G451" i="7"/>
  <c r="I451" i="7" s="1"/>
  <c r="J451" i="7" s="1"/>
  <c r="Y450" i="9" s="1"/>
  <c r="G439" i="7"/>
  <c r="I439" i="7" s="1"/>
  <c r="J439" i="7" s="1"/>
  <c r="Y438" i="9" s="1"/>
  <c r="G427" i="7"/>
  <c r="I427" i="7" s="1"/>
  <c r="J427" i="7" s="1"/>
  <c r="Y426" i="9" s="1"/>
  <c r="G415" i="7"/>
  <c r="I415" i="7" s="1"/>
  <c r="J415" i="7" s="1"/>
  <c r="Y414" i="9" s="1"/>
  <c r="G403" i="7"/>
  <c r="I403" i="7" s="1"/>
  <c r="J403" i="7" s="1"/>
  <c r="Y402" i="9" s="1"/>
  <c r="G391" i="7"/>
  <c r="I391" i="7" s="1"/>
  <c r="J391" i="7" s="1"/>
  <c r="Y390" i="9" s="1"/>
  <c r="G379" i="7"/>
  <c r="I379" i="7" s="1"/>
  <c r="J379" i="7" s="1"/>
  <c r="Y378" i="9" s="1"/>
  <c r="G367" i="7"/>
  <c r="I367" i="7" s="1"/>
  <c r="J367" i="7" s="1"/>
  <c r="Y366" i="9" s="1"/>
  <c r="G355" i="7"/>
  <c r="I355" i="7" s="1"/>
  <c r="J355" i="7" s="1"/>
  <c r="Y354" i="9" s="1"/>
  <c r="G343" i="7"/>
  <c r="I343" i="7" s="1"/>
  <c r="J343" i="7" s="1"/>
  <c r="Y342" i="9" s="1"/>
  <c r="G331" i="7"/>
  <c r="I331" i="7" s="1"/>
  <c r="J331" i="7" s="1"/>
  <c r="Y330" i="9" s="1"/>
  <c r="G319" i="7"/>
  <c r="I319" i="7" s="1"/>
  <c r="J319" i="7" s="1"/>
  <c r="Y318" i="9" s="1"/>
  <c r="G307" i="7"/>
  <c r="I307" i="7" s="1"/>
  <c r="J307" i="7" s="1"/>
  <c r="Y306" i="9" s="1"/>
  <c r="G295" i="7"/>
  <c r="I295" i="7" s="1"/>
  <c r="J295" i="7" s="1"/>
  <c r="Y294" i="9" s="1"/>
  <c r="W294" i="9" s="1"/>
  <c r="G283" i="7"/>
  <c r="I283" i="7" s="1"/>
  <c r="J283" i="7" s="1"/>
  <c r="Y282" i="9" s="1"/>
  <c r="G271" i="7"/>
  <c r="I271" i="7" s="1"/>
  <c r="J271" i="7" s="1"/>
  <c r="Y270" i="9" s="1"/>
  <c r="W270" i="9" s="1"/>
  <c r="G259" i="7"/>
  <c r="I259" i="7" s="1"/>
  <c r="J259" i="7" s="1"/>
  <c r="Y258" i="9" s="1"/>
  <c r="G247" i="7"/>
  <c r="I247" i="7" s="1"/>
  <c r="J247" i="7" s="1"/>
  <c r="Y246" i="9" s="1"/>
  <c r="G175" i="7"/>
  <c r="I175" i="7" s="1"/>
  <c r="J175" i="7" s="1"/>
  <c r="Y174" i="9" s="1"/>
  <c r="G163" i="7"/>
  <c r="I163" i="7" s="1"/>
  <c r="J163" i="7" s="1"/>
  <c r="Y162" i="9" s="1"/>
  <c r="G151" i="7"/>
  <c r="I151" i="7" s="1"/>
  <c r="J151" i="7" s="1"/>
  <c r="Y150" i="9" s="1"/>
  <c r="G139" i="7"/>
  <c r="I139" i="7" s="1"/>
  <c r="J139" i="7" s="1"/>
  <c r="Y138" i="9" s="1"/>
  <c r="G127" i="7"/>
  <c r="I127" i="7" s="1"/>
  <c r="J127" i="7" s="1"/>
  <c r="Y126" i="9" s="1"/>
  <c r="G115" i="7"/>
  <c r="I115" i="7" s="1"/>
  <c r="J115" i="7" s="1"/>
  <c r="Y114" i="9" s="1"/>
  <c r="G103" i="7"/>
  <c r="I103" i="7" s="1"/>
  <c r="J103" i="7" s="1"/>
  <c r="Y102" i="9" s="1"/>
  <c r="W102" i="9" s="1"/>
  <c r="G91" i="7"/>
  <c r="I91" i="7" s="1"/>
  <c r="J91" i="7" s="1"/>
  <c r="Y90" i="9" s="1"/>
  <c r="W90" i="9" s="1"/>
  <c r="G79" i="7"/>
  <c r="I79" i="7" s="1"/>
  <c r="J79" i="7" s="1"/>
  <c r="Y78" i="9" s="1"/>
  <c r="G67" i="7"/>
  <c r="I67" i="7" s="1"/>
  <c r="J67" i="7" s="1"/>
  <c r="Y66" i="9" s="1"/>
  <c r="W66" i="9" s="1"/>
  <c r="G55" i="7"/>
  <c r="I55" i="7" s="1"/>
  <c r="J55" i="7" s="1"/>
  <c r="Y54" i="9" s="1"/>
  <c r="W54" i="9" s="1"/>
  <c r="G43" i="7"/>
  <c r="I43" i="7" s="1"/>
  <c r="J43" i="7" s="1"/>
  <c r="Y42" i="9" s="1"/>
  <c r="W42" i="9" s="1"/>
  <c r="G31" i="7"/>
  <c r="I31" i="7" s="1"/>
  <c r="J31" i="7" s="1"/>
  <c r="Y30" i="9" s="1"/>
  <c r="W30" i="9" s="1"/>
  <c r="G19" i="7"/>
  <c r="I19" i="7" s="1"/>
  <c r="J19" i="7" s="1"/>
  <c r="Y18" i="9" s="1"/>
  <c r="W18" i="9" s="1"/>
  <c r="G7" i="7"/>
  <c r="I7" i="7" s="1"/>
  <c r="J7" i="7" s="1"/>
  <c r="Y6" i="9" s="1"/>
  <c r="W6" i="9" s="1"/>
  <c r="G762" i="7"/>
  <c r="I762" i="7" s="1"/>
  <c r="J762" i="7" s="1"/>
  <c r="Y761" i="9" s="1"/>
  <c r="G750" i="7"/>
  <c r="G738" i="7"/>
  <c r="I738" i="7" s="1"/>
  <c r="J738" i="7" s="1"/>
  <c r="Y737" i="9" s="1"/>
  <c r="G726" i="7"/>
  <c r="G714" i="7"/>
  <c r="G702" i="7"/>
  <c r="I702" i="7" s="1"/>
  <c r="J702" i="7" s="1"/>
  <c r="Y701" i="9" s="1"/>
  <c r="G690" i="7"/>
  <c r="I690" i="7" s="1"/>
  <c r="J690" i="7" s="1"/>
  <c r="Y689" i="9" s="1"/>
  <c r="G678" i="7"/>
  <c r="I678" i="7" s="1"/>
  <c r="J678" i="7" s="1"/>
  <c r="Y677" i="9" s="1"/>
  <c r="G666" i="7"/>
  <c r="I666" i="7" s="1"/>
  <c r="J666" i="7" s="1"/>
  <c r="Y665" i="9" s="1"/>
  <c r="G654" i="7"/>
  <c r="I654" i="7" s="1"/>
  <c r="J654" i="7" s="1"/>
  <c r="Y653" i="9" s="1"/>
  <c r="G642" i="7"/>
  <c r="I642" i="7" s="1"/>
  <c r="J642" i="7" s="1"/>
  <c r="Y641" i="9" s="1"/>
  <c r="W641" i="9" s="1"/>
  <c r="G630" i="7"/>
  <c r="I630" i="7" s="1"/>
  <c r="J630" i="7" s="1"/>
  <c r="Y629" i="9" s="1"/>
  <c r="G618" i="7"/>
  <c r="I618" i="7" s="1"/>
  <c r="J618" i="7" s="1"/>
  <c r="Y617" i="9" s="1"/>
  <c r="G606" i="7"/>
  <c r="I606" i="7" s="1"/>
  <c r="J606" i="7" s="1"/>
  <c r="Y605" i="9" s="1"/>
  <c r="G594" i="7"/>
  <c r="I594" i="7" s="1"/>
  <c r="J594" i="7" s="1"/>
  <c r="Y593" i="9" s="1"/>
  <c r="G582" i="7"/>
  <c r="I582" i="7" s="1"/>
  <c r="J582" i="7" s="1"/>
  <c r="Y581" i="9" s="1"/>
  <c r="G570" i="7"/>
  <c r="I570" i="7" s="1"/>
  <c r="J570" i="7" s="1"/>
  <c r="Y569" i="9" s="1"/>
  <c r="G558" i="7"/>
  <c r="I558" i="7" s="1"/>
  <c r="J558" i="7" s="1"/>
  <c r="Y557" i="9" s="1"/>
  <c r="G546" i="7"/>
  <c r="I546" i="7" s="1"/>
  <c r="J546" i="7" s="1"/>
  <c r="Y545" i="9" s="1"/>
  <c r="G534" i="7"/>
  <c r="I534" i="7" s="1"/>
  <c r="J534" i="7" s="1"/>
  <c r="Y533" i="9" s="1"/>
  <c r="G522" i="7"/>
  <c r="I522" i="7" s="1"/>
  <c r="J522" i="7" s="1"/>
  <c r="Y521" i="9" s="1"/>
  <c r="G510" i="7"/>
  <c r="I510" i="7" s="1"/>
  <c r="J510" i="7" s="1"/>
  <c r="Y509" i="9" s="1"/>
  <c r="G498" i="7"/>
  <c r="I498" i="7" s="1"/>
  <c r="J498" i="7" s="1"/>
  <c r="Y497" i="9" s="1"/>
  <c r="G486" i="7"/>
  <c r="I486" i="7" s="1"/>
  <c r="J486" i="7" s="1"/>
  <c r="Y485" i="9" s="1"/>
  <c r="G474" i="7"/>
  <c r="I474" i="7" s="1"/>
  <c r="J474" i="7" s="1"/>
  <c r="Y473" i="9" s="1"/>
  <c r="G462" i="7"/>
  <c r="I462" i="7" s="1"/>
  <c r="J462" i="7" s="1"/>
  <c r="Y461" i="9" s="1"/>
  <c r="G450" i="7"/>
  <c r="I450" i="7" s="1"/>
  <c r="J450" i="7" s="1"/>
  <c r="Y449" i="9" s="1"/>
  <c r="G438" i="7"/>
  <c r="I438" i="7" s="1"/>
  <c r="J438" i="7" s="1"/>
  <c r="Y437" i="9" s="1"/>
  <c r="G426" i="7"/>
  <c r="I426" i="7" s="1"/>
  <c r="J426" i="7" s="1"/>
  <c r="Y425" i="9" s="1"/>
  <c r="G414" i="7"/>
  <c r="I414" i="7" s="1"/>
  <c r="J414" i="7" s="1"/>
  <c r="Y413" i="9" s="1"/>
  <c r="G402" i="7"/>
  <c r="I402" i="7" s="1"/>
  <c r="J402" i="7" s="1"/>
  <c r="Y401" i="9" s="1"/>
  <c r="G390" i="7"/>
  <c r="I390" i="7" s="1"/>
  <c r="J390" i="7" s="1"/>
  <c r="Y389" i="9" s="1"/>
  <c r="G378" i="7"/>
  <c r="I378" i="7" s="1"/>
  <c r="J378" i="7" s="1"/>
  <c r="Y377" i="9" s="1"/>
  <c r="G366" i="7"/>
  <c r="I366" i="7" s="1"/>
  <c r="J366" i="7" s="1"/>
  <c r="Y365" i="9" s="1"/>
  <c r="G354" i="7"/>
  <c r="I354" i="7" s="1"/>
  <c r="J354" i="7" s="1"/>
  <c r="Y353" i="9" s="1"/>
  <c r="G342" i="7"/>
  <c r="I342" i="7" s="1"/>
  <c r="J342" i="7" s="1"/>
  <c r="Y341" i="9" s="1"/>
  <c r="G330" i="7"/>
  <c r="I330" i="7" s="1"/>
  <c r="J330" i="7" s="1"/>
  <c r="Y329" i="9" s="1"/>
  <c r="G318" i="7"/>
  <c r="I318" i="7" s="1"/>
  <c r="J318" i="7" s="1"/>
  <c r="Y317" i="9" s="1"/>
  <c r="G306" i="7"/>
  <c r="I306" i="7" s="1"/>
  <c r="J306" i="7" s="1"/>
  <c r="Y305" i="9" s="1"/>
  <c r="W305" i="9" s="1"/>
  <c r="G294" i="7"/>
  <c r="I294" i="7" s="1"/>
  <c r="J294" i="7" s="1"/>
  <c r="Y293" i="9" s="1"/>
  <c r="G282" i="7"/>
  <c r="I282" i="7" s="1"/>
  <c r="J282" i="7" s="1"/>
  <c r="Y281" i="9" s="1"/>
  <c r="G270" i="7"/>
  <c r="I270" i="7" s="1"/>
  <c r="J270" i="7" s="1"/>
  <c r="Y269" i="9" s="1"/>
  <c r="G258" i="7"/>
  <c r="I258" i="7" s="1"/>
  <c r="J258" i="7" s="1"/>
  <c r="Y257" i="9" s="1"/>
  <c r="G246" i="7"/>
  <c r="I246" i="7" s="1"/>
  <c r="J246" i="7" s="1"/>
  <c r="Y245" i="9" s="1"/>
  <c r="G234" i="7"/>
  <c r="I234" i="7" s="1"/>
  <c r="J234" i="7" s="1"/>
  <c r="Y233" i="9" s="1"/>
  <c r="W233" i="9" s="1"/>
  <c r="G222" i="7"/>
  <c r="I222" i="7" s="1"/>
  <c r="J222" i="7" s="1"/>
  <c r="Y221" i="9" s="1"/>
  <c r="G210" i="7"/>
  <c r="I210" i="7" s="1"/>
  <c r="J210" i="7" s="1"/>
  <c r="Y209" i="9" s="1"/>
  <c r="G198" i="7"/>
  <c r="I198" i="7" s="1"/>
  <c r="J198" i="7" s="1"/>
  <c r="Y197" i="9" s="1"/>
  <c r="G186" i="7"/>
  <c r="I186" i="7" s="1"/>
  <c r="J186" i="7" s="1"/>
  <c r="Y185" i="9" s="1"/>
  <c r="G174" i="7"/>
  <c r="I174" i="7" s="1"/>
  <c r="J174" i="7" s="1"/>
  <c r="Y173" i="9" s="1"/>
  <c r="W173" i="9" s="1"/>
  <c r="G150" i="7"/>
  <c r="I150" i="7" s="1"/>
  <c r="J150" i="7" s="1"/>
  <c r="Y149" i="9" s="1"/>
  <c r="W149" i="9" s="1"/>
  <c r="G138" i="7"/>
  <c r="I138" i="7" s="1"/>
  <c r="J138" i="7" s="1"/>
  <c r="Y137" i="9" s="1"/>
  <c r="G126" i="7"/>
  <c r="I126" i="7" s="1"/>
  <c r="J126" i="7" s="1"/>
  <c r="Y125" i="9" s="1"/>
  <c r="W125" i="9" s="1"/>
  <c r="G102" i="7"/>
  <c r="I102" i="7" s="1"/>
  <c r="J102" i="7" s="1"/>
  <c r="Y101" i="9" s="1"/>
  <c r="G90" i="7"/>
  <c r="I90" i="7" s="1"/>
  <c r="J90" i="7" s="1"/>
  <c r="Y89" i="9" s="1"/>
  <c r="W89" i="9" s="1"/>
  <c r="G78" i="7"/>
  <c r="I78" i="7" s="1"/>
  <c r="J78" i="7" s="1"/>
  <c r="Y77" i="9" s="1"/>
  <c r="W77" i="9" s="1"/>
  <c r="G54" i="7"/>
  <c r="I54" i="7" s="1"/>
  <c r="J54" i="7" s="1"/>
  <c r="Y53" i="9" s="1"/>
  <c r="G42" i="7"/>
  <c r="I42" i="7" s="1"/>
  <c r="J42" i="7" s="1"/>
  <c r="Y41" i="9" s="1"/>
  <c r="W41" i="9" s="1"/>
  <c r="G30" i="7"/>
  <c r="I30" i="7" s="1"/>
  <c r="J30" i="7" s="1"/>
  <c r="Y29" i="9" s="1"/>
  <c r="W29" i="9" s="1"/>
  <c r="G6" i="7"/>
  <c r="I6" i="7" s="1"/>
  <c r="J6" i="7" s="1"/>
  <c r="Y5" i="9" s="1"/>
  <c r="W5" i="9" s="1"/>
  <c r="G761" i="7"/>
  <c r="I761" i="7" s="1"/>
  <c r="J761" i="7" s="1"/>
  <c r="Y760" i="9" s="1"/>
  <c r="W760" i="9" s="1"/>
  <c r="G749" i="7"/>
  <c r="I749" i="7" s="1"/>
  <c r="J749" i="7" s="1"/>
  <c r="Y748" i="9" s="1"/>
  <c r="G737" i="7"/>
  <c r="I737" i="7" s="1"/>
  <c r="J737" i="7" s="1"/>
  <c r="Y736" i="9" s="1"/>
  <c r="G725" i="7"/>
  <c r="I725" i="7" s="1"/>
  <c r="J725" i="7" s="1"/>
  <c r="Y724" i="9" s="1"/>
  <c r="G713" i="7"/>
  <c r="I713" i="7" s="1"/>
  <c r="J713" i="7" s="1"/>
  <c r="Y712" i="9" s="1"/>
  <c r="G701" i="7"/>
  <c r="I701" i="7" s="1"/>
  <c r="J701" i="7" s="1"/>
  <c r="Y700" i="9" s="1"/>
  <c r="G689" i="7"/>
  <c r="I689" i="7" s="1"/>
  <c r="J689" i="7" s="1"/>
  <c r="Y688" i="9" s="1"/>
  <c r="G677" i="7"/>
  <c r="I677" i="7" s="1"/>
  <c r="J677" i="7" s="1"/>
  <c r="Y676" i="9" s="1"/>
  <c r="G665" i="7"/>
  <c r="I665" i="7" s="1"/>
  <c r="J665" i="7" s="1"/>
  <c r="Y664" i="9" s="1"/>
  <c r="G653" i="7"/>
  <c r="I653" i="7" s="1"/>
  <c r="J653" i="7" s="1"/>
  <c r="Y652" i="9" s="1"/>
  <c r="G641" i="7"/>
  <c r="I641" i="7" s="1"/>
  <c r="J641" i="7" s="1"/>
  <c r="Y640" i="9" s="1"/>
  <c r="G629" i="7"/>
  <c r="I629" i="7" s="1"/>
  <c r="J629" i="7" s="1"/>
  <c r="Y628" i="9" s="1"/>
  <c r="G617" i="7"/>
  <c r="I617" i="7" s="1"/>
  <c r="J617" i="7" s="1"/>
  <c r="Y616" i="9" s="1"/>
  <c r="W616" i="9" s="1"/>
  <c r="G605" i="7"/>
  <c r="I605" i="7" s="1"/>
  <c r="J605" i="7" s="1"/>
  <c r="Y604" i="9" s="1"/>
  <c r="G593" i="7"/>
  <c r="I593" i="7" s="1"/>
  <c r="J593" i="7" s="1"/>
  <c r="Y592" i="9" s="1"/>
  <c r="G581" i="7"/>
  <c r="I581" i="7" s="1"/>
  <c r="J581" i="7" s="1"/>
  <c r="Y580" i="9" s="1"/>
  <c r="G569" i="7"/>
  <c r="I569" i="7" s="1"/>
  <c r="J569" i="7" s="1"/>
  <c r="Y568" i="9" s="1"/>
  <c r="G557" i="7"/>
  <c r="I557" i="7" s="1"/>
  <c r="J557" i="7" s="1"/>
  <c r="Y556" i="9" s="1"/>
  <c r="G545" i="7"/>
  <c r="I545" i="7" s="1"/>
  <c r="J545" i="7" s="1"/>
  <c r="Y544" i="9" s="1"/>
  <c r="G533" i="7"/>
  <c r="I533" i="7" s="1"/>
  <c r="J533" i="7" s="1"/>
  <c r="Y532" i="9" s="1"/>
  <c r="W532" i="9" s="1"/>
  <c r="G521" i="7"/>
  <c r="I521" i="7" s="1"/>
  <c r="J521" i="7" s="1"/>
  <c r="Y520" i="9" s="1"/>
  <c r="G509" i="7"/>
  <c r="I509" i="7" s="1"/>
  <c r="J509" i="7" s="1"/>
  <c r="Y508" i="9" s="1"/>
  <c r="W508" i="9" s="1"/>
  <c r="G497" i="7"/>
  <c r="I497" i="7" s="1"/>
  <c r="J497" i="7" s="1"/>
  <c r="Y496" i="9" s="1"/>
  <c r="G485" i="7"/>
  <c r="I485" i="7" s="1"/>
  <c r="J485" i="7" s="1"/>
  <c r="Y484" i="9" s="1"/>
  <c r="G473" i="7"/>
  <c r="I473" i="7" s="1"/>
  <c r="J473" i="7" s="1"/>
  <c r="Y472" i="9" s="1"/>
  <c r="G461" i="7"/>
  <c r="I461" i="7" s="1"/>
  <c r="J461" i="7" s="1"/>
  <c r="Y460" i="9" s="1"/>
  <c r="G449" i="7"/>
  <c r="I449" i="7" s="1"/>
  <c r="J449" i="7" s="1"/>
  <c r="Y448" i="9" s="1"/>
  <c r="G437" i="7"/>
  <c r="I437" i="7" s="1"/>
  <c r="J437" i="7" s="1"/>
  <c r="Y436" i="9" s="1"/>
  <c r="G425" i="7"/>
  <c r="I425" i="7" s="1"/>
  <c r="J425" i="7" s="1"/>
  <c r="Y424" i="9" s="1"/>
  <c r="G413" i="7"/>
  <c r="I413" i="7" s="1"/>
  <c r="J413" i="7" s="1"/>
  <c r="Y412" i="9" s="1"/>
  <c r="G401" i="7"/>
  <c r="I401" i="7" s="1"/>
  <c r="J401" i="7" s="1"/>
  <c r="Y400" i="9" s="1"/>
  <c r="G389" i="7"/>
  <c r="I389" i="7" s="1"/>
  <c r="J389" i="7" s="1"/>
  <c r="Y388" i="9" s="1"/>
  <c r="G377" i="7"/>
  <c r="I377" i="7" s="1"/>
  <c r="J377" i="7" s="1"/>
  <c r="Y376" i="9" s="1"/>
  <c r="G365" i="7"/>
  <c r="I365" i="7" s="1"/>
  <c r="J365" i="7" s="1"/>
  <c r="Y364" i="9" s="1"/>
  <c r="W364" i="9" s="1"/>
  <c r="G353" i="7"/>
  <c r="I353" i="7" s="1"/>
  <c r="J353" i="7" s="1"/>
  <c r="Y352" i="9" s="1"/>
  <c r="G341" i="7"/>
  <c r="I341" i="7" s="1"/>
  <c r="J341" i="7" s="1"/>
  <c r="Y340" i="9" s="1"/>
  <c r="G329" i="7"/>
  <c r="I329" i="7" s="1"/>
  <c r="J329" i="7" s="1"/>
  <c r="Y328" i="9" s="1"/>
  <c r="G317" i="7"/>
  <c r="I317" i="7" s="1"/>
  <c r="J317" i="7" s="1"/>
  <c r="Y316" i="9" s="1"/>
  <c r="G305" i="7"/>
  <c r="I305" i="7" s="1"/>
  <c r="J305" i="7" s="1"/>
  <c r="Y304" i="9" s="1"/>
  <c r="G293" i="7"/>
  <c r="I293" i="7" s="1"/>
  <c r="J293" i="7" s="1"/>
  <c r="Y292" i="9" s="1"/>
  <c r="G281" i="7"/>
  <c r="I281" i="7" s="1"/>
  <c r="J281" i="7" s="1"/>
  <c r="Y280" i="9" s="1"/>
  <c r="W280" i="9" s="1"/>
  <c r="G269" i="7"/>
  <c r="I269" i="7" s="1"/>
  <c r="J269" i="7" s="1"/>
  <c r="Y268" i="9" s="1"/>
  <c r="G257" i="7"/>
  <c r="I257" i="7" s="1"/>
  <c r="J257" i="7" s="1"/>
  <c r="Y256" i="9" s="1"/>
  <c r="G245" i="7"/>
  <c r="I245" i="7" s="1"/>
  <c r="J245" i="7" s="1"/>
  <c r="Y244" i="9" s="1"/>
  <c r="G233" i="7"/>
  <c r="I233" i="7" s="1"/>
  <c r="J233" i="7" s="1"/>
  <c r="Y232" i="9" s="1"/>
  <c r="W232" i="9" s="1"/>
  <c r="G221" i="7"/>
  <c r="I221" i="7" s="1"/>
  <c r="J221" i="7" s="1"/>
  <c r="Y220" i="9" s="1"/>
  <c r="G209" i="7"/>
  <c r="I209" i="7" s="1"/>
  <c r="J209" i="7" s="1"/>
  <c r="Y208" i="9" s="1"/>
  <c r="W208" i="9" s="1"/>
  <c r="G197" i="7"/>
  <c r="I197" i="7" s="1"/>
  <c r="J197" i="7" s="1"/>
  <c r="Y196" i="9" s="1"/>
  <c r="G185" i="7"/>
  <c r="I185" i="7" s="1"/>
  <c r="J185" i="7" s="1"/>
  <c r="Y184" i="9" s="1"/>
  <c r="G173" i="7"/>
  <c r="I173" i="7" s="1"/>
  <c r="J173" i="7" s="1"/>
  <c r="Y172" i="9" s="1"/>
  <c r="G149" i="7"/>
  <c r="I149" i="7" s="1"/>
  <c r="J149" i="7" s="1"/>
  <c r="Y148" i="9" s="1"/>
  <c r="G137" i="7"/>
  <c r="I137" i="7" s="1"/>
  <c r="J137" i="7" s="1"/>
  <c r="Y136" i="9" s="1"/>
  <c r="G125" i="7"/>
  <c r="I125" i="7" s="1"/>
  <c r="J125" i="7" s="1"/>
  <c r="Y124" i="9" s="1"/>
  <c r="G101" i="7"/>
  <c r="I101" i="7" s="1"/>
  <c r="J101" i="7" s="1"/>
  <c r="Y100" i="9" s="1"/>
  <c r="G89" i="7"/>
  <c r="I89" i="7" s="1"/>
  <c r="J89" i="7" s="1"/>
  <c r="Y88" i="9" s="1"/>
  <c r="W88" i="9" s="1"/>
  <c r="G77" i="7"/>
  <c r="I77" i="7" s="1"/>
  <c r="J77" i="7" s="1"/>
  <c r="Y76" i="9" s="1"/>
  <c r="G53" i="7"/>
  <c r="I53" i="7" s="1"/>
  <c r="J53" i="7" s="1"/>
  <c r="Y52" i="9" s="1"/>
  <c r="W52" i="9" s="1"/>
  <c r="G41" i="7"/>
  <c r="I41" i="7" s="1"/>
  <c r="J41" i="7" s="1"/>
  <c r="Y40" i="9" s="1"/>
  <c r="W40" i="9" s="1"/>
  <c r="G29" i="7"/>
  <c r="I29" i="7" s="1"/>
  <c r="J29" i="7" s="1"/>
  <c r="Y28" i="9" s="1"/>
  <c r="W28" i="9" s="1"/>
  <c r="G5" i="7"/>
  <c r="I5" i="7" s="1"/>
  <c r="J5" i="7" s="1"/>
  <c r="Y4" i="9" s="1"/>
  <c r="W4" i="9" s="1"/>
  <c r="G760" i="7"/>
  <c r="G748" i="7"/>
  <c r="G736" i="7"/>
  <c r="G724" i="7"/>
  <c r="G712" i="7"/>
  <c r="G688" i="7"/>
  <c r="I688" i="7" s="1"/>
  <c r="J688" i="7" s="1"/>
  <c r="Y687" i="9" s="1"/>
  <c r="G676" i="7"/>
  <c r="I676" i="7" s="1"/>
  <c r="J676" i="7" s="1"/>
  <c r="Y675" i="9" s="1"/>
  <c r="G664" i="7"/>
  <c r="I664" i="7" s="1"/>
  <c r="J664" i="7" s="1"/>
  <c r="Y663" i="9" s="1"/>
  <c r="G652" i="7"/>
  <c r="I652" i="7" s="1"/>
  <c r="J652" i="7" s="1"/>
  <c r="Y651" i="9" s="1"/>
  <c r="G640" i="7"/>
  <c r="I640" i="7" s="1"/>
  <c r="J640" i="7" s="1"/>
  <c r="Y639" i="9" s="1"/>
  <c r="G616" i="7"/>
  <c r="I616" i="7" s="1"/>
  <c r="J616" i="7" s="1"/>
  <c r="Y615" i="9" s="1"/>
  <c r="G604" i="7"/>
  <c r="I604" i="7" s="1"/>
  <c r="J604" i="7" s="1"/>
  <c r="Y603" i="9" s="1"/>
  <c r="G592" i="7"/>
  <c r="I592" i="7" s="1"/>
  <c r="J592" i="7" s="1"/>
  <c r="Y591" i="9" s="1"/>
  <c r="G580" i="7"/>
  <c r="I580" i="7" s="1"/>
  <c r="J580" i="7" s="1"/>
  <c r="Y579" i="9" s="1"/>
  <c r="G568" i="7"/>
  <c r="I568" i="7" s="1"/>
  <c r="J568" i="7" s="1"/>
  <c r="Y567" i="9" s="1"/>
  <c r="G544" i="7"/>
  <c r="I544" i="7" s="1"/>
  <c r="J544" i="7" s="1"/>
  <c r="Y543" i="9" s="1"/>
  <c r="G532" i="7"/>
  <c r="I532" i="7" s="1"/>
  <c r="J532" i="7" s="1"/>
  <c r="Y531" i="9" s="1"/>
  <c r="G520" i="7"/>
  <c r="I520" i="7" s="1"/>
  <c r="J520" i="7" s="1"/>
  <c r="Y519" i="9" s="1"/>
  <c r="G508" i="7"/>
  <c r="I508" i="7" s="1"/>
  <c r="J508" i="7" s="1"/>
  <c r="Y507" i="9" s="1"/>
  <c r="G496" i="7"/>
  <c r="I496" i="7" s="1"/>
  <c r="J496" i="7" s="1"/>
  <c r="Y495" i="9" s="1"/>
  <c r="G472" i="7"/>
  <c r="I472" i="7" s="1"/>
  <c r="J472" i="7" s="1"/>
  <c r="Y471" i="9" s="1"/>
  <c r="G460" i="7"/>
  <c r="I460" i="7" s="1"/>
  <c r="J460" i="7" s="1"/>
  <c r="Y459" i="9" s="1"/>
  <c r="G448" i="7"/>
  <c r="I448" i="7" s="1"/>
  <c r="J448" i="7" s="1"/>
  <c r="Y447" i="9" s="1"/>
  <c r="G436" i="7"/>
  <c r="I436" i="7" s="1"/>
  <c r="J436" i="7" s="1"/>
  <c r="Y435" i="9" s="1"/>
  <c r="G424" i="7"/>
  <c r="I424" i="7" s="1"/>
  <c r="J424" i="7" s="1"/>
  <c r="Y423" i="9" s="1"/>
  <c r="G400" i="7"/>
  <c r="I400" i="7" s="1"/>
  <c r="J400" i="7" s="1"/>
  <c r="Y399" i="9" s="1"/>
  <c r="G388" i="7"/>
  <c r="I388" i="7" s="1"/>
  <c r="J388" i="7" s="1"/>
  <c r="Y387" i="9" s="1"/>
  <c r="G376" i="7"/>
  <c r="I376" i="7" s="1"/>
  <c r="J376" i="7" s="1"/>
  <c r="Y375" i="9" s="1"/>
  <c r="G364" i="7"/>
  <c r="I364" i="7" s="1"/>
  <c r="J364" i="7" s="1"/>
  <c r="Y363" i="9" s="1"/>
  <c r="G352" i="7"/>
  <c r="I352" i="7" s="1"/>
  <c r="J352" i="7" s="1"/>
  <c r="Y351" i="9" s="1"/>
  <c r="G340" i="7"/>
  <c r="I340" i="7" s="1"/>
  <c r="J340" i="7" s="1"/>
  <c r="Y339" i="9" s="1"/>
  <c r="G328" i="7"/>
  <c r="I328" i="7" s="1"/>
  <c r="J328" i="7" s="1"/>
  <c r="Y327" i="9" s="1"/>
  <c r="G316" i="7"/>
  <c r="I316" i="7" s="1"/>
  <c r="J316" i="7" s="1"/>
  <c r="Y315" i="9" s="1"/>
  <c r="G304" i="7"/>
  <c r="I304" i="7" s="1"/>
  <c r="J304" i="7" s="1"/>
  <c r="Y303" i="9" s="1"/>
  <c r="G292" i="7"/>
  <c r="I292" i="7" s="1"/>
  <c r="J292" i="7" s="1"/>
  <c r="Y291" i="9" s="1"/>
  <c r="G280" i="7"/>
  <c r="I280" i="7" s="1"/>
  <c r="J280" i="7" s="1"/>
  <c r="Y279" i="9" s="1"/>
  <c r="G268" i="7"/>
  <c r="I268" i="7" s="1"/>
  <c r="J268" i="7" s="1"/>
  <c r="Y267" i="9" s="1"/>
  <c r="W267" i="9" s="1"/>
  <c r="G256" i="7"/>
  <c r="I256" i="7" s="1"/>
  <c r="J256" i="7" s="1"/>
  <c r="Y255" i="9" s="1"/>
  <c r="G244" i="7"/>
  <c r="I244" i="7" s="1"/>
  <c r="J244" i="7" s="1"/>
  <c r="Y243" i="9" s="1"/>
  <c r="W243" i="9" s="1"/>
  <c r="G232" i="7"/>
  <c r="I232" i="7" s="1"/>
  <c r="J232" i="7" s="1"/>
  <c r="Y231" i="9" s="1"/>
  <c r="G220" i="7"/>
  <c r="I220" i="7" s="1"/>
  <c r="J220" i="7" s="1"/>
  <c r="Y219" i="9" s="1"/>
  <c r="G208" i="7"/>
  <c r="I208" i="7" s="1"/>
  <c r="J208" i="7" s="1"/>
  <c r="Y207" i="9" s="1"/>
  <c r="G196" i="7"/>
  <c r="I196" i="7" s="1"/>
  <c r="J196" i="7" s="1"/>
  <c r="Y195" i="9" s="1"/>
  <c r="G184" i="7"/>
  <c r="I184" i="7" s="1"/>
  <c r="J184" i="7" s="1"/>
  <c r="Y183" i="9" s="1"/>
  <c r="G172" i="7"/>
  <c r="I172" i="7" s="1"/>
  <c r="J172" i="7" s="1"/>
  <c r="Y171" i="9" s="1"/>
  <c r="G160" i="7"/>
  <c r="I160" i="7" s="1"/>
  <c r="J160" i="7" s="1"/>
  <c r="Y159" i="9" s="1"/>
  <c r="W159" i="9" s="1"/>
  <c r="G148" i="7"/>
  <c r="I148" i="7" s="1"/>
  <c r="J148" i="7" s="1"/>
  <c r="Y147" i="9" s="1"/>
  <c r="G136" i="7"/>
  <c r="I136" i="7" s="1"/>
  <c r="J136" i="7" s="1"/>
  <c r="Y135" i="9" s="1"/>
  <c r="W135" i="9" s="1"/>
  <c r="G124" i="7"/>
  <c r="I124" i="7" s="1"/>
  <c r="J124" i="7" s="1"/>
  <c r="Y123" i="9" s="1"/>
  <c r="W123" i="9" s="1"/>
  <c r="G112" i="7"/>
  <c r="I112" i="7" s="1"/>
  <c r="J112" i="7" s="1"/>
  <c r="Y111" i="9" s="1"/>
  <c r="W111" i="9" s="1"/>
  <c r="G100" i="7"/>
  <c r="I100" i="7" s="1"/>
  <c r="J100" i="7" s="1"/>
  <c r="Y99" i="9" s="1"/>
  <c r="G88" i="7"/>
  <c r="I88" i="7" s="1"/>
  <c r="J88" i="7" s="1"/>
  <c r="Y87" i="9" s="1"/>
  <c r="W87" i="9" s="1"/>
  <c r="G76" i="7"/>
  <c r="I76" i="7" s="1"/>
  <c r="J76" i="7" s="1"/>
  <c r="Y75" i="9" s="1"/>
  <c r="G64" i="7"/>
  <c r="I64" i="7" s="1"/>
  <c r="J64" i="7" s="1"/>
  <c r="Y63" i="9" s="1"/>
  <c r="W63" i="9" s="1"/>
  <c r="G52" i="7"/>
  <c r="I52" i="7" s="1"/>
  <c r="J52" i="7" s="1"/>
  <c r="Y51" i="9" s="1"/>
  <c r="G40" i="7"/>
  <c r="I40" i="7" s="1"/>
  <c r="J40" i="7" s="1"/>
  <c r="Y39" i="9" s="1"/>
  <c r="W39" i="9" s="1"/>
  <c r="G28" i="7"/>
  <c r="I28" i="7" s="1"/>
  <c r="J28" i="7" s="1"/>
  <c r="Y27" i="9" s="1"/>
  <c r="W27" i="9" s="1"/>
  <c r="G16" i="7"/>
  <c r="I16" i="7" s="1"/>
  <c r="J16" i="7" s="1"/>
  <c r="Y15" i="9" s="1"/>
  <c r="W15" i="9" s="1"/>
  <c r="G4" i="7"/>
  <c r="I4" i="7" s="1"/>
  <c r="J4" i="7" s="1"/>
  <c r="Y3" i="9" s="1"/>
  <c r="G759" i="7"/>
  <c r="I759" i="7" s="1"/>
  <c r="J759" i="7" s="1"/>
  <c r="Y758" i="9" s="1"/>
  <c r="G747" i="7"/>
  <c r="I747" i="7" s="1"/>
  <c r="J747" i="7" s="1"/>
  <c r="Y746" i="9" s="1"/>
  <c r="G735" i="7"/>
  <c r="I735" i="7" s="1"/>
  <c r="J735" i="7" s="1"/>
  <c r="Y734" i="9" s="1"/>
  <c r="G723" i="7"/>
  <c r="I723" i="7" s="1"/>
  <c r="J723" i="7" s="1"/>
  <c r="Y722" i="9" s="1"/>
  <c r="G699" i="7"/>
  <c r="I699" i="7" s="1"/>
  <c r="J699" i="7" s="1"/>
  <c r="Y698" i="9" s="1"/>
  <c r="G687" i="7"/>
  <c r="I687" i="7" s="1"/>
  <c r="J687" i="7" s="1"/>
  <c r="Y686" i="9" s="1"/>
  <c r="G675" i="7"/>
  <c r="I675" i="7" s="1"/>
  <c r="J675" i="7" s="1"/>
  <c r="Y674" i="9" s="1"/>
  <c r="G663" i="7"/>
  <c r="I663" i="7" s="1"/>
  <c r="J663" i="7" s="1"/>
  <c r="Y662" i="9" s="1"/>
  <c r="G651" i="7"/>
  <c r="I651" i="7" s="1"/>
  <c r="J651" i="7" s="1"/>
  <c r="Y650" i="9" s="1"/>
  <c r="G627" i="7"/>
  <c r="I627" i="7" s="1"/>
  <c r="J627" i="7" s="1"/>
  <c r="Y626" i="9" s="1"/>
  <c r="G615" i="7"/>
  <c r="I615" i="7" s="1"/>
  <c r="J615" i="7" s="1"/>
  <c r="Y614" i="9" s="1"/>
  <c r="W614" i="9" s="1"/>
  <c r="G603" i="7"/>
  <c r="I603" i="7" s="1"/>
  <c r="J603" i="7" s="1"/>
  <c r="Y602" i="9" s="1"/>
  <c r="G591" i="7"/>
  <c r="I591" i="7" s="1"/>
  <c r="J591" i="7" s="1"/>
  <c r="Y590" i="9" s="1"/>
  <c r="G579" i="7"/>
  <c r="I579" i="7" s="1"/>
  <c r="J579" i="7" s="1"/>
  <c r="Y578" i="9" s="1"/>
  <c r="G555" i="7"/>
  <c r="I555" i="7" s="1"/>
  <c r="J555" i="7" s="1"/>
  <c r="Y554" i="9" s="1"/>
  <c r="W554" i="9" s="1"/>
  <c r="G543" i="7"/>
  <c r="I543" i="7" s="1"/>
  <c r="J543" i="7" s="1"/>
  <c r="Y542" i="9" s="1"/>
  <c r="G531" i="7"/>
  <c r="I531" i="7" s="1"/>
  <c r="J531" i="7" s="1"/>
  <c r="Y530" i="9" s="1"/>
  <c r="G519" i="7"/>
  <c r="I519" i="7" s="1"/>
  <c r="J519" i="7" s="1"/>
  <c r="Y518" i="9" s="1"/>
  <c r="G507" i="7"/>
  <c r="I507" i="7" s="1"/>
  <c r="J507" i="7" s="1"/>
  <c r="Y506" i="9" s="1"/>
  <c r="G483" i="7"/>
  <c r="I483" i="7" s="1"/>
  <c r="J483" i="7" s="1"/>
  <c r="Y482" i="9" s="1"/>
  <c r="G471" i="7"/>
  <c r="I471" i="7" s="1"/>
  <c r="J471" i="7" s="1"/>
  <c r="Y470" i="9" s="1"/>
  <c r="G459" i="7"/>
  <c r="I459" i="7" s="1"/>
  <c r="J459" i="7" s="1"/>
  <c r="Y458" i="9" s="1"/>
  <c r="G447" i="7"/>
  <c r="I447" i="7" s="1"/>
  <c r="J447" i="7" s="1"/>
  <c r="Y446" i="9" s="1"/>
  <c r="G435" i="7"/>
  <c r="I435" i="7" s="1"/>
  <c r="J435" i="7" s="1"/>
  <c r="Y434" i="9" s="1"/>
  <c r="G411" i="7"/>
  <c r="I411" i="7" s="1"/>
  <c r="J411" i="7" s="1"/>
  <c r="Y410" i="9" s="1"/>
  <c r="W410" i="9" s="1"/>
  <c r="G399" i="7"/>
  <c r="I399" i="7" s="1"/>
  <c r="J399" i="7" s="1"/>
  <c r="Y398" i="9" s="1"/>
  <c r="G387" i="7"/>
  <c r="I387" i="7" s="1"/>
  <c r="J387" i="7" s="1"/>
  <c r="Y386" i="9" s="1"/>
  <c r="G375" i="7"/>
  <c r="I375" i="7" s="1"/>
  <c r="J375" i="7" s="1"/>
  <c r="Y374" i="9" s="1"/>
  <c r="G363" i="7"/>
  <c r="I363" i="7" s="1"/>
  <c r="J363" i="7" s="1"/>
  <c r="Y362" i="9" s="1"/>
  <c r="G339" i="7"/>
  <c r="I339" i="7" s="1"/>
  <c r="J339" i="7" s="1"/>
  <c r="Y338" i="9" s="1"/>
  <c r="G327" i="7"/>
  <c r="I327" i="7" s="1"/>
  <c r="J327" i="7" s="1"/>
  <c r="Y326" i="9" s="1"/>
  <c r="G315" i="7"/>
  <c r="I315" i="7" s="1"/>
  <c r="J315" i="7" s="1"/>
  <c r="Y314" i="9" s="1"/>
  <c r="G291" i="7"/>
  <c r="I291" i="7" s="1"/>
  <c r="J291" i="7" s="1"/>
  <c r="Y290" i="9" s="1"/>
  <c r="G279" i="7"/>
  <c r="I279" i="7" s="1"/>
  <c r="J279" i="7" s="1"/>
  <c r="Y278" i="9" s="1"/>
  <c r="G267" i="7"/>
  <c r="I267" i="7" s="1"/>
  <c r="J267" i="7" s="1"/>
  <c r="Y266" i="9" s="1"/>
  <c r="G243" i="7"/>
  <c r="I243" i="7" s="1"/>
  <c r="J243" i="7" s="1"/>
  <c r="Y242" i="9" s="1"/>
  <c r="G231" i="7"/>
  <c r="I231" i="7" s="1"/>
  <c r="J231" i="7" s="1"/>
  <c r="Y230" i="9" s="1"/>
  <c r="W230" i="9" s="1"/>
  <c r="G219" i="7"/>
  <c r="I219" i="7" s="1"/>
  <c r="J219" i="7" s="1"/>
  <c r="Y218" i="9" s="1"/>
  <c r="G195" i="7"/>
  <c r="I195" i="7" s="1"/>
  <c r="J195" i="7" s="1"/>
  <c r="Y194" i="9" s="1"/>
  <c r="G183" i="7"/>
  <c r="I183" i="7" s="1"/>
  <c r="J183" i="7" s="1"/>
  <c r="Y182" i="9" s="1"/>
  <c r="G171" i="7"/>
  <c r="I171" i="7" s="1"/>
  <c r="J171" i="7" s="1"/>
  <c r="Y170" i="9" s="1"/>
  <c r="G159" i="7"/>
  <c r="I159" i="7" s="1"/>
  <c r="J159" i="7" s="1"/>
  <c r="Y158" i="9" s="1"/>
  <c r="G135" i="7"/>
  <c r="I135" i="7" s="1"/>
  <c r="J135" i="7" s="1"/>
  <c r="Y134" i="9" s="1"/>
  <c r="W134" i="9" s="1"/>
  <c r="G123" i="7"/>
  <c r="I123" i="7" s="1"/>
  <c r="J123" i="7" s="1"/>
  <c r="Y122" i="9" s="1"/>
  <c r="G111" i="7"/>
  <c r="I111" i="7" s="1"/>
  <c r="J111" i="7" s="1"/>
  <c r="Y110" i="9" s="1"/>
  <c r="W110" i="9" s="1"/>
  <c r="G87" i="7"/>
  <c r="I87" i="7" s="1"/>
  <c r="J87" i="7" s="1"/>
  <c r="Y86" i="9" s="1"/>
  <c r="W86" i="9" s="1"/>
  <c r="G75" i="7"/>
  <c r="I75" i="7" s="1"/>
  <c r="J75" i="7" s="1"/>
  <c r="Y74" i="9" s="1"/>
  <c r="G63" i="7"/>
  <c r="I63" i="7" s="1"/>
  <c r="J63" i="7" s="1"/>
  <c r="Y62" i="9" s="1"/>
  <c r="W62" i="9" s="1"/>
  <c r="G39" i="7"/>
  <c r="I39" i="7" s="1"/>
  <c r="J39" i="7" s="1"/>
  <c r="Y38" i="9" s="1"/>
  <c r="W38" i="9" s="1"/>
  <c r="G27" i="7"/>
  <c r="I27" i="7" s="1"/>
  <c r="J27" i="7" s="1"/>
  <c r="Y26" i="9" s="1"/>
  <c r="W26" i="9" s="1"/>
  <c r="G15" i="7"/>
  <c r="I15" i="7" s="1"/>
  <c r="J15" i="7" s="1"/>
  <c r="Y14" i="9" s="1"/>
  <c r="W14" i="9" s="1"/>
  <c r="G758" i="7"/>
  <c r="I758" i="7" s="1"/>
  <c r="J758" i="7" s="1"/>
  <c r="Y757" i="9" s="1"/>
  <c r="G746" i="7"/>
  <c r="I746" i="7" s="1"/>
  <c r="J746" i="7" s="1"/>
  <c r="Y745" i="9" s="1"/>
  <c r="G734" i="7"/>
  <c r="I734" i="7" s="1"/>
  <c r="J734" i="7" s="1"/>
  <c r="Y733" i="9" s="1"/>
  <c r="G722" i="7"/>
  <c r="I722" i="7" s="1"/>
  <c r="J722" i="7" s="1"/>
  <c r="Y721" i="9" s="1"/>
  <c r="G710" i="7"/>
  <c r="I710" i="7" s="1"/>
  <c r="J710" i="7" s="1"/>
  <c r="Y709" i="9" s="1"/>
  <c r="G698" i="7"/>
  <c r="I698" i="7" s="1"/>
  <c r="J698" i="7" s="1"/>
  <c r="Y697" i="9" s="1"/>
  <c r="G686" i="7"/>
  <c r="I686" i="7" s="1"/>
  <c r="J686" i="7" s="1"/>
  <c r="Y685" i="9" s="1"/>
  <c r="W685" i="9" s="1"/>
  <c r="G674" i="7"/>
  <c r="I674" i="7" s="1"/>
  <c r="J674" i="7" s="1"/>
  <c r="Y673" i="9" s="1"/>
  <c r="G662" i="7"/>
  <c r="I662" i="7" s="1"/>
  <c r="J662" i="7" s="1"/>
  <c r="Y661" i="9" s="1"/>
  <c r="G650" i="7"/>
  <c r="I650" i="7" s="1"/>
  <c r="J650" i="7" s="1"/>
  <c r="Y649" i="9" s="1"/>
  <c r="G638" i="7"/>
  <c r="I638" i="7" s="1"/>
  <c r="J638" i="7" s="1"/>
  <c r="Y637" i="9" s="1"/>
  <c r="W637" i="9" s="1"/>
  <c r="G626" i="7"/>
  <c r="I626" i="7" s="1"/>
  <c r="J626" i="7" s="1"/>
  <c r="Y625" i="9" s="1"/>
  <c r="G614" i="7"/>
  <c r="I614" i="7" s="1"/>
  <c r="J614" i="7" s="1"/>
  <c r="Y613" i="9" s="1"/>
  <c r="G602" i="7"/>
  <c r="I602" i="7" s="1"/>
  <c r="J602" i="7" s="1"/>
  <c r="Y601" i="9" s="1"/>
  <c r="G590" i="7"/>
  <c r="I590" i="7" s="1"/>
  <c r="J590" i="7" s="1"/>
  <c r="Y589" i="9" s="1"/>
  <c r="G578" i="7"/>
  <c r="I578" i="7" s="1"/>
  <c r="J578" i="7" s="1"/>
  <c r="Y577" i="9" s="1"/>
  <c r="G566" i="7"/>
  <c r="I566" i="7" s="1"/>
  <c r="J566" i="7" s="1"/>
  <c r="Y565" i="9" s="1"/>
  <c r="G554" i="7"/>
  <c r="I554" i="7" s="1"/>
  <c r="J554" i="7" s="1"/>
  <c r="Y553" i="9" s="1"/>
  <c r="G542" i="7"/>
  <c r="I542" i="7" s="1"/>
  <c r="J542" i="7" s="1"/>
  <c r="Y541" i="9" s="1"/>
  <c r="G530" i="7"/>
  <c r="I530" i="7" s="1"/>
  <c r="J530" i="7" s="1"/>
  <c r="Y529" i="9" s="1"/>
  <c r="W529" i="9" s="1"/>
  <c r="G518" i="7"/>
  <c r="I518" i="7" s="1"/>
  <c r="J518" i="7" s="1"/>
  <c r="Y517" i="9" s="1"/>
  <c r="W517" i="9" s="1"/>
  <c r="G506" i="7"/>
  <c r="I506" i="7" s="1"/>
  <c r="J506" i="7" s="1"/>
  <c r="Y505" i="9" s="1"/>
  <c r="G494" i="7"/>
  <c r="I494" i="7" s="1"/>
  <c r="J494" i="7" s="1"/>
  <c r="Y493" i="9" s="1"/>
  <c r="G482" i="7"/>
  <c r="I482" i="7" s="1"/>
  <c r="J482" i="7" s="1"/>
  <c r="Y481" i="9" s="1"/>
  <c r="G470" i="7"/>
  <c r="I470" i="7" s="1"/>
  <c r="J470" i="7" s="1"/>
  <c r="Y469" i="9" s="1"/>
  <c r="G458" i="7"/>
  <c r="I458" i="7" s="1"/>
  <c r="J458" i="7" s="1"/>
  <c r="Y457" i="9" s="1"/>
  <c r="G446" i="7"/>
  <c r="I446" i="7" s="1"/>
  <c r="J446" i="7" s="1"/>
  <c r="Y445" i="9" s="1"/>
  <c r="G434" i="7"/>
  <c r="I434" i="7" s="1"/>
  <c r="J434" i="7" s="1"/>
  <c r="Y433" i="9" s="1"/>
  <c r="G422" i="7"/>
  <c r="I422" i="7" s="1"/>
  <c r="J422" i="7" s="1"/>
  <c r="Y421" i="9" s="1"/>
  <c r="G410" i="7"/>
  <c r="I410" i="7" s="1"/>
  <c r="J410" i="7" s="1"/>
  <c r="Y409" i="9" s="1"/>
  <c r="G398" i="7"/>
  <c r="I398" i="7" s="1"/>
  <c r="J398" i="7" s="1"/>
  <c r="Y397" i="9" s="1"/>
  <c r="G386" i="7"/>
  <c r="I386" i="7" s="1"/>
  <c r="J386" i="7" s="1"/>
  <c r="Y385" i="9" s="1"/>
  <c r="G374" i="7"/>
  <c r="I374" i="7" s="1"/>
  <c r="J374" i="7" s="1"/>
  <c r="Y373" i="9" s="1"/>
  <c r="G362" i="7"/>
  <c r="I362" i="7" s="1"/>
  <c r="J362" i="7" s="1"/>
  <c r="Y361" i="9" s="1"/>
  <c r="G350" i="7"/>
  <c r="I350" i="7" s="1"/>
  <c r="J350" i="7" s="1"/>
  <c r="Y349" i="9" s="1"/>
  <c r="G338" i="7"/>
  <c r="I338" i="7" s="1"/>
  <c r="J338" i="7" s="1"/>
  <c r="Y337" i="9" s="1"/>
  <c r="G326" i="7"/>
  <c r="I326" i="7" s="1"/>
  <c r="J326" i="7" s="1"/>
  <c r="Y325" i="9" s="1"/>
  <c r="W325" i="9" s="1"/>
  <c r="G314" i="7"/>
  <c r="I314" i="7" s="1"/>
  <c r="J314" i="7" s="1"/>
  <c r="Y313" i="9" s="1"/>
  <c r="G302" i="7"/>
  <c r="I302" i="7" s="1"/>
  <c r="J302" i="7" s="1"/>
  <c r="Y301" i="9" s="1"/>
  <c r="G290" i="7"/>
  <c r="I290" i="7" s="1"/>
  <c r="J290" i="7" s="1"/>
  <c r="Y289" i="9" s="1"/>
  <c r="G278" i="7"/>
  <c r="I278" i="7" s="1"/>
  <c r="J278" i="7" s="1"/>
  <c r="Y277" i="9" s="1"/>
  <c r="G266" i="7"/>
  <c r="I266" i="7" s="1"/>
  <c r="J266" i="7" s="1"/>
  <c r="Y265" i="9" s="1"/>
  <c r="W265" i="9" s="1"/>
  <c r="G254" i="7"/>
  <c r="I254" i="7" s="1"/>
  <c r="J254" i="7" s="1"/>
  <c r="Y253" i="9" s="1"/>
  <c r="G242" i="7"/>
  <c r="I242" i="7" s="1"/>
  <c r="J242" i="7" s="1"/>
  <c r="Y241" i="9" s="1"/>
  <c r="G230" i="7"/>
  <c r="I230" i="7" s="1"/>
  <c r="J230" i="7" s="1"/>
  <c r="Y229" i="9" s="1"/>
  <c r="G218" i="7"/>
  <c r="I218" i="7" s="1"/>
  <c r="J218" i="7" s="1"/>
  <c r="Y217" i="9" s="1"/>
  <c r="G206" i="7"/>
  <c r="I206" i="7" s="1"/>
  <c r="J206" i="7" s="1"/>
  <c r="Y205" i="9" s="1"/>
  <c r="G194" i="7"/>
  <c r="I194" i="7" s="1"/>
  <c r="J194" i="7" s="1"/>
  <c r="Y193" i="9" s="1"/>
  <c r="G182" i="7"/>
  <c r="I182" i="7" s="1"/>
  <c r="J182" i="7" s="1"/>
  <c r="Y181" i="9" s="1"/>
  <c r="G170" i="7"/>
  <c r="I170" i="7" s="1"/>
  <c r="J170" i="7" s="1"/>
  <c r="Y169" i="9" s="1"/>
  <c r="G158" i="7"/>
  <c r="I158" i="7" s="1"/>
  <c r="J158" i="7" s="1"/>
  <c r="Y157" i="9" s="1"/>
  <c r="G134" i="7"/>
  <c r="I134" i="7" s="1"/>
  <c r="J134" i="7" s="1"/>
  <c r="Y133" i="9" s="1"/>
  <c r="W133" i="9" s="1"/>
  <c r="G122" i="7"/>
  <c r="I122" i="7" s="1"/>
  <c r="J122" i="7" s="1"/>
  <c r="Y121" i="9" s="1"/>
  <c r="W121" i="9" s="1"/>
  <c r="G110" i="7"/>
  <c r="I110" i="7" s="1"/>
  <c r="J110" i="7" s="1"/>
  <c r="Y109" i="9" s="1"/>
  <c r="W109" i="9" s="1"/>
  <c r="G86" i="7"/>
  <c r="I86" i="7" s="1"/>
  <c r="J86" i="7" s="1"/>
  <c r="Y85" i="9" s="1"/>
  <c r="G74" i="7"/>
  <c r="I74" i="7" s="1"/>
  <c r="J74" i="7" s="1"/>
  <c r="Y73" i="9" s="1"/>
  <c r="W73" i="9" s="1"/>
  <c r="G62" i="7"/>
  <c r="I62" i="7" s="1"/>
  <c r="J62" i="7" s="1"/>
  <c r="Y61" i="9" s="1"/>
  <c r="G38" i="7"/>
  <c r="I38" i="7" s="1"/>
  <c r="J38" i="7" s="1"/>
  <c r="Y37" i="9" s="1"/>
  <c r="W37" i="9" s="1"/>
  <c r="G26" i="7"/>
  <c r="I26" i="7" s="1"/>
  <c r="J26" i="7" s="1"/>
  <c r="Y25" i="9" s="1"/>
  <c r="W25" i="9" s="1"/>
  <c r="G14" i="7"/>
  <c r="I14" i="7" s="1"/>
  <c r="J14" i="7" s="1"/>
  <c r="Y13" i="9" s="1"/>
  <c r="W13" i="9" s="1"/>
  <c r="G769" i="7"/>
  <c r="I769" i="7" s="1"/>
  <c r="J769" i="7" s="1"/>
  <c r="Y768" i="9" s="1"/>
  <c r="G757" i="7"/>
  <c r="I757" i="7" s="1"/>
  <c r="J757" i="7" s="1"/>
  <c r="Y756" i="9" s="1"/>
  <c r="G745" i="7"/>
  <c r="I745" i="7" s="1"/>
  <c r="J745" i="7" s="1"/>
  <c r="Y744" i="9" s="1"/>
  <c r="G733" i="7"/>
  <c r="I733" i="7" s="1"/>
  <c r="J733" i="7" s="1"/>
  <c r="Y732" i="9" s="1"/>
  <c r="G721" i="7"/>
  <c r="I721" i="7" s="1"/>
  <c r="J721" i="7" s="1"/>
  <c r="Y720" i="9" s="1"/>
  <c r="G709" i="7"/>
  <c r="I709" i="7" s="1"/>
  <c r="J709" i="7" s="1"/>
  <c r="Y708" i="9" s="1"/>
  <c r="G697" i="7"/>
  <c r="I697" i="7" s="1"/>
  <c r="J697" i="7" s="1"/>
  <c r="Y696" i="9" s="1"/>
  <c r="G685" i="7"/>
  <c r="I685" i="7" s="1"/>
  <c r="J685" i="7" s="1"/>
  <c r="Y684" i="9" s="1"/>
  <c r="G673" i="7"/>
  <c r="I673" i="7" s="1"/>
  <c r="J673" i="7" s="1"/>
  <c r="Y672" i="9" s="1"/>
  <c r="W672" i="9" s="1"/>
  <c r="G661" i="7"/>
  <c r="I661" i="7" s="1"/>
  <c r="J661" i="7" s="1"/>
  <c r="Y660" i="9" s="1"/>
  <c r="G649" i="7"/>
  <c r="I649" i="7" s="1"/>
  <c r="J649" i="7" s="1"/>
  <c r="Y648" i="9" s="1"/>
  <c r="G637" i="7"/>
  <c r="I637" i="7" s="1"/>
  <c r="J637" i="7" s="1"/>
  <c r="Y636" i="9" s="1"/>
  <c r="G625" i="7"/>
  <c r="I625" i="7" s="1"/>
  <c r="J625" i="7" s="1"/>
  <c r="Y624" i="9" s="1"/>
  <c r="G613" i="7"/>
  <c r="I613" i="7" s="1"/>
  <c r="J613" i="7" s="1"/>
  <c r="Y612" i="9" s="1"/>
  <c r="G601" i="7"/>
  <c r="I601" i="7" s="1"/>
  <c r="J601" i="7" s="1"/>
  <c r="Y600" i="9" s="1"/>
  <c r="G589" i="7"/>
  <c r="I589" i="7" s="1"/>
  <c r="J589" i="7" s="1"/>
  <c r="Y588" i="9" s="1"/>
  <c r="G577" i="7"/>
  <c r="I577" i="7" s="1"/>
  <c r="J577" i="7" s="1"/>
  <c r="Y576" i="9" s="1"/>
  <c r="G565" i="7"/>
  <c r="I565" i="7" s="1"/>
  <c r="J565" i="7" s="1"/>
  <c r="Y564" i="9" s="1"/>
  <c r="G553" i="7"/>
  <c r="I553" i="7" s="1"/>
  <c r="J553" i="7" s="1"/>
  <c r="Y552" i="9" s="1"/>
  <c r="W552" i="9" s="1"/>
  <c r="G541" i="7"/>
  <c r="I541" i="7" s="1"/>
  <c r="J541" i="7" s="1"/>
  <c r="Y540" i="9" s="1"/>
  <c r="G529" i="7"/>
  <c r="I529" i="7" s="1"/>
  <c r="J529" i="7" s="1"/>
  <c r="Y528" i="9" s="1"/>
  <c r="G517" i="7"/>
  <c r="I517" i="7" s="1"/>
  <c r="J517" i="7" s="1"/>
  <c r="Y516" i="9" s="1"/>
  <c r="G505" i="7"/>
  <c r="I505" i="7" s="1"/>
  <c r="J505" i="7" s="1"/>
  <c r="Y504" i="9" s="1"/>
  <c r="G493" i="7"/>
  <c r="I493" i="7" s="1"/>
  <c r="J493" i="7" s="1"/>
  <c r="Y492" i="9" s="1"/>
  <c r="G481" i="7"/>
  <c r="I481" i="7" s="1"/>
  <c r="J481" i="7" s="1"/>
  <c r="Y480" i="9" s="1"/>
  <c r="G469" i="7"/>
  <c r="I469" i="7" s="1"/>
  <c r="J469" i="7" s="1"/>
  <c r="Y468" i="9" s="1"/>
  <c r="G457" i="7"/>
  <c r="I457" i="7" s="1"/>
  <c r="J457" i="7" s="1"/>
  <c r="Y456" i="9" s="1"/>
  <c r="G445" i="7"/>
  <c r="I445" i="7" s="1"/>
  <c r="J445" i="7" s="1"/>
  <c r="Y444" i="9" s="1"/>
  <c r="W444" i="9" s="1"/>
  <c r="G433" i="7"/>
  <c r="I433" i="7" s="1"/>
  <c r="J433" i="7" s="1"/>
  <c r="Y432" i="9" s="1"/>
  <c r="G421" i="7"/>
  <c r="I421" i="7" s="1"/>
  <c r="J421" i="7" s="1"/>
  <c r="Y420" i="9" s="1"/>
  <c r="G409" i="7"/>
  <c r="I409" i="7" s="1"/>
  <c r="J409" i="7" s="1"/>
  <c r="Y408" i="9" s="1"/>
  <c r="G397" i="7"/>
  <c r="I397" i="7" s="1"/>
  <c r="J397" i="7" s="1"/>
  <c r="Y396" i="9" s="1"/>
  <c r="G385" i="7"/>
  <c r="I385" i="7" s="1"/>
  <c r="J385" i="7" s="1"/>
  <c r="Y384" i="9" s="1"/>
  <c r="G373" i="7"/>
  <c r="I373" i="7" s="1"/>
  <c r="J373" i="7" s="1"/>
  <c r="Y372" i="9" s="1"/>
  <c r="G361" i="7"/>
  <c r="I361" i="7" s="1"/>
  <c r="J361" i="7" s="1"/>
  <c r="Y360" i="9" s="1"/>
  <c r="G337" i="7"/>
  <c r="I337" i="7" s="1"/>
  <c r="J337" i="7" s="1"/>
  <c r="Y336" i="9" s="1"/>
  <c r="G325" i="7"/>
  <c r="I325" i="7" s="1"/>
  <c r="J325" i="7" s="1"/>
  <c r="Y324" i="9" s="1"/>
  <c r="G313" i="7"/>
  <c r="I313" i="7" s="1"/>
  <c r="J313" i="7" s="1"/>
  <c r="Y312" i="9" s="1"/>
  <c r="G289" i="7"/>
  <c r="I289" i="7" s="1"/>
  <c r="J289" i="7" s="1"/>
  <c r="Y288" i="9" s="1"/>
  <c r="W288" i="9" s="1"/>
  <c r="G277" i="7"/>
  <c r="I277" i="7" s="1"/>
  <c r="J277" i="7" s="1"/>
  <c r="Y276" i="9" s="1"/>
  <c r="G265" i="7"/>
  <c r="I265" i="7" s="1"/>
  <c r="J265" i="7" s="1"/>
  <c r="Y264" i="9" s="1"/>
  <c r="G241" i="7"/>
  <c r="I241" i="7" s="1"/>
  <c r="J241" i="7" s="1"/>
  <c r="Y240" i="9" s="1"/>
  <c r="G229" i="7"/>
  <c r="I229" i="7" s="1"/>
  <c r="J229" i="7" s="1"/>
  <c r="Y228" i="9" s="1"/>
  <c r="G217" i="7"/>
  <c r="I217" i="7" s="1"/>
  <c r="J217" i="7" s="1"/>
  <c r="Y216" i="9" s="1"/>
  <c r="G193" i="7"/>
  <c r="I193" i="7" s="1"/>
  <c r="J193" i="7" s="1"/>
  <c r="Y192" i="9" s="1"/>
  <c r="G181" i="7"/>
  <c r="I181" i="7" s="1"/>
  <c r="J181" i="7" s="1"/>
  <c r="Y180" i="9" s="1"/>
  <c r="G169" i="7"/>
  <c r="I169" i="7" s="1"/>
  <c r="J169" i="7" s="1"/>
  <c r="Y168" i="9" s="1"/>
  <c r="G157" i="7"/>
  <c r="I157" i="7" s="1"/>
  <c r="J157" i="7" s="1"/>
  <c r="Y156" i="9" s="1"/>
  <c r="G145" i="7"/>
  <c r="I145" i="7" s="1"/>
  <c r="J145" i="7" s="1"/>
  <c r="Y144" i="9" s="1"/>
  <c r="G133" i="7"/>
  <c r="I133" i="7" s="1"/>
  <c r="J133" i="7" s="1"/>
  <c r="Y132" i="9" s="1"/>
  <c r="W132" i="9" s="1"/>
  <c r="G121" i="7"/>
  <c r="I121" i="7" s="1"/>
  <c r="J121" i="7" s="1"/>
  <c r="Y120" i="9" s="1"/>
  <c r="W120" i="9" s="1"/>
  <c r="G109" i="7"/>
  <c r="I109" i="7" s="1"/>
  <c r="J109" i="7" s="1"/>
  <c r="Y108" i="9" s="1"/>
  <c r="W108" i="9" s="1"/>
  <c r="G97" i="7"/>
  <c r="I97" i="7" s="1"/>
  <c r="J97" i="7" s="1"/>
  <c r="Y96" i="9" s="1"/>
  <c r="W96" i="9" s="1"/>
  <c r="G85" i="7"/>
  <c r="I85" i="7" s="1"/>
  <c r="J85" i="7" s="1"/>
  <c r="Y84" i="9" s="1"/>
  <c r="G73" i="7"/>
  <c r="I73" i="7" s="1"/>
  <c r="J73" i="7" s="1"/>
  <c r="Y72" i="9" s="1"/>
  <c r="W72" i="9" s="1"/>
  <c r="G61" i="7"/>
  <c r="I61" i="7" s="1"/>
  <c r="J61" i="7" s="1"/>
  <c r="Y60" i="9" s="1"/>
  <c r="G49" i="7"/>
  <c r="I49" i="7" s="1"/>
  <c r="J49" i="7" s="1"/>
  <c r="Y48" i="9" s="1"/>
  <c r="W48" i="9" s="1"/>
  <c r="G37" i="7"/>
  <c r="I37" i="7" s="1"/>
  <c r="J37" i="7" s="1"/>
  <c r="Y36" i="9" s="1"/>
  <c r="W36" i="9" s="1"/>
  <c r="G25" i="7"/>
  <c r="I25" i="7" s="1"/>
  <c r="J25" i="7" s="1"/>
  <c r="Y24" i="9" s="1"/>
  <c r="W24" i="9" s="1"/>
  <c r="G13" i="7"/>
  <c r="I13" i="7" s="1"/>
  <c r="J13" i="7" s="1"/>
  <c r="Y12" i="9" s="1"/>
  <c r="W12" i="9" s="1"/>
  <c r="G768" i="7"/>
  <c r="I768" i="7" s="1"/>
  <c r="J768" i="7" s="1"/>
  <c r="Y767" i="9" s="1"/>
  <c r="G756" i="7"/>
  <c r="I756" i="7" s="1"/>
  <c r="J756" i="7" s="1"/>
  <c r="Y755" i="9" s="1"/>
  <c r="W755" i="9" s="1"/>
  <c r="G744" i="7"/>
  <c r="I744" i="7" s="1"/>
  <c r="J744" i="7" s="1"/>
  <c r="Y743" i="9" s="1"/>
  <c r="W743" i="9" s="1"/>
  <c r="G732" i="7"/>
  <c r="G720" i="7"/>
  <c r="I720" i="7" s="1"/>
  <c r="J720" i="7" s="1"/>
  <c r="Y719" i="9" s="1"/>
  <c r="G708" i="7"/>
  <c r="I708" i="7" s="1"/>
  <c r="J708" i="7" s="1"/>
  <c r="Y707" i="9" s="1"/>
  <c r="G696" i="7"/>
  <c r="I696" i="7" s="1"/>
  <c r="J696" i="7" s="1"/>
  <c r="Y695" i="9" s="1"/>
  <c r="G684" i="7"/>
  <c r="I684" i="7" s="1"/>
  <c r="J684" i="7" s="1"/>
  <c r="Y683" i="9" s="1"/>
  <c r="G672" i="7"/>
  <c r="I672" i="7" s="1"/>
  <c r="J672" i="7" s="1"/>
  <c r="Y671" i="9" s="1"/>
  <c r="G660" i="7"/>
  <c r="I660" i="7" s="1"/>
  <c r="J660" i="7" s="1"/>
  <c r="Y659" i="9" s="1"/>
  <c r="G648" i="7"/>
  <c r="I648" i="7" s="1"/>
  <c r="J648" i="7" s="1"/>
  <c r="Y647" i="9" s="1"/>
  <c r="G636" i="7"/>
  <c r="I636" i="7" s="1"/>
  <c r="J636" i="7" s="1"/>
  <c r="Y635" i="9" s="1"/>
  <c r="G624" i="7"/>
  <c r="I624" i="7" s="1"/>
  <c r="J624" i="7" s="1"/>
  <c r="Y623" i="9" s="1"/>
  <c r="G612" i="7"/>
  <c r="I612" i="7" s="1"/>
  <c r="J612" i="7" s="1"/>
  <c r="Y611" i="9" s="1"/>
  <c r="G600" i="7"/>
  <c r="I600" i="7" s="1"/>
  <c r="J600" i="7" s="1"/>
  <c r="Y599" i="9" s="1"/>
  <c r="G588" i="7"/>
  <c r="I588" i="7" s="1"/>
  <c r="J588" i="7" s="1"/>
  <c r="Y587" i="9" s="1"/>
  <c r="G576" i="7"/>
  <c r="I576" i="7" s="1"/>
  <c r="J576" i="7" s="1"/>
  <c r="Y575" i="9" s="1"/>
  <c r="W575" i="9" s="1"/>
  <c r="G564" i="7"/>
  <c r="I564" i="7" s="1"/>
  <c r="J564" i="7" s="1"/>
  <c r="Y563" i="9" s="1"/>
  <c r="G552" i="7"/>
  <c r="I552" i="7" s="1"/>
  <c r="J552" i="7" s="1"/>
  <c r="Y551" i="9" s="1"/>
  <c r="G540" i="7"/>
  <c r="I540" i="7" s="1"/>
  <c r="J540" i="7" s="1"/>
  <c r="Y539" i="9" s="1"/>
  <c r="W539" i="9" s="1"/>
  <c r="G528" i="7"/>
  <c r="I528" i="7" s="1"/>
  <c r="J528" i="7" s="1"/>
  <c r="Y527" i="9" s="1"/>
  <c r="G516" i="7"/>
  <c r="I516" i="7" s="1"/>
  <c r="J516" i="7" s="1"/>
  <c r="Y515" i="9" s="1"/>
  <c r="G504" i="7"/>
  <c r="I504" i="7" s="1"/>
  <c r="J504" i="7" s="1"/>
  <c r="Y503" i="9" s="1"/>
  <c r="W503" i="9" s="1"/>
  <c r="G492" i="7"/>
  <c r="I492" i="7" s="1"/>
  <c r="J492" i="7" s="1"/>
  <c r="Y491" i="9" s="1"/>
  <c r="W491" i="9" s="1"/>
  <c r="G480" i="7"/>
  <c r="I480" i="7" s="1"/>
  <c r="J480" i="7" s="1"/>
  <c r="Y479" i="9" s="1"/>
  <c r="G468" i="7"/>
  <c r="I468" i="7" s="1"/>
  <c r="J468" i="7" s="1"/>
  <c r="Y467" i="9" s="1"/>
  <c r="G456" i="7"/>
  <c r="I456" i="7" s="1"/>
  <c r="J456" i="7" s="1"/>
  <c r="Y455" i="9" s="1"/>
  <c r="W455" i="9" s="1"/>
  <c r="G444" i="7"/>
  <c r="I444" i="7" s="1"/>
  <c r="J444" i="7" s="1"/>
  <c r="Y443" i="9" s="1"/>
  <c r="W443" i="9" s="1"/>
  <c r="G432" i="7"/>
  <c r="I432" i="7" s="1"/>
  <c r="J432" i="7" s="1"/>
  <c r="Y431" i="9" s="1"/>
  <c r="G420" i="7"/>
  <c r="I420" i="7" s="1"/>
  <c r="J420" i="7" s="1"/>
  <c r="Y419" i="9" s="1"/>
  <c r="G408" i="7"/>
  <c r="I408" i="7" s="1"/>
  <c r="J408" i="7" s="1"/>
  <c r="Y407" i="9" s="1"/>
  <c r="G396" i="7"/>
  <c r="I396" i="7" s="1"/>
  <c r="J396" i="7" s="1"/>
  <c r="Y395" i="9" s="1"/>
  <c r="G384" i="7"/>
  <c r="I384" i="7" s="1"/>
  <c r="J384" i="7" s="1"/>
  <c r="Y383" i="9" s="1"/>
  <c r="G372" i="7"/>
  <c r="I372" i="7" s="1"/>
  <c r="J372" i="7" s="1"/>
  <c r="Y371" i="9" s="1"/>
  <c r="G360" i="7"/>
  <c r="I360" i="7" s="1"/>
  <c r="J360" i="7" s="1"/>
  <c r="Y359" i="9" s="1"/>
  <c r="G348" i="7"/>
  <c r="I348" i="7" s="1"/>
  <c r="J348" i="7" s="1"/>
  <c r="Y347" i="9" s="1"/>
  <c r="G336" i="7"/>
  <c r="I336" i="7" s="1"/>
  <c r="J336" i="7" s="1"/>
  <c r="Y335" i="9" s="1"/>
  <c r="G324" i="7"/>
  <c r="I324" i="7" s="1"/>
  <c r="J324" i="7" s="1"/>
  <c r="Y323" i="9" s="1"/>
  <c r="G312" i="7"/>
  <c r="I312" i="7" s="1"/>
  <c r="J312" i="7" s="1"/>
  <c r="Y311" i="9" s="1"/>
  <c r="G300" i="7"/>
  <c r="I300" i="7" s="1"/>
  <c r="J300" i="7" s="1"/>
  <c r="Y299" i="9" s="1"/>
  <c r="W299" i="9" s="1"/>
  <c r="G288" i="7"/>
  <c r="I288" i="7" s="1"/>
  <c r="J288" i="7" s="1"/>
  <c r="Y287" i="9" s="1"/>
  <c r="G276" i="7"/>
  <c r="I276" i="7" s="1"/>
  <c r="J276" i="7" s="1"/>
  <c r="Y275" i="9" s="1"/>
  <c r="G264" i="7"/>
  <c r="I264" i="7" s="1"/>
  <c r="J264" i="7" s="1"/>
  <c r="Y263" i="9" s="1"/>
  <c r="G252" i="7"/>
  <c r="I252" i="7" s="1"/>
  <c r="J252" i="7" s="1"/>
  <c r="Y251" i="9" s="1"/>
  <c r="G240" i="7"/>
  <c r="I240" i="7" s="1"/>
  <c r="J240" i="7" s="1"/>
  <c r="Y239" i="9" s="1"/>
  <c r="G228" i="7"/>
  <c r="I228" i="7" s="1"/>
  <c r="J228" i="7" s="1"/>
  <c r="Y227" i="9" s="1"/>
  <c r="G216" i="7"/>
  <c r="I216" i="7" s="1"/>
  <c r="J216" i="7" s="1"/>
  <c r="Y215" i="9" s="1"/>
  <c r="G204" i="7"/>
  <c r="I204" i="7" s="1"/>
  <c r="J204" i="7" s="1"/>
  <c r="Y203" i="9" s="1"/>
  <c r="W203" i="9" s="1"/>
  <c r="G192" i="7"/>
  <c r="I192" i="7" s="1"/>
  <c r="J192" i="7" s="1"/>
  <c r="Y191" i="9" s="1"/>
  <c r="G168" i="7"/>
  <c r="I168" i="7" s="1"/>
  <c r="J168" i="7" s="1"/>
  <c r="Y167" i="9" s="1"/>
  <c r="W167" i="9" s="1"/>
  <c r="G156" i="7"/>
  <c r="I156" i="7" s="1"/>
  <c r="J156" i="7" s="1"/>
  <c r="Y155" i="9" s="1"/>
  <c r="G144" i="7"/>
  <c r="I144" i="7" s="1"/>
  <c r="J144" i="7" s="1"/>
  <c r="Y143" i="9" s="1"/>
  <c r="W143" i="9" s="1"/>
  <c r="G120" i="7"/>
  <c r="I120" i="7" s="1"/>
  <c r="J120" i="7" s="1"/>
  <c r="Y119" i="9" s="1"/>
  <c r="W119" i="9" s="1"/>
  <c r="G108" i="7"/>
  <c r="I108" i="7" s="1"/>
  <c r="J108" i="7" s="1"/>
  <c r="Y107" i="9" s="1"/>
  <c r="G96" i="7"/>
  <c r="I96" i="7" s="1"/>
  <c r="J96" i="7" s="1"/>
  <c r="Y95" i="9" s="1"/>
  <c r="G72" i="7"/>
  <c r="I72" i="7" s="1"/>
  <c r="J72" i="7" s="1"/>
  <c r="Y71" i="9" s="1"/>
  <c r="W71" i="9" s="1"/>
  <c r="G60" i="7"/>
  <c r="I60" i="7" s="1"/>
  <c r="J60" i="7" s="1"/>
  <c r="Y59" i="9" s="1"/>
  <c r="G48" i="7"/>
  <c r="I48" i="7" s="1"/>
  <c r="J48" i="7" s="1"/>
  <c r="Y47" i="9" s="1"/>
  <c r="W47" i="9" s="1"/>
  <c r="G24" i="7"/>
  <c r="I24" i="7" s="1"/>
  <c r="J24" i="7" s="1"/>
  <c r="Y23" i="9" s="1"/>
  <c r="W23" i="9" s="1"/>
  <c r="G12" i="7"/>
  <c r="I12" i="7" s="1"/>
  <c r="J12" i="7" s="1"/>
  <c r="Y11" i="9" s="1"/>
  <c r="W11" i="9" s="1"/>
  <c r="G235" i="7"/>
  <c r="I235" i="7" s="1"/>
  <c r="J235" i="7" s="1"/>
  <c r="Y234" i="9" s="1"/>
  <c r="G223" i="7"/>
  <c r="I223" i="7" s="1"/>
  <c r="J223" i="7" s="1"/>
  <c r="Y222" i="9" s="1"/>
  <c r="W222" i="9" s="1"/>
  <c r="G211" i="7"/>
  <c r="I211" i="7" s="1"/>
  <c r="J211" i="7" s="1"/>
  <c r="Y210" i="9" s="1"/>
  <c r="W210" i="9" s="1"/>
  <c r="G199" i="7"/>
  <c r="I199" i="7" s="1"/>
  <c r="J199" i="7" s="1"/>
  <c r="Y198" i="9" s="1"/>
  <c r="G187" i="7"/>
  <c r="I187" i="7" s="1"/>
  <c r="J187" i="7" s="1"/>
  <c r="Y186" i="9" s="1"/>
  <c r="BH31" i="7" a="1"/>
  <c r="BH31" i="7" s="1"/>
  <c r="BH8" i="7" a="1"/>
  <c r="BH8" i="7" s="1"/>
  <c r="BH44" i="7" a="1"/>
  <c r="BH44" i="7" s="1"/>
  <c r="BH80" i="7" a="1"/>
  <c r="BH80" i="7" s="1"/>
  <c r="BH116" i="7" a="1"/>
  <c r="BH116" i="7" s="1"/>
  <c r="BH152" i="7" a="1"/>
  <c r="BH152" i="7" s="1"/>
  <c r="BH188" i="7" a="1"/>
  <c r="BH188" i="7" s="1"/>
  <c r="C188" i="7" s="1"/>
  <c r="BH33" i="7" a="1"/>
  <c r="BH33" i="7" s="1"/>
  <c r="BH69" i="7" a="1"/>
  <c r="BH69" i="7" s="1"/>
  <c r="BH105" i="7" a="1"/>
  <c r="BH105" i="7" s="1"/>
  <c r="BH141" i="7" a="1"/>
  <c r="BH141" i="7" s="1"/>
  <c r="BH177" i="7" a="1"/>
  <c r="BH177" i="7" s="1"/>
  <c r="BH759" i="7" a="1"/>
  <c r="BH759" i="7" s="1"/>
  <c r="BH747" i="7" a="1"/>
  <c r="BH747" i="7" s="1"/>
  <c r="BH735" i="7" a="1"/>
  <c r="BH735" i="7" s="1"/>
  <c r="BH723" i="7" a="1"/>
  <c r="BH723" i="7" s="1"/>
  <c r="BH711" i="7" a="1"/>
  <c r="BH711" i="7" s="1"/>
  <c r="BH699" i="7" a="1"/>
  <c r="BH699" i="7" s="1"/>
  <c r="BH688" i="7" a="1"/>
  <c r="BH688" i="7" s="1"/>
  <c r="BH678" i="7" a="1"/>
  <c r="BH678" i="7" s="1"/>
  <c r="BH660" i="7" a="1"/>
  <c r="BH660" i="7" s="1"/>
  <c r="BH642" i="7" a="1"/>
  <c r="BH642" i="7" s="1"/>
  <c r="BH624" i="7" a="1"/>
  <c r="BH624" i="7" s="1"/>
  <c r="BH606" i="7" a="1"/>
  <c r="BH606" i="7" s="1"/>
  <c r="BH589" i="7" a="1"/>
  <c r="BH589" i="7" s="1"/>
  <c r="C589" i="7" s="1"/>
  <c r="BH574" i="7" a="1"/>
  <c r="BH574" i="7" s="1"/>
  <c r="BH567" i="7" a="1"/>
  <c r="BH567" i="7" s="1"/>
  <c r="BH560" i="7" a="1"/>
  <c r="BH560" i="7" s="1"/>
  <c r="BH538" i="7" a="1"/>
  <c r="BH538" i="7" s="1"/>
  <c r="BH531" i="7" a="1"/>
  <c r="BH531" i="7" s="1"/>
  <c r="BH524" i="7" a="1"/>
  <c r="BH524" i="7" s="1"/>
  <c r="BH508" i="7" a="1"/>
  <c r="BH508" i="7" s="1"/>
  <c r="BH496" i="7" a="1"/>
  <c r="BH496" i="7" s="1"/>
  <c r="C496" i="7" s="1"/>
  <c r="BH484" i="7" a="1"/>
  <c r="BH484" i="7" s="1"/>
  <c r="BH472" i="7" a="1"/>
  <c r="BH472" i="7" s="1"/>
  <c r="BH460" i="7" a="1"/>
  <c r="BH460" i="7" s="1"/>
  <c r="BH448" i="7" a="1"/>
  <c r="BH448" i="7" s="1"/>
  <c r="C448" i="7" s="1"/>
  <c r="BH436" i="7" a="1"/>
  <c r="BH436" i="7" s="1"/>
  <c r="BH415" i="7" a="1"/>
  <c r="BH415" i="7" s="1"/>
  <c r="BH404" i="7" a="1"/>
  <c r="BH404" i="7" s="1"/>
  <c r="BH393" i="7" a="1"/>
  <c r="BH393" i="7" s="1"/>
  <c r="BH382" i="7" a="1"/>
  <c r="BH382" i="7" s="1"/>
  <c r="BH371" i="7" a="1"/>
  <c r="BH371" i="7" s="1"/>
  <c r="BH361" i="7" a="1"/>
  <c r="BH361" i="7" s="1"/>
  <c r="BH350" i="7" a="1"/>
  <c r="BH350" i="7" s="1"/>
  <c r="BH339" i="7" a="1"/>
  <c r="BH339" i="7" s="1"/>
  <c r="BH327" i="7" a="1"/>
  <c r="BH327" i="7" s="1"/>
  <c r="BH316" i="7" a="1"/>
  <c r="BH316" i="7" s="1"/>
  <c r="BH305" i="7" a="1"/>
  <c r="BH305" i="7" s="1"/>
  <c r="C305" i="7" s="1"/>
  <c r="BH294" i="7" a="1"/>
  <c r="BH294" i="7" s="1"/>
  <c r="BH283" i="7" a="1"/>
  <c r="BH283" i="7" s="1"/>
  <c r="BH261" i="7" a="1"/>
  <c r="BH261" i="7" s="1"/>
  <c r="BH251" i="7" a="1"/>
  <c r="BH251" i="7" s="1"/>
  <c r="BH240" i="7" a="1"/>
  <c r="BH240" i="7" s="1"/>
  <c r="BH229" i="7" a="1"/>
  <c r="BH229" i="7" s="1"/>
  <c r="BH208" i="7" a="1"/>
  <c r="BH208" i="7" s="1"/>
  <c r="BH198" i="7" a="1"/>
  <c r="BH198" i="7" s="1"/>
  <c r="BH187" i="7" a="1"/>
  <c r="BH187" i="7" s="1"/>
  <c r="BH174" i="7" a="1"/>
  <c r="BH174" i="7" s="1"/>
  <c r="BH160" i="7" a="1"/>
  <c r="BH160" i="7" s="1"/>
  <c r="BH147" i="7" a="1"/>
  <c r="BH147" i="7" s="1"/>
  <c r="BH133" i="7" a="1"/>
  <c r="BH133" i="7" s="1"/>
  <c r="BH119" i="7" a="1"/>
  <c r="BH119" i="7" s="1"/>
  <c r="C119" i="7" s="1"/>
  <c r="BH104" i="7" a="1"/>
  <c r="BH104" i="7" s="1"/>
  <c r="BH88" i="7" a="1"/>
  <c r="BH88" i="7" s="1"/>
  <c r="BH73" i="7" a="1"/>
  <c r="BH73" i="7" s="1"/>
  <c r="BH57" i="7" a="1"/>
  <c r="BH57" i="7" s="1"/>
  <c r="BH42" i="7" a="1"/>
  <c r="BH42" i="7" s="1"/>
  <c r="BH11" i="7" a="1"/>
  <c r="BH11" i="7" s="1"/>
  <c r="BH10" i="7" a="1"/>
  <c r="BH10" i="7" s="1"/>
  <c r="BH758" i="7" a="1"/>
  <c r="BH758" i="7" s="1"/>
  <c r="BH746" i="7" a="1"/>
  <c r="BH746" i="7" s="1"/>
  <c r="BH734" i="7" a="1"/>
  <c r="BH734" i="7" s="1"/>
  <c r="BH722" i="7" a="1"/>
  <c r="BH722" i="7" s="1"/>
  <c r="BH710" i="7" a="1"/>
  <c r="BH710" i="7" s="1"/>
  <c r="BH698" i="7" a="1"/>
  <c r="BH698" i="7" s="1"/>
  <c r="BH687" i="7" a="1"/>
  <c r="BH687" i="7" s="1"/>
  <c r="BH669" i="7" a="1"/>
  <c r="BH669" i="7" s="1"/>
  <c r="BH651" i="7" a="1"/>
  <c r="BH651" i="7" s="1"/>
  <c r="BH633" i="7" a="1"/>
  <c r="BH633" i="7" s="1"/>
  <c r="BH615" i="7" a="1"/>
  <c r="BH615" i="7" s="1"/>
  <c r="BH597" i="7" a="1"/>
  <c r="BH597" i="7" s="1"/>
  <c r="BH588" i="7" a="1"/>
  <c r="BH588" i="7" s="1"/>
  <c r="BH581" i="7" a="1"/>
  <c r="BH581" i="7" s="1"/>
  <c r="BH559" i="7" a="1"/>
  <c r="BH559" i="7" s="1"/>
  <c r="C559" i="7" s="1"/>
  <c r="BH552" i="7" a="1"/>
  <c r="BH552" i="7" s="1"/>
  <c r="BH545" i="7" a="1"/>
  <c r="BH545" i="7" s="1"/>
  <c r="C545" i="7" s="1"/>
  <c r="BH517" i="7" a="1"/>
  <c r="BH517" i="7" s="1"/>
  <c r="BH507" i="7" a="1"/>
  <c r="BH507" i="7" s="1"/>
  <c r="BH495" i="7" a="1"/>
  <c r="BH495" i="7" s="1"/>
  <c r="BH483" i="7" a="1"/>
  <c r="BH483" i="7" s="1"/>
  <c r="C483" i="7" s="1"/>
  <c r="BH471" i="7" a="1"/>
  <c r="BH471" i="7" s="1"/>
  <c r="BH459" i="7" a="1"/>
  <c r="BH459" i="7" s="1"/>
  <c r="C459" i="7" s="1"/>
  <c r="BH447" i="7" a="1"/>
  <c r="BH447" i="7" s="1"/>
  <c r="BH435" i="7" a="1"/>
  <c r="BH435" i="7" s="1"/>
  <c r="BH425" i="7" a="1"/>
  <c r="BH425" i="7" s="1"/>
  <c r="BH414" i="7" a="1"/>
  <c r="BH414" i="7" s="1"/>
  <c r="C414" i="7" s="1"/>
  <c r="BH403" i="7" a="1"/>
  <c r="BH403" i="7" s="1"/>
  <c r="BH392" i="7" a="1"/>
  <c r="BH392" i="7" s="1"/>
  <c r="BH381" i="7" a="1"/>
  <c r="BH381" i="7" s="1"/>
  <c r="BH370" i="7" a="1"/>
  <c r="BH370" i="7" s="1"/>
  <c r="BH360" i="7" a="1"/>
  <c r="BH360" i="7" s="1"/>
  <c r="BH349" i="7" a="1"/>
  <c r="BH349" i="7" s="1"/>
  <c r="C349" i="7" s="1"/>
  <c r="BH338" i="7" a="1"/>
  <c r="BH338" i="7" s="1"/>
  <c r="BH315" i="7" a="1"/>
  <c r="BH315" i="7" s="1"/>
  <c r="BH304" i="7" a="1"/>
  <c r="BH304" i="7" s="1"/>
  <c r="BH293" i="7" a="1"/>
  <c r="BH293" i="7" s="1"/>
  <c r="BH282" i="7" a="1"/>
  <c r="BH282" i="7" s="1"/>
  <c r="BH272" i="7" a="1"/>
  <c r="BH272" i="7" s="1"/>
  <c r="C272" i="7" s="1"/>
  <c r="BH250" i="7" a="1"/>
  <c r="BH250" i="7" s="1"/>
  <c r="BH239" i="7" a="1"/>
  <c r="BH239" i="7" s="1"/>
  <c r="BH228" i="7" a="1"/>
  <c r="BH228" i="7" s="1"/>
  <c r="BH218" i="7" a="1"/>
  <c r="BH218" i="7" s="1"/>
  <c r="BH207" i="7" a="1"/>
  <c r="BH207" i="7" s="1"/>
  <c r="BH197" i="7" a="1"/>
  <c r="BH197" i="7" s="1"/>
  <c r="C197" i="7" s="1"/>
  <c r="BH186" i="7" a="1"/>
  <c r="BH186" i="7" s="1"/>
  <c r="BH173" i="7" a="1"/>
  <c r="BH173" i="7" s="1"/>
  <c r="C173" i="7" s="1"/>
  <c r="BH159" i="7" a="1"/>
  <c r="BH159" i="7" s="1"/>
  <c r="BH146" i="7" a="1"/>
  <c r="BH146" i="7" s="1"/>
  <c r="BH132" i="7" a="1"/>
  <c r="BH132" i="7" s="1"/>
  <c r="BH117" i="7" a="1"/>
  <c r="BH117" i="7" s="1"/>
  <c r="BH102" i="7" a="1"/>
  <c r="BH102" i="7" s="1"/>
  <c r="BH71" i="7" a="1"/>
  <c r="BH71" i="7" s="1"/>
  <c r="BH56" i="7" a="1"/>
  <c r="BH56" i="7" s="1"/>
  <c r="BH40" i="7" a="1"/>
  <c r="BH40" i="7" s="1"/>
  <c r="BH25" i="7" a="1"/>
  <c r="BH25" i="7" s="1"/>
  <c r="BH9" i="7" a="1"/>
  <c r="BH9" i="7" s="1"/>
  <c r="C9" i="7" s="1"/>
  <c r="BH103" i="7" a="1"/>
  <c r="BH103" i="7" s="1"/>
  <c r="BH46" i="7" a="1"/>
  <c r="BH46" i="7" s="1"/>
  <c r="BH118" i="7" a="1"/>
  <c r="BH118" i="7" s="1"/>
  <c r="BH154" i="7" a="1"/>
  <c r="BH154" i="7" s="1"/>
  <c r="C154" i="7" s="1"/>
  <c r="BH95" i="7" a="1"/>
  <c r="BH95" i="7" s="1"/>
  <c r="BH131" i="7" a="1"/>
  <c r="BH131" i="7" s="1"/>
  <c r="BH167" i="7" a="1"/>
  <c r="BH167" i="7" s="1"/>
  <c r="BH769" i="7" a="1"/>
  <c r="BH769" i="7" s="1"/>
  <c r="BH757" i="7" a="1"/>
  <c r="BH757" i="7" s="1"/>
  <c r="BH745" i="7" a="1"/>
  <c r="BH745" i="7" s="1"/>
  <c r="BH733" i="7" a="1"/>
  <c r="BH733" i="7" s="1"/>
  <c r="BH721" i="7" a="1"/>
  <c r="BH721" i="7" s="1"/>
  <c r="BH709" i="7" a="1"/>
  <c r="BH709" i="7" s="1"/>
  <c r="BH697" i="7" a="1"/>
  <c r="BH697" i="7" s="1"/>
  <c r="BH686" i="7" a="1"/>
  <c r="BH686" i="7" s="1"/>
  <c r="BH677" i="7" a="1"/>
  <c r="BH677" i="7" s="1"/>
  <c r="BH668" i="7" a="1"/>
  <c r="BH668" i="7" s="1"/>
  <c r="BH659" i="7" a="1"/>
  <c r="BH659" i="7" s="1"/>
  <c r="C659" i="7" s="1"/>
  <c r="BH650" i="7" a="1"/>
  <c r="BH650" i="7" s="1"/>
  <c r="BH641" i="7" a="1"/>
  <c r="BH641" i="7" s="1"/>
  <c r="C641" i="7" s="1"/>
  <c r="BH632" i="7" a="1"/>
  <c r="BH632" i="7" s="1"/>
  <c r="BH623" i="7" a="1"/>
  <c r="BH623" i="7" s="1"/>
  <c r="C623" i="7" s="1"/>
  <c r="BH614" i="7" a="1"/>
  <c r="BH614" i="7" s="1"/>
  <c r="BH605" i="7" a="1"/>
  <c r="BH605" i="7" s="1"/>
  <c r="C605" i="7" s="1"/>
  <c r="BH596" i="7" a="1"/>
  <c r="BH596" i="7" s="1"/>
  <c r="BH580" i="7" a="1"/>
  <c r="BH580" i="7" s="1"/>
  <c r="BH573" i="7" a="1"/>
  <c r="BH573" i="7" s="1"/>
  <c r="BH566" i="7" a="1"/>
  <c r="BH566" i="7" s="1"/>
  <c r="BH544" i="7" a="1"/>
  <c r="BH544" i="7" s="1"/>
  <c r="BH537" i="7" a="1"/>
  <c r="BH537" i="7" s="1"/>
  <c r="C537" i="7" s="1"/>
  <c r="BH530" i="7" a="1"/>
  <c r="BH530" i="7" s="1"/>
  <c r="BH523" i="7" a="1"/>
  <c r="BH523" i="7" s="1"/>
  <c r="C523" i="7" s="1"/>
  <c r="BH506" i="7" a="1"/>
  <c r="BH506" i="7" s="1"/>
  <c r="BH494" i="7" a="1"/>
  <c r="BH494" i="7" s="1"/>
  <c r="BH482" i="7" a="1"/>
  <c r="BH482" i="7" s="1"/>
  <c r="BH470" i="7" a="1"/>
  <c r="BH470" i="7" s="1"/>
  <c r="BH458" i="7" a="1"/>
  <c r="BH458" i="7" s="1"/>
  <c r="BH446" i="7" a="1"/>
  <c r="BH446" i="7" s="1"/>
  <c r="BH424" i="7" a="1"/>
  <c r="BH424" i="7" s="1"/>
  <c r="BH413" i="7" a="1"/>
  <c r="BH413" i="7" s="1"/>
  <c r="C413" i="7" s="1"/>
  <c r="BH402" i="7" a="1"/>
  <c r="BH402" i="7" s="1"/>
  <c r="BH391" i="7" a="1"/>
  <c r="BH391" i="7" s="1"/>
  <c r="C391" i="7" s="1"/>
  <c r="BH369" i="7" a="1"/>
  <c r="BH369" i="7" s="1"/>
  <c r="BH359" i="7" a="1"/>
  <c r="BH359" i="7" s="1"/>
  <c r="BH348" i="7" a="1"/>
  <c r="BH348" i="7" s="1"/>
  <c r="BH337" i="7" a="1"/>
  <c r="BH337" i="7" s="1"/>
  <c r="BH326" i="7" a="1"/>
  <c r="BH326" i="7" s="1"/>
  <c r="BH314" i="7" a="1"/>
  <c r="BH314" i="7" s="1"/>
  <c r="BH303" i="7" a="1"/>
  <c r="BH303" i="7" s="1"/>
  <c r="BH292" i="7" a="1"/>
  <c r="BH292" i="7" s="1"/>
  <c r="BH281" i="7" a="1"/>
  <c r="BH281" i="7" s="1"/>
  <c r="BH271" i="7" a="1"/>
  <c r="BH271" i="7" s="1"/>
  <c r="BH260" i="7" a="1"/>
  <c r="BH260" i="7" s="1"/>
  <c r="BH249" i="7" a="1"/>
  <c r="BH249" i="7" s="1"/>
  <c r="BH238" i="7" a="1"/>
  <c r="BH238" i="7" s="1"/>
  <c r="BH227" i="7" a="1"/>
  <c r="BH227" i="7" s="1"/>
  <c r="C227" i="7" s="1"/>
  <c r="BH217" i="7" a="1"/>
  <c r="BH217" i="7" s="1"/>
  <c r="BH196" i="7" a="1"/>
  <c r="BH196" i="7" s="1"/>
  <c r="BH184" i="7" a="1"/>
  <c r="BH184" i="7" s="1"/>
  <c r="BH171" i="7" a="1"/>
  <c r="BH171" i="7" s="1"/>
  <c r="BH145" i="7" a="1"/>
  <c r="BH145" i="7" s="1"/>
  <c r="BH130" i="7" a="1"/>
  <c r="BH130" i="7" s="1"/>
  <c r="BH101" i="7" a="1"/>
  <c r="BH101" i="7" s="1"/>
  <c r="BH86" i="7" a="1"/>
  <c r="BH86" i="7" s="1"/>
  <c r="BH70" i="7" a="1"/>
  <c r="BH70" i="7" s="1"/>
  <c r="BH55" i="7" a="1"/>
  <c r="BH55" i="7" s="1"/>
  <c r="C55" i="7" s="1"/>
  <c r="BH39" i="7" a="1"/>
  <c r="BH39" i="7" s="1"/>
  <c r="BH24" i="7" a="1"/>
  <c r="BH24" i="7" s="1"/>
  <c r="BH67" i="7" a="1"/>
  <c r="BH67" i="7" s="1"/>
  <c r="BH82" i="7" a="1"/>
  <c r="BH82" i="7" s="1"/>
  <c r="BH23" i="7" a="1"/>
  <c r="BH23" i="7" s="1"/>
  <c r="BH59" i="7" a="1"/>
  <c r="BH59" i="7" s="1"/>
  <c r="C59" i="7" s="1"/>
  <c r="BH36" i="7" a="1"/>
  <c r="BH36" i="7" s="1"/>
  <c r="BH72" i="7" a="1"/>
  <c r="BH72" i="7" s="1"/>
  <c r="BH108" i="7" a="1"/>
  <c r="BH108" i="7" s="1"/>
  <c r="BH144" i="7" a="1"/>
  <c r="BH144" i="7" s="1"/>
  <c r="BH768" i="7" a="1"/>
  <c r="BH768" i="7" s="1"/>
  <c r="BH756" i="7" a="1"/>
  <c r="BH756" i="7" s="1"/>
  <c r="BH744" i="7" a="1"/>
  <c r="BH744" i="7" s="1"/>
  <c r="BH720" i="7" a="1"/>
  <c r="BH720" i="7" s="1"/>
  <c r="C720" i="7" s="1"/>
  <c r="BH708" i="7" a="1"/>
  <c r="BH708" i="7" s="1"/>
  <c r="BH696" i="7" a="1"/>
  <c r="BH696" i="7" s="1"/>
  <c r="BH685" i="7" a="1"/>
  <c r="BH685" i="7" s="1"/>
  <c r="BH676" i="7" a="1"/>
  <c r="BH676" i="7" s="1"/>
  <c r="C676" i="7" s="1"/>
  <c r="BH667" i="7" a="1"/>
  <c r="BH667" i="7" s="1"/>
  <c r="BH658" i="7" a="1"/>
  <c r="BH658" i="7" s="1"/>
  <c r="BH649" i="7" a="1"/>
  <c r="BH649" i="7" s="1"/>
  <c r="BH640" i="7" a="1"/>
  <c r="BH640" i="7" s="1"/>
  <c r="BH631" i="7" a="1"/>
  <c r="BH631" i="7" s="1"/>
  <c r="BH622" i="7" a="1"/>
  <c r="BH622" i="7" s="1"/>
  <c r="BH613" i="7" a="1"/>
  <c r="BH613" i="7" s="1"/>
  <c r="BH604" i="7" a="1"/>
  <c r="BH604" i="7" s="1"/>
  <c r="C604" i="7" s="1"/>
  <c r="BH595" i="7" a="1"/>
  <c r="BH595" i="7" s="1"/>
  <c r="BH587" i="7" a="1"/>
  <c r="BH587" i="7" s="1"/>
  <c r="BH565" i="7" a="1"/>
  <c r="BH565" i="7" s="1"/>
  <c r="BH558" i="7" a="1"/>
  <c r="BH558" i="7" s="1"/>
  <c r="C558" i="7" s="1"/>
  <c r="BH551" i="7" a="1"/>
  <c r="BH551" i="7" s="1"/>
  <c r="BH529" i="7" a="1"/>
  <c r="BH529" i="7" s="1"/>
  <c r="BH516" i="7" a="1"/>
  <c r="BH516" i="7" s="1"/>
  <c r="BH505" i="7" a="1"/>
  <c r="BH505" i="7" s="1"/>
  <c r="BH493" i="7" a="1"/>
  <c r="BH493" i="7" s="1"/>
  <c r="BH481" i="7" a="1"/>
  <c r="BH481" i="7" s="1"/>
  <c r="C481" i="7" s="1"/>
  <c r="BH469" i="7" a="1"/>
  <c r="BH469" i="7" s="1"/>
  <c r="BH457" i="7" a="1"/>
  <c r="BH457" i="7" s="1"/>
  <c r="BH445" i="7" a="1"/>
  <c r="BH445" i="7" s="1"/>
  <c r="BH434" i="7" a="1"/>
  <c r="BH434" i="7" s="1"/>
  <c r="BH423" i="7" a="1"/>
  <c r="BH423" i="7" s="1"/>
  <c r="BH412" i="7" a="1"/>
  <c r="BH412" i="7" s="1"/>
  <c r="C412" i="7" s="1"/>
  <c r="BH401" i="7" a="1"/>
  <c r="BH401" i="7" s="1"/>
  <c r="BH390" i="7" a="1"/>
  <c r="BH390" i="7" s="1"/>
  <c r="BH380" i="7" a="1"/>
  <c r="BH380" i="7" s="1"/>
  <c r="BH358" i="7" a="1"/>
  <c r="BH358" i="7" s="1"/>
  <c r="BH347" i="7" a="1"/>
  <c r="BH347" i="7" s="1"/>
  <c r="BH336" i="7" a="1"/>
  <c r="BH336" i="7" s="1"/>
  <c r="BH325" i="7" a="1"/>
  <c r="BH325" i="7" s="1"/>
  <c r="BH313" i="7" a="1"/>
  <c r="BH313" i="7" s="1"/>
  <c r="BH302" i="7" a="1"/>
  <c r="BH302" i="7" s="1"/>
  <c r="BH291" i="7" a="1"/>
  <c r="BH291" i="7" s="1"/>
  <c r="BH280" i="7" a="1"/>
  <c r="BH280" i="7" s="1"/>
  <c r="BH270" i="7" a="1"/>
  <c r="BH270" i="7" s="1"/>
  <c r="C270" i="7" s="1"/>
  <c r="BH259" i="7" a="1"/>
  <c r="BH259" i="7" s="1"/>
  <c r="BH248" i="7" a="1"/>
  <c r="BH248" i="7" s="1"/>
  <c r="BH237" i="7" a="1"/>
  <c r="BH237" i="7" s="1"/>
  <c r="BH226" i="7" a="1"/>
  <c r="BH226" i="7" s="1"/>
  <c r="BH216" i="7" a="1"/>
  <c r="BH216" i="7" s="1"/>
  <c r="BH206" i="7" a="1"/>
  <c r="BH206" i="7" s="1"/>
  <c r="BH195" i="7" a="1"/>
  <c r="BH195" i="7" s="1"/>
  <c r="BH183" i="7" a="1"/>
  <c r="BH183" i="7" s="1"/>
  <c r="BH158" i="7" a="1"/>
  <c r="BH158" i="7" s="1"/>
  <c r="BH143" i="7" a="1"/>
  <c r="BH143" i="7" s="1"/>
  <c r="BH129" i="7" a="1"/>
  <c r="BH129" i="7" s="1"/>
  <c r="BH115" i="7" a="1"/>
  <c r="BH115" i="7" s="1"/>
  <c r="C115" i="7" s="1"/>
  <c r="BH99" i="7" a="1"/>
  <c r="BH99" i="7" s="1"/>
  <c r="BH84" i="7" a="1"/>
  <c r="BH84" i="7" s="1"/>
  <c r="BH53" i="7" a="1"/>
  <c r="BH53" i="7" s="1"/>
  <c r="BH38" i="7" a="1"/>
  <c r="BH38" i="7" s="1"/>
  <c r="BH22" i="7" a="1"/>
  <c r="BH22" i="7" s="1"/>
  <c r="BH7" i="7" a="1"/>
  <c r="BH7" i="7" s="1"/>
  <c r="BH85" i="7" a="1"/>
  <c r="BH85" i="7" s="1"/>
  <c r="BH121" i="7" a="1"/>
  <c r="BH121" i="7" s="1"/>
  <c r="C121" i="7" s="1"/>
  <c r="BH157" i="7" a="1"/>
  <c r="BH157" i="7" s="1"/>
  <c r="BH767" i="7" a="1"/>
  <c r="BH767" i="7" s="1"/>
  <c r="BH755" i="7" a="1"/>
  <c r="BH755" i="7" s="1"/>
  <c r="BH743" i="7" a="1"/>
  <c r="BH743" i="7" s="1"/>
  <c r="C743" i="7" s="1"/>
  <c r="BH731" i="7" a="1"/>
  <c r="BH731" i="7" s="1"/>
  <c r="BH719" i="7" a="1"/>
  <c r="BH719" i="7" s="1"/>
  <c r="C719" i="7" s="1"/>
  <c r="BH707" i="7" a="1"/>
  <c r="BH707" i="7" s="1"/>
  <c r="BH695" i="7" a="1"/>
  <c r="BH695" i="7" s="1"/>
  <c r="BH684" i="7" a="1"/>
  <c r="BH684" i="7" s="1"/>
  <c r="BH666" i="7" a="1"/>
  <c r="BH666" i="7" s="1"/>
  <c r="BH648" i="7" a="1"/>
  <c r="BH648" i="7" s="1"/>
  <c r="BH630" i="7" a="1"/>
  <c r="BH630" i="7" s="1"/>
  <c r="BH612" i="7" a="1"/>
  <c r="BH612" i="7" s="1"/>
  <c r="BH594" i="7" a="1"/>
  <c r="BH594" i="7" s="1"/>
  <c r="BH586" i="7" a="1"/>
  <c r="BH586" i="7" s="1"/>
  <c r="C586" i="7" s="1"/>
  <c r="BH579" i="7" a="1"/>
  <c r="BH579" i="7" s="1"/>
  <c r="C579" i="7" s="1"/>
  <c r="BH572" i="7" a="1"/>
  <c r="BH572" i="7" s="1"/>
  <c r="BH550" i="7" a="1"/>
  <c r="BH550" i="7" s="1"/>
  <c r="BH543" i="7" a="1"/>
  <c r="BH543" i="7" s="1"/>
  <c r="BH536" i="7" a="1"/>
  <c r="BH536" i="7" s="1"/>
  <c r="C536" i="7" s="1"/>
  <c r="BH522" i="7" a="1"/>
  <c r="BH522" i="7" s="1"/>
  <c r="BH504" i="7" a="1"/>
  <c r="BH504" i="7" s="1"/>
  <c r="BH492" i="7" a="1"/>
  <c r="BH492" i="7" s="1"/>
  <c r="BH480" i="7" a="1"/>
  <c r="BH480" i="7" s="1"/>
  <c r="BH468" i="7" a="1"/>
  <c r="BH468" i="7" s="1"/>
  <c r="C468" i="7" s="1"/>
  <c r="BH456" i="7" a="1"/>
  <c r="BH456" i="7" s="1"/>
  <c r="BH444" i="7" a="1"/>
  <c r="BH444" i="7" s="1"/>
  <c r="BH433" i="7" a="1"/>
  <c r="BH433" i="7" s="1"/>
  <c r="C433" i="7" s="1"/>
  <c r="BH422" i="7" a="1"/>
  <c r="BH422" i="7" s="1"/>
  <c r="BH411" i="7" a="1"/>
  <c r="BH411" i="7" s="1"/>
  <c r="BH400" i="7" a="1"/>
  <c r="BH400" i="7" s="1"/>
  <c r="BH379" i="7" a="1"/>
  <c r="BH379" i="7" s="1"/>
  <c r="BH368" i="7" a="1"/>
  <c r="BH368" i="7" s="1"/>
  <c r="BH357" i="7" a="1"/>
  <c r="BH357" i="7" s="1"/>
  <c r="BH346" i="7" a="1"/>
  <c r="BH346" i="7" s="1"/>
  <c r="BH335" i="7" a="1"/>
  <c r="BH335" i="7" s="1"/>
  <c r="C335" i="7" s="1"/>
  <c r="BH324" i="7" a="1"/>
  <c r="BH324" i="7" s="1"/>
  <c r="BH312" i="7" a="1"/>
  <c r="BH312" i="7" s="1"/>
  <c r="BH301" i="7" a="1"/>
  <c r="BH301" i="7" s="1"/>
  <c r="C301" i="7" s="1"/>
  <c r="BH279" i="7" a="1"/>
  <c r="BH279" i="7" s="1"/>
  <c r="BH269" i="7" a="1"/>
  <c r="BH269" i="7" s="1"/>
  <c r="BH258" i="7" a="1"/>
  <c r="BH258" i="7" s="1"/>
  <c r="BH247" i="7" a="1"/>
  <c r="BH247" i="7" s="1"/>
  <c r="BH225" i="7" a="1"/>
  <c r="BH225" i="7" s="1"/>
  <c r="BH215" i="7" a="1"/>
  <c r="BH215" i="7" s="1"/>
  <c r="BH205" i="7" a="1"/>
  <c r="BH205" i="7" s="1"/>
  <c r="BH170" i="7" a="1"/>
  <c r="BH170" i="7" s="1"/>
  <c r="BH156" i="7" a="1"/>
  <c r="BH156" i="7" s="1"/>
  <c r="BH142" i="7" a="1"/>
  <c r="BH142" i="7" s="1"/>
  <c r="BH114" i="7" a="1"/>
  <c r="BH114" i="7" s="1"/>
  <c r="BH83" i="7" a="1"/>
  <c r="BH83" i="7" s="1"/>
  <c r="BH68" i="7" a="1"/>
  <c r="BH68" i="7" s="1"/>
  <c r="C68" i="7" s="1"/>
  <c r="BH52" i="7" a="1"/>
  <c r="BH52" i="7" s="1"/>
  <c r="BH37" i="7" a="1"/>
  <c r="BH37" i="7" s="1"/>
  <c r="BH21" i="7" a="1"/>
  <c r="BH21" i="7" s="1"/>
  <c r="BH6" i="7" a="1"/>
  <c r="BH6" i="7" s="1"/>
  <c r="BH49" i="7" a="1"/>
  <c r="BH49" i="7" s="1"/>
  <c r="BH62" i="7" a="1"/>
  <c r="BH62" i="7" s="1"/>
  <c r="C62" i="7" s="1"/>
  <c r="BH98" i="7" a="1"/>
  <c r="BH98" i="7" s="1"/>
  <c r="BH134" i="7" a="1"/>
  <c r="BH134" i="7" s="1"/>
  <c r="BH766" i="7" a="1"/>
  <c r="BH766" i="7" s="1"/>
  <c r="BH742" i="7" a="1"/>
  <c r="BH742" i="7" s="1"/>
  <c r="C742" i="7" s="1"/>
  <c r="BH718" i="7" a="1"/>
  <c r="BH718" i="7" s="1"/>
  <c r="BH706" i="7" a="1"/>
  <c r="BH706" i="7" s="1"/>
  <c r="C706" i="7" s="1"/>
  <c r="BH694" i="7" a="1"/>
  <c r="BH694" i="7" s="1"/>
  <c r="BH675" i="7" a="1"/>
  <c r="BH675" i="7" s="1"/>
  <c r="BH657" i="7" a="1"/>
  <c r="BH657" i="7" s="1"/>
  <c r="BH639" i="7" a="1"/>
  <c r="BH639" i="7" s="1"/>
  <c r="C639" i="7" s="1"/>
  <c r="BH621" i="7" a="1"/>
  <c r="BH621" i="7" s="1"/>
  <c r="BH603" i="7" a="1"/>
  <c r="BH603" i="7" s="1"/>
  <c r="C603" i="7" s="1"/>
  <c r="BH571" i="7" a="1"/>
  <c r="BH571" i="7" s="1"/>
  <c r="BH564" i="7" a="1"/>
  <c r="BH564" i="7" s="1"/>
  <c r="BH557" i="7" a="1"/>
  <c r="BH557" i="7" s="1"/>
  <c r="BH535" i="7" a="1"/>
  <c r="BH535" i="7" s="1"/>
  <c r="BH528" i="7" a="1"/>
  <c r="BH528" i="7" s="1"/>
  <c r="BH515" i="7" a="1"/>
  <c r="BH515" i="7" s="1"/>
  <c r="C515" i="7" s="1"/>
  <c r="BH503" i="7" a="1"/>
  <c r="BH503" i="7" s="1"/>
  <c r="BH491" i="7" a="1"/>
  <c r="BH491" i="7" s="1"/>
  <c r="BH479" i="7" a="1"/>
  <c r="BH479" i="7" s="1"/>
  <c r="BH467" i="7" a="1"/>
  <c r="BH467" i="7" s="1"/>
  <c r="BH455" i="7" a="1"/>
  <c r="BH455" i="7" s="1"/>
  <c r="BH443" i="7" a="1"/>
  <c r="BH443" i="7" s="1"/>
  <c r="C443" i="7" s="1"/>
  <c r="BH432" i="7" a="1"/>
  <c r="BH432" i="7" s="1"/>
  <c r="BH421" i="7" a="1"/>
  <c r="BH421" i="7" s="1"/>
  <c r="BH410" i="7" a="1"/>
  <c r="BH410" i="7" s="1"/>
  <c r="C410" i="7" s="1"/>
  <c r="BH399" i="7" a="1"/>
  <c r="BH399" i="7" s="1"/>
  <c r="BH389" i="7" a="1"/>
  <c r="BH389" i="7" s="1"/>
  <c r="BH378" i="7" a="1"/>
  <c r="BH378" i="7" s="1"/>
  <c r="BH367" i="7" a="1"/>
  <c r="BH367" i="7" s="1"/>
  <c r="C367" i="7" s="1"/>
  <c r="BH356" i="7" a="1"/>
  <c r="BH356" i="7" s="1"/>
  <c r="C356" i="7" s="1"/>
  <c r="BH345" i="7" a="1"/>
  <c r="BH345" i="7" s="1"/>
  <c r="BH334" i="7" a="1"/>
  <c r="BH334" i="7" s="1"/>
  <c r="BH323" i="7" a="1"/>
  <c r="BH323" i="7" s="1"/>
  <c r="BH311" i="7" a="1"/>
  <c r="BH311" i="7" s="1"/>
  <c r="C311" i="7" s="1"/>
  <c r="BH300" i="7" a="1"/>
  <c r="BH300" i="7" s="1"/>
  <c r="BH290" i="7" a="1"/>
  <c r="BH290" i="7" s="1"/>
  <c r="BH268" i="7" a="1"/>
  <c r="BH268" i="7" s="1"/>
  <c r="BH257" i="7" a="1"/>
  <c r="BH257" i="7" s="1"/>
  <c r="BH246" i="7" a="1"/>
  <c r="BH246" i="7" s="1"/>
  <c r="BH236" i="7" a="1"/>
  <c r="BH236" i="7" s="1"/>
  <c r="BH214" i="7" a="1"/>
  <c r="BH214" i="7" s="1"/>
  <c r="BH204" i="7" a="1"/>
  <c r="BH204" i="7" s="1"/>
  <c r="C204" i="7" s="1"/>
  <c r="BH194" i="7" a="1"/>
  <c r="BH194" i="7" s="1"/>
  <c r="BH182" i="7" a="1"/>
  <c r="BH182" i="7" s="1"/>
  <c r="BH169" i="7" a="1"/>
  <c r="BH169" i="7" s="1"/>
  <c r="BH155" i="7" a="1"/>
  <c r="BH155" i="7" s="1"/>
  <c r="C155" i="7" s="1"/>
  <c r="BH128" i="7" a="1"/>
  <c r="BH128" i="7" s="1"/>
  <c r="BH112" i="7" a="1"/>
  <c r="BH112" i="7" s="1"/>
  <c r="BH97" i="7" a="1"/>
  <c r="BH97" i="7" s="1"/>
  <c r="BH81" i="7" a="1"/>
  <c r="BH81" i="7" s="1"/>
  <c r="BH66" i="7" a="1"/>
  <c r="BH66" i="7" s="1"/>
  <c r="BH35" i="7" a="1"/>
  <c r="BH35" i="7" s="1"/>
  <c r="BH20" i="7" a="1"/>
  <c r="BH20" i="7" s="1"/>
  <c r="BH4" i="7" a="1"/>
  <c r="BH4" i="7" s="1"/>
  <c r="BH13" i="7" a="1"/>
  <c r="BH13" i="7" s="1"/>
  <c r="BH3" i="7" a="1"/>
  <c r="BH3" i="7" s="1"/>
  <c r="C3" i="7" s="1"/>
  <c r="BH15" i="7" a="1"/>
  <c r="BH15" i="7" s="1"/>
  <c r="C15" i="7" s="1"/>
  <c r="BH51" i="7" a="1"/>
  <c r="BH51" i="7" s="1"/>
  <c r="C51" i="7" s="1"/>
  <c r="BH87" i="7" a="1"/>
  <c r="BH87" i="7" s="1"/>
  <c r="C87" i="7" s="1"/>
  <c r="BH123" i="7" a="1"/>
  <c r="BH123" i="7" s="1"/>
  <c r="C123" i="7" s="1"/>
  <c r="BH765" i="7" a="1"/>
  <c r="BH765" i="7" s="1"/>
  <c r="BH741" i="7" a="1"/>
  <c r="BH741" i="7" s="1"/>
  <c r="BH729" i="7" a="1"/>
  <c r="BH729" i="7" s="1"/>
  <c r="BH717" i="7" a="1"/>
  <c r="BH717" i="7" s="1"/>
  <c r="C717" i="7" s="1"/>
  <c r="BH705" i="7" a="1"/>
  <c r="BH705" i="7" s="1"/>
  <c r="C705" i="7" s="1"/>
  <c r="BH693" i="7" a="1"/>
  <c r="BH693" i="7" s="1"/>
  <c r="BH683" i="7" a="1"/>
  <c r="BH683" i="7" s="1"/>
  <c r="BH674" i="7" a="1"/>
  <c r="BH674" i="7" s="1"/>
  <c r="C674" i="7" s="1"/>
  <c r="BH665" i="7" a="1"/>
  <c r="BH665" i="7" s="1"/>
  <c r="BH656" i="7" a="1"/>
  <c r="BH656" i="7" s="1"/>
  <c r="BH647" i="7" a="1"/>
  <c r="BH647" i="7" s="1"/>
  <c r="BH638" i="7" a="1"/>
  <c r="BH638" i="7" s="1"/>
  <c r="BH629" i="7" a="1"/>
  <c r="BH629" i="7" s="1"/>
  <c r="BH620" i="7" a="1"/>
  <c r="BH620" i="7" s="1"/>
  <c r="BH611" i="7" a="1"/>
  <c r="BH611" i="7" s="1"/>
  <c r="BH602" i="7" a="1"/>
  <c r="BH602" i="7" s="1"/>
  <c r="BH593" i="7" a="1"/>
  <c r="BH593" i="7" s="1"/>
  <c r="BH585" i="7" a="1"/>
  <c r="BH585" i="7" s="1"/>
  <c r="BH578" i="7" a="1"/>
  <c r="BH578" i="7" s="1"/>
  <c r="C578" i="7" s="1"/>
  <c r="BH556" i="7" a="1"/>
  <c r="BH556" i="7" s="1"/>
  <c r="C556" i="7" s="1"/>
  <c r="BH549" i="7" a="1"/>
  <c r="BH549" i="7" s="1"/>
  <c r="C549" i="7" s="1"/>
  <c r="BH542" i="7" a="1"/>
  <c r="BH542" i="7" s="1"/>
  <c r="C542" i="7" s="1"/>
  <c r="BH521" i="7" a="1"/>
  <c r="BH521" i="7" s="1"/>
  <c r="C521" i="7" s="1"/>
  <c r="BH514" i="7" a="1"/>
  <c r="BH514" i="7" s="1"/>
  <c r="C514" i="7" s="1"/>
  <c r="BH502" i="7" a="1"/>
  <c r="BH502" i="7" s="1"/>
  <c r="C502" i="7" s="1"/>
  <c r="BH490" i="7" a="1"/>
  <c r="BH490" i="7" s="1"/>
  <c r="BH478" i="7" a="1"/>
  <c r="BH478" i="7" s="1"/>
  <c r="C478" i="7" s="1"/>
  <c r="BH466" i="7" a="1"/>
  <c r="BH466" i="7" s="1"/>
  <c r="C466" i="7" s="1"/>
  <c r="BH454" i="7" a="1"/>
  <c r="BH454" i="7" s="1"/>
  <c r="BH442" i="7" a="1"/>
  <c r="BH442" i="7" s="1"/>
  <c r="C442" i="7" s="1"/>
  <c r="BH431" i="7" a="1"/>
  <c r="BH431" i="7" s="1"/>
  <c r="BH420" i="7" a="1"/>
  <c r="BH420" i="7" s="1"/>
  <c r="C420" i="7" s="1"/>
  <c r="BH409" i="7" a="1"/>
  <c r="BH409" i="7" s="1"/>
  <c r="C409" i="7" s="1"/>
  <c r="BH388" i="7" a="1"/>
  <c r="BH388" i="7" s="1"/>
  <c r="BH377" i="7" a="1"/>
  <c r="BH377" i="7" s="1"/>
  <c r="BH366" i="7" a="1"/>
  <c r="BH366" i="7" s="1"/>
  <c r="C366" i="7" s="1"/>
  <c r="BH355" i="7" a="1"/>
  <c r="BH355" i="7" s="1"/>
  <c r="C355" i="7" s="1"/>
  <c r="BH333" i="7" a="1"/>
  <c r="BH333" i="7" s="1"/>
  <c r="BH322" i="7" a="1"/>
  <c r="BH322" i="7" s="1"/>
  <c r="BH310" i="7" a="1"/>
  <c r="BH310" i="7" s="1"/>
  <c r="C310" i="7" s="1"/>
  <c r="BH299" i="7" a="1"/>
  <c r="BH299" i="7" s="1"/>
  <c r="C299" i="7" s="1"/>
  <c r="BH289" i="7" a="1"/>
  <c r="BH289" i="7" s="1"/>
  <c r="BH278" i="7" a="1"/>
  <c r="BH278" i="7" s="1"/>
  <c r="BH267" i="7" a="1"/>
  <c r="BH267" i="7" s="1"/>
  <c r="C267" i="7" s="1"/>
  <c r="BH256" i="7" a="1"/>
  <c r="BH256" i="7" s="1"/>
  <c r="C256" i="7" s="1"/>
  <c r="BH245" i="7" a="1"/>
  <c r="BH245" i="7" s="1"/>
  <c r="BH235" i="7" a="1"/>
  <c r="BH235" i="7" s="1"/>
  <c r="C235" i="7" s="1"/>
  <c r="BH224" i="7" a="1"/>
  <c r="BH224" i="7" s="1"/>
  <c r="C224" i="7" s="1"/>
  <c r="BH213" i="7" a="1"/>
  <c r="BH213" i="7" s="1"/>
  <c r="BH203" i="7" a="1"/>
  <c r="BH203" i="7" s="1"/>
  <c r="C203" i="7" s="1"/>
  <c r="BH193" i="7" a="1"/>
  <c r="BH193" i="7" s="1"/>
  <c r="C193" i="7" s="1"/>
  <c r="BH181" i="7" a="1"/>
  <c r="BH181" i="7" s="1"/>
  <c r="C181" i="7" s="1"/>
  <c r="BH168" i="7" a="1"/>
  <c r="BH168" i="7" s="1"/>
  <c r="C168" i="7" s="1"/>
  <c r="BH153" i="7" a="1"/>
  <c r="BH153" i="7" s="1"/>
  <c r="BH140" i="7" a="1"/>
  <c r="BH140" i="7" s="1"/>
  <c r="BH127" i="7" a="1"/>
  <c r="BH127" i="7" s="1"/>
  <c r="C127" i="7" s="1"/>
  <c r="BH111" i="7" a="1"/>
  <c r="BH111" i="7" s="1"/>
  <c r="BH96" i="7" a="1"/>
  <c r="BH96" i="7" s="1"/>
  <c r="C96" i="7" s="1"/>
  <c r="BH65" i="7" a="1"/>
  <c r="BH65" i="7" s="1"/>
  <c r="C65" i="7" s="1"/>
  <c r="BH50" i="7" a="1"/>
  <c r="BH50" i="7" s="1"/>
  <c r="BH34" i="7" a="1"/>
  <c r="BH34" i="7" s="1"/>
  <c r="BH19" i="7" a="1"/>
  <c r="BH19" i="7" s="1"/>
  <c r="C19" i="7" s="1"/>
  <c r="BH26" i="7" a="1"/>
  <c r="BH26" i="7" s="1"/>
  <c r="C26" i="7" s="1"/>
  <c r="BH136" i="7" a="1"/>
  <c r="BH136" i="7" s="1"/>
  <c r="C136" i="7" s="1"/>
  <c r="BH764" i="7" a="1"/>
  <c r="BH764" i="7" s="1"/>
  <c r="BH752" i="7" a="1"/>
  <c r="BH752" i="7" s="1"/>
  <c r="BH740" i="7" a="1"/>
  <c r="BH740" i="7" s="1"/>
  <c r="BH728" i="7" a="1"/>
  <c r="BH728" i="7" s="1"/>
  <c r="C728" i="7" s="1"/>
  <c r="BH716" i="7" a="1"/>
  <c r="BH716" i="7" s="1"/>
  <c r="BH704" i="7" a="1"/>
  <c r="BH704" i="7" s="1"/>
  <c r="C704" i="7" s="1"/>
  <c r="BH692" i="7" a="1"/>
  <c r="BH692" i="7" s="1"/>
  <c r="BH682" i="7" a="1"/>
  <c r="BH682" i="7" s="1"/>
  <c r="BH673" i="7" a="1"/>
  <c r="BH673" i="7" s="1"/>
  <c r="BH664" i="7" a="1"/>
  <c r="BH664" i="7" s="1"/>
  <c r="C664" i="7" s="1"/>
  <c r="BH655" i="7" a="1"/>
  <c r="BH655" i="7" s="1"/>
  <c r="C655" i="7" s="1"/>
  <c r="BH646" i="7" a="1"/>
  <c r="BH646" i="7" s="1"/>
  <c r="C646" i="7" s="1"/>
  <c r="BH637" i="7" a="1"/>
  <c r="BH637" i="7" s="1"/>
  <c r="BH628" i="7" a="1"/>
  <c r="BH628" i="7" s="1"/>
  <c r="C628" i="7" s="1"/>
  <c r="BH619" i="7" a="1"/>
  <c r="BH619" i="7" s="1"/>
  <c r="BH610" i="7" a="1"/>
  <c r="BH610" i="7" s="1"/>
  <c r="C610" i="7" s="1"/>
  <c r="BH601" i="7" a="1"/>
  <c r="BH601" i="7" s="1"/>
  <c r="BH592" i="7" a="1"/>
  <c r="BH592" i="7" s="1"/>
  <c r="C592" i="7" s="1"/>
  <c r="BH577" i="7" a="1"/>
  <c r="BH577" i="7" s="1"/>
  <c r="C577" i="7" s="1"/>
  <c r="BH570" i="7" a="1"/>
  <c r="BH570" i="7" s="1"/>
  <c r="BH563" i="7" a="1"/>
  <c r="BH563" i="7" s="1"/>
  <c r="BH541" i="7" a="1"/>
  <c r="BH541" i="7" s="1"/>
  <c r="C541" i="7" s="1"/>
  <c r="BH534" i="7" a="1"/>
  <c r="BH534" i="7" s="1"/>
  <c r="C534" i="7" s="1"/>
  <c r="BH527" i="7" a="1"/>
  <c r="BH527" i="7" s="1"/>
  <c r="C527" i="7" s="1"/>
  <c r="BH520" i="7" a="1"/>
  <c r="BH520" i="7" s="1"/>
  <c r="BH513" i="7" a="1"/>
  <c r="BH513" i="7" s="1"/>
  <c r="C513" i="7" s="1"/>
  <c r="BH501" i="7" a="1"/>
  <c r="BH501" i="7" s="1"/>
  <c r="BH489" i="7" a="1"/>
  <c r="BH489" i="7" s="1"/>
  <c r="C489" i="7" s="1"/>
  <c r="BH477" i="7" a="1"/>
  <c r="BH477" i="7" s="1"/>
  <c r="C477" i="7" s="1"/>
  <c r="BH465" i="7" a="1"/>
  <c r="BH465" i="7" s="1"/>
  <c r="C465" i="7" s="1"/>
  <c r="BH453" i="7" a="1"/>
  <c r="BH453" i="7" s="1"/>
  <c r="BH441" i="7" a="1"/>
  <c r="BH441" i="7" s="1"/>
  <c r="C441" i="7" s="1"/>
  <c r="BH430" i="7" a="1"/>
  <c r="BH430" i="7" s="1"/>
  <c r="BH419" i="7" a="1"/>
  <c r="BH419" i="7" s="1"/>
  <c r="C419" i="7" s="1"/>
  <c r="BH408" i="7" a="1"/>
  <c r="BH408" i="7" s="1"/>
  <c r="C408" i="7" s="1"/>
  <c r="BH398" i="7" a="1"/>
  <c r="BH398" i="7" s="1"/>
  <c r="C398" i="7" s="1"/>
  <c r="BH387" i="7" a="1"/>
  <c r="BH387" i="7" s="1"/>
  <c r="C387" i="7" s="1"/>
  <c r="BH376" i="7" a="1"/>
  <c r="BH376" i="7" s="1"/>
  <c r="BH365" i="7" a="1"/>
  <c r="BH365" i="7" s="1"/>
  <c r="BH354" i="7" a="1"/>
  <c r="BH354" i="7" s="1"/>
  <c r="C354" i="7" s="1"/>
  <c r="BH344" i="7" a="1"/>
  <c r="BH344" i="7" s="1"/>
  <c r="C344" i="7" s="1"/>
  <c r="BH332" i="7" a="1"/>
  <c r="BH332" i="7" s="1"/>
  <c r="C332" i="7" s="1"/>
  <c r="BH321" i="7" a="1"/>
  <c r="BH321" i="7" s="1"/>
  <c r="C321" i="7" s="1"/>
  <c r="BH309" i="7" a="1"/>
  <c r="BH309" i="7" s="1"/>
  <c r="C309" i="7" s="1"/>
  <c r="BH298" i="7" a="1"/>
  <c r="BH298" i="7" s="1"/>
  <c r="BH288" i="7" a="1"/>
  <c r="BH288" i="7" s="1"/>
  <c r="C288" i="7" s="1"/>
  <c r="BH277" i="7" a="1"/>
  <c r="BH277" i="7" s="1"/>
  <c r="C277" i="7" s="1"/>
  <c r="BH266" i="7" a="1"/>
  <c r="BH266" i="7" s="1"/>
  <c r="C266" i="7" s="1"/>
  <c r="BH255" i="7" a="1"/>
  <c r="BH255" i="7" s="1"/>
  <c r="BH244" i="7" a="1"/>
  <c r="BH244" i="7" s="1"/>
  <c r="C244" i="7" s="1"/>
  <c r="BH234" i="7" a="1"/>
  <c r="BH234" i="7" s="1"/>
  <c r="BH223" i="7" a="1"/>
  <c r="BH223" i="7" s="1"/>
  <c r="C223" i="7" s="1"/>
  <c r="BH202" i="7" a="1"/>
  <c r="BH202" i="7" s="1"/>
  <c r="C202" i="7" s="1"/>
  <c r="BH192" i="7" a="1"/>
  <c r="BH192" i="7" s="1"/>
  <c r="C192" i="7" s="1"/>
  <c r="BH180" i="7" a="1"/>
  <c r="BH180" i="7" s="1"/>
  <c r="BH166" i="7" a="1"/>
  <c r="BH166" i="7" s="1"/>
  <c r="C166" i="7" s="1"/>
  <c r="BH139" i="7" a="1"/>
  <c r="BH139" i="7" s="1"/>
  <c r="C139" i="7" s="1"/>
  <c r="BH125" i="7" a="1"/>
  <c r="BH125" i="7" s="1"/>
  <c r="C125" i="7" s="1"/>
  <c r="BH110" i="7" a="1"/>
  <c r="BH110" i="7" s="1"/>
  <c r="C110" i="7" s="1"/>
  <c r="BH94" i="7" a="1"/>
  <c r="BH94" i="7" s="1"/>
  <c r="C94" i="7" s="1"/>
  <c r="BH79" i="7" a="1"/>
  <c r="BH79" i="7" s="1"/>
  <c r="C79" i="7" s="1"/>
  <c r="BH63" i="7" a="1"/>
  <c r="BH63" i="7" s="1"/>
  <c r="C63" i="7" s="1"/>
  <c r="BH48" i="7" a="1"/>
  <c r="BH48" i="7" s="1"/>
  <c r="BH17" i="7" a="1"/>
  <c r="BH17" i="7" s="1"/>
  <c r="C17" i="7" s="1"/>
  <c r="BH64" i="7" a="1"/>
  <c r="BH64" i="7" s="1"/>
  <c r="C64" i="7" s="1"/>
  <c r="BH100" i="7" a="1"/>
  <c r="BH100" i="7" s="1"/>
  <c r="C100" i="7" s="1"/>
  <c r="BH41" i="7" a="1"/>
  <c r="BH41" i="7" s="1"/>
  <c r="C41" i="7" s="1"/>
  <c r="BH77" i="7" a="1"/>
  <c r="BH77" i="7" s="1"/>
  <c r="C77" i="7" s="1"/>
  <c r="BH113" i="7" a="1"/>
  <c r="BH113" i="7" s="1"/>
  <c r="BH185" i="7" a="1"/>
  <c r="BH185" i="7" s="1"/>
  <c r="C185" i="7" s="1"/>
  <c r="BH763" i="7" a="1"/>
  <c r="BH763" i="7" s="1"/>
  <c r="BH751" i="7" a="1"/>
  <c r="BH751" i="7" s="1"/>
  <c r="C751" i="7" s="1"/>
  <c r="BH739" i="7" a="1"/>
  <c r="BH739" i="7" s="1"/>
  <c r="BH727" i="7" a="1"/>
  <c r="BH727" i="7" s="1"/>
  <c r="BH715" i="7" a="1"/>
  <c r="BH715" i="7" s="1"/>
  <c r="BH703" i="7" a="1"/>
  <c r="BH703" i="7" s="1"/>
  <c r="BH691" i="7" a="1"/>
  <c r="BH691" i="7" s="1"/>
  <c r="BH672" i="7" a="1"/>
  <c r="BH672" i="7" s="1"/>
  <c r="C672" i="7" s="1"/>
  <c r="BH654" i="7" a="1"/>
  <c r="BH654" i="7" s="1"/>
  <c r="C654" i="7" s="1"/>
  <c r="BH636" i="7" a="1"/>
  <c r="BH636" i="7" s="1"/>
  <c r="C636" i="7" s="1"/>
  <c r="BH618" i="7" a="1"/>
  <c r="BH618" i="7" s="1"/>
  <c r="BH600" i="7" a="1"/>
  <c r="BH600" i="7" s="1"/>
  <c r="C600" i="7" s="1"/>
  <c r="BH584" i="7" a="1"/>
  <c r="BH584" i="7" s="1"/>
  <c r="BH562" i="7" a="1"/>
  <c r="BH562" i="7" s="1"/>
  <c r="C562" i="7" s="1"/>
  <c r="BH555" i="7" a="1"/>
  <c r="BH555" i="7" s="1"/>
  <c r="BH548" i="7" a="1"/>
  <c r="BH548" i="7" s="1"/>
  <c r="C548" i="7" s="1"/>
  <c r="BH526" i="7" a="1"/>
  <c r="BH526" i="7" s="1"/>
  <c r="BH512" i="7" a="1"/>
  <c r="BH512" i="7" s="1"/>
  <c r="C512" i="7" s="1"/>
  <c r="BH500" i="7" a="1"/>
  <c r="BH500" i="7" s="1"/>
  <c r="C500" i="7" s="1"/>
  <c r="BH488" i="7" a="1"/>
  <c r="BH488" i="7" s="1"/>
  <c r="C488" i="7" s="1"/>
  <c r="BH476" i="7" a="1"/>
  <c r="BH476" i="7" s="1"/>
  <c r="C476" i="7" s="1"/>
  <c r="BH464" i="7" a="1"/>
  <c r="BH464" i="7" s="1"/>
  <c r="C464" i="7" s="1"/>
  <c r="BH452" i="7" a="1"/>
  <c r="BH452" i="7" s="1"/>
  <c r="C452" i="7" s="1"/>
  <c r="BH440" i="7" a="1"/>
  <c r="BH440" i="7" s="1"/>
  <c r="C440" i="7" s="1"/>
  <c r="BH429" i="7" a="1"/>
  <c r="BH429" i="7" s="1"/>
  <c r="C429" i="7" s="1"/>
  <c r="BH418" i="7" a="1"/>
  <c r="BH418" i="7" s="1"/>
  <c r="BH397" i="7" a="1"/>
  <c r="BH397" i="7" s="1"/>
  <c r="BH386" i="7" a="1"/>
  <c r="BH386" i="7" s="1"/>
  <c r="C386" i="7" s="1"/>
  <c r="BH375" i="7" a="1"/>
  <c r="BH375" i="7" s="1"/>
  <c r="C375" i="7" s="1"/>
  <c r="BH364" i="7" a="1"/>
  <c r="BH364" i="7" s="1"/>
  <c r="C364" i="7" s="1"/>
  <c r="BH353" i="7" a="1"/>
  <c r="BH353" i="7" s="1"/>
  <c r="C353" i="7" s="1"/>
  <c r="BH343" i="7" a="1"/>
  <c r="BH343" i="7" s="1"/>
  <c r="C343" i="7" s="1"/>
  <c r="BH331" i="7" a="1"/>
  <c r="BH331" i="7" s="1"/>
  <c r="C331" i="7" s="1"/>
  <c r="BH320" i="7" a="1"/>
  <c r="BH320" i="7" s="1"/>
  <c r="C320" i="7" s="1"/>
  <c r="BH297" i="7" a="1"/>
  <c r="BH297" i="7" s="1"/>
  <c r="C297" i="7" s="1"/>
  <c r="BH287" i="7" a="1"/>
  <c r="BH287" i="7" s="1"/>
  <c r="BH276" i="7" a="1"/>
  <c r="BH276" i="7" s="1"/>
  <c r="C276" i="7" s="1"/>
  <c r="BH265" i="7" a="1"/>
  <c r="BH265" i="7" s="1"/>
  <c r="C265" i="7" s="1"/>
  <c r="BH243" i="7" a="1"/>
  <c r="BH243" i="7" s="1"/>
  <c r="C243" i="7" s="1"/>
  <c r="BH233" i="7" a="1"/>
  <c r="BH233" i="7" s="1"/>
  <c r="C233" i="7" s="1"/>
  <c r="BH222" i="7" a="1"/>
  <c r="BH222" i="7" s="1"/>
  <c r="C222" i="7" s="1"/>
  <c r="BH212" i="7" a="1"/>
  <c r="BH212" i="7" s="1"/>
  <c r="C212" i="7" s="1"/>
  <c r="BH201" i="7" a="1"/>
  <c r="BH201" i="7" s="1"/>
  <c r="C201" i="7" s="1"/>
  <c r="BH191" i="7" a="1"/>
  <c r="BH191" i="7" s="1"/>
  <c r="C191" i="7" s="1"/>
  <c r="BH179" i="7" a="1"/>
  <c r="BH179" i="7" s="1"/>
  <c r="C179" i="7" s="1"/>
  <c r="BH165" i="7" a="1"/>
  <c r="BH165" i="7" s="1"/>
  <c r="C165" i="7" s="1"/>
  <c r="BH151" i="7" a="1"/>
  <c r="BH151" i="7" s="1"/>
  <c r="C151" i="7" s="1"/>
  <c r="BH138" i="7" a="1"/>
  <c r="BH138" i="7" s="1"/>
  <c r="C138" i="7" s="1"/>
  <c r="BH124" i="7" a="1"/>
  <c r="BH124" i="7" s="1"/>
  <c r="C124" i="7" s="1"/>
  <c r="BH109" i="7" a="1"/>
  <c r="BH109" i="7" s="1"/>
  <c r="C109" i="7" s="1"/>
  <c r="BH93" i="7" a="1"/>
  <c r="BH93" i="7" s="1"/>
  <c r="C93" i="7" s="1"/>
  <c r="BH78" i="7" a="1"/>
  <c r="BH78" i="7" s="1"/>
  <c r="C78" i="7" s="1"/>
  <c r="BH47" i="7" a="1"/>
  <c r="BH47" i="7" s="1"/>
  <c r="C47" i="7" s="1"/>
  <c r="BH32" i="7" a="1"/>
  <c r="BH32" i="7" s="1"/>
  <c r="C32" i="7" s="1"/>
  <c r="BH16" i="7" a="1"/>
  <c r="BH16" i="7" s="1"/>
  <c r="C16" i="7" s="1"/>
  <c r="BH28" i="7" a="1"/>
  <c r="BH28" i="7" s="1"/>
  <c r="C28" i="7" s="1"/>
  <c r="BH172" i="7" a="1"/>
  <c r="BH172" i="7" s="1"/>
  <c r="C172" i="7" s="1"/>
  <c r="BH5" i="7" a="1"/>
  <c r="BH5" i="7" s="1"/>
  <c r="C5" i="7" s="1"/>
  <c r="BH18" i="7" a="1"/>
  <c r="BH18" i="7" s="1"/>
  <c r="C18" i="7" s="1"/>
  <c r="BH54" i="7" a="1"/>
  <c r="BH54" i="7" s="1"/>
  <c r="C54" i="7" s="1"/>
  <c r="BH90" i="7" a="1"/>
  <c r="BH90" i="7" s="1"/>
  <c r="C90" i="7" s="1"/>
  <c r="BH126" i="7" a="1"/>
  <c r="BH126" i="7" s="1"/>
  <c r="C126" i="7" s="1"/>
  <c r="BH162" i="7" a="1"/>
  <c r="BH162" i="7" s="1"/>
  <c r="C162" i="7" s="1"/>
  <c r="BH762" i="7" a="1"/>
  <c r="BH762" i="7" s="1"/>
  <c r="C762" i="7" s="1"/>
  <c r="BH738" i="7" a="1"/>
  <c r="BH738" i="7" s="1"/>
  <c r="BH702" i="7" a="1"/>
  <c r="BH702" i="7" s="1"/>
  <c r="C702" i="7" s="1"/>
  <c r="BH690" i="7" a="1"/>
  <c r="BH690" i="7" s="1"/>
  <c r="C690" i="7" s="1"/>
  <c r="BH681" i="7" a="1"/>
  <c r="BH681" i="7" s="1"/>
  <c r="C681" i="7" s="1"/>
  <c r="BH663" i="7" a="1"/>
  <c r="BH663" i="7" s="1"/>
  <c r="C663" i="7" s="1"/>
  <c r="BH645" i="7" a="1"/>
  <c r="BH645" i="7" s="1"/>
  <c r="C645" i="7" s="1"/>
  <c r="BH627" i="7" a="1"/>
  <c r="BH627" i="7" s="1"/>
  <c r="C627" i="7" s="1"/>
  <c r="BH609" i="7" a="1"/>
  <c r="BH609" i="7" s="1"/>
  <c r="C609" i="7" s="1"/>
  <c r="BH591" i="7" a="1"/>
  <c r="BH591" i="7" s="1"/>
  <c r="C591" i="7" s="1"/>
  <c r="BH583" i="7" a="1"/>
  <c r="BH583" i="7" s="1"/>
  <c r="C583" i="7" s="1"/>
  <c r="BH576" i="7" a="1"/>
  <c r="BH576" i="7" s="1"/>
  <c r="BH569" i="7" a="1"/>
  <c r="BH569" i="7" s="1"/>
  <c r="C569" i="7" s="1"/>
  <c r="BH547" i="7" a="1"/>
  <c r="BH547" i="7" s="1"/>
  <c r="C547" i="7" s="1"/>
  <c r="BH540" i="7" a="1"/>
  <c r="BH540" i="7" s="1"/>
  <c r="C540" i="7" s="1"/>
  <c r="BH533" i="7" a="1"/>
  <c r="BH533" i="7" s="1"/>
  <c r="C533" i="7" s="1"/>
  <c r="BH519" i="7" a="1"/>
  <c r="BH519" i="7" s="1"/>
  <c r="C519" i="7" s="1"/>
  <c r="BH511" i="7" a="1"/>
  <c r="BH511" i="7" s="1"/>
  <c r="C511" i="7" s="1"/>
  <c r="BH499" i="7" a="1"/>
  <c r="BH499" i="7" s="1"/>
  <c r="C499" i="7" s="1"/>
  <c r="BH487" i="7" a="1"/>
  <c r="BH487" i="7" s="1"/>
  <c r="C487" i="7" s="1"/>
  <c r="BH475" i="7" a="1"/>
  <c r="BH475" i="7" s="1"/>
  <c r="C475" i="7" s="1"/>
  <c r="BH463" i="7" a="1"/>
  <c r="BH463" i="7" s="1"/>
  <c r="C463" i="7" s="1"/>
  <c r="BH451" i="7" a="1"/>
  <c r="BH451" i="7" s="1"/>
  <c r="C451" i="7" s="1"/>
  <c r="BH439" i="7" a="1"/>
  <c r="BH439" i="7" s="1"/>
  <c r="C439" i="7" s="1"/>
  <c r="BH428" i="7" a="1"/>
  <c r="BH428" i="7" s="1"/>
  <c r="C428" i="7" s="1"/>
  <c r="BH417" i="7" a="1"/>
  <c r="BH417" i="7" s="1"/>
  <c r="C417" i="7" s="1"/>
  <c r="BH407" i="7" a="1"/>
  <c r="BH407" i="7" s="1"/>
  <c r="C407" i="7" s="1"/>
  <c r="BH396" i="7" a="1"/>
  <c r="BH396" i="7" s="1"/>
  <c r="C396" i="7" s="1"/>
  <c r="BH385" i="7" a="1"/>
  <c r="BH385" i="7" s="1"/>
  <c r="C385" i="7" s="1"/>
  <c r="BH374" i="7" a="1"/>
  <c r="BH374" i="7" s="1"/>
  <c r="C374" i="7" s="1"/>
  <c r="BH363" i="7" a="1"/>
  <c r="BH363" i="7" s="1"/>
  <c r="C363" i="7" s="1"/>
  <c r="BH352" i="7" a="1"/>
  <c r="BH352" i="7" s="1"/>
  <c r="C352" i="7" s="1"/>
  <c r="BH342" i="7" a="1"/>
  <c r="BH342" i="7" s="1"/>
  <c r="C342" i="7" s="1"/>
  <c r="BH330" i="7" a="1"/>
  <c r="BH330" i="7" s="1"/>
  <c r="C330" i="7" s="1"/>
  <c r="BH319" i="7" a="1"/>
  <c r="BH319" i="7" s="1"/>
  <c r="C319" i="7" s="1"/>
  <c r="BH308" i="7" a="1"/>
  <c r="BH308" i="7" s="1"/>
  <c r="C308" i="7" s="1"/>
  <c r="BH286" i="7" a="1"/>
  <c r="BH286" i="7" s="1"/>
  <c r="C286" i="7" s="1"/>
  <c r="BH275" i="7" a="1"/>
  <c r="BH275" i="7" s="1"/>
  <c r="C275" i="7" s="1"/>
  <c r="BH264" i="7" a="1"/>
  <c r="BH264" i="7" s="1"/>
  <c r="C264" i="7" s="1"/>
  <c r="BH254" i="7" a="1"/>
  <c r="BH254" i="7" s="1"/>
  <c r="C254" i="7" s="1"/>
  <c r="BH232" i="7" a="1"/>
  <c r="BH232" i="7" s="1"/>
  <c r="C232" i="7" s="1"/>
  <c r="BH221" i="7" a="1"/>
  <c r="BH221" i="7" s="1"/>
  <c r="C221" i="7" s="1"/>
  <c r="BH211" i="7" a="1"/>
  <c r="BH211" i="7" s="1"/>
  <c r="C211" i="7" s="1"/>
  <c r="BH190" i="7" a="1"/>
  <c r="BH190" i="7" s="1"/>
  <c r="C190" i="7" s="1"/>
  <c r="BH178" i="7" a="1"/>
  <c r="BH178" i="7" s="1"/>
  <c r="C178" i="7" s="1"/>
  <c r="BH164" i="7" a="1"/>
  <c r="BH164" i="7" s="1"/>
  <c r="C164" i="7" s="1"/>
  <c r="BH150" i="7" a="1"/>
  <c r="BH150" i="7" s="1"/>
  <c r="C150" i="7" s="1"/>
  <c r="BH137" i="7" a="1"/>
  <c r="BH137" i="7" s="1"/>
  <c r="C137" i="7" s="1"/>
  <c r="BH107" i="7" a="1"/>
  <c r="BH107" i="7" s="1"/>
  <c r="C107" i="7" s="1"/>
  <c r="BH92" i="7" a="1"/>
  <c r="BH92" i="7" s="1"/>
  <c r="C92" i="7" s="1"/>
  <c r="BH76" i="7" a="1"/>
  <c r="BH76" i="7" s="1"/>
  <c r="C76" i="7" s="1"/>
  <c r="BH61" i="7" a="1"/>
  <c r="BH61" i="7" s="1"/>
  <c r="C61" i="7" s="1"/>
  <c r="BH45" i="7" a="1"/>
  <c r="BH45" i="7" s="1"/>
  <c r="C45" i="7" s="1"/>
  <c r="BH30" i="7" a="1"/>
  <c r="BH30" i="7" s="1"/>
  <c r="C30" i="7" s="1"/>
  <c r="BH175" i="7" a="1"/>
  <c r="BH175" i="7" s="1"/>
  <c r="C175" i="7" s="1"/>
  <c r="BH761" i="7" a="1"/>
  <c r="BH761" i="7" s="1"/>
  <c r="C761" i="7" s="1"/>
  <c r="BH749" i="7" a="1"/>
  <c r="BH749" i="7" s="1"/>
  <c r="C749" i="7" s="1"/>
  <c r="BH737" i="7" a="1"/>
  <c r="BH737" i="7" s="1"/>
  <c r="C737" i="7" s="1"/>
  <c r="BH725" i="7" a="1"/>
  <c r="BH725" i="7" s="1"/>
  <c r="C725" i="7" s="1"/>
  <c r="BH713" i="7" a="1"/>
  <c r="BH713" i="7" s="1"/>
  <c r="C713" i="7" s="1"/>
  <c r="BH701" i="7" a="1"/>
  <c r="BH701" i="7" s="1"/>
  <c r="C701" i="7" s="1"/>
  <c r="BH680" i="7" a="1"/>
  <c r="BH680" i="7" s="1"/>
  <c r="C680" i="7" s="1"/>
  <c r="BH671" i="7" a="1"/>
  <c r="BH671" i="7" s="1"/>
  <c r="C671" i="7" s="1"/>
  <c r="BH662" i="7" a="1"/>
  <c r="BH662" i="7" s="1"/>
  <c r="C662" i="7" s="1"/>
  <c r="BH653" i="7" a="1"/>
  <c r="BH653" i="7" s="1"/>
  <c r="C653" i="7" s="1"/>
  <c r="BH644" i="7" a="1"/>
  <c r="BH644" i="7" s="1"/>
  <c r="C644" i="7" s="1"/>
  <c r="BH635" i="7" a="1"/>
  <c r="BH635" i="7" s="1"/>
  <c r="C635" i="7" s="1"/>
  <c r="BH626" i="7" a="1"/>
  <c r="BH626" i="7" s="1"/>
  <c r="C626" i="7" s="1"/>
  <c r="BH617" i="7" a="1"/>
  <c r="BH617" i="7" s="1"/>
  <c r="C617" i="7" s="1"/>
  <c r="BH608" i="7" a="1"/>
  <c r="BH608" i="7" s="1"/>
  <c r="C608" i="7" s="1"/>
  <c r="BH599" i="7" a="1"/>
  <c r="BH599" i="7" s="1"/>
  <c r="C599" i="7" s="1"/>
  <c r="BH568" i="7" a="1"/>
  <c r="BH568" i="7" s="1"/>
  <c r="C568" i="7" s="1"/>
  <c r="BH561" i="7" a="1"/>
  <c r="BH561" i="7" s="1"/>
  <c r="C561" i="7" s="1"/>
  <c r="BH554" i="7" a="1"/>
  <c r="BH554" i="7" s="1"/>
  <c r="C554" i="7" s="1"/>
  <c r="BH532" i="7" a="1"/>
  <c r="BH532" i="7" s="1"/>
  <c r="C532" i="7" s="1"/>
  <c r="BH525" i="7" a="1"/>
  <c r="BH525" i="7" s="1"/>
  <c r="C525" i="7" s="1"/>
  <c r="BH510" i="7" a="1"/>
  <c r="BH510" i="7" s="1"/>
  <c r="C510" i="7" s="1"/>
  <c r="BH498" i="7" a="1"/>
  <c r="BH498" i="7" s="1"/>
  <c r="C498" i="7" s="1"/>
  <c r="BH486" i="7" a="1"/>
  <c r="BH486" i="7" s="1"/>
  <c r="C486" i="7" s="1"/>
  <c r="BH474" i="7" a="1"/>
  <c r="BH474" i="7" s="1"/>
  <c r="C474" i="7" s="1"/>
  <c r="BH462" i="7" a="1"/>
  <c r="BH462" i="7" s="1"/>
  <c r="C462" i="7" s="1"/>
  <c r="BH450" i="7" a="1"/>
  <c r="BH450" i="7" s="1"/>
  <c r="C450" i="7" s="1"/>
  <c r="BH438" i="7" a="1"/>
  <c r="BH438" i="7" s="1"/>
  <c r="C438" i="7" s="1"/>
  <c r="BH427" i="7" a="1"/>
  <c r="BH427" i="7" s="1"/>
  <c r="BH406" i="7" a="1"/>
  <c r="BH406" i="7" s="1"/>
  <c r="C406" i="7" s="1"/>
  <c r="BH395" i="7" a="1"/>
  <c r="BH395" i="7" s="1"/>
  <c r="C395" i="7" s="1"/>
  <c r="BH384" i="7" a="1"/>
  <c r="BH384" i="7" s="1"/>
  <c r="C384" i="7" s="1"/>
  <c r="BH373" i="7" a="1"/>
  <c r="BH373" i="7" s="1"/>
  <c r="C373" i="7" s="1"/>
  <c r="BH351" i="7" a="1"/>
  <c r="BH351" i="7" s="1"/>
  <c r="C351" i="7" s="1"/>
  <c r="BH341" i="7" a="1"/>
  <c r="BH341" i="7" s="1"/>
  <c r="C341" i="7" s="1"/>
  <c r="BH329" i="7" a="1"/>
  <c r="BH329" i="7" s="1"/>
  <c r="C329" i="7" s="1"/>
  <c r="BH318" i="7" a="1"/>
  <c r="BH318" i="7" s="1"/>
  <c r="C318" i="7" s="1"/>
  <c r="BH307" i="7" a="1"/>
  <c r="BH307" i="7" s="1"/>
  <c r="C307" i="7" s="1"/>
  <c r="BH296" i="7" a="1"/>
  <c r="BH296" i="7" s="1"/>
  <c r="C296" i="7" s="1"/>
  <c r="BH285" i="7" a="1"/>
  <c r="BH285" i="7" s="1"/>
  <c r="C285" i="7" s="1"/>
  <c r="BH274" i="7" a="1"/>
  <c r="BH274" i="7" s="1"/>
  <c r="C274" i="7" s="1"/>
  <c r="BH263" i="7" a="1"/>
  <c r="BH263" i="7" s="1"/>
  <c r="C263" i="7" s="1"/>
  <c r="BH253" i="7" a="1"/>
  <c r="BH253" i="7" s="1"/>
  <c r="C253" i="7" s="1"/>
  <c r="BH242" i="7" a="1"/>
  <c r="BH242" i="7" s="1"/>
  <c r="C242" i="7" s="1"/>
  <c r="BH231" i="7" a="1"/>
  <c r="BH231" i="7" s="1"/>
  <c r="C231" i="7" s="1"/>
  <c r="BH220" i="7" a="1"/>
  <c r="BH220" i="7" s="1"/>
  <c r="C220" i="7" s="1"/>
  <c r="BH210" i="7" a="1"/>
  <c r="BH210" i="7" s="1"/>
  <c r="C210" i="7" s="1"/>
  <c r="BH200" i="7" a="1"/>
  <c r="BH200" i="7" s="1"/>
  <c r="C200" i="7" s="1"/>
  <c r="BH189" i="7" a="1"/>
  <c r="BH189" i="7" s="1"/>
  <c r="C189" i="7" s="1"/>
  <c r="BH163" i="7" a="1"/>
  <c r="BH163" i="7" s="1"/>
  <c r="C163" i="7" s="1"/>
  <c r="BH149" i="7" a="1"/>
  <c r="BH149" i="7" s="1"/>
  <c r="C149" i="7" s="1"/>
  <c r="BH135" i="7" a="1"/>
  <c r="BH135" i="7" s="1"/>
  <c r="C135" i="7" s="1"/>
  <c r="BH122" i="7" a="1"/>
  <c r="BH122" i="7" s="1"/>
  <c r="C122" i="7" s="1"/>
  <c r="BH106" i="7" a="1"/>
  <c r="BH106" i="7" s="1"/>
  <c r="C106" i="7" s="1"/>
  <c r="BH91" i="7" a="1"/>
  <c r="BH91" i="7" s="1"/>
  <c r="C91" i="7" s="1"/>
  <c r="BH75" i="7" a="1"/>
  <c r="BH75" i="7" s="1"/>
  <c r="C75" i="7" s="1"/>
  <c r="BH60" i="7" a="1"/>
  <c r="BH60" i="7" s="1"/>
  <c r="C60" i="7" s="1"/>
  <c r="BH29" i="7" a="1"/>
  <c r="BH29" i="7" s="1"/>
  <c r="C29" i="7" s="1"/>
  <c r="BH14" i="7" a="1"/>
  <c r="BH14" i="7" s="1"/>
  <c r="C14" i="7" s="1"/>
  <c r="BH700" i="7" a="1"/>
  <c r="BH700" i="7" s="1"/>
  <c r="C700" i="7" s="1"/>
  <c r="BH689" i="7" a="1"/>
  <c r="BH689" i="7" s="1"/>
  <c r="C689" i="7" s="1"/>
  <c r="BH679" i="7" a="1"/>
  <c r="BH679" i="7" s="1"/>
  <c r="C679" i="7" s="1"/>
  <c r="BH670" i="7" a="1"/>
  <c r="BH670" i="7" s="1"/>
  <c r="C670" i="7" s="1"/>
  <c r="BH661" i="7" a="1"/>
  <c r="BH661" i="7" s="1"/>
  <c r="C661" i="7" s="1"/>
  <c r="BH652" i="7" a="1"/>
  <c r="BH652" i="7" s="1"/>
  <c r="C652" i="7" s="1"/>
  <c r="BH643" i="7" a="1"/>
  <c r="BH643" i="7" s="1"/>
  <c r="C643" i="7" s="1"/>
  <c r="BH634" i="7" a="1"/>
  <c r="BH634" i="7" s="1"/>
  <c r="C634" i="7" s="1"/>
  <c r="BH625" i="7" a="1"/>
  <c r="BH625" i="7" s="1"/>
  <c r="C625" i="7" s="1"/>
  <c r="BH616" i="7" a="1"/>
  <c r="BH616" i="7" s="1"/>
  <c r="C616" i="7" s="1"/>
  <c r="BH607" i="7" a="1"/>
  <c r="BH607" i="7" s="1"/>
  <c r="C607" i="7" s="1"/>
  <c r="BH598" i="7" a="1"/>
  <c r="BH598" i="7" s="1"/>
  <c r="C598" i="7" s="1"/>
  <c r="BH590" i="7" a="1"/>
  <c r="BH590" i="7" s="1"/>
  <c r="C590" i="7" s="1"/>
  <c r="BH582" i="7" a="1"/>
  <c r="BH582" i="7" s="1"/>
  <c r="C582" i="7" s="1"/>
  <c r="BH575" i="7" a="1"/>
  <c r="BH575" i="7" s="1"/>
  <c r="C575" i="7" s="1"/>
  <c r="BH553" i="7" a="1"/>
  <c r="BH553" i="7" s="1"/>
  <c r="C553" i="7" s="1"/>
  <c r="BH546" i="7" a="1"/>
  <c r="BH546" i="7" s="1"/>
  <c r="C546" i="7" s="1"/>
  <c r="BH539" i="7" a="1"/>
  <c r="BH539" i="7" s="1"/>
  <c r="C539" i="7" s="1"/>
  <c r="BH518" i="7" a="1"/>
  <c r="BH518" i="7" s="1"/>
  <c r="C518" i="7" s="1"/>
  <c r="BH509" i="7" a="1"/>
  <c r="BH509" i="7" s="1"/>
  <c r="C509" i="7" s="1"/>
  <c r="BH497" i="7" a="1"/>
  <c r="BH497" i="7" s="1"/>
  <c r="C497" i="7" s="1"/>
  <c r="BH485" i="7" a="1"/>
  <c r="BH485" i="7" s="1"/>
  <c r="C485" i="7" s="1"/>
  <c r="BH473" i="7" a="1"/>
  <c r="BH473" i="7" s="1"/>
  <c r="C473" i="7" s="1"/>
  <c r="BH461" i="7" a="1"/>
  <c r="BH461" i="7" s="1"/>
  <c r="C461" i="7" s="1"/>
  <c r="BH449" i="7" a="1"/>
  <c r="BH449" i="7" s="1"/>
  <c r="C449" i="7" s="1"/>
  <c r="BH437" i="7" a="1"/>
  <c r="BH437" i="7" s="1"/>
  <c r="C437" i="7" s="1"/>
  <c r="BH426" i="7" a="1"/>
  <c r="BH426" i="7" s="1"/>
  <c r="C426" i="7" s="1"/>
  <c r="BH416" i="7" a="1"/>
  <c r="BH416" i="7" s="1"/>
  <c r="C416" i="7" s="1"/>
  <c r="BH405" i="7" a="1"/>
  <c r="BH405" i="7" s="1"/>
  <c r="C405" i="7" s="1"/>
  <c r="BH394" i="7" a="1"/>
  <c r="BH394" i="7" s="1"/>
  <c r="C394" i="7" s="1"/>
  <c r="BH383" i="7" a="1"/>
  <c r="BH383" i="7" s="1"/>
  <c r="C383" i="7" s="1"/>
  <c r="BH372" i="7" a="1"/>
  <c r="BH372" i="7" s="1"/>
  <c r="C372" i="7" s="1"/>
  <c r="BH362" i="7" a="1"/>
  <c r="BH362" i="7" s="1"/>
  <c r="C362" i="7" s="1"/>
  <c r="BH340" i="7" a="1"/>
  <c r="BH340" i="7" s="1"/>
  <c r="C340" i="7" s="1"/>
  <c r="BH328" i="7" a="1"/>
  <c r="BH328" i="7" s="1"/>
  <c r="C328" i="7" s="1"/>
  <c r="BH317" i="7" a="1"/>
  <c r="BH317" i="7" s="1"/>
  <c r="C317" i="7" s="1"/>
  <c r="BH306" i="7" a="1"/>
  <c r="BH306" i="7" s="1"/>
  <c r="C306" i="7" s="1"/>
  <c r="BH295" i="7" a="1"/>
  <c r="BH295" i="7" s="1"/>
  <c r="C295" i="7" s="1"/>
  <c r="BH284" i="7" a="1"/>
  <c r="BH284" i="7" s="1"/>
  <c r="C284" i="7" s="1"/>
  <c r="BH273" i="7" a="1"/>
  <c r="BH273" i="7" s="1"/>
  <c r="C273" i="7" s="1"/>
  <c r="BH262" i="7" a="1"/>
  <c r="BH262" i="7" s="1"/>
  <c r="C262" i="7" s="1"/>
  <c r="BH252" i="7" a="1"/>
  <c r="BH252" i="7" s="1"/>
  <c r="C252" i="7" s="1"/>
  <c r="BH241" i="7" a="1"/>
  <c r="BH241" i="7" s="1"/>
  <c r="C241" i="7" s="1"/>
  <c r="BH230" i="7" a="1"/>
  <c r="BH230" i="7" s="1"/>
  <c r="C230" i="7" s="1"/>
  <c r="BH219" i="7" a="1"/>
  <c r="BH219" i="7" s="1"/>
  <c r="C219" i="7" s="1"/>
  <c r="BH209" i="7" a="1"/>
  <c r="BH209" i="7" s="1"/>
  <c r="C209" i="7" s="1"/>
  <c r="BH199" i="7" a="1"/>
  <c r="BH199" i="7" s="1"/>
  <c r="C199" i="7" s="1"/>
  <c r="BH176" i="7" a="1"/>
  <c r="BH176" i="7" s="1"/>
  <c r="C176" i="7" s="1"/>
  <c r="BH161" i="7" a="1"/>
  <c r="BH161" i="7" s="1"/>
  <c r="C161" i="7" s="1"/>
  <c r="BH148" i="7" a="1"/>
  <c r="BH148" i="7" s="1"/>
  <c r="C148" i="7" s="1"/>
  <c r="BH120" i="7" a="1"/>
  <c r="BH120" i="7" s="1"/>
  <c r="C120" i="7" s="1"/>
  <c r="BH89" i="7" a="1"/>
  <c r="BH89" i="7" s="1"/>
  <c r="C89" i="7" s="1"/>
  <c r="BH74" i="7" a="1"/>
  <c r="BH74" i="7" s="1"/>
  <c r="C74" i="7" s="1"/>
  <c r="BH58" i="7" a="1"/>
  <c r="BH58" i="7" s="1"/>
  <c r="C58" i="7" s="1"/>
  <c r="BH43" i="7" a="1"/>
  <c r="BH43" i="7" s="1"/>
  <c r="C43" i="7" s="1"/>
  <c r="BH27" i="7" a="1"/>
  <c r="BH27" i="7" s="1"/>
  <c r="C27" i="7" s="1"/>
  <c r="BH12" i="7" a="1"/>
  <c r="BH12" i="7" s="1"/>
  <c r="C12" i="7" s="1"/>
  <c r="C763" i="7"/>
  <c r="C739" i="7"/>
  <c r="C727" i="7"/>
  <c r="C715" i="7"/>
  <c r="C703" i="7"/>
  <c r="C691" i="7"/>
  <c r="C667" i="7"/>
  <c r="C631" i="7"/>
  <c r="C619" i="7"/>
  <c r="C595" i="7"/>
  <c r="C571" i="7"/>
  <c r="C535" i="7"/>
  <c r="C427" i="7"/>
  <c r="C415" i="7"/>
  <c r="C403" i="7"/>
  <c r="C379" i="7"/>
  <c r="C283" i="7"/>
  <c r="C271" i="7"/>
  <c r="C259" i="7"/>
  <c r="C247" i="7"/>
  <c r="C187" i="7"/>
  <c r="C103" i="7"/>
  <c r="C67" i="7"/>
  <c r="C31" i="7"/>
  <c r="C7" i="7"/>
  <c r="C750" i="7"/>
  <c r="C738" i="7"/>
  <c r="C726" i="7"/>
  <c r="C714" i="7"/>
  <c r="C678" i="7"/>
  <c r="C666" i="7"/>
  <c r="C642" i="7"/>
  <c r="C630" i="7"/>
  <c r="C618" i="7"/>
  <c r="C606" i="7"/>
  <c r="C594" i="7"/>
  <c r="C570" i="7"/>
  <c r="C522" i="7"/>
  <c r="C402" i="7"/>
  <c r="C390" i="7"/>
  <c r="C378" i="7"/>
  <c r="C294" i="7"/>
  <c r="C282" i="7"/>
  <c r="C258" i="7"/>
  <c r="C246" i="7"/>
  <c r="C234" i="7"/>
  <c r="C198" i="7"/>
  <c r="C186" i="7"/>
  <c r="C174" i="7"/>
  <c r="C114" i="7"/>
  <c r="C102" i="7"/>
  <c r="C66" i="7"/>
  <c r="C42" i="7"/>
  <c r="C6" i="7"/>
  <c r="C677" i="7"/>
  <c r="C665" i="7"/>
  <c r="C629" i="7"/>
  <c r="C593" i="7"/>
  <c r="C581" i="7"/>
  <c r="C557" i="7"/>
  <c r="C425" i="7"/>
  <c r="C401" i="7"/>
  <c r="C389" i="7"/>
  <c r="C377" i="7"/>
  <c r="C365" i="7"/>
  <c r="C293" i="7"/>
  <c r="C281" i="7"/>
  <c r="C269" i="7"/>
  <c r="C257" i="7"/>
  <c r="C245" i="7"/>
  <c r="C113" i="7"/>
  <c r="C101" i="7"/>
  <c r="C53" i="7"/>
  <c r="C760" i="7"/>
  <c r="C748" i="7"/>
  <c r="C736" i="7"/>
  <c r="C724" i="7"/>
  <c r="C712" i="7"/>
  <c r="C688" i="7"/>
  <c r="C640" i="7"/>
  <c r="C580" i="7"/>
  <c r="C544" i="7"/>
  <c r="C520" i="7"/>
  <c r="C508" i="7"/>
  <c r="C484" i="7"/>
  <c r="C472" i="7"/>
  <c r="C460" i="7"/>
  <c r="C436" i="7"/>
  <c r="C424" i="7"/>
  <c r="C400" i="7"/>
  <c r="C388" i="7"/>
  <c r="C376" i="7"/>
  <c r="C316" i="7"/>
  <c r="C304" i="7"/>
  <c r="C292" i="7"/>
  <c r="C280" i="7"/>
  <c r="C268" i="7"/>
  <c r="C208" i="7"/>
  <c r="C196" i="7"/>
  <c r="C184" i="7"/>
  <c r="C160" i="7"/>
  <c r="C112" i="7"/>
  <c r="C88" i="7"/>
  <c r="C52" i="7"/>
  <c r="C40" i="7"/>
  <c r="C4" i="7"/>
  <c r="C759" i="7"/>
  <c r="C747" i="7"/>
  <c r="C735" i="7"/>
  <c r="C723" i="7"/>
  <c r="C711" i="7"/>
  <c r="C699" i="7"/>
  <c r="C687" i="7"/>
  <c r="C675" i="7"/>
  <c r="C651" i="7"/>
  <c r="C615" i="7"/>
  <c r="C567" i="7"/>
  <c r="C555" i="7"/>
  <c r="C543" i="7"/>
  <c r="C531" i="7"/>
  <c r="C507" i="7"/>
  <c r="C495" i="7"/>
  <c r="C471" i="7"/>
  <c r="C447" i="7"/>
  <c r="C435" i="7"/>
  <c r="C423" i="7"/>
  <c r="C411" i="7"/>
  <c r="C399" i="7"/>
  <c r="C339" i="7"/>
  <c r="C327" i="7"/>
  <c r="C315" i="7"/>
  <c r="C303" i="7"/>
  <c r="C291" i="7"/>
  <c r="C279" i="7"/>
  <c r="C255" i="7"/>
  <c r="C207" i="7"/>
  <c r="C195" i="7"/>
  <c r="C183" i="7"/>
  <c r="C171" i="7"/>
  <c r="C159" i="7"/>
  <c r="C147" i="7"/>
  <c r="C111" i="7"/>
  <c r="C99" i="7"/>
  <c r="C39" i="7"/>
  <c r="C758" i="7"/>
  <c r="C746" i="7"/>
  <c r="C734" i="7"/>
  <c r="C722" i="7"/>
  <c r="C710" i="7"/>
  <c r="C698" i="7"/>
  <c r="C686" i="7"/>
  <c r="C650" i="7"/>
  <c r="C638" i="7"/>
  <c r="C614" i="7"/>
  <c r="C602" i="7"/>
  <c r="C566" i="7"/>
  <c r="C530" i="7"/>
  <c r="C506" i="7"/>
  <c r="C494" i="7"/>
  <c r="C482" i="7"/>
  <c r="C470" i="7"/>
  <c r="C458" i="7"/>
  <c r="C446" i="7"/>
  <c r="C434" i="7"/>
  <c r="C422" i="7"/>
  <c r="C350" i="7"/>
  <c r="C338" i="7"/>
  <c r="C326" i="7"/>
  <c r="C314" i="7"/>
  <c r="C302" i="7"/>
  <c r="C290" i="7"/>
  <c r="C278" i="7"/>
  <c r="C218" i="7"/>
  <c r="C206" i="7"/>
  <c r="C194" i="7"/>
  <c r="C182" i="7"/>
  <c r="C170" i="7"/>
  <c r="C158" i="7"/>
  <c r="C146" i="7"/>
  <c r="C134" i="7"/>
  <c r="C98" i="7"/>
  <c r="C86" i="7"/>
  <c r="C50" i="7"/>
  <c r="C38" i="7"/>
  <c r="C769" i="7"/>
  <c r="C757" i="7"/>
  <c r="C745" i="7"/>
  <c r="C733" i="7"/>
  <c r="C721" i="7"/>
  <c r="C709" i="7"/>
  <c r="C697" i="7"/>
  <c r="C685" i="7"/>
  <c r="C673" i="7"/>
  <c r="C649" i="7"/>
  <c r="C637" i="7"/>
  <c r="C613" i="7"/>
  <c r="C601" i="7"/>
  <c r="C565" i="7"/>
  <c r="C529" i="7"/>
  <c r="C517" i="7"/>
  <c r="C505" i="7"/>
  <c r="C493" i="7"/>
  <c r="C469" i="7"/>
  <c r="C457" i="7"/>
  <c r="C445" i="7"/>
  <c r="C421" i="7"/>
  <c r="C397" i="7"/>
  <c r="C361" i="7"/>
  <c r="C337" i="7"/>
  <c r="C325" i="7"/>
  <c r="C313" i="7"/>
  <c r="C289" i="7"/>
  <c r="C229" i="7"/>
  <c r="C217" i="7"/>
  <c r="C205" i="7"/>
  <c r="C169" i="7"/>
  <c r="C157" i="7"/>
  <c r="C145" i="7"/>
  <c r="C133" i="7"/>
  <c r="C97" i="7"/>
  <c r="C85" i="7"/>
  <c r="C73" i="7"/>
  <c r="C49" i="7"/>
  <c r="C37" i="7"/>
  <c r="C25" i="7"/>
  <c r="C13" i="7"/>
  <c r="C768" i="7"/>
  <c r="C756" i="7"/>
  <c r="C744" i="7"/>
  <c r="C732" i="7"/>
  <c r="C708" i="7"/>
  <c r="C696" i="7"/>
  <c r="C684" i="7"/>
  <c r="C660" i="7"/>
  <c r="C648" i="7"/>
  <c r="C624" i="7"/>
  <c r="C612" i="7"/>
  <c r="C588" i="7"/>
  <c r="C576" i="7"/>
  <c r="C564" i="7"/>
  <c r="C552" i="7"/>
  <c r="C528" i="7"/>
  <c r="C516" i="7"/>
  <c r="C504" i="7"/>
  <c r="C492" i="7"/>
  <c r="C480" i="7"/>
  <c r="C456" i="7"/>
  <c r="C444" i="7"/>
  <c r="C432" i="7"/>
  <c r="C360" i="7"/>
  <c r="C348" i="7"/>
  <c r="C336" i="7"/>
  <c r="C324" i="7"/>
  <c r="C312" i="7"/>
  <c r="C300" i="7"/>
  <c r="C240" i="7"/>
  <c r="C228" i="7"/>
  <c r="C216" i="7"/>
  <c r="C180" i="7"/>
  <c r="C156" i="7"/>
  <c r="C144" i="7"/>
  <c r="C132" i="7"/>
  <c r="C108" i="7"/>
  <c r="C84" i="7"/>
  <c r="C72" i="7"/>
  <c r="C48" i="7"/>
  <c r="C36" i="7"/>
  <c r="C24" i="7"/>
  <c r="C767" i="7"/>
  <c r="C755" i="7"/>
  <c r="C731" i="7"/>
  <c r="C707" i="7"/>
  <c r="C695" i="7"/>
  <c r="C683" i="7"/>
  <c r="C647" i="7"/>
  <c r="C611" i="7"/>
  <c r="C587" i="7"/>
  <c r="C563" i="7"/>
  <c r="C551" i="7"/>
  <c r="C503" i="7"/>
  <c r="C491" i="7"/>
  <c r="C479" i="7"/>
  <c r="C467" i="7"/>
  <c r="C455" i="7"/>
  <c r="C431" i="7"/>
  <c r="C371" i="7"/>
  <c r="C359" i="7"/>
  <c r="C347" i="7"/>
  <c r="C323" i="7"/>
  <c r="C287" i="7"/>
  <c r="C251" i="7"/>
  <c r="C239" i="7"/>
  <c r="C215" i="7"/>
  <c r="C167" i="7"/>
  <c r="C143" i="7"/>
  <c r="C131" i="7"/>
  <c r="C95" i="7"/>
  <c r="C83" i="7"/>
  <c r="C71" i="7"/>
  <c r="C35" i="7"/>
  <c r="C23" i="7"/>
  <c r="C11" i="7"/>
  <c r="C766" i="7"/>
  <c r="C754" i="7"/>
  <c r="C730" i="7"/>
  <c r="C718" i="7"/>
  <c r="C694" i="7"/>
  <c r="C682" i="7"/>
  <c r="C658" i="7"/>
  <c r="C622" i="7"/>
  <c r="C574" i="7"/>
  <c r="C550" i="7"/>
  <c r="C538" i="7"/>
  <c r="C526" i="7"/>
  <c r="C490" i="7"/>
  <c r="C454" i="7"/>
  <c r="C430" i="7"/>
  <c r="C418" i="7"/>
  <c r="C382" i="7"/>
  <c r="C370" i="7"/>
  <c r="C358" i="7"/>
  <c r="C346" i="7"/>
  <c r="C334" i="7"/>
  <c r="C322" i="7"/>
  <c r="C298" i="7"/>
  <c r="C250" i="7"/>
  <c r="C238" i="7"/>
  <c r="C226" i="7"/>
  <c r="C214" i="7"/>
  <c r="C142" i="7"/>
  <c r="C130" i="7"/>
  <c r="C118" i="7"/>
  <c r="C82" i="7"/>
  <c r="C70" i="7"/>
  <c r="C46" i="7"/>
  <c r="C34" i="7"/>
  <c r="C22" i="7"/>
  <c r="C10" i="7"/>
  <c r="C765" i="7"/>
  <c r="C753" i="7"/>
  <c r="C741" i="7"/>
  <c r="C729" i="7"/>
  <c r="C693" i="7"/>
  <c r="C669" i="7"/>
  <c r="C657" i="7"/>
  <c r="C633" i="7"/>
  <c r="C621" i="7"/>
  <c r="C597" i="7"/>
  <c r="C585" i="7"/>
  <c r="C573" i="7"/>
  <c r="C501" i="7"/>
  <c r="C453" i="7"/>
  <c r="C393" i="7"/>
  <c r="C381" i="7"/>
  <c r="C369" i="7"/>
  <c r="C357" i="7"/>
  <c r="C345" i="7"/>
  <c r="C333" i="7"/>
  <c r="C261" i="7"/>
  <c r="C249" i="7"/>
  <c r="C237" i="7"/>
  <c r="C225" i="7"/>
  <c r="C213" i="7"/>
  <c r="C177" i="7"/>
  <c r="C153" i="7"/>
  <c r="C141" i="7"/>
  <c r="C129" i="7"/>
  <c r="C117" i="7"/>
  <c r="C105" i="7"/>
  <c r="C81" i="7"/>
  <c r="C69" i="7"/>
  <c r="C57" i="7"/>
  <c r="C33" i="7"/>
  <c r="C21" i="7"/>
  <c r="C764" i="7"/>
  <c r="C752" i="7"/>
  <c r="C740" i="7"/>
  <c r="C716" i="7"/>
  <c r="C692" i="7"/>
  <c r="C668" i="7"/>
  <c r="C656" i="7"/>
  <c r="C632" i="7"/>
  <c r="C620" i="7"/>
  <c r="C596" i="7"/>
  <c r="C584" i="7"/>
  <c r="C572" i="7"/>
  <c r="C560" i="7"/>
  <c r="C524" i="7"/>
  <c r="C404" i="7"/>
  <c r="C392" i="7"/>
  <c r="C380" i="7"/>
  <c r="C368" i="7"/>
  <c r="C260" i="7"/>
  <c r="C248" i="7"/>
  <c r="C236" i="7"/>
  <c r="C152" i="7"/>
  <c r="C140" i="7"/>
  <c r="C128" i="7"/>
  <c r="C116" i="7"/>
  <c r="C104" i="7"/>
  <c r="C80" i="7"/>
  <c r="C56" i="7"/>
  <c r="C44" i="7"/>
  <c r="C20" i="7"/>
  <c r="C8" i="7"/>
  <c r="W480" i="9" l="1"/>
  <c r="W681" i="9"/>
  <c r="W624" i="9"/>
  <c r="W609" i="9"/>
  <c r="W465" i="9"/>
  <c r="W3" i="9"/>
  <c r="W393" i="9"/>
  <c r="W321" i="9"/>
  <c r="W324" i="9"/>
  <c r="W249" i="9"/>
  <c r="W177" i="9"/>
  <c r="B185" i="9"/>
  <c r="AB312" i="9"/>
  <c r="Z312" i="9"/>
  <c r="AB314" i="9"/>
  <c r="V314" i="9" a="1"/>
  <c r="V314" i="9" s="1"/>
  <c r="AD314" i="9" s="1"/>
  <c r="AB315" i="9"/>
  <c r="V315" i="9" a="1"/>
  <c r="V315" i="9" s="1"/>
  <c r="AD315" i="9" s="1"/>
  <c r="Z315" i="9"/>
  <c r="AB316" i="9"/>
  <c r="V316" i="9" a="1"/>
  <c r="V316" i="9" s="1"/>
  <c r="AD316" i="9" s="1"/>
  <c r="AB319" i="9"/>
  <c r="V319" i="9" a="1"/>
  <c r="V319" i="9" s="1"/>
  <c r="AD319" i="9" s="1"/>
  <c r="AB323" i="9"/>
  <c r="Z323" i="9"/>
  <c r="AB324" i="9"/>
  <c r="Z324" i="9"/>
  <c r="AB325" i="9"/>
  <c r="Z325" i="9"/>
  <c r="AB327" i="9"/>
  <c r="V327" i="9" a="1"/>
  <c r="V327" i="9" s="1"/>
  <c r="AD327" i="9" s="1"/>
  <c r="AB329" i="9"/>
  <c r="V329" i="9" a="1"/>
  <c r="V329" i="9" s="1"/>
  <c r="AD329" i="9" s="1"/>
  <c r="Z329" i="9"/>
  <c r="AB331" i="9"/>
  <c r="V331" i="9" a="1"/>
  <c r="V331" i="9" s="1"/>
  <c r="AD331" i="9" s="1"/>
  <c r="AB332" i="9"/>
  <c r="Z332" i="9"/>
  <c r="AB335" i="9"/>
  <c r="Z335" i="9"/>
  <c r="V335" i="9" a="1"/>
  <c r="V335" i="9" s="1"/>
  <c r="AD335" i="9" s="1"/>
  <c r="AB336" i="9"/>
  <c r="Z336" i="9"/>
  <c r="AB337" i="9"/>
  <c r="Z337" i="9"/>
  <c r="AB338" i="9"/>
  <c r="V338" i="9" a="1"/>
  <c r="V338" i="9" s="1"/>
  <c r="AD338" i="9" s="1"/>
  <c r="AB339" i="9"/>
  <c r="Z339" i="9"/>
  <c r="AB340" i="9"/>
  <c r="V340" i="9" a="1"/>
  <c r="V340" i="9" s="1"/>
  <c r="AD340" i="9" s="1"/>
  <c r="Z340" i="9"/>
  <c r="AB341" i="9"/>
  <c r="V341" i="9" a="1"/>
  <c r="V341" i="9" s="1"/>
  <c r="AD341" i="9" s="1"/>
  <c r="AB342" i="9"/>
  <c r="V342" i="9" a="1"/>
  <c r="V342" i="9" s="1"/>
  <c r="AD342" i="9" s="1"/>
  <c r="AB343" i="9"/>
  <c r="Z343" i="9"/>
  <c r="AB345" i="9"/>
  <c r="X345" i="9"/>
  <c r="AB348" i="9"/>
  <c r="V348" i="9" a="1"/>
  <c r="V348" i="9" s="1"/>
  <c r="AD348" i="9" s="1"/>
  <c r="AB349" i="9"/>
  <c r="V349" i="9" a="1"/>
  <c r="V349" i="9" s="1"/>
  <c r="AD349" i="9" s="1"/>
  <c r="Z349" i="9"/>
  <c r="AB350" i="9"/>
  <c r="Z350" i="9"/>
  <c r="AB351" i="9"/>
  <c r="Z351" i="9"/>
  <c r="AB352" i="9"/>
  <c r="V352" i="9" a="1"/>
  <c r="V352" i="9" s="1"/>
  <c r="AD352" i="9" s="1"/>
  <c r="AB354" i="9"/>
  <c r="V354" i="9" a="1"/>
  <c r="V354" i="9" s="1"/>
  <c r="AD354" i="9" s="1"/>
  <c r="Z354" i="9"/>
  <c r="AB355" i="9"/>
  <c r="Z355" i="9"/>
  <c r="V355" i="9" a="1"/>
  <c r="V355" i="9" s="1"/>
  <c r="AD355" i="9" s="1"/>
  <c r="AB357" i="9"/>
  <c r="Z357" i="9"/>
  <c r="AB358" i="9"/>
  <c r="Z358" i="9"/>
  <c r="AB360" i="9"/>
  <c r="V360" i="9" a="1"/>
  <c r="V360" i="9" s="1"/>
  <c r="AD360" i="9" s="1"/>
  <c r="AB361" i="9"/>
  <c r="V361" i="9" a="1"/>
  <c r="V361" i="9" s="1"/>
  <c r="AD361" i="9" s="1"/>
  <c r="AB362" i="9"/>
  <c r="V362" i="9" a="1"/>
  <c r="V362" i="9" s="1"/>
  <c r="AD362" i="9" s="1"/>
  <c r="Z362" i="9"/>
  <c r="AB363" i="9"/>
  <c r="V363" i="9" a="1"/>
  <c r="V363" i="9" s="1"/>
  <c r="AD363" i="9" s="1"/>
  <c r="Z363" i="9"/>
  <c r="AB365" i="9"/>
  <c r="V365" i="9" a="1"/>
  <c r="V365" i="9" s="1"/>
  <c r="AD365" i="9" s="1"/>
  <c r="Z365" i="9"/>
  <c r="AB367" i="9"/>
  <c r="V367" i="9" a="1"/>
  <c r="V367" i="9" s="1"/>
  <c r="AD367" i="9" s="1"/>
  <c r="AB373" i="9"/>
  <c r="V373" i="9" a="1"/>
  <c r="V373" i="9" s="1"/>
  <c r="AD373" i="9" s="1"/>
  <c r="AB374" i="9"/>
  <c r="V374" i="9" a="1"/>
  <c r="V374" i="9" s="1"/>
  <c r="AB375" i="9"/>
  <c r="V375" i="9" a="1"/>
  <c r="V375" i="9" s="1"/>
  <c r="AD375" i="9" s="1"/>
  <c r="AB376" i="9"/>
  <c r="V376" i="9" a="1"/>
  <c r="V376" i="9" s="1"/>
  <c r="AD376" i="9" s="1"/>
  <c r="Z376" i="9"/>
  <c r="AB377" i="9"/>
  <c r="V377" i="9" a="1"/>
  <c r="V377" i="9" s="1"/>
  <c r="AD377" i="9" s="1"/>
  <c r="AB379" i="9"/>
  <c r="V379" i="9" a="1"/>
  <c r="V379" i="9" s="1"/>
  <c r="AD379" i="9" s="1"/>
  <c r="AB382" i="9"/>
  <c r="V382" i="9" a="1"/>
  <c r="V382" i="9" s="1"/>
  <c r="AD382" i="9" s="1"/>
  <c r="AB384" i="9"/>
  <c r="V384" i="9" a="1"/>
  <c r="V384" i="9" s="1"/>
  <c r="AD384" i="9" s="1"/>
  <c r="AB385" i="9"/>
  <c r="Z385" i="9"/>
  <c r="AB386" i="9"/>
  <c r="Z386" i="9"/>
  <c r="AB387" i="9"/>
  <c r="V387" i="9" a="1"/>
  <c r="V387" i="9" s="1"/>
  <c r="AD387" i="9" s="1"/>
  <c r="AB388" i="9"/>
  <c r="V388" i="9" a="1"/>
  <c r="V388" i="9" s="1"/>
  <c r="AD388" i="9" s="1"/>
  <c r="AB390" i="9"/>
  <c r="Z390" i="9"/>
  <c r="V390" i="9" a="1"/>
  <c r="V390" i="9" s="1"/>
  <c r="AD390" i="9" s="1"/>
  <c r="AB391" i="9"/>
  <c r="V391" i="9" a="1"/>
  <c r="V391" i="9" s="1"/>
  <c r="AD391" i="9" s="1"/>
  <c r="Z391" i="9"/>
  <c r="AB395" i="9"/>
  <c r="V395" i="9" a="1"/>
  <c r="V395" i="9" s="1"/>
  <c r="AD395" i="9" s="1"/>
  <c r="AB396" i="9"/>
  <c r="V396" i="9" a="1"/>
  <c r="V396" i="9" s="1"/>
  <c r="AD396" i="9" s="1"/>
  <c r="AB398" i="9"/>
  <c r="Z398" i="9"/>
  <c r="AB399" i="9"/>
  <c r="V399" i="9" a="1"/>
  <c r="V399" i="9" s="1"/>
  <c r="AD399" i="9" s="1"/>
  <c r="Z399" i="9"/>
  <c r="AB401" i="9"/>
  <c r="V401" i="9" a="1"/>
  <c r="V401" i="9" s="1"/>
  <c r="AD401" i="9" s="1"/>
  <c r="Z401" i="9"/>
  <c r="AB404" i="9"/>
  <c r="Z404" i="9"/>
  <c r="AB407" i="9"/>
  <c r="Z407" i="9"/>
  <c r="X407" i="9"/>
  <c r="AB408" i="9"/>
  <c r="V408" i="9" a="1"/>
  <c r="V408" i="9" s="1"/>
  <c r="AB409" i="9"/>
  <c r="Z409" i="9"/>
  <c r="AB410" i="9"/>
  <c r="V410" i="9" a="1"/>
  <c r="V410" i="9" s="1"/>
  <c r="AD410" i="9" s="1"/>
  <c r="B130" i="9" s="1"/>
  <c r="Z410" i="9"/>
  <c r="AB411" i="9"/>
  <c r="V411" i="9" a="1"/>
  <c r="V411" i="9" s="1"/>
  <c r="AD411" i="9" s="1"/>
  <c r="AB412" i="9"/>
  <c r="V412" i="9" a="1"/>
  <c r="V412" i="9" s="1"/>
  <c r="AD412" i="9" s="1"/>
  <c r="Z412" i="9"/>
  <c r="AB413" i="9"/>
  <c r="V413" i="9" a="1"/>
  <c r="V413" i="9" s="1"/>
  <c r="AD413" i="9" s="1"/>
  <c r="AB414" i="9"/>
  <c r="V414" i="9" a="1"/>
  <c r="V414" i="9" s="1"/>
  <c r="AD414" i="9" s="1"/>
  <c r="AB415" i="9"/>
  <c r="Z415" i="9"/>
  <c r="V415" i="9" a="1"/>
  <c r="V415" i="9" s="1"/>
  <c r="AD415" i="9" s="1"/>
  <c r="AB420" i="9"/>
  <c r="V420" i="9" a="1"/>
  <c r="V420" i="9" s="1"/>
  <c r="AD420" i="9" s="1"/>
  <c r="AB421" i="9"/>
  <c r="V421" i="9" a="1"/>
  <c r="V421" i="9" s="1"/>
  <c r="AD421" i="9" s="1"/>
  <c r="Z421" i="9"/>
  <c r="AB423" i="9"/>
  <c r="V423" i="9" a="1"/>
  <c r="V423" i="9" s="1"/>
  <c r="AD423" i="9" s="1"/>
  <c r="AB424" i="9"/>
  <c r="V424" i="9" a="1"/>
  <c r="V424" i="9" s="1"/>
  <c r="AD424" i="9" s="1"/>
  <c r="AB426" i="9"/>
  <c r="V426" i="9" a="1"/>
  <c r="V426" i="9" s="1"/>
  <c r="AD426" i="9" s="1"/>
  <c r="AB427" i="9"/>
  <c r="Z427" i="9"/>
  <c r="AB429" i="9"/>
  <c r="Z429" i="9"/>
  <c r="AB430" i="9"/>
  <c r="Z430" i="9"/>
  <c r="AB431" i="9"/>
  <c r="Z431" i="9"/>
  <c r="AB433" i="9"/>
  <c r="V433" i="9" a="1"/>
  <c r="V433" i="9" s="1"/>
  <c r="AD433" i="9" s="1"/>
  <c r="AB434" i="9"/>
  <c r="V434" i="9" a="1"/>
  <c r="V434" i="9" s="1"/>
  <c r="AD434" i="9" s="1"/>
  <c r="AB435" i="9"/>
  <c r="V435" i="9" a="1"/>
  <c r="V435" i="9" s="1"/>
  <c r="AD435" i="9" s="1"/>
  <c r="AB437" i="9"/>
  <c r="V437" i="9" a="1"/>
  <c r="V437" i="9" s="1"/>
  <c r="AD437" i="9" s="1"/>
  <c r="Z437" i="9"/>
  <c r="AB439" i="9"/>
  <c r="V439" i="9" a="1"/>
  <c r="V439" i="9" s="1"/>
  <c r="AD439" i="9" s="1"/>
  <c r="AB444" i="9"/>
  <c r="Z444" i="9"/>
  <c r="AB445" i="9"/>
  <c r="V445" i="9" a="1"/>
  <c r="V445" i="9" s="1"/>
  <c r="AD445" i="9" s="1"/>
  <c r="AB446" i="9"/>
  <c r="V446" i="9" a="1"/>
  <c r="V446" i="9" s="1"/>
  <c r="AD446" i="9" s="1"/>
  <c r="Z446" i="9"/>
  <c r="AB447" i="9"/>
  <c r="Z447" i="9"/>
  <c r="AB448" i="9"/>
  <c r="V448" i="9" a="1"/>
  <c r="V448" i="9" s="1"/>
  <c r="AD448" i="9" s="1"/>
  <c r="Z448" i="9"/>
  <c r="AB449" i="9"/>
  <c r="V449" i="9" a="1"/>
  <c r="V449" i="9" s="1"/>
  <c r="AD449" i="9" s="1"/>
  <c r="AB450" i="9"/>
  <c r="V450" i="9" a="1"/>
  <c r="V450" i="9" s="1"/>
  <c r="AD450" i="9" s="1"/>
  <c r="AB451" i="9"/>
  <c r="V451" i="9" a="1"/>
  <c r="V451" i="9" s="1"/>
  <c r="AD451" i="9" s="1"/>
  <c r="Z451" i="9"/>
  <c r="AB457" i="9"/>
  <c r="Z457" i="9"/>
  <c r="AB458" i="9"/>
  <c r="V458" i="9" a="1"/>
  <c r="V458" i="9" s="1"/>
  <c r="AD458" i="9" s="1"/>
  <c r="AB459" i="9"/>
  <c r="V459" i="9" a="1"/>
  <c r="V459" i="9" s="1"/>
  <c r="AD459" i="9" s="1"/>
  <c r="Z459" i="9"/>
  <c r="AB460" i="9"/>
  <c r="V460" i="9" a="1"/>
  <c r="V460" i="9" s="1"/>
  <c r="AD460" i="9" s="1"/>
  <c r="AB462" i="9"/>
  <c r="Z462" i="9"/>
  <c r="AB463" i="9"/>
  <c r="V463" i="9" a="1"/>
  <c r="V463" i="9" s="1"/>
  <c r="AD463" i="9" s="1"/>
  <c r="AB466" i="9"/>
  <c r="Z466" i="9"/>
  <c r="AB468" i="9"/>
  <c r="Z468" i="9"/>
  <c r="AB469" i="9"/>
  <c r="Z469" i="9"/>
  <c r="AB470" i="9"/>
  <c r="V470" i="9" a="1"/>
  <c r="V470" i="9" s="1"/>
  <c r="AD470" i="9" s="1"/>
  <c r="AB471" i="9"/>
  <c r="V471" i="9" a="1"/>
  <c r="V471" i="9" s="1"/>
  <c r="AD471" i="9" s="1"/>
  <c r="AB473" i="9"/>
  <c r="V473" i="9" a="1"/>
  <c r="V473" i="9" s="1"/>
  <c r="AD473" i="9" s="1"/>
  <c r="Z473" i="9"/>
  <c r="AB475" i="9"/>
  <c r="V475" i="9" a="1"/>
  <c r="V475" i="9" s="1"/>
  <c r="AD475" i="9" s="1"/>
  <c r="AB476" i="9"/>
  <c r="Z476" i="9"/>
  <c r="AB479" i="9"/>
  <c r="Z479" i="9"/>
  <c r="V479" i="9" a="1"/>
  <c r="V479" i="9" s="1"/>
  <c r="AD479" i="9" s="1"/>
  <c r="AB480" i="9"/>
  <c r="Z480" i="9"/>
  <c r="AB482" i="9"/>
  <c r="V482" i="9" a="1"/>
  <c r="V482" i="9" s="1"/>
  <c r="AD482" i="9" s="1"/>
  <c r="AB483" i="9"/>
  <c r="Z483" i="9"/>
  <c r="AB484" i="9"/>
  <c r="V484" i="9" a="1"/>
  <c r="V484" i="9" s="1"/>
  <c r="AD484" i="9" s="1"/>
  <c r="Z484" i="9"/>
  <c r="AB485" i="9"/>
  <c r="V485" i="9" a="1"/>
  <c r="V485" i="9" s="1"/>
  <c r="AD485" i="9" s="1"/>
  <c r="AB486" i="9"/>
  <c r="V486" i="9" a="1"/>
  <c r="V486" i="9" s="1"/>
  <c r="AD486" i="9" s="1"/>
  <c r="AB487" i="9"/>
  <c r="Z487" i="9"/>
  <c r="AB489" i="9"/>
  <c r="X489" i="9"/>
  <c r="AB492" i="9"/>
  <c r="V492" i="9" a="1"/>
  <c r="V492" i="9" s="1"/>
  <c r="AD492" i="9" s="1"/>
  <c r="Z492" i="9"/>
  <c r="AB493" i="9"/>
  <c r="V493" i="9" a="1"/>
  <c r="V493" i="9" s="1"/>
  <c r="AD493" i="9" s="1"/>
  <c r="Z493" i="9"/>
  <c r="AB494" i="9"/>
  <c r="Z494" i="9"/>
  <c r="AB495" i="9"/>
  <c r="Z495" i="9"/>
  <c r="AB496" i="9"/>
  <c r="V496" i="9" a="1"/>
  <c r="V496" i="9" s="1"/>
  <c r="AD496" i="9" s="1"/>
  <c r="AB498" i="9"/>
  <c r="V498" i="9" a="1"/>
  <c r="V498" i="9" s="1"/>
  <c r="AD498" i="9" s="1"/>
  <c r="Z498" i="9"/>
  <c r="AB499" i="9"/>
  <c r="Z499" i="9"/>
  <c r="V499" i="9" a="1"/>
  <c r="V499" i="9" s="1"/>
  <c r="AD499" i="9" s="1"/>
  <c r="AB501" i="9"/>
  <c r="Z501" i="9"/>
  <c r="AB502" i="9"/>
  <c r="Z502" i="9"/>
  <c r="AB503" i="9"/>
  <c r="V503" i="9" a="1"/>
  <c r="V503" i="9" s="1"/>
  <c r="AD503" i="9" s="1"/>
  <c r="AB505" i="9"/>
  <c r="V505" i="9" a="1"/>
  <c r="V505" i="9" s="1"/>
  <c r="AD505" i="9" s="1"/>
  <c r="AB506" i="9"/>
  <c r="V506" i="9" a="1"/>
  <c r="V506" i="9" s="1"/>
  <c r="AD506" i="9" s="1"/>
  <c r="Z506" i="9"/>
  <c r="AB507" i="9"/>
  <c r="V507" i="9" a="1"/>
  <c r="V507" i="9" s="1"/>
  <c r="AD507" i="9" s="1"/>
  <c r="Z507" i="9"/>
  <c r="AB509" i="9"/>
  <c r="V509" i="9" a="1"/>
  <c r="V509" i="9" s="1"/>
  <c r="AD509" i="9" s="1"/>
  <c r="Z509" i="9"/>
  <c r="AB511" i="9"/>
  <c r="V511" i="9" a="1"/>
  <c r="V511" i="9" s="1"/>
  <c r="AD511" i="9" s="1"/>
  <c r="AB516" i="9"/>
  <c r="V516" i="9" a="1"/>
  <c r="V516" i="9" s="1"/>
  <c r="AD516" i="9" s="1"/>
  <c r="AB517" i="9"/>
  <c r="V517" i="9" a="1"/>
  <c r="V517" i="9" s="1"/>
  <c r="AD517" i="9" s="1"/>
  <c r="AB518" i="9"/>
  <c r="V518" i="9" a="1"/>
  <c r="V518" i="9" s="1"/>
  <c r="AD518" i="9" s="1"/>
  <c r="AB519" i="9"/>
  <c r="V519" i="9" a="1"/>
  <c r="V519" i="9" s="1"/>
  <c r="AD519" i="9" s="1"/>
  <c r="AB520" i="9"/>
  <c r="V520" i="9" a="1"/>
  <c r="V520" i="9" s="1"/>
  <c r="AD520" i="9" s="1"/>
  <c r="Z520" i="9"/>
  <c r="AB521" i="9"/>
  <c r="V521" i="9" a="1"/>
  <c r="V521" i="9" s="1"/>
  <c r="AD521" i="9" s="1"/>
  <c r="AB523" i="9"/>
  <c r="V523" i="9" a="1"/>
  <c r="V523" i="9" s="1"/>
  <c r="AD523" i="9" s="1"/>
  <c r="AB529" i="9"/>
  <c r="Z529" i="9"/>
  <c r="AB531" i="9"/>
  <c r="V531" i="9" a="1"/>
  <c r="V531" i="9" s="1"/>
  <c r="AD531" i="9" s="1"/>
  <c r="AB532" i="9"/>
  <c r="V532" i="9" a="1"/>
  <c r="V532" i="9" s="1"/>
  <c r="AD532" i="9" s="1"/>
  <c r="AB534" i="9"/>
  <c r="Z534" i="9"/>
  <c r="V534" i="9" a="1"/>
  <c r="V534" i="9" s="1"/>
  <c r="AD534" i="9" s="1"/>
  <c r="AB535" i="9"/>
  <c r="V535" i="9" a="1"/>
  <c r="V535" i="9" s="1"/>
  <c r="AD535" i="9" s="1"/>
  <c r="Z535" i="9"/>
  <c r="AB536" i="9"/>
  <c r="X536" i="9"/>
  <c r="AB538" i="9"/>
  <c r="V538" i="9" a="1"/>
  <c r="V538" i="9" s="1"/>
  <c r="AD538" i="9" s="1"/>
  <c r="AB540" i="9"/>
  <c r="V540" i="9" a="1"/>
  <c r="V540" i="9" s="1"/>
  <c r="AD540" i="9" s="1"/>
  <c r="AB541" i="9"/>
  <c r="Z541" i="9"/>
  <c r="AB542" i="9"/>
  <c r="Z542" i="9"/>
  <c r="AB543" i="9"/>
  <c r="V543" i="9" a="1"/>
  <c r="V543" i="9" s="1"/>
  <c r="AD543" i="9" s="1"/>
  <c r="Z543" i="9"/>
  <c r="AB545" i="9"/>
  <c r="V545" i="9" a="1"/>
  <c r="V545" i="9" s="1"/>
  <c r="AD545" i="9" s="1"/>
  <c r="Z545" i="9"/>
  <c r="AB548" i="9"/>
  <c r="Z548" i="9"/>
  <c r="AB551" i="9"/>
  <c r="Z551" i="9"/>
  <c r="X551" i="9"/>
  <c r="AB552" i="9"/>
  <c r="V552" i="9" a="1"/>
  <c r="V552" i="9" s="1"/>
  <c r="AD552" i="9" s="1"/>
  <c r="AB553" i="9"/>
  <c r="Z553" i="9"/>
  <c r="AB554" i="9"/>
  <c r="V554" i="9" a="1"/>
  <c r="V554" i="9" s="1"/>
  <c r="AD554" i="9" s="1"/>
  <c r="Z554" i="9"/>
  <c r="AB555" i="9"/>
  <c r="V555" i="9" a="1"/>
  <c r="V555" i="9" s="1"/>
  <c r="AD555" i="9" s="1"/>
  <c r="AB556" i="9"/>
  <c r="V556" i="9" a="1"/>
  <c r="V556" i="9" s="1"/>
  <c r="AD556" i="9" s="1"/>
  <c r="Z556" i="9"/>
  <c r="AB557" i="9"/>
  <c r="V557" i="9" a="1"/>
  <c r="V557" i="9" s="1"/>
  <c r="AD557" i="9" s="1"/>
  <c r="AB558" i="9"/>
  <c r="V558" i="9" a="1"/>
  <c r="V558" i="9" s="1"/>
  <c r="AD558" i="9" s="1"/>
  <c r="AB563" i="9"/>
  <c r="Z563" i="9"/>
  <c r="AB564" i="9"/>
  <c r="V564" i="9" a="1"/>
  <c r="V564" i="9" s="1"/>
  <c r="AD564" i="9" s="1"/>
  <c r="AB565" i="9"/>
  <c r="V565" i="9" a="1"/>
  <c r="V565" i="9" s="1"/>
  <c r="AD565" i="9" s="1"/>
  <c r="AB566" i="9"/>
  <c r="V566" i="9" a="1"/>
  <c r="V566" i="9" s="1"/>
  <c r="AD566" i="9" s="1"/>
  <c r="AB568" i="9"/>
  <c r="V568" i="9" a="1"/>
  <c r="V568" i="9" s="1"/>
  <c r="AD568" i="9" s="1"/>
  <c r="AB569" i="9"/>
  <c r="Z569" i="9"/>
  <c r="AB570" i="9"/>
  <c r="V570" i="9" a="1"/>
  <c r="V570" i="9" s="1"/>
  <c r="AD570" i="9" s="1"/>
  <c r="Z570" i="9"/>
  <c r="AB571" i="9"/>
  <c r="Z571" i="9"/>
  <c r="V571" i="9" a="1"/>
  <c r="V571" i="9" s="1"/>
  <c r="AD571" i="9" s="1"/>
  <c r="AB573" i="9"/>
  <c r="Z573" i="9"/>
  <c r="AB574" i="9"/>
  <c r="Z574" i="9"/>
  <c r="AB576" i="9"/>
  <c r="Z576" i="9"/>
  <c r="AB577" i="9"/>
  <c r="V577" i="9" a="1"/>
  <c r="V577" i="9" s="1"/>
  <c r="AD577" i="9" s="1"/>
  <c r="AB578" i="9"/>
  <c r="V578" i="9" a="1"/>
  <c r="V578" i="9" s="1"/>
  <c r="AD578" i="9" s="1"/>
  <c r="AB580" i="9"/>
  <c r="Z580" i="9"/>
  <c r="AB581" i="9"/>
  <c r="Z581" i="9"/>
  <c r="AB583" i="9"/>
  <c r="V583" i="9" a="1"/>
  <c r="V583" i="9" s="1"/>
  <c r="AD583" i="9" s="1"/>
  <c r="AB586" i="9"/>
  <c r="X586" i="9"/>
  <c r="AB587" i="9"/>
  <c r="Z587" i="9"/>
  <c r="AB589" i="9"/>
  <c r="V589" i="9" a="1"/>
  <c r="V589" i="9" s="1"/>
  <c r="AD589" i="9" s="1"/>
  <c r="AB590" i="9"/>
  <c r="V590" i="9" a="1"/>
  <c r="V590" i="9" s="1"/>
  <c r="AD590" i="9" s="1"/>
  <c r="Z590" i="9"/>
  <c r="AB591" i="9"/>
  <c r="V591" i="9" a="1"/>
  <c r="V591" i="9" s="1"/>
  <c r="AD591" i="9" s="1"/>
  <c r="AB593" i="9"/>
  <c r="V593" i="9" a="1"/>
  <c r="V593" i="9" s="1"/>
  <c r="AD593" i="9" s="1"/>
  <c r="AB595" i="9"/>
  <c r="V595" i="9" a="1"/>
  <c r="V595" i="9" s="1"/>
  <c r="AD595" i="9" s="1"/>
  <c r="AB600" i="9"/>
  <c r="Z600" i="9"/>
  <c r="AB601" i="9"/>
  <c r="Z601" i="9"/>
  <c r="AB602" i="9"/>
  <c r="V602" i="9" a="1"/>
  <c r="V602" i="9" s="1"/>
  <c r="AD602" i="9" s="1"/>
  <c r="AB603" i="9"/>
  <c r="V603" i="9" a="1"/>
  <c r="V603" i="9" s="1"/>
  <c r="AD603" i="9" s="1"/>
  <c r="AB604" i="9"/>
  <c r="V604" i="9" a="1"/>
  <c r="V604" i="9" s="1"/>
  <c r="AD604" i="9" s="1"/>
  <c r="Z604" i="9"/>
  <c r="AB605" i="9"/>
  <c r="Z605" i="9"/>
  <c r="AB606" i="9"/>
  <c r="V606" i="9" a="1"/>
  <c r="V606" i="9" s="1"/>
  <c r="AD606" i="9" s="1"/>
  <c r="AB611" i="9"/>
  <c r="Z611" i="9"/>
  <c r="AB613" i="9"/>
  <c r="Z613" i="9"/>
  <c r="AB616" i="9"/>
  <c r="V616" i="9" a="1"/>
  <c r="V616" i="9" s="1"/>
  <c r="AD616" i="9" s="1"/>
  <c r="AB617" i="9"/>
  <c r="Z617" i="9"/>
  <c r="AB618" i="9"/>
  <c r="V618" i="9" a="1"/>
  <c r="V618" i="9" s="1"/>
  <c r="AD618" i="9" s="1"/>
  <c r="AB619" i="9"/>
  <c r="V619" i="9" a="1"/>
  <c r="V619" i="9" s="1"/>
  <c r="AD619" i="9" s="1"/>
  <c r="AB620" i="9"/>
  <c r="Z620" i="9"/>
  <c r="AB622" i="9"/>
  <c r="Z622" i="9"/>
  <c r="AB624" i="9"/>
  <c r="Z624" i="9"/>
  <c r="AB626" i="9"/>
  <c r="V626" i="9" a="1"/>
  <c r="V626" i="9" s="1"/>
  <c r="AD626" i="9" s="1"/>
  <c r="AB627" i="9"/>
  <c r="Z627" i="9"/>
  <c r="AB628" i="9"/>
  <c r="V628" i="9" a="1"/>
  <c r="V628" i="9" s="1"/>
  <c r="AD628" i="9" s="1"/>
  <c r="AB630" i="9"/>
  <c r="V630" i="9" a="1"/>
  <c r="V630" i="9" s="1"/>
  <c r="AD630" i="9" s="1"/>
  <c r="AB631" i="9"/>
  <c r="V631" i="9" a="1"/>
  <c r="V631" i="9" s="1"/>
  <c r="AD631" i="9" s="1"/>
  <c r="Z631" i="9"/>
  <c r="AB633" i="9"/>
  <c r="X633" i="9"/>
  <c r="AB635" i="9"/>
  <c r="Z635" i="9"/>
  <c r="AB636" i="9"/>
  <c r="V636" i="9" a="1"/>
  <c r="V636" i="9" s="1"/>
  <c r="AD636" i="9" s="1"/>
  <c r="Z636" i="9"/>
  <c r="AB638" i="9"/>
  <c r="Z638" i="9"/>
  <c r="AB639" i="9"/>
  <c r="Z639" i="9"/>
  <c r="AB641" i="9"/>
  <c r="Z641" i="9"/>
  <c r="AB642" i="9"/>
  <c r="V642" i="9" a="1"/>
  <c r="V642" i="9" s="1"/>
  <c r="AD642" i="9" s="1"/>
  <c r="AB645" i="9"/>
  <c r="Z645" i="9"/>
  <c r="AB646" i="9"/>
  <c r="Z646" i="9"/>
  <c r="AB647" i="9"/>
  <c r="Z647" i="9"/>
  <c r="AB648" i="9"/>
  <c r="V648" i="9" a="1"/>
  <c r="V648" i="9" s="1"/>
  <c r="AD648" i="9" s="1"/>
  <c r="AB650" i="9"/>
  <c r="V650" i="9" a="1"/>
  <c r="V650" i="9" s="1"/>
  <c r="AD650" i="9" s="1"/>
  <c r="Z650" i="9"/>
  <c r="AB651" i="9"/>
  <c r="V651" i="9" a="1"/>
  <c r="V651" i="9" s="1"/>
  <c r="AD651" i="9" s="1"/>
  <c r="Z651" i="9"/>
  <c r="AB653" i="9"/>
  <c r="V653" i="9" a="1"/>
  <c r="V653" i="9" s="1"/>
  <c r="AD653" i="9" s="1"/>
  <c r="Z653" i="9"/>
  <c r="AB659" i="9"/>
  <c r="Z659" i="9"/>
  <c r="AB661" i="9"/>
  <c r="V661" i="9" a="1"/>
  <c r="V661" i="9" s="1"/>
  <c r="AD661" i="9" s="1"/>
  <c r="Z661" i="9"/>
  <c r="AB662" i="9"/>
  <c r="V662" i="9" a="1"/>
  <c r="V662" i="9" s="1"/>
  <c r="AD662" i="9" s="1"/>
  <c r="AB663" i="9"/>
  <c r="V663" i="9" a="1"/>
  <c r="V663" i="9" s="1"/>
  <c r="AD663" i="9" s="1"/>
  <c r="AB664" i="9"/>
  <c r="V664" i="9" a="1"/>
  <c r="V664" i="9" s="1"/>
  <c r="AD664" i="9" s="1"/>
  <c r="Z664" i="9"/>
  <c r="AB667" i="9"/>
  <c r="Z667" i="9"/>
  <c r="V667" i="9" a="1"/>
  <c r="V667" i="9" s="1"/>
  <c r="AD667" i="9" s="1"/>
  <c r="AB673" i="9"/>
  <c r="V673" i="9" a="1"/>
  <c r="V673" i="9" s="1"/>
  <c r="AD673" i="9" s="1"/>
  <c r="AB674" i="9"/>
  <c r="Z674" i="9"/>
  <c r="AB675" i="9"/>
  <c r="V675" i="9" a="1"/>
  <c r="V675" i="9" s="1"/>
  <c r="AB676" i="9"/>
  <c r="V676" i="9" a="1"/>
  <c r="V676" i="9" s="1"/>
  <c r="AD676" i="9" s="1"/>
  <c r="AB677" i="9"/>
  <c r="Z677" i="9"/>
  <c r="AB678" i="9"/>
  <c r="V678" i="9" a="1"/>
  <c r="V678" i="9" s="1"/>
  <c r="AD678" i="9" s="1"/>
  <c r="B132" i="9" s="1"/>
  <c r="AB679" i="9"/>
  <c r="Z679" i="9"/>
  <c r="AB685" i="9"/>
  <c r="V685" i="9" a="1"/>
  <c r="V685" i="9" s="1"/>
  <c r="AD685" i="9" s="1"/>
  <c r="AB686" i="9"/>
  <c r="Z686" i="9"/>
  <c r="AB688" i="9"/>
  <c r="Z688" i="9"/>
  <c r="AB689" i="9"/>
  <c r="V689" i="9" a="1"/>
  <c r="V689" i="9" s="1"/>
  <c r="AD689" i="9" s="1"/>
  <c r="Z689" i="9"/>
  <c r="AB690" i="9"/>
  <c r="Z690" i="9"/>
  <c r="AB691" i="9"/>
  <c r="Z691" i="9"/>
  <c r="V691" i="9" a="1"/>
  <c r="V691" i="9" s="1"/>
  <c r="AD691" i="9" s="1"/>
  <c r="AB692" i="9"/>
  <c r="Z692" i="9"/>
  <c r="AB694" i="9"/>
  <c r="V694" i="9" a="1"/>
  <c r="V694" i="9" s="1"/>
  <c r="AD694" i="9" s="1"/>
  <c r="AB696" i="9"/>
  <c r="V696" i="9" a="1"/>
  <c r="V696" i="9" s="1"/>
  <c r="AD696" i="9" s="1"/>
  <c r="AB698" i="9"/>
  <c r="V698" i="9" a="1"/>
  <c r="V698" i="9" s="1"/>
  <c r="AD698" i="9" s="1"/>
  <c r="Z698" i="9"/>
  <c r="AB699" i="9"/>
  <c r="Z699" i="9"/>
  <c r="AB701" i="9"/>
  <c r="V701" i="9" a="1"/>
  <c r="V701" i="9" s="1"/>
  <c r="AD701" i="9" s="1"/>
  <c r="AB702" i="9"/>
  <c r="V702" i="9" a="1"/>
  <c r="V702" i="9" s="1"/>
  <c r="AD702" i="9" s="1"/>
  <c r="AB703" i="9"/>
  <c r="Z703" i="9"/>
  <c r="AB707" i="9"/>
  <c r="Z707" i="9"/>
  <c r="AB709" i="9"/>
  <c r="V709" i="9" a="1"/>
  <c r="V709" i="9" s="1"/>
  <c r="AD709" i="9" s="1"/>
  <c r="AB711" i="9"/>
  <c r="Z711" i="9"/>
  <c r="AB712" i="9"/>
  <c r="V712" i="9" a="1"/>
  <c r="V712" i="9" s="1"/>
  <c r="AD712" i="9" s="1"/>
  <c r="Z712" i="9"/>
  <c r="AB714" i="9"/>
  <c r="V714" i="9" a="1"/>
  <c r="V714" i="9" s="1"/>
  <c r="AD714" i="9" s="1"/>
  <c r="Z714" i="9"/>
  <c r="AB715" i="9"/>
  <c r="Z715" i="9"/>
  <c r="V715" i="9" a="1"/>
  <c r="V715" i="9" s="1"/>
  <c r="AD715" i="9" s="1"/>
  <c r="AB717" i="9"/>
  <c r="Z717" i="9"/>
  <c r="AB718" i="9"/>
  <c r="Z718" i="9"/>
  <c r="AB719" i="9"/>
  <c r="Z719" i="9"/>
  <c r="AB720" i="9"/>
  <c r="V720" i="9" a="1"/>
  <c r="V720" i="9" s="1"/>
  <c r="AD720" i="9" s="1"/>
  <c r="AB722" i="9"/>
  <c r="V722" i="9" a="1"/>
  <c r="V722" i="9" s="1"/>
  <c r="AB724" i="9"/>
  <c r="V724" i="9" a="1"/>
  <c r="V724" i="9" s="1"/>
  <c r="AB725" i="9"/>
  <c r="Z725" i="9"/>
  <c r="AB727" i="9"/>
  <c r="V727" i="9" a="1"/>
  <c r="V727" i="9" s="1"/>
  <c r="AD727" i="9" s="1"/>
  <c r="AB730" i="9"/>
  <c r="X730" i="9"/>
  <c r="AB731" i="9"/>
  <c r="Z731" i="9"/>
  <c r="AB733" i="9"/>
  <c r="V733" i="9" a="1"/>
  <c r="V733" i="9" s="1"/>
  <c r="AB735" i="9"/>
  <c r="Z735" i="9"/>
  <c r="AB737" i="9"/>
  <c r="Z737" i="9"/>
  <c r="AB738" i="9"/>
  <c r="V738" i="9" a="1"/>
  <c r="V738" i="9" s="1"/>
  <c r="AD738" i="9" s="1"/>
  <c r="AB744" i="9"/>
  <c r="V744" i="9" a="1"/>
  <c r="V744" i="9" s="1"/>
  <c r="AD744" i="9" s="1"/>
  <c r="AB746" i="9"/>
  <c r="Z746" i="9"/>
  <c r="AB748" i="9"/>
  <c r="V748" i="9" a="1"/>
  <c r="V748" i="9" s="1"/>
  <c r="AD748" i="9" s="1"/>
  <c r="AB750" i="9"/>
  <c r="Z750" i="9"/>
  <c r="AB751" i="9"/>
  <c r="V751" i="9" a="1"/>
  <c r="V751" i="9" s="1"/>
  <c r="AD751" i="9" s="1"/>
  <c r="AB755" i="9"/>
  <c r="Z755" i="9"/>
  <c r="AB757" i="9"/>
  <c r="V757" i="9" a="1"/>
  <c r="V757" i="9" s="1"/>
  <c r="AB759" i="9"/>
  <c r="V759" i="9" a="1"/>
  <c r="V759" i="9" s="1"/>
  <c r="AD759" i="9" s="1"/>
  <c r="Z759" i="9"/>
  <c r="AB761" i="9"/>
  <c r="V761" i="9" a="1"/>
  <c r="V761" i="9" s="1"/>
  <c r="AD761" i="9" s="1"/>
  <c r="AB763" i="9"/>
  <c r="V763" i="9" a="1"/>
  <c r="V763" i="9" s="1"/>
  <c r="AD763" i="9" s="1"/>
  <c r="AB764" i="9"/>
  <c r="Z764" i="9"/>
  <c r="AB767" i="9"/>
  <c r="Z767" i="9"/>
  <c r="AB768" i="9"/>
  <c r="V768" i="9" a="1"/>
  <c r="V768" i="9" s="1"/>
  <c r="AB318" i="9"/>
  <c r="Z318" i="9"/>
  <c r="AB310" i="9"/>
  <c r="Z310" i="9"/>
  <c r="AB307" i="9"/>
  <c r="V307" i="9" a="1"/>
  <c r="V307" i="9" s="1"/>
  <c r="AD307" i="9" s="1"/>
  <c r="Z307" i="9"/>
  <c r="AB306" i="9"/>
  <c r="V306" i="9" a="1"/>
  <c r="V306" i="9" s="1"/>
  <c r="AD306" i="9" s="1"/>
  <c r="AB305" i="9"/>
  <c r="V305" i="9" a="1"/>
  <c r="V305" i="9" s="1"/>
  <c r="AD305" i="9" s="1"/>
  <c r="AB304" i="9"/>
  <c r="V304" i="9" a="1"/>
  <c r="V304" i="9" s="1"/>
  <c r="AD304" i="9" s="1"/>
  <c r="Z304" i="9"/>
  <c r="AB303" i="9"/>
  <c r="Z303" i="9"/>
  <c r="AB302" i="9"/>
  <c r="V302" i="9" a="1"/>
  <c r="V302" i="9" s="1"/>
  <c r="AD302" i="9" s="1"/>
  <c r="Z302" i="9"/>
  <c r="AB301" i="9"/>
  <c r="V301" i="9" a="1"/>
  <c r="V301" i="9" s="1"/>
  <c r="AD301" i="9" s="1"/>
  <c r="AB295" i="9"/>
  <c r="V295" i="9" a="1"/>
  <c r="V295" i="9" s="1"/>
  <c r="AD295" i="9" s="1"/>
  <c r="AB293" i="9"/>
  <c r="V293" i="9" a="1"/>
  <c r="V293" i="9" s="1"/>
  <c r="AD293" i="9" s="1"/>
  <c r="Z293" i="9"/>
  <c r="AB291" i="9"/>
  <c r="V291" i="9" a="1"/>
  <c r="V291" i="9" s="1"/>
  <c r="AD291" i="9" s="1"/>
  <c r="AB290" i="9"/>
  <c r="V290" i="9" a="1"/>
  <c r="V290" i="9" s="1"/>
  <c r="AD290" i="9" s="1"/>
  <c r="AB289" i="9"/>
  <c r="V289" i="9" a="1"/>
  <c r="V289" i="9" s="1"/>
  <c r="AD289" i="9" s="1"/>
  <c r="AB288" i="9"/>
  <c r="Z288" i="9"/>
  <c r="AB285" i="9"/>
  <c r="Z285" i="9"/>
  <c r="AB283" i="9"/>
  <c r="Z283" i="9"/>
  <c r="AB282" i="9"/>
  <c r="V282" i="9" a="1"/>
  <c r="V282" i="9" s="1"/>
  <c r="AD282" i="9" s="1"/>
  <c r="AB280" i="9"/>
  <c r="V280" i="9" a="1"/>
  <c r="V280" i="9" s="1"/>
  <c r="AD280" i="9" s="1"/>
  <c r="B128" i="9" s="1"/>
  <c r="AB279" i="9"/>
  <c r="V279" i="9" a="1"/>
  <c r="V279" i="9" s="1"/>
  <c r="AD279" i="9" s="1"/>
  <c r="AB278" i="9"/>
  <c r="V278" i="9" a="1"/>
  <c r="V278" i="9" s="1"/>
  <c r="AD278" i="9" s="1"/>
  <c r="AB277" i="9"/>
  <c r="V277" i="9" a="1"/>
  <c r="V277" i="9" s="1"/>
  <c r="AD277" i="9" s="1"/>
  <c r="Z277" i="9"/>
  <c r="AB276" i="9"/>
  <c r="V276" i="9" a="1"/>
  <c r="V276" i="9" s="1"/>
  <c r="AD276" i="9" s="1"/>
  <c r="AB271" i="9"/>
  <c r="Z271" i="9"/>
  <c r="V271" i="9" a="1"/>
  <c r="V271" i="9" s="1"/>
  <c r="AD271" i="9" s="1"/>
  <c r="AB269" i="9"/>
  <c r="V269" i="9" a="1"/>
  <c r="V269" i="9" s="1"/>
  <c r="AB268" i="9"/>
  <c r="V268" i="9" a="1"/>
  <c r="V268" i="9" s="1"/>
  <c r="AD268" i="9" s="1"/>
  <c r="Z268" i="9"/>
  <c r="AB267" i="9"/>
  <c r="V267" i="9" a="1"/>
  <c r="V267" i="9" s="1"/>
  <c r="AD267" i="9" s="1"/>
  <c r="AB266" i="9"/>
  <c r="V266" i="9" a="1"/>
  <c r="V266" i="9" s="1"/>
  <c r="AD266" i="9" s="1"/>
  <c r="Z266" i="9"/>
  <c r="AB265" i="9"/>
  <c r="Z265" i="9"/>
  <c r="AB263" i="9"/>
  <c r="Z263" i="9"/>
  <c r="X263" i="9"/>
  <c r="AB260" i="9"/>
  <c r="Z260" i="9"/>
  <c r="AB257" i="9"/>
  <c r="V257" i="9" a="1"/>
  <c r="V257" i="9" s="1"/>
  <c r="AD257" i="9" s="1"/>
  <c r="Z257" i="9"/>
  <c r="AB255" i="9"/>
  <c r="V255" i="9" a="1"/>
  <c r="V255" i="9" s="1"/>
  <c r="AD255" i="9" s="1"/>
  <c r="Z255" i="9"/>
  <c r="AB254" i="9"/>
  <c r="Z254" i="9"/>
  <c r="AB253" i="9"/>
  <c r="Z253" i="9"/>
  <c r="AB252" i="9"/>
  <c r="V252" i="9" a="1"/>
  <c r="V252" i="9" s="1"/>
  <c r="AD252" i="9" s="1"/>
  <c r="AB251" i="9"/>
  <c r="V251" i="9" a="1"/>
  <c r="V251" i="9" s="1"/>
  <c r="AB247" i="9"/>
  <c r="V247" i="9" a="1"/>
  <c r="V247" i="9" s="1"/>
  <c r="AD247" i="9" s="1"/>
  <c r="Z247" i="9"/>
  <c r="AB246" i="9"/>
  <c r="V246" i="9" a="1"/>
  <c r="V246" i="9" s="1"/>
  <c r="AD246" i="9" s="1"/>
  <c r="Z246" i="9"/>
  <c r="AB244" i="9"/>
  <c r="V244" i="9" a="1"/>
  <c r="V244" i="9" s="1"/>
  <c r="AD244" i="9" s="1"/>
  <c r="AB243" i="9"/>
  <c r="V243" i="9" a="1"/>
  <c r="V243" i="9" s="1"/>
  <c r="AD243" i="9" s="1"/>
  <c r="AB241" i="9"/>
  <c r="Z241" i="9"/>
  <c r="AB240" i="9"/>
  <c r="V240" i="9" a="1"/>
  <c r="V240" i="9" s="1"/>
  <c r="AD240" i="9" s="1"/>
  <c r="AB238" i="9"/>
  <c r="Z238" i="9"/>
  <c r="AB235" i="9"/>
  <c r="V235" i="9" a="1"/>
  <c r="V235" i="9" s="1"/>
  <c r="AD235" i="9" s="1"/>
  <c r="AB234" i="9"/>
  <c r="V234" i="9" a="1"/>
  <c r="V234" i="9" s="1"/>
  <c r="AD234" i="9" s="1"/>
  <c r="AB233" i="9"/>
  <c r="V233" i="9" a="1"/>
  <c r="V233" i="9" s="1"/>
  <c r="AD233" i="9" s="1"/>
  <c r="AB232" i="9"/>
  <c r="V232" i="9" a="1"/>
  <c r="V232" i="9" s="1"/>
  <c r="AD232" i="9" s="1"/>
  <c r="Z232" i="9"/>
  <c r="AB231" i="9"/>
  <c r="V231" i="9" a="1"/>
  <c r="V231" i="9" s="1"/>
  <c r="AD231" i="9" s="1"/>
  <c r="AB230" i="9"/>
  <c r="V230" i="9" a="1"/>
  <c r="V230" i="9" s="1"/>
  <c r="AD230" i="9" s="1"/>
  <c r="AB229" i="9"/>
  <c r="V229" i="9" a="1"/>
  <c r="V229" i="9" s="1"/>
  <c r="AD229" i="9" s="1"/>
  <c r="AB228" i="9"/>
  <c r="V228" i="9" a="1"/>
  <c r="V228" i="9" s="1"/>
  <c r="AB223" i="9"/>
  <c r="V223" i="9" a="1"/>
  <c r="V223" i="9" s="1"/>
  <c r="AB221" i="9"/>
  <c r="V221" i="9" a="1"/>
  <c r="V221" i="9" s="1"/>
  <c r="AD221" i="9" s="1"/>
  <c r="Z221" i="9"/>
  <c r="AB219" i="9"/>
  <c r="V219" i="9" a="1"/>
  <c r="V219" i="9" s="1"/>
  <c r="AD219" i="9" s="1"/>
  <c r="Z219" i="9"/>
  <c r="AB218" i="9"/>
  <c r="V218" i="9" a="1"/>
  <c r="V218" i="9" s="1"/>
  <c r="AD218" i="9" s="1"/>
  <c r="Z218" i="9"/>
  <c r="AB213" i="9"/>
  <c r="Z213" i="9"/>
  <c r="AB211" i="9"/>
  <c r="Z211" i="9"/>
  <c r="V211" i="9" a="1"/>
  <c r="V211" i="9" s="1"/>
  <c r="AD211" i="9" s="1"/>
  <c r="AB208" i="9"/>
  <c r="V208" i="9" a="1"/>
  <c r="V208" i="9" s="1"/>
  <c r="AD208" i="9" s="1"/>
  <c r="AB207" i="9"/>
  <c r="Z207" i="9"/>
  <c r="AB206" i="9"/>
  <c r="Z206" i="9"/>
  <c r="AB205" i="9"/>
  <c r="V205" i="9" a="1"/>
  <c r="V205" i="9" s="1"/>
  <c r="AD205" i="9" s="1"/>
  <c r="Z205" i="9"/>
  <c r="AB204" i="9"/>
  <c r="V204" i="9" a="1"/>
  <c r="V204" i="9" s="1"/>
  <c r="AD204" i="9" s="1"/>
  <c r="Z204" i="9"/>
  <c r="AB201" i="9"/>
  <c r="X201" i="9"/>
  <c r="AB199" i="9"/>
  <c r="Z199" i="9"/>
  <c r="AB198" i="9"/>
  <c r="V198" i="9" a="1"/>
  <c r="V198" i="9" s="1"/>
  <c r="AD198" i="9" s="1"/>
  <c r="AB197" i="9"/>
  <c r="V197" i="9" a="1"/>
  <c r="V197" i="9" s="1"/>
  <c r="AD197" i="9" s="1"/>
  <c r="AB196" i="9"/>
  <c r="V196" i="9" a="1"/>
  <c r="V196" i="9" s="1"/>
  <c r="AD196" i="9" s="1"/>
  <c r="Z196" i="9"/>
  <c r="AB195" i="9"/>
  <c r="Z195" i="9"/>
  <c r="AB194" i="9"/>
  <c r="V194" i="9" a="1"/>
  <c r="V194" i="9" s="1"/>
  <c r="AD194" i="9" s="1"/>
  <c r="AB193" i="9"/>
  <c r="Z193" i="9"/>
  <c r="AB191" i="9"/>
  <c r="Z191" i="9"/>
  <c r="AB188" i="9"/>
  <c r="Z188" i="9"/>
  <c r="AB187" i="9"/>
  <c r="V187" i="9" a="1"/>
  <c r="V187" i="9" s="1"/>
  <c r="AB185" i="9"/>
  <c r="V185" i="9" a="1"/>
  <c r="V185" i="9" s="1"/>
  <c r="AD185" i="9" s="1"/>
  <c r="Z185" i="9"/>
  <c r="AB183" i="9"/>
  <c r="V183" i="9" a="1"/>
  <c r="V183" i="9" s="1"/>
  <c r="AD183" i="9" s="1"/>
  <c r="AB182" i="9"/>
  <c r="V182" i="9" a="1"/>
  <c r="V182" i="9" s="1"/>
  <c r="AB181" i="9"/>
  <c r="Z181" i="9"/>
  <c r="AB180" i="9"/>
  <c r="Z180" i="9"/>
  <c r="AB179" i="9"/>
  <c r="Z179" i="9"/>
  <c r="V176" i="9" a="1"/>
  <c r="V176" i="9" s="1"/>
  <c r="AB176" i="9"/>
  <c r="AB175" i="9"/>
  <c r="V175" i="9" a="1"/>
  <c r="V175" i="9" s="1"/>
  <c r="AD175" i="9" s="1"/>
  <c r="AB174" i="9"/>
  <c r="Z174" i="9"/>
  <c r="V174" i="9" a="1"/>
  <c r="V174" i="9" s="1"/>
  <c r="AB172" i="9"/>
  <c r="V172" i="9" a="1"/>
  <c r="V172" i="9" s="1"/>
  <c r="AB171" i="9"/>
  <c r="V171" i="9" a="1"/>
  <c r="V171" i="9" s="1"/>
  <c r="Z171" i="9"/>
  <c r="V170" i="9" a="1"/>
  <c r="V170" i="9" s="1"/>
  <c r="AB170" i="9"/>
  <c r="AB169" i="9"/>
  <c r="Z169" i="9"/>
  <c r="AB168" i="9"/>
  <c r="Z168" i="9"/>
  <c r="AB166" i="9"/>
  <c r="Z166" i="9"/>
  <c r="AB163" i="9"/>
  <c r="V163" i="9" a="1"/>
  <c r="V163" i="9" s="1"/>
  <c r="AD163" i="9" s="1"/>
  <c r="Z163" i="9"/>
  <c r="AB160" i="9"/>
  <c r="V160" i="9" a="1"/>
  <c r="V160" i="9" s="1"/>
  <c r="AD160" i="9" s="1"/>
  <c r="AB159" i="9"/>
  <c r="Z159" i="9"/>
  <c r="V158" i="9" a="1"/>
  <c r="V158" i="9" s="1"/>
  <c r="AB158" i="9"/>
  <c r="AB157" i="9"/>
  <c r="V157" i="9" a="1"/>
  <c r="V157" i="9" s="1"/>
  <c r="AD157" i="9" s="1"/>
  <c r="AB156" i="9"/>
  <c r="Z156" i="9"/>
  <c r="V155" i="9" a="1"/>
  <c r="V155" i="9" s="1"/>
  <c r="AB155" i="9"/>
  <c r="V152" i="9" a="1"/>
  <c r="V152" i="9" s="1"/>
  <c r="AB152" i="9"/>
  <c r="AB151" i="9"/>
  <c r="V151" i="9" a="1"/>
  <c r="V151" i="9" s="1"/>
  <c r="AD151" i="9" s="1"/>
  <c r="AB150" i="9"/>
  <c r="V150" i="9" a="1"/>
  <c r="V150" i="9" s="1"/>
  <c r="AD150" i="9" s="1"/>
  <c r="Z150" i="9"/>
  <c r="AB148" i="9"/>
  <c r="V148" i="9" a="1"/>
  <c r="V148" i="9" s="1"/>
  <c r="AD148" i="9" s="1"/>
  <c r="V146" i="9" a="1"/>
  <c r="V146" i="9" s="1"/>
  <c r="AD146" i="9" s="1"/>
  <c r="AB146" i="9"/>
  <c r="V145" i="9" a="1"/>
  <c r="V145" i="9" s="1"/>
  <c r="AB145" i="9"/>
  <c r="V144" i="9" a="1"/>
  <c r="V144" i="9" s="1"/>
  <c r="AB144" i="9"/>
  <c r="V142" i="9" a="1"/>
  <c r="V142" i="9" s="1"/>
  <c r="AB142" i="9"/>
  <c r="V139" i="9" a="1"/>
  <c r="V139" i="9" s="1"/>
  <c r="AD139" i="9" s="1"/>
  <c r="AB139" i="9"/>
  <c r="V138" i="9" a="1"/>
  <c r="V138" i="9" s="1"/>
  <c r="AB138" i="9"/>
  <c r="V137" i="9" a="1"/>
  <c r="V137" i="9" s="1"/>
  <c r="AB137" i="9"/>
  <c r="V136" i="9" a="1"/>
  <c r="V136" i="9" s="1"/>
  <c r="AB136" i="9"/>
  <c r="V130" i="9" a="1"/>
  <c r="V130" i="9" s="1"/>
  <c r="AB130" i="9"/>
  <c r="V128" i="9" a="1"/>
  <c r="V128" i="9" s="1"/>
  <c r="AB128" i="9"/>
  <c r="V126" i="9" a="1"/>
  <c r="V126" i="9" s="1"/>
  <c r="AB126" i="9"/>
  <c r="Z126" i="9"/>
  <c r="V124" i="9" a="1"/>
  <c r="V124" i="9" s="1"/>
  <c r="AB124" i="9"/>
  <c r="V122" i="9" a="1"/>
  <c r="V122" i="9" s="1"/>
  <c r="AB122" i="9"/>
  <c r="V121" i="9" a="1"/>
  <c r="V121" i="9" s="1"/>
  <c r="AD121" i="9" s="1"/>
  <c r="AB121" i="9"/>
  <c r="V119" i="9" a="1"/>
  <c r="V119" i="9" s="1"/>
  <c r="AD119" i="9" s="1"/>
  <c r="AB119" i="9"/>
  <c r="X119" i="9"/>
  <c r="B4" i="9" s="1"/>
  <c r="V117" i="9" a="1"/>
  <c r="V117" i="9" s="1"/>
  <c r="AB117" i="9"/>
  <c r="V116" i="9" a="1"/>
  <c r="V116" i="9" s="1"/>
  <c r="AB116" i="9"/>
  <c r="Z116" i="9"/>
  <c r="B24" i="9" s="1"/>
  <c r="V115" i="9" a="1"/>
  <c r="V115" i="9" s="1"/>
  <c r="AB115" i="9"/>
  <c r="Z115" i="9"/>
  <c r="V114" i="9" a="1"/>
  <c r="V114" i="9" s="1"/>
  <c r="AB114" i="9"/>
  <c r="V113" i="9" a="1"/>
  <c r="V113" i="9" s="1"/>
  <c r="AB113" i="9"/>
  <c r="V110" i="9" a="1"/>
  <c r="V110" i="9" s="1"/>
  <c r="AD110" i="9" s="1"/>
  <c r="AB110" i="9"/>
  <c r="V108" i="9" a="1"/>
  <c r="V108" i="9" s="1"/>
  <c r="AD108" i="9" s="1"/>
  <c r="AB108" i="9"/>
  <c r="V107" i="9" a="1"/>
  <c r="V107" i="9" s="1"/>
  <c r="AB107" i="9"/>
  <c r="V106" i="9" a="1"/>
  <c r="V106" i="9" s="1"/>
  <c r="AB106" i="9"/>
  <c r="V105" i="9" a="1"/>
  <c r="V105" i="9" s="1"/>
  <c r="AB105" i="9"/>
  <c r="V104" i="9" a="1"/>
  <c r="V104" i="9" s="1"/>
  <c r="AB104" i="9"/>
  <c r="V103" i="9" a="1"/>
  <c r="V103" i="9" s="1"/>
  <c r="AB103" i="9"/>
  <c r="V102" i="9" a="1"/>
  <c r="V102" i="9" s="1"/>
  <c r="AD102" i="9" s="1"/>
  <c r="AB102" i="9"/>
  <c r="V101" i="9" a="1"/>
  <c r="V101" i="9" s="1"/>
  <c r="AB101" i="9"/>
  <c r="V100" i="9" a="1"/>
  <c r="V100" i="9" s="1"/>
  <c r="AB100" i="9"/>
  <c r="V99" i="9" a="1"/>
  <c r="V99" i="9" s="1"/>
  <c r="AB99" i="9"/>
  <c r="V98" i="9" a="1"/>
  <c r="V98" i="9" s="1"/>
  <c r="AB98" i="9"/>
  <c r="V97" i="9" a="1"/>
  <c r="V97" i="9" s="1"/>
  <c r="AB97" i="9"/>
  <c r="V95" i="9" a="1"/>
  <c r="V95" i="9" s="1"/>
  <c r="Z95" i="9"/>
  <c r="V94" i="9" a="1"/>
  <c r="V94" i="9" s="1"/>
  <c r="AB94" i="9"/>
  <c r="V82" i="9" a="1"/>
  <c r="V82" i="9" s="1"/>
  <c r="AB82" i="9"/>
  <c r="Z82" i="9"/>
  <c r="V75" i="9" a="1"/>
  <c r="V75" i="9" s="1"/>
  <c r="AB75" i="9"/>
  <c r="V81" i="9" a="1"/>
  <c r="V81" i="9" s="1"/>
  <c r="AB81" i="9"/>
  <c r="V74" i="9" a="1"/>
  <c r="V74" i="9" s="1"/>
  <c r="AB74" i="9"/>
  <c r="V56" i="9" a="1"/>
  <c r="V56" i="9" s="1"/>
  <c r="AB56" i="9"/>
  <c r="V80" i="9" a="1"/>
  <c r="V80" i="9" s="1"/>
  <c r="AB80" i="9"/>
  <c r="V61" i="9" a="1"/>
  <c r="V61" i="9" s="1"/>
  <c r="AB61" i="9"/>
  <c r="AB90" i="9"/>
  <c r="AB71" i="9"/>
  <c r="V85" i="9" a="1"/>
  <c r="V85" i="9" s="1"/>
  <c r="AB85" i="9"/>
  <c r="V79" i="9" a="1"/>
  <c r="V79" i="9" s="1"/>
  <c r="AB79" i="9"/>
  <c r="V60" i="9" a="1"/>
  <c r="V60" i="9" s="1"/>
  <c r="AB60" i="9"/>
  <c r="V54" i="9" a="1"/>
  <c r="V54" i="9" s="1"/>
  <c r="AD54" i="9" s="1"/>
  <c r="B126" i="9" s="1"/>
  <c r="AB54" i="9"/>
  <c r="AB86" i="9"/>
  <c r="AB69" i="9"/>
  <c r="V84" i="9" a="1"/>
  <c r="V84" i="9" s="1"/>
  <c r="AB84" i="9"/>
  <c r="V78" i="9" a="1"/>
  <c r="V78" i="9" s="1"/>
  <c r="AB78" i="9"/>
  <c r="V59" i="9" a="1"/>
  <c r="V59" i="9" s="1"/>
  <c r="AB59" i="9"/>
  <c r="V53" i="9" a="1"/>
  <c r="V53" i="9" s="1"/>
  <c r="AB53" i="9"/>
  <c r="AB72" i="9"/>
  <c r="V83" i="9" a="1"/>
  <c r="V83" i="9" s="1"/>
  <c r="AB83" i="9"/>
  <c r="V76" i="9" a="1"/>
  <c r="V76" i="9" s="1"/>
  <c r="AB76" i="9"/>
  <c r="V58" i="9" a="1"/>
  <c r="V58" i="9" s="1"/>
  <c r="AB58" i="9"/>
  <c r="V57" i="9" a="1"/>
  <c r="V57" i="9" s="1"/>
  <c r="AB57" i="9"/>
  <c r="V51" i="9" a="1"/>
  <c r="V51" i="9" s="1"/>
  <c r="AB51" i="9"/>
  <c r="AB87" i="9"/>
  <c r="AB4" i="9"/>
  <c r="AB29" i="9"/>
  <c r="AB10" i="9"/>
  <c r="AB35" i="9"/>
  <c r="AB28" i="9"/>
  <c r="AB9" i="9"/>
  <c r="AB34" i="9"/>
  <c r="AB13" i="9"/>
  <c r="AB2" i="9"/>
  <c r="AB27" i="9"/>
  <c r="AB52" i="9"/>
  <c r="AB77" i="9"/>
  <c r="AB8" i="9"/>
  <c r="AB33" i="9"/>
  <c r="Z2" i="9"/>
  <c r="Z546" i="9"/>
  <c r="V607" i="9" a="1"/>
  <c r="V607" i="9" s="1"/>
  <c r="AD607" i="9" s="1"/>
  <c r="Z11" i="9"/>
  <c r="AB26" i="9"/>
  <c r="AB7" i="9"/>
  <c r="AB32" i="9"/>
  <c r="AB37" i="9"/>
  <c r="V726" i="9" a="1"/>
  <c r="V726" i="9" s="1"/>
  <c r="AD726" i="9" s="1"/>
  <c r="AB50" i="9"/>
  <c r="AB6" i="9"/>
  <c r="AB31" i="9"/>
  <c r="AB36" i="9"/>
  <c r="AB30" i="9"/>
  <c r="AB55" i="9"/>
  <c r="AB11" i="9"/>
  <c r="B99" i="9"/>
  <c r="B100" i="9"/>
  <c r="W2" i="9"/>
  <c r="W248" i="9"/>
  <c r="W320" i="9"/>
  <c r="W392" i="9"/>
  <c r="W464" i="9"/>
  <c r="W536" i="9"/>
  <c r="W608" i="9"/>
  <c r="W680" i="9"/>
  <c r="W214" i="9"/>
  <c r="W286" i="9"/>
  <c r="W358" i="9"/>
  <c r="W430" i="9"/>
  <c r="W502" i="9"/>
  <c r="W574" i="9"/>
  <c r="W646" i="9"/>
  <c r="W718" i="9"/>
  <c r="W191" i="9"/>
  <c r="W263" i="9"/>
  <c r="W335" i="9"/>
  <c r="W407" i="9"/>
  <c r="W479" i="9"/>
  <c r="W551" i="9"/>
  <c r="W623" i="9"/>
  <c r="W695" i="9"/>
  <c r="W767" i="9"/>
  <c r="W157" i="9"/>
  <c r="W229" i="9"/>
  <c r="W301" i="9"/>
  <c r="W373" i="9"/>
  <c r="W445" i="9"/>
  <c r="W589" i="9"/>
  <c r="W661" i="9"/>
  <c r="W231" i="9"/>
  <c r="W303" i="9"/>
  <c r="W375" i="9"/>
  <c r="W447" i="9"/>
  <c r="W519" i="9"/>
  <c r="W591" i="9"/>
  <c r="W663" i="9"/>
  <c r="W377" i="9"/>
  <c r="W449" i="9"/>
  <c r="W521" i="9"/>
  <c r="W593" i="9"/>
  <c r="V665" i="9" a="1"/>
  <c r="V665" i="9" s="1"/>
  <c r="V737" i="9" a="1"/>
  <c r="V737" i="9" s="1"/>
  <c r="Z618" i="9"/>
  <c r="W201" i="9"/>
  <c r="W273" i="9"/>
  <c r="W345" i="9"/>
  <c r="W417" i="9"/>
  <c r="W561" i="9"/>
  <c r="W633" i="9"/>
  <c r="W705" i="9"/>
  <c r="W216" i="9"/>
  <c r="W360" i="9"/>
  <c r="W432" i="9"/>
  <c r="W504" i="9"/>
  <c r="W576" i="9"/>
  <c r="W648" i="9"/>
  <c r="W720" i="9"/>
  <c r="W218" i="9"/>
  <c r="W290" i="9"/>
  <c r="W362" i="9"/>
  <c r="W434" i="9"/>
  <c r="W506" i="9"/>
  <c r="W578" i="9"/>
  <c r="W184" i="9"/>
  <c r="W256" i="9"/>
  <c r="W328" i="9"/>
  <c r="W400" i="9"/>
  <c r="W472" i="9"/>
  <c r="W544" i="9"/>
  <c r="W688" i="9"/>
  <c r="W186" i="9"/>
  <c r="W258" i="9"/>
  <c r="W330" i="9"/>
  <c r="W402" i="9"/>
  <c r="W474" i="9"/>
  <c r="W546" i="9"/>
  <c r="W618" i="9"/>
  <c r="W690" i="9"/>
  <c r="W283" i="9"/>
  <c r="W355" i="9"/>
  <c r="W499" i="9"/>
  <c r="W571" i="9"/>
  <c r="W643" i="9"/>
  <c r="W715" i="9"/>
  <c r="W188" i="9"/>
  <c r="W260" i="9"/>
  <c r="W332" i="9"/>
  <c r="W404" i="9"/>
  <c r="W476" i="9"/>
  <c r="W548" i="9"/>
  <c r="W620" i="9"/>
  <c r="W692" i="9"/>
  <c r="W764" i="9"/>
  <c r="W154" i="9"/>
  <c r="W298" i="9"/>
  <c r="W370" i="9"/>
  <c r="W442" i="9"/>
  <c r="W514" i="9"/>
  <c r="W658" i="9"/>
  <c r="W730" i="9"/>
  <c r="W275" i="9"/>
  <c r="W347" i="9"/>
  <c r="W419" i="9"/>
  <c r="W563" i="9"/>
  <c r="W635" i="9"/>
  <c r="W707" i="9"/>
  <c r="W169" i="9"/>
  <c r="W241" i="9"/>
  <c r="W313" i="9"/>
  <c r="W385" i="9"/>
  <c r="W457" i="9"/>
  <c r="W601" i="9"/>
  <c r="W673" i="9"/>
  <c r="W745" i="9"/>
  <c r="W315" i="9"/>
  <c r="W387" i="9"/>
  <c r="W459" i="9"/>
  <c r="W531" i="9"/>
  <c r="W603" i="9"/>
  <c r="W245" i="9"/>
  <c r="W317" i="9"/>
  <c r="W389" i="9"/>
  <c r="W461" i="9"/>
  <c r="W533" i="9"/>
  <c r="V605" i="9" a="1"/>
  <c r="V605" i="9" s="1"/>
  <c r="V677" i="9" a="1"/>
  <c r="V677" i="9" s="1"/>
  <c r="Z198" i="9"/>
  <c r="Z270" i="9"/>
  <c r="Z342" i="9"/>
  <c r="Z414" i="9"/>
  <c r="Z486" i="9"/>
  <c r="Z558" i="9"/>
  <c r="Z630" i="9"/>
  <c r="Z702" i="9"/>
  <c r="Z151" i="9"/>
  <c r="Z223" i="9"/>
  <c r="Z295" i="9"/>
  <c r="Z367" i="9"/>
  <c r="Z439" i="9"/>
  <c r="Z511" i="9"/>
  <c r="Z583" i="9"/>
  <c r="Z655" i="9"/>
  <c r="Z727" i="9"/>
  <c r="AB161" i="9"/>
  <c r="AB141" i="9"/>
  <c r="AB132" i="9"/>
  <c r="W357" i="9"/>
  <c r="W501" i="9"/>
  <c r="W573" i="9"/>
  <c r="W645" i="9"/>
  <c r="W717" i="9"/>
  <c r="W156" i="9"/>
  <c r="W372" i="9"/>
  <c r="W516" i="9"/>
  <c r="W588" i="9"/>
  <c r="W660" i="9"/>
  <c r="W732" i="9"/>
  <c r="W446" i="9"/>
  <c r="W518" i="9"/>
  <c r="W590" i="9"/>
  <c r="W662" i="9"/>
  <c r="W734" i="9"/>
  <c r="W196" i="9"/>
  <c r="W268" i="9"/>
  <c r="W340" i="9"/>
  <c r="W412" i="9"/>
  <c r="W484" i="9"/>
  <c r="W556" i="9"/>
  <c r="W628" i="9"/>
  <c r="W700" i="9"/>
  <c r="W342" i="9"/>
  <c r="W414" i="9"/>
  <c r="W486" i="9"/>
  <c r="W558" i="9"/>
  <c r="W630" i="9"/>
  <c r="W702" i="9"/>
  <c r="W151" i="9"/>
  <c r="W295" i="9"/>
  <c r="W367" i="9"/>
  <c r="W439" i="9"/>
  <c r="W511" i="9"/>
  <c r="W583" i="9"/>
  <c r="W655" i="9"/>
  <c r="W727" i="9"/>
  <c r="W200" i="9"/>
  <c r="W272" i="9"/>
  <c r="W344" i="9"/>
  <c r="W416" i="9"/>
  <c r="W488" i="9"/>
  <c r="W560" i="9"/>
  <c r="W632" i="9"/>
  <c r="W704" i="9"/>
  <c r="W166" i="9"/>
  <c r="W238" i="9"/>
  <c r="W310" i="9"/>
  <c r="W382" i="9"/>
  <c r="W526" i="9"/>
  <c r="W598" i="9"/>
  <c r="W670" i="9"/>
  <c r="W742" i="9"/>
  <c r="W215" i="9"/>
  <c r="W287" i="9"/>
  <c r="W359" i="9"/>
  <c r="W431" i="9"/>
  <c r="W647" i="9"/>
  <c r="W719" i="9"/>
  <c r="W181" i="9"/>
  <c r="W253" i="9"/>
  <c r="W397" i="9"/>
  <c r="W469" i="9"/>
  <c r="W541" i="9"/>
  <c r="W613" i="9"/>
  <c r="W183" i="9"/>
  <c r="W255" i="9"/>
  <c r="W327" i="9"/>
  <c r="W399" i="9"/>
  <c r="W471" i="9"/>
  <c r="W543" i="9"/>
  <c r="W615" i="9"/>
  <c r="W687" i="9"/>
  <c r="W185" i="9"/>
  <c r="W329" i="9"/>
  <c r="W401" i="9"/>
  <c r="W473" i="9"/>
  <c r="W545" i="9"/>
  <c r="W617" i="9"/>
  <c r="W689" i="9"/>
  <c r="W761" i="9"/>
  <c r="Z210" i="9"/>
  <c r="Z282" i="9"/>
  <c r="W153" i="9"/>
  <c r="W225" i="9"/>
  <c r="W297" i="9"/>
  <c r="W369" i="9"/>
  <c r="W441" i="9"/>
  <c r="W513" i="9"/>
  <c r="W585" i="9"/>
  <c r="W657" i="9"/>
  <c r="W168" i="9"/>
  <c r="W240" i="9"/>
  <c r="W312" i="9"/>
  <c r="W384" i="9"/>
  <c r="W456" i="9"/>
  <c r="W528" i="9"/>
  <c r="W600" i="9"/>
  <c r="W744" i="9"/>
  <c r="W242" i="9"/>
  <c r="W314" i="9"/>
  <c r="W386" i="9"/>
  <c r="W458" i="9"/>
  <c r="W530" i="9"/>
  <c r="W602" i="9"/>
  <c r="W674" i="9"/>
  <c r="W746" i="9"/>
  <c r="W352" i="9"/>
  <c r="W424" i="9"/>
  <c r="W496" i="9"/>
  <c r="W568" i="9"/>
  <c r="W640" i="9"/>
  <c r="W712" i="9"/>
  <c r="W282" i="9"/>
  <c r="W354" i="9"/>
  <c r="W426" i="9"/>
  <c r="W498" i="9"/>
  <c r="W642" i="9"/>
  <c r="W714" i="9"/>
  <c r="W163" i="9"/>
  <c r="W235" i="9"/>
  <c r="W307" i="9"/>
  <c r="W379" i="9"/>
  <c r="W451" i="9"/>
  <c r="W523" i="9"/>
  <c r="W667" i="9"/>
  <c r="W284" i="9"/>
  <c r="W356" i="9"/>
  <c r="W500" i="9"/>
  <c r="W572" i="9"/>
  <c r="W644" i="9"/>
  <c r="W716" i="9"/>
  <c r="W250" i="9"/>
  <c r="W322" i="9"/>
  <c r="W394" i="9"/>
  <c r="W466" i="9"/>
  <c r="W538" i="9"/>
  <c r="W610" i="9"/>
  <c r="W682" i="9"/>
  <c r="W754" i="9"/>
  <c r="W227" i="9"/>
  <c r="W371" i="9"/>
  <c r="W515" i="9"/>
  <c r="W587" i="9"/>
  <c r="W659" i="9"/>
  <c r="W193" i="9"/>
  <c r="W337" i="9"/>
  <c r="W409" i="9"/>
  <c r="W481" i="9"/>
  <c r="W553" i="9"/>
  <c r="W625" i="9"/>
  <c r="W697" i="9"/>
  <c r="W195" i="9"/>
  <c r="W339" i="9"/>
  <c r="W411" i="9"/>
  <c r="W483" i="9"/>
  <c r="W555" i="9"/>
  <c r="W627" i="9"/>
  <c r="W699" i="9"/>
  <c r="W197" i="9"/>
  <c r="W341" i="9"/>
  <c r="W413" i="9"/>
  <c r="W485" i="9"/>
  <c r="W557" i="9"/>
  <c r="W629" i="9"/>
  <c r="W701" i="9"/>
  <c r="W165" i="9"/>
  <c r="W381" i="9"/>
  <c r="W453" i="9"/>
  <c r="W525" i="9"/>
  <c r="W669" i="9"/>
  <c r="W741" i="9"/>
  <c r="W180" i="9"/>
  <c r="W252" i="9"/>
  <c r="W396" i="9"/>
  <c r="W468" i="9"/>
  <c r="W540" i="9"/>
  <c r="W612" i="9"/>
  <c r="W684" i="9"/>
  <c r="W756" i="9"/>
  <c r="W254" i="9"/>
  <c r="W326" i="9"/>
  <c r="W398" i="9"/>
  <c r="W470" i="9"/>
  <c r="W542" i="9"/>
  <c r="W686" i="9"/>
  <c r="W758" i="9"/>
  <c r="W148" i="9"/>
  <c r="W220" i="9"/>
  <c r="W292" i="9"/>
  <c r="W436" i="9"/>
  <c r="W580" i="9"/>
  <c r="W652" i="9"/>
  <c r="W150" i="9"/>
  <c r="W366" i="9"/>
  <c r="W438" i="9"/>
  <c r="W510" i="9"/>
  <c r="W582" i="9"/>
  <c r="W175" i="9"/>
  <c r="W319" i="9"/>
  <c r="W391" i="9"/>
  <c r="W463" i="9"/>
  <c r="W535" i="9"/>
  <c r="W607" i="9"/>
  <c r="W679" i="9"/>
  <c r="W224" i="9"/>
  <c r="W368" i="9"/>
  <c r="W440" i="9"/>
  <c r="W512" i="9"/>
  <c r="W584" i="9"/>
  <c r="W656" i="9"/>
  <c r="W728" i="9"/>
  <c r="W190" i="9"/>
  <c r="W262" i="9"/>
  <c r="W334" i="9"/>
  <c r="W406" i="9"/>
  <c r="W550" i="9"/>
  <c r="W622" i="9"/>
  <c r="W694" i="9"/>
  <c r="W239" i="9"/>
  <c r="W311" i="9"/>
  <c r="W383" i="9"/>
  <c r="W527" i="9"/>
  <c r="W599" i="9"/>
  <c r="W671" i="9"/>
  <c r="W277" i="9"/>
  <c r="W349" i="9"/>
  <c r="W421" i="9"/>
  <c r="W493" i="9"/>
  <c r="W565" i="9"/>
  <c r="W709" i="9"/>
  <c r="W207" i="9"/>
  <c r="W279" i="9"/>
  <c r="W351" i="9"/>
  <c r="W423" i="9"/>
  <c r="W495" i="9"/>
  <c r="W567" i="9"/>
  <c r="W639" i="9"/>
  <c r="W209" i="9"/>
  <c r="W281" i="9"/>
  <c r="W353" i="9"/>
  <c r="W425" i="9"/>
  <c r="W497" i="9"/>
  <c r="V569" i="9" a="1"/>
  <c r="V569" i="9" s="1"/>
  <c r="V641" i="9" a="1"/>
  <c r="V641" i="9" s="1"/>
  <c r="AD641" i="9" s="1"/>
  <c r="Z162" i="9"/>
  <c r="Z234" i="9"/>
  <c r="Z306" i="9"/>
  <c r="Z378" i="9"/>
  <c r="Z450" i="9"/>
  <c r="Z522" i="9"/>
  <c r="Z738" i="9"/>
  <c r="Z187" i="9"/>
  <c r="Z259" i="9"/>
  <c r="Z331" i="9"/>
  <c r="Z403" i="9"/>
  <c r="Z475" i="9"/>
  <c r="Z547" i="9"/>
  <c r="Z763" i="9"/>
  <c r="AB143" i="9"/>
  <c r="W192" i="9"/>
  <c r="W264" i="9"/>
  <c r="W336" i="9"/>
  <c r="W696" i="9"/>
  <c r="W194" i="9"/>
  <c r="W266" i="9"/>
  <c r="W338" i="9"/>
  <c r="W482" i="9"/>
  <c r="W626" i="9"/>
  <c r="W698" i="9"/>
  <c r="W376" i="9"/>
  <c r="W448" i="9"/>
  <c r="W520" i="9"/>
  <c r="W592" i="9"/>
  <c r="W664" i="9"/>
  <c r="W736" i="9"/>
  <c r="W162" i="9"/>
  <c r="W234" i="9"/>
  <c r="W306" i="9"/>
  <c r="W378" i="9"/>
  <c r="W450" i="9"/>
  <c r="W522" i="9"/>
  <c r="W594" i="9"/>
  <c r="W666" i="9"/>
  <c r="W738" i="9"/>
  <c r="W259" i="9"/>
  <c r="W331" i="9"/>
  <c r="W403" i="9"/>
  <c r="W547" i="9"/>
  <c r="W619" i="9"/>
  <c r="W691" i="9"/>
  <c r="W763" i="9"/>
  <c r="W236" i="9"/>
  <c r="W308" i="9"/>
  <c r="W380" i="9"/>
  <c r="W524" i="9"/>
  <c r="W596" i="9"/>
  <c r="W668" i="9"/>
  <c r="W740" i="9"/>
  <c r="W202" i="9"/>
  <c r="W274" i="9"/>
  <c r="W346" i="9"/>
  <c r="W490" i="9"/>
  <c r="W562" i="9"/>
  <c r="W706" i="9"/>
  <c r="W179" i="9"/>
  <c r="W323" i="9"/>
  <c r="W395" i="9"/>
  <c r="W467" i="9"/>
  <c r="W611" i="9"/>
  <c r="W683" i="9"/>
  <c r="W217" i="9"/>
  <c r="W289" i="9"/>
  <c r="W361" i="9"/>
  <c r="W433" i="9"/>
  <c r="W505" i="9"/>
  <c r="W649" i="9"/>
  <c r="W721" i="9"/>
  <c r="W147" i="9"/>
  <c r="W219" i="9"/>
  <c r="W291" i="9"/>
  <c r="W363" i="9"/>
  <c r="W435" i="9"/>
  <c r="W507" i="9"/>
  <c r="W579" i="9"/>
  <c r="W651" i="9"/>
  <c r="W221" i="9"/>
  <c r="W365" i="9"/>
  <c r="W437" i="9"/>
  <c r="W509" i="9"/>
  <c r="V581" i="9" a="1"/>
  <c r="V581" i="9" s="1"/>
  <c r="W653" i="9"/>
  <c r="V725" i="9" a="1"/>
  <c r="V725" i="9" s="1"/>
  <c r="AD725" i="9" s="1"/>
  <c r="Z678" i="9"/>
  <c r="W261" i="9"/>
  <c r="W333" i="9"/>
  <c r="W405" i="9"/>
  <c r="W477" i="9"/>
  <c r="B48" i="9" s="1"/>
  <c r="W549" i="9"/>
  <c r="W621" i="9"/>
  <c r="W693" i="9"/>
  <c r="W765" i="9"/>
  <c r="W276" i="9"/>
  <c r="W348" i="9"/>
  <c r="W420" i="9"/>
  <c r="W492" i="9"/>
  <c r="W564" i="9"/>
  <c r="W636" i="9"/>
  <c r="W708" i="9"/>
  <c r="W206" i="9"/>
  <c r="W350" i="9"/>
  <c r="W422" i="9"/>
  <c r="W494" i="9"/>
  <c r="W566" i="9"/>
  <c r="W638" i="9"/>
  <c r="W710" i="9"/>
  <c r="W244" i="9"/>
  <c r="W316" i="9"/>
  <c r="W388" i="9"/>
  <c r="W460" i="9"/>
  <c r="W604" i="9"/>
  <c r="W748" i="9"/>
  <c r="W246" i="9"/>
  <c r="W318" i="9"/>
  <c r="W390" i="9"/>
  <c r="W462" i="9"/>
  <c r="W534" i="9"/>
  <c r="W606" i="9"/>
  <c r="W750" i="9"/>
  <c r="W199" i="9"/>
  <c r="W271" i="9"/>
  <c r="W343" i="9"/>
  <c r="W415" i="9"/>
  <c r="W487" i="9"/>
  <c r="W559" i="9"/>
  <c r="W631" i="9"/>
  <c r="W703" i="9"/>
  <c r="B3" i="9"/>
  <c r="K187" i="7" a="1"/>
  <c r="K187" i="7" s="1"/>
  <c r="L187" i="7" s="1"/>
  <c r="M187" i="7" s="1"/>
  <c r="K199" i="7" a="1"/>
  <c r="K199" i="7" s="1"/>
  <c r="L199" i="7" s="1"/>
  <c r="M199" i="7" s="1"/>
  <c r="L211" i="7"/>
  <c r="K211" i="7" a="1"/>
  <c r="K211" i="7" s="1"/>
  <c r="L223" i="7"/>
  <c r="K223" i="7" a="1"/>
  <c r="K223" i="7" s="1"/>
  <c r="K235" i="7" a="1"/>
  <c r="K235" i="7" s="1"/>
  <c r="L235" i="7" s="1"/>
  <c r="M235" i="7" s="1"/>
  <c r="K12" i="7" a="1"/>
  <c r="K12" i="7" s="1"/>
  <c r="L12" i="7" s="1"/>
  <c r="M12" i="7" s="1"/>
  <c r="K24" i="7" a="1"/>
  <c r="K24" i="7" s="1"/>
  <c r="L24" i="7" s="1"/>
  <c r="M24" i="7" s="1"/>
  <c r="K48" i="7" a="1"/>
  <c r="K48" i="7" s="1"/>
  <c r="L48" i="7" s="1"/>
  <c r="M48" i="7" s="1"/>
  <c r="K60" i="7" a="1"/>
  <c r="K60" i="7" s="1"/>
  <c r="L60" i="7" s="1"/>
  <c r="M60" i="7" s="1"/>
  <c r="K72" i="7" a="1"/>
  <c r="K72" i="7" s="1"/>
  <c r="L72" i="7" s="1"/>
  <c r="M72" i="7" s="1"/>
  <c r="K96" i="7" a="1"/>
  <c r="K96" i="7" s="1"/>
  <c r="L96" i="7" s="1"/>
  <c r="M96" i="7" s="1"/>
  <c r="K108" i="7" a="1"/>
  <c r="K108" i="7" s="1"/>
  <c r="L108" i="7" s="1"/>
  <c r="M108" i="7" s="1"/>
  <c r="K120" i="7" a="1"/>
  <c r="K120" i="7" s="1"/>
  <c r="L120" i="7"/>
  <c r="K144" i="7" a="1"/>
  <c r="K144" i="7" s="1"/>
  <c r="L144" i="7" s="1"/>
  <c r="M144" i="7" s="1"/>
  <c r="K156" i="7" a="1"/>
  <c r="K156" i="7" s="1"/>
  <c r="L156" i="7" s="1"/>
  <c r="M156" i="7" s="1"/>
  <c r="K168" i="7" a="1"/>
  <c r="K168" i="7" s="1"/>
  <c r="L168" i="7" s="1"/>
  <c r="M168" i="7" s="1"/>
  <c r="K192" i="7" a="1"/>
  <c r="K192" i="7" s="1"/>
  <c r="L192" i="7" s="1"/>
  <c r="M192" i="7" s="1"/>
  <c r="K204" i="7" a="1"/>
  <c r="K204" i="7" s="1"/>
  <c r="L204" i="7"/>
  <c r="K216" i="7" a="1"/>
  <c r="K216" i="7" s="1"/>
  <c r="L216" i="7" s="1"/>
  <c r="M216" i="7" s="1"/>
  <c r="K228" i="7" a="1"/>
  <c r="K228" i="7" s="1"/>
  <c r="L228" i="7" s="1"/>
  <c r="M228" i="7" s="1"/>
  <c r="K240" i="7" a="1"/>
  <c r="K240" i="7" s="1"/>
  <c r="L240" i="7" s="1"/>
  <c r="M240" i="7" s="1"/>
  <c r="K252" i="7" a="1"/>
  <c r="K252" i="7" s="1"/>
  <c r="L252" i="7" s="1"/>
  <c r="M252" i="7" s="1"/>
  <c r="K264" i="7" a="1"/>
  <c r="K264" i="7" s="1"/>
  <c r="L264" i="7" s="1"/>
  <c r="M264" i="7" s="1"/>
  <c r="K276" i="7" a="1"/>
  <c r="K276" i="7" s="1"/>
  <c r="L276" i="7" s="1"/>
  <c r="M276" i="7" s="1"/>
  <c r="K288" i="7" a="1"/>
  <c r="K288" i="7" s="1"/>
  <c r="L288" i="7" s="1"/>
  <c r="M288" i="7" s="1"/>
  <c r="L300" i="7"/>
  <c r="M300" i="7" s="1"/>
  <c r="K300" i="7" a="1"/>
  <c r="K300" i="7" s="1"/>
  <c r="K312" i="7" a="1"/>
  <c r="K312" i="7" s="1"/>
  <c r="L312" i="7" s="1"/>
  <c r="M312" i="7" s="1"/>
  <c r="K324" i="7" a="1"/>
  <c r="K324" i="7" s="1"/>
  <c r="L324" i="7" s="1"/>
  <c r="M324" i="7" s="1"/>
  <c r="K336" i="7" a="1"/>
  <c r="K336" i="7" s="1"/>
  <c r="L336" i="7" s="1"/>
  <c r="M336" i="7" s="1"/>
  <c r="K348" i="7" a="1"/>
  <c r="K348" i="7" s="1"/>
  <c r="L348" i="7" s="1"/>
  <c r="M348" i="7" s="1"/>
  <c r="K360" i="7" a="1"/>
  <c r="K360" i="7" s="1"/>
  <c r="L360" i="7" s="1"/>
  <c r="M360" i="7" s="1"/>
  <c r="K372" i="7" a="1"/>
  <c r="K372" i="7" s="1"/>
  <c r="L372" i="7" s="1"/>
  <c r="M372" i="7" s="1"/>
  <c r="K384" i="7" a="1"/>
  <c r="K384" i="7" s="1"/>
  <c r="L384" i="7" s="1"/>
  <c r="M384" i="7" s="1"/>
  <c r="K396" i="7" a="1"/>
  <c r="K396" i="7" s="1"/>
  <c r="L396" i="7" s="1"/>
  <c r="M396" i="7" s="1"/>
  <c r="K408" i="7" a="1"/>
  <c r="K408" i="7" s="1"/>
  <c r="L408" i="7" s="1"/>
  <c r="M408" i="7" s="1"/>
  <c r="K420" i="7" a="1"/>
  <c r="K420" i="7" s="1"/>
  <c r="L420" i="7" s="1"/>
  <c r="M420" i="7" s="1"/>
  <c r="K432" i="7" a="1"/>
  <c r="K432" i="7" s="1"/>
  <c r="L432" i="7" s="1"/>
  <c r="M432" i="7" s="1"/>
  <c r="L444" i="7"/>
  <c r="K444" i="7" a="1"/>
  <c r="K444" i="7" s="1"/>
  <c r="L456" i="7"/>
  <c r="M456" i="7" s="1"/>
  <c r="K456" i="7" a="1"/>
  <c r="K456" i="7" s="1"/>
  <c r="K468" i="7" a="1"/>
  <c r="K468" i="7" s="1"/>
  <c r="L468" i="7" s="1"/>
  <c r="M468" i="7" s="1"/>
  <c r="K480" i="7" a="1"/>
  <c r="K480" i="7" s="1"/>
  <c r="L480" i="7" s="1"/>
  <c r="M480" i="7" s="1"/>
  <c r="L492" i="7"/>
  <c r="K492" i="7" a="1"/>
  <c r="K492" i="7" s="1"/>
  <c r="L504" i="7"/>
  <c r="K504" i="7" a="1"/>
  <c r="K504" i="7" s="1"/>
  <c r="K516" i="7" a="1"/>
  <c r="K516" i="7" s="1"/>
  <c r="L516" i="7" s="1"/>
  <c r="M516" i="7" s="1"/>
  <c r="K528" i="7" a="1"/>
  <c r="K528" i="7" s="1"/>
  <c r="L528" i="7" s="1"/>
  <c r="M528" i="7" s="1"/>
  <c r="L540" i="7"/>
  <c r="M540" i="7" s="1"/>
  <c r="K540" i="7" a="1"/>
  <c r="K540" i="7" s="1"/>
  <c r="K552" i="7" a="1"/>
  <c r="K552" i="7" s="1"/>
  <c r="L552" i="7" s="1"/>
  <c r="M552" i="7" s="1"/>
  <c r="K564" i="7" a="1"/>
  <c r="K564" i="7" s="1"/>
  <c r="L564" i="7" s="1"/>
  <c r="M564" i="7" s="1"/>
  <c r="L576" i="7"/>
  <c r="K576" i="7" a="1"/>
  <c r="K576" i="7" s="1"/>
  <c r="K588" i="7" a="1"/>
  <c r="K588" i="7" s="1"/>
  <c r="L588" i="7" s="1"/>
  <c r="M588" i="7" s="1"/>
  <c r="K600" i="7" a="1"/>
  <c r="K600" i="7" s="1"/>
  <c r="L600" i="7" s="1"/>
  <c r="M600" i="7" s="1"/>
  <c r="K612" i="7" a="1"/>
  <c r="K612" i="7" s="1"/>
  <c r="L612" i="7" s="1"/>
  <c r="M612" i="7" s="1"/>
  <c r="K624" i="7" a="1"/>
  <c r="K624" i="7" s="1"/>
  <c r="L624" i="7" s="1"/>
  <c r="M624" i="7" s="1"/>
  <c r="K636" i="7" a="1"/>
  <c r="K636" i="7" s="1"/>
  <c r="L636" i="7" s="1"/>
  <c r="M636" i="7" s="1"/>
  <c r="K648" i="7" a="1"/>
  <c r="K648" i="7" s="1"/>
  <c r="L648" i="7" s="1"/>
  <c r="M648" i="7" s="1"/>
  <c r="K660" i="7" a="1"/>
  <c r="K660" i="7" s="1"/>
  <c r="L660" i="7" s="1"/>
  <c r="M660" i="7" s="1"/>
  <c r="K672" i="7" a="1"/>
  <c r="K672" i="7" s="1"/>
  <c r="L672" i="7" s="1"/>
  <c r="M672" i="7" s="1"/>
  <c r="K684" i="7" a="1"/>
  <c r="K684" i="7" s="1"/>
  <c r="L684" i="7" s="1"/>
  <c r="M684" i="7" s="1"/>
  <c r="K696" i="7" a="1"/>
  <c r="K696" i="7" s="1"/>
  <c r="L696" i="7" s="1"/>
  <c r="M696" i="7" s="1"/>
  <c r="K708" i="7" a="1"/>
  <c r="K708" i="7" s="1"/>
  <c r="L708" i="7" s="1"/>
  <c r="M708" i="7" s="1"/>
  <c r="L720" i="7"/>
  <c r="M720" i="7" s="1"/>
  <c r="K720" i="7" a="1"/>
  <c r="K720" i="7" s="1"/>
  <c r="L744" i="7"/>
  <c r="K744" i="7" a="1"/>
  <c r="K744" i="7" s="1"/>
  <c r="K756" i="7" a="1"/>
  <c r="K756" i="7" s="1"/>
  <c r="L756" i="7"/>
  <c r="K768" i="7" a="1"/>
  <c r="K768" i="7" s="1"/>
  <c r="L768" i="7" s="1"/>
  <c r="M768" i="7" s="1"/>
  <c r="K13" i="7" a="1"/>
  <c r="K13" i="7" s="1"/>
  <c r="L13" i="7" s="1"/>
  <c r="M13" i="7" s="1"/>
  <c r="K25" i="7" a="1"/>
  <c r="K25" i="7" s="1"/>
  <c r="L25" i="7" s="1"/>
  <c r="M25" i="7" s="1"/>
  <c r="K37" i="7" a="1"/>
  <c r="K37" i="7" s="1"/>
  <c r="L37" i="7" s="1"/>
  <c r="M37" i="7" s="1"/>
  <c r="K49" i="7" a="1"/>
  <c r="K49" i="7" s="1"/>
  <c r="L49" i="7" s="1"/>
  <c r="M49" i="7" s="1"/>
  <c r="K61" i="7" a="1"/>
  <c r="K61" i="7" s="1"/>
  <c r="L61" i="7" s="1"/>
  <c r="M61" i="7" s="1"/>
  <c r="K73" i="7" a="1"/>
  <c r="K73" i="7" s="1"/>
  <c r="L73" i="7" s="1"/>
  <c r="M73" i="7" s="1"/>
  <c r="K85" i="7" a="1"/>
  <c r="K85" i="7" s="1"/>
  <c r="L85" i="7" s="1"/>
  <c r="M85" i="7" s="1"/>
  <c r="K97" i="7" a="1"/>
  <c r="K97" i="7" s="1"/>
  <c r="L97" i="7" s="1"/>
  <c r="M97" i="7" s="1"/>
  <c r="L109" i="7"/>
  <c r="K109" i="7" a="1"/>
  <c r="K109" i="7" s="1"/>
  <c r="K121" i="7" a="1"/>
  <c r="K121" i="7" s="1"/>
  <c r="L121" i="7" s="1"/>
  <c r="M121" i="7" s="1"/>
  <c r="K133" i="7" a="1"/>
  <c r="K133" i="7" s="1"/>
  <c r="L133" i="7" s="1"/>
  <c r="M133" i="7" s="1"/>
  <c r="K145" i="7" a="1"/>
  <c r="K145" i="7" s="1"/>
  <c r="L145" i="7" s="1"/>
  <c r="M145" i="7" s="1"/>
  <c r="K157" i="7" a="1"/>
  <c r="K157" i="7" s="1"/>
  <c r="L157" i="7" s="1"/>
  <c r="M157" i="7" s="1"/>
  <c r="K169" i="7" a="1"/>
  <c r="K169" i="7" s="1"/>
  <c r="L169" i="7" s="1"/>
  <c r="M169" i="7" s="1"/>
  <c r="K181" i="7" a="1"/>
  <c r="K181" i="7" s="1"/>
  <c r="L181" i="7" s="1"/>
  <c r="M181" i="7" s="1"/>
  <c r="K193" i="7" a="1"/>
  <c r="K193" i="7" s="1"/>
  <c r="L193" i="7" s="1"/>
  <c r="M193" i="7" s="1"/>
  <c r="K217" i="7" a="1"/>
  <c r="K217" i="7" s="1"/>
  <c r="L217" i="7" s="1"/>
  <c r="M217" i="7" s="1"/>
  <c r="K229" i="7" a="1"/>
  <c r="K229" i="7" s="1"/>
  <c r="L229" i="7" s="1"/>
  <c r="M229" i="7" s="1"/>
  <c r="K241" i="7" a="1"/>
  <c r="K241" i="7" s="1"/>
  <c r="L241" i="7" s="1"/>
  <c r="M241" i="7" s="1"/>
  <c r="K265" i="7" a="1"/>
  <c r="K265" i="7" s="1"/>
  <c r="L265" i="7" s="1"/>
  <c r="M265" i="7" s="1"/>
  <c r="K277" i="7" a="1"/>
  <c r="K277" i="7" s="1"/>
  <c r="L277" i="7" s="1"/>
  <c r="M277" i="7" s="1"/>
  <c r="L289" i="7"/>
  <c r="K289" i="7" a="1"/>
  <c r="K289" i="7" s="1"/>
  <c r="K313" i="7" a="1"/>
  <c r="K313" i="7" s="1"/>
  <c r="L313" i="7" s="1"/>
  <c r="M313" i="7" s="1"/>
  <c r="K325" i="7" a="1"/>
  <c r="K325" i="7" s="1"/>
  <c r="L325" i="7" s="1"/>
  <c r="M325" i="7" s="1"/>
  <c r="K337" i="7" a="1"/>
  <c r="K337" i="7" s="1"/>
  <c r="L337" i="7" s="1"/>
  <c r="M337" i="7" s="1"/>
  <c r="K361" i="7" a="1"/>
  <c r="K361" i="7" s="1"/>
  <c r="L361" i="7" s="1"/>
  <c r="M361" i="7" s="1"/>
  <c r="K373" i="7" a="1"/>
  <c r="K373" i="7" s="1"/>
  <c r="L373" i="7" s="1"/>
  <c r="M373" i="7" s="1"/>
  <c r="K385" i="7" a="1"/>
  <c r="K385" i="7" s="1"/>
  <c r="L385" i="7" s="1"/>
  <c r="M385" i="7" s="1"/>
  <c r="K397" i="7" a="1"/>
  <c r="K397" i="7" s="1"/>
  <c r="L397" i="7" s="1"/>
  <c r="M397" i="7" s="1"/>
  <c r="K409" i="7" a="1"/>
  <c r="K409" i="7" s="1"/>
  <c r="L409" i="7" s="1"/>
  <c r="M409" i="7" s="1"/>
  <c r="K421" i="7" a="1"/>
  <c r="K421" i="7" s="1"/>
  <c r="L421" i="7" s="1"/>
  <c r="M421" i="7" s="1"/>
  <c r="K433" i="7" a="1"/>
  <c r="K433" i="7" s="1"/>
  <c r="L433" i="7" s="1"/>
  <c r="M433" i="7" s="1"/>
  <c r="L445" i="7"/>
  <c r="K445" i="7" a="1"/>
  <c r="K445" i="7" s="1"/>
  <c r="K457" i="7" a="1"/>
  <c r="K457" i="7" s="1"/>
  <c r="L457" i="7" s="1"/>
  <c r="M457" i="7" s="1"/>
  <c r="K469" i="7" a="1"/>
  <c r="K469" i="7" s="1"/>
  <c r="L469" i="7" s="1"/>
  <c r="M469" i="7" s="1"/>
  <c r="K481" i="7" a="1"/>
  <c r="K481" i="7" s="1"/>
  <c r="L481" i="7" s="1"/>
  <c r="M481" i="7" s="1"/>
  <c r="K493" i="7" a="1"/>
  <c r="K493" i="7" s="1"/>
  <c r="L493" i="7" s="1"/>
  <c r="M493" i="7" s="1"/>
  <c r="K505" i="7" a="1"/>
  <c r="K505" i="7" s="1"/>
  <c r="L505" i="7" s="1"/>
  <c r="M505" i="7" s="1"/>
  <c r="K517" i="7" a="1"/>
  <c r="K517" i="7" s="1"/>
  <c r="L517" i="7" s="1"/>
  <c r="M517" i="7" s="1"/>
  <c r="K529" i="7" a="1"/>
  <c r="K529" i="7" s="1"/>
  <c r="L529" i="7" s="1"/>
  <c r="M529" i="7" s="1"/>
  <c r="K541" i="7" a="1"/>
  <c r="K541" i="7" s="1"/>
  <c r="L541" i="7" s="1"/>
  <c r="M541" i="7" s="1"/>
  <c r="L553" i="7"/>
  <c r="K553" i="7" a="1"/>
  <c r="K553" i="7" s="1"/>
  <c r="K565" i="7" a="1"/>
  <c r="K565" i="7" s="1"/>
  <c r="L565" i="7" s="1"/>
  <c r="M565" i="7" s="1"/>
  <c r="K577" i="7" a="1"/>
  <c r="K577" i="7" s="1"/>
  <c r="L577" i="7" s="1"/>
  <c r="M577" i="7" s="1"/>
  <c r="K589" i="7" a="1"/>
  <c r="K589" i="7" s="1"/>
  <c r="L589" i="7" s="1"/>
  <c r="M589" i="7" s="1"/>
  <c r="K601" i="7" a="1"/>
  <c r="K601" i="7" s="1"/>
  <c r="L601" i="7" s="1"/>
  <c r="M601" i="7" s="1"/>
  <c r="K613" i="7" a="1"/>
  <c r="K613" i="7" s="1"/>
  <c r="L613" i="7" s="1"/>
  <c r="M613" i="7" s="1"/>
  <c r="K625" i="7" a="1"/>
  <c r="K625" i="7" s="1"/>
  <c r="L625" i="7" s="1"/>
  <c r="M625" i="7" s="1"/>
  <c r="K637" i="7" a="1"/>
  <c r="K637" i="7" s="1"/>
  <c r="L637" i="7" s="1"/>
  <c r="M637" i="7" s="1"/>
  <c r="K649" i="7" a="1"/>
  <c r="K649" i="7" s="1"/>
  <c r="L649" i="7" s="1"/>
  <c r="M649" i="7" s="1"/>
  <c r="K661" i="7" a="1"/>
  <c r="K661" i="7" s="1"/>
  <c r="L661" i="7" s="1"/>
  <c r="M661" i="7" s="1"/>
  <c r="K673" i="7" a="1"/>
  <c r="K673" i="7" s="1"/>
  <c r="L673" i="7"/>
  <c r="M673" i="7" s="1"/>
  <c r="K685" i="7" a="1"/>
  <c r="K685" i="7" s="1"/>
  <c r="L685" i="7" s="1"/>
  <c r="M685" i="7" s="1"/>
  <c r="K697" i="7" a="1"/>
  <c r="K697" i="7" s="1"/>
  <c r="L697" i="7" s="1"/>
  <c r="M697" i="7" s="1"/>
  <c r="K709" i="7" a="1"/>
  <c r="K709" i="7" s="1"/>
  <c r="L709" i="7" s="1"/>
  <c r="M709" i="7" s="1"/>
  <c r="K721" i="7" a="1"/>
  <c r="K721" i="7" s="1"/>
  <c r="L721" i="7"/>
  <c r="M721" i="7" s="1"/>
  <c r="K733" i="7" a="1"/>
  <c r="K733" i="7" s="1"/>
  <c r="L733" i="7" s="1"/>
  <c r="M733" i="7" s="1"/>
  <c r="K745" i="7" a="1"/>
  <c r="K745" i="7" s="1"/>
  <c r="L745" i="7" s="1"/>
  <c r="M745" i="7" s="1"/>
  <c r="K757" i="7" a="1"/>
  <c r="K757" i="7" s="1"/>
  <c r="L757" i="7" s="1"/>
  <c r="M757" i="7" s="1"/>
  <c r="K769" i="7" a="1"/>
  <c r="K769" i="7" s="1"/>
  <c r="L769" i="7" s="1"/>
  <c r="M769" i="7" s="1"/>
  <c r="K14" i="7" a="1"/>
  <c r="K14" i="7" s="1"/>
  <c r="L14" i="7" s="1"/>
  <c r="M14" i="7" s="1"/>
  <c r="K26" i="7" a="1"/>
  <c r="K26" i="7" s="1"/>
  <c r="L26" i="7" s="1"/>
  <c r="M26" i="7" s="1"/>
  <c r="K38" i="7" a="1"/>
  <c r="K38" i="7" s="1"/>
  <c r="L38" i="7" s="1"/>
  <c r="M38" i="7" s="1"/>
  <c r="K62" i="7" a="1"/>
  <c r="K62" i="7" s="1"/>
  <c r="L62" i="7" s="1"/>
  <c r="M62" i="7" s="1"/>
  <c r="K74" i="7" a="1"/>
  <c r="K74" i="7" s="1"/>
  <c r="L74" i="7" s="1"/>
  <c r="M74" i="7" s="1"/>
  <c r="K86" i="7" a="1"/>
  <c r="K86" i="7" s="1"/>
  <c r="L86" i="7" s="1"/>
  <c r="M86" i="7" s="1"/>
  <c r="K110" i="7" a="1"/>
  <c r="K110" i="7" s="1"/>
  <c r="L110" i="7" s="1"/>
  <c r="M110" i="7" s="1"/>
  <c r="L122" i="7"/>
  <c r="M122" i="7" s="1"/>
  <c r="K122" i="7" a="1"/>
  <c r="K122" i="7" s="1"/>
  <c r="L134" i="7"/>
  <c r="K134" i="7" a="1"/>
  <c r="K134" i="7" s="1"/>
  <c r="K158" i="7" a="1"/>
  <c r="K158" i="7" s="1"/>
  <c r="L158" i="7" s="1"/>
  <c r="M158" i="7" s="1"/>
  <c r="K170" i="7" a="1"/>
  <c r="K170" i="7" s="1"/>
  <c r="L170" i="7" s="1"/>
  <c r="M170" i="7" s="1"/>
  <c r="K182" i="7" a="1"/>
  <c r="K182" i="7" s="1"/>
  <c r="L182" i="7" s="1"/>
  <c r="M182" i="7" s="1"/>
  <c r="K194" i="7" a="1"/>
  <c r="K194" i="7" s="1"/>
  <c r="L194" i="7" s="1"/>
  <c r="M194" i="7" s="1"/>
  <c r="K206" i="7" a="1"/>
  <c r="K206" i="7" s="1"/>
  <c r="L206" i="7" s="1"/>
  <c r="M206" i="7" s="1"/>
  <c r="K218" i="7" a="1"/>
  <c r="K218" i="7" s="1"/>
  <c r="L218" i="7" s="1"/>
  <c r="M218" i="7" s="1"/>
  <c r="K230" i="7" a="1"/>
  <c r="K230" i="7" s="1"/>
  <c r="L230" i="7" s="1"/>
  <c r="M230" i="7" s="1"/>
  <c r="K242" i="7" a="1"/>
  <c r="K242" i="7" s="1"/>
  <c r="L242" i="7" s="1"/>
  <c r="M242" i="7" s="1"/>
  <c r="K254" i="7" a="1"/>
  <c r="K254" i="7" s="1"/>
  <c r="L254" i="7" s="1"/>
  <c r="M254" i="7" s="1"/>
  <c r="L266" i="7"/>
  <c r="K266" i="7" a="1"/>
  <c r="K266" i="7" s="1"/>
  <c r="K278" i="7" a="1"/>
  <c r="K278" i="7" s="1"/>
  <c r="L278" i="7" s="1"/>
  <c r="M278" i="7" s="1"/>
  <c r="K290" i="7" a="1"/>
  <c r="K290" i="7" s="1"/>
  <c r="L290" i="7" s="1"/>
  <c r="M290" i="7" s="1"/>
  <c r="L302" i="7"/>
  <c r="M302" i="7" s="1"/>
  <c r="K302" i="7" a="1"/>
  <c r="K302" i="7" s="1"/>
  <c r="K314" i="7" a="1"/>
  <c r="K314" i="7" s="1"/>
  <c r="L314" i="7" s="1"/>
  <c r="M314" i="7" s="1"/>
  <c r="L326" i="7"/>
  <c r="K326" i="7" a="1"/>
  <c r="K326" i="7" s="1"/>
  <c r="K338" i="7" a="1"/>
  <c r="K338" i="7" s="1"/>
  <c r="L338" i="7" s="1"/>
  <c r="M338" i="7" s="1"/>
  <c r="K350" i="7" a="1"/>
  <c r="K350" i="7" s="1"/>
  <c r="L350" i="7" s="1"/>
  <c r="M350" i="7" s="1"/>
  <c r="K362" i="7" a="1"/>
  <c r="K362" i="7" s="1"/>
  <c r="L362" i="7" s="1"/>
  <c r="M362" i="7" s="1"/>
  <c r="K374" i="7" a="1"/>
  <c r="K374" i="7" s="1"/>
  <c r="L374" i="7" s="1"/>
  <c r="M374" i="7" s="1"/>
  <c r="K386" i="7" a="1"/>
  <c r="K386" i="7" s="1"/>
  <c r="L386" i="7" s="1"/>
  <c r="M386" i="7" s="1"/>
  <c r="K398" i="7" a="1"/>
  <c r="K398" i="7" s="1"/>
  <c r="L398" i="7" s="1"/>
  <c r="M398" i="7" s="1"/>
  <c r="K410" i="7" a="1"/>
  <c r="K410" i="7" s="1"/>
  <c r="L410" i="7" s="1"/>
  <c r="M410" i="7" s="1"/>
  <c r="K422" i="7" a="1"/>
  <c r="K422" i="7" s="1"/>
  <c r="L422" i="7" s="1"/>
  <c r="M422" i="7" s="1"/>
  <c r="K434" i="7" a="1"/>
  <c r="K434" i="7" s="1"/>
  <c r="L434" i="7" s="1"/>
  <c r="M434" i="7" s="1"/>
  <c r="K446" i="7" a="1"/>
  <c r="K446" i="7" s="1"/>
  <c r="L446" i="7" s="1"/>
  <c r="M446" i="7" s="1"/>
  <c r="K458" i="7" a="1"/>
  <c r="K458" i="7" s="1"/>
  <c r="L458" i="7" s="1"/>
  <c r="M458" i="7" s="1"/>
  <c r="K470" i="7" a="1"/>
  <c r="K470" i="7" s="1"/>
  <c r="L470" i="7" s="1"/>
  <c r="M470" i="7" s="1"/>
  <c r="K482" i="7" a="1"/>
  <c r="K482" i="7" s="1"/>
  <c r="L482" i="7" s="1"/>
  <c r="M482" i="7" s="1"/>
  <c r="K494" i="7" a="1"/>
  <c r="K494" i="7" s="1"/>
  <c r="L494" i="7" s="1"/>
  <c r="M494" i="7" s="1"/>
  <c r="K506" i="7" a="1"/>
  <c r="K506" i="7" s="1"/>
  <c r="L506" i="7" s="1"/>
  <c r="M506" i="7" s="1"/>
  <c r="L518" i="7"/>
  <c r="K518" i="7" a="1"/>
  <c r="K518" i="7" s="1"/>
  <c r="L530" i="7"/>
  <c r="K530" i="7" a="1"/>
  <c r="K530" i="7" s="1"/>
  <c r="K542" i="7" a="1"/>
  <c r="K542" i="7" s="1"/>
  <c r="L542" i="7" s="1"/>
  <c r="M542" i="7" s="1"/>
  <c r="K554" i="7" a="1"/>
  <c r="K554" i="7" s="1"/>
  <c r="L554" i="7" s="1"/>
  <c r="M554" i="7" s="1"/>
  <c r="K566" i="7" a="1"/>
  <c r="K566" i="7" s="1"/>
  <c r="L566" i="7" s="1"/>
  <c r="M566" i="7" s="1"/>
  <c r="K578" i="7" a="1"/>
  <c r="K578" i="7" s="1"/>
  <c r="L578" i="7" s="1"/>
  <c r="M578" i="7" s="1"/>
  <c r="L590" i="7"/>
  <c r="M590" i="7" s="1"/>
  <c r="K590" i="7" a="1"/>
  <c r="K590" i="7" s="1"/>
  <c r="K602" i="7" a="1"/>
  <c r="K602" i="7" s="1"/>
  <c r="L602" i="7" s="1"/>
  <c r="M602" i="7" s="1"/>
  <c r="K614" i="7" a="1"/>
  <c r="K614" i="7" s="1"/>
  <c r="L614" i="7" s="1"/>
  <c r="M614" i="7" s="1"/>
  <c r="K626" i="7" a="1"/>
  <c r="K626" i="7" s="1"/>
  <c r="L626" i="7" s="1"/>
  <c r="M626" i="7" s="1"/>
  <c r="L638" i="7"/>
  <c r="K638" i="7" a="1"/>
  <c r="K638" i="7" s="1"/>
  <c r="K650" i="7" a="1"/>
  <c r="K650" i="7" s="1"/>
  <c r="L650" i="7" s="1"/>
  <c r="M650" i="7" s="1"/>
  <c r="K662" i="7" a="1"/>
  <c r="K662" i="7" s="1"/>
  <c r="L662" i="7" s="1"/>
  <c r="M662" i="7" s="1"/>
  <c r="K674" i="7" a="1"/>
  <c r="K674" i="7" s="1"/>
  <c r="L674" i="7" s="1"/>
  <c r="M674" i="7" s="1"/>
  <c r="L686" i="7"/>
  <c r="M686" i="7"/>
  <c r="K686" i="7" a="1"/>
  <c r="K686" i="7" s="1"/>
  <c r="L698" i="7"/>
  <c r="M698" i="7" s="1"/>
  <c r="K698" i="7" a="1"/>
  <c r="K698" i="7" s="1"/>
  <c r="K710" i="7" a="1"/>
  <c r="K710" i="7" s="1"/>
  <c r="L710" i="7" s="1"/>
  <c r="M710" i="7" s="1"/>
  <c r="K722" i="7" a="1"/>
  <c r="K722" i="7" s="1"/>
  <c r="L722" i="7" s="1"/>
  <c r="M722" i="7" s="1"/>
  <c r="K734" i="7" a="1"/>
  <c r="K734" i="7" s="1"/>
  <c r="L734" i="7" s="1"/>
  <c r="M734" i="7" s="1"/>
  <c r="K746" i="7" a="1"/>
  <c r="K746" i="7" s="1"/>
  <c r="L746" i="7" s="1"/>
  <c r="M746" i="7" s="1"/>
  <c r="K758" i="7" a="1"/>
  <c r="K758" i="7" s="1"/>
  <c r="L758" i="7" s="1"/>
  <c r="M758" i="7" s="1"/>
  <c r="K15" i="7" a="1"/>
  <c r="K15" i="7" s="1"/>
  <c r="L15" i="7" s="1"/>
  <c r="M15" i="7" s="1"/>
  <c r="K27" i="7" a="1"/>
  <c r="K27" i="7" s="1"/>
  <c r="L27" i="7" s="1"/>
  <c r="M27" i="7" s="1"/>
  <c r="K39" i="7" a="1"/>
  <c r="K39" i="7" s="1"/>
  <c r="L39" i="7" s="1"/>
  <c r="M39" i="7" s="1"/>
  <c r="K63" i="7" a="1"/>
  <c r="K63" i="7" s="1"/>
  <c r="L63" i="7" s="1"/>
  <c r="M63" i="7" s="1"/>
  <c r="K75" i="7" a="1"/>
  <c r="K75" i="7" s="1"/>
  <c r="L75" i="7" s="1"/>
  <c r="M75" i="7" s="1"/>
  <c r="L87" i="7"/>
  <c r="M87" i="7" s="1"/>
  <c r="K87" i="7" a="1"/>
  <c r="K87" i="7" s="1"/>
  <c r="L111" i="7"/>
  <c r="K111" i="7" a="1"/>
  <c r="K111" i="7" s="1"/>
  <c r="K123" i="7" a="1"/>
  <c r="K123" i="7" s="1"/>
  <c r="L123" i="7" s="1"/>
  <c r="M123" i="7" s="1"/>
  <c r="K135" i="7" a="1"/>
  <c r="K135" i="7" s="1"/>
  <c r="L135" i="7" s="1"/>
  <c r="M135" i="7" s="1"/>
  <c r="K159" i="7" a="1"/>
  <c r="K159" i="7" s="1"/>
  <c r="L159" i="7" s="1"/>
  <c r="M159" i="7" s="1"/>
  <c r="K171" i="7" a="1"/>
  <c r="K171" i="7" s="1"/>
  <c r="L171" i="7" s="1"/>
  <c r="M171" i="7" s="1"/>
  <c r="K183" i="7" a="1"/>
  <c r="K183" i="7" s="1"/>
  <c r="L183" i="7" s="1"/>
  <c r="M183" i="7" s="1"/>
  <c r="K195" i="7" a="1"/>
  <c r="K195" i="7" s="1"/>
  <c r="L195" i="7" s="1"/>
  <c r="M195" i="7" s="1"/>
  <c r="K219" i="7" a="1"/>
  <c r="K219" i="7" s="1"/>
  <c r="L219" i="7" s="1"/>
  <c r="M219" i="7" s="1"/>
  <c r="L231" i="7"/>
  <c r="K231" i="7" a="1"/>
  <c r="K231" i="7" s="1"/>
  <c r="K243" i="7" a="1"/>
  <c r="K243" i="7" s="1"/>
  <c r="L243" i="7" s="1"/>
  <c r="M243" i="7" s="1"/>
  <c r="K267" i="7" a="1"/>
  <c r="K267" i="7" s="1"/>
  <c r="L267" i="7" s="1"/>
  <c r="M267" i="7" s="1"/>
  <c r="K279" i="7" a="1"/>
  <c r="K279" i="7" s="1"/>
  <c r="L279" i="7" s="1"/>
  <c r="M279" i="7" s="1"/>
  <c r="K291" i="7" a="1"/>
  <c r="K291" i="7" s="1"/>
  <c r="L291" i="7" s="1"/>
  <c r="M291" i="7" s="1"/>
  <c r="K315" i="7" a="1"/>
  <c r="K315" i="7" s="1"/>
  <c r="L315" i="7" s="1"/>
  <c r="M315" i="7" s="1"/>
  <c r="K327" i="7" a="1"/>
  <c r="K327" i="7" s="1"/>
  <c r="L327" i="7" s="1"/>
  <c r="M327" i="7" s="1"/>
  <c r="K339" i="7" a="1"/>
  <c r="K339" i="7" s="1"/>
  <c r="L339" i="7" s="1"/>
  <c r="M339" i="7" s="1"/>
  <c r="K363" i="7" a="1"/>
  <c r="K363" i="7" s="1"/>
  <c r="L363" i="7" s="1"/>
  <c r="M363" i="7" s="1"/>
  <c r="K375" i="7" a="1"/>
  <c r="K375" i="7" s="1"/>
  <c r="L375" i="7" s="1"/>
  <c r="M375" i="7" s="1"/>
  <c r="K387" i="7" a="1"/>
  <c r="K387" i="7" s="1"/>
  <c r="L387" i="7" s="1"/>
  <c r="M387" i="7" s="1"/>
  <c r="K399" i="7" a="1"/>
  <c r="K399" i="7" s="1"/>
  <c r="L399" i="7" s="1"/>
  <c r="M399" i="7" s="1"/>
  <c r="L411" i="7"/>
  <c r="K411" i="7" a="1"/>
  <c r="K411" i="7" s="1"/>
  <c r="K435" i="7" a="1"/>
  <c r="K435" i="7" s="1"/>
  <c r="L435" i="7" s="1"/>
  <c r="M435" i="7" s="1"/>
  <c r="K447" i="7" a="1"/>
  <c r="K447" i="7" s="1"/>
  <c r="L447" i="7" s="1"/>
  <c r="M447" i="7" s="1"/>
  <c r="L459" i="7"/>
  <c r="M459" i="7" s="1"/>
  <c r="K459" i="7" a="1"/>
  <c r="K459" i="7" s="1"/>
  <c r="K471" i="7" a="1"/>
  <c r="K471" i="7" s="1"/>
  <c r="L471" i="7" s="1"/>
  <c r="M471" i="7" s="1"/>
  <c r="K483" i="7" a="1"/>
  <c r="K483" i="7" s="1"/>
  <c r="L483" i="7" s="1"/>
  <c r="M483" i="7" s="1"/>
  <c r="K507" i="7" a="1"/>
  <c r="K507" i="7" s="1"/>
  <c r="L507" i="7" s="1"/>
  <c r="M507" i="7" s="1"/>
  <c r="K519" i="7" a="1"/>
  <c r="K519" i="7" s="1"/>
  <c r="L519" i="7" s="1"/>
  <c r="M519" i="7" s="1"/>
  <c r="K531" i="7" a="1"/>
  <c r="K531" i="7" s="1"/>
  <c r="L531" i="7" s="1"/>
  <c r="M531" i="7" s="1"/>
  <c r="L543" i="7"/>
  <c r="M543" i="7" s="1"/>
  <c r="K543" i="7" a="1"/>
  <c r="K543" i="7" s="1"/>
  <c r="L555" i="7"/>
  <c r="K555" i="7" a="1"/>
  <c r="K555" i="7" s="1"/>
  <c r="K579" i="7" a="1"/>
  <c r="K579" i="7" s="1"/>
  <c r="L579" i="7" s="1"/>
  <c r="M579" i="7" s="1"/>
  <c r="K591" i="7" a="1"/>
  <c r="K591" i="7" s="1"/>
  <c r="L591" i="7" s="1"/>
  <c r="M591" i="7" s="1"/>
  <c r="K603" i="7" a="1"/>
  <c r="K603" i="7" s="1"/>
  <c r="L603" i="7" s="1"/>
  <c r="M603" i="7" s="1"/>
  <c r="L615" i="7"/>
  <c r="K615" i="7" a="1"/>
  <c r="K615" i="7" s="1"/>
  <c r="K627" i="7" a="1"/>
  <c r="K627" i="7" s="1"/>
  <c r="L627" i="7" s="1"/>
  <c r="M627" i="7" s="1"/>
  <c r="K651" i="7" a="1"/>
  <c r="K651" i="7" s="1"/>
  <c r="L651" i="7" s="1"/>
  <c r="M651" i="7" s="1"/>
  <c r="K663" i="7" a="1"/>
  <c r="K663" i="7" s="1"/>
  <c r="L663" i="7" s="1"/>
  <c r="M663" i="7" s="1"/>
  <c r="K675" i="7" a="1"/>
  <c r="K675" i="7" s="1"/>
  <c r="L675" i="7" s="1"/>
  <c r="M675" i="7" s="1"/>
  <c r="K687" i="7" a="1"/>
  <c r="K687" i="7" s="1"/>
  <c r="L687" i="7" s="1"/>
  <c r="M687" i="7" s="1"/>
  <c r="K699" i="7" a="1"/>
  <c r="K699" i="7" s="1"/>
  <c r="L699" i="7" s="1"/>
  <c r="M699" i="7" s="1"/>
  <c r="K723" i="7" a="1"/>
  <c r="K723" i="7" s="1"/>
  <c r="L723" i="7" s="1"/>
  <c r="M723" i="7" s="1"/>
  <c r="K735" i="7" a="1"/>
  <c r="K735" i="7" s="1"/>
  <c r="L735" i="7" s="1"/>
  <c r="M735" i="7" s="1"/>
  <c r="K747" i="7" a="1"/>
  <c r="K747" i="7" s="1"/>
  <c r="L747" i="7" s="1"/>
  <c r="M747" i="7" s="1"/>
  <c r="K759" i="7" a="1"/>
  <c r="K759" i="7" s="1"/>
  <c r="L759" i="7" s="1"/>
  <c r="M759" i="7" s="1"/>
  <c r="K4" i="7" a="1"/>
  <c r="K4" i="7" s="1"/>
  <c r="L4" i="7" s="1"/>
  <c r="M4" i="7" s="1"/>
  <c r="L16" i="7"/>
  <c r="K16" i="7" a="1"/>
  <c r="K16" i="7" s="1"/>
  <c r="K28" i="7" a="1"/>
  <c r="K28" i="7" s="1"/>
  <c r="L28" i="7" s="1"/>
  <c r="M28" i="7" s="1"/>
  <c r="L40" i="7"/>
  <c r="K40" i="7" a="1"/>
  <c r="K40" i="7" s="1"/>
  <c r="K52" i="7" a="1"/>
  <c r="K52" i="7" s="1"/>
  <c r="L52" i="7" s="1"/>
  <c r="M52" i="7" s="1"/>
  <c r="K64" i="7" a="1"/>
  <c r="K64" i="7" s="1"/>
  <c r="L64" i="7" s="1"/>
  <c r="M64" i="7" s="1"/>
  <c r="K76" i="7" a="1"/>
  <c r="K76" i="7" s="1"/>
  <c r="L76" i="7" s="1"/>
  <c r="M76" i="7" s="1"/>
  <c r="K88" i="7" a="1"/>
  <c r="K88" i="7" s="1"/>
  <c r="L88" i="7" s="1"/>
  <c r="M88" i="7" s="1"/>
  <c r="K100" i="7" a="1"/>
  <c r="K100" i="7" s="1"/>
  <c r="L100" i="7" s="1"/>
  <c r="M100" i="7" s="1"/>
  <c r="K112" i="7" a="1"/>
  <c r="K112" i="7" s="1"/>
  <c r="L112" i="7" s="1"/>
  <c r="M112" i="7" s="1"/>
  <c r="K124" i="7" a="1"/>
  <c r="K124" i="7" s="1"/>
  <c r="L124" i="7" s="1"/>
  <c r="M124" i="7" s="1"/>
  <c r="K136" i="7" a="1"/>
  <c r="K136" i="7" s="1"/>
  <c r="L136" i="7" s="1"/>
  <c r="M136" i="7" s="1"/>
  <c r="K148" i="7" a="1"/>
  <c r="K148" i="7" s="1"/>
  <c r="L148" i="7" s="1"/>
  <c r="M148" i="7" s="1"/>
  <c r="L160" i="7"/>
  <c r="K160" i="7" a="1"/>
  <c r="K160" i="7" s="1"/>
  <c r="K172" i="7" a="1"/>
  <c r="K172" i="7" s="1"/>
  <c r="L172" i="7" s="1"/>
  <c r="M172" i="7" s="1"/>
  <c r="K184" i="7" a="1"/>
  <c r="K184" i="7" s="1"/>
  <c r="L184" i="7" s="1"/>
  <c r="M184" i="7" s="1"/>
  <c r="K196" i="7" a="1"/>
  <c r="K196" i="7" s="1"/>
  <c r="L196" i="7" s="1"/>
  <c r="M196" i="7" s="1"/>
  <c r="K208" i="7" a="1"/>
  <c r="K208" i="7" s="1"/>
  <c r="L208" i="7" s="1"/>
  <c r="M208" i="7" s="1"/>
  <c r="K220" i="7" a="1"/>
  <c r="K220" i="7" s="1"/>
  <c r="L220" i="7" s="1"/>
  <c r="M220" i="7" s="1"/>
  <c r="K232" i="7" a="1"/>
  <c r="K232" i="7" s="1"/>
  <c r="L232" i="7" s="1"/>
  <c r="M232" i="7" s="1"/>
  <c r="L244" i="7"/>
  <c r="K244" i="7" a="1"/>
  <c r="K244" i="7" s="1"/>
  <c r="K256" i="7" a="1"/>
  <c r="K256" i="7" s="1"/>
  <c r="L256" i="7" s="1"/>
  <c r="M256" i="7" s="1"/>
  <c r="L268" i="7"/>
  <c r="K268" i="7" a="1"/>
  <c r="K268" i="7" s="1"/>
  <c r="K280" i="7" a="1"/>
  <c r="K280" i="7" s="1"/>
  <c r="L280" i="7" s="1"/>
  <c r="M280" i="7" s="1"/>
  <c r="K292" i="7" a="1"/>
  <c r="K292" i="7" s="1"/>
  <c r="L292" i="7" s="1"/>
  <c r="M292" i="7" s="1"/>
  <c r="K304" i="7" a="1"/>
  <c r="K304" i="7" s="1"/>
  <c r="L304" i="7" s="1"/>
  <c r="M304" i="7" s="1"/>
  <c r="K316" i="7" a="1"/>
  <c r="K316" i="7" s="1"/>
  <c r="L316" i="7" s="1"/>
  <c r="M316" i="7" s="1"/>
  <c r="K328" i="7" a="1"/>
  <c r="K328" i="7" s="1"/>
  <c r="L328" i="7" s="1"/>
  <c r="M328" i="7" s="1"/>
  <c r="K340" i="7" a="1"/>
  <c r="K340" i="7" s="1"/>
  <c r="L340" i="7" s="1"/>
  <c r="M340" i="7" s="1"/>
  <c r="K352" i="7" a="1"/>
  <c r="K352" i="7" s="1"/>
  <c r="L352" i="7" s="1"/>
  <c r="M352" i="7" s="1"/>
  <c r="K364" i="7" a="1"/>
  <c r="K364" i="7" s="1"/>
  <c r="L364" i="7" s="1"/>
  <c r="M364" i="7" s="1"/>
  <c r="K376" i="7" a="1"/>
  <c r="K376" i="7" s="1"/>
  <c r="L376" i="7" s="1"/>
  <c r="M376" i="7" s="1"/>
  <c r="K388" i="7" a="1"/>
  <c r="K388" i="7" s="1"/>
  <c r="L388" i="7" s="1"/>
  <c r="M388" i="7" s="1"/>
  <c r="K400" i="7" a="1"/>
  <c r="K400" i="7" s="1"/>
  <c r="L400" i="7" s="1"/>
  <c r="M400" i="7" s="1"/>
  <c r="L424" i="7"/>
  <c r="M424" i="7" s="1"/>
  <c r="K424" i="7" a="1"/>
  <c r="K424" i="7" s="1"/>
  <c r="K436" i="7" a="1"/>
  <c r="K436" i="7" s="1"/>
  <c r="L436" i="7" s="1"/>
  <c r="M436" i="7" s="1"/>
  <c r="K448" i="7" a="1"/>
  <c r="K448" i="7" s="1"/>
  <c r="L448" i="7" s="1"/>
  <c r="M448" i="7" s="1"/>
  <c r="K460" i="7" a="1"/>
  <c r="K460" i="7" s="1"/>
  <c r="L460" i="7" s="1"/>
  <c r="M460" i="7" s="1"/>
  <c r="K472" i="7" a="1"/>
  <c r="K472" i="7" s="1"/>
  <c r="L472" i="7" s="1"/>
  <c r="M472" i="7" s="1"/>
  <c r="K496" i="7" a="1"/>
  <c r="K496" i="7" s="1"/>
  <c r="L496" i="7" s="1"/>
  <c r="M496" i="7" s="1"/>
  <c r="K508" i="7" a="1"/>
  <c r="K508" i="7" s="1"/>
  <c r="L508" i="7" s="1"/>
  <c r="M508" i="7" s="1"/>
  <c r="K520" i="7" a="1"/>
  <c r="K520" i="7" s="1"/>
  <c r="L520" i="7" s="1"/>
  <c r="M520" i="7" s="1"/>
  <c r="K532" i="7" a="1"/>
  <c r="K532" i="7" s="1"/>
  <c r="L532" i="7" s="1"/>
  <c r="M532" i="7" s="1"/>
  <c r="K544" i="7" a="1"/>
  <c r="K544" i="7" s="1"/>
  <c r="L544" i="7"/>
  <c r="M544" i="7" s="1"/>
  <c r="K568" i="7" a="1"/>
  <c r="K568" i="7" s="1"/>
  <c r="L568" i="7" s="1"/>
  <c r="M568" i="7" s="1"/>
  <c r="K580" i="7" a="1"/>
  <c r="K580" i="7" s="1"/>
  <c r="L580" i="7" s="1"/>
  <c r="M580" i="7" s="1"/>
  <c r="K592" i="7" a="1"/>
  <c r="K592" i="7" s="1"/>
  <c r="L592" i="7" s="1"/>
  <c r="M592" i="7" s="1"/>
  <c r="K604" i="7" a="1"/>
  <c r="K604" i="7" s="1"/>
  <c r="L604" i="7" s="1"/>
  <c r="M604" i="7" s="1"/>
  <c r="K616" i="7" a="1"/>
  <c r="K616" i="7" s="1"/>
  <c r="L616" i="7" s="1"/>
  <c r="M616" i="7" s="1"/>
  <c r="K640" i="7" a="1"/>
  <c r="K640" i="7" s="1"/>
  <c r="L640" i="7"/>
  <c r="M640" i="7" s="1"/>
  <c r="K652" i="7" a="1"/>
  <c r="K652" i="7" s="1"/>
  <c r="L652" i="7" s="1"/>
  <c r="M652" i="7" s="1"/>
  <c r="L664" i="7"/>
  <c r="M664" i="7" s="1"/>
  <c r="K664" i="7" a="1"/>
  <c r="K664" i="7" s="1"/>
  <c r="K676" i="7" a="1"/>
  <c r="K676" i="7" s="1"/>
  <c r="L676" i="7" s="1"/>
  <c r="M676" i="7" s="1"/>
  <c r="K688" i="7" a="1"/>
  <c r="K688" i="7" s="1"/>
  <c r="L688" i="7" s="1"/>
  <c r="M688" i="7" s="1"/>
  <c r="K5" i="7" a="1"/>
  <c r="K5" i="7" s="1"/>
  <c r="L5" i="7" s="1"/>
  <c r="M5" i="7" s="1"/>
  <c r="K29" i="7" a="1"/>
  <c r="K29" i="7" s="1"/>
  <c r="L29" i="7"/>
  <c r="M29" i="7" s="1"/>
  <c r="K41" i="7" a="1"/>
  <c r="K41" i="7" s="1"/>
  <c r="L41" i="7" s="1"/>
  <c r="M41" i="7" s="1"/>
  <c r="L53" i="7"/>
  <c r="K53" i="7" a="1"/>
  <c r="K53" i="7" s="1"/>
  <c r="K77" i="7" a="1"/>
  <c r="K77" i="7" s="1"/>
  <c r="L77" i="7" s="1"/>
  <c r="M77" i="7" s="1"/>
  <c r="L89" i="7"/>
  <c r="M89" i="7" s="1"/>
  <c r="K89" i="7" a="1"/>
  <c r="K89" i="7" s="1"/>
  <c r="K101" i="7" a="1"/>
  <c r="K101" i="7" s="1"/>
  <c r="L101" i="7" s="1"/>
  <c r="M101" i="7" s="1"/>
  <c r="K125" i="7" a="1"/>
  <c r="K125" i="7" s="1"/>
  <c r="L125" i="7" s="1"/>
  <c r="M125" i="7" s="1"/>
  <c r="K137" i="7" a="1"/>
  <c r="K137" i="7" s="1"/>
  <c r="L137" i="7" s="1"/>
  <c r="M137" i="7" s="1"/>
  <c r="L149" i="7"/>
  <c r="M149" i="7" s="1"/>
  <c r="K149" i="7" a="1"/>
  <c r="K149" i="7" s="1"/>
  <c r="K173" i="7" a="1"/>
  <c r="K173" i="7" s="1"/>
  <c r="L173" i="7" s="1"/>
  <c r="M173" i="7" s="1"/>
  <c r="K185" i="7" a="1"/>
  <c r="K185" i="7" s="1"/>
  <c r="L185" i="7" s="1"/>
  <c r="M185" i="7" s="1"/>
  <c r="K197" i="7" a="1"/>
  <c r="K197" i="7" s="1"/>
  <c r="L197" i="7" s="1"/>
  <c r="M197" i="7" s="1"/>
  <c r="L209" i="7"/>
  <c r="K209" i="7" a="1"/>
  <c r="K209" i="7" s="1"/>
  <c r="K221" i="7" a="1"/>
  <c r="K221" i="7" s="1"/>
  <c r="L221" i="7" s="1"/>
  <c r="M221" i="7" s="1"/>
  <c r="L233" i="7"/>
  <c r="K233" i="7" a="1"/>
  <c r="K233" i="7" s="1"/>
  <c r="K245" i="7" a="1"/>
  <c r="K245" i="7" s="1"/>
  <c r="L245" i="7" s="1"/>
  <c r="M245" i="7" s="1"/>
  <c r="K257" i="7" a="1"/>
  <c r="K257" i="7" s="1"/>
  <c r="L257" i="7" s="1"/>
  <c r="M257" i="7" s="1"/>
  <c r="L269" i="7"/>
  <c r="M269" i="7" s="1"/>
  <c r="K269" i="7" a="1"/>
  <c r="K269" i="7" s="1"/>
  <c r="L281" i="7"/>
  <c r="K281" i="7" a="1"/>
  <c r="K281" i="7" s="1"/>
  <c r="K293" i="7" a="1"/>
  <c r="K293" i="7" s="1"/>
  <c r="L293" i="7" s="1"/>
  <c r="M293" i="7" s="1"/>
  <c r="K305" i="7" a="1"/>
  <c r="K305" i="7" s="1"/>
  <c r="L305" i="7" s="1"/>
  <c r="M305" i="7" s="1"/>
  <c r="K317" i="7" a="1"/>
  <c r="K317" i="7" s="1"/>
  <c r="L317" i="7" s="1"/>
  <c r="M317" i="7" s="1"/>
  <c r="K329" i="7" a="1"/>
  <c r="K329" i="7" s="1"/>
  <c r="L329" i="7" s="1"/>
  <c r="M329" i="7" s="1"/>
  <c r="K341" i="7" a="1"/>
  <c r="K341" i="7" s="1"/>
  <c r="L341" i="7" s="1"/>
  <c r="M341" i="7" s="1"/>
  <c r="K353" i="7" a="1"/>
  <c r="K353" i="7" s="1"/>
  <c r="L353" i="7" s="1"/>
  <c r="M353" i="7" s="1"/>
  <c r="L365" i="7"/>
  <c r="K365" i="7" a="1"/>
  <c r="K365" i="7" s="1"/>
  <c r="K377" i="7" a="1"/>
  <c r="K377" i="7" s="1"/>
  <c r="L377" i="7" s="1"/>
  <c r="M377" i="7" s="1"/>
  <c r="K389" i="7" a="1"/>
  <c r="K389" i="7" s="1"/>
  <c r="L389" i="7" s="1"/>
  <c r="M389" i="7" s="1"/>
  <c r="L401" i="7"/>
  <c r="M401" i="7" s="1"/>
  <c r="K401" i="7" a="1"/>
  <c r="K401" i="7" s="1"/>
  <c r="K413" i="7" a="1"/>
  <c r="K413" i="7" s="1"/>
  <c r="L413" i="7" s="1"/>
  <c r="M413" i="7" s="1"/>
  <c r="K425" i="7" a="1"/>
  <c r="K425" i="7" s="1"/>
  <c r="L425" i="7" s="1"/>
  <c r="M425" i="7" s="1"/>
  <c r="K437" i="7" a="1"/>
  <c r="K437" i="7" s="1"/>
  <c r="L437" i="7" s="1"/>
  <c r="M437" i="7" s="1"/>
  <c r="L449" i="7"/>
  <c r="M449" i="7" s="1"/>
  <c r="K449" i="7" a="1"/>
  <c r="K449" i="7" s="1"/>
  <c r="K461" i="7" a="1"/>
  <c r="K461" i="7" s="1"/>
  <c r="L461" i="7" s="1"/>
  <c r="M461" i="7" s="1"/>
  <c r="L473" i="7"/>
  <c r="M473" i="7" s="1"/>
  <c r="K473" i="7" a="1"/>
  <c r="K473" i="7" s="1"/>
  <c r="K485" i="7" a="1"/>
  <c r="K485" i="7" s="1"/>
  <c r="L485" i="7" s="1"/>
  <c r="M485" i="7" s="1"/>
  <c r="K497" i="7" a="1"/>
  <c r="K497" i="7" s="1"/>
  <c r="L497" i="7" s="1"/>
  <c r="M497" i="7" s="1"/>
  <c r="L509" i="7"/>
  <c r="K509" i="7" a="1"/>
  <c r="K509" i="7" s="1"/>
  <c r="K521" i="7" a="1"/>
  <c r="K521" i="7" s="1"/>
  <c r="L521" i="7" s="1"/>
  <c r="M521" i="7" s="1"/>
  <c r="L533" i="7"/>
  <c r="K533" i="7" a="1"/>
  <c r="K533" i="7" s="1"/>
  <c r="K545" i="7" a="1"/>
  <c r="K545" i="7" s="1"/>
  <c r="L545" i="7" s="1"/>
  <c r="M545" i="7" s="1"/>
  <c r="K557" i="7" a="1"/>
  <c r="K557" i="7" s="1"/>
  <c r="L557" i="7" s="1"/>
  <c r="M557" i="7" s="1"/>
  <c r="K569" i="7" a="1"/>
  <c r="K569" i="7" s="1"/>
  <c r="L569" i="7" s="1"/>
  <c r="M569" i="7" s="1"/>
  <c r="K581" i="7" a="1"/>
  <c r="K581" i="7" s="1"/>
  <c r="L581" i="7" s="1"/>
  <c r="M581" i="7" s="1"/>
  <c r="K593" i="7" a="1"/>
  <c r="K593" i="7" s="1"/>
  <c r="L593" i="7" s="1"/>
  <c r="M593" i="7" s="1"/>
  <c r="K605" i="7" a="1"/>
  <c r="K605" i="7" s="1"/>
  <c r="L605" i="7" s="1"/>
  <c r="M605" i="7" s="1"/>
  <c r="L617" i="7"/>
  <c r="K617" i="7" a="1"/>
  <c r="K617" i="7" s="1"/>
  <c r="K629" i="7" a="1"/>
  <c r="K629" i="7" s="1"/>
  <c r="L629" i="7" s="1"/>
  <c r="M629" i="7" s="1"/>
  <c r="K641" i="7" a="1"/>
  <c r="K641" i="7" s="1"/>
  <c r="L641" i="7" s="1"/>
  <c r="M641" i="7" s="1"/>
  <c r="K653" i="7" a="1"/>
  <c r="K653" i="7" s="1"/>
  <c r="L653" i="7" s="1"/>
  <c r="M653" i="7" s="1"/>
  <c r="K665" i="7" a="1"/>
  <c r="K665" i="7" s="1"/>
  <c r="L665" i="7" s="1"/>
  <c r="M665" i="7" s="1"/>
  <c r="K677" i="7" a="1"/>
  <c r="K677" i="7" s="1"/>
  <c r="L677" i="7" s="1"/>
  <c r="M677" i="7" s="1"/>
  <c r="K689" i="7" a="1"/>
  <c r="K689" i="7" s="1"/>
  <c r="L689" i="7" s="1"/>
  <c r="M689" i="7" s="1"/>
  <c r="K701" i="7" a="1"/>
  <c r="K701" i="7" s="1"/>
  <c r="L701" i="7" s="1"/>
  <c r="M701" i="7" s="1"/>
  <c r="K713" i="7" a="1"/>
  <c r="K713" i="7" s="1"/>
  <c r="L713" i="7" s="1"/>
  <c r="M713" i="7" s="1"/>
  <c r="K725" i="7" a="1"/>
  <c r="K725" i="7" s="1"/>
  <c r="L725" i="7" s="1"/>
  <c r="M725" i="7" s="1"/>
  <c r="K737" i="7" a="1"/>
  <c r="K737" i="7" s="1"/>
  <c r="L737" i="7" s="1"/>
  <c r="M737" i="7" s="1"/>
  <c r="K749" i="7" a="1"/>
  <c r="K749" i="7" s="1"/>
  <c r="L749" i="7" s="1"/>
  <c r="M749" i="7" s="1"/>
  <c r="L761" i="7"/>
  <c r="K761" i="7" a="1"/>
  <c r="K761" i="7" s="1"/>
  <c r="M761" i="7" s="1"/>
  <c r="K6" i="7" a="1"/>
  <c r="K6" i="7" s="1"/>
  <c r="L6" i="7" s="1"/>
  <c r="M6" i="7" s="1"/>
  <c r="K30" i="7" a="1"/>
  <c r="K30" i="7" s="1"/>
  <c r="L30" i="7" s="1"/>
  <c r="M30" i="7" s="1"/>
  <c r="K42" i="7" a="1"/>
  <c r="K42" i="7" s="1"/>
  <c r="L42" i="7" s="1"/>
  <c r="M42" i="7" s="1"/>
  <c r="K54" i="7" a="1"/>
  <c r="K54" i="7" s="1"/>
  <c r="L54" i="7" s="1"/>
  <c r="M54" i="7" s="1"/>
  <c r="K78" i="7" a="1"/>
  <c r="K78" i="7" s="1"/>
  <c r="L78" i="7" s="1"/>
  <c r="M78" i="7" s="1"/>
  <c r="K90" i="7" a="1"/>
  <c r="K90" i="7" s="1"/>
  <c r="L90" i="7" s="1"/>
  <c r="M90" i="7" s="1"/>
  <c r="K102" i="7" a="1"/>
  <c r="K102" i="7" s="1"/>
  <c r="L102" i="7" s="1"/>
  <c r="M102" i="7" s="1"/>
  <c r="L126" i="7"/>
  <c r="K126" i="7" a="1"/>
  <c r="K126" i="7" s="1"/>
  <c r="K138" i="7" a="1"/>
  <c r="K138" i="7" s="1"/>
  <c r="L138" i="7" s="1"/>
  <c r="M138" i="7" s="1"/>
  <c r="L150" i="7"/>
  <c r="M150" i="7" s="1"/>
  <c r="K150" i="7" a="1"/>
  <c r="K150" i="7" s="1"/>
  <c r="K174" i="7" a="1"/>
  <c r="K174" i="7" s="1"/>
  <c r="L174" i="7" s="1"/>
  <c r="M174" i="7" s="1"/>
  <c r="K186" i="7" a="1"/>
  <c r="K186" i="7" s="1"/>
  <c r="L186" i="7" s="1"/>
  <c r="M186" i="7" s="1"/>
  <c r="K198" i="7" a="1"/>
  <c r="K198" i="7" s="1"/>
  <c r="L198" i="7" s="1"/>
  <c r="M198" i="7" s="1"/>
  <c r="K210" i="7" a="1"/>
  <c r="K210" i="7" s="1"/>
  <c r="L210" i="7" s="1"/>
  <c r="M210" i="7" s="1"/>
  <c r="K222" i="7" a="1"/>
  <c r="K222" i="7" s="1"/>
  <c r="L222" i="7" s="1"/>
  <c r="M222" i="7" s="1"/>
  <c r="L234" i="7"/>
  <c r="M234" i="7" s="1"/>
  <c r="K234" i="7" a="1"/>
  <c r="K234" i="7" s="1"/>
  <c r="K246" i="7" a="1"/>
  <c r="K246" i="7" s="1"/>
  <c r="L246" i="7" s="1"/>
  <c r="M246" i="7" s="1"/>
  <c r="K258" i="7" a="1"/>
  <c r="K258" i="7" s="1"/>
  <c r="L258" i="7" s="1"/>
  <c r="M258" i="7" s="1"/>
  <c r="K270" i="7" a="1"/>
  <c r="K270" i="7" s="1"/>
  <c r="L270" i="7" s="1"/>
  <c r="M270" i="7" s="1"/>
  <c r="K282" i="7" a="1"/>
  <c r="K282" i="7" s="1"/>
  <c r="L282" i="7" s="1"/>
  <c r="M282" i="7" s="1"/>
  <c r="K294" i="7" a="1"/>
  <c r="K294" i="7" s="1"/>
  <c r="L294" i="7" s="1"/>
  <c r="M294" i="7" s="1"/>
  <c r="L306" i="7"/>
  <c r="K306" i="7" a="1"/>
  <c r="K306" i="7" s="1"/>
  <c r="K318" i="7" a="1"/>
  <c r="K318" i="7" s="1"/>
  <c r="L318" i="7" s="1"/>
  <c r="M318" i="7" s="1"/>
  <c r="K330" i="7" a="1"/>
  <c r="K330" i="7" s="1"/>
  <c r="L330" i="7" s="1"/>
  <c r="M330" i="7" s="1"/>
  <c r="K342" i="7" a="1"/>
  <c r="K342" i="7" s="1"/>
  <c r="L342" i="7" s="1"/>
  <c r="M342" i="7" s="1"/>
  <c r="K354" i="7" a="1"/>
  <c r="K354" i="7" s="1"/>
  <c r="L354" i="7" s="1"/>
  <c r="M354" i="7" s="1"/>
  <c r="K366" i="7" a="1"/>
  <c r="K366" i="7" s="1"/>
  <c r="L366" i="7" s="1"/>
  <c r="M366" i="7" s="1"/>
  <c r="K378" i="7" a="1"/>
  <c r="K378" i="7" s="1"/>
  <c r="L378" i="7" s="1"/>
  <c r="M378" i="7" s="1"/>
  <c r="M390" i="7"/>
  <c r="K390" i="7" a="1"/>
  <c r="K390" i="7" s="1"/>
  <c r="L390" i="7" s="1"/>
  <c r="K402" i="7" a="1"/>
  <c r="K402" i="7" s="1"/>
  <c r="L402" i="7" s="1"/>
  <c r="M402" i="7" s="1"/>
  <c r="K414" i="7" a="1"/>
  <c r="K414" i="7" s="1"/>
  <c r="L414" i="7" s="1"/>
  <c r="M414" i="7" s="1"/>
  <c r="L426" i="7"/>
  <c r="M426" i="7" s="1"/>
  <c r="K426" i="7" a="1"/>
  <c r="K426" i="7" s="1"/>
  <c r="K438" i="7" a="1"/>
  <c r="K438" i="7" s="1"/>
  <c r="L438" i="7" s="1"/>
  <c r="M438" i="7" s="1"/>
  <c r="L450" i="7"/>
  <c r="M450" i="7" s="1"/>
  <c r="K450" i="7" a="1"/>
  <c r="K450" i="7" s="1"/>
  <c r="K462" i="7" a="1"/>
  <c r="K462" i="7" s="1"/>
  <c r="L462" i="7" s="1"/>
  <c r="M462" i="7" s="1"/>
  <c r="K474" i="7" a="1"/>
  <c r="K474" i="7" s="1"/>
  <c r="L474" i="7" s="1"/>
  <c r="M474" i="7" s="1"/>
  <c r="K486" i="7" a="1"/>
  <c r="K486" i="7" s="1"/>
  <c r="L486" i="7" s="1"/>
  <c r="M486" i="7" s="1"/>
  <c r="K498" i="7" a="1"/>
  <c r="K498" i="7" s="1"/>
  <c r="L498" i="7" s="1"/>
  <c r="M498" i="7" s="1"/>
  <c r="K510" i="7" a="1"/>
  <c r="K510" i="7" s="1"/>
  <c r="L510" i="7" s="1"/>
  <c r="M510" i="7" s="1"/>
  <c r="K522" i="7" a="1"/>
  <c r="K522" i="7" s="1"/>
  <c r="L522" i="7" s="1"/>
  <c r="M522" i="7" s="1"/>
  <c r="K534" i="7" a="1"/>
  <c r="K534" i="7" s="1"/>
  <c r="L534" i="7" s="1"/>
  <c r="M534" i="7" s="1"/>
  <c r="K546" i="7" a="1"/>
  <c r="K546" i="7" s="1"/>
  <c r="L546" i="7" s="1"/>
  <c r="M546" i="7" s="1"/>
  <c r="K558" i="7" a="1"/>
  <c r="K558" i="7" s="1"/>
  <c r="L558" i="7" s="1"/>
  <c r="M558" i="7" s="1"/>
  <c r="K570" i="7" a="1"/>
  <c r="K570" i="7" s="1"/>
  <c r="L570" i="7" s="1"/>
  <c r="M570" i="7" s="1"/>
  <c r="K582" i="7" a="1"/>
  <c r="K582" i="7" s="1"/>
  <c r="L582" i="7" s="1"/>
  <c r="M582" i="7" s="1"/>
  <c r="K594" i="7" a="1"/>
  <c r="K594" i="7" s="1"/>
  <c r="L594" i="7" s="1"/>
  <c r="M594" i="7" s="1"/>
  <c r="K606" i="7" a="1"/>
  <c r="K606" i="7" s="1"/>
  <c r="L606" i="7" s="1"/>
  <c r="M606" i="7" s="1"/>
  <c r="K618" i="7" a="1"/>
  <c r="K618" i="7" s="1"/>
  <c r="L618" i="7" s="1"/>
  <c r="M618" i="7" s="1"/>
  <c r="K630" i="7" a="1"/>
  <c r="K630" i="7" s="1"/>
  <c r="L630" i="7" s="1"/>
  <c r="M630" i="7" s="1"/>
  <c r="L642" i="7"/>
  <c r="M642" i="7" s="1"/>
  <c r="K642" i="7" a="1"/>
  <c r="K642" i="7" s="1"/>
  <c r="K654" i="7" a="1"/>
  <c r="K654" i="7" s="1"/>
  <c r="L654" i="7" s="1"/>
  <c r="M654" i="7" s="1"/>
  <c r="K666" i="7" a="1"/>
  <c r="K666" i="7" s="1"/>
  <c r="L666" i="7" s="1"/>
  <c r="M666" i="7" s="1"/>
  <c r="K678" i="7" a="1"/>
  <c r="K678" i="7" s="1"/>
  <c r="L678" i="7" s="1"/>
  <c r="M678" i="7" s="1"/>
  <c r="K690" i="7" a="1"/>
  <c r="K690" i="7" s="1"/>
  <c r="L690" i="7" s="1"/>
  <c r="M690" i="7" s="1"/>
  <c r="K702" i="7" a="1"/>
  <c r="K702" i="7" s="1"/>
  <c r="L702" i="7" s="1"/>
  <c r="M702" i="7" s="1"/>
  <c r="K738" i="7" a="1"/>
  <c r="K738" i="7" s="1"/>
  <c r="L738" i="7"/>
  <c r="M738" i="7" s="1"/>
  <c r="K762" i="7" a="1"/>
  <c r="K762" i="7" s="1"/>
  <c r="L762" i="7" s="1"/>
  <c r="M762" i="7" s="1"/>
  <c r="K7" i="7" a="1"/>
  <c r="K7" i="7" s="1"/>
  <c r="L7" i="7" s="1"/>
  <c r="M7" i="7" s="1"/>
  <c r="L19" i="7"/>
  <c r="M19" i="7" s="1"/>
  <c r="K19" i="7" a="1"/>
  <c r="K19" i="7" s="1"/>
  <c r="K31" i="7" a="1"/>
  <c r="K31" i="7" s="1"/>
  <c r="L31" i="7" s="1"/>
  <c r="M31" i="7" s="1"/>
  <c r="K43" i="7" a="1"/>
  <c r="K43" i="7" s="1"/>
  <c r="L43" i="7" s="1"/>
  <c r="M43" i="7" s="1"/>
  <c r="L55" i="7"/>
  <c r="M55" i="7" s="1"/>
  <c r="K55" i="7" a="1"/>
  <c r="K55" i="7" s="1"/>
  <c r="L67" i="7"/>
  <c r="K67" i="7" a="1"/>
  <c r="K67" i="7" s="1"/>
  <c r="K79" i="7" a="1"/>
  <c r="K79" i="7" s="1"/>
  <c r="L79" i="7" s="1"/>
  <c r="M79" i="7" s="1"/>
  <c r="L91" i="7"/>
  <c r="K91" i="7" a="1"/>
  <c r="K91" i="7" s="1"/>
  <c r="M91" i="7" s="1"/>
  <c r="K103" i="7" a="1"/>
  <c r="K103" i="7" s="1"/>
  <c r="L103" i="7"/>
  <c r="K115" i="7" a="1"/>
  <c r="K115" i="7" s="1"/>
  <c r="L115" i="7" s="1"/>
  <c r="M115" i="7" s="1"/>
  <c r="K127" i="7" a="1"/>
  <c r="K127" i="7" s="1"/>
  <c r="L127" i="7" s="1"/>
  <c r="M127" i="7" s="1"/>
  <c r="K139" i="7" a="1"/>
  <c r="K139" i="7" s="1"/>
  <c r="L139" i="7" s="1"/>
  <c r="M139" i="7" s="1"/>
  <c r="K151" i="7" a="1"/>
  <c r="K151" i="7" s="1"/>
  <c r="L151" i="7" s="1"/>
  <c r="M151" i="7" s="1"/>
  <c r="K163" i="7" a="1"/>
  <c r="K163" i="7" s="1"/>
  <c r="L163" i="7" s="1"/>
  <c r="M163" i="7" s="1"/>
  <c r="K175" i="7" a="1"/>
  <c r="K175" i="7" s="1"/>
  <c r="L175" i="7" s="1"/>
  <c r="M175" i="7" s="1"/>
  <c r="M247" i="7"/>
  <c r="K247" i="7" a="1"/>
  <c r="K247" i="7" s="1"/>
  <c r="L247" i="7" s="1"/>
  <c r="K259" i="7" a="1"/>
  <c r="K259" i="7" s="1"/>
  <c r="L259" i="7" s="1"/>
  <c r="M259" i="7" s="1"/>
  <c r="L271" i="7"/>
  <c r="K271" i="7" a="1"/>
  <c r="K271" i="7" s="1"/>
  <c r="K283" i="7" a="1"/>
  <c r="K283" i="7" s="1"/>
  <c r="L283" i="7" s="1"/>
  <c r="M283" i="7" s="1"/>
  <c r="L295" i="7"/>
  <c r="K295" i="7" a="1"/>
  <c r="K295" i="7" s="1"/>
  <c r="L307" i="7"/>
  <c r="M307" i="7" s="1"/>
  <c r="K307" i="7" a="1"/>
  <c r="K307" i="7" s="1"/>
  <c r="K319" i="7" a="1"/>
  <c r="K319" i="7" s="1"/>
  <c r="L319" i="7" s="1"/>
  <c r="M319" i="7" s="1"/>
  <c r="K331" i="7" a="1"/>
  <c r="K331" i="7" s="1"/>
  <c r="L331" i="7" s="1"/>
  <c r="M331" i="7" s="1"/>
  <c r="K343" i="7" a="1"/>
  <c r="K343" i="7" s="1"/>
  <c r="L343" i="7" s="1"/>
  <c r="M343" i="7" s="1"/>
  <c r="K355" i="7" a="1"/>
  <c r="K355" i="7" s="1"/>
  <c r="L355" i="7" s="1"/>
  <c r="M355" i="7" s="1"/>
  <c r="K367" i="7" a="1"/>
  <c r="K367" i="7" s="1"/>
  <c r="L367" i="7" s="1"/>
  <c r="M367" i="7" s="1"/>
  <c r="K379" i="7" a="1"/>
  <c r="K379" i="7" s="1"/>
  <c r="L379" i="7" s="1"/>
  <c r="M379" i="7" s="1"/>
  <c r="M391" i="7"/>
  <c r="K391" i="7" a="1"/>
  <c r="K391" i="7" s="1"/>
  <c r="L391" i="7" s="1"/>
  <c r="K403" i="7" a="1"/>
  <c r="K403" i="7" s="1"/>
  <c r="L403" i="7" s="1"/>
  <c r="M403" i="7" s="1"/>
  <c r="K415" i="7" a="1"/>
  <c r="K415" i="7" s="1"/>
  <c r="L415" i="7" s="1"/>
  <c r="M415" i="7" s="1"/>
  <c r="K427" i="7" a="1"/>
  <c r="K427" i="7" s="1"/>
  <c r="L427" i="7" s="1"/>
  <c r="M427" i="7" s="1"/>
  <c r="K439" i="7" a="1"/>
  <c r="K439" i="7" s="1"/>
  <c r="L439" i="7" s="1"/>
  <c r="M439" i="7" s="1"/>
  <c r="K451" i="7" a="1"/>
  <c r="K451" i="7" s="1"/>
  <c r="L451" i="7" s="1"/>
  <c r="M451" i="7" s="1"/>
  <c r="K463" i="7" a="1"/>
  <c r="K463" i="7" s="1"/>
  <c r="L463" i="7" s="1"/>
  <c r="M463" i="7" s="1"/>
  <c r="L475" i="7"/>
  <c r="M475" i="7" s="1"/>
  <c r="K475" i="7" a="1"/>
  <c r="K475" i="7" s="1"/>
  <c r="K487" i="7" a="1"/>
  <c r="K487" i="7" s="1"/>
  <c r="L487" i="7" s="1"/>
  <c r="M487" i="7" s="1"/>
  <c r="K499" i="7" a="1"/>
  <c r="K499" i="7" s="1"/>
  <c r="L499" i="7" s="1"/>
  <c r="M499" i="7" s="1"/>
  <c r="K511" i="7" a="1"/>
  <c r="K511" i="7" s="1"/>
  <c r="L511" i="7" s="1"/>
  <c r="M511" i="7" s="1"/>
  <c r="K523" i="7" a="1"/>
  <c r="K523" i="7" s="1"/>
  <c r="L523" i="7" s="1"/>
  <c r="M523" i="7" s="1"/>
  <c r="K535" i="7" a="1"/>
  <c r="K535" i="7" s="1"/>
  <c r="L535" i="7" s="1"/>
  <c r="M535" i="7" s="1"/>
  <c r="K547" i="7" a="1"/>
  <c r="K547" i="7" s="1"/>
  <c r="L547" i="7" s="1"/>
  <c r="M547" i="7" s="1"/>
  <c r="K559" i="7" a="1"/>
  <c r="K559" i="7" s="1"/>
  <c r="L559" i="7" s="1"/>
  <c r="M559" i="7" s="1"/>
  <c r="K571" i="7" a="1"/>
  <c r="K571" i="7" s="1"/>
  <c r="L571" i="7" s="1"/>
  <c r="M571" i="7" s="1"/>
  <c r="K583" i="7" a="1"/>
  <c r="K583" i="7" s="1"/>
  <c r="L583" i="7" s="1"/>
  <c r="M583" i="7" s="1"/>
  <c r="K595" i="7" a="1"/>
  <c r="K595" i="7" s="1"/>
  <c r="L595" i="7" s="1"/>
  <c r="M595" i="7" s="1"/>
  <c r="K607" i="7" a="1"/>
  <c r="K607" i="7" s="1"/>
  <c r="L607" i="7" s="1"/>
  <c r="M607" i="7" s="1"/>
  <c r="K619" i="7" a="1"/>
  <c r="K619" i="7" s="1"/>
  <c r="L619" i="7" s="1"/>
  <c r="M619" i="7" s="1"/>
  <c r="K631" i="7" a="1"/>
  <c r="K631" i="7" s="1"/>
  <c r="L631" i="7" s="1"/>
  <c r="M631" i="7" s="1"/>
  <c r="K643" i="7" a="1"/>
  <c r="K643" i="7" s="1"/>
  <c r="L643" i="7" s="1"/>
  <c r="M643" i="7" s="1"/>
  <c r="M655" i="7"/>
  <c r="L655" i="7"/>
  <c r="K655" i="7" a="1"/>
  <c r="K655" i="7" s="1"/>
  <c r="K667" i="7" a="1"/>
  <c r="K667" i="7" s="1"/>
  <c r="L667" i="7" s="1"/>
  <c r="M667" i="7" s="1"/>
  <c r="L679" i="7"/>
  <c r="K679" i="7" a="1"/>
  <c r="K679" i="7" s="1"/>
  <c r="K691" i="7" a="1"/>
  <c r="K691" i="7" s="1"/>
  <c r="L691" i="7" s="1"/>
  <c r="M691" i="7" s="1"/>
  <c r="K703" i="7" a="1"/>
  <c r="K703" i="7" s="1"/>
  <c r="L703" i="7"/>
  <c r="M703" i="7" s="1"/>
  <c r="K715" i="7" a="1"/>
  <c r="K715" i="7" s="1"/>
  <c r="L715" i="7" s="1"/>
  <c r="M715" i="7" s="1"/>
  <c r="K727" i="7" a="1"/>
  <c r="K727" i="7" s="1"/>
  <c r="L727" i="7" s="1"/>
  <c r="M727" i="7" s="1"/>
  <c r="K739" i="7" a="1"/>
  <c r="K739" i="7" s="1"/>
  <c r="L739" i="7" s="1"/>
  <c r="M739" i="7" s="1"/>
  <c r="L751" i="7"/>
  <c r="M751" i="7" s="1"/>
  <c r="K751" i="7" a="1"/>
  <c r="K751" i="7" s="1"/>
  <c r="K763" i="7" a="1"/>
  <c r="K763" i="7" s="1"/>
  <c r="L763" i="7"/>
  <c r="K200" i="7" a="1"/>
  <c r="K200" i="7" s="1"/>
  <c r="L200" i="7" s="1"/>
  <c r="M200" i="7" s="1"/>
  <c r="L212" i="7"/>
  <c r="K212" i="7" a="1"/>
  <c r="K212" i="7" s="1"/>
  <c r="K224" i="7" a="1"/>
  <c r="K224" i="7" s="1"/>
  <c r="L224" i="7" s="1"/>
  <c r="M224" i="7" s="1"/>
  <c r="K236" i="7" a="1"/>
  <c r="K236" i="7" s="1"/>
  <c r="L236" i="7" s="1"/>
  <c r="M236" i="7" s="1"/>
  <c r="K308" i="7" a="1"/>
  <c r="K308" i="7" s="1"/>
  <c r="L308" i="7" s="1"/>
  <c r="M308" i="7" s="1"/>
  <c r="K380" i="7" a="1"/>
  <c r="K380" i="7" s="1"/>
  <c r="L380" i="7" s="1"/>
  <c r="M380" i="7" s="1"/>
  <c r="K452" i="7" a="1"/>
  <c r="K452" i="7" s="1"/>
  <c r="L452" i="7" s="1"/>
  <c r="M452" i="7" s="1"/>
  <c r="K488" i="7" a="1"/>
  <c r="K488" i="7" s="1"/>
  <c r="L488" i="7" s="1"/>
  <c r="M488" i="7" s="1"/>
  <c r="K500" i="7" a="1"/>
  <c r="K500" i="7" s="1"/>
  <c r="L500" i="7" s="1"/>
  <c r="M500" i="7" s="1"/>
  <c r="K512" i="7" a="1"/>
  <c r="K512" i="7" s="1"/>
  <c r="L512" i="7" s="1"/>
  <c r="M512" i="7" s="1"/>
  <c r="K524" i="7" a="1"/>
  <c r="K524" i="7" s="1"/>
  <c r="L524" i="7" s="1"/>
  <c r="M524" i="7" s="1"/>
  <c r="K536" i="7" a="1"/>
  <c r="K536" i="7" s="1"/>
  <c r="L536" i="7" s="1"/>
  <c r="M536" i="7" s="1"/>
  <c r="K548" i="7" a="1"/>
  <c r="K548" i="7" s="1"/>
  <c r="L548" i="7" s="1"/>
  <c r="M548" i="7" s="1"/>
  <c r="K560" i="7" a="1"/>
  <c r="K560" i="7" s="1"/>
  <c r="L560" i="7" s="1"/>
  <c r="M560" i="7" s="1"/>
  <c r="L572" i="7"/>
  <c r="M572" i="7" s="1"/>
  <c r="K572" i="7" a="1"/>
  <c r="K572" i="7" s="1"/>
  <c r="K584" i="7" a="1"/>
  <c r="K584" i="7" s="1"/>
  <c r="L584" i="7" s="1"/>
  <c r="M584" i="7" s="1"/>
  <c r="L596" i="7"/>
  <c r="K596" i="7" a="1"/>
  <c r="K596" i="7" s="1"/>
  <c r="K608" i="7" a="1"/>
  <c r="K608" i="7" s="1"/>
  <c r="L608" i="7" s="1"/>
  <c r="M608" i="7" s="1"/>
  <c r="K620" i="7" a="1"/>
  <c r="K620" i="7" s="1"/>
  <c r="L620" i="7" s="1"/>
  <c r="M620" i="7" s="1"/>
  <c r="K632" i="7" a="1"/>
  <c r="K632" i="7" s="1"/>
  <c r="L632" i="7" s="1"/>
  <c r="M632" i="7" s="1"/>
  <c r="K644" i="7" a="1"/>
  <c r="K644" i="7" s="1"/>
  <c r="L644" i="7" s="1"/>
  <c r="M644" i="7" s="1"/>
  <c r="K656" i="7" a="1"/>
  <c r="K656" i="7" s="1"/>
  <c r="L656" i="7" s="1"/>
  <c r="M656" i="7" s="1"/>
  <c r="K668" i="7" a="1"/>
  <c r="K668" i="7" s="1"/>
  <c r="L668" i="7" s="1"/>
  <c r="M668" i="7" s="1"/>
  <c r="K680" i="7" a="1"/>
  <c r="K680" i="7" s="1"/>
  <c r="L680" i="7" s="1"/>
  <c r="M680" i="7" s="1"/>
  <c r="K692" i="7" a="1"/>
  <c r="K692" i="7" s="1"/>
  <c r="L692" i="7" s="1"/>
  <c r="M692" i="7" s="1"/>
  <c r="K704" i="7" a="1"/>
  <c r="K704" i="7" s="1"/>
  <c r="L704" i="7" s="1"/>
  <c r="M704" i="7" s="1"/>
  <c r="K716" i="7" a="1"/>
  <c r="K716" i="7" s="1"/>
  <c r="L716" i="7" s="1"/>
  <c r="M716" i="7" s="1"/>
  <c r="K728" i="7" a="1"/>
  <c r="K728" i="7" s="1"/>
  <c r="L728" i="7" s="1"/>
  <c r="M728" i="7" s="1"/>
  <c r="L740" i="7"/>
  <c r="M740" i="7" s="1"/>
  <c r="K740" i="7" a="1"/>
  <c r="K740" i="7" s="1"/>
  <c r="K752" i="7" a="1"/>
  <c r="K752" i="7" s="1"/>
  <c r="L752" i="7"/>
  <c r="K764" i="7" a="1"/>
  <c r="K764" i="7" s="1"/>
  <c r="L764" i="7" s="1"/>
  <c r="M764" i="7" s="1"/>
  <c r="K261" i="7" a="1"/>
  <c r="K261" i="7" s="1"/>
  <c r="L261" i="7" s="1"/>
  <c r="M261" i="7" s="1"/>
  <c r="K273" i="7" a="1"/>
  <c r="K273" i="7" s="1"/>
  <c r="L273" i="7" s="1"/>
  <c r="M273" i="7" s="1"/>
  <c r="K285" i="7" a="1"/>
  <c r="K285" i="7" s="1"/>
  <c r="L285" i="7" s="1"/>
  <c r="M285" i="7" s="1"/>
  <c r="L297" i="7"/>
  <c r="K297" i="7" a="1"/>
  <c r="K297" i="7" s="1"/>
  <c r="L309" i="7"/>
  <c r="M309" i="7" s="1"/>
  <c r="K309" i="7" a="1"/>
  <c r="K309" i="7" s="1"/>
  <c r="K321" i="7" a="1"/>
  <c r="K321" i="7" s="1"/>
  <c r="L321" i="7" s="1"/>
  <c r="M321" i="7" s="1"/>
  <c r="K333" i="7" a="1"/>
  <c r="K333" i="7" s="1"/>
  <c r="L333" i="7" s="1"/>
  <c r="M333" i="7" s="1"/>
  <c r="K345" i="7" a="1"/>
  <c r="K345" i="7" s="1"/>
  <c r="L345" i="7" s="1"/>
  <c r="M345" i="7" s="1"/>
  <c r="K357" i="7" a="1"/>
  <c r="K357" i="7" s="1"/>
  <c r="L357" i="7" s="1"/>
  <c r="M357" i="7" s="1"/>
  <c r="K369" i="7" a="1"/>
  <c r="K369" i="7" s="1"/>
  <c r="L369" i="7" s="1"/>
  <c r="M369" i="7" s="1"/>
  <c r="K381" i="7" a="1"/>
  <c r="K381" i="7" s="1"/>
  <c r="L381" i="7" s="1"/>
  <c r="M381" i="7" s="1"/>
  <c r="K393" i="7" a="1"/>
  <c r="K393" i="7" s="1"/>
  <c r="L393" i="7" s="1"/>
  <c r="M393" i="7" s="1"/>
  <c r="K405" i="7" a="1"/>
  <c r="K405" i="7" s="1"/>
  <c r="L405" i="7" s="1"/>
  <c r="M405" i="7" s="1"/>
  <c r="K417" i="7" a="1"/>
  <c r="K417" i="7" s="1"/>
  <c r="L417" i="7" s="1"/>
  <c r="M417" i="7" s="1"/>
  <c r="L429" i="7"/>
  <c r="K429" i="7" a="1"/>
  <c r="K429" i="7" s="1"/>
  <c r="K441" i="7" a="1"/>
  <c r="K441" i="7" s="1"/>
  <c r="L441" i="7" s="1"/>
  <c r="M441" i="7" s="1"/>
  <c r="L453" i="7"/>
  <c r="K453" i="7" a="1"/>
  <c r="K453" i="7" s="1"/>
  <c r="K465" i="7" a="1"/>
  <c r="K465" i="7" s="1"/>
  <c r="L465" i="7" s="1"/>
  <c r="M465" i="7" s="1"/>
  <c r="K477" i="7" a="1"/>
  <c r="K477" i="7" s="1"/>
  <c r="L477" i="7" s="1"/>
  <c r="M477" i="7" s="1"/>
  <c r="K489" i="7" a="1"/>
  <c r="K489" i="7" s="1"/>
  <c r="L489" i="7" s="1"/>
  <c r="M489" i="7" s="1"/>
  <c r="K501" i="7" a="1"/>
  <c r="K501" i="7" s="1"/>
  <c r="L501" i="7" s="1"/>
  <c r="M501" i="7" s="1"/>
  <c r="K513" i="7" a="1"/>
  <c r="K513" i="7" s="1"/>
  <c r="L513" i="7" s="1"/>
  <c r="M513" i="7" s="1"/>
  <c r="K525" i="7" a="1"/>
  <c r="K525" i="7" s="1"/>
  <c r="L525" i="7" s="1"/>
  <c r="M525" i="7" s="1"/>
  <c r="K537" i="7" a="1"/>
  <c r="K537" i="7" s="1"/>
  <c r="L537" i="7" s="1"/>
  <c r="M537" i="7" s="1"/>
  <c r="K549" i="7" a="1"/>
  <c r="K549" i="7" s="1"/>
  <c r="L549" i="7" s="1"/>
  <c r="M549" i="7" s="1"/>
  <c r="K561" i="7" a="1"/>
  <c r="K561" i="7" s="1"/>
  <c r="L561" i="7" s="1"/>
  <c r="M561" i="7" s="1"/>
  <c r="K573" i="7" a="1"/>
  <c r="K573" i="7" s="1"/>
  <c r="L573" i="7" s="1"/>
  <c r="M573" i="7" s="1"/>
  <c r="K585" i="7" a="1"/>
  <c r="K585" i="7" s="1"/>
  <c r="L585" i="7" s="1"/>
  <c r="M585" i="7" s="1"/>
  <c r="K597" i="7" a="1"/>
  <c r="K597" i="7" s="1"/>
  <c r="L597" i="7" s="1"/>
  <c r="M597" i="7" s="1"/>
  <c r="K609" i="7" a="1"/>
  <c r="K609" i="7" s="1"/>
  <c r="L609" i="7" s="1"/>
  <c r="M609" i="7" s="1"/>
  <c r="K621" i="7" a="1"/>
  <c r="K621" i="7" s="1"/>
  <c r="L621" i="7" s="1"/>
  <c r="M621" i="7" s="1"/>
  <c r="K633" i="7" a="1"/>
  <c r="K633" i="7" s="1"/>
  <c r="L633" i="7" s="1"/>
  <c r="M633" i="7" s="1"/>
  <c r="K645" i="7" a="1"/>
  <c r="K645" i="7" s="1"/>
  <c r="L645" i="7" s="1"/>
  <c r="M645" i="7" s="1"/>
  <c r="K657" i="7" a="1"/>
  <c r="K657" i="7" s="1"/>
  <c r="L657" i="7" s="1"/>
  <c r="M657" i="7" s="1"/>
  <c r="K669" i="7" a="1"/>
  <c r="K669" i="7" s="1"/>
  <c r="L669" i="7" s="1"/>
  <c r="M669" i="7" s="1"/>
  <c r="K681" i="7" a="1"/>
  <c r="K681" i="7" s="1"/>
  <c r="L681" i="7" s="1"/>
  <c r="M681" i="7" s="1"/>
  <c r="L693" i="7"/>
  <c r="M693" i="7" s="1"/>
  <c r="K693" i="7" a="1"/>
  <c r="K693" i="7" s="1"/>
  <c r="K705" i="7" a="1"/>
  <c r="K705" i="7" s="1"/>
  <c r="L705" i="7" s="1"/>
  <c r="M705" i="7" s="1"/>
  <c r="K717" i="7" a="1"/>
  <c r="K717" i="7" s="1"/>
  <c r="L717" i="7" s="1"/>
  <c r="M717" i="7" s="1"/>
  <c r="K729" i="7" a="1"/>
  <c r="K729" i="7" s="1"/>
  <c r="L729" i="7" s="1"/>
  <c r="M729" i="7" s="1"/>
  <c r="K741" i="7" a="1"/>
  <c r="K741" i="7" s="1"/>
  <c r="L741" i="7" s="1"/>
  <c r="M741" i="7" s="1"/>
  <c r="K765" i="7" a="1"/>
  <c r="K765" i="7" s="1"/>
  <c r="L765" i="7" s="1"/>
  <c r="M765" i="7" s="1"/>
  <c r="K10" i="7" a="1"/>
  <c r="K10" i="7" s="1"/>
  <c r="L10" i="7" s="1"/>
  <c r="M10" i="7" s="1"/>
  <c r="K22" i="7" a="1"/>
  <c r="K22" i="7" s="1"/>
  <c r="L22" i="7" s="1"/>
  <c r="M22" i="7" s="1"/>
  <c r="K34" i="7" a="1"/>
  <c r="K34" i="7" s="1"/>
  <c r="L34" i="7" s="1"/>
  <c r="M34" i="7" s="1"/>
  <c r="K46" i="7" a="1"/>
  <c r="K46" i="7" s="1"/>
  <c r="L46" i="7" s="1"/>
  <c r="M46" i="7" s="1"/>
  <c r="K58" i="7" a="1"/>
  <c r="K58" i="7" s="1"/>
  <c r="L58" i="7" s="1"/>
  <c r="M58" i="7" s="1"/>
  <c r="K70" i="7" a="1"/>
  <c r="K70" i="7" s="1"/>
  <c r="L70" i="7" s="1"/>
  <c r="M70" i="7" s="1"/>
  <c r="K82" i="7" a="1"/>
  <c r="K82" i="7" s="1"/>
  <c r="L82" i="7" s="1"/>
  <c r="M82" i="7" s="1"/>
  <c r="K94" i="7" a="1"/>
  <c r="K94" i="7" s="1"/>
  <c r="L94" i="7" s="1"/>
  <c r="M94" i="7" s="1"/>
  <c r="K106" i="7" a="1"/>
  <c r="K106" i="7" s="1"/>
  <c r="L106" i="7" s="1"/>
  <c r="M106" i="7" s="1"/>
  <c r="K118" i="7" a="1"/>
  <c r="K118" i="7" s="1"/>
  <c r="L118" i="7" s="1"/>
  <c r="M118" i="7" s="1"/>
  <c r="L130" i="7"/>
  <c r="K130" i="7" a="1"/>
  <c r="K130" i="7" s="1"/>
  <c r="K142" i="7" a="1"/>
  <c r="K142" i="7" s="1"/>
  <c r="L142" i="7" s="1"/>
  <c r="M142" i="7" s="1"/>
  <c r="K154" i="7" a="1"/>
  <c r="K154" i="7" s="1"/>
  <c r="L154" i="7" s="1"/>
  <c r="M154" i="7" s="1"/>
  <c r="K166" i="7" a="1"/>
  <c r="K166" i="7" s="1"/>
  <c r="L166" i="7" s="1"/>
  <c r="M166" i="7" s="1"/>
  <c r="L178" i="7"/>
  <c r="M178" i="7" s="1"/>
  <c r="K178" i="7" a="1"/>
  <c r="K178" i="7" s="1"/>
  <c r="L190" i="7"/>
  <c r="K190" i="7" a="1"/>
  <c r="K190" i="7" s="1"/>
  <c r="K202" i="7" a="1"/>
  <c r="K202" i="7" s="1"/>
  <c r="L202" i="7" s="1"/>
  <c r="M202" i="7" s="1"/>
  <c r="K214" i="7" a="1"/>
  <c r="K214" i="7" s="1"/>
  <c r="L214" i="7"/>
  <c r="K226" i="7" a="1"/>
  <c r="K226" i="7" s="1"/>
  <c r="L226" i="7" s="1"/>
  <c r="M226" i="7" s="1"/>
  <c r="L238" i="7"/>
  <c r="M238" i="7" s="1"/>
  <c r="K238" i="7" a="1"/>
  <c r="K238" i="7" s="1"/>
  <c r="K250" i="7" a="1"/>
  <c r="K250" i="7" s="1"/>
  <c r="L250" i="7" s="1"/>
  <c r="M250" i="7" s="1"/>
  <c r="K262" i="7" a="1"/>
  <c r="K262" i="7" s="1"/>
  <c r="L262" i="7" s="1"/>
  <c r="M262" i="7" s="1"/>
  <c r="L274" i="7"/>
  <c r="M274" i="7" s="1"/>
  <c r="K274" i="7" a="1"/>
  <c r="K274" i="7" s="1"/>
  <c r="L286" i="7"/>
  <c r="K286" i="7" a="1"/>
  <c r="K286" i="7" s="1"/>
  <c r="K298" i="7" a="1"/>
  <c r="K298" i="7" s="1"/>
  <c r="L298" i="7" s="1"/>
  <c r="M298" i="7" s="1"/>
  <c r="L310" i="7"/>
  <c r="K310" i="7" a="1"/>
  <c r="K310" i="7" s="1"/>
  <c r="K322" i="7" a="1"/>
  <c r="K322" i="7" s="1"/>
  <c r="L322" i="7" s="1"/>
  <c r="M322" i="7" s="1"/>
  <c r="K334" i="7" a="1"/>
  <c r="K334" i="7" s="1"/>
  <c r="L334" i="7" s="1"/>
  <c r="M334" i="7" s="1"/>
  <c r="K346" i="7" a="1"/>
  <c r="K346" i="7" s="1"/>
  <c r="L346" i="7" s="1"/>
  <c r="M346" i="7" s="1"/>
  <c r="K358" i="7" a="1"/>
  <c r="K358" i="7" s="1"/>
  <c r="L358" i="7" s="1"/>
  <c r="M358" i="7" s="1"/>
  <c r="L370" i="7"/>
  <c r="M370" i="7" s="1"/>
  <c r="K370" i="7" a="1"/>
  <c r="K370" i="7" s="1"/>
  <c r="K382" i="7" a="1"/>
  <c r="K382" i="7" s="1"/>
  <c r="L382" i="7" s="1"/>
  <c r="M382" i="7" s="1"/>
  <c r="K394" i="7" a="1"/>
  <c r="K394" i="7" s="1"/>
  <c r="L394" i="7" s="1"/>
  <c r="M394" i="7" s="1"/>
  <c r="K406" i="7" a="1"/>
  <c r="K406" i="7" s="1"/>
  <c r="L406" i="7" s="1"/>
  <c r="M406" i="7" s="1"/>
  <c r="K418" i="7" a="1"/>
  <c r="K418" i="7" s="1"/>
  <c r="L418" i="7" s="1"/>
  <c r="M418" i="7" s="1"/>
  <c r="L430" i="7"/>
  <c r="K430" i="7" a="1"/>
  <c r="K430" i="7" s="1"/>
  <c r="M430" i="7" s="1"/>
  <c r="K442" i="7" a="1"/>
  <c r="K442" i="7" s="1"/>
  <c r="L442" i="7" s="1"/>
  <c r="M442" i="7" s="1"/>
  <c r="K454" i="7" a="1"/>
  <c r="K454" i="7" s="1"/>
  <c r="L454" i="7" s="1"/>
  <c r="M454" i="7" s="1"/>
  <c r="K466" i="7" a="1"/>
  <c r="K466" i="7" s="1"/>
  <c r="L466" i="7" s="1"/>
  <c r="M466" i="7" s="1"/>
  <c r="K478" i="7" a="1"/>
  <c r="K478" i="7" s="1"/>
  <c r="L478" i="7" s="1"/>
  <c r="M478" i="7" s="1"/>
  <c r="L490" i="7"/>
  <c r="M490" i="7" s="1"/>
  <c r="K490" i="7" a="1"/>
  <c r="K490" i="7" s="1"/>
  <c r="K502" i="7" a="1"/>
  <c r="K502" i="7" s="1"/>
  <c r="L502" i="7" s="1"/>
  <c r="M502" i="7" s="1"/>
  <c r="K514" i="7" a="1"/>
  <c r="K514" i="7" s="1"/>
  <c r="L514" i="7" s="1"/>
  <c r="M514" i="7" s="1"/>
  <c r="M526" i="7"/>
  <c r="K526" i="7" a="1"/>
  <c r="K526" i="7" s="1"/>
  <c r="L526" i="7" s="1"/>
  <c r="L538" i="7"/>
  <c r="K538" i="7" a="1"/>
  <c r="K538" i="7" s="1"/>
  <c r="K550" i="7" a="1"/>
  <c r="K550" i="7" s="1"/>
  <c r="L550" i="7" s="1"/>
  <c r="M550" i="7" s="1"/>
  <c r="K562" i="7" a="1"/>
  <c r="K562" i="7" s="1"/>
  <c r="L562" i="7" s="1"/>
  <c r="M562" i="7" s="1"/>
  <c r="K574" i="7" a="1"/>
  <c r="K574" i="7" s="1"/>
  <c r="L574" i="7" s="1"/>
  <c r="M574" i="7" s="1"/>
  <c r="K586" i="7" a="1"/>
  <c r="K586" i="7" s="1"/>
  <c r="L586" i="7" s="1"/>
  <c r="M586" i="7" s="1"/>
  <c r="L598" i="7"/>
  <c r="M598" i="7" s="1"/>
  <c r="K598" i="7" a="1"/>
  <c r="K598" i="7" s="1"/>
  <c r="K610" i="7" a="1"/>
  <c r="K610" i="7" s="1"/>
  <c r="L610" i="7" s="1"/>
  <c r="M610" i="7" s="1"/>
  <c r="K622" i="7" a="1"/>
  <c r="K622" i="7" s="1"/>
  <c r="L622" i="7" s="1"/>
  <c r="M622" i="7" s="1"/>
  <c r="K634" i="7" a="1"/>
  <c r="K634" i="7" s="1"/>
  <c r="L634" i="7" s="1"/>
  <c r="M634" i="7" s="1"/>
  <c r="K646" i="7" a="1"/>
  <c r="K646" i="7" s="1"/>
  <c r="L646" i="7" s="1"/>
  <c r="M646" i="7" s="1"/>
  <c r="K658" i="7" a="1"/>
  <c r="K658" i="7" s="1"/>
  <c r="L658" i="7" s="1"/>
  <c r="M658" i="7" s="1"/>
  <c r="K670" i="7" a="1"/>
  <c r="K670" i="7" s="1"/>
  <c r="L670" i="7" s="1"/>
  <c r="M670" i="7" s="1"/>
  <c r="K682" i="7" a="1"/>
  <c r="K682" i="7" s="1"/>
  <c r="L682" i="7" s="1"/>
  <c r="M682" i="7" s="1"/>
  <c r="K694" i="7" a="1"/>
  <c r="K694" i="7" s="1"/>
  <c r="L694" i="7" s="1"/>
  <c r="M694" i="7" s="1"/>
  <c r="K706" i="7" a="1"/>
  <c r="K706" i="7" s="1"/>
  <c r="L706" i="7" s="1"/>
  <c r="M706" i="7" s="1"/>
  <c r="K718" i="7" a="1"/>
  <c r="K718" i="7" s="1"/>
  <c r="L718" i="7" s="1"/>
  <c r="M718" i="7" s="1"/>
  <c r="K742" i="7" a="1"/>
  <c r="K742" i="7" s="1"/>
  <c r="L742" i="7" s="1"/>
  <c r="M742" i="7" s="1"/>
  <c r="K766" i="7" a="1"/>
  <c r="K766" i="7" s="1"/>
  <c r="L766" i="7" s="1"/>
  <c r="M766" i="7" s="1"/>
  <c r="L11" i="7"/>
  <c r="K11" i="7" a="1"/>
  <c r="K11" i="7" s="1"/>
  <c r="K23" i="7" a="1"/>
  <c r="K23" i="7" s="1"/>
  <c r="M23" i="7"/>
  <c r="K47" i="7" a="1"/>
  <c r="K47" i="7" s="1"/>
  <c r="L47" i="7" s="1"/>
  <c r="M47" i="7" s="1"/>
  <c r="K59" i="7" a="1"/>
  <c r="K59" i="7" s="1"/>
  <c r="L59" i="7" s="1"/>
  <c r="M59" i="7" s="1"/>
  <c r="K71" i="7" a="1"/>
  <c r="K71" i="7" s="1"/>
  <c r="L71" i="7" s="1"/>
  <c r="M71" i="7" s="1"/>
  <c r="K95" i="7" a="1"/>
  <c r="K95" i="7" s="1"/>
  <c r="L95" i="7" s="1"/>
  <c r="M95" i="7" s="1"/>
  <c r="K107" i="7" a="1"/>
  <c r="K107" i="7" s="1"/>
  <c r="L107" i="7" s="1"/>
  <c r="M107" i="7" s="1"/>
  <c r="K119" i="7" a="1"/>
  <c r="K119" i="7" s="1"/>
  <c r="L119" i="7" s="1"/>
  <c r="M119" i="7" s="1"/>
  <c r="K143" i="7" a="1"/>
  <c r="K143" i="7" s="1"/>
  <c r="L143" i="7" s="1"/>
  <c r="M143" i="7" s="1"/>
  <c r="K155" i="7" a="1"/>
  <c r="K155" i="7" s="1"/>
  <c r="L155" i="7" s="1"/>
  <c r="M155" i="7" s="1"/>
  <c r="K167" i="7" a="1"/>
  <c r="K167" i="7" s="1"/>
  <c r="L167" i="7" s="1"/>
  <c r="M167" i="7" s="1"/>
  <c r="K191" i="7" a="1"/>
  <c r="K191" i="7" s="1"/>
  <c r="L191" i="7" s="1"/>
  <c r="M191" i="7" s="1"/>
  <c r="K203" i="7" a="1"/>
  <c r="K203" i="7" s="1"/>
  <c r="L203" i="7" s="1"/>
  <c r="M203" i="7" s="1"/>
  <c r="K215" i="7" a="1"/>
  <c r="K215" i="7" s="1"/>
  <c r="L215" i="7" s="1"/>
  <c r="M215" i="7" s="1"/>
  <c r="L227" i="7"/>
  <c r="M227" i="7" s="1"/>
  <c r="K227" i="7" a="1"/>
  <c r="K227" i="7" s="1"/>
  <c r="K239" i="7" a="1"/>
  <c r="K239" i="7" s="1"/>
  <c r="L239" i="7" s="1"/>
  <c r="M239" i="7" s="1"/>
  <c r="K251" i="7" a="1"/>
  <c r="K251" i="7" s="1"/>
  <c r="L251" i="7" s="1"/>
  <c r="M251" i="7" s="1"/>
  <c r="K263" i="7" a="1"/>
  <c r="K263" i="7" s="1"/>
  <c r="L263" i="7" s="1"/>
  <c r="M263" i="7" s="1"/>
  <c r="K275" i="7" a="1"/>
  <c r="K275" i="7" s="1"/>
  <c r="L275" i="7" s="1"/>
  <c r="M275" i="7" s="1"/>
  <c r="K287" i="7" a="1"/>
  <c r="K287" i="7" s="1"/>
  <c r="L287" i="7" s="1"/>
  <c r="M287" i="7" s="1"/>
  <c r="K299" i="7" a="1"/>
  <c r="K299" i="7" s="1"/>
  <c r="L299" i="7" s="1"/>
  <c r="M299" i="7" s="1"/>
  <c r="K311" i="7" a="1"/>
  <c r="K311" i="7" s="1"/>
  <c r="L311" i="7" s="1"/>
  <c r="M311" i="7" s="1"/>
  <c r="K323" i="7" a="1"/>
  <c r="K323" i="7" s="1"/>
  <c r="L323" i="7" s="1"/>
  <c r="M323" i="7" s="1"/>
  <c r="K335" i="7" a="1"/>
  <c r="K335" i="7" s="1"/>
  <c r="L335" i="7" s="1"/>
  <c r="M335" i="7" s="1"/>
  <c r="K347" i="7" a="1"/>
  <c r="K347" i="7" s="1"/>
  <c r="L347" i="7" s="1"/>
  <c r="M347" i="7" s="1"/>
  <c r="K359" i="7" a="1"/>
  <c r="K359" i="7" s="1"/>
  <c r="L359" i="7" s="1"/>
  <c r="M359" i="7" s="1"/>
  <c r="K371" i="7" a="1"/>
  <c r="K371" i="7" s="1"/>
  <c r="L371" i="7" s="1"/>
  <c r="M371" i="7" s="1"/>
  <c r="K383" i="7" a="1"/>
  <c r="K383" i="7" s="1"/>
  <c r="L383" i="7" s="1"/>
  <c r="M383" i="7" s="1"/>
  <c r="K395" i="7" a="1"/>
  <c r="K395" i="7" s="1"/>
  <c r="L395" i="7" s="1"/>
  <c r="M395" i="7" s="1"/>
  <c r="K407" i="7" a="1"/>
  <c r="K407" i="7" s="1"/>
  <c r="L407" i="7" s="1"/>
  <c r="M407" i="7" s="1"/>
  <c r="L419" i="7"/>
  <c r="M419" i="7" s="1"/>
  <c r="K419" i="7" a="1"/>
  <c r="K419" i="7" s="1"/>
  <c r="K431" i="7" a="1"/>
  <c r="K431" i="7" s="1"/>
  <c r="L431" i="7" s="1"/>
  <c r="M431" i="7" s="1"/>
  <c r="K443" i="7" a="1"/>
  <c r="K443" i="7" s="1"/>
  <c r="L443" i="7" s="1"/>
  <c r="M443" i="7" s="1"/>
  <c r="L455" i="7"/>
  <c r="K455" i="7" a="1"/>
  <c r="K455" i="7" s="1"/>
  <c r="L467" i="7"/>
  <c r="M467" i="7" s="1"/>
  <c r="K467" i="7" a="1"/>
  <c r="K467" i="7" s="1"/>
  <c r="L479" i="7"/>
  <c r="M479" i="7" s="1"/>
  <c r="K479" i="7" a="1"/>
  <c r="K479" i="7" s="1"/>
  <c r="K491" i="7" a="1"/>
  <c r="K491" i="7" s="1"/>
  <c r="L491" i="7" s="1"/>
  <c r="M491" i="7" s="1"/>
  <c r="K503" i="7" a="1"/>
  <c r="K503" i="7" s="1"/>
  <c r="L503" i="7" s="1"/>
  <c r="M503" i="7" s="1"/>
  <c r="K515" i="7" a="1"/>
  <c r="K515" i="7" s="1"/>
  <c r="L515" i="7" s="1"/>
  <c r="M515" i="7" s="1"/>
  <c r="K527" i="7" a="1"/>
  <c r="K527" i="7" s="1"/>
  <c r="L527" i="7" s="1"/>
  <c r="M527" i="7" s="1"/>
  <c r="K539" i="7" a="1"/>
  <c r="K539" i="7" s="1"/>
  <c r="L539" i="7" s="1"/>
  <c r="M539" i="7" s="1"/>
  <c r="K551" i="7" a="1"/>
  <c r="K551" i="7" s="1"/>
  <c r="L551" i="7" s="1"/>
  <c r="M551" i="7" s="1"/>
  <c r="K563" i="7" a="1"/>
  <c r="K563" i="7" s="1"/>
  <c r="L563" i="7" s="1"/>
  <c r="M563" i="7" s="1"/>
  <c r="K575" i="7" a="1"/>
  <c r="K575" i="7" s="1"/>
  <c r="L575" i="7" s="1"/>
  <c r="M575" i="7" s="1"/>
  <c r="L587" i="7"/>
  <c r="K587" i="7" a="1"/>
  <c r="K587" i="7" s="1"/>
  <c r="K599" i="7" a="1"/>
  <c r="K599" i="7" s="1"/>
  <c r="L599" i="7" s="1"/>
  <c r="M599" i="7" s="1"/>
  <c r="K611" i="7" a="1"/>
  <c r="K611" i="7" s="1"/>
  <c r="L611" i="7" s="1"/>
  <c r="M611" i="7" s="1"/>
  <c r="K623" i="7" a="1"/>
  <c r="K623" i="7" s="1"/>
  <c r="L623" i="7" s="1"/>
  <c r="M623" i="7" s="1"/>
  <c r="L635" i="7"/>
  <c r="K635" i="7" a="1"/>
  <c r="K635" i="7" s="1"/>
  <c r="K647" i="7" a="1"/>
  <c r="K647" i="7" s="1"/>
  <c r="L647" i="7" s="1"/>
  <c r="M647" i="7" s="1"/>
  <c r="K659" i="7" a="1"/>
  <c r="K659" i="7" s="1"/>
  <c r="L659" i="7" s="1"/>
  <c r="M659" i="7" s="1"/>
  <c r="K671" i="7" a="1"/>
  <c r="K671" i="7" s="1"/>
  <c r="L671" i="7" s="1"/>
  <c r="M671" i="7" s="1"/>
  <c r="K683" i="7" a="1"/>
  <c r="K683" i="7" s="1"/>
  <c r="L683" i="7" s="1"/>
  <c r="M683" i="7" s="1"/>
  <c r="K695" i="7" a="1"/>
  <c r="K695" i="7" s="1"/>
  <c r="L695" i="7" s="1"/>
  <c r="M695" i="7" s="1"/>
  <c r="K707" i="7" a="1"/>
  <c r="K707" i="7" s="1"/>
  <c r="L707" i="7" s="1"/>
  <c r="M707" i="7" s="1"/>
  <c r="K719" i="7" a="1"/>
  <c r="K719" i="7" s="1"/>
  <c r="L719" i="7" s="1"/>
  <c r="M719" i="7" s="1"/>
  <c r="K731" i="7" a="1"/>
  <c r="K731" i="7" s="1"/>
  <c r="L731" i="7" s="1"/>
  <c r="M731" i="7" s="1"/>
  <c r="K743" i="7" a="1"/>
  <c r="K743" i="7" s="1"/>
  <c r="L743" i="7" s="1"/>
  <c r="M743" i="7" s="1"/>
  <c r="K755" i="7" a="1"/>
  <c r="K755" i="7" s="1"/>
  <c r="L755" i="7" s="1"/>
  <c r="M755" i="7" s="1"/>
  <c r="L767" i="7"/>
  <c r="K767" i="7" a="1"/>
  <c r="K767" i="7" s="1"/>
  <c r="K66" i="7" a="1"/>
  <c r="K66" i="7" s="1"/>
  <c r="L66" i="7" s="1"/>
  <c r="M66" i="7" s="1"/>
  <c r="K114" i="7" a="1"/>
  <c r="K114" i="7" s="1"/>
  <c r="L114" i="7" s="1"/>
  <c r="M114" i="7" s="1"/>
  <c r="K162" i="7" a="1"/>
  <c r="K162" i="7" s="1"/>
  <c r="L162" i="7" s="1"/>
  <c r="M162" i="7" s="1"/>
  <c r="K8" i="7" a="1"/>
  <c r="K8" i="7" s="1"/>
  <c r="L8" i="7" s="1"/>
  <c r="M8" i="7" s="1"/>
  <c r="K20" i="7" a="1"/>
  <c r="K20" i="7" s="1"/>
  <c r="L20" i="7" s="1"/>
  <c r="M20" i="7" s="1"/>
  <c r="K32" i="7" a="1"/>
  <c r="K32" i="7" s="1"/>
  <c r="L32" i="7" s="1"/>
  <c r="M32" i="7" s="1"/>
  <c r="K44" i="7" a="1"/>
  <c r="K44" i="7" s="1"/>
  <c r="L44" i="7" s="1"/>
  <c r="M44" i="7" s="1"/>
  <c r="K56" i="7" a="1"/>
  <c r="K56" i="7" s="1"/>
  <c r="L56" i="7" s="1"/>
  <c r="M56" i="7" s="1"/>
  <c r="K68" i="7" a="1"/>
  <c r="K68" i="7" s="1"/>
  <c r="L68" i="7" s="1"/>
  <c r="M68" i="7" s="1"/>
  <c r="K80" i="7" a="1"/>
  <c r="K80" i="7" s="1"/>
  <c r="L80" i="7" s="1"/>
  <c r="M80" i="7" s="1"/>
  <c r="K92" i="7" a="1"/>
  <c r="K92" i="7" s="1"/>
  <c r="L92" i="7" s="1"/>
  <c r="M92" i="7" s="1"/>
  <c r="K104" i="7" a="1"/>
  <c r="K104" i="7" s="1"/>
  <c r="L104" i="7" s="1"/>
  <c r="M104" i="7" s="1"/>
  <c r="K116" i="7" a="1"/>
  <c r="K116" i="7" s="1"/>
  <c r="L116" i="7" s="1"/>
  <c r="M116" i="7" s="1"/>
  <c r="K128" i="7" a="1"/>
  <c r="K128" i="7" s="1"/>
  <c r="L128" i="7" s="1"/>
  <c r="M128" i="7" s="1"/>
  <c r="L140" i="7"/>
  <c r="K140" i="7" a="1"/>
  <c r="K140" i="7" s="1"/>
  <c r="M140" i="7" s="1"/>
  <c r="K152" i="7" a="1"/>
  <c r="K152" i="7" s="1"/>
  <c r="L152" i="7" s="1"/>
  <c r="M152" i="7" s="1"/>
  <c r="K164" i="7" a="1"/>
  <c r="K164" i="7" s="1"/>
  <c r="L164" i="7" s="1"/>
  <c r="M164" i="7" s="1"/>
  <c r="K176" i="7" a="1"/>
  <c r="K176" i="7" s="1"/>
  <c r="L176" i="7" s="1"/>
  <c r="M176" i="7" s="1"/>
  <c r="K188" i="7" a="1"/>
  <c r="K188" i="7" s="1"/>
  <c r="L188" i="7" s="1"/>
  <c r="M188" i="7" s="1"/>
  <c r="L248" i="7"/>
  <c r="K248" i="7" a="1"/>
  <c r="K248" i="7" s="1"/>
  <c r="K260" i="7" a="1"/>
  <c r="K260" i="7" s="1"/>
  <c r="L260" i="7" s="1"/>
  <c r="M260" i="7" s="1"/>
  <c r="K272" i="7" a="1"/>
  <c r="K272" i="7" s="1"/>
  <c r="L272" i="7" s="1"/>
  <c r="M272" i="7" s="1"/>
  <c r="K284" i="7" a="1"/>
  <c r="K284" i="7" s="1"/>
  <c r="L284" i="7" s="1"/>
  <c r="M284" i="7" s="1"/>
  <c r="K296" i="7" a="1"/>
  <c r="K296" i="7" s="1"/>
  <c r="L296" i="7" s="1"/>
  <c r="M296" i="7" s="1"/>
  <c r="K320" i="7" a="1"/>
  <c r="K320" i="7" s="1"/>
  <c r="L320" i="7" s="1"/>
  <c r="M320" i="7" s="1"/>
  <c r="K332" i="7" a="1"/>
  <c r="K332" i="7" s="1"/>
  <c r="L332" i="7" s="1"/>
  <c r="M332" i="7" s="1"/>
  <c r="K344" i="7" a="1"/>
  <c r="K344" i="7" s="1"/>
  <c r="L344" i="7" s="1"/>
  <c r="M344" i="7" s="1"/>
  <c r="K356" i="7" a="1"/>
  <c r="K356" i="7" s="1"/>
  <c r="L356" i="7" s="1"/>
  <c r="M356" i="7" s="1"/>
  <c r="K368" i="7" a="1"/>
  <c r="K368" i="7" s="1"/>
  <c r="L368" i="7" s="1"/>
  <c r="M368" i="7" s="1"/>
  <c r="K392" i="7" a="1"/>
  <c r="K392" i="7" s="1"/>
  <c r="L392" i="7" s="1"/>
  <c r="M392" i="7" s="1"/>
  <c r="K404" i="7" a="1"/>
  <c r="K404" i="7" s="1"/>
  <c r="L404" i="7" s="1"/>
  <c r="M404" i="7" s="1"/>
  <c r="K416" i="7" a="1"/>
  <c r="K416" i="7" s="1"/>
  <c r="L416" i="7" s="1"/>
  <c r="M416" i="7" s="1"/>
  <c r="L428" i="7"/>
  <c r="K428" i="7" a="1"/>
  <c r="K428" i="7" s="1"/>
  <c r="K440" i="7" a="1"/>
  <c r="K440" i="7" s="1"/>
  <c r="L440" i="7" s="1"/>
  <c r="M440" i="7" s="1"/>
  <c r="K464" i="7" a="1"/>
  <c r="K464" i="7" s="1"/>
  <c r="L464" i="7" s="1"/>
  <c r="M464" i="7" s="1"/>
  <c r="L476" i="7"/>
  <c r="K476" i="7" a="1"/>
  <c r="K476" i="7" s="1"/>
  <c r="K9" i="7" a="1"/>
  <c r="K9" i="7" s="1"/>
  <c r="L9" i="7" s="1"/>
  <c r="M9" i="7" s="1"/>
  <c r="K21" i="7" a="1"/>
  <c r="K21" i="7" s="1"/>
  <c r="L21" i="7" s="1"/>
  <c r="M21" i="7" s="1"/>
  <c r="K33" i="7" a="1"/>
  <c r="K33" i="7" s="1"/>
  <c r="L33" i="7" s="1"/>
  <c r="M33" i="7" s="1"/>
  <c r="K45" i="7" a="1"/>
  <c r="K45" i="7" s="1"/>
  <c r="L45" i="7" s="1"/>
  <c r="M45" i="7" s="1"/>
  <c r="K57" i="7" a="1"/>
  <c r="K57" i="7" s="1"/>
  <c r="L57" i="7" s="1"/>
  <c r="M57" i="7" s="1"/>
  <c r="L69" i="7"/>
  <c r="K69" i="7" a="1"/>
  <c r="K69" i="7" s="1"/>
  <c r="M69" i="7" s="1"/>
  <c r="K81" i="7" a="1"/>
  <c r="K81" i="7" s="1"/>
  <c r="L81" i="7" s="1"/>
  <c r="M81" i="7" s="1"/>
  <c r="L93" i="7"/>
  <c r="K93" i="7" a="1"/>
  <c r="K93" i="7" s="1"/>
  <c r="K105" i="7" a="1"/>
  <c r="K105" i="7" s="1"/>
  <c r="L105" i="7" s="1"/>
  <c r="M105" i="7" s="1"/>
  <c r="K117" i="7" a="1"/>
  <c r="K117" i="7" s="1"/>
  <c r="L117" i="7" s="1"/>
  <c r="M117" i="7" s="1"/>
  <c r="K129" i="7" a="1"/>
  <c r="K129" i="7" s="1"/>
  <c r="L129" i="7" s="1"/>
  <c r="M129" i="7" s="1"/>
  <c r="K141" i="7" a="1"/>
  <c r="K141" i="7" s="1"/>
  <c r="L141" i="7" s="1"/>
  <c r="M141" i="7" s="1"/>
  <c r="K153" i="7" a="1"/>
  <c r="K153" i="7" s="1"/>
  <c r="L153" i="7" s="1"/>
  <c r="M153" i="7" s="1"/>
  <c r="K165" i="7" a="1"/>
  <c r="K165" i="7" s="1"/>
  <c r="L165" i="7" s="1"/>
  <c r="M165" i="7" s="1"/>
  <c r="L177" i="7"/>
  <c r="M177" i="7" s="1"/>
  <c r="K177" i="7" a="1"/>
  <c r="K177" i="7" s="1"/>
  <c r="K189" i="7" a="1"/>
  <c r="K189" i="7" s="1"/>
  <c r="L189" i="7" s="1"/>
  <c r="M189" i="7" s="1"/>
  <c r="K201" i="7" a="1"/>
  <c r="K201" i="7" s="1"/>
  <c r="L201" i="7" s="1"/>
  <c r="M201" i="7" s="1"/>
  <c r="L213" i="7"/>
  <c r="K213" i="7" a="1"/>
  <c r="K213" i="7" s="1"/>
  <c r="M213" i="7" s="1"/>
  <c r="K225" i="7" a="1"/>
  <c r="K225" i="7" s="1"/>
  <c r="L225" i="7" s="1"/>
  <c r="M225" i="7" s="1"/>
  <c r="K237" i="7" a="1"/>
  <c r="K237" i="7" s="1"/>
  <c r="L237" i="7" s="1"/>
  <c r="M237" i="7" s="1"/>
  <c r="K249" i="7" a="1"/>
  <c r="K249" i="7" s="1"/>
  <c r="L249" i="7" s="1"/>
  <c r="M249" i="7" s="1"/>
  <c r="K35" i="7" a="1"/>
  <c r="K35" i="7" s="1"/>
  <c r="L35" i="7" s="1"/>
  <c r="M35" i="7" s="1"/>
  <c r="K83" i="7" a="1"/>
  <c r="K83" i="7" s="1"/>
  <c r="L83" i="7" s="1"/>
  <c r="M83" i="7" s="1"/>
  <c r="K131" i="7" a="1"/>
  <c r="K131" i="7" s="1"/>
  <c r="L131" i="7"/>
  <c r="M131" i="7" s="1"/>
  <c r="L179" i="7"/>
  <c r="K179" i="7" a="1"/>
  <c r="K179" i="7" s="1"/>
  <c r="K36" i="7" a="1"/>
  <c r="K36" i="7" s="1"/>
  <c r="L36" i="7" s="1"/>
  <c r="M36" i="7" s="1"/>
  <c r="K84" i="7" a="1"/>
  <c r="K84" i="7" s="1"/>
  <c r="L84" i="7" s="1"/>
  <c r="M84" i="7" s="1"/>
  <c r="K132" i="7" a="1"/>
  <c r="K132" i="7" s="1"/>
  <c r="L132" i="7" s="1"/>
  <c r="M132" i="7" s="1"/>
  <c r="K180" i="7" a="1"/>
  <c r="K180" i="7" s="1"/>
  <c r="L180" i="7" s="1"/>
  <c r="M180" i="7" s="1"/>
  <c r="K349" i="7" a="1"/>
  <c r="K349" i="7" s="1"/>
  <c r="L349" i="7" s="1"/>
  <c r="M349" i="7" s="1"/>
  <c r="K50" i="7" a="1"/>
  <c r="K50" i="7" s="1"/>
  <c r="L50" i="7" s="1"/>
  <c r="M50" i="7" s="1"/>
  <c r="K98" i="7" a="1"/>
  <c r="K98" i="7" s="1"/>
  <c r="L98" i="7" s="1"/>
  <c r="M98" i="7" s="1"/>
  <c r="K146" i="7" a="1"/>
  <c r="K146" i="7" s="1"/>
  <c r="L146" i="7" s="1"/>
  <c r="M146" i="7" s="1"/>
  <c r="K3" i="7" a="1"/>
  <c r="K3" i="7" s="1"/>
  <c r="L3" i="7" s="1"/>
  <c r="M3" i="7" s="1"/>
  <c r="K99" i="7" a="1"/>
  <c r="K99" i="7" s="1"/>
  <c r="L99" i="7" s="1"/>
  <c r="M99" i="7" s="1"/>
  <c r="K207" i="7" a="1"/>
  <c r="K207" i="7" s="1"/>
  <c r="L207" i="7" s="1"/>
  <c r="M207" i="7" s="1"/>
  <c r="K255" i="7" a="1"/>
  <c r="K255" i="7" s="1"/>
  <c r="L255" i="7" s="1"/>
  <c r="M255" i="7" s="1"/>
  <c r="L303" i="7"/>
  <c r="K303" i="7" a="1"/>
  <c r="K303" i="7" s="1"/>
  <c r="K423" i="7" a="1"/>
  <c r="K423" i="7" s="1"/>
  <c r="L423" i="7" s="1"/>
  <c r="M423" i="7" s="1"/>
  <c r="K495" i="7" a="1"/>
  <c r="K495" i="7" s="1"/>
  <c r="L495" i="7" s="1"/>
  <c r="M495" i="7" s="1"/>
  <c r="K567" i="7" a="1"/>
  <c r="K567" i="7" s="1"/>
  <c r="L567" i="7" s="1"/>
  <c r="M567" i="7" s="1"/>
  <c r="K639" i="7" a="1"/>
  <c r="K639" i="7" s="1"/>
  <c r="L639" i="7" s="1"/>
  <c r="M639" i="7" s="1"/>
  <c r="K711" i="7" a="1"/>
  <c r="K711" i="7" s="1"/>
  <c r="L711" i="7" s="1"/>
  <c r="M711" i="7" s="1"/>
  <c r="K17" i="7" a="1"/>
  <c r="K17" i="7" s="1"/>
  <c r="L17" i="7" s="1"/>
  <c r="M17" i="7" s="1"/>
  <c r="K113" i="7" a="1"/>
  <c r="K113" i="7" s="1"/>
  <c r="L113" i="7" s="1"/>
  <c r="M113" i="7" s="1"/>
  <c r="K18" i="7" a="1"/>
  <c r="K18" i="7" s="1"/>
  <c r="L18" i="7" s="1"/>
  <c r="M18" i="7" s="1"/>
  <c r="K51" i="7" a="1"/>
  <c r="K51" i="7" s="1"/>
  <c r="L51" i="7" s="1"/>
  <c r="M51" i="7" s="1"/>
  <c r="K147" i="7" a="1"/>
  <c r="K147" i="7" s="1"/>
  <c r="L147" i="7"/>
  <c r="K351" i="7" a="1"/>
  <c r="K351" i="7" s="1"/>
  <c r="L351" i="7" s="1"/>
  <c r="M351" i="7" s="1"/>
  <c r="K65" i="7" a="1"/>
  <c r="K65" i="7" s="1"/>
  <c r="L65" i="7" s="1"/>
  <c r="M65" i="7" s="1"/>
  <c r="K161" i="7" a="1"/>
  <c r="K161" i="7" s="1"/>
  <c r="L161" i="7" s="1"/>
  <c r="M161" i="7" s="1"/>
  <c r="L205" i="7"/>
  <c r="K205" i="7" a="1"/>
  <c r="K205" i="7" s="1"/>
  <c r="M205" i="7" s="1"/>
  <c r="K253" i="7" a="1"/>
  <c r="K253" i="7" s="1"/>
  <c r="L253" i="7" s="1"/>
  <c r="M253" i="7" s="1"/>
  <c r="L301" i="7"/>
  <c r="K301" i="7" a="1"/>
  <c r="K301" i="7" s="1"/>
  <c r="K412" i="7" a="1"/>
  <c r="K412" i="7" s="1"/>
  <c r="L412" i="7" s="1"/>
  <c r="M412" i="7" s="1"/>
  <c r="K484" i="7" a="1"/>
  <c r="K484" i="7" s="1"/>
  <c r="L484" i="7" s="1"/>
  <c r="M484" i="7" s="1"/>
  <c r="K556" i="7" a="1"/>
  <c r="K556" i="7" s="1"/>
  <c r="L556" i="7" s="1"/>
  <c r="M556" i="7" s="1"/>
  <c r="K628" i="7" a="1"/>
  <c r="K628" i="7" s="1"/>
  <c r="L628" i="7" s="1"/>
  <c r="M628" i="7" s="1"/>
  <c r="K700" i="7" a="1"/>
  <c r="K700" i="7" s="1"/>
  <c r="L700" i="7" s="1"/>
  <c r="M700" i="7" s="1"/>
  <c r="I760" i="7"/>
  <c r="J760" i="7" s="1"/>
  <c r="Y759" i="9" s="1"/>
  <c r="W759" i="9" s="1"/>
  <c r="I748" i="7"/>
  <c r="J748" i="7" s="1"/>
  <c r="Y747" i="9" s="1"/>
  <c r="W747" i="9" s="1"/>
  <c r="I753" i="7"/>
  <c r="J753" i="7" s="1"/>
  <c r="Y752" i="9" s="1"/>
  <c r="W752" i="9" s="1"/>
  <c r="I754" i="7"/>
  <c r="J754" i="7" s="1"/>
  <c r="I732" i="7"/>
  <c r="J732" i="7" s="1"/>
  <c r="Y731" i="9" s="1"/>
  <c r="W731" i="9" s="1"/>
  <c r="I712" i="7"/>
  <c r="J712" i="7" s="1"/>
  <c r="Y711" i="9" s="1"/>
  <c r="W711" i="9" s="1"/>
  <c r="I714" i="7"/>
  <c r="J714" i="7" s="1"/>
  <c r="Y713" i="9" s="1"/>
  <c r="W713" i="9" s="1"/>
  <c r="I724" i="7"/>
  <c r="J724" i="7" s="1"/>
  <c r="Y723" i="9" s="1"/>
  <c r="W723" i="9" s="1"/>
  <c r="I726" i="7"/>
  <c r="J726" i="7" s="1"/>
  <c r="Y725" i="9" s="1"/>
  <c r="I736" i="7"/>
  <c r="J736" i="7" s="1"/>
  <c r="Y735" i="9" s="1"/>
  <c r="W735" i="9" s="1"/>
  <c r="I750" i="7"/>
  <c r="J750" i="7" s="1"/>
  <c r="Y749" i="9" s="1"/>
  <c r="W749" i="9" s="1"/>
  <c r="I730" i="7"/>
  <c r="J730" i="7" s="1"/>
  <c r="Y729" i="9" s="1"/>
  <c r="W729" i="9" s="1"/>
  <c r="W106" i="9" l="1"/>
  <c r="AD106" i="9"/>
  <c r="W103" i="9"/>
  <c r="AD103" i="9"/>
  <c r="W677" i="9"/>
  <c r="AD677" i="9"/>
  <c r="W128" i="9"/>
  <c r="AD128" i="9"/>
  <c r="W304" i="9"/>
  <c r="W76" i="9"/>
  <c r="AD76" i="9"/>
  <c r="W105" i="9"/>
  <c r="AD105" i="9"/>
  <c r="W130" i="9"/>
  <c r="AD130" i="9"/>
  <c r="W176" i="9"/>
  <c r="AD176" i="9"/>
  <c r="W733" i="9"/>
  <c r="AD733" i="9"/>
  <c r="W107" i="9"/>
  <c r="AD107" i="9"/>
  <c r="W97" i="9"/>
  <c r="AD97" i="9"/>
  <c r="W98" i="9"/>
  <c r="AD98" i="9"/>
  <c r="W665" i="9"/>
  <c r="AD665" i="9"/>
  <c r="W99" i="9"/>
  <c r="AD99" i="9"/>
  <c r="W114" i="9"/>
  <c r="AD114" i="9"/>
  <c r="W144" i="9"/>
  <c r="AD144" i="9"/>
  <c r="W170" i="9"/>
  <c r="AD170" i="9"/>
  <c r="W722" i="9"/>
  <c r="AD722" i="9"/>
  <c r="W676" i="9"/>
  <c r="W278" i="9"/>
  <c r="W293" i="9"/>
  <c r="W577" i="9"/>
  <c r="W160" i="9"/>
  <c r="W570" i="9"/>
  <c r="W198" i="9"/>
  <c r="W650" i="9"/>
  <c r="W61" i="9"/>
  <c r="AD61" i="9"/>
  <c r="B127" i="9"/>
  <c r="W152" i="9"/>
  <c r="AD152" i="9"/>
  <c r="W82" i="9"/>
  <c r="AD82" i="9"/>
  <c r="W251" i="9"/>
  <c r="AD251" i="9"/>
  <c r="W187" i="9"/>
  <c r="AD187" i="9"/>
  <c r="W726" i="9"/>
  <c r="W80" i="9"/>
  <c r="AD80" i="9"/>
  <c r="W115" i="9"/>
  <c r="AD115" i="9"/>
  <c r="W122" i="9"/>
  <c r="AD122" i="9"/>
  <c r="W155" i="9"/>
  <c r="AD155" i="9"/>
  <c r="W223" i="9"/>
  <c r="AD223" i="9"/>
  <c r="W768" i="9"/>
  <c r="AD768" i="9"/>
  <c r="W101" i="9"/>
  <c r="AD101" i="9"/>
  <c r="W757" i="9"/>
  <c r="AD757" i="9"/>
  <c r="W675" i="9"/>
  <c r="AD675" i="9"/>
  <c r="W136" i="9"/>
  <c r="AD136" i="9"/>
  <c r="W56" i="9"/>
  <c r="AD56" i="9"/>
  <c r="W124" i="9"/>
  <c r="B218" i="9" s="1"/>
  <c r="AD124" i="9"/>
  <c r="W228" i="9"/>
  <c r="AD228" i="9"/>
  <c r="W374" i="9"/>
  <c r="AD374" i="9"/>
  <c r="W94" i="9"/>
  <c r="AD94" i="9"/>
  <c r="W51" i="9"/>
  <c r="AD51" i="9"/>
  <c r="W95" i="9"/>
  <c r="AD95" i="9"/>
  <c r="W116" i="9"/>
  <c r="AD116" i="9"/>
  <c r="W138" i="9"/>
  <c r="AD138" i="9"/>
  <c r="W174" i="9"/>
  <c r="AD174" i="9"/>
  <c r="W83" i="9"/>
  <c r="AD83" i="9"/>
  <c r="W137" i="9"/>
  <c r="AD137" i="9"/>
  <c r="W60" i="9"/>
  <c r="AD60" i="9"/>
  <c r="D47" i="9"/>
  <c r="B87" i="9"/>
  <c r="B88" i="9"/>
  <c r="B89" i="9"/>
  <c r="B90" i="9"/>
  <c r="B81" i="9"/>
  <c r="B80" i="9"/>
  <c r="B82" i="9"/>
  <c r="B83" i="9"/>
  <c r="B84" i="9"/>
  <c r="B85" i="9"/>
  <c r="B86" i="9"/>
  <c r="W59" i="9"/>
  <c r="AD59" i="9"/>
  <c r="W79" i="9"/>
  <c r="AD79" i="9"/>
  <c r="W74" i="9"/>
  <c r="C2" i="9" s="1"/>
  <c r="AD74" i="9"/>
  <c r="W182" i="9"/>
  <c r="AD182" i="9"/>
  <c r="W269" i="9"/>
  <c r="AD269" i="9"/>
  <c r="W408" i="9"/>
  <c r="B221" i="9" s="1"/>
  <c r="AD408" i="9"/>
  <c r="W145" i="9"/>
  <c r="AD145" i="9"/>
  <c r="W117" i="9"/>
  <c r="AD117" i="9"/>
  <c r="W126" i="9"/>
  <c r="AD126" i="9"/>
  <c r="W100" i="9"/>
  <c r="AD100" i="9"/>
  <c r="W172" i="9"/>
  <c r="AD172" i="9"/>
  <c r="W78" i="9"/>
  <c r="AD78" i="9"/>
  <c r="W85" i="9"/>
  <c r="AD85" i="9"/>
  <c r="W81" i="9"/>
  <c r="AD81" i="9"/>
  <c r="W158" i="9"/>
  <c r="AD158" i="9"/>
  <c r="B131" i="9"/>
  <c r="W171" i="9"/>
  <c r="AD171" i="9"/>
  <c r="W53" i="9"/>
  <c r="B217" i="9" s="1"/>
  <c r="AD53" i="9"/>
  <c r="C46" i="9"/>
  <c r="W581" i="9"/>
  <c r="AD581" i="9"/>
  <c r="W257" i="9"/>
  <c r="W104" i="9"/>
  <c r="AD104" i="9"/>
  <c r="W142" i="9"/>
  <c r="B74" i="9" s="1"/>
  <c r="AD142" i="9"/>
  <c r="W569" i="9"/>
  <c r="AD569" i="9"/>
  <c r="W57" i="9"/>
  <c r="AD57" i="9"/>
  <c r="W58" i="9"/>
  <c r="C43" i="9" s="1"/>
  <c r="AD58" i="9"/>
  <c r="W113" i="9"/>
  <c r="AD113" i="9"/>
  <c r="W724" i="9"/>
  <c r="AD724" i="9"/>
  <c r="W205" i="9"/>
  <c r="W605" i="9"/>
  <c r="AD605" i="9"/>
  <c r="W737" i="9"/>
  <c r="AD737" i="9"/>
  <c r="W84" i="9"/>
  <c r="B76" i="9" s="1"/>
  <c r="AD84" i="9"/>
  <c r="W75" i="9"/>
  <c r="AD75" i="9"/>
  <c r="C44" i="9"/>
  <c r="C45" i="9"/>
  <c r="D46" i="9"/>
  <c r="D45" i="9"/>
  <c r="B219" i="9"/>
  <c r="B72" i="9"/>
  <c r="B220" i="9"/>
  <c r="C48" i="9"/>
  <c r="B66" i="9"/>
  <c r="B2" i="9"/>
  <c r="B22" i="9"/>
  <c r="B222" i="9"/>
  <c r="D48" i="9"/>
  <c r="C47" i="9"/>
  <c r="B46" i="9"/>
  <c r="B47" i="9"/>
  <c r="B45" i="9"/>
  <c r="B49" i="9"/>
  <c r="M179" i="7"/>
  <c r="M271" i="7"/>
  <c r="B23" i="9"/>
  <c r="M303" i="7"/>
  <c r="M160" i="7"/>
  <c r="M555" i="7"/>
  <c r="M134" i="7"/>
  <c r="B69" i="9"/>
  <c r="M538" i="7"/>
  <c r="M40" i="7"/>
  <c r="B68" i="9"/>
  <c r="B103" i="9"/>
  <c r="M310" i="7"/>
  <c r="M752" i="7"/>
  <c r="D44" i="9"/>
  <c r="B101" i="9"/>
  <c r="M248" i="7"/>
  <c r="M763" i="7"/>
  <c r="W725" i="9"/>
  <c r="B102" i="9"/>
  <c r="M286" i="7"/>
  <c r="M130" i="7"/>
  <c r="B75" i="9"/>
  <c r="M214" i="7"/>
  <c r="B73" i="9"/>
  <c r="M587" i="7"/>
  <c r="M297" i="7"/>
  <c r="M530" i="7"/>
  <c r="B104" i="9"/>
  <c r="Q5" i="7"/>
  <c r="Y753" i="9"/>
  <c r="M295" i="7"/>
  <c r="M53" i="7"/>
  <c r="M111" i="7"/>
  <c r="M744" i="7"/>
  <c r="M147" i="7"/>
  <c r="M428" i="7"/>
  <c r="M453" i="7"/>
  <c r="M212" i="7"/>
  <c r="M268" i="7"/>
  <c r="M204" i="7"/>
  <c r="Q4" i="7"/>
  <c r="M11" i="7"/>
  <c r="M67" i="7"/>
  <c r="M617" i="7"/>
  <c r="M429" i="7"/>
  <c r="M596" i="7"/>
  <c r="M679" i="7"/>
  <c r="M306" i="7"/>
  <c r="M233" i="7"/>
  <c r="M518" i="7"/>
  <c r="M301" i="7"/>
  <c r="M16" i="7"/>
  <c r="M553" i="7"/>
  <c r="M289" i="7"/>
  <c r="M476" i="7"/>
  <c r="M103" i="7"/>
  <c r="M635" i="7"/>
  <c r="M126" i="7"/>
  <c r="M767" i="7"/>
  <c r="M455" i="7"/>
  <c r="M93" i="7"/>
  <c r="M190" i="7"/>
  <c r="M533" i="7"/>
  <c r="M509" i="7"/>
  <c r="M365" i="7"/>
  <c r="M244" i="7"/>
  <c r="M638" i="7"/>
  <c r="M109" i="7"/>
  <c r="M281" i="7"/>
  <c r="M209" i="7"/>
  <c r="M266" i="7"/>
  <c r="M120" i="7"/>
  <c r="M326" i="7"/>
  <c r="M615" i="7"/>
  <c r="M445" i="7"/>
  <c r="M756" i="7"/>
  <c r="M444" i="7"/>
  <c r="M576" i="7"/>
  <c r="M504" i="7"/>
  <c r="M223" i="7"/>
  <c r="M411" i="7"/>
  <c r="M231" i="7"/>
  <c r="M492" i="7"/>
  <c r="M211" i="7"/>
  <c r="K730" i="7" a="1"/>
  <c r="K730" i="7" s="1"/>
  <c r="L730" i="7" s="1"/>
  <c r="M730" i="7" s="1"/>
  <c r="K750" i="7" a="1"/>
  <c r="K750" i="7" s="1"/>
  <c r="L750" i="7" s="1"/>
  <c r="M750" i="7" s="1"/>
  <c r="K736" i="7" a="1"/>
  <c r="K736" i="7" s="1"/>
  <c r="L736" i="7" s="1"/>
  <c r="M736" i="7" s="1"/>
  <c r="K726" i="7" a="1"/>
  <c r="K726" i="7" s="1"/>
  <c r="L726" i="7" s="1"/>
  <c r="M726" i="7" s="1"/>
  <c r="K724" i="7" a="1"/>
  <c r="K724" i="7" s="1"/>
  <c r="L724" i="7" s="1"/>
  <c r="M724" i="7" s="1"/>
  <c r="K714" i="7" a="1"/>
  <c r="K714" i="7" s="1"/>
  <c r="L714" i="7" s="1"/>
  <c r="M714" i="7" s="1"/>
  <c r="K712" i="7" a="1"/>
  <c r="K712" i="7" s="1"/>
  <c r="L712" i="7"/>
  <c r="K732" i="7" a="1"/>
  <c r="K732" i="7" s="1"/>
  <c r="L732" i="7" s="1"/>
  <c r="M732" i="7" s="1"/>
  <c r="K754" i="7" a="1"/>
  <c r="K754" i="7" s="1"/>
  <c r="L754" i="7" s="1"/>
  <c r="M754" i="7" s="1"/>
  <c r="K753" i="7" a="1"/>
  <c r="K753" i="7" s="1"/>
  <c r="L753" i="7" s="1"/>
  <c r="M753" i="7" s="1"/>
  <c r="K748" i="7" a="1"/>
  <c r="K748" i="7" s="1"/>
  <c r="L748" i="7" s="1"/>
  <c r="M748" i="7" s="1"/>
  <c r="K760" i="7" a="1"/>
  <c r="K760" i="7" s="1"/>
  <c r="L760" i="7" s="1"/>
  <c r="M760" i="7" s="1"/>
  <c r="B44" i="9" l="1"/>
  <c r="D43" i="9"/>
  <c r="C4" i="9"/>
  <c r="B67" i="9"/>
  <c r="B43" i="9"/>
  <c r="B223" i="9"/>
  <c r="W753" i="9"/>
  <c r="C49" i="9" s="1"/>
  <c r="B154" i="9"/>
  <c r="B184" i="9"/>
  <c r="B190" i="9"/>
  <c r="B186" i="9"/>
  <c r="B187" i="9"/>
  <c r="B188" i="9"/>
  <c r="B189" i="9"/>
  <c r="B153" i="9"/>
  <c r="B105" i="9"/>
  <c r="B70" i="9"/>
  <c r="B71" i="9"/>
  <c r="C3" i="9"/>
  <c r="D49" i="9"/>
  <c r="M712" i="7"/>
  <c r="Q10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A356D6-7D56-4687-B59F-2A4AA041BE56}" keepAlive="1" name="Consulta - sala" description="Conexión a la consulta 'sala' en el libro." type="5" refreshedVersion="8" background="1" saveData="1">
    <dbPr connection="Provider=Microsoft.Mashup.OleDb.1;Data Source=$Workbook$;Location=sala;Extended Properties=&quot;&quot;" command="SELECT * FROM [sala]"/>
  </connection>
  <connection id="2" xr16:uid="{2E209FBD-CCD7-4D17-9A50-B5D3160ED9E9}" keepAlive="1" name="Consulta - spaces_3iWczBNnn5rbfoUlE0Jd_uploads_git-blob-9864c7f811c613c3faab876659c64235709" description="Conexión a la consulta 'spaces_3iWczBNnn5rbfoUlE0Jd_uploads_git-blob-9864c7f811c613c3faab876659c64235709' en el libro." type="5" refreshedVersion="0" background="1">
    <dbPr connection="Provider=Microsoft.Mashup.OleDb.1;Data Source=$Workbook$;Location=spaces_3iWczBNnn5rbfoUlE0Jd_uploads_git-blob-9864c7f811c613c3faab876659c64235709;Extended Properties=&quot;&quot;" command="SELECT * FROM [spaces_3iWczBNnn5rbfoUlE0Jd_uploads_git-blob-9864c7f811c613c3faab876659c64235709]"/>
  </connection>
  <connection id="3" xr16:uid="{407D0656-7B5A-4FF6-BB7F-6EA0804BBD1B}" keepAlive="1" name="Consulta - spaces_3iWczBNnn5rbfoUlE0Jd_uploads_git-blob-d9e80ffbcef8a4adc6d29edd78618add5df" description="Conexión a la consulta 'spaces_3iWczBNnn5rbfoUlE0Jd_uploads_git-blob-d9e80ffbcef8a4adc6d29edd78618add5df' en el libro." type="5" refreshedVersion="8" background="1" saveData="1">
    <dbPr connection="Provider=Microsoft.Mashup.OleDb.1;Data Source=$Workbook$;Location=spaces_3iWczBNnn5rbfoUlE0Jd_uploads_git-blob-d9e80ffbcef8a4adc6d29edd78618add5df;Extended Properties=&quot;&quot;" command="SELECT * FROM [spaces_3iWczBNnn5rbfoUlE0Jd_uploads_git-blob-d9e80ffbcef8a4adc6d29edd78618add5df]"/>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<sst xmlns="http://schemas.openxmlformats.org/spreadsheetml/2006/main" count="11234" uniqueCount="700">
  <si>
    <t>Número de Mesa</t>
  </si>
  <si>
    <t>Nombre del Cliente</t>
  </si>
  <si>
    <t>Número de Comensales</t>
  </si>
  <si>
    <t>Hora de Llegada</t>
  </si>
  <si>
    <t>Hora de Salida</t>
  </si>
  <si>
    <t>Mesero Asignado</t>
  </si>
  <si>
    <t>Tipo de Servicio</t>
  </si>
  <si>
    <t>Método de Pago</t>
  </si>
  <si>
    <t>Propina</t>
  </si>
  <si>
    <t>Estado de la Mesa</t>
  </si>
  <si>
    <t>Número de Orden</t>
  </si>
  <si>
    <t>País de Origen</t>
  </si>
  <si>
    <t>Platos Ordenados</t>
  </si>
  <si>
    <t>Cliente_965</t>
  </si>
  <si>
    <t>Mesero_4</t>
  </si>
  <si>
    <t>Cena</t>
  </si>
  <si>
    <t>Tarjeta de crédito</t>
  </si>
  <si>
    <t>Libre</t>
  </si>
  <si>
    <t>Perú</t>
  </si>
  <si>
    <t>Plato_8</t>
  </si>
  <si>
    <t>Cliente_873</t>
  </si>
  <si>
    <t>Mesero_5</t>
  </si>
  <si>
    <t>Almuerzo</t>
  </si>
  <si>
    <t>Efectivo</t>
  </si>
  <si>
    <t>Ocupada</t>
  </si>
  <si>
    <t>Brasil</t>
  </si>
  <si>
    <t>Plato_9</t>
  </si>
  <si>
    <t>Cliente_175</t>
  </si>
  <si>
    <t>Reservada</t>
  </si>
  <si>
    <t>Bolivia</t>
  </si>
  <si>
    <t>Plato_16</t>
  </si>
  <si>
    <t>Cliente_290</t>
  </si>
  <si>
    <t>Mesero_2</t>
  </si>
  <si>
    <t>Chile</t>
  </si>
  <si>
    <t>Plato_20</t>
  </si>
  <si>
    <t>Cliente_824</t>
  </si>
  <si>
    <t>Tarjeta de débito</t>
  </si>
  <si>
    <t>Colombia</t>
  </si>
  <si>
    <t>Plato_18</t>
  </si>
  <si>
    <t>Cliente_874</t>
  </si>
  <si>
    <t>Plato_2</t>
  </si>
  <si>
    <t>Cliente_999</t>
  </si>
  <si>
    <t>Plato_13</t>
  </si>
  <si>
    <t>Cliente_606</t>
  </si>
  <si>
    <t>Plato_19</t>
  </si>
  <si>
    <t>Cliente_640</t>
  </si>
  <si>
    <t>Plato_4</t>
  </si>
  <si>
    <t>Cliente_742</t>
  </si>
  <si>
    <t>Desayuno</t>
  </si>
  <si>
    <t>Argentina</t>
  </si>
  <si>
    <t>Plato_6</t>
  </si>
  <si>
    <t>Cliente_636</t>
  </si>
  <si>
    <t>Mesero_3</t>
  </si>
  <si>
    <t>Plato_12</t>
  </si>
  <si>
    <t>Cliente_969</t>
  </si>
  <si>
    <t>Uruguay</t>
  </si>
  <si>
    <t>Plato_17</t>
  </si>
  <si>
    <t>Cliente_148</t>
  </si>
  <si>
    <t>Cliente_501</t>
  </si>
  <si>
    <t>España</t>
  </si>
  <si>
    <t>Plato_1</t>
  </si>
  <si>
    <t>Cliente_1000</t>
  </si>
  <si>
    <t>Ecuador</t>
  </si>
  <si>
    <t>Cliente_612</t>
  </si>
  <si>
    <t>Cliente_711</t>
  </si>
  <si>
    <t>Cliente_552</t>
  </si>
  <si>
    <t>Plato_3</t>
  </si>
  <si>
    <t>Cliente_627</t>
  </si>
  <si>
    <t>Cliente_863</t>
  </si>
  <si>
    <t>Cliente_416</t>
  </si>
  <si>
    <t>Paraguay</t>
  </si>
  <si>
    <t>Plato_10</t>
  </si>
  <si>
    <t>Cliente_346</t>
  </si>
  <si>
    <t>Mesero_1</t>
  </si>
  <si>
    <t>Cliente_381</t>
  </si>
  <si>
    <t>Plato_7</t>
  </si>
  <si>
    <t>Cliente_541</t>
  </si>
  <si>
    <t>Cliente_486</t>
  </si>
  <si>
    <t>Cliente_8</t>
  </si>
  <si>
    <t>Cliente_31</t>
  </si>
  <si>
    <t>Cliente_773</t>
  </si>
  <si>
    <t>Cliente_569</t>
  </si>
  <si>
    <t>Cliente_199</t>
  </si>
  <si>
    <t>Cliente_670</t>
  </si>
  <si>
    <t>Cliente_380</t>
  </si>
  <si>
    <t>Cliente_536</t>
  </si>
  <si>
    <t>Cliente_892</t>
  </si>
  <si>
    <t>Cliente_406</t>
  </si>
  <si>
    <t>Cliente_768</t>
  </si>
  <si>
    <t>Plato_14</t>
  </si>
  <si>
    <t>Cliente_131</t>
  </si>
  <si>
    <t>Venezuela</t>
  </si>
  <si>
    <t>Plato_5</t>
  </si>
  <si>
    <t>Cliente_850</t>
  </si>
  <si>
    <t>Cliente_124</t>
  </si>
  <si>
    <t>Cliente_741</t>
  </si>
  <si>
    <t>Cliente_173</t>
  </si>
  <si>
    <t>Cliente_653</t>
  </si>
  <si>
    <t>Cliente_628</t>
  </si>
  <si>
    <t>Cliente_412</t>
  </si>
  <si>
    <t>Cliente_318</t>
  </si>
  <si>
    <t>Cliente_560</t>
  </si>
  <si>
    <t>Cliente_679</t>
  </si>
  <si>
    <t>Cliente_331</t>
  </si>
  <si>
    <t>Cliente_339</t>
  </si>
  <si>
    <t>Plato_15</t>
  </si>
  <si>
    <t>Cliente_151</t>
  </si>
  <si>
    <t>Cliente_576</t>
  </si>
  <si>
    <t>Cliente_474</t>
  </si>
  <si>
    <t>Cliente_445</t>
  </si>
  <si>
    <t>Cliente_881</t>
  </si>
  <si>
    <t>Cliente_230</t>
  </si>
  <si>
    <t>Plato_11</t>
  </si>
  <si>
    <t>Cliente_599</t>
  </si>
  <si>
    <t>Cliente_935</t>
  </si>
  <si>
    <t>Cliente_924</t>
  </si>
  <si>
    <t>Cliente_788</t>
  </si>
  <si>
    <t>Cliente_539</t>
  </si>
  <si>
    <t>Cliente_978</t>
  </si>
  <si>
    <t>Cliente_577</t>
  </si>
  <si>
    <t>Cliente_429</t>
  </si>
  <si>
    <t>Cliente_553</t>
  </si>
  <si>
    <t>Cliente_228</t>
  </si>
  <si>
    <t>Cliente_775</t>
  </si>
  <si>
    <t>Cliente_928</t>
  </si>
  <si>
    <t>Cliente_243</t>
  </si>
  <si>
    <t>Cliente_617</t>
  </si>
  <si>
    <t>Cliente_184</t>
  </si>
  <si>
    <t>Cliente_277</t>
  </si>
  <si>
    <t>Cliente_244</t>
  </si>
  <si>
    <t>Cliente_26</t>
  </si>
  <si>
    <t>Cliente_746</t>
  </si>
  <si>
    <t>Cliente_929</t>
  </si>
  <si>
    <t>Cliente_702</t>
  </si>
  <si>
    <t>Cliente_161</t>
  </si>
  <si>
    <t>Cliente_269</t>
  </si>
  <si>
    <t>Cliente_350</t>
  </si>
  <si>
    <t>Cliente_823</t>
  </si>
  <si>
    <t>Cliente_755</t>
  </si>
  <si>
    <t>Cliente_289</t>
  </si>
  <si>
    <t>Cliente_476</t>
  </si>
  <si>
    <t>Cliente_780</t>
  </si>
  <si>
    <t>Cliente_523</t>
  </si>
  <si>
    <t>Cliente_498</t>
  </si>
  <si>
    <t>Cliente_54</t>
  </si>
  <si>
    <t>Cliente_666</t>
  </si>
  <si>
    <t>Cliente_858</t>
  </si>
  <si>
    <t>Cliente_275</t>
  </si>
  <si>
    <t>Cliente_871</t>
  </si>
  <si>
    <t>Cliente_183</t>
  </si>
  <si>
    <t>Cliente_442</t>
  </si>
  <si>
    <t>Cliente_992</t>
  </si>
  <si>
    <t>Cliente_508</t>
  </si>
  <si>
    <t>Cliente_436</t>
  </si>
  <si>
    <t>Cliente_676</t>
  </si>
  <si>
    <t>Cliente_667</t>
  </si>
  <si>
    <t>Cliente_609</t>
  </si>
  <si>
    <t>Cliente_563</t>
  </si>
  <si>
    <t>Cliente_12</t>
  </si>
  <si>
    <t>Cliente_912</t>
  </si>
  <si>
    <t>Cliente_736</t>
  </si>
  <si>
    <t>Cliente_328</t>
  </si>
  <si>
    <t>Cliente_958</t>
  </si>
  <si>
    <t>Cliente_332</t>
  </si>
  <si>
    <t>Cliente_348</t>
  </si>
  <si>
    <t>Cliente_259</t>
  </si>
  <si>
    <t>Cliente_316</t>
  </si>
  <si>
    <t>Cliente_600</t>
  </si>
  <si>
    <t>Cliente_732</t>
  </si>
  <si>
    <t>Cliente_473</t>
  </si>
  <si>
    <t>Cliente_717</t>
  </si>
  <si>
    <t>Cliente_665</t>
  </si>
  <si>
    <t>Cliente_989</t>
  </si>
  <si>
    <t>Cliente_27</t>
  </si>
  <si>
    <t>Cliente_194</t>
  </si>
  <si>
    <t>Cliente_696</t>
  </si>
  <si>
    <t>Cliente_618</t>
  </si>
  <si>
    <t>Cliente_115</t>
  </si>
  <si>
    <t>Cliente_527</t>
  </si>
  <si>
    <t>Cliente_71</t>
  </si>
  <si>
    <t>Cliente_140</t>
  </si>
  <si>
    <t>Cliente_172</t>
  </si>
  <si>
    <t>Cliente_835</t>
  </si>
  <si>
    <t>Cliente_821</t>
  </si>
  <si>
    <t>Cliente_977</t>
  </si>
  <si>
    <t>Cliente_509</t>
  </si>
  <si>
    <t>Cliente_690</t>
  </si>
  <si>
    <t>Cliente_740</t>
  </si>
  <si>
    <t>Cliente_930</t>
  </si>
  <si>
    <t>Cliente_257</t>
  </si>
  <si>
    <t>Cliente_112</t>
  </si>
  <si>
    <t>Cliente_392</t>
  </si>
  <si>
    <t>Cliente_110</t>
  </si>
  <si>
    <t>Cliente_728</t>
  </si>
  <si>
    <t>Cliente_865</t>
  </si>
  <si>
    <t>Cliente_88</t>
  </si>
  <si>
    <t>Cliente_710</t>
  </si>
  <si>
    <t>Cliente_268</t>
  </si>
  <si>
    <t>Cliente_83</t>
  </si>
  <si>
    <t>Cliente_988</t>
  </si>
  <si>
    <t>Cliente_372</t>
  </si>
  <si>
    <t>Cliente_208</t>
  </si>
  <si>
    <t>Cliente_138</t>
  </si>
  <si>
    <t>Cliente_798</t>
  </si>
  <si>
    <t>Cliente_959</t>
  </si>
  <si>
    <t>Cliente_657</t>
  </si>
  <si>
    <t>Cliente_592</t>
  </si>
  <si>
    <t>Cliente_575</t>
  </si>
  <si>
    <t>Cliente_336</t>
  </si>
  <si>
    <t>Cliente_841</t>
  </si>
  <si>
    <t>Cliente_19</t>
  </si>
  <si>
    <t>Cliente_59</t>
  </si>
  <si>
    <t>Cliente_799</t>
  </si>
  <si>
    <t>Cliente_623</t>
  </si>
  <si>
    <t>Cliente_946</t>
  </si>
  <si>
    <t>Cliente_626</t>
  </si>
  <si>
    <t>Cliente_593</t>
  </si>
  <si>
    <t>Cliente_368</t>
  </si>
  <si>
    <t>Cliente_36</t>
  </si>
  <si>
    <t>Cliente_485</t>
  </si>
  <si>
    <t>Cliente_778</t>
  </si>
  <si>
    <t>Cliente_725</t>
  </si>
  <si>
    <t>Cliente_103</t>
  </si>
  <si>
    <t>Cliente_282</t>
  </si>
  <si>
    <t>Cliente_143</t>
  </si>
  <si>
    <t>Cliente_714</t>
  </si>
  <si>
    <t>Cliente_950</t>
  </si>
  <si>
    <t>Cliente_663</t>
  </si>
  <si>
    <t>Cliente_804</t>
  </si>
  <si>
    <t>Cliente_786</t>
  </si>
  <si>
    <t>Cliente_489</t>
  </si>
  <si>
    <t>Cliente_117</t>
  </si>
  <si>
    <t>Cliente_239</t>
  </si>
  <si>
    <t>Cliente_484</t>
  </si>
  <si>
    <t>Cliente_446</t>
  </si>
  <si>
    <t>Cliente_750</t>
  </si>
  <si>
    <t>Cliente_721</t>
  </si>
  <si>
    <t>Nombre del Plato</t>
  </si>
  <si>
    <t>Costo Unitario</t>
  </si>
  <si>
    <t>Precio Unitario</t>
  </si>
  <si>
    <t>Cantidad Ordenada</t>
  </si>
  <si>
    <t>Observaciones</t>
  </si>
  <si>
    <t>Ninguna</t>
  </si>
  <si>
    <t>Sin cebolla</t>
  </si>
  <si>
    <t>Cliente_724</t>
  </si>
  <si>
    <t>Cliente_538</t>
  </si>
  <si>
    <t>Cliente_911</t>
  </si>
  <si>
    <t>Cliente_129</t>
  </si>
  <si>
    <t>Cliente_938</t>
  </si>
  <si>
    <t>Cliente_306</t>
  </si>
  <si>
    <t>Cliente_974</t>
  </si>
  <si>
    <t>Cliente_33</t>
  </si>
  <si>
    <t>Cliente_890</t>
  </si>
  <si>
    <t>Cliente_200</t>
  </si>
  <si>
    <t>Cliente_190</t>
  </si>
  <si>
    <t>Cliente_972</t>
  </si>
  <si>
    <t>Cliente_210</t>
  </si>
  <si>
    <t>Cliente_427</t>
  </si>
  <si>
    <t>Cliente_424</t>
  </si>
  <si>
    <t>Cliente_107</t>
  </si>
  <si>
    <t>Cliente_358</t>
  </si>
  <si>
    <t>Cliente_377</t>
  </si>
  <si>
    <t>Cliente_361</t>
  </si>
  <si>
    <t>Cliente_229</t>
  </si>
  <si>
    <t>Cliente_1</t>
  </si>
  <si>
    <t>Cliente_828</t>
  </si>
  <si>
    <t>Cliente_167</t>
  </si>
  <si>
    <t>Cliente_870</t>
  </si>
  <si>
    <t>Cliente_814</t>
  </si>
  <si>
    <t>Cliente_72</t>
  </si>
  <si>
    <t>Cliente_963</t>
  </si>
  <si>
    <t>Cliente_708</t>
  </si>
  <si>
    <t>Cliente_631</t>
  </si>
  <si>
    <t>Cliente_894</t>
  </si>
  <si>
    <t>Cliente_63</t>
  </si>
  <si>
    <t>Cliente_144</t>
  </si>
  <si>
    <t>Cliente_390</t>
  </si>
  <si>
    <t>Cliente_886</t>
  </si>
  <si>
    <t>Cliente_510</t>
  </si>
  <si>
    <t>Cliente_878</t>
  </si>
  <si>
    <t>Cliente_792</t>
  </si>
  <si>
    <t>Cliente_265</t>
  </si>
  <si>
    <t>Cliente_614</t>
  </si>
  <si>
    <t>Cliente_352</t>
  </si>
  <si>
    <t>Cliente_784</t>
  </si>
  <si>
    <t>Cliente_118</t>
  </si>
  <si>
    <t>Cliente_61</t>
  </si>
  <si>
    <t>Cliente_440</t>
  </si>
  <si>
    <t>Cliente_258</t>
  </si>
  <si>
    <t>Cliente_79</t>
  </si>
  <si>
    <t>Cliente_42</t>
  </si>
  <si>
    <t>Cliente_374</t>
  </si>
  <si>
    <t>Cliente_753</t>
  </si>
  <si>
    <t>Cliente_632</t>
  </si>
  <si>
    <t>Cliente_574</t>
  </si>
  <si>
    <t>Cliente_292</t>
  </si>
  <si>
    <t>Cliente_747</t>
  </si>
  <si>
    <t>Cliente_733</t>
  </si>
  <si>
    <t>Cliente_607</t>
  </si>
  <si>
    <t>Cliente_378</t>
  </si>
  <si>
    <t>Cliente_452</t>
  </si>
  <si>
    <t>Cliente_840</t>
  </si>
  <si>
    <t>Cliente_993</t>
  </si>
  <si>
    <t>Cliente_29</t>
  </si>
  <si>
    <t>Cliente_313</t>
  </si>
  <si>
    <t>Cliente_520</t>
  </si>
  <si>
    <t>Cliente_388</t>
  </si>
  <si>
    <t>Cliente_384</t>
  </si>
  <si>
    <t>Cliente_517</t>
  </si>
  <si>
    <t>Cliente_651</t>
  </si>
  <si>
    <t>Cliente_545</t>
  </si>
  <si>
    <t>Cliente_116</t>
  </si>
  <si>
    <t>Cliente_170</t>
  </si>
  <si>
    <t>Cliente_92</t>
  </si>
  <si>
    <t>Cliente_588</t>
  </si>
  <si>
    <t>Cliente_949</t>
  </si>
  <si>
    <t>Cliente_916</t>
  </si>
  <si>
    <t>Cliente_791</t>
  </si>
  <si>
    <t>Cliente_697</t>
  </si>
  <si>
    <t>Cliente_516</t>
  </si>
  <si>
    <t>Cliente_830</t>
  </si>
  <si>
    <t>Cliente_656</t>
  </si>
  <si>
    <t>Cliente_774</t>
  </si>
  <si>
    <t>Cliente_273</t>
  </si>
  <si>
    <t>Cliente_658</t>
  </si>
  <si>
    <t>Cliente_158</t>
  </si>
  <si>
    <t>Cliente_286</t>
  </si>
  <si>
    <t>Cliente_712</t>
  </si>
  <si>
    <t>Cliente_56</t>
  </si>
  <si>
    <t>Cliente_909</t>
  </si>
  <si>
    <t>Cliente_402</t>
  </si>
  <si>
    <t>Cliente_709</t>
  </si>
  <si>
    <t>Cliente_533</t>
  </si>
  <si>
    <t>Cliente_953</t>
  </si>
  <si>
    <t>Cliente_964</t>
  </si>
  <si>
    <t>Cliente_939</t>
  </si>
  <si>
    <t>Cliente_5</t>
  </si>
  <si>
    <t>Cliente_580</t>
  </si>
  <si>
    <t>Cliente_295</t>
  </si>
  <si>
    <t>Cliente_547</t>
  </si>
  <si>
    <t>Cliente_156</t>
  </si>
  <si>
    <t>Cliente_359</t>
  </si>
  <si>
    <t>Cliente_493</t>
  </si>
  <si>
    <t>Cliente_301</t>
  </si>
  <si>
    <t>Cliente_610</t>
  </si>
  <si>
    <t>Cliente_681</t>
  </si>
  <si>
    <t>Cliente_55</t>
  </si>
  <si>
    <t>Cliente_715</t>
  </si>
  <si>
    <t>Cliente_321</t>
  </si>
  <si>
    <t>Cliente_752</t>
  </si>
  <si>
    <t>Cliente_727</t>
  </si>
  <si>
    <t>Cliente_548</t>
  </si>
  <si>
    <t>Cliente_30</t>
  </si>
  <si>
    <t>Cliente_646</t>
  </si>
  <si>
    <t>Cliente_367</t>
  </si>
  <si>
    <t>Cliente_765</t>
  </si>
  <si>
    <t>Cliente_512</t>
  </si>
  <si>
    <t>Cliente_701</t>
  </si>
  <si>
    <t>Cliente_323</t>
  </si>
  <si>
    <t>Cliente_678</t>
  </si>
  <si>
    <t>Cliente_74</t>
  </si>
  <si>
    <t>Cliente_146</t>
  </si>
  <si>
    <t>Cliente_212</t>
  </si>
  <si>
    <t>Cliente_3</t>
  </si>
  <si>
    <t>Cliente_176</t>
  </si>
  <si>
    <t>Cliente_551</t>
  </si>
  <si>
    <t>Cliente_240</t>
  </si>
  <si>
    <t>Cliente_759</t>
  </si>
  <si>
    <t>Cliente_744</t>
  </si>
  <si>
    <t>Cliente_189</t>
  </si>
  <si>
    <t>Cliente_990</t>
  </si>
  <si>
    <t>Cliente_67</t>
  </si>
  <si>
    <t>Cliente_984</t>
  </si>
  <si>
    <t>Cliente_877</t>
  </si>
  <si>
    <t>Cliente_494</t>
  </si>
  <si>
    <t>Cliente_264</t>
  </si>
  <si>
    <t>Cliente_142</t>
  </si>
  <si>
    <t>Cliente_856</t>
  </si>
  <si>
    <t>Cliente_722</t>
  </si>
  <si>
    <t>Cliente_961</t>
  </si>
  <si>
    <t>Cliente_579</t>
  </si>
  <si>
    <t>Cliente_567</t>
  </si>
  <si>
    <t>Cliente_927</t>
  </si>
  <si>
    <t>Cliente_872</t>
  </si>
  <si>
    <t>Cliente_425</t>
  </si>
  <si>
    <t>Cliente_700</t>
  </si>
  <si>
    <t>Cliente_811</t>
  </si>
  <si>
    <t>Cliente_249</t>
  </si>
  <si>
    <t>Cliente_326</t>
  </si>
  <si>
    <t>Cliente_281</t>
  </si>
  <si>
    <t>Cliente_686</t>
  </si>
  <si>
    <t>Cliente_418</t>
  </si>
  <si>
    <t>Cliente_397</t>
  </si>
  <si>
    <t>Cliente_477</t>
  </si>
  <si>
    <t>Cliente_300</t>
  </si>
  <si>
    <t>Cliente_132</t>
  </si>
  <si>
    <t>Cliente_53</t>
  </si>
  <si>
    <t>Cliente_673</t>
  </si>
  <si>
    <t>Cliente_730</t>
  </si>
  <si>
    <t>Cliente_827</t>
  </si>
  <si>
    <t>Cliente_345</t>
  </si>
  <si>
    <t>Cliente_981</t>
  </si>
  <si>
    <t>Cliente_24</t>
  </si>
  <si>
    <t>Cliente_463</t>
  </si>
  <si>
    <t>Cliente_409</t>
  </si>
  <si>
    <t>Cliente_729</t>
  </si>
  <si>
    <t>Cliente_565</t>
  </si>
  <si>
    <t>Cliente_195</t>
  </si>
  <si>
    <t>Cliente_211</t>
  </si>
  <si>
    <t>Cliente_385</t>
  </si>
  <si>
    <t>Cliente_986</t>
  </si>
  <si>
    <t>Cliente_994</t>
  </si>
  <si>
    <t>Cliente_648</t>
  </si>
  <si>
    <t>Cliente_846</t>
  </si>
  <si>
    <t>Cliente_620</t>
  </si>
  <si>
    <t>Cliente_672</t>
  </si>
  <si>
    <t>Cliente_735</t>
  </si>
  <si>
    <t>Cliente_654</t>
  </si>
  <si>
    <t>Cliente_294</t>
  </si>
  <si>
    <t>Cliente_659</t>
  </si>
  <si>
    <t>Cliente_47</t>
  </si>
  <si>
    <t>Cliente_544</t>
  </si>
  <si>
    <t>Cliente_633</t>
  </si>
  <si>
    <t>Cliente_154</t>
  </si>
  <si>
    <t>Cliente_797</t>
  </si>
  <si>
    <t>Cliente_597</t>
  </si>
  <si>
    <t>Cliente_216</t>
  </si>
  <si>
    <t>Cliente_546</t>
  </si>
  <si>
    <t>Cliente_524</t>
  </si>
  <si>
    <t>Cliente_193</t>
  </si>
  <si>
    <t>Cliente_794</t>
  </si>
  <si>
    <t>Cliente_602</t>
  </si>
  <si>
    <t>Cliente_296</t>
  </si>
  <si>
    <t>Cliente_568</t>
  </si>
  <si>
    <t>Cliente_897</t>
  </si>
  <si>
    <t>Cliente_816</t>
  </si>
  <si>
    <t>Cliente_221</t>
  </si>
  <si>
    <t>Cliente_940</t>
  </si>
  <si>
    <t>Cliente_707</t>
  </si>
  <si>
    <t>Cliente_644</t>
  </si>
  <si>
    <t>Cliente_619</t>
  </si>
  <si>
    <t>Cliente_833</t>
  </si>
  <si>
    <t>Cliente_899</t>
  </si>
  <si>
    <t>Cliente_470</t>
  </si>
  <si>
    <t>Cliente_191</t>
  </si>
  <si>
    <t>Cliente_499</t>
  </si>
  <si>
    <t>Cliente_495</t>
  </si>
  <si>
    <t>Cliente_923</t>
  </si>
  <si>
    <t>Cliente_453</t>
  </si>
  <si>
    <t>Cliente_14</t>
  </si>
  <si>
    <t>Cliente_611</t>
  </si>
  <si>
    <t>Cliente_505</t>
  </si>
  <si>
    <t>Cliente_882</t>
  </si>
  <si>
    <t>Cliente_789</t>
  </si>
  <si>
    <t>Cliente_141</t>
  </si>
  <si>
    <t>Cliente_622</t>
  </si>
  <si>
    <t>Cliente_471</t>
  </si>
  <si>
    <t>Cliente_196</t>
  </si>
  <si>
    <t>Cliente_991</t>
  </si>
  <si>
    <t>Cliente_330</t>
  </si>
  <si>
    <t>Cliente_943</t>
  </si>
  <si>
    <t>Cliente_285</t>
  </si>
  <si>
    <t>Cliente_905</t>
  </si>
  <si>
    <t>Cliente_543</t>
  </si>
  <si>
    <t>Cliente_315</t>
  </si>
  <si>
    <t>Cliente_166</t>
  </si>
  <si>
    <t>Cliente_157</t>
  </si>
  <si>
    <t>Cliente_919</t>
  </si>
  <si>
    <t>Cliente_395</t>
  </si>
  <si>
    <t>Cliente_287</t>
  </si>
  <si>
    <t>Cliente_479</t>
  </si>
  <si>
    <t>Cliente_160</t>
  </si>
  <si>
    <t>Cliente_109</t>
  </si>
  <si>
    <t>Cliente_342</t>
  </si>
  <si>
    <t>Cliente_689</t>
  </si>
  <si>
    <t>Cliente_518</t>
  </si>
  <si>
    <t>Cliente_869</t>
  </si>
  <si>
    <t>Cliente_842</t>
  </si>
  <si>
    <t>Cliente_349</t>
  </si>
  <si>
    <t>Cliente_807</t>
  </si>
  <si>
    <t>Cliente_900</t>
  </si>
  <si>
    <t>Cliente_405</t>
  </si>
  <si>
    <t>Cliente_404</t>
  </si>
  <si>
    <t>Cliente_783</t>
  </si>
  <si>
    <t>Cliente_589</t>
  </si>
  <si>
    <t>Cliente_284</t>
  </si>
  <si>
    <t>Cliente_207</t>
  </si>
  <si>
    <t>Cliente_531</t>
  </si>
  <si>
    <t>Cliente_420</t>
  </si>
  <si>
    <t>Cliente_421</t>
  </si>
  <si>
    <t>Cliente_876</t>
  </si>
  <si>
    <t>Cliente_365</t>
  </si>
  <si>
    <t>Cliente_185</t>
  </si>
  <si>
    <t>Cliente_558</t>
  </si>
  <si>
    <t>Cliente_535</t>
  </si>
  <si>
    <t>Cliente_18</t>
  </si>
  <si>
    <t>Cliente_704</t>
  </si>
  <si>
    <t>Cliente_720</t>
  </si>
  <si>
    <t>Cliente_624</t>
  </si>
  <si>
    <t>Cliente_434</t>
  </si>
  <si>
    <t>Cliente_149</t>
  </si>
  <si>
    <t>Cliente_125</t>
  </si>
  <si>
    <t>Cliente_437</t>
  </si>
  <si>
    <t>Cliente_719</t>
  </si>
  <si>
    <t>Cliente_354</t>
  </si>
  <si>
    <t>Cliente_363</t>
  </si>
  <si>
    <t>Cliente_637</t>
  </si>
  <si>
    <t>Cliente_948</t>
  </si>
  <si>
    <t>Cliente_70</t>
  </si>
  <si>
    <t>Cliente_951</t>
  </si>
  <si>
    <t>Cliente_819</t>
  </si>
  <si>
    <t>Cliente_334</t>
  </si>
  <si>
    <t>Cliente_787</t>
  </si>
  <si>
    <t>Cliente_616</t>
  </si>
  <si>
    <t>Cliente_422</t>
  </si>
  <si>
    <t>Cliente_218</t>
  </si>
  <si>
    <t>Cliente_95</t>
  </si>
  <si>
    <t>Cliente_866</t>
  </si>
  <si>
    <t>Cliente_232</t>
  </si>
  <si>
    <t>Cliente_113</t>
  </si>
  <si>
    <t>Cliente_785</t>
  </si>
  <si>
    <t>Cliente_554</t>
  </si>
  <si>
    <t>Cliente_320</t>
  </si>
  <si>
    <t>Cliente_996</t>
  </si>
  <si>
    <t>Cliente_615</t>
  </si>
  <si>
    <t>Cliente_968</t>
  </si>
  <si>
    <t>Cliente_206</t>
  </si>
  <si>
    <t>Cliente_669</t>
  </si>
  <si>
    <t>Cliente_705</t>
  </si>
  <si>
    <t>Cliente_462</t>
  </si>
  <si>
    <t>Cliente_809</t>
  </si>
  <si>
    <t>Cliente_21</t>
  </si>
  <si>
    <t>Cliente_454</t>
  </si>
  <si>
    <t>Cliente_825</t>
  </si>
  <si>
    <t>Cliente_134</t>
  </si>
  <si>
    <t>Cliente_555</t>
  </si>
  <si>
    <t>Cliente_887</t>
  </si>
  <si>
    <t>Cliente_913</t>
  </si>
  <si>
    <t>Cliente_41</t>
  </si>
  <si>
    <t>Cliente_738</t>
  </si>
  <si>
    <t>Cliente_280</t>
  </si>
  <si>
    <t>Cliente_283</t>
  </si>
  <si>
    <t>Cliente_857</t>
  </si>
  <si>
    <t>Cliente_443</t>
  </si>
  <si>
    <t>Cliente_177</t>
  </si>
  <si>
    <t>Cliente_832</t>
  </si>
  <si>
    <t>Cliente_480</t>
  </si>
  <si>
    <t>Cliente_351</t>
  </si>
  <si>
    <t>Cliente_344</t>
  </si>
  <si>
    <t>Cliente_564</t>
  </si>
  <si>
    <t>Cliente_782</t>
  </si>
  <si>
    <t>Cliente_165</t>
  </si>
  <si>
    <t>Cliente_608</t>
  </si>
  <si>
    <t>Cliente_224</t>
  </si>
  <si>
    <t>Cliente_680</t>
  </si>
  <si>
    <t>Cliente_513</t>
  </si>
  <si>
    <t>Cliente_973</t>
  </si>
  <si>
    <t>Cliente_511</t>
  </si>
  <si>
    <t>Cliente_772</t>
  </si>
  <si>
    <t>Cliente_605</t>
  </si>
  <si>
    <t>Cliente_197</t>
  </si>
  <si>
    <t>Cliente_586</t>
  </si>
  <si>
    <t>Cliente_687</t>
  </si>
  <si>
    <t>Cliente_415</t>
  </si>
  <si>
    <t>Cliente_456</t>
  </si>
  <si>
    <t>Cliente_820</t>
  </si>
  <si>
    <t>Cliente_698</t>
  </si>
  <si>
    <t>Cliente_52</t>
  </si>
  <si>
    <t>Cliente_278</t>
  </si>
  <si>
    <t>Cliente_595</t>
  </si>
  <si>
    <t>Cliente_2</t>
  </si>
  <si>
    <t>Cliente_880</t>
  </si>
  <si>
    <t>Cliente_411</t>
  </si>
  <si>
    <t>Cliente_123</t>
  </si>
  <si>
    <t>Cliente_910</t>
  </si>
  <si>
    <t>Cliente_483</t>
  </si>
  <si>
    <t>Cliente_642</t>
  </si>
  <si>
    <t>Cliente_962</t>
  </si>
  <si>
    <t>Cliente_883</t>
  </si>
  <si>
    <t>Cliente_693</t>
  </si>
  <si>
    <t>Cliente_226</t>
  </si>
  <si>
    <t>Cliente_834</t>
  </si>
  <si>
    <t>Cliente_104</t>
  </si>
  <si>
    <t>Cliente_35</t>
  </si>
  <si>
    <t>Cliente_837</t>
  </si>
  <si>
    <t>Cliente_514</t>
  </si>
  <si>
    <t>Cliente_114</t>
  </si>
  <si>
    <t>Cliente_90</t>
  </si>
  <si>
    <t>Cliente_496</t>
  </si>
  <si>
    <t>Cliente_58</t>
  </si>
  <si>
    <t>Cliente_468</t>
  </si>
  <si>
    <t>Cliente_801</t>
  </si>
  <si>
    <t>Cliente_716</t>
  </si>
  <si>
    <t>Cliente_594</t>
  </si>
  <si>
    <t>Cliente_396</t>
  </si>
  <si>
    <t>Cliente_954</t>
  </si>
  <si>
    <t>Cliente_263</t>
  </si>
  <si>
    <t>Cliente_438</t>
  </si>
  <si>
    <t>Cliente_353</t>
  </si>
  <si>
    <t>Cliente_770</t>
  </si>
  <si>
    <t>Cliente_888</t>
  </si>
  <si>
    <t>Cliente_635</t>
  </si>
  <si>
    <t>Cliente_297</t>
  </si>
  <si>
    <t>Cliente_298</t>
  </si>
  <si>
    <t>Cliente_304</t>
  </si>
  <si>
    <t>Cliente_743</t>
  </si>
  <si>
    <t>Cliente_428</t>
  </si>
  <si>
    <t>Cliente_808</t>
  </si>
  <si>
    <t>Cliente_376</t>
  </si>
  <si>
    <t>Cliente_227</t>
  </si>
  <si>
    <t>Cliente_757</t>
  </si>
  <si>
    <t>Descripción del Plato</t>
  </si>
  <si>
    <t>Descripción del Plato_7</t>
  </si>
  <si>
    <t>Descripción del Plato_2</t>
  </si>
  <si>
    <t>Descripción del Plato_17</t>
  </si>
  <si>
    <t>Descripción del Plato_6</t>
  </si>
  <si>
    <t>Descripción del Plato_20</t>
  </si>
  <si>
    <t>Descripción del Plato_19</t>
  </si>
  <si>
    <t>Descripción del Plato_9</t>
  </si>
  <si>
    <t>Descripción del Plato_11</t>
  </si>
  <si>
    <t>Descripción del Plato_16</t>
  </si>
  <si>
    <t>Descripción del Plato_12</t>
  </si>
  <si>
    <t>Descripción del Plato_8</t>
  </si>
  <si>
    <t>Descripción del Plato_15</t>
  </si>
  <si>
    <t>Descripción del Plato_5</t>
  </si>
  <si>
    <t>Descripción del Plato_18</t>
  </si>
  <si>
    <t>Descripción del Plato_3</t>
  </si>
  <si>
    <t>Descripción del Plato_14</t>
  </si>
  <si>
    <t>Descripción del Plato_13</t>
  </si>
  <si>
    <t>Descripción del Plato_4</t>
  </si>
  <si>
    <t>Descripción del Plato_10</t>
  </si>
  <si>
    <t>Descripción del Plato_1</t>
  </si>
  <si>
    <t>Monto Total de la cuenta</t>
  </si>
  <si>
    <t>Fecha de Factura</t>
  </si>
  <si>
    <t>Tiempo Permanencia</t>
  </si>
  <si>
    <t xml:space="preserve">Tiempo de Preparación </t>
  </si>
  <si>
    <t>Tiempo de Preparación</t>
  </si>
  <si>
    <t>Tiempo de Degustación</t>
  </si>
  <si>
    <t>Orden Cobrada</t>
  </si>
  <si>
    <t>Cliente</t>
  </si>
  <si>
    <t>Precio Cena</t>
  </si>
  <si>
    <t>Cliente Nº</t>
  </si>
  <si>
    <t>Estado mesa</t>
  </si>
  <si>
    <t>Tiempo Extra</t>
  </si>
  <si>
    <t>Preparación en horas</t>
  </si>
  <si>
    <t>Nº Orden</t>
  </si>
  <si>
    <t>Órdenes Cobradas</t>
  </si>
  <si>
    <t>Órdenes no Cobradas</t>
  </si>
  <si>
    <t>Ganancia Neta</t>
  </si>
  <si>
    <t>Ganancia Bruta</t>
  </si>
  <si>
    <t>Porcentaje de Ganancia</t>
  </si>
  <si>
    <t>Orden</t>
  </si>
  <si>
    <t>Cantidad</t>
  </si>
  <si>
    <t>DATOS COCINA</t>
  </si>
  <si>
    <t>Coste Cena</t>
  </si>
  <si>
    <t>DATOS SALA</t>
  </si>
  <si>
    <t>Numero de Orden</t>
  </si>
  <si>
    <t>Ingresos</t>
  </si>
  <si>
    <t>Número de Comandas</t>
  </si>
  <si>
    <t>Cobrado</t>
  </si>
  <si>
    <t>Total Cena</t>
  </si>
  <si>
    <t>Nº Transacciones</t>
  </si>
  <si>
    <t>Tarjeta de Crédito</t>
  </si>
  <si>
    <t>Tarjeta de Débito</t>
  </si>
  <si>
    <t>Fecha</t>
  </si>
  <si>
    <t>Día de la semana</t>
  </si>
  <si>
    <t>País</t>
  </si>
  <si>
    <t>Impagos (Cantidad)</t>
  </si>
  <si>
    <t>Impagos (Importe)</t>
  </si>
  <si>
    <t>Mesero</t>
  </si>
  <si>
    <t>Propinas (Cantidad)</t>
  </si>
  <si>
    <t>Número de Impagos</t>
  </si>
  <si>
    <t>Propinas (Importe)</t>
  </si>
  <si>
    <t>Coste de la cena aun no se haya pagado</t>
  </si>
  <si>
    <t>Propinas por mesero</t>
  </si>
  <si>
    <t>Órdenes Atendidas</t>
  </si>
  <si>
    <t>Servicio Más Rentable</t>
  </si>
  <si>
    <t>Se puede apreciar que el servicio más rentable con diferencia es el almuerzo, se observa que el desayuno y la cena son servicios que generan beneficios parecidos, siendo la cena el segundo más rentable</t>
  </si>
  <si>
    <t>Método de Pago Más Usado</t>
  </si>
  <si>
    <t>Se Observa que el método más usado es la tarjeta de crédito y, que en general se usan métodos de pago electrónicos teniendo menos de 100 pagos en efectivo</t>
  </si>
  <si>
    <t>Clientes</t>
  </si>
  <si>
    <t>Se observa que los clientes de Argentina son los que más han gastado, y que el número de clientes es más o menos igual en estos días</t>
  </si>
  <si>
    <t>Ingresos por País de Origen</t>
  </si>
  <si>
    <t>Informe de Impagos y Pérdidas por día</t>
  </si>
  <si>
    <t>Se observa que el peor día fue el 2 y el 6 de abril, siendo el mejor el 4 y habiendo una media de 12 Impagos por día
Esto nos lleva más adelante a investigar si el problema viene de algún mesero en particular o de la cocina</t>
  </si>
  <si>
    <t>Desglose de Propinas por Día (Cantidad e Importe)</t>
  </si>
  <si>
    <t>Desglose de Órdenes Atendidas por mesero</t>
  </si>
  <si>
    <t>Observamos que el Mesero 2 Atiende una cantidad mayor que el resto de Meseros, por una diferencia notoria.
Habría que revisar si los meseros 1 y 5 están siendo eficientes, o si los horarios de los meseros están correctamente revisados</t>
  </si>
  <si>
    <t>Análisis de los Meseros</t>
  </si>
  <si>
    <t>Observando la cantidad de mesas Atendidas por los meseros, observamos que el porcentaje de impagos vs mesas atendidas es más o menos igual , siendo el mesero 5 el que más impagos ha tenido en sus órdenes, pero el número no es alarmante de un posible problema en la calidad de la atención al cliente.
Esto nos indica que el problema posiblemente se encuente en la rapidez del servicio de cocina. 
Haría falta saber más datos de la cocina, número de empleados, quien ha hecho un plato, para saber con certeza si el problema es de que no hay suficientes cocineros, o la eficiencia de un empleado en particular</t>
  </si>
  <si>
    <t>Número total de Órdenes</t>
  </si>
  <si>
    <t>Número Medio de Comensales</t>
  </si>
  <si>
    <t>Ticket Medio</t>
  </si>
  <si>
    <t>Coste Total</t>
  </si>
  <si>
    <t>Resumen de los Resultados</t>
  </si>
  <si>
    <t>Precio Cena2</t>
  </si>
  <si>
    <t>Facturación Total (Sin Propinas)</t>
  </si>
  <si>
    <t>Margen de Beneficio (Con Propinas)</t>
  </si>
  <si>
    <t>Facturación Total (Con Propinas)</t>
  </si>
  <si>
    <t>Margen de Beneficio (Sin Propinas)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</si>
</sst>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0.00\ &quot;€&quot;"/>
  </numFmts>
  <fonts count="4" x14ac:knownFonts="1">
    <font>
      <sz val="11"/>
      <color theme="1"/>
      <name val="Aptos Narrow"/>
      <family val="2"/>
      <scheme val="minor"/>
    </font>
    <font>
      <b/>
      <sz val="11"/>
      <color theme="0"/>
      <name val="Aptos Narrow"/>
      <family val="2"/>
      <scheme val="minor"/>
    </font>
    <font>
      <b/>
      <sz val="20"/>
      <color theme="1"/>
      <name val="Aptos Narrow"/>
      <family val="2"/>
      <scheme val="minor"/>
    </font>
    <font>
      <b/>
      <sz val="14"/>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6">
    <border>
      <left/>
      <right/>
      <top/>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9">
    <xf numFmtId="0" fontId="0" fillId="0" borderId="0" xfId="0"/>
    <xf numFmtId="22" fontId="0" fillId="0" borderId="0" xfId="0" applyNumberFormat="1"/>
    <xf numFmtId="0" fontId="0" fillId="0" borderId="0" xfId="0" applyAlignment="1">
      <alignment horizontal="center" vertical="center" wrapText="1"/>
    </xf>
    <xf numFmtId="14" fontId="0" fillId="0" borderId="0" xfId="0" applyNumberFormat="1"/>
    <xf numFmtId="20" fontId="0" fillId="0" borderId="0" xfId="0" applyNumberFormat="1"/>
    <xf numFmtId="0" fontId="0" fillId="0" borderId="0" xfId="0" applyAlignment="1">
      <alignment horizontal="right"/>
    </xf>
    <xf numFmtId="0" fontId="0" fillId="3" borderId="1" xfId="0" applyFill="1" applyBorder="1"/>
    <xf numFmtId="0" fontId="0" fillId="0" borderId="1" xfId="0" applyBorder="1"/>
    <xf numFmtId="20" fontId="0" fillId="0" borderId="0" xfId="0" applyNumberFormat="1" applyAlignment="1">
      <alignment horizontal="center"/>
    </xf>
    <xf numFmtId="0" fontId="0" fillId="0" borderId="0" xfId="0" applyAlignment="1">
      <alignment horizontal="center"/>
    </xf>
    <xf numFmtId="10" fontId="0" fillId="0" borderId="0" xfId="0" applyNumberFormat="1" applyAlignment="1">
      <alignment horizontal="right"/>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2" borderId="5" xfId="0" applyFont="1" applyFill="1" applyBorder="1" applyAlignment="1">
      <alignment horizontal="center" vertical="center" wrapText="1"/>
    </xf>
    <xf numFmtId="0" fontId="0" fillId="3" borderId="0" xfId="0" applyFill="1"/>
    <xf numFmtId="0" fontId="1" fillId="2" borderId="6" xfId="0" applyFont="1" applyFill="1" applyBorder="1"/>
    <xf numFmtId="0" fontId="1" fillId="2" borderId="7" xfId="0" applyFont="1" applyFill="1" applyBorder="1"/>
    <xf numFmtId="0" fontId="0" fillId="3" borderId="7" xfId="0" applyFill="1" applyBorder="1"/>
    <xf numFmtId="0" fontId="0" fillId="0" borderId="7" xfId="0" applyBorder="1"/>
    <xf numFmtId="14" fontId="0" fillId="3" borderId="6" xfId="0" applyNumberFormat="1" applyFill="1" applyBorder="1"/>
    <xf numFmtId="14" fontId="0" fillId="0" borderId="6" xfId="0" applyNumberFormat="1" applyBorder="1"/>
    <xf numFmtId="0" fontId="0" fillId="0" borderId="11" xfId="0" applyBorder="1"/>
    <xf numFmtId="0" fontId="0" fillId="0" borderId="13" xfId="0" applyBorder="1"/>
    <xf numFmtId="0" fontId="0" fillId="0" borderId="14" xfId="0" applyBorder="1"/>
    <xf numFmtId="44" fontId="0" fillId="3" borderId="7" xfId="0" applyNumberFormat="1" applyFill="1" applyBorder="1"/>
    <xf numFmtId="44" fontId="0" fillId="0" borderId="7" xfId="0" applyNumberFormat="1" applyBorder="1"/>
    <xf numFmtId="44" fontId="0" fillId="0" borderId="0" xfId="0" applyNumberFormat="1"/>
    <xf numFmtId="164" fontId="0" fillId="3" borderId="7" xfId="0" applyNumberFormat="1" applyFill="1" applyBorder="1"/>
    <xf numFmtId="164" fontId="0" fillId="0" borderId="7" xfId="0" applyNumberFormat="1" applyBorder="1"/>
    <xf numFmtId="0" fontId="0" fillId="0" borderId="11" xfId="0" applyBorder="1" applyAlignment="1">
      <alignment wrapText="1"/>
    </xf>
    <xf numFmtId="0" fontId="0" fillId="0" borderId="0" xfId="0" applyAlignment="1">
      <alignment wrapText="1"/>
    </xf>
    <xf numFmtId="0" fontId="0" fillId="0" borderId="13" xfId="0" applyBorder="1" applyAlignment="1">
      <alignment wrapText="1"/>
    </xf>
    <xf numFmtId="0" fontId="0" fillId="0" borderId="14" xfId="0" applyBorder="1" applyAlignment="1">
      <alignment wrapText="1"/>
    </xf>
    <xf numFmtId="0" fontId="2"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0" fillId="0" borderId="0" xfId="0"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xf numFmtId="0" fontId="0" fillId="0" borderId="0" xfId="0" applyNumberFormat="1"/>
    <xf numFmtId="0" fontId="0" fillId="0" borderId="0" xfId="0"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horizontal="center" vertical="center" wrapText="1"/>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3" xfId="0" applyFont="1" applyFill="1" applyBorder="1" applyAlignment="1">
      <alignment horizontal="center" vertical="center"/>
    </xf>
    <xf numFmtId="0" fontId="1" fillId="2" borderId="14" xfId="0" applyFont="1" applyFill="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cellXfs>
  <cellStyles count="1">
    <cellStyle name="Normal" xfId="0" builtinId="0"/>
  </cellStyles>
  <dxfs count="6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19" formatCode="dd/mm/yyyy"/>
    </dxf>
    <dxf>
      <numFmt numFmtId="34" formatCode="_-* #,##0.00\ &quot;€&quot;_-;\-* #,##0.00\ &quot;€&quot;_-;_-* &quot;-&quot;??\ &quot;€&quot;_-;_-@_-"/>
    </dxf>
    <dxf>
      <alignment horizontal="center" vertical="center" textRotation="0" wrapText="1" indent="0" justifyLastLine="0" shrinkToFit="0" readingOrder="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center" vertical="center" textRotation="0" wrapText="1" indent="0" justifyLastLine="0" shrinkToFit="0" readingOrder="0"/>
    </dxf>
    <dxf>
      <numFmt numFmtId="0" formatCode="General"/>
    </dxf>
    <dxf>
      <numFmt numFmtId="0" formatCode="General"/>
    </dxf>
    <dxf>
      <numFmt numFmtId="0" formatCode="General"/>
      <alignment horizontal="right" vertical="bottom" textRotation="0" wrapText="0" indent="0" justifyLastLine="0" shrinkToFit="0" readingOrder="0"/>
    </dxf>
    <dxf>
      <numFmt numFmtId="14" formatCode="0.00%"/>
      <alignment horizontal="right" vertical="bottom" textRotation="0" wrapText="0" indent="0" justifyLastLine="0" shrinkToFit="0" readingOrder="0"/>
    </dxf>
    <dxf>
      <numFmt numFmtId="0" formatCode="General"/>
    </dxf>
    <dxf>
      <numFmt numFmtId="0" formatCode="General"/>
    </dxf>
    <dxf>
      <numFmt numFmtId="0" formatCode="General"/>
      <alignment horizontal="right" vertical="bottom" textRotation="0" wrapText="0" indent="0" justifyLastLine="0" shrinkToFit="0" readingOrder="0"/>
    </dxf>
    <dxf>
      <numFmt numFmtId="25" formatCode="h:mm"/>
    </dxf>
    <dxf>
      <numFmt numFmtId="0" formatCode="General"/>
      <alignment horizontal="right" vertical="bottom" textRotation="0" wrapText="0" indent="0" justifyLastLine="0" shrinkToFit="0" readingOrder="0"/>
    </dxf>
    <dxf>
      <numFmt numFmtId="25" formatCode="h:mm"/>
    </dxf>
    <dxf>
      <numFmt numFmtId="25" formatCode="h:mm"/>
    </dxf>
    <dxf>
      <numFmt numFmtId="25" formatCode="h:mm"/>
    </dxf>
    <dxf>
      <numFmt numFmtId="19" formatCode="dd/mm/yyyy"/>
    </dxf>
    <dxf>
      <numFmt numFmtId="0" formatCode="General"/>
    </dxf>
    <dxf>
      <numFmt numFmtId="0" formatCode="General"/>
    </dxf>
    <dxf>
      <numFmt numFmtId="25" formatCode="h:mm"/>
      <alignment horizontal="center" textRotation="0" indent="0" justifyLastLine="0" shrinkToFit="0" readingOrder="0"/>
    </dxf>
    <dxf>
      <alignment horizontal="center" vertical="center" textRotation="0" wrapText="1" indent="0" justifyLastLine="0" shrinkToFit="0" readingOrder="0"/>
    </dxf>
    <dxf>
      <numFmt numFmtId="0" formatCode="General"/>
    </dxf>
    <dxf>
      <numFmt numFmtId="25" formatCode="h:mm"/>
    </dxf>
    <dxf>
      <numFmt numFmtId="0" formatCode="General"/>
    </dxf>
    <dxf>
      <numFmt numFmtId="0" formatCode="General"/>
    </dxf>
    <dxf>
      <numFmt numFmtId="0" formatCode="General"/>
    </dxf>
    <dxf>
      <numFmt numFmtId="27" formatCode="dd/mm/yyyy\ h:mm"/>
    </dxf>
    <dxf>
      <numFmt numFmtId="27" formatCode="dd/mm/yyyy\ h:mm"/>
    </dxf>
    <dxf>
      <numFmt numFmtId="0" formatCode="General"/>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s-ES"/>
              <a:t>Análisis de Ingresos por tipo de Servicio</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s-ES"/>
        </a:p>
      </c:txPr>
    </c:title>
    <c:autoTitleDeleted val="0"/>
    <c:plotArea>
      <c:layout/>
      <c:barChart>
        <c:barDir val="col"/>
        <c:grouping val="clustered"/>
        <c:varyColors val="0"/>
        <c:ser>
          <c:idx val="0"/>
          <c:order val="0"/>
          <c:tx>
            <c:strRef>
              <c:f>Tablas!$A$2</c:f>
              <c:strCache>
                <c:ptCount val="1"/>
                <c:pt idx="0">
                  <c:v>Desayuno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Tablas!$C$2</c:f>
              <c:numCache>
                <c:formatCode>_("€"* #,##0.00_);_("€"* \(#,##0.00\);_("€"* "-"??_);_(@_)</c:formatCode>
                <c:ptCount val="1"/>
                <c:pt idx="0">
                  <c:v>362911</c:v>
                </c:pt>
              </c:numCache>
            </c:numRef>
          </c:val>
          <c:extLst>
            <c:ext xmlns:c16="http://schemas.microsoft.com/office/drawing/2014/chart" uri="{C3380CC4-5D6E-409C-BE32-E72D297353CC}">
              <c16:uniqueId val="{00000000-469F-4F23-9369-51CF2413B8FF}"/>
            </c:ext>
          </c:extLst>
        </c:ser>
        <c:ser>
          <c:idx val="1"/>
          <c:order val="1"/>
          <c:tx>
            <c:strRef>
              <c:f>Tablas!$A$3</c:f>
              <c:strCache>
                <c:ptCount val="1"/>
                <c:pt idx="0">
                  <c:v>Almuerzo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Tablas!$C$3</c:f>
              <c:numCache>
                <c:formatCode>_("€"* #,##0.00_);_("€"* \(#,##0.00\);_("€"* "-"??_);_(@_)</c:formatCode>
                <c:ptCount val="1"/>
                <c:pt idx="0">
                  <c:v>1117274</c:v>
                </c:pt>
              </c:numCache>
            </c:numRef>
          </c:val>
          <c:extLst>
            <c:ext xmlns:c16="http://schemas.microsoft.com/office/drawing/2014/chart" uri="{C3380CC4-5D6E-409C-BE32-E72D297353CC}">
              <c16:uniqueId val="{00000001-469F-4F23-9369-51CF2413B8FF}"/>
            </c:ext>
          </c:extLst>
        </c:ser>
        <c:ser>
          <c:idx val="2"/>
          <c:order val="2"/>
          <c:tx>
            <c:strRef>
              <c:f>Tablas!$A$4</c:f>
              <c:strCache>
                <c:ptCount val="1"/>
                <c:pt idx="0">
                  <c:v>Cena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Tablas!$C$4</c:f>
              <c:numCache>
                <c:formatCode>_("€"* #,##0.00_);_("€"* \(#,##0.00\);_("€"* "-"??_);_(@_)</c:formatCode>
                <c:ptCount val="1"/>
                <c:pt idx="0">
                  <c:v>379258</c:v>
                </c:pt>
              </c:numCache>
            </c:numRef>
          </c:val>
          <c:extLst>
            <c:ext xmlns:c16="http://schemas.microsoft.com/office/drawing/2014/chart" uri="{C3380CC4-5D6E-409C-BE32-E72D297353CC}">
              <c16:uniqueId val="{00000002-469F-4F23-9369-51CF2413B8FF}"/>
            </c:ext>
          </c:extLst>
        </c:ser>
        <c:dLbls>
          <c:showLegendKey val="0"/>
          <c:showVal val="0"/>
          <c:showCatName val="0"/>
          <c:showSerName val="0"/>
          <c:showPercent val="0"/>
          <c:showBubbleSize val="0"/>
        </c:dLbls>
        <c:gapWidth val="219"/>
        <c:overlap val="-27"/>
        <c:axId val="993210959"/>
        <c:axId val="993212879"/>
      </c:barChart>
      <c:catAx>
        <c:axId val="9932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crossAx val="993212879"/>
        <c:crosses val="autoZero"/>
        <c:auto val="1"/>
        <c:lblAlgn val="ctr"/>
        <c:lblOffset val="100"/>
        <c:noMultiLvlLbl val="0"/>
      </c:catAx>
      <c:valAx>
        <c:axId val="9932128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crossAx val="99321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legend>
    <c:plotVisOnly val="1"/>
    <c:dispBlanksAs val="gap"/>
    <c:showDLblsOverMax val="0"/>
  </c:chart>
  <c:spPr>
    <a:solidFill>
      <a:schemeClr val="bg1"/>
    </a:solidFill>
    <a:ln w="28575" cap="flat" cmpd="sng" algn="ctr">
      <a:solidFill>
        <a:schemeClr val="tx1">
          <a:lumMod val="15000"/>
          <a:lumOff val="85000"/>
        </a:schemeClr>
      </a:solidFill>
      <a:round/>
    </a:ln>
    <a:effectLst/>
  </c:spPr>
  <c:txPr>
    <a:bodyPr/>
    <a:lstStyle/>
    <a:p>
      <a:pPr>
        <a:defRPr>
          <a:ln>
            <a:noFill/>
          </a:ln>
          <a:solidFill>
            <a:schemeClr val="tx1"/>
          </a:solidFill>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s-ES" sz="1400" b="0" i="0" u="none" strike="noStrike" baseline="0">
                <a:solidFill>
                  <a:sysClr val="windowText" lastClr="000000">
                    <a:lumMod val="65000"/>
                    <a:lumOff val="35000"/>
                  </a:sysClr>
                </a:solidFill>
                <a:latin typeface="Aptos Narrow" panose="02110004020202020204"/>
              </a:rPr>
              <a:t>Análisis de número de transacciones por Método de Pago</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Tablas!$B$21</c:f>
              <c:strCache>
                <c:ptCount val="1"/>
                <c:pt idx="0">
                  <c:v>Nº Transacciones</c:v>
                </c:pt>
              </c:strCache>
            </c:strRef>
          </c:tx>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B245-49BB-831A-CE8340E3981F}"/>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B245-49BB-831A-CE8340E3981F}"/>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B245-49BB-831A-CE8340E3981F}"/>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16549247889042468"/>
                      <c:h val="0.10777292727423825"/>
                    </c:manualLayout>
                  </c15:layout>
                </c:ext>
                <c:ext xmlns:c16="http://schemas.microsoft.com/office/drawing/2014/chart" uri="{C3380CC4-5D6E-409C-BE32-E72D297353CC}">
                  <c16:uniqueId val="{00000001-B245-49BB-831A-CE8340E3981F}"/>
                </c:ext>
              </c:extLst>
            </c:dLbl>
            <c:dLbl>
              <c:idx val="1"/>
              <c:layout>
                <c:manualLayout>
                  <c:x val="-0.35991624439065406"/>
                  <c:y val="-3.5416670152560049E-3"/>
                </c:manualLayout>
              </c:layout>
              <c:tx>
                <c:rich>
                  <a:bodyPr rot="0" spcFirstLastPara="1" vertOverflow="ellipsis" vert="horz" wrap="square" lIns="38100" tIns="19050" rIns="38100" bIns="19050" anchor="ctr" anchorCtr="1">
                    <a:noAutofit/>
                  </a:bodyPr>
                  <a:lstStyle/>
                  <a:p>
                    <a:pPr>
                      <a:defRPr sz="1100" b="1" i="0" u="none" strike="noStrike" baseline="0">
                        <a:solidFill>
                          <a:schemeClr val="bg1"/>
                        </a:solidFill>
                        <a:latin typeface="+mn-lt"/>
                        <a:ea typeface="+mn-ea"/>
                        <a:cs typeface="+mn-cs"/>
                      </a:defRPr>
                    </a:pPr>
                    <a:fld id="{E0487D25-EEC9-48EA-A455-4E4EF4F762E0}" type="CATEGORYNAME">
                      <a:rPr lang="en-US" sz="1100" b="1">
                        <a:solidFill>
                          <a:schemeClr val="bg1"/>
                        </a:solidFill>
                      </a:rPr>
                      <a:pPr>
                        <a:defRPr sz="1100" b="1">
                          <a:solidFill>
                            <a:schemeClr val="bg1"/>
                          </a:solidFill>
                        </a:defRPr>
                      </a:pPr>
                      <a:t>[NOMBRE DE CATEGORÍA]</a:t>
                    </a:fld>
                    <a:r>
                      <a:rPr lang="en-US" sz="1100" b="1" baseline="0">
                        <a:solidFill>
                          <a:schemeClr val="bg1"/>
                        </a:solidFill>
                      </a:rPr>
                      <a:t>; </a:t>
                    </a:r>
                    <a:fld id="{5E3D9160-D901-43FF-BD27-AB7626D948FA}" type="VALUE">
                      <a:rPr lang="en-US" sz="1100" b="1" baseline="0">
                        <a:solidFill>
                          <a:schemeClr val="bg1"/>
                        </a:solidFill>
                      </a:rPr>
                      <a:pPr>
                        <a:defRPr sz="1100" b="1">
                          <a:solidFill>
                            <a:schemeClr val="bg1"/>
                          </a:solidFill>
                        </a:defRPr>
                      </a:pPr>
                      <a:t>[VALOR]</a:t>
                    </a:fld>
                    <a:endParaRPr lang="en-US" sz="11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chemeClr val="bg1"/>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24130495918607192"/>
                      <c:h val="0.11676876149298833"/>
                    </c:manualLayout>
                  </c15:layout>
                  <c15:dlblFieldTable/>
                  <c15:showDataLabelsRange val="0"/>
                </c:ext>
                <c:ext xmlns:c16="http://schemas.microsoft.com/office/drawing/2014/chart" uri="{C3380CC4-5D6E-409C-BE32-E72D297353CC}">
                  <c16:uniqueId val="{00000003-B245-49BB-831A-CE8340E3981F}"/>
                </c:ext>
              </c:extLst>
            </c:dLbl>
            <c:dLbl>
              <c:idx val="2"/>
              <c:layout>
                <c:manualLayout>
                  <c:x val="-1.1498921546027286E-2"/>
                  <c:y val="-1.770972943337231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20343891999231473"/>
                      <c:h val="0.11682202593392642"/>
                    </c:manualLayout>
                  </c15:layout>
                </c:ext>
                <c:ext xmlns:c16="http://schemas.microsoft.com/office/drawing/2014/chart" uri="{C3380CC4-5D6E-409C-BE32-E72D297353CC}">
                  <c16:uniqueId val="{00000005-B245-49BB-831A-CE8340E3981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Tablas!$A$22:$A$24</c:f>
              <c:strCache>
                <c:ptCount val="3"/>
                <c:pt idx="0">
                  <c:v>Efectivo</c:v>
                </c:pt>
                <c:pt idx="1">
                  <c:v>Tarjeta de Crédito</c:v>
                </c:pt>
                <c:pt idx="2">
                  <c:v>Tarjeta de Débito</c:v>
                </c:pt>
              </c:strCache>
            </c:strRef>
          </c:cat>
          <c:val>
            <c:numRef>
              <c:f>Tablas!$B$22:$B$24</c:f>
              <c:numCache>
                <c:formatCode>General</c:formatCode>
                <c:ptCount val="3"/>
                <c:pt idx="0">
                  <c:v>92</c:v>
                </c:pt>
                <c:pt idx="1">
                  <c:v>525</c:v>
                </c:pt>
                <c:pt idx="2">
                  <c:v>150</c:v>
                </c:pt>
              </c:numCache>
            </c:numRef>
          </c:val>
          <c:extLst>
            <c:ext xmlns:c16="http://schemas.microsoft.com/office/drawing/2014/chart" uri="{C3380CC4-5D6E-409C-BE32-E72D297353CC}">
              <c16:uniqueId val="{00000006-B245-49BB-831A-CE8340E3981F}"/>
            </c:ext>
          </c:extLst>
        </c:ser>
        <c:dLbls>
          <c:showLegendKey val="0"/>
          <c:showVal val="0"/>
          <c:showCatName val="1"/>
          <c:showSerName val="0"/>
          <c:showPercent val="1"/>
          <c:showBubbleSize val="0"/>
        </c:dLbls>
        <c:gapWidth val="100"/>
        <c:axId val="755594847"/>
        <c:axId val="755603007"/>
      </c:barChart>
      <c:catAx>
        <c:axId val="7555948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s-ES"/>
          </a:p>
        </c:txPr>
        <c:crossAx val="755603007"/>
        <c:crosses val="autoZero"/>
        <c:auto val="1"/>
        <c:lblAlgn val="ctr"/>
        <c:lblOffset val="100"/>
        <c:noMultiLvlLbl val="0"/>
      </c:catAx>
      <c:valAx>
        <c:axId val="75560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s-ES"/>
          </a:p>
        </c:txPr>
        <c:crossAx val="75559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Clientes por país de Origen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Tablas!$B$79</c:f>
              <c:strCache>
                <c:ptCount val="1"/>
                <c:pt idx="0">
                  <c:v>Clientes</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Tablas!$A$80:$A$90</c:f>
              <c:strCache>
                <c:ptCount val="11"/>
                <c:pt idx="0">
                  <c:v>España</c:v>
                </c:pt>
                <c:pt idx="1">
                  <c:v>Colombia</c:v>
                </c:pt>
                <c:pt idx="2">
                  <c:v>Brasil</c:v>
                </c:pt>
                <c:pt idx="3">
                  <c:v>Paraguay</c:v>
                </c:pt>
                <c:pt idx="4">
                  <c:v>Perú</c:v>
                </c:pt>
                <c:pt idx="5">
                  <c:v>Venezuela</c:v>
                </c:pt>
                <c:pt idx="6">
                  <c:v>Bolivia</c:v>
                </c:pt>
                <c:pt idx="7">
                  <c:v>Uruguay</c:v>
                </c:pt>
                <c:pt idx="8">
                  <c:v>Ecuador</c:v>
                </c:pt>
                <c:pt idx="9">
                  <c:v>Chile</c:v>
                </c:pt>
                <c:pt idx="10">
                  <c:v>Argentina</c:v>
                </c:pt>
              </c:strCache>
            </c:strRef>
          </c:cat>
          <c:val>
            <c:numRef>
              <c:f>Tablas!$B$80:$B$90</c:f>
              <c:numCache>
                <c:formatCode>General</c:formatCode>
                <c:ptCount val="11"/>
                <c:pt idx="0">
                  <c:v>71</c:v>
                </c:pt>
                <c:pt idx="1">
                  <c:v>68</c:v>
                </c:pt>
                <c:pt idx="2">
                  <c:v>63</c:v>
                </c:pt>
                <c:pt idx="3">
                  <c:v>70</c:v>
                </c:pt>
                <c:pt idx="4">
                  <c:v>78</c:v>
                </c:pt>
                <c:pt idx="5">
                  <c:v>62</c:v>
                </c:pt>
                <c:pt idx="6">
                  <c:v>76</c:v>
                </c:pt>
                <c:pt idx="7">
                  <c:v>69</c:v>
                </c:pt>
                <c:pt idx="8">
                  <c:v>61</c:v>
                </c:pt>
                <c:pt idx="9">
                  <c:v>75</c:v>
                </c:pt>
                <c:pt idx="10">
                  <c:v>74</c:v>
                </c:pt>
              </c:numCache>
            </c:numRef>
          </c:val>
          <c:extLst>
            <c:ext xmlns:c16="http://schemas.microsoft.com/office/drawing/2014/chart" uri="{C3380CC4-5D6E-409C-BE32-E72D297353CC}">
              <c16:uniqueId val="{00000000-8EAE-4C97-975E-8528474092BF}"/>
            </c:ext>
          </c:extLst>
        </c:ser>
        <c:dLbls>
          <c:showLegendKey val="0"/>
          <c:showVal val="0"/>
          <c:showCatName val="0"/>
          <c:showSerName val="0"/>
          <c:showPercent val="0"/>
          <c:showBubbleSize val="0"/>
        </c:dLbls>
        <c:gapWidth val="182"/>
        <c:axId val="392327599"/>
        <c:axId val="392331919"/>
      </c:barChart>
      <c:catAx>
        <c:axId val="39232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92331919"/>
        <c:crosses val="autoZero"/>
        <c:auto val="1"/>
        <c:lblAlgn val="ctr"/>
        <c:lblOffset val="100"/>
        <c:noMultiLvlLbl val="0"/>
      </c:catAx>
      <c:valAx>
        <c:axId val="39233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9232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 de Impagos por día (Número</a:t>
            </a:r>
            <a:r>
              <a:rPr lang="en-US" baseline="0"/>
              <a:t> de Impagos)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2.528644205981001E-2"/>
          <c:y val="0.11691664109434796"/>
          <c:w val="0.95333999293788807"/>
          <c:h val="0.82248166612387008"/>
        </c:manualLayout>
      </c:layout>
      <c:barChart>
        <c:barDir val="col"/>
        <c:grouping val="clustered"/>
        <c:varyColors val="1"/>
        <c:ser>
          <c:idx val="0"/>
          <c:order val="0"/>
          <c:tx>
            <c:strRef>
              <c:f>Tablas!$B$98</c:f>
              <c:strCache>
                <c:ptCount val="1"/>
                <c:pt idx="0">
                  <c:v>Impagos (Cantidad)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5E1-4462-B8D2-C0AC1CB1493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5E1-4462-B8D2-C0AC1CB1493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5E1-4462-B8D2-C0AC1CB1493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5E1-4462-B8D2-C0AC1CB1493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5E1-4462-B8D2-C0AC1CB1493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5E1-4462-B8D2-C0AC1CB1493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5E1-4462-B8D2-C0AC1CB1493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Tablas!$A$99:$A$105</c:f>
              <c:numCache>
                <c:formatCode>m/d/yyyy</c:formatCode>
                <c:ptCount val="7"/>
                <c:pt idx="0">
                  <c:v>45017</c:v>
                </c:pt>
                <c:pt idx="1">
                  <c:v>45018</c:v>
                </c:pt>
                <c:pt idx="2">
                  <c:v>45019</c:v>
                </c:pt>
                <c:pt idx="3">
                  <c:v>45020</c:v>
                </c:pt>
                <c:pt idx="4">
                  <c:v>45021</c:v>
                </c:pt>
                <c:pt idx="5">
                  <c:v>45022</c:v>
                </c:pt>
                <c:pt idx="6">
                  <c:v>45023</c:v>
                </c:pt>
              </c:numCache>
            </c:numRef>
          </c:cat>
          <c:val>
            <c:numRef>
              <c:f>Tablas!$B$99:$B$105</c:f>
              <c:numCache>
                <c:formatCode>General</c:formatCode>
                <c:ptCount val="7"/>
                <c:pt idx="0">
                  <c:v>15</c:v>
                </c:pt>
                <c:pt idx="1">
                  <c:v>27</c:v>
                </c:pt>
                <c:pt idx="2">
                  <c:v>12</c:v>
                </c:pt>
                <c:pt idx="3">
                  <c:v>1</c:v>
                </c:pt>
                <c:pt idx="4">
                  <c:v>10</c:v>
                </c:pt>
                <c:pt idx="5">
                  <c:v>22</c:v>
                </c:pt>
                <c:pt idx="6">
                  <c:v>12</c:v>
                </c:pt>
              </c:numCache>
            </c:numRef>
          </c:val>
          <c:extLst>
            <c:ext xmlns:c16="http://schemas.microsoft.com/office/drawing/2014/chart" uri="{C3380CC4-5D6E-409C-BE32-E72D297353CC}">
              <c16:uniqueId val="{0000000E-65E1-4462-B8D2-C0AC1CB14938}"/>
            </c:ext>
          </c:extLst>
        </c:ser>
        <c:dLbls>
          <c:showLegendKey val="0"/>
          <c:showVal val="0"/>
          <c:showCatName val="0"/>
          <c:showSerName val="0"/>
          <c:showPercent val="0"/>
          <c:showBubbleSize val="0"/>
        </c:dLbls>
        <c:gapWidth val="219"/>
        <c:overlap val="-27"/>
        <c:axId val="889469055"/>
        <c:axId val="889476255"/>
      </c:barChart>
      <c:dateAx>
        <c:axId val="8894690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889476255"/>
        <c:crosses val="autoZero"/>
        <c:auto val="1"/>
        <c:lblOffset val="100"/>
        <c:baseTimeUnit val="days"/>
      </c:dateAx>
      <c:valAx>
        <c:axId val="889476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8946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 Impagos por día (Importes</a:t>
            </a:r>
            <a:r>
              <a:rPr lang="en-US" baseline="0"/>
              <a:t> no abonados)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Tablas!$B$125</c:f>
              <c:strCache>
                <c:ptCount val="1"/>
                <c:pt idx="0">
                  <c:v>Impagos (Importe)</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2BE-4EBA-AEC9-C475E119953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2BE-4EBA-AEC9-C475E119953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2BE-4EBA-AEC9-C475E119953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2BE-4EBA-AEC9-C475E119953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2BE-4EBA-AEC9-C475E1199537}"/>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2BE-4EBA-AEC9-C475E1199537}"/>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2BE-4EBA-AEC9-C475E119953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Tablas!$A$126:$A$132</c:f>
              <c:numCache>
                <c:formatCode>m/d/yyyy</c:formatCode>
                <c:ptCount val="7"/>
                <c:pt idx="0">
                  <c:v>45017</c:v>
                </c:pt>
                <c:pt idx="1">
                  <c:v>45018</c:v>
                </c:pt>
                <c:pt idx="2">
                  <c:v>45019</c:v>
                </c:pt>
                <c:pt idx="3">
                  <c:v>45020</c:v>
                </c:pt>
                <c:pt idx="4">
                  <c:v>45021</c:v>
                </c:pt>
                <c:pt idx="5">
                  <c:v>45022</c:v>
                </c:pt>
                <c:pt idx="6">
                  <c:v>45023</c:v>
                </c:pt>
              </c:numCache>
            </c:numRef>
          </c:cat>
          <c:val>
            <c:numRef>
              <c:f>Tablas!$B$126:$B$132</c:f>
              <c:numCache>
                <c:formatCode>#,##0.00\ "€"</c:formatCode>
                <c:ptCount val="7"/>
                <c:pt idx="0">
                  <c:v>47914</c:v>
                </c:pt>
                <c:pt idx="1">
                  <c:v>79877</c:v>
                </c:pt>
                <c:pt idx="2">
                  <c:v>37705</c:v>
                </c:pt>
                <c:pt idx="3">
                  <c:v>5142</c:v>
                </c:pt>
                <c:pt idx="4">
                  <c:v>26720</c:v>
                </c:pt>
                <c:pt idx="5">
                  <c:v>62383</c:v>
                </c:pt>
                <c:pt idx="6">
                  <c:v>29108</c:v>
                </c:pt>
              </c:numCache>
            </c:numRef>
          </c:val>
          <c:extLst>
            <c:ext xmlns:c16="http://schemas.microsoft.com/office/drawing/2014/chart" uri="{C3380CC4-5D6E-409C-BE32-E72D297353CC}">
              <c16:uniqueId val="{0000000E-A2BE-4EBA-AEC9-C475E1199537}"/>
            </c:ext>
          </c:extLst>
        </c:ser>
        <c:dLbls>
          <c:showLegendKey val="0"/>
          <c:showVal val="0"/>
          <c:showCatName val="0"/>
          <c:showSerName val="0"/>
          <c:showPercent val="0"/>
          <c:showBubbleSize val="0"/>
        </c:dLbls>
        <c:gapWidth val="219"/>
        <c:overlap val="-27"/>
        <c:axId val="982642207"/>
        <c:axId val="982635487"/>
      </c:barChart>
      <c:dateAx>
        <c:axId val="9826422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35487"/>
        <c:crosses val="autoZero"/>
        <c:auto val="1"/>
        <c:lblOffset val="100"/>
        <c:baseTimeUnit val="days"/>
      </c:dateAx>
      <c:valAx>
        <c:axId val="982635487"/>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42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Tablas!$B$183</c:f>
              <c:strCache>
                <c:ptCount val="1"/>
                <c:pt idx="0">
                  <c:v>Propinas (Cantidad)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D16-4CB0-8D04-7BC2A99B43A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D16-4CB0-8D04-7BC2A99B43A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D16-4CB0-8D04-7BC2A99B43A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D16-4CB0-8D04-7BC2A99B43A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D16-4CB0-8D04-7BC2A99B43A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D16-4CB0-8D04-7BC2A99B43A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D16-4CB0-8D04-7BC2A99B43A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Tablas!$A$184:$A$190</c:f>
              <c:numCache>
                <c:formatCode>m/d/yyyy</c:formatCode>
                <c:ptCount val="7"/>
                <c:pt idx="0">
                  <c:v>45017</c:v>
                </c:pt>
                <c:pt idx="1">
                  <c:v>45018</c:v>
                </c:pt>
                <c:pt idx="2">
                  <c:v>45019</c:v>
                </c:pt>
                <c:pt idx="3">
                  <c:v>45020</c:v>
                </c:pt>
                <c:pt idx="4">
                  <c:v>45021</c:v>
                </c:pt>
                <c:pt idx="5">
                  <c:v>45022</c:v>
                </c:pt>
                <c:pt idx="6">
                  <c:v>45023</c:v>
                </c:pt>
              </c:numCache>
            </c:numRef>
          </c:cat>
          <c:val>
            <c:numRef>
              <c:f>Tablas!$B$184:$B$190</c:f>
              <c:numCache>
                <c:formatCode>General</c:formatCode>
                <c:ptCount val="7"/>
                <c:pt idx="0">
                  <c:v>103</c:v>
                </c:pt>
                <c:pt idx="1">
                  <c:v>121</c:v>
                </c:pt>
                <c:pt idx="2">
                  <c:v>47</c:v>
                </c:pt>
                <c:pt idx="3">
                  <c:v>58</c:v>
                </c:pt>
                <c:pt idx="4">
                  <c:v>78</c:v>
                </c:pt>
                <c:pt idx="5">
                  <c:v>155</c:v>
                </c:pt>
                <c:pt idx="6">
                  <c:v>106</c:v>
                </c:pt>
              </c:numCache>
            </c:numRef>
          </c:val>
          <c:extLst>
            <c:ext xmlns:c16="http://schemas.microsoft.com/office/drawing/2014/chart" uri="{C3380CC4-5D6E-409C-BE32-E72D297353CC}">
              <c16:uniqueId val="{0000000E-8D16-4CB0-8D04-7BC2A99B43A1}"/>
            </c:ext>
          </c:extLst>
        </c:ser>
        <c:dLbls>
          <c:showLegendKey val="0"/>
          <c:showVal val="0"/>
          <c:showCatName val="0"/>
          <c:showSerName val="0"/>
          <c:showPercent val="0"/>
          <c:showBubbleSize val="0"/>
        </c:dLbls>
        <c:gapWidth val="219"/>
        <c:overlap val="-27"/>
        <c:axId val="994613919"/>
        <c:axId val="994614399"/>
      </c:barChart>
      <c:dateAx>
        <c:axId val="9946139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94614399"/>
        <c:crosses val="autoZero"/>
        <c:auto val="1"/>
        <c:lblOffset val="100"/>
        <c:baseTimeUnit val="days"/>
      </c:dateAx>
      <c:valAx>
        <c:axId val="99461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94613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a:t>
            </a:r>
            <a:r>
              <a:rPr lang="en-US" baseline="0"/>
              <a:t> de </a:t>
            </a:r>
            <a:r>
              <a:rPr lang="en-US"/>
              <a:t>Propinas (Importe) por día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Tablas!$B$216</c:f>
              <c:strCache>
                <c:ptCount val="1"/>
                <c:pt idx="0">
                  <c:v>Propinas (Importe)</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3D2-4D16-99D3-7B44460686B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3D2-4D16-99D3-7B44460686B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3D2-4D16-99D3-7B44460686B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3D2-4D16-99D3-7B44460686B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3D2-4D16-99D3-7B44460686B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3D2-4D16-99D3-7B44460686B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3D2-4D16-99D3-7B44460686B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Tablas!$A$217:$A$223</c:f>
              <c:numCache>
                <c:formatCode>m/d/yyyy</c:formatCode>
                <c:ptCount val="7"/>
                <c:pt idx="0">
                  <c:v>45017</c:v>
                </c:pt>
                <c:pt idx="1">
                  <c:v>45018</c:v>
                </c:pt>
                <c:pt idx="2">
                  <c:v>45019</c:v>
                </c:pt>
                <c:pt idx="3">
                  <c:v>45020</c:v>
                </c:pt>
                <c:pt idx="4">
                  <c:v>45021</c:v>
                </c:pt>
                <c:pt idx="5">
                  <c:v>45022</c:v>
                </c:pt>
                <c:pt idx="6">
                  <c:v>45023</c:v>
                </c:pt>
              </c:numCache>
            </c:numRef>
          </c:cat>
          <c:val>
            <c:numRef>
              <c:f>Tablas!$B$217:$B$223</c:f>
              <c:numCache>
                <c:formatCode>_("€"* #,##0.00_);_("€"* \(#,##0.00\);_("€"* "-"??_);_(@_)</c:formatCode>
                <c:ptCount val="7"/>
                <c:pt idx="0">
                  <c:v>284822</c:v>
                </c:pt>
                <c:pt idx="1">
                  <c:v>346917</c:v>
                </c:pt>
                <c:pt idx="2">
                  <c:v>124839</c:v>
                </c:pt>
                <c:pt idx="3">
                  <c:v>164192</c:v>
                </c:pt>
                <c:pt idx="4">
                  <c:v>198753</c:v>
                </c:pt>
                <c:pt idx="5">
                  <c:v>449942</c:v>
                </c:pt>
                <c:pt idx="6">
                  <c:v>289978</c:v>
                </c:pt>
              </c:numCache>
            </c:numRef>
          </c:val>
          <c:extLst>
            <c:ext xmlns:c16="http://schemas.microsoft.com/office/drawing/2014/chart" uri="{C3380CC4-5D6E-409C-BE32-E72D297353CC}">
              <c16:uniqueId val="{0000000E-43D2-4D16-99D3-7B44460686B1}"/>
            </c:ext>
          </c:extLst>
        </c:ser>
        <c:dLbls>
          <c:showLegendKey val="0"/>
          <c:showVal val="0"/>
          <c:showCatName val="0"/>
          <c:showSerName val="0"/>
          <c:showPercent val="0"/>
          <c:showBubbleSize val="0"/>
        </c:dLbls>
        <c:gapWidth val="219"/>
        <c:overlap val="-27"/>
        <c:axId val="994612959"/>
        <c:axId val="994631679"/>
      </c:barChart>
      <c:dateAx>
        <c:axId val="9946129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94631679"/>
        <c:crosses val="autoZero"/>
        <c:auto val="1"/>
        <c:lblOffset val="100"/>
        <c:baseTimeUnit val="days"/>
      </c:dateAx>
      <c:valAx>
        <c:axId val="9946316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ES"/>
          </a:p>
        </c:txPr>
        <c:crossAx val="994612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a:t>
            </a:r>
            <a:r>
              <a:rPr lang="en-US" baseline="0"/>
              <a:t> de Órdenes atendidas por mesero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Tablas!$A$278</c:f>
              <c:strCache>
                <c:ptCount val="1"/>
                <c:pt idx="0">
                  <c:v>Mesero_1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Tablas!$B$278</c:f>
              <c:numCache>
                <c:formatCode>General</c:formatCode>
                <c:ptCount val="1"/>
                <c:pt idx="0">
                  <c:v>138</c:v>
                </c:pt>
              </c:numCache>
            </c:numRef>
          </c:val>
          <c:extLst>
            <c:ext xmlns:c16="http://schemas.microsoft.com/office/drawing/2014/chart" uri="{C3380CC4-5D6E-409C-BE32-E72D297353CC}">
              <c16:uniqueId val="{00000000-D953-4926-9CD9-BB767335F969}"/>
            </c:ext>
          </c:extLst>
        </c:ser>
        <c:ser>
          <c:idx val="1"/>
          <c:order val="1"/>
          <c:tx>
            <c:strRef>
              <c:f>Tablas!$A$279</c:f>
              <c:strCache>
                <c:ptCount val="1"/>
                <c:pt idx="0">
                  <c:v>Mesero_2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Tablas!$B$279</c:f>
              <c:numCache>
                <c:formatCode>General</c:formatCode>
                <c:ptCount val="1"/>
                <c:pt idx="0">
                  <c:v>192</c:v>
                </c:pt>
              </c:numCache>
            </c:numRef>
          </c:val>
          <c:extLst>
            <c:ext xmlns:c16="http://schemas.microsoft.com/office/drawing/2014/chart" uri="{C3380CC4-5D6E-409C-BE32-E72D297353CC}">
              <c16:uniqueId val="{00000001-D953-4926-9CD9-BB767335F969}"/>
            </c:ext>
          </c:extLst>
        </c:ser>
        <c:ser>
          <c:idx val="2"/>
          <c:order val="2"/>
          <c:tx>
            <c:strRef>
              <c:f>Tablas!$A$280</c:f>
              <c:strCache>
                <c:ptCount val="1"/>
                <c:pt idx="0">
                  <c:v>Mesero_3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Tablas!$B$280</c:f>
              <c:numCache>
                <c:formatCode>General</c:formatCode>
                <c:ptCount val="1"/>
                <c:pt idx="0">
                  <c:v>158</c:v>
                </c:pt>
              </c:numCache>
            </c:numRef>
          </c:val>
          <c:extLst>
            <c:ext xmlns:c16="http://schemas.microsoft.com/office/drawing/2014/chart" uri="{C3380CC4-5D6E-409C-BE32-E72D297353CC}">
              <c16:uniqueId val="{00000002-D953-4926-9CD9-BB767335F969}"/>
            </c:ext>
          </c:extLst>
        </c:ser>
        <c:ser>
          <c:idx val="3"/>
          <c:order val="3"/>
          <c:tx>
            <c:strRef>
              <c:f>Tablas!$A$281</c:f>
              <c:strCache>
                <c:ptCount val="1"/>
                <c:pt idx="0">
                  <c:v>Mesero_4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Tablas!$B$281</c:f>
              <c:numCache>
                <c:formatCode>General</c:formatCode>
                <c:ptCount val="1"/>
                <c:pt idx="0">
                  <c:v>149</c:v>
                </c:pt>
              </c:numCache>
            </c:numRef>
          </c:val>
          <c:extLst>
            <c:ext xmlns:c16="http://schemas.microsoft.com/office/drawing/2014/chart" uri="{C3380CC4-5D6E-409C-BE32-E72D297353CC}">
              <c16:uniqueId val="{00000003-D953-4926-9CD9-BB767335F969}"/>
            </c:ext>
          </c:extLst>
        </c:ser>
        <c:ser>
          <c:idx val="4"/>
          <c:order val="4"/>
          <c:tx>
            <c:strRef>
              <c:f>Tablas!$A$282</c:f>
              <c:strCache>
                <c:ptCount val="1"/>
                <c:pt idx="0">
                  <c:v>Mesero_5</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Tablas!$B$282</c:f>
              <c:numCache>
                <c:formatCode>General</c:formatCode>
                <c:ptCount val="1"/>
                <c:pt idx="0">
                  <c:v>130</c:v>
                </c:pt>
              </c:numCache>
            </c:numRef>
          </c:val>
          <c:extLst>
            <c:ext xmlns:c16="http://schemas.microsoft.com/office/drawing/2014/chart" uri="{C3380CC4-5D6E-409C-BE32-E72D297353CC}">
              <c16:uniqueId val="{00000004-D953-4926-9CD9-BB767335F969}"/>
            </c:ext>
          </c:extLst>
        </c:ser>
        <c:dLbls>
          <c:showLegendKey val="0"/>
          <c:showVal val="0"/>
          <c:showCatName val="0"/>
          <c:showSerName val="0"/>
          <c:showPercent val="0"/>
          <c:showBubbleSize val="0"/>
        </c:dLbls>
        <c:gapWidth val="182"/>
        <c:axId val="980955343"/>
        <c:axId val="980956783"/>
      </c:barChart>
      <c:catAx>
        <c:axId val="98095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0956783"/>
        <c:crosses val="autoZero"/>
        <c:auto val="1"/>
        <c:lblAlgn val="ctr"/>
        <c:lblOffset val="100"/>
        <c:noMultiLvlLbl val="0"/>
      </c:catAx>
      <c:valAx>
        <c:axId val="98095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0955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Número de Impagos por mesero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Tablas!$B$152</c:f>
              <c:strCache>
                <c:ptCount val="1"/>
                <c:pt idx="0">
                  <c:v>Número de Impagos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11-447C-82A2-FFF4FEBFF47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811-447C-82A2-FFF4FEBFF47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811-447C-82A2-FFF4FEBFF47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811-447C-82A2-FFF4FEBFF47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811-447C-82A2-FFF4FEBFF47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Tablas!$A$153:$A$157</c:f>
              <c:strCache>
                <c:ptCount val="5"/>
                <c:pt idx="0">
                  <c:v>Mesero_1</c:v>
                </c:pt>
                <c:pt idx="1">
                  <c:v>Mesero_2</c:v>
                </c:pt>
                <c:pt idx="2">
                  <c:v>Mesero_3</c:v>
                </c:pt>
                <c:pt idx="3">
                  <c:v>Mesero_4</c:v>
                </c:pt>
                <c:pt idx="4">
                  <c:v>Mesero_5</c:v>
                </c:pt>
              </c:strCache>
            </c:strRef>
          </c:cat>
          <c:val>
            <c:numRef>
              <c:f>Tablas!$B$153:$B$157</c:f>
              <c:numCache>
                <c:formatCode>General</c:formatCode>
                <c:ptCount val="5"/>
                <c:pt idx="0">
                  <c:v>13</c:v>
                </c:pt>
                <c:pt idx="1">
                  <c:v>29</c:v>
                </c:pt>
                <c:pt idx="2">
                  <c:v>25</c:v>
                </c:pt>
                <c:pt idx="3">
                  <c:v>14</c:v>
                </c:pt>
                <c:pt idx="4">
                  <c:v>18</c:v>
                </c:pt>
              </c:numCache>
            </c:numRef>
          </c:val>
          <c:extLst>
            <c:ext xmlns:c16="http://schemas.microsoft.com/office/drawing/2014/chart" uri="{C3380CC4-5D6E-409C-BE32-E72D297353CC}">
              <c16:uniqueId val="{0000000A-3811-447C-82A2-FFF4FEBFF476}"/>
            </c:ext>
          </c:extLst>
        </c:ser>
        <c:dLbls>
          <c:showLegendKey val="0"/>
          <c:showVal val="0"/>
          <c:showCatName val="0"/>
          <c:showSerName val="0"/>
          <c:showPercent val="0"/>
          <c:showBubbleSize val="0"/>
        </c:dLbls>
        <c:gapWidth val="182"/>
        <c:axId val="982637887"/>
        <c:axId val="982643647"/>
      </c:barChart>
      <c:catAx>
        <c:axId val="98263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43647"/>
        <c:crosses val="autoZero"/>
        <c:auto val="1"/>
        <c:lblAlgn val="ctr"/>
        <c:lblOffset val="100"/>
        <c:noMultiLvlLbl val="0"/>
      </c:catAx>
      <c:valAx>
        <c:axId val="982643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3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Tablas!$B$249</c:f>
              <c:strCache>
                <c:ptCount val="1"/>
                <c:pt idx="0">
                  <c:v>Propinas por mesero</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382-4F8F-8DEF-D2F8A315E35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382-4F8F-8DEF-D2F8A315E35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382-4F8F-8DEF-D2F8A315E35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382-4F8F-8DEF-D2F8A315E35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382-4F8F-8DEF-D2F8A315E35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Tablas!$A$250:$A$254</c:f>
              <c:strCache>
                <c:ptCount val="5"/>
                <c:pt idx="0">
                  <c:v>Mesero_1</c:v>
                </c:pt>
                <c:pt idx="1">
                  <c:v>Mesero_2</c:v>
                </c:pt>
                <c:pt idx="2">
                  <c:v>Mesero_3</c:v>
                </c:pt>
                <c:pt idx="3">
                  <c:v>Mesero_4</c:v>
                </c:pt>
                <c:pt idx="4">
                  <c:v>Mesero_5</c:v>
                </c:pt>
              </c:strCache>
            </c:strRef>
          </c:cat>
          <c:val>
            <c:numRef>
              <c:f>Tablas!$B$250:$B$254</c:f>
              <c:numCache>
                <c:formatCode>General</c:formatCode>
                <c:ptCount val="5"/>
                <c:pt idx="0">
                  <c:v>125</c:v>
                </c:pt>
                <c:pt idx="1">
                  <c:v>163</c:v>
                </c:pt>
                <c:pt idx="2">
                  <c:v>133</c:v>
                </c:pt>
                <c:pt idx="3">
                  <c:v>135</c:v>
                </c:pt>
                <c:pt idx="4">
                  <c:v>112</c:v>
                </c:pt>
              </c:numCache>
            </c:numRef>
          </c:val>
          <c:extLst>
            <c:ext xmlns:c16="http://schemas.microsoft.com/office/drawing/2014/chart" uri="{C3380CC4-5D6E-409C-BE32-E72D297353CC}">
              <c16:uniqueId val="{0000000A-2382-4F8F-8DEF-D2F8A315E350}"/>
            </c:ext>
          </c:extLst>
        </c:ser>
        <c:dLbls>
          <c:showLegendKey val="0"/>
          <c:showVal val="0"/>
          <c:showCatName val="0"/>
          <c:showSerName val="0"/>
          <c:showPercent val="0"/>
          <c:showBubbleSize val="0"/>
        </c:dLbls>
        <c:gapWidth val="182"/>
        <c:axId val="982645087"/>
        <c:axId val="982638367"/>
      </c:barChart>
      <c:catAx>
        <c:axId val="98264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38367"/>
        <c:crosses val="autoZero"/>
        <c:auto val="1"/>
        <c:lblAlgn val="ctr"/>
        <c:lblOffset val="100"/>
        <c:noMultiLvlLbl val="0"/>
      </c:catAx>
      <c:valAx>
        <c:axId val="982638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4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s-ES"/>
              <a:t>Análisis de Ingresos por tipo de Servicio</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s-ES"/>
        </a:p>
      </c:txPr>
    </c:title>
    <c:autoTitleDeleted val="0"/>
    <c:plotArea>
      <c:layout/>
      <c:barChart>
        <c:barDir val="col"/>
        <c:grouping val="clustered"/>
        <c:varyColors val="0"/>
        <c:ser>
          <c:idx val="0"/>
          <c:order val="0"/>
          <c:tx>
            <c:strRef>
              <c:f>Tablas!$A$2</c:f>
              <c:strCache>
                <c:ptCount val="1"/>
                <c:pt idx="0">
                  <c:v>Desayuno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Tablas!$C$2</c:f>
              <c:numCache>
                <c:formatCode>_("€"* #,##0.00_);_("€"* \(#,##0.00\);_("€"* "-"??_);_(@_)</c:formatCode>
                <c:ptCount val="1"/>
                <c:pt idx="0">
                  <c:v>362911</c:v>
                </c:pt>
              </c:numCache>
            </c:numRef>
          </c:val>
          <c:extLst>
            <c:ext xmlns:c16="http://schemas.microsoft.com/office/drawing/2014/chart" uri="{C3380CC4-5D6E-409C-BE32-E72D297353CC}">
              <c16:uniqueId val="{00000000-FBA3-4E0A-8D07-B6B706F4F1A9}"/>
            </c:ext>
          </c:extLst>
        </c:ser>
        <c:ser>
          <c:idx val="1"/>
          <c:order val="1"/>
          <c:tx>
            <c:strRef>
              <c:f>Tablas!$A$3</c:f>
              <c:strCache>
                <c:ptCount val="1"/>
                <c:pt idx="0">
                  <c:v>Almuerzo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Tablas!$C$3</c:f>
              <c:numCache>
                <c:formatCode>_("€"* #,##0.00_);_("€"* \(#,##0.00\);_("€"* "-"??_);_(@_)</c:formatCode>
                <c:ptCount val="1"/>
                <c:pt idx="0">
                  <c:v>1117274</c:v>
                </c:pt>
              </c:numCache>
            </c:numRef>
          </c:val>
          <c:extLst>
            <c:ext xmlns:c16="http://schemas.microsoft.com/office/drawing/2014/chart" uri="{C3380CC4-5D6E-409C-BE32-E72D297353CC}">
              <c16:uniqueId val="{00000001-FBA3-4E0A-8D07-B6B706F4F1A9}"/>
            </c:ext>
          </c:extLst>
        </c:ser>
        <c:ser>
          <c:idx val="2"/>
          <c:order val="2"/>
          <c:tx>
            <c:strRef>
              <c:f>Tablas!$A$4</c:f>
              <c:strCache>
                <c:ptCount val="1"/>
                <c:pt idx="0">
                  <c:v>Cena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Tablas!$C$1</c:f>
              <c:strCache>
                <c:ptCount val="1"/>
                <c:pt idx="0">
                  <c:v>Ingresos</c:v>
                </c:pt>
              </c:strCache>
            </c:strRef>
          </c:cat>
          <c:val>
            <c:numRef>
              <c:f>Tablas!$C$4</c:f>
              <c:numCache>
                <c:formatCode>_("€"* #,##0.00_);_("€"* \(#,##0.00\);_("€"* "-"??_);_(@_)</c:formatCode>
                <c:ptCount val="1"/>
                <c:pt idx="0">
                  <c:v>379258</c:v>
                </c:pt>
              </c:numCache>
            </c:numRef>
          </c:val>
          <c:extLst>
            <c:ext xmlns:c16="http://schemas.microsoft.com/office/drawing/2014/chart" uri="{C3380CC4-5D6E-409C-BE32-E72D297353CC}">
              <c16:uniqueId val="{00000002-FBA3-4E0A-8D07-B6B706F4F1A9}"/>
            </c:ext>
          </c:extLst>
        </c:ser>
        <c:dLbls>
          <c:showLegendKey val="0"/>
          <c:showVal val="0"/>
          <c:showCatName val="0"/>
          <c:showSerName val="0"/>
          <c:showPercent val="0"/>
          <c:showBubbleSize val="0"/>
        </c:dLbls>
        <c:gapWidth val="219"/>
        <c:overlap val="-27"/>
        <c:axId val="993210959"/>
        <c:axId val="993212879"/>
      </c:barChart>
      <c:catAx>
        <c:axId val="9932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crossAx val="993212879"/>
        <c:crosses val="autoZero"/>
        <c:auto val="1"/>
        <c:lblAlgn val="ctr"/>
        <c:lblOffset val="100"/>
        <c:noMultiLvlLbl val="0"/>
      </c:catAx>
      <c:valAx>
        <c:axId val="9932128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crossAx val="99321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s-ES"/>
        </a:p>
      </c:txPr>
    </c:legend>
    <c:plotVisOnly val="1"/>
    <c:dispBlanksAs val="gap"/>
    <c:showDLblsOverMax val="0"/>
  </c:chart>
  <c:spPr>
    <a:solidFill>
      <a:schemeClr val="bg1"/>
    </a:solidFill>
    <a:ln w="28575" cap="flat" cmpd="sng" algn="ctr">
      <a:solidFill>
        <a:schemeClr val="tx1">
          <a:lumMod val="15000"/>
          <a:lumOff val="85000"/>
        </a:schemeClr>
      </a:solidFill>
      <a:round/>
    </a:ln>
    <a:effectLst/>
  </c:spPr>
  <c:txPr>
    <a:bodyPr/>
    <a:lstStyle/>
    <a:p>
      <a:pPr>
        <a:defRPr>
          <a:ln>
            <a:noFill/>
          </a:ln>
          <a:solidFill>
            <a:schemeClr val="tx1"/>
          </a:solidFill>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s-ES" sz="1400" b="0" i="0" u="none" strike="noStrike" baseline="0">
                <a:solidFill>
                  <a:sysClr val="windowText" lastClr="000000">
                    <a:lumMod val="65000"/>
                    <a:lumOff val="35000"/>
                  </a:sysClr>
                </a:solidFill>
                <a:latin typeface="Aptos Narrow" panose="02110004020202020204"/>
              </a:rPr>
              <a:t>Análisis de número de transacciones por Método de Pago</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Tablas!$B$21</c:f>
              <c:strCache>
                <c:ptCount val="1"/>
                <c:pt idx="0">
                  <c:v>Nº Transacciones</c:v>
                </c:pt>
              </c:strCache>
            </c:strRef>
          </c:tx>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D905-49D9-927E-80451357EA81}"/>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D905-49D9-927E-80451357EA81}"/>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4-D905-49D9-927E-80451357EA81}"/>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16549247889042468"/>
                      <c:h val="0.10777292727423825"/>
                    </c:manualLayout>
                  </c15:layout>
                </c:ext>
                <c:ext xmlns:c16="http://schemas.microsoft.com/office/drawing/2014/chart" uri="{C3380CC4-5D6E-409C-BE32-E72D297353CC}">
                  <c16:uniqueId val="{00000005-D905-49D9-927E-80451357EA81}"/>
                </c:ext>
              </c:extLst>
            </c:dLbl>
            <c:dLbl>
              <c:idx val="1"/>
              <c:layout>
                <c:manualLayout>
                  <c:x val="-0.35991624439065406"/>
                  <c:y val="-3.5416670152560049E-3"/>
                </c:manualLayout>
              </c:layout>
              <c:tx>
                <c:rich>
                  <a:bodyPr rot="0" spcFirstLastPara="1" vertOverflow="ellipsis" vert="horz" wrap="square" lIns="38100" tIns="19050" rIns="38100" bIns="19050" anchor="ctr" anchorCtr="1">
                    <a:noAutofit/>
                  </a:bodyPr>
                  <a:lstStyle/>
                  <a:p>
                    <a:pPr>
                      <a:defRPr sz="1100" b="1" i="0" u="none" strike="noStrike" baseline="0">
                        <a:solidFill>
                          <a:schemeClr val="bg1"/>
                        </a:solidFill>
                        <a:latin typeface="+mn-lt"/>
                        <a:ea typeface="+mn-ea"/>
                        <a:cs typeface="+mn-cs"/>
                      </a:defRPr>
                    </a:pPr>
                    <a:fld id="{E0487D25-EEC9-48EA-A455-4E4EF4F762E0}" type="CATEGORYNAME">
                      <a:rPr lang="en-US" sz="1100" b="1">
                        <a:solidFill>
                          <a:schemeClr val="bg1"/>
                        </a:solidFill>
                      </a:rPr>
                      <a:pPr>
                        <a:defRPr sz="1100" b="1">
                          <a:solidFill>
                            <a:schemeClr val="bg1"/>
                          </a:solidFill>
                        </a:defRPr>
                      </a:pPr>
                      <a:t>[NOMBRE DE CATEGORÍA]</a:t>
                    </a:fld>
                    <a:r>
                      <a:rPr lang="en-US" sz="1100" b="1" baseline="0">
                        <a:solidFill>
                          <a:schemeClr val="bg1"/>
                        </a:solidFill>
                      </a:rPr>
                      <a:t>; </a:t>
                    </a:r>
                    <a:fld id="{5E3D9160-D901-43FF-BD27-AB7626D948FA}" type="VALUE">
                      <a:rPr lang="en-US" sz="1100" b="1" baseline="0">
                        <a:solidFill>
                          <a:schemeClr val="bg1"/>
                        </a:solidFill>
                      </a:rPr>
                      <a:pPr>
                        <a:defRPr sz="1100" b="1">
                          <a:solidFill>
                            <a:schemeClr val="bg1"/>
                          </a:solidFill>
                        </a:defRPr>
                      </a:pPr>
                      <a:t>[VALOR]</a:t>
                    </a:fld>
                    <a:endParaRPr lang="en-US" sz="11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chemeClr val="bg1"/>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24130495918607192"/>
                      <c:h val="0.11676876149298833"/>
                    </c:manualLayout>
                  </c15:layout>
                  <c15:dlblFieldTable/>
                  <c15:showDataLabelsRange val="0"/>
                </c:ext>
                <c:ext xmlns:c16="http://schemas.microsoft.com/office/drawing/2014/chart" uri="{C3380CC4-5D6E-409C-BE32-E72D297353CC}">
                  <c16:uniqueId val="{00000003-D905-49D9-927E-80451357EA81}"/>
                </c:ext>
              </c:extLst>
            </c:dLbl>
            <c:dLbl>
              <c:idx val="2"/>
              <c:layout>
                <c:manualLayout>
                  <c:x val="-1.1498921546027286E-2"/>
                  <c:y val="-1.770972943337231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20343891999231473"/>
                      <c:h val="0.11682202593392642"/>
                    </c:manualLayout>
                  </c15:layout>
                </c:ext>
                <c:ext xmlns:c16="http://schemas.microsoft.com/office/drawing/2014/chart" uri="{C3380CC4-5D6E-409C-BE32-E72D297353CC}">
                  <c16:uniqueId val="{00000004-D905-49D9-927E-80451357EA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baseline="0">
                    <a:solidFill>
                      <a:sysClr val="windowText" lastClr="000000"/>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Tablas!$A$22:$A$24</c:f>
              <c:strCache>
                <c:ptCount val="3"/>
                <c:pt idx="0">
                  <c:v>Efectivo</c:v>
                </c:pt>
                <c:pt idx="1">
                  <c:v>Tarjeta de Crédito</c:v>
                </c:pt>
                <c:pt idx="2">
                  <c:v>Tarjeta de Débito</c:v>
                </c:pt>
              </c:strCache>
            </c:strRef>
          </c:cat>
          <c:val>
            <c:numRef>
              <c:f>Tablas!$B$22:$B$24</c:f>
              <c:numCache>
                <c:formatCode>General</c:formatCode>
                <c:ptCount val="3"/>
                <c:pt idx="0">
                  <c:v>92</c:v>
                </c:pt>
                <c:pt idx="1">
                  <c:v>525</c:v>
                </c:pt>
                <c:pt idx="2">
                  <c:v>150</c:v>
                </c:pt>
              </c:numCache>
            </c:numRef>
          </c:val>
          <c:extLst>
            <c:ext xmlns:c16="http://schemas.microsoft.com/office/drawing/2014/chart" uri="{C3380CC4-5D6E-409C-BE32-E72D297353CC}">
              <c16:uniqueId val="{00000000-D905-49D9-927E-80451357EA81}"/>
            </c:ext>
          </c:extLst>
        </c:ser>
        <c:dLbls>
          <c:showLegendKey val="0"/>
          <c:showVal val="0"/>
          <c:showCatName val="1"/>
          <c:showSerName val="0"/>
          <c:showPercent val="1"/>
          <c:showBubbleSize val="0"/>
        </c:dLbls>
        <c:gapWidth val="100"/>
        <c:axId val="755594847"/>
        <c:axId val="755603007"/>
      </c:barChart>
      <c:catAx>
        <c:axId val="7555948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s-ES"/>
          </a:p>
        </c:txPr>
        <c:crossAx val="755603007"/>
        <c:crosses val="autoZero"/>
        <c:auto val="1"/>
        <c:lblAlgn val="ctr"/>
        <c:lblOffset val="100"/>
        <c:noMultiLvlLbl val="0"/>
      </c:catAx>
      <c:valAx>
        <c:axId val="75560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s-ES"/>
          </a:p>
        </c:txPr>
        <c:crossAx val="75559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Desglose de Ingresos por día y tipo de Servicio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percentStacked"/>
        <c:varyColors val="0"/>
        <c:ser>
          <c:idx val="0"/>
          <c:order val="0"/>
          <c:tx>
            <c:strRef>
              <c:f>Tablas!$B$42</c:f>
              <c:strCache>
                <c:ptCount val="1"/>
                <c:pt idx="0">
                  <c:v>Desayuno</c:v>
                </c:pt>
              </c:strCache>
            </c:strRef>
          </c:tx>
          <c:spPr>
            <a:solidFill>
              <a:schemeClr val="tx2">
                <a:lumMod val="50000"/>
                <a:lumOff val="50000"/>
              </a:schemeClr>
            </a:solidFill>
            <a:ln>
              <a:noFill/>
            </a:ln>
            <a:effectLst/>
          </c:spPr>
          <c:invertIfNegative val="0"/>
          <c:dLbls>
            <c:dLbl>
              <c:idx val="4"/>
              <c:layout>
                <c:manualLayout>
                  <c:x val="1.8132688446304637E-2"/>
                  <c:y val="-5.890994104818812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C1-423C-8010-61B251559A1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Tablas!$A$43:$A$49</c:f>
              <c:numCache>
                <c:formatCode>m/d/yyyy</c:formatCode>
                <c:ptCount val="7"/>
                <c:pt idx="0">
                  <c:v>45017</c:v>
                </c:pt>
                <c:pt idx="1">
                  <c:v>45018</c:v>
                </c:pt>
                <c:pt idx="2">
                  <c:v>45019</c:v>
                </c:pt>
                <c:pt idx="3">
                  <c:v>45020</c:v>
                </c:pt>
                <c:pt idx="4">
                  <c:v>45021</c:v>
                </c:pt>
                <c:pt idx="5">
                  <c:v>45022</c:v>
                </c:pt>
                <c:pt idx="6">
                  <c:v>45023</c:v>
                </c:pt>
              </c:numCache>
            </c:numRef>
          </c:cat>
          <c:val>
            <c:numRef>
              <c:f>Tablas!$B$43:$B$49</c:f>
              <c:numCache>
                <c:formatCode>_("€"* #,##0.00_);_("€"* \(#,##0.00\);_("€"* "-"??_);_(@_)</c:formatCode>
                <c:ptCount val="7"/>
                <c:pt idx="0">
                  <c:v>46197</c:v>
                </c:pt>
                <c:pt idx="1">
                  <c:v>57681</c:v>
                </c:pt>
                <c:pt idx="2">
                  <c:v>29830</c:v>
                </c:pt>
                <c:pt idx="3">
                  <c:v>54272</c:v>
                </c:pt>
                <c:pt idx="4">
                  <c:v>20103</c:v>
                </c:pt>
                <c:pt idx="5">
                  <c:v>84658</c:v>
                </c:pt>
                <c:pt idx="6">
                  <c:v>70170</c:v>
                </c:pt>
              </c:numCache>
            </c:numRef>
          </c:val>
          <c:extLst>
            <c:ext xmlns:c16="http://schemas.microsoft.com/office/drawing/2014/chart" uri="{C3380CC4-5D6E-409C-BE32-E72D297353CC}">
              <c16:uniqueId val="{00000000-5423-4BEB-AF83-2937C2B71FC1}"/>
            </c:ext>
          </c:extLst>
        </c:ser>
        <c:ser>
          <c:idx val="1"/>
          <c:order val="1"/>
          <c:tx>
            <c:strRef>
              <c:f>Tablas!$C$42</c:f>
              <c:strCache>
                <c:ptCount val="1"/>
                <c:pt idx="0">
                  <c:v>Almuerzo</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Tablas!$A$43:$A$49</c:f>
              <c:numCache>
                <c:formatCode>m/d/yyyy</c:formatCode>
                <c:ptCount val="7"/>
                <c:pt idx="0">
                  <c:v>45017</c:v>
                </c:pt>
                <c:pt idx="1">
                  <c:v>45018</c:v>
                </c:pt>
                <c:pt idx="2">
                  <c:v>45019</c:v>
                </c:pt>
                <c:pt idx="3">
                  <c:v>45020</c:v>
                </c:pt>
                <c:pt idx="4">
                  <c:v>45021</c:v>
                </c:pt>
                <c:pt idx="5">
                  <c:v>45022</c:v>
                </c:pt>
                <c:pt idx="6">
                  <c:v>45023</c:v>
                </c:pt>
              </c:numCache>
            </c:numRef>
          </c:cat>
          <c:val>
            <c:numRef>
              <c:f>Tablas!$C$43:$C$49</c:f>
              <c:numCache>
                <c:formatCode>_("€"* #,##0.00_);_("€"* \(#,##0.00\);_("€"* "-"??_);_(@_)</c:formatCode>
                <c:ptCount val="7"/>
                <c:pt idx="0">
                  <c:v>171830</c:v>
                </c:pt>
                <c:pt idx="1">
                  <c:v>222188</c:v>
                </c:pt>
                <c:pt idx="2">
                  <c:v>74923</c:v>
                </c:pt>
                <c:pt idx="3">
                  <c:v>82342</c:v>
                </c:pt>
                <c:pt idx="4">
                  <c:v>140625</c:v>
                </c:pt>
                <c:pt idx="5">
                  <c:v>271258</c:v>
                </c:pt>
                <c:pt idx="6">
                  <c:v>154108</c:v>
                </c:pt>
              </c:numCache>
            </c:numRef>
          </c:val>
          <c:extLst>
            <c:ext xmlns:c16="http://schemas.microsoft.com/office/drawing/2014/chart" uri="{C3380CC4-5D6E-409C-BE32-E72D297353CC}">
              <c16:uniqueId val="{00000001-5423-4BEB-AF83-2937C2B71FC1}"/>
            </c:ext>
          </c:extLst>
        </c:ser>
        <c:ser>
          <c:idx val="2"/>
          <c:order val="2"/>
          <c:tx>
            <c:strRef>
              <c:f>Tablas!$D$42</c:f>
              <c:strCache>
                <c:ptCount val="1"/>
                <c:pt idx="0">
                  <c:v>Cena</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Tablas!$A$43:$A$49</c:f>
              <c:numCache>
                <c:formatCode>m/d/yyyy</c:formatCode>
                <c:ptCount val="7"/>
                <c:pt idx="0">
                  <c:v>45017</c:v>
                </c:pt>
                <c:pt idx="1">
                  <c:v>45018</c:v>
                </c:pt>
                <c:pt idx="2">
                  <c:v>45019</c:v>
                </c:pt>
                <c:pt idx="3">
                  <c:v>45020</c:v>
                </c:pt>
                <c:pt idx="4">
                  <c:v>45021</c:v>
                </c:pt>
                <c:pt idx="5">
                  <c:v>45022</c:v>
                </c:pt>
                <c:pt idx="6">
                  <c:v>45023</c:v>
                </c:pt>
              </c:numCache>
            </c:numRef>
          </c:cat>
          <c:val>
            <c:numRef>
              <c:f>Tablas!$D$43:$D$49</c:f>
              <c:numCache>
                <c:formatCode>_("€"* #,##0.00_);_("€"* \(#,##0.00\);_("€"* "-"??_);_(@_)</c:formatCode>
                <c:ptCount val="7"/>
                <c:pt idx="0">
                  <c:v>66795</c:v>
                </c:pt>
                <c:pt idx="1">
                  <c:v>67048</c:v>
                </c:pt>
                <c:pt idx="2">
                  <c:v>20086</c:v>
                </c:pt>
                <c:pt idx="3">
                  <c:v>27578</c:v>
                </c:pt>
                <c:pt idx="4">
                  <c:v>38025</c:v>
                </c:pt>
                <c:pt idx="5">
                  <c:v>94026</c:v>
                </c:pt>
                <c:pt idx="6">
                  <c:v>65700</c:v>
                </c:pt>
              </c:numCache>
            </c:numRef>
          </c:val>
          <c:extLst>
            <c:ext xmlns:c16="http://schemas.microsoft.com/office/drawing/2014/chart" uri="{C3380CC4-5D6E-409C-BE32-E72D297353CC}">
              <c16:uniqueId val="{00000002-5423-4BEB-AF83-2937C2B71FC1}"/>
            </c:ext>
          </c:extLst>
        </c:ser>
        <c:dLbls>
          <c:showLegendKey val="0"/>
          <c:showVal val="0"/>
          <c:showCatName val="0"/>
          <c:showSerName val="0"/>
          <c:showPercent val="0"/>
          <c:showBubbleSize val="0"/>
        </c:dLbls>
        <c:gapWidth val="150"/>
        <c:overlap val="100"/>
        <c:axId val="1012269391"/>
        <c:axId val="1012269871"/>
      </c:barChart>
      <c:dateAx>
        <c:axId val="1012269391"/>
        <c:scaling>
          <c:orientation val="minMax"/>
        </c:scaling>
        <c:delete val="0"/>
        <c:axPos val="l"/>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2269871"/>
        <c:crosses val="autoZero"/>
        <c:auto val="1"/>
        <c:lblOffset val="100"/>
        <c:baseTimeUnit val="days"/>
      </c:dateAx>
      <c:valAx>
        <c:axId val="10122698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122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 de Impagos por día (Número</a:t>
            </a:r>
            <a:r>
              <a:rPr lang="en-US" baseline="0"/>
              <a:t> de Impagos)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2.528644205981001E-2"/>
          <c:y val="0.11691664109434796"/>
          <c:w val="0.95333999293788807"/>
          <c:h val="0.82248166612387008"/>
        </c:manualLayout>
      </c:layout>
      <c:barChart>
        <c:barDir val="col"/>
        <c:grouping val="clustered"/>
        <c:varyColors val="1"/>
        <c:ser>
          <c:idx val="0"/>
          <c:order val="0"/>
          <c:tx>
            <c:strRef>
              <c:f>Tablas!$B$98</c:f>
              <c:strCache>
                <c:ptCount val="1"/>
                <c:pt idx="0">
                  <c:v>Impagos (Cantidad)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913-46F3-B171-F6CF6A4ADD6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913-46F3-B171-F6CF6A4ADD6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913-46F3-B171-F6CF6A4ADD6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913-46F3-B171-F6CF6A4ADD6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913-46F3-B171-F6CF6A4ADD67}"/>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913-46F3-B171-F6CF6A4ADD67}"/>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5913-46F3-B171-F6CF6A4ADD6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Tablas!$A$99:$A$105</c:f>
              <c:numCache>
                <c:formatCode>m/d/yyyy</c:formatCode>
                <c:ptCount val="7"/>
                <c:pt idx="0">
                  <c:v>45017</c:v>
                </c:pt>
                <c:pt idx="1">
                  <c:v>45018</c:v>
                </c:pt>
                <c:pt idx="2">
                  <c:v>45019</c:v>
                </c:pt>
                <c:pt idx="3">
                  <c:v>45020</c:v>
                </c:pt>
                <c:pt idx="4">
                  <c:v>45021</c:v>
                </c:pt>
                <c:pt idx="5">
                  <c:v>45022</c:v>
                </c:pt>
                <c:pt idx="6">
                  <c:v>45023</c:v>
                </c:pt>
              </c:numCache>
            </c:numRef>
          </c:cat>
          <c:val>
            <c:numRef>
              <c:f>Tablas!$B$99:$B$105</c:f>
              <c:numCache>
                <c:formatCode>General</c:formatCode>
                <c:ptCount val="7"/>
                <c:pt idx="0">
                  <c:v>15</c:v>
                </c:pt>
                <c:pt idx="1">
                  <c:v>27</c:v>
                </c:pt>
                <c:pt idx="2">
                  <c:v>12</c:v>
                </c:pt>
                <c:pt idx="3">
                  <c:v>1</c:v>
                </c:pt>
                <c:pt idx="4">
                  <c:v>10</c:v>
                </c:pt>
                <c:pt idx="5">
                  <c:v>22</c:v>
                </c:pt>
                <c:pt idx="6">
                  <c:v>12</c:v>
                </c:pt>
              </c:numCache>
            </c:numRef>
          </c:val>
          <c:extLst>
            <c:ext xmlns:c16="http://schemas.microsoft.com/office/drawing/2014/chart" uri="{C3380CC4-5D6E-409C-BE32-E72D297353CC}">
              <c16:uniqueId val="{00000000-6B0E-4ED8-BE6D-81585657437D}"/>
            </c:ext>
          </c:extLst>
        </c:ser>
        <c:dLbls>
          <c:showLegendKey val="0"/>
          <c:showVal val="0"/>
          <c:showCatName val="0"/>
          <c:showSerName val="0"/>
          <c:showPercent val="0"/>
          <c:showBubbleSize val="0"/>
        </c:dLbls>
        <c:gapWidth val="219"/>
        <c:overlap val="-27"/>
        <c:axId val="889469055"/>
        <c:axId val="889476255"/>
      </c:barChart>
      <c:dateAx>
        <c:axId val="8894690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889476255"/>
        <c:crosses val="autoZero"/>
        <c:auto val="1"/>
        <c:lblOffset val="100"/>
        <c:baseTimeUnit val="days"/>
      </c:dateAx>
      <c:valAx>
        <c:axId val="889476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8946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 Impagos por día (Importes</a:t>
            </a:r>
            <a:r>
              <a:rPr lang="en-US" baseline="0"/>
              <a:t> no abonados)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Tablas!$B$125</c:f>
              <c:strCache>
                <c:ptCount val="1"/>
                <c:pt idx="0">
                  <c:v>Impagos (Importe)</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8F6-4480-97C6-1BB8846541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8F6-4480-97C6-1BB8846541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8F6-4480-97C6-1BB8846541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8F6-4480-97C6-1BB8846541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F8F6-4480-97C6-1BB8846541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F8F6-4480-97C6-1BB8846541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F8F6-4480-97C6-1BB88465411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Tablas!$A$126:$A$132</c:f>
              <c:numCache>
                <c:formatCode>m/d/yyyy</c:formatCode>
                <c:ptCount val="7"/>
                <c:pt idx="0">
                  <c:v>45017</c:v>
                </c:pt>
                <c:pt idx="1">
                  <c:v>45018</c:v>
                </c:pt>
                <c:pt idx="2">
                  <c:v>45019</c:v>
                </c:pt>
                <c:pt idx="3">
                  <c:v>45020</c:v>
                </c:pt>
                <c:pt idx="4">
                  <c:v>45021</c:v>
                </c:pt>
                <c:pt idx="5">
                  <c:v>45022</c:v>
                </c:pt>
                <c:pt idx="6">
                  <c:v>45023</c:v>
                </c:pt>
              </c:numCache>
            </c:numRef>
          </c:cat>
          <c:val>
            <c:numRef>
              <c:f>Tablas!$B$126:$B$132</c:f>
              <c:numCache>
                <c:formatCode>#,##0.00\ "€"</c:formatCode>
                <c:ptCount val="7"/>
                <c:pt idx="0">
                  <c:v>47914</c:v>
                </c:pt>
                <c:pt idx="1">
                  <c:v>79877</c:v>
                </c:pt>
                <c:pt idx="2">
                  <c:v>37705</c:v>
                </c:pt>
                <c:pt idx="3">
                  <c:v>5142</c:v>
                </c:pt>
                <c:pt idx="4">
                  <c:v>26720</c:v>
                </c:pt>
                <c:pt idx="5">
                  <c:v>62383</c:v>
                </c:pt>
                <c:pt idx="6">
                  <c:v>29108</c:v>
                </c:pt>
              </c:numCache>
            </c:numRef>
          </c:val>
          <c:extLst>
            <c:ext xmlns:c16="http://schemas.microsoft.com/office/drawing/2014/chart" uri="{C3380CC4-5D6E-409C-BE32-E72D297353CC}">
              <c16:uniqueId val="{00000000-634C-4FB4-A9F0-C422D8AE177F}"/>
            </c:ext>
          </c:extLst>
        </c:ser>
        <c:dLbls>
          <c:showLegendKey val="0"/>
          <c:showVal val="0"/>
          <c:showCatName val="0"/>
          <c:showSerName val="0"/>
          <c:showPercent val="0"/>
          <c:showBubbleSize val="0"/>
        </c:dLbls>
        <c:gapWidth val="219"/>
        <c:overlap val="-27"/>
        <c:axId val="982642207"/>
        <c:axId val="982635487"/>
      </c:barChart>
      <c:dateAx>
        <c:axId val="9826422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35487"/>
        <c:crosses val="autoZero"/>
        <c:auto val="1"/>
        <c:lblOffset val="100"/>
        <c:baseTimeUnit val="days"/>
      </c:dateAx>
      <c:valAx>
        <c:axId val="982635487"/>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42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Tablas!$B$183</c:f>
              <c:strCache>
                <c:ptCount val="1"/>
                <c:pt idx="0">
                  <c:v>Propinas (Cantidad)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A58-4D8B-B295-2FAD24DE178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A58-4D8B-B295-2FAD24DE178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A58-4D8B-B295-2FAD24DE178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A58-4D8B-B295-2FAD24DE178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A58-4D8B-B295-2FAD24DE178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A58-4D8B-B295-2FAD24DE178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A58-4D8B-B295-2FAD24DE178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Tablas!$A$184:$A$190</c:f>
              <c:numCache>
                <c:formatCode>m/d/yyyy</c:formatCode>
                <c:ptCount val="7"/>
                <c:pt idx="0">
                  <c:v>45017</c:v>
                </c:pt>
                <c:pt idx="1">
                  <c:v>45018</c:v>
                </c:pt>
                <c:pt idx="2">
                  <c:v>45019</c:v>
                </c:pt>
                <c:pt idx="3">
                  <c:v>45020</c:v>
                </c:pt>
                <c:pt idx="4">
                  <c:v>45021</c:v>
                </c:pt>
                <c:pt idx="5">
                  <c:v>45022</c:v>
                </c:pt>
                <c:pt idx="6">
                  <c:v>45023</c:v>
                </c:pt>
              </c:numCache>
            </c:numRef>
          </c:cat>
          <c:val>
            <c:numRef>
              <c:f>Tablas!$B$184:$B$190</c:f>
              <c:numCache>
                <c:formatCode>General</c:formatCode>
                <c:ptCount val="7"/>
                <c:pt idx="0">
                  <c:v>103</c:v>
                </c:pt>
                <c:pt idx="1">
                  <c:v>121</c:v>
                </c:pt>
                <c:pt idx="2">
                  <c:v>47</c:v>
                </c:pt>
                <c:pt idx="3">
                  <c:v>58</c:v>
                </c:pt>
                <c:pt idx="4">
                  <c:v>78</c:v>
                </c:pt>
                <c:pt idx="5">
                  <c:v>155</c:v>
                </c:pt>
                <c:pt idx="6">
                  <c:v>106</c:v>
                </c:pt>
              </c:numCache>
            </c:numRef>
          </c:val>
          <c:extLst>
            <c:ext xmlns:c16="http://schemas.microsoft.com/office/drawing/2014/chart" uri="{C3380CC4-5D6E-409C-BE32-E72D297353CC}">
              <c16:uniqueId val="{00000000-0495-47BC-8896-4E08100B74D4}"/>
            </c:ext>
          </c:extLst>
        </c:ser>
        <c:dLbls>
          <c:showLegendKey val="0"/>
          <c:showVal val="0"/>
          <c:showCatName val="0"/>
          <c:showSerName val="0"/>
          <c:showPercent val="0"/>
          <c:showBubbleSize val="0"/>
        </c:dLbls>
        <c:gapWidth val="219"/>
        <c:overlap val="-27"/>
        <c:axId val="994613919"/>
        <c:axId val="994614399"/>
      </c:barChart>
      <c:dateAx>
        <c:axId val="9946139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94614399"/>
        <c:crosses val="autoZero"/>
        <c:auto val="1"/>
        <c:lblOffset val="100"/>
        <c:baseTimeUnit val="days"/>
      </c:dateAx>
      <c:valAx>
        <c:axId val="99461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94613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Número de Impagos por mesero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Tablas!$B$152</c:f>
              <c:strCache>
                <c:ptCount val="1"/>
                <c:pt idx="0">
                  <c:v>Número de Impagos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475-4FE0-BC13-9C1D4998511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475-4FE0-BC13-9C1D4998511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475-4FE0-BC13-9C1D4998511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475-4FE0-BC13-9C1D4998511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475-4FE0-BC13-9C1D4998511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Tablas!$A$153:$A$157</c:f>
              <c:strCache>
                <c:ptCount val="5"/>
                <c:pt idx="0">
                  <c:v>Mesero_1</c:v>
                </c:pt>
                <c:pt idx="1">
                  <c:v>Mesero_2</c:v>
                </c:pt>
                <c:pt idx="2">
                  <c:v>Mesero_3</c:v>
                </c:pt>
                <c:pt idx="3">
                  <c:v>Mesero_4</c:v>
                </c:pt>
                <c:pt idx="4">
                  <c:v>Mesero_5</c:v>
                </c:pt>
              </c:strCache>
            </c:strRef>
          </c:cat>
          <c:val>
            <c:numRef>
              <c:f>Tablas!$B$153:$B$157</c:f>
              <c:numCache>
                <c:formatCode>General</c:formatCode>
                <c:ptCount val="5"/>
                <c:pt idx="0">
                  <c:v>13</c:v>
                </c:pt>
                <c:pt idx="1">
                  <c:v>29</c:v>
                </c:pt>
                <c:pt idx="2">
                  <c:v>25</c:v>
                </c:pt>
                <c:pt idx="3">
                  <c:v>14</c:v>
                </c:pt>
                <c:pt idx="4">
                  <c:v>18</c:v>
                </c:pt>
              </c:numCache>
            </c:numRef>
          </c:val>
          <c:extLst>
            <c:ext xmlns:c16="http://schemas.microsoft.com/office/drawing/2014/chart" uri="{C3380CC4-5D6E-409C-BE32-E72D297353CC}">
              <c16:uniqueId val="{00000000-FAFA-4C68-AC71-B0CC0400F2AB}"/>
            </c:ext>
          </c:extLst>
        </c:ser>
        <c:dLbls>
          <c:showLegendKey val="0"/>
          <c:showVal val="0"/>
          <c:showCatName val="0"/>
          <c:showSerName val="0"/>
          <c:showPercent val="0"/>
          <c:showBubbleSize val="0"/>
        </c:dLbls>
        <c:gapWidth val="182"/>
        <c:axId val="982637887"/>
        <c:axId val="982643647"/>
      </c:barChart>
      <c:catAx>
        <c:axId val="98263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43647"/>
        <c:crosses val="autoZero"/>
        <c:auto val="1"/>
        <c:lblAlgn val="ctr"/>
        <c:lblOffset val="100"/>
        <c:noMultiLvlLbl val="0"/>
      </c:catAx>
      <c:valAx>
        <c:axId val="982643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3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a:t>
            </a:r>
            <a:r>
              <a:rPr lang="en-US" baseline="0"/>
              <a:t> de </a:t>
            </a:r>
            <a:r>
              <a:rPr lang="en-US"/>
              <a:t>Propinas (Importe) por día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1"/>
        <c:ser>
          <c:idx val="0"/>
          <c:order val="0"/>
          <c:tx>
            <c:strRef>
              <c:f>Tablas!$B$216</c:f>
              <c:strCache>
                <c:ptCount val="1"/>
                <c:pt idx="0">
                  <c:v>Propinas (Importe)</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C34-46C2-9C18-E77D2E5D646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C34-46C2-9C18-E77D2E5D646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C34-46C2-9C18-E77D2E5D646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C34-46C2-9C18-E77D2E5D646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C34-46C2-9C18-E77D2E5D646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C34-46C2-9C18-E77D2E5D646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C34-46C2-9C18-E77D2E5D646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Tablas!$A$217:$A$223</c:f>
              <c:numCache>
                <c:formatCode>m/d/yyyy</c:formatCode>
                <c:ptCount val="7"/>
                <c:pt idx="0">
                  <c:v>45017</c:v>
                </c:pt>
                <c:pt idx="1">
                  <c:v>45018</c:v>
                </c:pt>
                <c:pt idx="2">
                  <c:v>45019</c:v>
                </c:pt>
                <c:pt idx="3">
                  <c:v>45020</c:v>
                </c:pt>
                <c:pt idx="4">
                  <c:v>45021</c:v>
                </c:pt>
                <c:pt idx="5">
                  <c:v>45022</c:v>
                </c:pt>
                <c:pt idx="6">
                  <c:v>45023</c:v>
                </c:pt>
              </c:numCache>
            </c:numRef>
          </c:cat>
          <c:val>
            <c:numRef>
              <c:f>Tablas!$B$217:$B$223</c:f>
              <c:numCache>
                <c:formatCode>_("€"* #,##0.00_);_("€"* \(#,##0.00\);_("€"* "-"??_);_(@_)</c:formatCode>
                <c:ptCount val="7"/>
                <c:pt idx="0">
                  <c:v>284822</c:v>
                </c:pt>
                <c:pt idx="1">
                  <c:v>346917</c:v>
                </c:pt>
                <c:pt idx="2">
                  <c:v>124839</c:v>
                </c:pt>
                <c:pt idx="3">
                  <c:v>164192</c:v>
                </c:pt>
                <c:pt idx="4">
                  <c:v>198753</c:v>
                </c:pt>
                <c:pt idx="5">
                  <c:v>449942</c:v>
                </c:pt>
                <c:pt idx="6">
                  <c:v>289978</c:v>
                </c:pt>
              </c:numCache>
            </c:numRef>
          </c:val>
          <c:extLst>
            <c:ext xmlns:c16="http://schemas.microsoft.com/office/drawing/2014/chart" uri="{C3380CC4-5D6E-409C-BE32-E72D297353CC}">
              <c16:uniqueId val="{00000000-A9CE-4CB1-9195-2A0003FB3952}"/>
            </c:ext>
          </c:extLst>
        </c:ser>
        <c:dLbls>
          <c:showLegendKey val="0"/>
          <c:showVal val="0"/>
          <c:showCatName val="0"/>
          <c:showSerName val="0"/>
          <c:showPercent val="0"/>
          <c:showBubbleSize val="0"/>
        </c:dLbls>
        <c:gapWidth val="219"/>
        <c:overlap val="-27"/>
        <c:axId val="994612959"/>
        <c:axId val="994631679"/>
      </c:barChart>
      <c:dateAx>
        <c:axId val="9946129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94631679"/>
        <c:crosses val="autoZero"/>
        <c:auto val="1"/>
        <c:lblOffset val="100"/>
        <c:baseTimeUnit val="days"/>
      </c:dateAx>
      <c:valAx>
        <c:axId val="9946316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ES"/>
          </a:p>
        </c:txPr>
        <c:crossAx val="994612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1"/>
        <c:ser>
          <c:idx val="0"/>
          <c:order val="0"/>
          <c:tx>
            <c:strRef>
              <c:f>Tablas!$B$249</c:f>
              <c:strCache>
                <c:ptCount val="1"/>
                <c:pt idx="0">
                  <c:v>Propinas por mesero</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784-441B-9345-820BE62211A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784-441B-9345-820BE62211A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784-441B-9345-820BE62211A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784-441B-9345-820BE62211A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784-441B-9345-820BE62211A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Tablas!$A$250:$A$254</c:f>
              <c:strCache>
                <c:ptCount val="5"/>
                <c:pt idx="0">
                  <c:v>Mesero_1</c:v>
                </c:pt>
                <c:pt idx="1">
                  <c:v>Mesero_2</c:v>
                </c:pt>
                <c:pt idx="2">
                  <c:v>Mesero_3</c:v>
                </c:pt>
                <c:pt idx="3">
                  <c:v>Mesero_4</c:v>
                </c:pt>
                <c:pt idx="4">
                  <c:v>Mesero_5</c:v>
                </c:pt>
              </c:strCache>
            </c:strRef>
          </c:cat>
          <c:val>
            <c:numRef>
              <c:f>Tablas!$B$250:$B$254</c:f>
              <c:numCache>
                <c:formatCode>General</c:formatCode>
                <c:ptCount val="5"/>
                <c:pt idx="0">
                  <c:v>125</c:v>
                </c:pt>
                <c:pt idx="1">
                  <c:v>163</c:v>
                </c:pt>
                <c:pt idx="2">
                  <c:v>133</c:v>
                </c:pt>
                <c:pt idx="3">
                  <c:v>135</c:v>
                </c:pt>
                <c:pt idx="4">
                  <c:v>112</c:v>
                </c:pt>
              </c:numCache>
            </c:numRef>
          </c:val>
          <c:extLst>
            <c:ext xmlns:c16="http://schemas.microsoft.com/office/drawing/2014/chart" uri="{C3380CC4-5D6E-409C-BE32-E72D297353CC}">
              <c16:uniqueId val="{00000000-1996-468D-9AC6-5CE036661E9D}"/>
            </c:ext>
          </c:extLst>
        </c:ser>
        <c:dLbls>
          <c:showLegendKey val="0"/>
          <c:showVal val="0"/>
          <c:showCatName val="0"/>
          <c:showSerName val="0"/>
          <c:showPercent val="0"/>
          <c:showBubbleSize val="0"/>
        </c:dLbls>
        <c:gapWidth val="182"/>
        <c:axId val="982645087"/>
        <c:axId val="982638367"/>
      </c:barChart>
      <c:catAx>
        <c:axId val="98264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2638367"/>
        <c:crosses val="autoZero"/>
        <c:auto val="1"/>
        <c:lblAlgn val="ctr"/>
        <c:lblOffset val="100"/>
        <c:noMultiLvlLbl val="0"/>
      </c:catAx>
      <c:valAx>
        <c:axId val="982638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264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Desglose</a:t>
            </a:r>
            <a:r>
              <a:rPr lang="en-US" baseline="0"/>
              <a:t> de Órdenes atendidas por mesero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Tablas!$A$278</c:f>
              <c:strCache>
                <c:ptCount val="1"/>
                <c:pt idx="0">
                  <c:v>Mesero_1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Tablas!$B$278</c:f>
              <c:numCache>
                <c:formatCode>General</c:formatCode>
                <c:ptCount val="1"/>
                <c:pt idx="0">
                  <c:v>138</c:v>
                </c:pt>
              </c:numCache>
            </c:numRef>
          </c:val>
          <c:extLst>
            <c:ext xmlns:c16="http://schemas.microsoft.com/office/drawing/2014/chart" uri="{C3380CC4-5D6E-409C-BE32-E72D297353CC}">
              <c16:uniqueId val="{00000000-3353-4726-9071-2571480DD70B}"/>
            </c:ext>
          </c:extLst>
        </c:ser>
        <c:ser>
          <c:idx val="1"/>
          <c:order val="1"/>
          <c:tx>
            <c:strRef>
              <c:f>Tablas!$A$279</c:f>
              <c:strCache>
                <c:ptCount val="1"/>
                <c:pt idx="0">
                  <c:v>Mesero_2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Tablas!$B$279</c:f>
              <c:numCache>
                <c:formatCode>General</c:formatCode>
                <c:ptCount val="1"/>
                <c:pt idx="0">
                  <c:v>192</c:v>
                </c:pt>
              </c:numCache>
            </c:numRef>
          </c:val>
          <c:extLst>
            <c:ext xmlns:c16="http://schemas.microsoft.com/office/drawing/2014/chart" uri="{C3380CC4-5D6E-409C-BE32-E72D297353CC}">
              <c16:uniqueId val="{00000001-3353-4726-9071-2571480DD70B}"/>
            </c:ext>
          </c:extLst>
        </c:ser>
        <c:ser>
          <c:idx val="2"/>
          <c:order val="2"/>
          <c:tx>
            <c:strRef>
              <c:f>Tablas!$A$280</c:f>
              <c:strCache>
                <c:ptCount val="1"/>
                <c:pt idx="0">
                  <c:v>Mesero_3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Tablas!$B$280</c:f>
              <c:numCache>
                <c:formatCode>General</c:formatCode>
                <c:ptCount val="1"/>
                <c:pt idx="0">
                  <c:v>158</c:v>
                </c:pt>
              </c:numCache>
            </c:numRef>
          </c:val>
          <c:extLst>
            <c:ext xmlns:c16="http://schemas.microsoft.com/office/drawing/2014/chart" uri="{C3380CC4-5D6E-409C-BE32-E72D297353CC}">
              <c16:uniqueId val="{00000002-3353-4726-9071-2571480DD70B}"/>
            </c:ext>
          </c:extLst>
        </c:ser>
        <c:ser>
          <c:idx val="3"/>
          <c:order val="3"/>
          <c:tx>
            <c:strRef>
              <c:f>Tablas!$A$281</c:f>
              <c:strCache>
                <c:ptCount val="1"/>
                <c:pt idx="0">
                  <c:v>Mesero_4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Tablas!$B$281</c:f>
              <c:numCache>
                <c:formatCode>General</c:formatCode>
                <c:ptCount val="1"/>
                <c:pt idx="0">
                  <c:v>149</c:v>
                </c:pt>
              </c:numCache>
            </c:numRef>
          </c:val>
          <c:extLst>
            <c:ext xmlns:c16="http://schemas.microsoft.com/office/drawing/2014/chart" uri="{C3380CC4-5D6E-409C-BE32-E72D297353CC}">
              <c16:uniqueId val="{00000003-3353-4726-9071-2571480DD70B}"/>
            </c:ext>
          </c:extLst>
        </c:ser>
        <c:ser>
          <c:idx val="4"/>
          <c:order val="4"/>
          <c:tx>
            <c:strRef>
              <c:f>Tablas!$A$282</c:f>
              <c:strCache>
                <c:ptCount val="1"/>
                <c:pt idx="0">
                  <c:v>Mesero_5</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Tablas!$B$277</c:f>
              <c:strCache>
                <c:ptCount val="1"/>
                <c:pt idx="0">
                  <c:v>Órdenes Atendidas</c:v>
                </c:pt>
              </c:strCache>
            </c:strRef>
          </c:cat>
          <c:val>
            <c:numRef>
              <c:f>Tablas!$B$282</c:f>
              <c:numCache>
                <c:formatCode>General</c:formatCode>
                <c:ptCount val="1"/>
                <c:pt idx="0">
                  <c:v>130</c:v>
                </c:pt>
              </c:numCache>
            </c:numRef>
          </c:val>
          <c:extLst>
            <c:ext xmlns:c16="http://schemas.microsoft.com/office/drawing/2014/chart" uri="{C3380CC4-5D6E-409C-BE32-E72D297353CC}">
              <c16:uniqueId val="{00000004-3353-4726-9071-2571480DD70B}"/>
            </c:ext>
          </c:extLst>
        </c:ser>
        <c:dLbls>
          <c:showLegendKey val="0"/>
          <c:showVal val="0"/>
          <c:showCatName val="0"/>
          <c:showSerName val="0"/>
          <c:showPercent val="0"/>
          <c:showBubbleSize val="0"/>
        </c:dLbls>
        <c:gapWidth val="182"/>
        <c:axId val="980955343"/>
        <c:axId val="980956783"/>
      </c:barChart>
      <c:catAx>
        <c:axId val="98095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crossAx val="980956783"/>
        <c:crosses val="autoZero"/>
        <c:auto val="1"/>
        <c:lblAlgn val="ctr"/>
        <c:lblOffset val="100"/>
        <c:noMultiLvlLbl val="0"/>
      </c:catAx>
      <c:valAx>
        <c:axId val="98095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0955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Clientes por país de Origen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Tablas!$B$79</c:f>
              <c:strCache>
                <c:ptCount val="1"/>
                <c:pt idx="0">
                  <c:v>Clientes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Tablas!$A$80:$A$90</c:f>
              <c:strCache>
                <c:ptCount val="11"/>
                <c:pt idx="0">
                  <c:v>España</c:v>
                </c:pt>
                <c:pt idx="1">
                  <c:v>Colombia</c:v>
                </c:pt>
                <c:pt idx="2">
                  <c:v>Brasil</c:v>
                </c:pt>
                <c:pt idx="3">
                  <c:v>Paraguay</c:v>
                </c:pt>
                <c:pt idx="4">
                  <c:v>Perú</c:v>
                </c:pt>
                <c:pt idx="5">
                  <c:v>Venezuela</c:v>
                </c:pt>
                <c:pt idx="6">
                  <c:v>Bolivia</c:v>
                </c:pt>
                <c:pt idx="7">
                  <c:v>Uruguay</c:v>
                </c:pt>
                <c:pt idx="8">
                  <c:v>Ecuador</c:v>
                </c:pt>
                <c:pt idx="9">
                  <c:v>Chile</c:v>
                </c:pt>
                <c:pt idx="10">
                  <c:v>Argentina</c:v>
                </c:pt>
              </c:strCache>
            </c:strRef>
          </c:cat>
          <c:val>
            <c:numRef>
              <c:f>Tablas!$B$80:$B$90</c:f>
              <c:numCache>
                <c:formatCode>General</c:formatCode>
                <c:ptCount val="11"/>
                <c:pt idx="0">
                  <c:v>71</c:v>
                </c:pt>
                <c:pt idx="1">
                  <c:v>68</c:v>
                </c:pt>
                <c:pt idx="2">
                  <c:v>63</c:v>
                </c:pt>
                <c:pt idx="3">
                  <c:v>70</c:v>
                </c:pt>
                <c:pt idx="4">
                  <c:v>78</c:v>
                </c:pt>
                <c:pt idx="5">
                  <c:v>62</c:v>
                </c:pt>
                <c:pt idx="6">
                  <c:v>76</c:v>
                </c:pt>
                <c:pt idx="7">
                  <c:v>69</c:v>
                </c:pt>
                <c:pt idx="8">
                  <c:v>61</c:v>
                </c:pt>
                <c:pt idx="9">
                  <c:v>75</c:v>
                </c:pt>
                <c:pt idx="10">
                  <c:v>74</c:v>
                </c:pt>
              </c:numCache>
            </c:numRef>
          </c:val>
          <c:extLst>
            <c:ext xmlns:c16="http://schemas.microsoft.com/office/drawing/2014/chart" uri="{C3380CC4-5D6E-409C-BE32-E72D297353CC}">
              <c16:uniqueId val="{00000000-D994-4922-BD60-790EB4E9601B}"/>
            </c:ext>
          </c:extLst>
        </c:ser>
        <c:dLbls>
          <c:showLegendKey val="0"/>
          <c:showVal val="0"/>
          <c:showCatName val="0"/>
          <c:showSerName val="0"/>
          <c:showPercent val="0"/>
          <c:showBubbleSize val="0"/>
        </c:dLbls>
        <c:gapWidth val="182"/>
        <c:axId val="392327599"/>
        <c:axId val="392331919"/>
      </c:barChart>
      <c:catAx>
        <c:axId val="39232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92331919"/>
        <c:crosses val="autoZero"/>
        <c:auto val="1"/>
        <c:lblAlgn val="ctr"/>
        <c:lblOffset val="100"/>
        <c:noMultiLvlLbl val="0"/>
      </c:catAx>
      <c:valAx>
        <c:axId val="39233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9232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Ingresos por País de Origen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Aptos Narrow" panose="02110004020202020204"/>
            </a:rPr>
            <a:t>Ingresos por País de Origen</a:t>
          </a:r>
        </a:p>
      </cx:txPr>
    </cx:title>
    <cx:plotArea>
      <cx:plotAreaRegion>
        <cx:series layoutId="regionMap" uniqueId="{85F441C6-4366-43C2-A5A5-B5F7F6713E88}">
          <cx:tx>
            <cx:txData>
              <cx:f>_xlchart.v5.2</cx:f>
              <cx:v>Ingresos</cx:v>
            </cx:txData>
          </cx:tx>
          <cx:dataId val="0"/>
          <cx:layoutPr>
            <cx:geography cultureLanguage="es-ES" cultureRegion="ES" attribution="Con tecnología de Bing">
              <cx:geoCache provider="{E9337A44-BEBE-4D9F-B70C-5C5E7DAFC167}">
                <cx:binary>zHzJctxIsu2vyLS+YAExIIC2rja7AeRIJmepJG5glERhnmf80Vu8xdu+bf/YPSAlFROZlSj1LbNu
lZVEJhLw8NnjuAf+/rn72+fo6bF408VRUv7tc/frW6+qsr/98kv52XuKH8uz2P9cpGX6tTr7nMa/
pF+/+p+ffvlSPLZ+4v5CVI398tl7LKqn7u0//o6nuU/pRfr5sfLT5KZ+Kvrbp7KOqvLEtaOX3nxO
66Qab3fxpF/fLsrs8Z//7/Htm6ek8qv+vs+efn279523b36ZPumA6psIC6vqL7iXqWfUVDVNVYn6
/Ie8fROlifvtskLPOGdU18dvPP/RvtO+fIxx/59Y0PNyHr98KZ7K8s23f1/duLf6V5/7ZWq9MG+l
40oXd8+s/bIv3H/8ffIBmJ188kr+U8nMXZqK30qjNP7k/5XyP1NN09R0k+7LXZAzUzUMjTLjRe76
vtz/zEqOC/73OyeS//3CVPTW1b9f9LJ4LP3ouxD+94avaLD85z/qxOQ5PXvxBaG/iB7XX9ztxeTn
V3Jc8N/vm4j9+8dTocvbf7/Qr5+Kf/7/79z/BTLXzwzdNHXTYC+SVdnE6vmZyrjBic7hFfiD669F
P7ue45L/dttE8N8+ncr9evEfIPfH4tGtH/vv3P8Foif0jGoQK9XEi+wRyF8Hem6cjVEI0p9Emus/
sZY/EPuPO6eS/3HhQPgf//3Cf/+UPA31U/QXRnnjTFU1QyCJvpi1KfaFr+tn4zWq0W/Xje+afwk5
f2pJx5Xw6taJFl5dmarh/X+AD8g08pu/MtUqmjhTuY4IxL+rYaIFdoZUTIg+DfjzKzku+x8sTCT/
4/Op3OV/QKJ9V9R/ceih5MwQnHOY977AuX6GslPjVGUvdj8x+z+xlOOC/3HjRPA/Pp8K/t1/QNxZ
fK4fv6TFd8//C2K+hgrHFLoupmnWPENJj0xMvhX906J+fiXH5f6DhYncf3w+lfvC+vfHe8vzo6e/
UOpUOxO6Rqkg4ls037d6AbUgGQiNTjLt7EKOC/3bbRORf/t0KnDr4t8v8P8u3LGoS/7CBKvQMXbr
zDS+p9hphsV1XRCDa9+KeoSi15Xln1rTcfm/unWig1dXpnr477+kuv/jne6PPb/9WD0unsGCV5vd
01ef2QSAMbn1m7yOxqUXUW6+/PqWUEj2BwQxPmJPznePSZW+uU/jf/6fN/2b6+Kf/zf57Gc/3O/H
E54ey+rXt+KM6UQTpq6rwkT5ZCJQtU/jFR1X4EBwMI2qhJnjJi5Ji8r79a12ppuMajAHVLMcEQ6X
yrQeLynqGbAO+ry5MAyhM04Y/wHYXKdR76bJD+F8+/1NUsfXqZ9UJZ5tvn2TvXxtXKqgKjUZ07lB
DM0gjJgqrn9+vAUoNH77v5pMcYs8ryXvmais1o3NdUmDdOUXfdFYbRUMmRRR7WxEbHAm6eDRbeMp
TWTHoYjfqZ2bX3NHuJpVuf3w0OeNYrumkd4TanQbx/GVTFYRsV/J/Miy2bisvWUzTYOr6AT/qrrG
EYleLztkaR8V4mPDs5BIp9G0a893+8CqwjK4cWkYSM9okhtGHc2z4sJxryJDz78ahNAdjSjb0pJ0
79uCJc7CzQ3tvAvbwZdCadqPTZwlWD6S/iJWh35Rqb5+oUGAijT8SPlcOLx9Uv0mu22Trlvymjaf
Atb4O8V1xKLxGqbLokiCiz4ly6ipQ1+qQ6EklhjCcpCGO5RfeegYVuan/IJGCrfqrFTSl1TzAh8d
kRECxisRGSrCN5KnxhlHwWjoBt8XUUVMIxKjiERlU9W89Orct8IiZQsiql5qWkHk61j7jeSLdX1O
s77wXe8bIvjj13/svsOMzyjW75+PmOLvv11lT8ldVTw9VbvHbPrNMSj8+CrIfQsSoyvu/XIQFf7A
71+gyz+4+OeCAoUL/nFM+I6A/B5Exu+/RACFGGcGg6caOlF1lTMdHvgSAhRBz0xj9H4OPemIErj0
LQbwMwKtCRNOPsKbVId2v8cASs8E10ZAU+imCp8VPxMBRjP43ZO4rpkgQJhOuUoIZ2wMEK8CQMoy
NU/dvJcqcbNmGWq5KrZ1nbB0GyhqU69fSeaIVR6SY9QwdQM8E6qRsbJ7Tc7Jgk5EBe2kGha58+B2
fs8e9LzPqy+KXum592KTf+gF4/P22WNcZcIYPQFE+eglr9hT/SQs+ijvZK6oyW0lqH6f+3qwOs2V
NsabV2QE9lyqoECaNWh5DM/7ZJjaNE7gaTf2B/t+uZILa7GeCXkaUsUfkxiLgH0SjlblwQASO/vh
fgMC1t1pHuh+TOX7PIDAuIBXoirzMvMECCzlcvlhc3u73EjrwgIha32+s88t6/w0wdNCA0E4zWuC
VVlEpBoJ2jcfPl258kouPl5aqpyRHJnYwAFjSPCv6cRBUTI1gOSWVw+b5f1yCf08WuutdTdDiY34
30kljddfyXDsQygaWDrfXC2v1jZIyeX5brm07eXOwu87G3/btiXX+MnenUPGG3xnt8OvW9vGtbW9
xbXFFj/i28vN5spe4+oON2/wVcva4GkwMTwSjx+/skxx/+Z+ebXZ4GkSj5OL8fJys7Qe8BUsQVrj
J/gZvyyktNbWGnTxXTzxenWFx5/bNh71gE82C7lY4Ikf7J3cbO4lbA33LBajyVnW+LUF7sfzxodZ
F/hhB06wotuR/Gptbd8vtuNXF9sNBH1p2fgZXK9XKZi3sLrlYg27Wm52UMTz2la489Z6xFPX+Or2
8m69vhvFBEGNd9u7XSxHsncWPp4xwnHTclJlkzxZkkw4jQ/ruDlfno/CWu6e/8O/Vw9LyP0Kctg9
7JYPu6tcQim7hwcYkbxYYdGb29VmtVotVqsLeYnVb63zNUT18eLimdULaV2uYWjQKkRuWzfnloTu
F9sb6/wcnG3XM+EVVeIMO9PKqBGiSWHs51AUlHV1Ncp5I59jklzm8gpq+zRqGIzsxiv44m55u7wd
dQHbgn7w0y1u2MhLmMESP43xbLNZXeLf9R14tLfWzbM5X0FSoyNBUZfWcrl5NpL1druFGu1zSBDu
drUcGfXkGpKEDCDHpQ1JneNZkMqHHezbXl/ZuOe0ZmcVOwn9huukioAkQBI8YnVytbNhaRCFBAsv
tmXN2BOfJLiDYANI6HUEGNyiT/gYAZYPV+4CDgFHgw6ezeoWf0AfQhv9yZXQ//brOrNa+dVer9df
W3lzNxNksW+YMYhJahpE3/btGGU/QL27u7U1KgU/2Fe2db7ZwHnXDzBw+C4CAILGarHI4W3L5Roq
3tnrMSjYH5ar5fLB3lxdwTzAzNWtK+VvYG0JrcJuFls4zgc48VY+R/LNanO1uX3auPLpdnzop/ur
B1/eD/KTKzcI9UgvV7f49ekJIkJ4WluXd4jH+Pdmfbe4W3+FoSEIyHsElU5KV67gXb9dXF7+drld
L95ttusvdzfWYmXdIDpYi8WdLR8vRouC3d/Bq+Riu71AfN+uoX4bwQ3+B2/YLL/iX8RaUESoWe8Q
pnfn1npxCct8/uL7O3w8+vGdfX7z4YNt31lfTtslH9PNH9YKuqpNEnmYKh3VEHAQ03fyA6TTjCL9
uFrC60b3W0AjWOz56EE3iL1Y/ekVaM9Vz6klTFJ9XBk0iEebuNrAP62v640voeHRExESrsA1HB+/
wp/xl0RGgnfj6tXy3r7f3O7sDymWvJIfzj+NDg7zvlrJ1f11My4eceQWVmTdLRAGFplcXD4GcgvD
Q4Ij0r5BCH0w5bvF5Rh4bLm2F+BSbsdwNRMC2J6kdWoYAFSw/9Z1oguh6uP1V9m4GQbTVeuklAZR
GruvssYSlFWL0+LcTyDfqFDUf0wzgEhqkwSSOmXmGDQupZME5sKpFS6LpItQ2w657Yemcnma3iFX
HEajqgaGNgzsKyblTKQNgpudUci6MNnSN9pu6UWN9lOF88gVVykXQgAYwDZ7CgxoteEHheoUMmAe
+U3183hTZd0wY4qHsgMVE2U5NgUoz/WJ7Io8Ur1KmIXsQuYJyzO7tJZhwXktU7NPS6nlrXd/Wn77
EfqZM00FsGKoQPWByUzKTjOheRY3fSHTPCFbVcm53ZRhsFNrQ59h7wgp7PyAUZgccCpwin0DJFms
pnEdglTUZLIxk2GZ+XVmlUEcbU9zdUSSgA8Zw5aKA5xlE6vgmZ4YShIXsvHLYFP7gb7WeVBdsJSa
V22RiplK4xhrXOgGpjyoauCnfdZCp87URO9z2fJMUhJ6F6XiD5eZX7CZzdURewdARYVOYIzYsE4o
aXFDkrImuTQrEdpDWvS2KUJnJlYc5ecVlUm14MTG0AOPAZUo9xrL4arf2yFR+gfqNvmM8MaH/R5/
n00QkCCjAq4F8EpMioRmEFlRamCJD+mV5wl3ZYR9/r43tPCiixLtoTDqD6ft4xh/r0lOyoB4oFUK
sDGXpBTDwolb/VIvIi7brHb/d6SMSYLLeEDVimq51FM/sLqGFFYlSnfRd/TpNFPHTEPXGHqi2Hqr
GLzYN8LSzLxiULxCZr5ZX4dpFliKkdCXLuWfxBC+aQshcERKGULihB+HOyz3TJHLtIx9SbtUX/pN
qv8LZg4UBngQNfTRqfZ5Mf0YIEKDWKElVaTfJCXzyo1H67icMb6jQmNIiwzjQwKI1D6hvkqHVG8Q
KYpEG7J1rDmZsgga3Z+hcywioUmH5KsRSE4z9ukUpvALP9dzqRQm1S3DjMJtpMfO1zgrvXsTEbGa
oXjUxgF1MmyLqI6wu08xULyo8HWaywqI3ArQ60cAXp9ITsTi5+1OqEwlY24Ebj7Rlc5Vz205goXn
KMJq49KwWaRVMyl4AvmMhge8wGQGhRCfU9U+P55i+HXEk0LmtKCyTGhr8cELFlmWuaukTanMdL5y
nDBcUV61isybpJaDyryZ4Dg2uicBa+xWoMiBcXL0oCbZpStdw9O6tJCe74VbNSLNMs8zep82xc7V
lW5blFm6KMJUkxQma3V96FkQTaVV5qbulXymBjq0LXPsAFCmAtgTZJyzel3ZJSlxwlJUuQxdU79N
jT5fUED/K7WOgk+VXwzL0wo/DNigRwwkc8OkBH/v0+ubzBzcHNETO6nGrt2IWG3uKKuYubI3P6ZB
m9unKR566T7FSbzuCe3iWkN+7WhqWEUahNZA62RGsUepQK1jHSnQSZnodewvMVfpchkrdSq54LGl
mB2boTJKZz/dgRdmEp0BXx3/3pde24O80oBKphotla1rxrokVetSu1Vdksm48PyHNnOCm7Ku4m7G
j44p7zmoqhifUcnzlv3VNkCv3S7PU5bLKE6K86BN003m1cMuqJXivEZby1LDQJsJEXNEJ1E2KYZu
6E2keBTZems3uaGcE0d1LcOIyx1perOy06Fz/Blmj3nGWGuqaO0B0yUTu+kyI86jIoFn+Br/UCl1
Vy+I2QSrNjHVTHqJUv122lIPo645tiOQSxjqasMcr78Sb03dNuGlm8vGKRNbz/PCpnHQSCXp5orO
I+bKYUGIP1wFzj5NXSEbhrDVWSb7to4WajjUy67iP19Km5xpmG9AbUtUPhVh0pdpykifSUVk7YqG
LJZhIG7UPOQyKtSZ0HLEOYTgQh2Vhm2WOgktrEr8yPPQZo0atdx6hhKv0iRWt2nMjUUm9Oa+axUl
lDFQnPbnjQUU0UKCDY675IljirAzhrBCwhyUyrwjXhp/yQjPN2mhD4HMPIfPeMURWzHR0UbJRgSU
OM4RvrYVVBo6KsMWha/m1DKjZiQzLfCkrzbKTNA54oCYpngpsMeJ3YlZGlnZl8zNUH54aXOu13m9
iWnFtz4C1bpyROXJKC/rGYke0SYgB+AASNsY1phSLbycDDiYAbevdeLKyPcNu/XTcstTWl92LA1k
YpillWN2cIb0gXM89/EYJRqKOySpiWy50yZZnsPH3cDIJFETukQR2OxOe/tRKsBVns0V41lkX4Ot
S/Sy0xGzUTFWlaW7jRLbDinQKD9N6MBUwA5XAQvAC1EF6ZMaKx5Kregq+IWf6I6laXV4a5ZaaZPA
C29OkzrGE+IKikLMuILehFTIfObzrMpkaCZdJvNaGR4ahURixiSPsoSqG6YBRADevi87fwgyo1Xr
DNYf9naZ9excjep4k3d1ORNVjpES8DOVYsOMtDchVbVOkqZxDFK5W0rAHYqdDf1HL1X79c8LD0UR
XE3DXKqmT+JXHhue35EskwVT/QXmHGrptV4+Yw0HfmWqY4JBMobwVMEnKjLcOOxbxwOIohoXxtCh
X62Xnqy6ppFurq3DwVjHBduc5u2IFCn2fLAJ0DTIdJ/ea25GgtJJAXI0qF40lSzSzghunNwdPp4m
dcQGKdBKzpB70Ewep5BeR8Yk7XNn6INMmnrz3hAJXSTEyX7eKvaIjIt4laoFiXNPccNMsrx2llVY
lVZIm8AimjnTdzimL8CUYGicYKJ0shXTqi6PU01BTenzzsJ+s5AlC+sbUseDjGmbbkyXs0Gmbdet
TkvycLMCW+GYg8ZpAKaNu5V9Loc8CqI2B23mmuAy1zy7S5LQctKi/ozCr7KTrgEc4XNzhZSnXTHM
AUm/QfVS8iRberQNb0+v6Zh2oVcdM8SAbVHA7C/JU9ESMjoYUii8B1EryiL39GYGAjxGRHCAtQJw
GRDHiY/oOUaYyoynsvML4lt9G+iVXapmps/EsXG1e/U8BCxMdL8pMRFeprCLw8JEpT3MKAmSzgo8
qku1VZYab9ZJpfQz1I6xZaBzbhqC6YJOi5S6K/UublLMoVXcOQ+bPt9kCLL2z2vIwMArQxWGDGpO
wpiIREF7FwEzKOPiIq29eNFx6v+8iiA2bLYQMKGoqeTCJFVC00cY61vhXUatySzN597PAlYYC1IB
G6hIaigoycTajKFRKmV0gNCn8S7uO2JnTmLMhORDeGIkIwi2GWixjOawb9SxPqRcjUUqg9rxL9Iy
YEvdbbeUDolVpu11UycXmaI6sHXhnAMG3+pmlq1P6+2gzMMiNK5RFHiASIAP7y9iyNXarNwok4Pe
EG0ROllMN4Ebx+olr9uWWl1rRv6maEwyt6094gbYJmBEi1AA1HC5fdJK6nG1js1U9nFAQ8tT9d5u
M/+CMpdZdeng79O8HvEE5CICvH2ciz9ItTURXTyoiCLM83zZlrRYCgC7M55wmPQwYYpRY5gnReEw
3ZBoEfbLhYBadcxUWpEh0k2fDGLDHNObMaFDCYKUgXMVBDsgJL2J8hArdbXgkGAacl+x+zTKDQxL
eto7s6T8i9fGrTPD3aiU/dgFIIvgSDBjCF9MTJTmhTnHzCpNZZbEis3MnL/P63b4lNcisjUtIZ8A
l3TnmUdTFBSkfDitwkNz1SiAFqID+0exxCd5MU5y1W1aYC1qVLh2pIsvmGN94AkAkdxMYlmzuaLz
0GhGitjNosk2QqMTGZetH/hEy1OZKAS72byu13CVZEaTh/lew+wgTmVglHjMPRMqJKgwHZdWqSwC
pRgsI/H9D/nQx8wuModd52GD8drQ8KoE48RROZcjjtgsR38XaQnnjYGaTvY+xZCJMMHgi1QiJ19y
N+wry8Ts731aFjSYccMjgQ8tdZTvOCbBINaph1CihKytVDi+Xl4D+QrvNccM7YYVkWaz0uN3IY2x
We+ctqyWxHEcIZWyzN95KDSymW3fEcmjJ6EBQkP1PQLt+1GIRGVVDHmLYJ97cNemrj61Osr9RO1M
GfVOuCuN91ruej+dyiAEdNcBqWGOE6fs9+mqsRnxPBtRw55FKca/HTqszEbzyxlxH9Mt9mUMk/KU
INJPdpxxkgQOBlJT6Za1867pAyoWvWY655XPajFTPB4jZgLPQlvdBBw6TdAVI8RTqjCVA9PVbaal
9WWbCMVu9LS9Px0KRsVMIpEOEiYwM5Q1MNx9AXaBqIaAx7DZgPV3QaX174xKNKswiaI1dsbZl9P0
jrAGBB/DyOMBZXjJeP1V8R8xxY/rPkVcT4VhKx521UXhotGOe35eZQY60Sj+wRrMchLlfD3O3LIK
Umn2rHAl6+raQa8zoRsNvdzEPs3YkZhqoKZiY5QbXwVB9xkLukSP3FpJpBbHAap8rwykknctKn6j
JF8qnGRQVzlyzcwe5xhd4JDjiYxxxuR58uqVQOuq1SJCBei2aFDLrvbZJenV2CoS33vXpiy9MHBW
Yqa4O6JGzC2gBBAovgS2i/vcNqJhcaW4MJsKIIKTwMuzME8tIUp9JrQcsdDnQyZ4jQPgZFNMBDvQ
thZNCwt1ymGwonogq15vjHVdOIHdJq7ycljrDxutx1gzcC4BbRYVQ9RiwlreCjfvDDNBo5XpG6IM
xI5dnt4OOHcxY6FjdJo4Hyo2HOKADDGEzyfOx/Sc4MCKk0jV9aNLVgSDHTDuLU9b5lEqyLuccLTw
MMi/rys1zsJY54gmeRDli9xRjXNP8doZSO6o2HDCCICjAFw9Hv997dilh8ac3megEvFOWJhQj/o1
C9B1s3tuqPlMiDxmFQCwxn0Migp43T45VR30ovYRj5Wqumuq4SZO81bqqKekyIN8RlHHqKEGHSer
AFQzMrHBLCkDnWZw7qLP3W3iF3RZhq7YqF2XnQ/tUM9wd0RliMj6GJcFaE5bu6EgWdvhrIBsmyxD
M9VTSWO7qebMVRFHtAYSI24GqJihA7cvxi5jmlf58GNAWCK2Y0ww2CJMDV/6vlPcnTbEI1KEENHC
HI+PmygW9ok5ndYllWskUjc9nthoq+afk4JxRzoKdsPoPTDv56MjMraJWpchaSN775McUiPuvI4k
AIp9xwoV12YE3a6y5sqCOUUnu05r7dNsHpMpChLsXVCkAyicsKlnmOEqdLCZ1ZXfbBBAq2iR9GGT
WX6YQcD/AjmUvCPwPp7TmwAuXhUoWawAOxJltCVoSS+imLoyZGSurXAk1SD8Yi8/1ibYbo76fZVq
4qowIq/UEgCeQ7Uaeq5cD7pj2jkv84XSmf1W5L7z22n2jhLFcBI21TiKCGBkn2gRm63mGzSRZQuu
fMxvvIt7/Z2nJ8VS1XO6bEuPzdA8sj0z0axBxMS5evT5prHMGIAj0CKR2Clp0vWSrZl10W+94wV4
rxWNH3isFjZX1GJD2i6eCTaHtfTYnOLjbnQ8jjV1fpWloqORn8hadNpNTZJeRl7hPipOXu8GQ3EW
pZOXOyUrZzLfaJj76WhESeEp6AqMBzsnltQTM0wdgJSyRfvtRnFcIo0+rd+fVughe+PEmcFxHnDc
tkyF61Wx4qkF8nlc+XErcz/h12Y9hK4s0ANZcppwKRJXbaSDXvzcRMNhDAL1cd4IY3zA8qfZvRFJ
7fvoMUqU896DO3iNZ1d4ZVmyZE6XPlQ1dx9P83sYDgBTwpCQpbDXR0Wxb8B6ju4bIwgHpAvpBv8/
hhlrV8QzjOVpSscki/EwHItH5x314ER/jZKqvsZQ8KpZ5kW2UBBs0DRIvdYy28jX0MRyhtbOOjUL
18CmtafT9I9wimIb+UrHxhTdionbYO9AzCFClkwcUyR21+NlLShLy4ov9Ib33kzgO/RSCk2ivwmI
EWeVp9VTGShh0FUl0gmJ8i9IIHbYBqGthY62qKokXblxn3/MWpGtgp6yGTM+dBZQB5SOCWUVh6rH
s5Gvg2FV63pYl6COca/gXMt0VfIgIT/tkiMVAxMAaP6YOEW4TwU2amB4u0WF2CrmNujZZWN0yua0
3o6yYpDR6zHfCkBhn0iJ7byCUTIIsh2ya8yqOz164WozN8B1xPcAbhOYJ86hGwDu9+mYqBvjNqkT
6eL9VbaZ4wSkqcXuBkN63dYwKuWnS1IMr6ljs0PggCmOXu7TK13Sp/moIkUJ6CJqjOiSA/daxG7H
rk+L8JgtYv5TfQEsgYTsk4oDX8V+q0cSFm25UYOcWQATYpv0bbTJykLd5mj73/AiyD7ifGM24wqH
SXKsFLFfAZ6vE3jfPnkehQ1mQlB8O52rEJkDUbxmOHltyCwP886qmtgdLIbT6cUM48coaxAtRl+B
futTnabKkOFAb5RKbUjVj1CEr8uEwBGt2nOjErOJYXiL4S4+F+yOBBts6THiAAUDjJ7i/pXvl7nb
YAPQa3lpKVjhpjEG74Mm6nCmbp3wCIwFuYqjIYNcjGrgIC9qJfGVzh0beGk9LGkUBg/g0xCXSe9G
xrtSoW6wQVe9n0PBJ545Uh67dc/vGMAu+/lQ6auKy2m8JDZZ79tqW3JbM6JypaVNsDxtvJO88UIF
HII97ARw3HvfelimthVqS9/2iyKWHRfFqq7ybmXwhNleMniWXmKClmNMbnGa8hTEPCA9SY545Uas
+pT6doCeTGVGtd24g7JI1UCxcr1UL9FETbYhVa6dzumWOZq9N05dzbnvxJiel4HRQ4zqYCAZdfsk
MhWpjyFxUfu24br1lud6v1DdulmmfvOvqPQ1qVHlr1SqD1T0PG58uzZNf1HRyLBJV6YzKp2E2pEh
RFMdb6cAGMu16YgTT7Dr9w3dtX2BExLBMmNF73uWxyMa4WwLkkiEpJzkJZ8pXo9YrECqHWMhBvHQ
+9tnj/YsL3hqujbmJNxd1Snoc8OCZ6gcY29ETRBvsJU8OMCf8Zg6rCUo3apWsE8AfL1kVdFYkLWW
lslwnvWl0GeM9YA1dPPhBujKYtYf2XJiq0VTCaY4CbN4XrlrtXB6S8f87QxrB6YI+BzvVnt+g6M2
IgD7AvQGFhFHyYjVh6yRUTsYdhKQyOL1UNinve8IKQyHmQC0MQ2EDDnRVYZjT0VITM1yUAUvnDwZ
7A5Zyg7NvJjh6kBhGsFmCscjhIlhCFTe+1zVkY9h/5Roluv3bmP1NEqvgrwzF1rvoR9EBncmLx3j
Dad1EDnHt0gBJ9onaAap6oRBTC1NTT3tmvCsyd/7VUUUJktXlNVMS21SAOBkASwCr8ug+F8A2Z6U
g0Go51pXt1BbqabnnpNkK8UZYosowr1F+s2k09aBFcQdvWgpb2fYPSZfVN3YJI9zO2zKLlFMEyWv
RyyYprFShopIphfAoVWFohxI1ZvTpnNID0JFyxm5FxsOzG7uizfE+zyUPKSOhda6sFxDT62o01AF
eOZN01A+gwEfut4euenOJnO70Akc5lgkCtk6jJJmkfteNWOkx6hgZgebbxTcQLUnNtM2mOVPdU2x
etI5d4aG5hmpCfu5lhUsBUELsRHxa+ztTAuXCC8N8nR8bPWIxR9NNU1sNA+yGeDrkJcR6UUxP076
jfjXvoKCAa9LcjszsDPhxhgmdKuVgpGkmRMQR6mM0AxKTuAV09M1ZUpbLzOUwO7bQV25qVEtfbWc
0/6hLyPGY24JY9A4pImx3X1egJA7Pc2NwFaaPpWep+LAaasF685Bj/y0XR8lZcCPEOnHIx2TUqgY
wKubg6HA93I0TTHlXZJEyE7R2hlrO6gq8aZYoPIouVQB1O6AVDoer/X90M7Lyv08hHV8z7mbL/OA
d3ZppMrWBUw640jH+NMRDpmJbQLK9VGhr6oPtEtz1tRonJhDXvw2OBrfpAZXNqiynBlSh7aBdj8K
kfG8A9A0Oi7lFSl1yP0+q43QztohXZll9LWg+lzH/1CImEDByAbaNUgt+jQwlFQLK4ZzpnbGRP+u
TofBrrKku2gBMe1UL4t2yaAUcy2pY6yBHtjjhoYcMwkUjt6nON7k+DbVmmHdMkybeVls/LQtopeI
MRuMt+HsFXCOfQGmQo0TrfICW60Hp16lbVaS5RAUYbzOY1JVm9Omf7ALQOMSoNhYDuD8ucYm5HjX
+2GuoBRXjNq/jsN6kL3oEitmGTnXvMCJpd86dM28ynk8TfqYPOFz2L/i5DoORE8cvBvKTFG6DrsA
Xe9svSbhRVipc3jRUSqArhEONRyhnOLyPKgBnTnctwVpmiXN0nCp5docenuYGbGPwOwJOoc4To79
4r7WGjdheT6wwHaGnK3cMB9uEu5Htov9aitxTt6cySeHLo2hJbS3n+FqVHMTP6sUzGBqeRPYLoDB
JU+CYeP4NUDUFAdz5s6SH/G3PWIT7ryKMaURbWAbAiVGVWnoSwklNdbYj1TLBqPlF40oy3hx2kCO
CBUBWce7wcY3aGHMbV+oZqL2wnTzwC6ryk2tBuMF1ELT39AtXzdLb4138fnxTAA7xiuwcGBvI86A
SnmfaOoIx8OLwXw77tTAwZhpVvsD3p9Xtlohw050plUZXtOu3DrHYO9pjo9oVccxc0xIAHmAVif5
m4m2Lcu6ju3kfwj7jua4YS7bX4QqBjBtSXa3ohUsS5Y3KNmWCSIxASSAX/+Ovt3MvJrZeeFWN0nw
4t6TgP6rA57EXsrD5lcxn/Y///tX/X/eC7BH/5HQwh2X/Pe5JknnAfI6q3sO98aJmyTpzdHE/6Oa
/R/f8t/9y9ZVxlK+6x4C/qrb073oVGz+/u+X8j/uGp4VmEVMvCBqAc3+t7vmMbeBUBRTX0iyPCkA
4H2yrceFh7R8+9+/6n+USzDYX5KL/yTxf4Vo/tfVYVazDkbppRdTkb8wqLHY9RgDnNL9xNak6bGX
HzXv6AEI7pc4HLDw//0XgDb9H9eLMgZ5JJrjr58COuO//ghw1RL2TLmcQpFIONBJzFWmHncVt0F2
paYbhO7lqKNq2lCvm1BtUuuklF0Kuo4tp2ZMUp1+jzoP/GOU0F/Q60PVM3nllalm+8aCFEZcIZNy
I3+NFgSRkWRMGBHtKHcjxSk5hoTlHQ9mX5Le7qB4xcU2Ys1fdj83iJQsOT++/j+PS/6+VFzbf6lN
5uMtZrHMv626WvXfRVLrusyFMT0JMo2LaEVqhb5xsxhvkkqUAoSY2MNPz40FKY7pNZHVGZsvc11I
5X40LVi1Gvu+CpnsRc5V/QqAJaO3MAhtyd9mg+3qh8QHc9FOcGSlphvrPRtOm4EUS/Vzw3Rzy5cC
8zboU3N8TwMp4dmcrGAMYaNTLTsRbLP+8DRfxcM6FSS/Uk3DAM/hWqbifVHB5bEHTwJG/WoeDzi/
TyAwcg24ACEtS3K18o0cF6uFwMNR+AFVD8PKOFadbpZGtyHMLOknzvLwDMAxNX/VbMpsvFiEBr4t
G4b2vVfrNJNv0MhO7JsdmwiBs0u3ERDPvuGnllCT/EzdkMCeDCm0id/ncoaOtRloHU5+SxbbuapQ
4mn7iqTRPcmJa94KFqrt1+xWxV0HiMe479skALa2uxFq5ZhnWZNe8Tyz/rkcvZUYYYboEN2oREKo
aFW2uvhWImBx+DEW9b6QM7ILjl1dK7c7/lRxN8MuU3HALE/HUU3qQDbrcATRYdeu0OCPofTT21ph
ygViZebGvsaQH8zDHVFE8lRv+aD+UOzf2dBpQuph6+OxiqwGy58U7vtUwurwmcVIBwkwelt40vFh
rwT/etxrunXBLYjBRUbsdAz4erzIzYtgQUOn7uayjpcwFMa820ynUrYC6/bAfqpcdfxCFduzpLWO
yvi4uBrSxwvZmrDlbSbMWgydHGzu1nasY8Y+t9VkBZYyKzdYFUgIafKzpiFucLFTHxFvOwiyhPeZ
NzG9ObKZxh/UIF3+e94wa17gXvSqLxpGjg74SqzaOrHM9Ps0huReI18MznyA8PFVEShGYOd1Jb58
PZbqbuLTsr6irxuz81RzAPUdpHYbT3q4idKBXC1Bge9szUJDeDdU40U96ySUdd5WMomQhRhBzJrc
5mum56aLrLDquBhOikp1Ca8ZqduYSXAAt47AP9p06a5d/FtwAuaqZ3yD8qdNp5BM9AxZkKmndktJ
DGkrkmiOd6gqiRha+NqZucuygUCZisgfSJHbMNWD/CiW1c9jVw1JTJ5LdNlbDbtOYI1oo4UsxrUo
sIX7o0UQnLckG5rVdV9qi227qVKMO/abnJJCrderVXx2l9XDJ7x1OyaSquznvGTFnclFqR1ijEZu
+LVFtRbQRacN3Hg54myKLqOEzLIb3VHP2XXMNcrXD6aK4NyzkfkiG9SQpjrSHyubIFdCh14Xufji
IUl1Dweh97c1hEJbdpqHSI/2aIJLT9sWIJLsG3KI9VELJJBeLUgSGQVUhHZCgHBTZEfzt9YZuI6z
FaH8Z1FSqts0kVvyqxqzbXrRFTIBoPSDQAliQ3hYp79ZjprcZju6he7w477fJiUSBl8CpnP3mthp
VRelhjK7RRMCrWziOfldWY2so9GF+XplUV2OgiFteDmWIW1hqRjuS5bxhwZug3OmGvkALm0Gz6Or
Zite6rHQ8gTMafVZC/p54g/lvB+wDM/5QsnPLN/C/AfXNOY/bSk2KHZhQGou+FkgHlIuXeisNyq/
QGKdqNstGFb05YGmvZOiyZafuctqkrRE62W+I4Vs1HMmR7XcpdiB2eNCRx/uUO/mn5ECVXwdTLOw
P1Uca/0kJKmrJ7sksfkJ/c8ynbeJjFXP03kPF/Suwba7NxCKnhai2ecEk+f6CKnqqM9+GH3zG0t2
wppjKSQuT2uZGfO3YVSU8BquuA+nKe5r/jnSHb1iS6Y1w6rGGkn8k6S+MG9aCSm+mxCXeMOhtd0k
BKlMyVc21DYxV/TYyq06J8U6+PTKY9hjvotHLdZ/ex2O5HOXdDFHy21KHek2S2j2O1u9dzns9MaX
sYcrY99Uh2iVYfBt0/CxgD9j4l9K1JXni9+6MpjFfFZOJ4lqp3rZYNTlQ2abj4WKZH6tRqpHbEoT
FjpvoQaLZdbJKeQF1Cip09agkNZ+vdT1rmBIb9JmuR9JgTwFiGMcbevJo55D7rC5dw0tKAx3pR8d
SmMq005CfQFdZToR2xZ+GiElSuRI61c/gCx9ZQfRfwczixqQpdolMO85fU0J8LoOGdok76plWPWf
zcX6GaIuZ/pGJ9w/lebwVwPeL3Ynec5Nh+qz/KxTkL3tlu/yfYOQ51mFSfwtx8Lqq3ny+dN8HOUT
vKiD/c+28D7U8PrChbiVN+ZYuPuOTqEG8M6LRl+WiHiNC1JxmD0lFaO+y6dmLa7ilkBMAomvfp3S
Cg8rRHK9riFJeyCWPGn5jPiDDuI7ZBMUi1LiLMqC3SVFEnQ7axU/RoL9+3q22UJPM9+OKyGs1ad1
SeW5rENKzzQxwwWTD0Ip5iDnBEI2tvB+1mZKuh1C8X4FceEuB7a39xz6S9UtDHtMV8gdD2UMCplE
O5Sstgvr4eT1Nu5VaOleQ5mGnqQZkF3kj70fA9n8zYAAk9AKYaorqVfrkS1z1GmfEGxDLRK7ada5
KZPQeaSO0W5Np5L0uc98CmHdwJ9R7rK3LZ/M3mah2X5QUQ0/isGzfxym9ad0RboG7gghyZmPEwQ4
SbUmeB8m0RxtU29oVpE+NJd3M9NePk1TNNslo5uYr/0EX87Z5TbzPyRM7ktPl4qMrSi2A0PZhKVZ
bo2mJxbqZOoEPvPw9RwAhwc57Z1lLMs69ChT1dOIXgRaxKCxiYhK721pXPbRHIW+HXLEYvRQM4+4
hsTb/DKSuMDQHkfxa8KjGbvxUOScjxviqwziE87ALmcD7Z2WWYeJSp8FVfgnMGD04IOsDW9zkQ6v
qxSCXdGBHVlboVOB7ELUzdQ1qZofpCprfq4ygZSbZnOlPefTlsCO1ETZtFPcJkBNO9S8LSlSTvHq
66Q4RaeRA19tuviu5SDS7iiJsK321by1ki/e3xfVMMN9PeTN0JnhqNJ+wvOcvy0xya6mQWgAgbny
DB8iFN1l5dLY5nAD7a2tLIrZFkeqzkbv5CGDgGv6nU4ytKRGzWyX0ruh58OCP5vLqpGnHd2vui6r
sRigDjfVbaNERS+1Qg1H694Y+Slj7o/PEhE6P7WasZ8IPo55b7amWc82DgmuJd1Mh26JqtYcILBu
mF+L16wIW31jGLT/Hc/34TlWg0naGWr7W78zNJf7caDJ2+PcZH050cF3CPFpkMDI/fgYliz7tdGG
3404p5C2NskHi2LYiLEzbEdhPGJKf6xZEn6RSbKmJTsd0+fMWaQlFJA26J9yXXYgZXKzznzDaxki
chc9dr6SjQl55OhrX6IjdO6TKRtvp7RwTTchBDy2m5zk0A8Dr/MrPKpiP0fHjw1L1TTPOywm4sT8
aFk7gCXmV+NBlvIsIc+R7Q7rUnVmlgEgjoRp3vLJpz/pQb5EUHBwijMQ0O3U5Du0psxzdonZniDr
phgGfSHop+c3LvKjnetKjt02ONQucMKV1O0BW6S+WuFxfQQSl6keJNKeXi+VTeEKI5hZ8H6VI9kv
UCl5cWVovc636FUwtUk8FnEFkAF/JxGu2PrN0+hbmFb4G4h1/ZmlcfjL5+n4iywY/nEMUt2ZAgpA
qCnI/BiFky+GEeX7BAvqp8tNsl0SmZuXVZIENVOnMT9XvlRoChLWkL5AQ5FfytSn8jpXenthI5rv
2GHe17aL1uTPK3x14QTX0dxzJkrsBTgyQnfQ0iLIiilaj2gGDQbUXeXlYx4EcjEiDEzNGbr8ZD2T
aq38D2GaWl5bKtEO2z2pTlHt2IfabTS5Pc2NHsa2JIS/iwG+9hamv0S/CBeOrd/1wvILSvF0X4Gx
hq03j+XUVq4pWxoFogMgqWj+JWvm/yWWNP82WmCy3QVbQucSV4CarTfsZxDVqbGlqc5OrMB4Dr3L
V3akT/XycRwH3C0Dz7Vstybmf+D6wwxkm1SiRSbrj5pV029tAslvctjSL+BM67EDx70uiAEBJnyG
W0XOnSgY9BecL+nrPrEdr8sUh1+lmY9vZaTso7GBPLk8c08NaQ55mdHxQKRpCziJKw3G6zQKsZwP
qrfx1KS+Zi13Y7g/FuWTs6KH/10hnVS2BQn2j8iXSSNfxuRlz3xWXVQChwyAmyF+bAndFXbO2vir
XW757+OgroKPJ0wfM4pHPFWuFveZyJJ/8PIf33ayz1hKy1Z+7IMSL7xAcAZsjGq7ceWAFqkAvbK3
AWqJ/UpBeBv65Rj1P78k5LfZvMhQ30L4Pk4WiTDbFBV/EONCwZ3q3XymaltDd4RGylMgVAEp8Mrd
Eu3nFQNCWP4NJWW/Qj4PTw5b+GOpuH3ntqh1u+Ou/akWu956vaTo9Q2eeQutj087JQn6QKX4l1WX
bgARExqUB4vK3bdmxRjeCi8tpqrAv8aEuhgf00x7c56TsQA+nyLe6LxvYXetWMaiukDzkb6XVhZl
Cxs+QahAgdc9g9WyAlCFGb73sLKvLa18hakUxHsN/omE5nTkHrYN6f10E0H80vORYbA/ZYuFYMRS
ay+VwL1G/qW2ZTe5zA2t2yosMrZT+sCWmr8CB1UvR+aAA2Hwc1ubz82StAwhDGWry9o/SzUUn/vU
qPtjG7fhBnNHTk9NjSbmvHpd2066LzonYelwnS6Vsmfvm+YFe/o09nsxmltRJru9XidV/pr2nNx7
QWJxTmvO3wY0rO6mGtbmmTcsePgdJXwFW+4L1gW+LKc69ZW8WlJqRDfQmf6tl9xDhmOYuqVxja/0
cLPt1mIrTceyQI424MlcNNjW47zvPP4ErRr8HapFoc9NJrOTprU9ugUKA7Sz84DhjuHicXdCE34C
9stfCpkP3+UKc287WqBL7UDQA/SZDMk/NQp9C4vfVwkHelWe132cqw7OGftY2bAjxxcKMdyAeJQd
QneTBySw5R6EUyxNu9ekXE4D2vaiI4om18V+4DIbGB+QQqmPqmrxPtM/4DTZj2Sm2xuFhP4XOIpw
OygnIA3kqnmrj336CyRQPa5u1r9FEfPrCZe5diDfMP56cEaIyYDOHyq0o2HXudlUje91ASuKMHuc
WJLvWZtStuDOomYAB8mK7VkhSQTDfgZpBKpntTzisB95tMj0FSlUOqT4tYetuK9KsX6oUdK3vCKU
I6ZD2d9yGyvZegX8s9v0VCIWrhAqa1e31R9sONAkO94Md7FY/NoG3MR75mSCk24G7+4QKYomJUld
2gdWqQlWroWUbcDc8U4KPr7XY0nxu7MZNhCoN6YLnQWTbdhXjxEIVlIM/3GclgvT5LhndRoVWrXC
23bhWTV0G59qd0LXFExHtyh+QprPHjNXHnurMR/FDqJLdG1gXKcrUyKlsN3nspq6IYdJ/6bG4UYf
iGCjL2VsKGo3ieZpMrZ+K4Y8DdeNHOTLbMX0B6foxHs4I6ZwHsux8e2E5IufmNm1bTPswDD8j0v6
rHaDLYBxZFyixJbVkzdJ9ebyGaMclMP0le87to5jCnD6lKv06sYmIr9VyGLFFmbyyfW5ScnPsZ4Q
GYeZgWEgrSlypDZ0LXc64nSndqZq2Vu84uVvQg41nPhyqKtcYCLu1CDlg8kxTwAHAot+UQsTd2tE
OMKFkSa9rjdZfQ6amhto5tHFqB0tRmpr/wJkuVp6SI/Z0fma1LyvixlSdgVADLmW8MrfjyCf/hzK
NuXZWpxqVJQ7OnqD06HGLlvX7T1ZjuaxhLwOqnfzdZKSLLRauwaJkLcgNqeiBXk6fkeKj5272ZpM
ncdtR+9VI7Mqb20+6O+uIdXR6WPOY2dp6u9oPYQGW6Edn2sRlqrVsx2rc1679IxnPEd0brA362wj
75BQweIOo3u29YUqtjsFR9xxJUFRvVTkWPkNTubB5sjRVvMWtYhcNTzx+yUZ5qrq16KGM70YUGQo
wLIblqr4sFm1NKfoubwNJqwFBrAi5G1DwvYwHiV2NVMNIDWVW83VWIEoOkVZ8J8Fm+PH0vhk6fEM
5Z3zNkv75tiwuJVk+s0SOf9utKJDV6JD+QOSIdyL6rC8x8xsvlkfiHpMEL9gh+dmBgjc+ym3a2iZ
G9f3NA8abcfoqPtGWTaUfW3qJfyWkSRba6TFW0Bqi6eQoFXHZLjlMr/sY1PB1jyuzZ+yGFdzWtYt
Hu8Hc+n3GkTiVdgTjhcn7u7npI/mj3aT4uc6NeYVOer0zU1ErN2RE/2ejNh12wQT949IRMMxhjTT
OV1LrNKmdIc6kc019ck7No9XK7Durc0MTePdoBr0LBFj8feSboAXU58hDSAHgK36cZa1b5F5O/lT
XYtJAubI9XfpEZaAJPVoSOtX7t8tFWhDsyo11Ukr/Jh+2hd8ta+XauuTGPw9mucFs2xQYek0EL3x
BEe+hhwHnNAHCXtZD39U/IIUQrIsT7UgdX3KashduuNYwtHFsTBApipnk44EHydsKvM6dxMY7n9Z
qBKEDuM5jNlV0Rzzr4U5ZJ+yyi15B4wZY02ocgekh5TTfLPRjCgEheY4+AgmAJSjdZ257kyMxaMT
h7zbE3LAt2EPjEJDLEvMV35Fpjxf7Xycsww9BuQ3Q47RctYrgHEY+p7F6rIE/32fvqW5QN8WREz0
OQL1pV1pxvJJK2gIWh/cDMRN6uobEvHyqrVz6f5CU+Rx8FsSkrmHnNXMvV4JB2A1N8PjHhCG0wIo
kcllh2726AuPrNWu0E29Yulk9F4xtj03FNN7Z8Nk0q/yrT5GTx3KNPh5fHxEN90Slu4vWaTNw6y9
9RdI9MXjZoY06wvkQjzZBmmOiN22CIA35ZGBrkq5QyeQbFlKzq4BZPSquRhiH8Wwp900mTHeSyox
qhXYBnVbwzzkT3MkCNUkKh7qdlzr9GqdZ7u3MzQcLxyrykJLpGoOrIJOA4oxzrhrR/glhtZPm8Qg
WhbDxQ15HXukCM+gMpmwQ1sjG5x1pWP+gxplkwvHlHoNTDV/mKqj/MdxxJ5D3Rps6DYsoKotlIrJ
WcZBxn5l2f5yFEQTHLk2hg15GFRVIGHGSnezniH7DovwvoYEI48Q1j5ACiu/HYhVKzqQwceCbv+o
70ESrT8YxMUJBACAQtpxPSJQv9SCCBiPJUI7xzbILdMRe5NKqfpN+BgBStJGvjCoEuaTrkgTOoL5
4LHxAp1TmeUrb5Nki8CZg5LXLM8glbAetExbwFJl+gqd69o5cHwaTzJOGAA8LdauEDP93qwp5uoU
zsdnUD4pIIwldWiEnJOtlTU4qVDZ+dGNaHl7HC0mr7Xk6DH2gexLvx98/52xkCj0e8d8J6RW6XVm
GXlZI82fIPuNui0sa4CwJmZdTxps332cCgBgfCjsj/+QDG2zN/Nn5lb/QAyzr4RNizo16yI+i1xi
O513H38fgawPeTD8c5kQ24HhIGcPczAlShCbstddUaTr7kCfrqpsyv4wh5KHS8UaAy8aXe+8WX9V
hgCYj3FHyparuYINGfEtSFMTxQn7HH0Ag7Y9Y1SNc5cPRfgJyQL5ZcBMYCNruN9a5VIi7hFfCj5p
sMv+fQ41D5cqjzgFYc6q9XNNkNOCbr38JMiQTDoMo/W3LDsEkN7Vbz+I1+isuXXJvRJflcZzzp4M
tk8c4GjT/RbkCBy3UPtWpGXjlpb3voi0BDWj1ZNPA/pdfKV5yDwpkXa4Y7+rqx3FaoUx8XmpjVhu
N1ZlHgST3ot+qBRgSuRd19mVWyjisQqkqhS9TU34hzv0VazQaspuBpz6mh4cYKl0mLbaggL2GI4y
FFfYBFPg2pqBCM+inp7kV7rAuTFZuEPZyw3GD7T3bVmT6R8jmtLOeL5gFN7z6Vn4Zjs68OXjdm6o
QdBL5sf0aUULknQllFqPG9r/FeWg5iCfYN5wcMP7BMnzfPDFeWR63luJWgdL0j5W4ZrCm/dZF0LQ
VqeO6g6LJPzcnSAvQyrWEVTwun4YyYDW7ojwl63z+/xYIhn1z4qd5wFIc/qI4OApe1ygTGGA7LTE
SRxfDLEXJl3fGJC/5CLy4B51km76lpU2xnbB61WeYQsE/yfIV3y1B0d+0tuGXj6vx2aEugeHKXRQ
8/LfRgKbhVVzxUBLVilBE82SP2ZwwLrTavf1NLANFL+nMsf9DRmailUl5ZMEf4q0/zigV5iybPqd
SBDTJ7OhFHdBeKzYekqqfzZPwjMNbt9u57rElhPgeEm7ai/8B3DwinYblMiXEjm4/Hqk0JB/bXN+
BtU05Wj/pgG4HaJnMtYB1o0/hd/T9yBVnbZ7JsktjO7TZ1kdAJ4R2Y2sVwEK+M2paq8gJNDg8Iuh
Wq71RvCX9bovaGlppYpukXXxD7xHAbYDKoIvsljDZ2XohjELCe/JH2AngMUNitreSdCH2V1YdfJD
EQrinwyxGLtjBMsPHJmBjK848N8e+XHTszzy8NtDiPyOC8KBLRg2lDlVQTRlR5d9s5cDIfw3AHyS
o52whL6jWzKQkuWMJN1UR5JfQmrz96Qw4ysksvyXAzb7joTPlF/AU+vXRYzF5xon7ls0PQkwf3Bz
v+dpofe+qZdjPRV7k/6BenyObcYEjP9wdlJ5nUh1vBkcJFXcZNywtbdQg2AhI7n5H95HvwA9XMAT
j7sKaPGgvFlOpSR8Pm3rSG83JEyAbvKGfrJcAwlIp5r1fD3K41yNEdrC0RUJwcQwkW24Hwqhcc1g
BkjnsV7DeXIuV53Gs7sx6ZSAS4YJ81POh32aTURTS9jGii4Ars5PhSm86OZE5cltZGplLcKIineS
eTBCZqgzexYYYJ8rSdK5awpCwvW48uwFh8IgDSBJOXqDakJuy2RToDPDVx/QDozND8rks0JxP8x3
soIewy4tkEoc07l6SrZyH84HsfpXNaM76kYDsLpVZCiwn2VqfrGLL/5CPQ98xkg3Ve1q4YahPynS
C9P7PIQs3smVjqTNJQPatA9F9QBB9yz7Gvtw7LmtFxQlUjjY6nYkQpwHnOWiLkwtlbjNUD6APPPF
pifarOOLkEMA3FMcZDxN0CXBvsUzwMqzLWOXBQc9cSqjfM0TTA6tRobFgI+vsS9NFm2LLRIch8NO
87khv5f2YHzSm/LQTML71pQ3payJB6B/+O8ct/J1jhHGZi+aceqIRO3rdp5xpB2baZnPgISGx41/
ZXKoo0xfScLdG1wteP2MYxCgBD37ree03mg3kBlSDMrq7HoTeP8+oBNAgaSVAdGV5Si2Em0WXk6T
rXObjoAYEGgCezuyEjcMsWO5WBwTpNP8oizym7AbVOxEPYaIlsrQnM1uibgrEOBatrVP/NgOO9KI
OmUAqF7VoSw+52LhbwYlheMmVO56StES9TU0UPQ5SuXuAk2m8Q7dWXl3zEllLsVu9rErCg1RDToH
oDVpuqdrj+NiCACYOGDx8KKY3vfgcCFLPg5PGkPXm8dMAB8MmRBqEOuZ/ZD1MONA3BgryICwdYgT
qN71dp7Rppw1MHXZKRyH62CZzddvqTumPwSn9o63HnbsKziu3Z9yh6krybhbvgG6B+dlYYYMKEpL
+a/Z9fg3gFv9VEBfX+lcQjrBZqT4dLkc0L3ZBa15jwOF6YOF3AMKMXCwyE7agwflsFMJVwQyyRG0
eawflZhQBB0HWo6dxFZrJ+S44VEcFZa+rWdDW8M3+tpAevTBVepfk6WqXasz4z8M8qnTXvCdPKGf
iK9WLPjxVa1/UOrWV+mnpGlRq1MBoxB0J1CO0RVNSxjmEX7y0kTMbnGz7YjQF0ANiJMHzDVXa92m
ztOPIrX0B6xI7okSDKjtVu/bnywZDPoRDEFzz0BrXmtcIFo65vLbES1p2SmEr07QrCAyGwGfOVJw
9xkiC7z6er5gL+S/K3oUFsnWIebIdlrGsqdQwow9ww1MO2iCK7yrDOugG7N8hIgZOWHgz2cIttqv
mgx/DB4wbVecMHVnasCdYOTk/Ip4G/VX+n2d4DuI6sEodJ6nsA8zaC3Qu7pvxE792QvQ2osv9dKF
SlJcGYNT8hQZNhhw47X/NctEfmAggHd71CS+ZGlIXFuT5XihOJr6OQs7TgjJ0gMsHLaPae6g1wAz
rWo7PeyWLd80zfIfq8Gk/wTYKafdAuXVrwCd6/swBf19KyVabOjBBTRhI8tfeREmuO7DmH8joLn5
1WSG5YPv05cCETOIbI//x9l57EaOZGv4iQjQmy3JNPKmJJWkDSGVofeeT38/1tyFkplIQj0NDBqo
7o6MYJhjfoN0W7NrxSwW7K61eC+EsY1oJ9FMfNJ1QC1RAObX7sus+dPB9njXSUF94g2F86kQJPhU
IKVpxE97UMFeWXGrO3JQaw+hMWnkTykq1HbbytLDoPTDQ4o3WUG5Uo0+QNGReIxN93vAhia1g3re
uXWthvl+KuLsNacJzCa2kiF0BIoBok2/ILBsCk2UnyY9Dm4CKAWGU6lyxdvb8y9ty0BtA2wjAgri
iSiMyV5NPcBCtT80D37tAauIZqi9rap9MIJBa4VX8vHkTtEob7PakXBXVI1/D3EHkVxPytQLWWqo
+1YzLIlDpmkIQcZ5a7oGhbQXConFm+gjzLExxIRabFeF0i04yUx3YJdQrCJH0+lER5IxOtytADYI
t7KHscW/xRVKhY8cNLSPXbY9XBYflN6rECjF4CrBKO57gZY797Y/fJiF5j1pRC6sky60n5Iy0dlH
qTPEA0bSRpJzoQ9eJC/UvEukV/u7rEQZZsv25zIDjsf7mGsAuem6dqVPtK5U1JjSQud5GPPqWlC5
T2yj8ZvYbRK1nGxBH7072ZK7x042m89ObdRqL6HOcZUltN+J1nKPVqSqfVC767nyjMrf5wpMeuqv
Yb4T+xI0z6AKxRVTrYEzGHIQOFhZgcnReyAtgjeg2SSm+t9CDRJ9I1Rd9jFfCWRm9DkwPiB6uDC8
IUW+kB7pW2n2EoyHQPEzXiXBpCRDXeI2qaAXAInRvdvJSDD0myi+gT8IprxzLS/3C8IgNbyctIyq
deGBx6doAeJjWwpjfBtbOQ9mWqa9zPaplMtYo8+Eto2YJ+RNevwoNkP0q88n4z0AAw4IM1DEn/VU
kghpCeo66hCAsPFlEXKh34oeobjeKT/ZhdE1cPxfg1cnpaNkBRGeERKTG5Mpo/yYJeI+kgswTMNE
Y5NLOiqDTWQSptudQPZpR7ToABhZvXwBECcwNyjaQfvWM0H5yADAcUMpPL1R1on7oC45EhT7rfta
LpT7gqpz5nq90r+VMi8lm0/tP+UMLyAb4JN+1dXgvezMysOXfqRFRh2q125gPvfscACVwaYFzFeh
AVWoZPBGTOdCryTxkg9Xgc+IB+EptgYf8NoMOsw1rKp2XdmFXLJe9lZBj33tlTq/zcRwUPZRUojb
TBgadceFWsaO0eRNoIKUoAyIKRA1hKS7jDN6ntLcPQRHZ9ow8JVuP1haSo8hDfXaqQSZAi8OLZAd
kMynpd0pMeeJj+BVYJcaTafZ0Zk3cR+KCXVTSuI3sNioGGRDrBs4A1VgcilFUKHgrQiaTVcYibLF
gYYydtQq1Wseyf0f6FeBjvIWXWY3asbyBzxaIbkG3BteRdwWqWP0cyZFX5kfAUQm9G2DeOsVvVHh
Co43rWtj6qMPNVD7P/T1GLWK69hyqVUl5l2lphSBMTicyAHQuaXTmpla9RPiXaFdBVoePgM0aBqC
rK5ogcmEAjiRAQpS7FQFqKu9TxmtvoYoXN90gMtbx6TENe0xSCzC4I7+6iA/gaqYPgm2OjDwg6F6
9Uvjx9BBNhVSW8aFQPv+AzXv/nXwlaHd0Yc3c9ciEwZX0QqoQJJTU9D2jUl4s5A+Q57L1K3boI2t
AARYYBJQ5/mPmtY9YCoxFD8FIBGZO4Wx5m0AhFjAoUhHU1etwQXR3Z4PgNqOiBLKmdmVjlkJtU5U
bYAuo7tnPTV5aT5MrdKLNCgnpgn3utyBru1vpq6eKLlN3AwuzZD20Qco3dITkuKSOqYZv4Q5rSm3
zfMKzR2QfwSWcTpSH641rpxKikn0TcAgEjCxpmnAoghBTFtBYNvQs0WuMS4mw9uX1JND5I8Iap1c
lGkT0nbL9C16X4W/iZBMM7dU62PeJkWmHacCHUelqcKdwsmqTqZRpQj+DwLGvtsE0EIvEY2RqKqI
mSCQENds334Q0TIoo3T07Hjkeqd3SJHnAvVvEmhAJgZ4rimSPrRYjiEOZ8hloqraxYObKp36O5gy
7kAhxI7GFpSUuqwVgfu1Wy7rxyopk2fAiEqxIZMfXjo/SIMLgWCbfkZYKA+GL6OkNUgFO7LRs0ai
UyhJNz0BzUcZdeYPZIEtAEfYJHmbxJrgkE6K3NxWZii/B7lsaG4UDeLFpPl5cVdZefXQj5kmgtcw
Qa3nczifekpcOarYggQjChegXGd6/TMLEnLbCPlPLnmAm55LNVx94DqgbwTLDBiukiWCAOBNaO+5
pqbOUaIYXGMRCc22L/+9A2pjdXYu5s0NVyO9YbBD3ivsi2Q/qto4uIAcaAkC7SnfRhhytVsCcisv
EUkS//pDZio7UaCu51AakHhKRD0aXS4XwdxIvULKicB48zv15boniI79F7R0u4cxqDpemEL3P4Iy
nP5KHt2SbVxZ8afFI11tdA4W3YcyMkukZiIDLOhImOmw42lwq4HAuYG5QLBHuh3/oi6ffeSFEfa2
hAT8C51b6jJ93Yw3ed5bH3CvQPDQJdZKKv9TBExZEczfSZROnyH5FLOSEnBsbWp0qhOFkdbMLTyt
c8TQSN5DNFyxCJImhARUqnN0OsOZx1F3FgDRLJ9SACeiyMf3adVd1v0oN7ZoyGDrkcQSApBFkV9t
zMICas3bgqeS6auT79CELW/xOxNH1xB18VrzM0wFQqlP8h0xY/yzzLmVCeKAG7VywdUPyDH9BcQ0
uoe924AtDOVU2IAC9+4b7qfAIbSXSM3CvP0hgw9/LujXPGmYUX6ovI7XaZ4oj1GiqNlDGfUtkjpW
2I172eyGH3VQ18idTpWC3E+RNN5uzJXosS2UmmpTP0JUGcWJCiOxC+Kok2zG5obMSNA3oZqTIg51
qVeu3HBqNn4TDtyPVl9lF5k6yC2k4141LeqpGveDpjT8cQCF51cRToXgoGqWo9UQSWP0aeaAJXaQ
1DrvpiOvAcSFi/zjAFbuj0o6wKeWxB4jJ5/6uqcGQMhGUC9AGhox+eyrwXvyiO5/I/40l1bHoVe5
CIgBN9BvlDc4IKA7UihBb2U48JBXjWTtyqSP6azCCkr3A5jOR/KTAl/jSK6BzGsQgnppKiWnTqA+
2rEsJwmoEgojrudBjSGONIx76tFEmxpMgKuoAnLnhhhamjQMWp4nADXKizyW4edgguZ1ksQgyoXl
WJVOKZrefRapYIvyPibIpdUaxNtcSfUfQioD3mmh7d3XgtRMTml6LZRLUwfBVBhi/iSHRvUO1GwS
toMxVrsAavDkmn7pXbKl1GQTVymRaSIo2YNkNuYjzor5m6mUmrDtABL8aaVw+OwC2k0UWSL1tp6E
+LEee9apZz98FDTXB/LNvryoIF11Gwmd98bhd4lP6mQV+0GIPAAxFE9/13Hov42FH72nzag8pyS9
v9tySEPasew5W1ZSYbR9cNkUkzSUOuwaHPzPJKE7I8WpRw037SYa8oZZ7MDal7JDjuTnvIb04QiZ
AefbrYJK2savGuO2iTRh4AJPJI0qYBS9VkUcPllebN3TQKT20nveJMylriG3TV2A5DKEKknAyH33
QShBAiKDt7SxcOU7QrHyPvWAosW2tspIdUdQERaIr2a8VCc9RfpCnN+dSCyTcKN2AQXaBGyHspFS
07ibM1CNq6adLuq89ivHazHVcVFwkq/rblKf/Zi7zUZIM8SeiGRla1YFQQ7SzdXfHlWY67BMG9nt
KpHOeWjCL7CRMBo6R2tKP7G7aRRe0arjyw8jguhmOElPymCg11KCwJT5fgRudh/nMhScOLMemtib
NJu0PSCU8CSJYyLKwnMfKtOzF3atBDR8rjjjjdB+qFGtlM7UU5FxJvwnvFnHcKT1RvXoPuWrCgBp
SbDtUTGkG4hj1a1p+UCPDSkl3vdVZLddOkb9wP1Po16uR5q+0xD33hbIqOrvE6m2HoQsQOXCsujd
XyldT1+Dxnjtes041pAtiAAu5Ei1BLtuMFhuskogQ21owG9IYbMIQmKU5w/yKAEQAD1WQ6fx2E60
Sbp2Uw7BWLiVOEiqY05Qo51BbNuPTumFftO3lRRtrcCKOWmBpRN/AUWdANL5fuRKFAfD34NPiWbT
ToLUOWkOD59wbYwBX1ilHF6iPmalN30XmvdaGCelq3RTAmErB213B/mH9nYLY4HFKJX0txRnUr0d
g8kb3HGgeLX1A8JlV2IVK3fiaifiiOhXsbBJIUjUh2TvMSwNIowS4wsByGdHaDJyhP8k2YDLeggD
5DFvRhRtSkwAbrBDaF5Bz6q0I/Navyk1OtCOMo0FIGOziNBHVD0JDC73GSm7HD02UqQTNFNTBZPX
A9B2E5hEv3OvGJ/zRIruVPDp4gwdpIpMXdYgPc2Lv6bXkRJS4aVqSB2ROCzSaN00RiK+Ewf2jUPi
khGYdpV5JxVKKe081ZzefaEXb5AP6cQraGXK716TlLlMkwDURLvDv6BEHEx0SsXsDpqBIoHmV9qA
hjv2Bg5wIE6UMUTiQ4DlQezkqsgH60RRe2rrigZz2eo0emOxti5GwW/6Xc/3/jHxrg97lRrHRVQF
dMKVjmoSWmPtNdAI3s4cHMotMQOPSCLWeWdPNaWNnRmWFfALK8j9p7S1aDsBsJdBTmWx+aCnObBY
HiH/rkzAFNsdq/wTrHp3N6d/gHLEBGaYIOT1PYxJ71dcUEt2OmUg71AHMwEwgqHKmxWgsGb7RTAa
ILUSihhphM7tZpYX/JVQdkMXVi6Cp0DNGvJh0Srf4I/rCeW2LPnlS2UFHsKLKS5ZFgV50OlZ8STl
YAG4aUFiqBqKx3ZY41TucorHd2vUp47oXgEV0lO01cDjEEyCmFaTRzWE1eDQj9I/NbMyHniZamWb
ez4db7ZutREbvyLwrwqlcObbedzKESWfTTQ0FLQ1cwIiGZjp3YxGHd1gKIcb4pms1vc+ve1xE6BQ
UCLxVgo3dcdbuo/zXLkwqZQgxYq8PIl9PhTSXQ0t8HflidOdHppJY/dALNq9mk9meGUWYSZRnvcb
43pq9KR4IUMQXgSLsihNoEIEna9HxLtNX0hvSTZRUZOI66Nflh91gk0iBkLRk6BM7YoSzPhPA+NS
i4aLlWlcDApFMlC2PiV44D/h+Ay2tMNhw4K4tFUKmDx23o54xp5nOy8FliBzI/aJdANsLFlFi++Q
6pxIo2aVwH5oB6vyO0axnt3GZbsz4n64F4RktjDwfD5X07pJ3Eq788Mv6d7z8Ni2QsY3kY7Vl44t
MFirBtBKakO8IjFKADK3exGMoAK3s7ijQ2HZk6b6V9WQAAo+P7i05Hn/G10WRXqOMM11ccHzVqWC
6Ir2sR0nXYQob0Pvo6XTXMH12iRNr6ERZo67LCPXlnsf4PVIcg9aw7L9XOVupMHoxiBLHCqo5sqv
O/njcBKUkRCQUIVeaEKUAzdhq5KQZqlPsRO2mg+UIqEWGNe5nrsrayHzob+oFGNXRYSIDTIHA+FX
VZr//IuuTCZS56SJmdmxR8ixqSSPiyTFM3ETk2uFALyoLfpw1EEShOSZsGU3cQbuhtiO0n+pN6/n
f9FSnOJ/P8hiW6BqKstLI5aiV7OePnfGPayZn2poKEDkoEwZdjhow6dHiLEiDnFqMxo0BXRt1tlF
+WOxBGCe8rimFw8lUL7XgZoQ9krgcRtxuABBZ+2KDP52rugrtg/HA6s6aGN93of0tq3F2o+6AFmk
KCADZmI/i5uONyM9tCswEgr47bJxS7MsHy0t8bfnF/l4kx2OvJiymcN/BH1DsxEFPghfFKLD4jlV
K7m7oCZFY/38eEu5Cg66riFHo4mocCNYO/+eL7usHrVcClWuG5yRxEsffCtPbpGvaO4cbx1GwSGQ
bQMrg787HIWhQ8Uq2ctKLzWX2gx/M1PpksZ8/8MAc72yb04tIorbsyQYTUHknw6Hw1DVs1KBnVo1
vGMNpWKHCuRPCDbS/vvLx3WtiviYIvm7vC57bBJUWpuUzhGC6J2oHxvTKYy6y1b2xakVNHFgFyG/
w0pYCkDBG6uqIeQp8kq5vCBIgvgFVzl0QJNCga6oI69onq2NuNBJkkjty7TluisCof/ljVTYrCaa
S5hVEN+jCrmmA3VyQBUYCDOctaAXL19vgKKNA6bY0L8HwB7U0yXiFi1U/167BWnRrogJntr7eB2h
pyUhHqoai20StnpP8MKAU2mUAKwbC6DTUP6HL2ehrIsRBMglbpPDzajnleaPJqMonk8dr7OCiz5D
acEZfN8QNm1CTLNyqOdn8vDpAF8tc1Ej7TYfu3mlvxxqFE/8KJt3pSfH0gBwOq6jHRB0q9zCcEE+
AMIhtJpAaiNrc/5AnBxaMTgMOguqaouhc6tNiL5hP1P6kd7nNLShuu5E/NN7s85mR2ah6V6+PShi
VGwdto2GLORiq3oA1ocG6yoq/p34Ck0opgsRe+Ede0j6JN4BpNlDQfRWTv88mcU6IwJLvxsHBa62
pSRVJ4d5YJbcM7XXmm8y1O+IeEXq9liktVsfhvbK6p7YsXNQiCGMIvEgHt3WvdWA8kvorAFQdTUE
NretoHzTJJ3IQ+UlYCAc5rEmXO7YyTMnRQP3ayMTAUlXMrxdPVJOV9JoWyaeSZFJUXeqAoZ1ZeOe
uLgNZjYPz+UNSfpw41Zw3w2opswvLobLsmkNB+SeBixfbVd0mk5sVCwBFexEEDNFy3TxxJeJKE+9
lrJnIAG6QgXGbNAqGLghXaWHArzyayxZa9YTJyZozcLwmAdpeDgvTRJgTiOH3LG0ISfQFStwSXBc
vJ0vQlc4fyhO7BVr1qHFYgPPGwysDtcygn1OOYkJeigDuVYDoKkvtTUZuONRkO1CLgkRKot3cOmr
JnYmFh4lriwCSgJ3cR8D7AuibiUeOzHKLJnHX1yhFl/rcC4txJU00yyeWQOwaCFlGrCd4LvCxyaG
IMQLKGPzIOCzMH+8L9fmIAbdQKaBWyXokfSuQmUnd/NKaIKVe+PEdLjvJKTsRa5IHKsOB6LNpPqZ
hoHE1KOPGqZy5YBcXFHqPb6cZj1K1D0REjFMVVtcijKMjX7IqHHKohZfcoeF4yasAYUUA/T/DVTr
Ynz77pZDmhchZVwiIJwxt8N50d5uDYMCCB18oaZ9husmUMBk8oTtfxgIS0hA8Xwu9t7hQJjU4zWS
ECUrSkFqFJjFthiHwT0/yokVxMGFiEvkKcPvcjGdNofHmkclb1ln1A78HKSGjKEGYxnTtwH7/3p+
vBPbgvH02ViSxwSfg8NZ5brsdfFsxyMAQbPBcEjbmtt38+1RkOShGqYp3EOiuYhHKLnHQlMQHNBl
Mx8QoUAnAnLA7vwo8289fBo5P9zjvIxIbhP5HM7F0wPUpmYtTQU3O4DaiLJAmul/ELiW1xBOO0et
wplPE3X+ipfI8c2OPQQB+dxh4QVbuqHHNUQOcYAR0/Z1t48jbS5ugZl6TwT6hdeCTPp+T8hQJCv7
5cT3M9GlRlaX+1bWltrY+E5GgYzAoN0FjXAbaWpq10XRr0St895erixuSXRUOWfoHi/eyLwY4NWb
ALKsxMx2cAy9hmZ6q4sbFURQt3LSTn1HVGepx80rKi2rEK2CJRWYUfJDcwh31PNgSYaxPjq+Icv3
ZI/Cg67p5VYhyH06v4VOLeccv+L2YWJPpSyOgxFSPfZ1DSQ+IKN7Cf2lTY6+4UqueOKQ8x4TJBOe
a/z/4mlBf6lQEEsHJazHhl0DJHhXBlRFwcKWtLH0en9+Vqc+35zSIkHLTWkude8npE1y6HpQbdJA
A6eo+vQKddqmYLBQrVoJAk7OjpR7DgLmqHyReCMVBU4TyQQkVTxA/djz0reoc2tI9nGqifXjBBXH
+v6gs1sJw80reqQRP8nghosJ4suIbRqtIjhVI5dmjtAMVuErh+7EehK/4UPHe0NUvEyM0z6G9orO
DRylBraPE05DmbxCxjLKAcr22Mtr2dWRmQcbBQsRXZ5DY4k4fHECh9QKfJ0OgW1x9tJN2DXiTT8g
6WWFTbb3TDo4UljWtF1pSQOdpUtk+6NBXy5FtG5l/544JRZKJCbiySyBsax1BD2wSSyacoAvlb/B
zRZ8nS+vJR6n5/xlmPkzfImNIr1JOtHDhsabpkG3q3ZWu8KvUdWcVLGaO3azcCH2tLnMBP3aIkEM
CBlzE3ucSFy54E9saqY8Jwiz5ruoLkL3HHU3z1CZsg+Ym3fEqv/UwI/uWnqv+64m4z1/ZE8tMfVo
HhQ+tkaF+3Duqj7hrYBOom1oSokQGpQeY0z7lVmd2sgGbt6kBaCp0Kc9HAXYrpoMLfE6EV34Jwv0
YKOBs4F62Y8rUsqnFtAAJUZVmbbsUe7ThWJYlrh42bmu+q9wZLXXqbXUepvk6FrZegz+dvsf1pB0
a5ZIF+lqLL4ZiskABSSijgrzcNerQAjSrglWJnbyS0Es4a6DMUEweriGcJu8QsYuFXtgPzS3SBWp
rUuSBQv6/HROfSxeQ550WgHz43E4UEXsa0JsZSChEbcC6HTXyDvjoYA1/OO/DIVdA/kVr8ayCJ7W
Q91YAvuiGJrizvSagPaICawXdFEfPf+HwfARJQESqSEZi02IpE2APDURfEfrYdu2DYaXIMbdrknS
/7AjiAtZO3TY57U8XEIwTapepxRPFEVLH5CzMG91szNXrsf5v7KIlmahZGMu0PAomYtRsqTTx3Bi
32U1OEq7BTt6wX3cvwSUNLZFC+Pn+ytIsQ/IIt6SBL6LeEKhvOanOg00NLUyJ5qgyFURBmH4PwUr
H+t4bpT4VDYFby1FjOXcegLvpAZjPTOqAfl45UNuVpeo0ul7sQq7lYmdGM2cXaMU9rtM4rqYWN8q
Ai7jNNa1XtAv/dQSniILVgZVxOkemT5vJc49PsuoWEtYBBG6EEwvPTdCUQfAL+QQ2+muvxUzLSJV
5P7x/Oc6OQruhhxjqhiMdLgLBaHThwmFJhBuqLCqnV/dAulcUzk/sXZz+EWjhaRkLgYfjkIVHYaU
Cc4+68buXpK8GSwB8/dSTXv9p1x6yd9vT4stKNO5opBB7rqYlqInVegHpCKojJEkpPLvMDO+6U1N
nZA8BBMnLvS5J7p8F2UBwYls6sjxcgUl3Rr9GKq7auYAwoCkJvLNVk7z8deaa8qaQVkDPcGju7Ds
Clg4nQW+Lynba2OKvBux7VF+Or96x7c7FAuCZYxTud0plBx+LjMF6QP0I0Ydo8k3aZz+mWaQWaVH
ay5YRxPCpIQ03KB7JMl44C2ScdR+K6EVISNK5Ri+pblQbOImWKuPnxplPrS6yrOk4AlxOJ+E/Gam
3IIaqhIwKmGlBNdqqKUrr+9RrshkaNrjgEWMRMt6MQz4U0DmBsNUMH5LO85MVHf6sY+Vm64tQAlG
tQVKD0o+dwyimuX323E8JxgZsxm5FCmxzefwS5QqIhHfqnMFD2qY6VpK/ycDdLySwZ1YTZUug0h/
nroQQNTDQSLq+oMeMIjc9t4VjBhQM4LvrZh6zkHlwcPFhT7blBCfETMhRX04ShVmddXU+nsLG7mY
s+xwn4rGNpdkm4oiYRT0MtwwVnb+Ue1kHhWKE3VjFWmi5b0BVhFd4EF/H9pLKzCv024j556T6JE7
Ta/nD9nyTqQ4Lco6ivBkLqRvR66lSMSMejkB62Jn/kRXxXPaPu2uBJTdN77qBZvz4y0P9XK8RRRf
5TnuYdqMCgy83kb5yHzkeeH9Ghpv5SCcHAorIOxR6EITjR5+O1rdPsLDI7qVkKsYyxLmWi96TQ4M
9jWgyHI7/pvXl8HmP/+y5/1RMkzk8aCjYuR1HWQQaKdOSVZW78Qoc00cjt1c1zsy6dF0zzOmktWD
ANnDmki9HQou340JmQvpiIY1hgoGX1/2t9pWCoD6IwEJBkXb9fTd6adNxvb8TjieC/UCaBd0Yiij
Ec4crhgUhynSdNiQXlgUZOZ1sAHz+N2r/V9V4ssoi+9CxoPwwNChhACI2Uac602MpbfzMzneaJRY
0H810Y7hCOmLmGxIhEb2J/Ta8rrTf0sDohEJLOBZvMJYM4OS5rfo641EBMNglD3oxODDIS9exR4h
BnXs6JClkzleWr4IGZ63ur5G4z29x241cAjniisUZmVnCCP5Aine5JuXLzkrLzIuhCLVSFFeZslp
2WZ1GhivVgjloETL0Rl0qvHnl/Vog8yDqCR3/yLPo2VN0ZZBq9h/i8cytTZKqWiXWaaO1u78MP+K
p19WFMwN/2MtieJ1up3LPpA4aXJlRAL2l3IvueD+pGs019pbrfW1XUBqCSdq0KAwwnzqYyxHoBW3
/oXlI40l4v/9vXMxQ4DmYycT+Zgm5p/LGzIzs74oht6eACNfV0OMJlKtNCt1jsXi/m8UInp6RDJj
LJtEimeEcUYgT9Mcdpuud7rbJoK0cgWfGoXAjUSMaETl0jo842nadjQ1ApQWMrRyIF+MV+lYFY/n
v+Di/P2bC8cOqjg7hYh0EWaHZiYj0YcUBXQIWMXo8N7qZdy7ITy6lXhg/sGHe4VYgx4r2EwSZnHZ
8oIrAd/WRPBelCpL+ZOi5hpfZjWtyvu+xJdpG4dTKj+i8Bb+mkK0pVfgQEts5r+5gq4g6JEwdFSX
bRVVRdrfGPluQVQ9tRCZkAZTdpMX75Fk3mt59d6G/XsrYQ+kej8yrX0daKyPRLRlE1+gu79Wgznx
iQFh8sLKc9kXkOThJy6lUQ5GOK3wvXXhIuYrXRP/tj/Of+K1URa3Xtq1PYAFSHFl3hi2IuXKJkbq
/vtHj7lYczGTaIjb4HAuFexZL0vYru3kB1vZGoRtISNj9R/mMpffuMLVY2yxhYFDgqobnzCPonfI
1/Wt0An6yqE4sVN5uckK/5XlDXOxYkA4/KJLIW/HoQTsKC0CA4qJ5BPU+c21WCAYIbdFcal0Ufd8
foKnhqZoIILqmgvz6mJLwODOpD7lYynU/G4GSes/sFwQLmCUa/cpgnWosun6PcDjNcjh8TYBiU8a
hyoJ0TNKBIcfUOjpVAlVhDSIqZY3UZzl+8Cq15pHx/MzaWjSDqNtywSXt1oglp0uFulow/57FHXt
o1PNJ2/SLzvEYZCDbfaGWn0PKMO5n9t+iBJQvZ1LxosYA0JTTzafjRBc0UR4tQo0x/eFpIS6g3pt
EbiSGbbokvSeIfw5/zkXKcK/oSnwg5WhkaToy3QOOE5gWTFDmzoIZ2Xwok1eBOUGGyXYE021VtBY
ZD//P57K0pLbUXuaf8+XUBrVdDlsLaR2vJknISGs9zPxfW8LyDyCQ2kU+yw3w/35SR6/IXN3E5g3
zQyKrstuEkbYEfxrpBvRShKcWMwFF/X2ZutPfbtyy5waSgfdMmcl9I+XaFU04CaMIdGvQZSwl7m7
xVjceFaYpVspmiR9ZWZHZwIQJyh06g2z9yv9wMVyDlC0TQ1KhzYgESJUSGcVMZ5s31y/GZLPEHNn
gd25xDkpCfQ+E+cCB3pn4Upq/CcypMZNy6RbGeloPv/A/xrD4PfC9Tb/+ZftEUxjICJ9hGboWLYX
6JOkDsyfzD0/n6NNzyiKzu7DcxoQ3jKmtzwweRNyXWgKpma9GfsgytxED7TfkOdMZOOKSF3ZF8cT
o1yCwgCfiNeUvz2cGIKlXWSUkKGtuNY2ZdBBFvX0aSXcXZ4uwgZOFbAAldIJZ2xxuqB6SdhJgQhq
PU/E0whhTp0IAjs97mvLUh4F2ViJAo+GpK47v3VYZNIuVJZ4wgQvwUGpIQ6FdSW5A9LommPljXAv
Idp0Z5nNLIU3NpvzX1BeZEqcZp1okM73v0NNc+NwPQe9DmDfYTIl74AU2DhrbKRbBFhc3EgcbUMT
zL6q7EvE7O3x5/mxl43ao7EXISnRW6uX89iF+/6SuXh92L8v7z9WRpn/K1+j0eUMF8+dElaSGs2j
3JSbz9h5+qPtPl5+rDk/LmpgR3NZHLhk6NtOjBkFu227dfpNvlNuZHetMvSPU3VuNvO9+eVgN6ZS
WEHEOJ1LVMv3Cjc/J/vX821g39fuB1GZjZLiym3yD1lybtTFeUjrrDZQtKztcoOok0M5wsH6xjFd
3f3YvdXuM/I3K3eLNH+Xc2POB+bLTMEVJ6MU/hsT+KmDOIH9gvrmHX6vzwh6Xqxsk7XhFheLguCE
nMzDjc7ntBV3ODpt6m1wG154drJrV8LbZYXiaL8sEthYhQUIQW7+joGT8pdqo1jpIC62so4n7pWv
B9xavGymEdVmNm9/U3ttvX2IAm+Bl6aWxYhdrLUw17antbhOIlOQNSSt/jet5A71f9fY4izmPIdu
6P6FwM2FItp/V9dz+RQtTvmyOdb7KQr1JQMrP+TL+iW/LS+VT++e+lI12sXH+JRdhnfKvfa0sm3W
lndxu/jNEOr5/B1RinRh8bNruj0PouPZhlNsso3vmo7prOF/j1Lc5XwX980oZ3FSz9uVltY23Evu
U+pM9h/PLljefCvbazfPMiBbDri4eFQBS6aA7q0tZUicdx5MkLxqL7vYWP2WKzf2Mra1cJPl/WWo
3vlkJ9m/Mvvyr/Pj5fynmw/0mftlCdRG2CRKhHmUaYuzkoPsqpM5a6dvbZDFrTIkGSJBGYOoD96u
RGvlBVbJpbfyiq/dJsvAnIptolbzXIS96vQOfCv7l3FjXK4ldSfPN31GYIgzCU+XF5dyHZtpJs67
AH/jjcTVpbgWD57qWFepgzvgQ32PWPau2qnX1toNfWpbfB17sZbI1oyJ1jN24/Yb/SXZBtt+O7rx
tr6Q92sl8VPnmi6CQvZKy4fGz+HrE6GBHVGEq+0KYXnM3FGo7jCs+9NmlRtND+e34vJsESbPMHSZ
xj60AXCIh4PpTSh7QaJOjqA0yhYZJgSbpSrEvm2cVp6D+V74uusZCqAq+AGSHNMgfzwcKjFlfZA7
TLk8aO9XuZVlIKmUZOV5W67ePApFG5UEBBIu1enDUVQMsLGaRFWpgX58h56lcVl1Caamo5zeRUWa
PsNRku6/vYqggFRagRQeaIovppajvFDVBTaQeFkWGyRfuabUJn1ACT9Z24vL54YJksNJNAX/ZQjL
gh5GP9VkGcLoGFmXWQ5iGvUzGnNINVVarsRPidQ1aMmmBpK4FJFrwUaCMb1PotF70Zqsye0KHanu
okx1+QGQSol9URUWpl2IWDKdX5ejOJsmq0huK1FqosHH9ll8Dfw5ssYwMI2UjVgrXLkKrMipZhdQ
d6ixkEVhWuuGaIt5avdRIYD2y68t33Ql2oHTNioUfY0+v7wX55/EL9HI7Wdg0LJ7JqAFFeJyPzi4
N8RoGCuyjc9F+lYrIUoHfdGZl2MhExGF3bByWR4fNoWPBurNms8b/cHD1UAkVuhH+CZO1ZjvJZiQ
5waNozuEPdfwridGkmlC6tQxqCqQ+R+O5Nezm54lT6j2zaIlAewpNx8jREnpTv05/5GPzzXsb9ma
72SwBNjHLMYyxCHNUcxyDLR1Nk01/ObS8ldy1ONdD1iC+gWtCgqImrg41uPU9X5esrFNFJr1jZ97
wg81FkH5WQ26NheIEiPL8u2JzYRUuFTU82mFLgLlHCkbekz4yU89ksKlUIf7sGpG9/woRy8oGxIa
KJ1Cc/5WPDOL9aN/pkRT2zmeEHj2gA2rHaW+Yif+mF6G7ZRvjMRLNrIYqTcAE5I/WjpKKz/ixDe0
gGnPNS8KwlRWFr+h7+QsGKMO3RisQpFWQsAYn+6VUY53pSoqBm3xmfEConHxEeNRiY0GvIkT9kV2
k6i1hHO5pF+k7fDdLt1MsWKwudAMApoq8OGE5P8j7by23DiydP0qvXQfPenNWdN9ASSAcsgqkhLd
TS6KLKb3kfbpz5dsnelCAqtwqke6oKgygfA79v7NpLQZDreozs9xeJeUYr4NcHrZvj5352eJA44H
OgTFFRhkv6b2xUMRHi9clslpt7jOFp6ioKWTIRV0Q2FK7JzcHNCeHdv+NhDtXyCv//o+/p/wuXz6
18XZ/vO/+fv3EuGoBYi2+us/H6vn4oNsnp/l8Vv138uP/s+3nv7gP4/x96Zsy59y/V0nP8Tv/6t9
75v8dvKXXSFjOb3rnpvp/XPbZfJXA3zS5Tv/f7/4t+dfv+X3qXr+x2/fy66Qy28L47L47a8v3f74
x29wlF/MwvL7//qi/y3n556+Vd034XfP/be/HUApP387++Hnb63k95ju35HfhShGfhU+pMPsDc+/
vmIof6dyCzhNh/rEf/CVomxk9I/fBF8hkU6aFAkgfgryAnuhLbtfX1TVv3PLs1+p7nGQs7x++3/j
cDJj/57BvxVd/lTGeKH947fTTefYQAWoUrDl+IUUgNbvYzwWFYGdof3QkoVOcByT4mehGtrNi+H5
q9mXzSznx7/jrl/NkFqmOgGRlmrHmsOLNlwpsrZyHohNsj90JUGPEQKn31RF8SkUqvGJXJ92q5N3
/ARd1Lpycp/3EsQeeXTilYWrvA7IBMbYLZYM4bFQZnlQCeO9fByuBBqXGgFauVysVLTOUpiRYsus
VKlmUZsJMMeqm8XW+Voy6vT8WkaSkJJkPAANdflz+RQvtruYpzBAsDw6KiOXjSiKfDc7c+4JBwuk
1yftUofAO4B4XCiOjrLKnaRdzbJuuuiYTEn3HZ1osVfy5mq0fKkZAuVF24Gaubs+kWXkmJPb0aOx
z+UuGnJlg2rjNTDDKgz8NXBgopY7jkvOAs52OnCLlD5gUSU6hm5ZHZHNwj5SVzLEsrTnoR0zr2kt
Z6d3nbMfpqj0ML4pdw02m29fi2BVgQJx//DEWjMfMDdBvHtwEHFv7e4O7S3TAziVfX197k5jlX/1
FvEROrpAgYCSnvbWncB94ZEZHetU+YEHAl61VvXOrBAlnbTRevtKAYKzoFEQc1HBnp22BmWT9xqS
fMfFfO/QJTqJmXa8VvS7sPSBZFN4Azm6lAmWm/DF0g9Aylta3iRH5N+Dw+ii4Ffn0/Og4ND4+uid
LUlDgRKwMNV4TlEuXgUJedqomVUl+VHidNRvaLi9CdxWvXJinE0SrB4DlB7oOJNdtn74BtLJU8eu
ODHmPPYsbCB/WGElN1aXO+/KOblGDDjvFtzMRed+YRmipKKdDuCk6njSt1F8DNCn9sijS4STnXz3
1sHTLGvBLoCXZhzXwK8664baSYz8OGqmejsner8tq1S/0sr5fgaAAYNXgebAJWlaqzVXgtcyGjvI
j5WFqEEzGoqXaPUIfL5093CaF3mk/p3u1O3PCh+Lx0Dri205Y1n61u5CMlyKZZD3l9NrtVZiM5tK
DD+iI0Ln6OV14kcg4msE9/OZo4O/AEWkLujwauayVis73D2ioxvIbhcUZEcm26rfuo1RgXnZyqor
qJ4i1a9P0VFqqbuNNAOPpsFprrRyvup5oC2lU2rOyFGYq1YmATyjj8r8aA9mfSPw9d7jVh7fuqUg
nYW09xU81tmxwRXG9cL+cqAXkf45XfVK6QxOiW78ccpV64OuR32wwc5PfkQO3zI2b10NXGUcg8BJ
rYVNv2pMpM0856Iqj1QWx3spAxMd9ix7k8oGpzuJA56FC8p3OTnOqEvpNPYyHMujo6LrqudxsGmn
9G0Eqb9asQn+CF7Zz+ugDR37BF1TszzW0KOrbQ+NJL+v8XQLt5OUcXglq7Qc3ycxIogKBOTAFANf
JjmxGjob4x10dtPqiIQl0nFBPWcfswiDyX3uzI6PBr/zY8L77zhWIn4b/fpXX4mrFgU/JB3PBYLC
xkYdbLTrYynx7/OwIrbDTVY0yZcoyvSvUYYi2fb1pXK2Lol2jEWEYEnG0OxqT2vpjOx2mLdHkKN4
CSlZ+DS7SbLFAMK8sl4uNQWAcwHxA4I806sA54Vta4dUfOiqwzPkJ+VY40tzGHuRvnW3kRcxAf0y
hmwDCB6nu22Y8INQIfMd59E2bo3WHg64rYW3IVbUn18fwLODhIiDVwmdYluTzl0NYInSGsYFTXfE
BLD1MibqbhhrtCUdIW8MVTpXIrcLowiHhFcXgaoKjns5pF/EH2EpKxOoWHcUaF/ethWuquj/4Q6N
0MOV99LZXli6BsqI5KDG43AtaMLya0YFLfUjUZD6bVAyrLvCPn8YTXvwi7kpUfd1e2tn56F5ZQLP
rpqlaQJCAHKgqwjnTns5z1pKFkDtjigEKfsaeOnXApHfKyDV0xQ5+23VymrurDquw87VuqOeK186
A61MzYjdm1yUwe9UpjAaDpLh8Pp6uTh/2JQsJHxQamuijo5x3qwFtDk4qe3hcfe5TqJmJ4LpbdqQ
f/WOtAzwP5J3gIFPx9DCXrLXpd0d3SqfUb2M9Q3ZUH2bWuq18ONipzij0VEBl26t0/7FUI795Fjd
cR768hZjQuWzggzvHb5ixZU5W6Hgf3WLehA8JygCCGKoqw3QahYZ0Fjrj9h3oS9dWU7iz8JK7xBh
DeH3jVpxM1aQ4gGUuoGxqcJce7brpnismxRb0sjMrgmPXlitAC0XBhRkFKLa1UeqlLFWuAz74zSU
CJ/jVHBnYAJ25Wq61Aq1KcCmvIPts/mc41nIWdIKIhwBAlrduE8JP3evr88L5xnveZIjpHW4jNZ6
PzH8pm7SzOGoDVy3MdfgQWmS+hYvtvpz17bJm8+zhcLD4x5stgudYFlaL86zYXKjFlL8jOmJqW3B
lTVbuxWIyKs40r21aywaZKB4FPAm4I/TpqbWxmwjM5RjojQcW5i6auqm0sljeDjB2RDXkhFjn9cb
PT9EIYc4BBPoNIA7PCtA2DkSnGroHo1udHGSV802PghZZM3trDsBxqC9LPqnDP5oecxIuFyDGp8f
crzuYNxyY1jI4qxxdF2kKRg/x+JoOY1zN9joZE+5aA95q4LMSFoxGl7SBrFxpePny5VQiqerTZUC
bZc1MNGMzIAsVRkcUVLHNCttqOOWwdu00ZbTYLkdyGQsvEew3Kutp2BRPVqYqB6DVM77ydCinR2X
15JQpAlZGydxIdl6tDzIbLMpXFhNp2vHrISRLVSjx7pnwN6N9iiMHY4WpvMudItm3C9JUm0z1rM6
P4Ruoxl3OXaBpYLkujvm+6Su8GLP1bwdMCacFQu7wSbD5HebB1WX+G2nkxDRjUERtwQ0je4BIsYZ
MdfDEau0rg8+CizHSNNMuoEaT4Vyhdf0omQi1RARsKCu6tZDZ0UdPUMZnBh/hDIxvzZoCkw4ruXz
p6zQ4vQp7VCo32px1Vr3RYDEO0LyY1qVH1TAzCk07B6ZyKZHy/VbjPq63Ou9ZgRPOFhE7iPyWO1P
E3QkNAo3E9EDCOcKk77C7eS7Lgur2sOLCP1Mo7ZwVtNlrqReYnTt5zDHwtPLURgLHxwnyLByGVGI
3FitTu0K7zmnf4jVrHpQlDH7KKXd6LjDOFH8Ow7VMXcKUfO3ERFJzY9SFPgfozYbkagrZudrS1rp
k9BIYB1mF0L0vrWGMjzM2EZ0nzBcScXDiKmyfTs6eFKWO9QpA/VdgsZnjT8BDNfH2ejFsF/Yht90
Y1IdL8oLJ70ti7asvWDsnPmmpo6MuQj4tNCLk16zN33pGvK2N5IYpn4zJM4+0MT4QfQjlgiVUuMl
IqEzbNzOzstdi7mos9U73ci90A3ib1WkIMtVw/GMtpJM7q3AFgwTibZVgGOOOR5deRq0fwaDZr2X
A17CO8JJrN0UiUH2rqoM9xmhDWfGpiLDbjXGSwvLhCiYcm+2BE53oujNAa97ewDN4LbEibuIRIX9
iB6oJbe1yDr7T+5DvOAFGKIQXExm1s6usmfMr0rhln9as9P+aTVlpW2FxMFub7RDmL5LUWMbKafm
ivZ1JB0XPc82Dnk3Ijad8pAFStbuxh7zUXSWrKjbz1hgm3vbTDLlNlh0c/atmQ7q1nHTxRqVZF06
7xwlqsc76kytdZtK3RQ6yoBOZ2xit5eDV8haVzyZKrh5tPNQYyuSylTeW5ntyk2fNU33dZrUGhfy
YdDjfYw4XryjLFaBW3RF3YIr1M2xuHfMxea3xsU33SR9m8f3i390ejQtIdUfQ9DORYUFYBJVx24E
7rItIUmG3Bd1oN1K9BPjg4m6vfhm9TmaLpXtZr1XakqZHfo2duXWDjPrHVWECI5jTMJX2cDHCs1b
y420cG9nVdkc5g5nzNs45YdRSHfibDc3sgu3lRwi5Y6b0rA8nGtrCM9CiYPd0Ck4nIfFYOHxQXHj
sW0aXCisEbHLr8lYR6TsKDs0xcdZ7a3gx6zKIvw88Uoams2YhWPlYTKVR91tNaeWTtbeAev8rcrw
+3ifstunB1HxyjmkNmaSD7LSyRtg4DgGVeMhQNz+6LAlZFkUSYklRLVXkNW3Ihwd9elGT4efWMT9
OWKEs03VDBC/7Kq7ptDU50g1v8jGfgzdKPOsyvyAbQjrLUB1v21MZWebbf6z7cZiLzEE9Vzy8Ohe
6H4uQhUPUx1v31a2/qxpn4rWYCnFyFhXCI/LWBj2BsBH8sdEiLKJyanfdV11yK2o3bkBWWYFRdNF
SLnyg1od9u5sGJuknsp9UmLLoqkT0luItL9LAoHnLK7NG9RJH+PKkJDLbXHjdGXhBzHpOjGZP8ew
GaC1WMekCbttF5jifV6XBpVO91Ev0NOn8h7ezKr+5+IL66W2eNBBYu6coqj2JpmsA5JjoadPlJwm
VONwVAr6z5YODcdJqr0jY/13DIwf3D6Zd+NUQ42bk+SGgLbfFqr2NBtR4nWyUA9IFt8rZmAv/3vR
qpmbg9NOLbbcSkJEHEY7wyqqo6HmX/XcVJFNnN7VthJuRW+2+xHPwnsSHeHnYEhSrxinz9jIk2bT
FMicvKrvLESDD02d7Gcnf4awsc9wQcIMxQqmyN1W9ahizpUjy3Cjdjog+cbKJ16DFO6G8kMlw1p4
XSK78mnIE3e+kVlqZO8MqzFdnLRiVdxxTrrdnZWFfXzThLlubi1kOcvHcgqG4vuIVdr4NDUF/naK
aEoHjIoSF8Pz1Exl/zONJ61/76ZlKP0kMWay72RK9EPViEh7zjUlnxY5EXOef58KhOzwhhFh29+h
z+k037NyVJonpcyL2FPY0cmurbrMvcsnDG438Daz94J1bh+yYdanAyYOeX6jJipPtp60kbmXLfbs
PxHSCTA/irhrE8fLJzJl3dYYRv0hCG3juzrbsfst4JAOd1ar1N3OKpIQ15jCURdtkDSW2HHqtkW2
kR1lVlu0SsAEj4Hd48rojNbnHgHK4YHbyw6wS0yiBSwcpn7Zjm6zI1GFd5iNh9zHPMIxeWOItvzh
ukWFJYoU83jv5u1sofVj4WxWjoNj7khL5MZNpPYuZsHmXLlbN8pRaJf4jPJaKhTjZyEDnFqG3KzB
mBORZrshS+KvXOl6g1eMiet6JbroLsJfStmkGHfH+B04qD3VQ6Y8jZ3U3a2DqgY97Uph/L7oh3/H
1zWdt0rPrfJQq27BNehwUXvOIDvFx5QXFTqnQMLCY1wI3ib8jCueAWH1Qw5tAA0i7+ZqcRyiLjYK
NKeeijHHltKNp1gttqOoU7kPssidDk0wuxFs5AgeGuhYVR8fEmmHJMVLO7e8XEM1+tYZQ2vYKo2u
t9uitzARm2WdSQMTpdFtsZVOVKizXZ1wgVm5ab6rmzEJt6HaFe8rOGYNN7OSTo94C+mjV9Zma7zv
CidsnhociTBmigEbeok+oLrBsY7/qlvp+MzJZnB59Ju1Vd/E6qAGh8EuB+3OxmFIvMuxHYYuXyvV
V6IC6ynKqLNiuTS07gZmdxfvMoL8r0T5Sn6H4VzAg17TE/kDJbv6wRjD3kZtM8q0+cBlYSZb2aVp
P270NO7kNphx3T2MtSatbYmohXFIe0LQbd/jrbnhAu4yTkRuE5hzLXG6cPA92qNLPFheZveLwWFb
S0u5pzQ2TBtXkOnbN5xcP6deS+Jbvj3+EBqt/Ng21dj0m35cYomoGbEtdKpUBDgYlaPmpTHWwJ4J
WFa8L/S6dnf2NHEv1GHQZ86mRera3XK1VO39WGTVD3MJNG97/HQwzY2jhELLGFYmRhts0+FQl6o+
HVVlDMt9NRf6fMBlROkOWt6D4DGKBAekPEGVx2sGq0pvkbaOPsZ2jkuTXpb2h2JGSwy6Lm4+B6cL
3B9xrGq4MzbawOTJgFJzU83hN9ImdXEzEdMD10xSDbh5iMDV5vXn4tlrjYQbKBpwULw2EItfFZTI
18eOGveRj6Jf6C9+8pwtavHIRRbscg2HM4xbh2vMmbP8za9WEbcg+KPouC6dEtSnTTl1kW9zjd02
ZhHvkni0vboU1zp4ll9YmkLvlgQDmUXyiqcPKRLoqlrJOfJdNs2mEUp6nJCjxqd0DrRto5XxFULq
2TuUBheNAmj96HiALjlt0A5VcnGlFvljrtufQ0ANX1LXKK+kTS62sghqwuUF0bUW81VqfFTRZIx8
ddbq9kaYlRU8utOsRPvXF8ilhpb0L3xC3oHASE6701tGDzpUxn5t6vWtlrXzTsfp7K1ZSgaNZzVq
J+QpYfGvBq2S+GfgBhf7YFbCGxcYApFmUhzt7Coh89KCYDmYlFBJVFCHOO1Q1kwE68MQ+6bSvJeZ
yzFRpLg6Gh3Giurn10fv0kJfMtpoL7C3yL+eNpaUkd045hT7BW7JjzjH19/ndmy2+qRdS9RfnCjy
WVBZl+laQz0K4JmlLjOSk6oecsk2PcbPAi/W/vfX+3SxIZKvVDo4NkjVn/YpM/B50aUR+0FQSJ4a
wrY+6greD//BEl+wAiCYSCeDjly1w61gFCJJ/ByD1U/2ZI3SK+cqK27e2h9gUmRzFqApiClzWTAv
MoJzXQTa3LEg7MjsvDBStf1kO9GHN7dCTgo0tgnugVlatdLKaOI2rVPfwaD5Iat75QFJ5+yKesn5
etNAkS7yCWR/mJ1VyjHrKcsobm8fuzJTtgFAmS1BUL0h/6e9eXpOm1plqIB59k41TVBOhk494nHt
PFKcKq7cTxcW21K+A0xIKpW07WoDOWGVY98wuEdcoO3buutD2O+uvJLqPh824AXUQFkDrDZtXVru
3cwwVOwA/KqPBmwpc40nv1GLcZPVbvLxrSsByVAuPhdMCnDGdYLU7m0Mq3M39EUWKs1jAUYwP1Li
vUabvnC1n7SzOrlna0YJGptsX2q9s+kLWL7ts7DLbmMH5rxvnVC+/RRflGaonC9gcZbf6U5KR+nE
SwDuO5ORdVstHfK7RWYtvhnMKfr+5mEEyYxsqoViAFKIy5y+2LZIveCpGyqwNXNb9eHUo4+ep2P1
8/VmzpcG6WIgZaiF2NAp1gLsJD8VtyFa9dswS77MqL7vzQ6ZBR7TOJT/79paksIvupQ4GYRGa079
Ptbmd2BKDa9slWGXZWl4ZarO99WSVsa4DlYXCJE1TLsj2xeE4xj7MteDjyQG1D31VfutxRaYHkuV
jjIV83RWjMitSsdHIU/8Po1be6dag9u9b0Cz9XD5Z0e/so0vdoqpAtqLbhWr4nT8lEANbbPTiSKG
gYzAiKuDhG9+5UhaYpGT1LwD0IsrlptpQXytXSC1Jd9vdly0+MuOPAaBkSxabSa+SopTPnTOkDwk
IhK+YZTYcYwYLQdXPsKFRYlkBaA2jHMoWburhWK2CXmgqU58uyVlzpNtRpChK5Pykxoi/Ou9viyX
33bWYWQQl6oHAZqyOumN0KgGPLoT3+j0ds8riCKnVcmtYaTJnZV08j4sWu2mcan4vt7yhQl1FEIN
oHtUIPnndEJjDHzdLI8SHxpg5iFAFu+6QZuurNJLragoSygIc/LvGoNjOrgH57VM/BjM4ydLSaLc
43/G4ZXtvVzx63FEGBblBdogzl31JiDVEZgj4yj0Yf5gSaP6kNhhgNE4r66K/K97pcFLy4QAir23
aNIBuzkdvtyehjkcROxXLYDbyRH9PmuFeyfBC3x4faaWz37WNw5hhDIB8J+9eooCO77ECGI/Ddtu
z54IwY4eKzx3PpaJ3cOf7K8V/C72bpkwoiprQZOe9m4gG5/FIk58s1eNfc5L8s4Wo9g0ut1eOS0v
7QCqmQTwFqcufKvTpppYgtsYOce6WGYfrKjO7msp8rtBForXq2Zibpqgcu/a1O53rw/sxV6i3L90
lHTIWux3JC0O5TJI/FG12q94GSBciGkNhLJJD+S16vjFJYp1G9J/nC+ccKcdjaK8nhza8J3OUbfY
6lZeNKfprujV4t5SZuPL6727uGxetLectS9uvBzZ/VQh7+Xnw2RQjc+ew06kmLYnyR2Fq/xBTbP8
CqLj0ohqzCaSw1RwcTk5bRPRh2hwxZLZDILpHv8RZ0B0tSu+BJGuaFfOzhXJjCcSl8TL1lZLh7QT
1a1ES3y1aSvDG4u6w3FcBE9Jl4yHIikiaookgnHm7FBjsfXiE7SRa5HFSlnjr48B42UBsoCgXOd5
3CCa3SG2uYmHgYxnkdnFjzpFK28jbZ2MbV+GfbYtLIqGlLDK4V1jasFTF1fhTV7pye3YKPMusgrz
mkzepRWgoTHNNcZBZaxJ147TDlaQKIk/qV20S8tkaPdoIpIgBsfQpYehsP/ksq+uZGkuLgJcUgC1
8TBHMul0EQBNCIKuoxDemdR6ykL/iFq3sqszS1w5Oy7dLrzHFj1Q4PUgBE9bqh3RBI7k7NBHikM9
jtWehTnw/vWNdOmEIrlF2fZXaLLGC8iyTYu2mxK/BDjjK5HVfsiivn3QjCF/P0P+u9cDQ96odRC+
FWa5LPBfrD9gJzzVVyNpNKlStYWa+Kmbmju3netdqPX6HZiTa27Ay69aXzIASjQd92OANWcgakd0
MWF46s9j85y7LFXZ1vNzW+vaF3J/0yGKnOlL6ZT5MzXP9gpG8OIewuMWf0veVaB1l6X84rDKlLDm
K0HqN7wJDkLkEirLnLjRVhur5kNaxfKTnZsZVftB/THm5pep6I195XT6h0YRVH8jc5i/vH3iYaGY
YETAaSEwfvqh0mlqSB0TIiklppubRlXnfVDN8ps2TD2puqz4SlWhfS8gtl8ZkEtrDioPxGMFY1O0
IU6bHvS0d0sFOJxdBoO9jRI7oQSSUCfzmlwZCk/oJoVfVUnt0sty1+2ubK2lgbP1gOUNSC4d0Og6
1Sr0IOIx0Ca+NqfqIzYJzh/wi5KjOorQa5XIPLhRr09XoqpLd+S/HJVJIS57+rTbbp2MZN+qxM8K
owo3JkYrS/EqEo89mfJbNB6vyW9eOqwW6VveUoT9lra6lcMpGrGunBO/0SF4b4e8K10vG4WJ4Eyc
ZdeinUvDijsDj7YFBE/kcdrBHuG93MlcrqyocWhnqP9s0xDcjhvF6G8Mg/sz4qX18fWFfHFYF6MV
UAPY12urSgRsmc6KIUn6XT9ST53DLKdkTs31sBAku73eqe0frzd5aVwX2PaSBSZkXY/rKBOo+TBA
/W7Ui0c7CsfJq5qwj4CjG+m7/6AxZIXBbcMP4tl2Oqpx6MxyKiSPe7PJPpod6MB9OcbZn42dUkB/
vbFz1CqnMo2hQGDBvEQ0+bS10S3aGpFAgF4l7xiRpAO1+CHcUZGdt5YabjFWU9/FSlt4dqJF3jTb
lH/C1i43YoyuFWEuHdyA8hblB+oIZFFOP82SpursOE+pvXbplyCX0k/LiOQk8Y7j6+lYP6JmGVgb
nbrrg+lQBLjykjxnTi0DsvhJLmkIpnq1h2roQ7Up+AhN2iJdo7bK+DD35uQldTw/Vo4r4u0cDU9S
lcaDiG11o0QYUG/NATHP1yfn0rkJQpo6EE8yErXLTnhxj/RhEtV62KR+YkTOnsRViU3YHNb3XeVM
+66L3O/GmGfHqiyvakgt874+MhdWMFiJf1HnT9tum24KM5FmfpGDTt1wahmfpZN0n4U0k2ZrTW17
0PsucjB/rWS1zYoaiW9Rw6Tevz4Kl04ZXlNkMWCDsFBXayIZ8ixN5y711W4C3hc31Je2RtxSgp4n
Mv57mYbBTyEyZb4S+11q2aZAhxKvyYm6LixI+lUIzrMF46Pam7AqlGjXCWm8zzqgCZsmGsptZ8rp
Wsr80nkDo3gpeWIhgB3x6eAbo1tOxiC4Ocwye1DHetgaSlG/x6nbvvLuuNRHOJwsMeQY6Orq2SGs
OYqBclBuANy+R4Gh2JLUsm7B/Yp7JOo/JkWvXBnXy937d5urSLc1HWCBVZH6CpkxnFXC92AJivug
rPLb19fOpbuCrCU1a5xwwOQvn+TFDiqB+NUKaAM/KGt73AxaOs2Huug6d2trRdhthk40V6Kdi22i
bu6SwAHQvT5AAleHojRVqT8UlOM3hpw7sWGHw55Kdbw/e/vatX/pnCCgXIIrBO/NdY52FHFXo5KT
+mMMbi3IK1RktSKobzQtte4HO47kpuWW9ITbXCu+XVw/RFSkVZZoW1++/mKEox70Vo+RsC/C5q5U
At9KRkgdVvdOxEHrTVivvD6lFx/K6EX8T4urA7pw7Ux1xiT1Cw387CLT5bVVHewAlDd3dit7b7aL
L7k2ugdN9vMhjjrtypF06amGNiolQKgVAB5X+5OcLWDYimWlYed9iF2lQto56K+kGy9O60JM+4VK
IOt4OrTZHOlznbepHxV2ujfJ7W/a1HK8UPTRA27v0b6Xk4M/9QT29vVBvrhDXzS9mlUrcnhABSrF
DKrDYuNaWfRH7YB53Cj2AiJ+vbWLw7moDiybBgDBakbDuO0bo80yfxJzYG+cvieyquphvJbduNQt
gHILUh6UAipnpyOqSRLyarw8zJxKLTeJZY4S8K+ak1BoFDDxr/frYnNE49SEFhPCdeWp0qo5TkKH
lWpRcdjERVZ/AgTb/hRW0GX/wZrkbbeUppdKzVqkKBuTSBSz4Kjrssprwetv53KMrqzJi11yON1Y
9ZRP1iR5mAFtGbpx5ktqGsrWiMDGHvQikh+G1kZm5/UBvHSUEgrChIfDtKjgnc6XaKmSu12T+R26
aR+kIacvje5Gn5FlMZxtSwrhP8gyIaLwC2Py6626CjaCQi1Qtpgz37SFTYyfV4felWARM6DpuNtP
xlMdtNPN6/28MKpoZxk8ZkjAo4q32unSDDL8qQm2jFnH1Mmx9YziIfi0jSNa7cr74lKEu5hRL49x
h0t/7bzNiR1YjUb2p8kKeBu91d7FRpbd1lMxHayw0fZSC/KHBORZtTEbpfYETNXPmdoWV1bThfnF
RZCKEboLHHNrRIXVBiLjBM38pDfG6rZrAhCFAeraGqoSs/67LJr26+tDfeG+Qm9oSc/D6mJZLVPx
4r5qCggL/TwQ05Fn/VMtQzgrTazscqXXH6F8BXsA8HZ/5SS4cMIt7p10kr2pQGA7bbWNKrfsRoUJ
LuZJeE1kSzCSg+aku9e7dyn3xAmHZQxJnkVmZxVbQUK0sWtucn9sJgOTusalAGdpZfbHjMOLXCD9
yU3S19ukN5MdYUPuRXUIwxrVlWOQtfWNVYzi6fVPdWmel6qZyS4mxlxTrubGDWpe0LkP+EndybqP
cZlRy/oAkUa5hYxafXm9wUtBwuIZSfIP/UAQY6sbWgsG2ecz5xQRULBFVNHdzpU2wXRQhoVVgYIz
BeAOCgyoWIUR+10RaXGl25fWGkcloSf1GC6B1b1GfQl4kMu2Jq06/x7X8zdHZNONMHr7QwVef89y
uyaxcOEFjWjWUq3HSxUK/eqKGxF7FQNVZ9/J9el9FyrWfF+Rvm+2LjkFD4GiTyklqQmkTxdOmxHB
+vnj64N/abYJB0llwyukqL86Q6sBYok5sqvTKQltz8KG3tiZPA+f7abo5b07d2Z55aa4ECsx0+S+
YFHybF9rWDVYQeIrZGV+K7L+Dy2ZxW2Q6c5tGccP9tRXnswUcRNBCdy/3tlLc0xOCK4fSRSEd1bv
p3E0J72RYe7bWl/uIHGJgzLFcI0zpYZ+IpIv2tzkVxbWr+W7ep2TzmQnLQghaKOr5S0yGWRSmLmv
J3H5iYRvDGjcHj42czkcFD2st0487YDv415uBKFnoeq0paxT3aqzjHZOUxqHsoLA9/pgXDx9TFQt
WTXgdc4cA4NSxJzbSu4XDjSCXkjXA5o3xFsHXMBWqHC/Ah2mUB9POMprLYVQbFFggQbbsp4aUsBR
cuVuvbQaeZrwmiaMQIxmdSBOyVQNWlTnPqVme0C9EToqo9MtRMRYabhp+qm4ptZ4aRcupYflRc2f
65yFKssosFwt98VUqXuzqbVbF9jMLTT+ej+a4AZcR1jbPh+DEMveYbq2QC4tSxz1yAQTECI2sToG
sniIioLKs28ZCE54uB5r5abXdagEYNrngztF5pHFta1heaJjQ/LbgoC54WBpto1I67ukbaaf0Qhw
ajM2TvkjkGEFcUkbsh+vL5plrZ6uZXbd8spZKo4aRcfTuxFxoMZIAmCiXaUM+AekUv1DzxpjvrJT
z4Ms2L5LTZPTkUTnugqRJiO6Kkt9TdZk7ib+anIRVl15p2Y2lMU39wq2IEDBZdnR2GrZ1RjRQ1mw
APRmhhV6dVTW88EI4/qaye+F4QP0CLyHU4AAco3d0KsiNwr0r30nBb+pB2XuIbBwTbT5/HzlRlkk
cakcElicpYk0vaW3pBgogpcxEDCnwuBBNeIOGV49+piLIodF1wJY2dSKm/bfXh/O8w1F+7jHLs8b
QuQ1hgN/FBN4WJz6oK3sJxf20rwrtF4JP1eiqchHQj/+3go75nqRsm13gyinNzPWF2lznoPsKXWB
AS8f8kXsWEdUJWIxpL4do6ObpZbE/Q+UV8qOUSdQT7XDZqkz7cvrnT8/wrjUACAsQGr2yDp8Qp8m
LAlXeNqhlh1s0USbw93YOvl0MHOa96LeqN6OCqVR0K6YzgANQqbztLMFkpCVNjLjjZHNCAZbeGv0
Zn8wMr1+4HEef67d3r0yzRd6CgCeIh3FlkWYatWoEKFVdR2Jz24olHwTD44ebNOsgHqpj3hlbuZM
ueZLceFcWGJSokXsssCJrs4fBCPnuYRq5UNZHYtFPixzDq7L22+jptpw5f1xqYcUNhZEJQeesRYH
r8kIlIGT88C0Bh26cAHHaXZG8X85O68duZGmaV8RAXpzSrK7Z0YatsxqjU6IXa1E7z2v/ntKL/D/
arIxRC90sAsIUHUVy2RGRkZ8sbt+CkDce+kg97gzP6qQ6BwizvyT4HX7ISvoFGbthHmgqL1sPq+9
3EynnhJM/TuaD+3Dzy125shaI0vAgNwJt6PhAjYYi6qVgZavlS+jsxCMRUuLGnDWRadS8eXhswEw
jwMzamQUa7ZcuWW28edGcjoIUzN/WntNw6dYXb6XZtfNHvK2h4qc+6cVnUUhCCIYXiox9u0MpTxW
0mQdyoDmClXy6zm8hoh3uIW55E/GODjvnBzT3oMA9841D0TABQzIC1doy8uhJyaGQLuWAReQ+kWi
ae6fpomX57dX8+4oKG8hAgqbfqespLSRPqRQ9INqrqpTrHXIeUvTUZh45wywdrTvsH6Ckif+/pd7
FOXWstGbuYKeQU581hM4R+6UGKl6XlU7Vs+duijZwTHYDwoHlq5AtJVITuhHuR1Ui6M2GTqnDOI+
MT5Z+NV91hAe+L7GofE5rwbT8B9dS7qUyPogigqq+7ZVKS2FFq2sVcFgmtJpqGkRD8deOqil3JsW
wuAg71Tq0A3c7MYy0vU0Nm1GKSy6E1X8Ko0Cw1Kra4GLV1U7/4dZCSoHNBARcGy+HR4FVm+jFBCY
0qS9xj0NmVq1HDwD+yPGv48bLVRbZLudrXplL0lU2tqsCaa8TF/KcM1PYTSOvLOFCuW2S+Y/w8gO
lYMtsr8pxbDAJ6g90x2zrbfWIXzNWXPqABGV8WpEqfJCeRxRACxPM+nx7QHVCK0oDUYM5JDNQiYo
eIdqFDdBa47fhroYLkv0uNYNKpLsPHHSkA/c7Y6G9vDFGac2SIem1Fzg7+bPpQP9O729K+7sQkJr
B7lRuKd7RbYlLPUoB9QKVJWWsrG2ohfFVn+oeV0Gs1Qf0b33w3EDg+OrUG0RudteIEuFkW2frVMQ
V9Ffc2NbniR3H01jtL0+Xx5WShJcOWB8EYOBDW8134q+KWX0LeZAqSSMDdRQrr1QTns8wNbSeV+O
Reyg5tUUzWkqnemoFL8/DFyWtFBR3+NhBdW5vbjsEnp/mTULJxzx59Ju/+iV9fcITpXXGNO1rOXm
/ODX5FGD7ii4LgAMJGa3Iw6GRstF40ivcWvR+j7rJ0lF2iIubd63VXk0Yvg5GhYOZDB4K27NpxU0
+UfEn6TXJFflJxK0nja0pF+fePDN2g25Hw5G3J1zQGcCvp+JoErBabOiyTzIVd6QcSLntpr+XElS
70ahav3byvFsHJyN3ZvKaLzbImlicsTSt6tJIVaDSSE6aMalcvV5kD7qw3JEOrw3J6GTj/A5B0Lf
Vp3nqY00boEkmOYViQ8bAwob27MXKS+nR4MEJiTa3zjvQhR/++TksZGW6CSnQVPN9Qtsnvy0KJN6
UEYXH+EGFmAUpDZFPkfgs2tT5bYPRwM9pmAAXvmtgjSKlmuStqbbF1FY/jOVSSbnbocaS/Ru0MK5
cq2sVZ0jdbt7C0scS8GL5UOqT2TGvwQrsSSHUYZlbwDsGFanQcVIzkfqwRhfU8cc/sNmgaJJPMs9
Cqwofs0vozndaAyWMZLNl5CtuY6qxO+rsu8PXp97s+JFECQ6IjHKErfjTO1SLHBtINXkVrq6lHvt
fxMbOxolRL3mPw0GfwQAjtRuy6EO+1Chq4PBIIKOoAZOGp1QDGg/rUWxPKxV+3NWPKqQ9cRtLW9m
htpOb04SFcqicei3Mto+QSBCS7/ROJ5cVbNIHz4PrCMPEVUssAllGxIVNYImIFdFQC1BdOlMVimd
+6JCoevRexk+CeAVLR5cerSy3E5tTMswNlpQxTbvx8aVa6WQXESVqsW3xjqJ3KYRCMTbg+6eH9aT
3Q+BlRSSaW72v7mSPyZNEQVRpUtBIkvyWUIBC12Wtnha6+4vtYu1g/hv975ToiMZFxcMGPKuiJVS
wEgTeLmBns4JhkW1/lflNNMn7vTUl0J0GQ8muT8OOp+PdkDKofCTt4YAtV058zxRPshmUAnfqazu
myRHy2+ttKDd8vaK7mdHpYL6iA2xDnL61r66qWQ9NmG1BcUsSZWnqq1c+1O9SA0KOVaMYJRRNEfO
GPvPiLgAfBVBwiYD2spbpI6em2bR54GDKfML6soIeOWL3n/CXltz+3SOkCobEuXgFr8zV5iUiLwS
NlHt2qrKmiU0ttWi8pdZ6/dei5MfeVkOv9t62UDipPT8+e213XxIaqukQaghCvYsndrbs7jCIuwk
tZpfuYdCTxF1LxtFIj/urSOFanHafnmgxFDsFZWSD3RRi86U29MoQzqSa9tcXkvDNj+3SWWCQq5H
tur3RqF4gfcMvxiIanP8+hV9pbJf5ldZ78AYuLNPqa7lB1tSF7fiZjLiqIGswukQdua3kzHCaW6r
2FheRR9M5mlK2qin0mmRQEwadrHvjB0mcVZjLT+iXq0rF4qI+T4iodKCCT3Dv5Sosj5Vct/Mp64s
8GxLtDxESinpcpYfESds7mBSjW5XQCN9nmSkuV70KpX6125k73rVhNf5maqtPl3URavis5yHhXkd
2qkZfVWPne9TSUZK8aiMUQVbdCuK3qem1cWvWW135cnBpWnyIrmVWSmdhOdJhq6yPJdOU3zJstha
3bCttfmxcFlsBEGBJ1ImS0DcfvOJVlWpETey5ddmKDvKjrVzUoocjTInbVAja9THGmnEeADN0GIo
Y5Afb5EMpcgkXSom5VWbGt1TtNo4CVKgO6xaerQv9tsCI0NCBN5TiqvbMAE0fzSXcFVe5azv3SGC
LbB20dG7JhZos/lsyNZU6NiCiLJuFlC3UHXL2ll7xfJDQpmwxWxswiLyFCmZ5KnL8KNPFbM6LyOt
Z2/fF3eOFwspghIL0s+uXK5J01gkcz6/NkZZ+KVURh9lNbcOdsjm8uWLAQXCVQLsooAAfHd7ujgI
sjkjGPKKQtVvZoL41GzLblPG3yPkWNwlPMoG9tPSMT0TXnyCeEDZ83ZAqRwmsy0l5TVFbu+pS8sv
i14ftZLdHeSnEAbAggi4bgdxqm7oU7NRX6Me6vsQKfGZ++LIlHR/o4Mnq6CeoDIO1adNPNfnda9J
1JtfIQ+E1Xms185wISWDKaPietiFd+dTATzRTI5qL4TW7aQsq2/CJRz11zl2lL8GFP+eNdrJX6jy
R68NLe3nGVrDwSt5Z47wSBmWlg/ISVuZK8lQugWBOx33QE36V7fb8Ms6JTRG4TfSPMa5Yi9Chua0
Ye9KYVLflqYN/C2TNrX1V8S10ASXjMzX65iuLKTz/JBC1sEJ20QA/xtPFK2EBgFYgthFv2Q0WWFO
UQiI8ZqG2eTPoVF41tyhvViNg4sk4/zx7RO9/4AiVv3plQFkQ7HudrykSmi4Q2PilSjVwrJx0er+
2ZLssn1WnM5q3nX0t0Byz4vMOIgi9/eYoeHrQy+ADqMeMON26F4m+JpWxXhNkPL0wlkO/4FADMkI
ftFlbqPlk04XoDcr45H41p1FFmxMKK1kzXRXarcjp1SBo8VGY4ca5OTXadgjxLiELixN2y3L2Xz4
o4I0cFMbgPfiddjU6WhkbmoaSEGIrKh0ab3OLtma4Pic5NnoNuMy/nj7q+7vGsZDK5zkEeIpQfrt
BBdnjfU86aVXVl93+75ET8NujiD7LTWSzcowtB6JiVEr2On7zKueWZkpvRqSEZR6tvrdWP89GfIP
o9ci1076z0lsd74lL9dJMZ7sdD7yNN3gHv/7CbR8cEiZLffe7UzhW0OUJLIJBt0cYthToTl9zirC
dCQXHbtHR5V+/OKCJnYcfh8UBbVFS0aE0H97xffniLyL4gXZEAknlefb37HqahNnSRYFThM67tIO
tUJtu6v/NmsaV+uUjj89npsjYGI/feEQSFoEuke6spWlHy1nprhYJEFlLuYTpPpuOel1UctuF6vm
giqkbP6tqYthuPWq9V9KpdG/vz3z/V4D/geM1ETxhsd6c4wtq5WtZILSFSPO9NplSnoyymY62NH7
Iwv+IuByLIrYcFteUjpbYZbDsw1KSZXdKZ1eqLfYrjNKL9Tej7L4O3PiSgR9JB7QySU2B5bLqm/S
qC8CLGjKvzKt1E+2k05Pb6/cz2zkNpITLkUsHuJy9HpvseoYDW59VaUqSFJ7NVW3YfUy7KwBEy/D
oCTfq1KXV98psZeNXQkx8eklQkli8u0SlUezlkfLMwvchj6jiy3FrrFMwMGKA2/XSzu5qfxFcSLt
mSvHSg+aHu6tERAtzy9Yu8Dbb3d8kQ5WVQ5OEaTKYHpUzCXPqpDGfXuN9m89rCBhPUinDkTdHcI3
Y+2yOGEZWJKqY4Rpm/4U5qZXwx8+vz3UbkLA6VCe4L8Sc5LbbQK0IVzNurTCKugVJ/GmMZY8G4XV
gwrk7qJgFA4Lm4okiKLZ5sKqwnQolXyqObFFcm5ajViiXUzJDUNcalxY5ON5MNX4YK/dmZwQgiBg
os+ZaW52tKZNuYkESBP0Zr96nTTQrqorR4bgd0chVIJjwB0ob9HEvJiTbME9IJhCZfT6ro/IO+vE
f/tD7fYE6m7imqV8xoOK4cjtzkMW3UiaZGIuaOc+rYuZvubENj6gzFGlbj8UykI/g00aXOkX2yzb
vOKhMjprHaxTZ166Qbf8MTLp95Pih18QIiB6NuhrAFgTtLHbWQHFZBqyuE0wKLP6B98mQz4Er74T
Sudz4jbTEKIXs6qPBrhiWIyvMED8Sb/bzFDu01KN67YJUlWjE61fUvTPw/WvMIuLs1Pk0oNtPrRD
MiCVfmJpki0iiNt5Jn0joIiyCWQ7r59s6M2XOMv605BZD9bKfg7FYgrCJGVWAL3boWZDGfS8VRgq
UeonOUXjskv04ZQBDr1L0UD9+PbG3G9/xEiIhoDuSPHwTbkdT7fq1JFCrQng9JqnqjDKc6FIDzIz
/zcrIEKOAFx5MJTbUQxkuZN8dJoA7U7Zj2ylcPPJXM+GutQHgevdCYFDUlvC95UusNuhLCUzp361
m2A1lPBv6EnTh65f1oM7fn8lsmy/jLL5TNSJMB1Asyigv8LwEtPC11xL1RZDCcig/0rG9G0wx/TL
f/hYyLmLu4pPts3sGqs0FDqi22CN7OhlElLlGk4Qj68g2x2cjUQScYKt77Gh96EUt2YbDGjicpRT
fEjiZHn4RiQkEXxgodlFv97mLQ5RsW9am43ehWnm6eiuBnYTzS8Wuv4f3l62Ozci1ttUnUTDLk/E
Zo+PqCrQ8bU2QTQ60ee8XeXnRYnfRUsyHjxZd0cCVIBDKgirWyw3Abczyt5qkL2UB9/uEIdU4tT2
lgTo/+1J3dnnwkyKexeKieA83+5zwpheG4u0Dfo5kryiVsuzGmmf/sMgQJECTqBkuQ1hC9kcMPIs
20ARqX1frJPbL8rRYdoFyj93ArGvaLEAhdzc5+2IQH09jGw4TupzUyOQ3yx4fxCsNc9RUR7ZNd/7
Sqpgl4gwVvhB3i6dlQBrOcPCrJJwTokDl0E6l1LSX4fRqIaDPXHvQ0G3g8Il1DdA7G5H0+jRDItl
bemb1upLEsm49RqY5rz9pe7P6f+NsiVUhQ49XYiTtkGXJK0Pzl96TYqpSxVH398e6d58KCEQxBCY
aRTOb+dD816/gky2QSsl43M6rboXdXN4+g+jkCLykdh+O55wpJYVCn5OG9RowvmtsnxTCuwY/sMg
QmWGcggR+zZST9pmkqIp64JQjXU/mvrpEi/G40E6wTMvHx8HWt2OMItkn+0MdtUFsAzsr4o2Gs6z
jsOlevkPs6FzVDSH8ZZvs1o8nHpzDYsOiVVceF0nm2XTbcuyOdIcvbsD4KL+bMaiGiL24i+AX+8Y
PV1QCctWLItPamC5OHs9nNByZ9NHKdpXaWTlzbsdJR+MORl1NNkwidJOYd3humTBX3h40cjRhBoN
2r6Q/9XNKCOEYqM1UX7LR8VL00TytXp4/IYjGIGEIWzpxH83o0RjauK9aUC1x8Phg5ok8jfax7SP
0dpnzzOX0N9vz0rEUzdZOrgS86HQB94FrL55XO1yrKzZhsG8WrU8PCXFMGWfCqyWims4LVXzWs5h
aJ4TC3vrJ2rEffRwiA50CBSMKBgpCHzj22WdCpZ81sc6yNoOjDaOIuV7nWPH6NFSJf2JMs9wdAPu
XxGyHkYUQsPsmW1AoTspJlOLzjEjghm8spT04gzFYL1oBi4irqUWxREevB9TCEYJpjPQDZHS5iTI
Ax2WKdyyIFrkKfYdOW/MP/JVG6Mvkt5K2t91lkYHIIb4N2+/7e2Y4jf9cvqibhpnQN8+6AdZfa/g
Ze8bAIpfl4wY9O1ttD/o4jrhqqfkrqB2t/mKtr12uoQ4YkCbk+TPLdTjvInqgwfy3iKyVRFBByxD
E38zoWRU+lHumiFYtOz3Qu8GF++p98OqPg9pdRTc3ls9YRNLkZu+XWwVb1evqpQ1A9MdAhzauheU
uP6BDrxc7BVX77cXbzeSuL3Y0RD3qWvxxNyOJGlAf3U/94Fd1ZKfIrNJF4/Wucm6tAdD7b4T9xYv
MhRjnXBm17BQLE2VmBgkB2GJXFaWOoOf9vXRAbszIaJAWNMwoATleHMhd808KgmOYEiGJI3qRn3y
75yFBW7hBt7dDy8e8LgJY4GzTKVzsyd0rKabyVZH+EFmRXt3TYMn3kGOUnsNlo9HU9vdlz9p6Cr3
lMiDwYZvvxVxk9F2hT4Fqj3xDAzw80oPmwmzfcLGy6BuvHQYUFGrG39vSPmGg0Bkv7QEokLGkncI
sGtHuFywveATy4GZ58lpBGrxOiUcLtNqHAkV7DJXIGI2Jt1tnG0Kr5tgG97RGjdToUGNxZ0TE7eK
7MROz3ga64Gat9Y/uRYmj5Y/qZhxN/MmCc1kUufb9bWjuaGU21rBYNNQcKEEFBkXxMwV/G9HaTmS
LNqfB1BXdIvZO5TLKILeDjdPw5hFfWXTETzKXh8rpiurh7fj/qMJtxCq8DSWcfa2aYukIQzmaOka
5DH92H5r9+xOq+/sEstEFLcODrk4Xjf3PoqqFK6oxsHDFx2ut5OqlVQ4GyxagIe37scVnCdzsduz
aswydsyN6nVDQkEZEPipa9Sjt2C3b1Dr+yk8TTWQW2arC2PGkDiKwVoD1NHa6GxPLUN0Wtfn76hz
tQaOnMQX/hpj1HJ++zLYnU6GhjUCOQXsmTRKu525rsQYU4aVgry3XdfndNRi5ezUcayeOKnj7PPs
GrZnxHO+nmqp0x9UqRGUKZ2eWAARvjTqA5uEsTGJoipl1IN0xbbNyBz7gxIP62s8dcpnTEyPqiy7
Tw3vDFIOuQJ/KIVubtp+KJxkXU2DxiKpfVKlMDOfjcrIqVPyRp6yMsHxbmosuBF6r2IZppMpa6e3
V313iMSPEG7cosXJIjS+XXUJmkSx5JkBwIBiDVdS/rKWhnpQW9gdInjz6C6Tr4CxqjAmb0cpunq1
RxtVsSlWqpdpsTK/Bvf3B+PQv/3uUKLeCt+cS9bZHCAqJSQtih0GhtPry7nHfKXwIjz7Vk8fEFJ1
H10/tHhBqflDGAyEfDszS2usYh57K5idOnLNCI3iJknqg6RvFzwJVTiSPUifoCg7TeladSg2ZbYV
jOB0V8tu1W8WTJbnesLU2ylK+aC7db+IbAqyZYiXLCQf7nZW+Shpaz/YThAvdkbvBhoCHhXd/KOJ
XtmjNx6vE6C7KNeLBvitiUerGjn+mF0Y0IBeIk8uLa0v1W19kjvdwGcTb1y4kpJdqCdFis0c1Xh9
PVjfO/Ol+ETJU+ili+LN7XzT2rCpp7BpKsTSnyplGPykqOzTaA3Lx7c3zM+G65sbHi8IwHgIHuCU
VOU3Y5laLloUpuzahkrTuzEF0vqS8uG1ayY3Q3syEy5cHx9CzEZaIoX+LLdtq1/qcVmkJ27EXPdN
I+poX5iEsWaqxenyBWGUsj1LaTKFrlr2ZvauXbV2hLjpGD/arjEqt8I4YcGBNS/G0TWbGvXmOHO0
4fd2SXRGQUm89dMhH3p/ydMKZaOF06S7WdTSi0hrVBn+lul6OD3JWWVHbsuFIrmTYnaXBYA69NDj
0bVLpvfzVSlg738MHTMMn9MBvtx7ZZKa9lWJmrb1O6dGhGIuE117LlWjSrHn1PsCBl2uF3/QFLas
51Zvw9lb0nUufhssOlovbSRH0SlV+271ZYO8yLVzc/4bUZQy9WSNA3FKigJlvTql2/VkF9Fsu5O9
as3HrFNH/JFb05CekOMNR49zNkVn1lXWT2uGzs3HoaR017nKskzOWU6srv0jHjL0rt2cbExDd6Np
ev3aSlPz18D3Gr+kY2sXX2d1GIoPUtKCA0d1lIW/zQ3WYrixh3McvthaUg4fwlmVl0+OVnULpJRE
iZ7XqVVqt0bXqb7AcDKIf4k8zY8wZ+3q6e1Nt78/wHbB8iBuU5gklrnd35BPOyz2iuxKuKl9nZpm
/T3WcCfQars4S3JdHkSC+7ec7JUCF2aF1GYQz7wdr5yVFQWjsb5WU268U3ixRz9EF/wPwOf4ZYLU
9gr3avzezcp8kDjfG1ogijxVgoO6TciyPCowB9Wba0lH2vhUlznCkjTlrxh3LJpVXRYa9/uXSZlX
57ICfB+wevcRFMUvUkJ8v/kJdFzcTj3U9G4ZJfH+mLnqY1FU/dbKqOqeykHCL0fvSscA807HP9/+
xPsrDOie5UYqi62rbZvh0HVIWgyM0qvUpNPsKfgweSqqsJFnY/x8cF/u9xPVD7RY0Z+nmkgZ+naS
TZXp8sDLep2ynotgrNT8R06n7++cUMhOba4Y9enh+UEdBSkkm7fRgt2Eh1qsYs/WaNlVytZKPauY
peenkl7f8f0q56v99PZw+7iIVAy9R6FyJkjFmxcwqQCSbBnVgwJt6lM+Lso5LB5tZifkhIsAlUeE
vfyPszmX5TxFK22MYZBpen+pIXB+qoZ1fJIRtDtl8DSGh8MVBuSDCSkQUa0Qu/cXWEnVUz3F8iUM
6IdTL06KOQVWTw86LIpp0ScJk4QX9aem1u0oBTBZaZpJenU46ldtjU3PkiLr4U9kUx7l1SbbpOSy
lXUerYSoqdLqa4xFxKnDVNKt1ag72Hf7jYDmBn27AJzsBfLNzVyMrqjzIZ+uoIvDx7rQx1Maq0el
8zujiEkAhkD6g3gl/v6X75JH6gp0YE5XXS2XF5SiQ7cAnXl4xTDPE0kz2c1PdtftKGEGkm8a+Xz9
SfJsCin5Ptf1eiQyJJbkNsIBeOCsEjeyxxD7vh2mhDhGX9A4X9O2fBeHkuVlfZRiPENrzdundCug
JlBvigak5eQvcIS3kE5tGjPXYrpcHUOCLNuTzNiXUZ1W+0PdRa18IvIwmg9zZvaKO9GlMv0dFRLI
WTOtZeSmxiDZJ4zup/fGFEnGvysWNMXBDrqzHKK9iGiPLlt+5OYqkaw8Uoh3liuhj8Agc/lpVvrh
alvEMW+vx51thDA7l6SgcYkSxO3KR5o8Diu9blf6L6zWDSPdKk+SObXd+e2B7s2JEId8DqEdLuRN
2qOFWTtlRrpex2wYX2gdLLwFQNG3V0s5WL47c3JIG0UHO2I0UGZu5xS2mRTpfVZc5UVWnvpojb0o
y7ODlds/2zzZ3FdoxAN9kmvdjmIlsrZK0Vxch2YcntRUr3+ne9E4SQCBroPuo58Pw3JQP7k3NUjX
QlwcUZ9driq006PZ6Rm0pl29TsrCUwFFjw7JnY8F9QIIC3kRHs5taBC145BKaVlekxr8wKFycYF8
VHqTrGUf9GWtvw60yxcubWLTJWynl1nWp696GuUvOY6G7yiXt6eogtdm6sWRBsRuDUAnhQyxIInQ
fvdTivCXmw8R4kVdrEG5jkUJKmDYnStLlvr89n7djyIwc7ig0HkAKbcHgzIcLWURlrXxAkt3TTLl
ZMO0P9iq++sIjpyI+0QHkqCebnZRSpJbZWo/BLlaLKbr6ISC3xFCGLr30Wo08ms5kMM+UYNeaMJb
Lbu+5JK92i9NVEaqFw5p2p/wLF9ndzanEbxkXYoj+bPddhDaQwTa7HJQRuiet1vdVKgKDm07BKqk
NjjeaxDrkL5xJTVTD7beftlFYwGYGmx/wOEtOgJtgIyLnuqA0knrjVZcXbQ0c/xHP644sowgBhGS
L7cTGouxsq21GdFMWEq/SMlpUH9WHw2dRLevIOJALQYf3Nr4ynrWKbDn5WCVTOWlGrPCl4dFOthC
u8j65yj0fwAM4uO4JS83dLHBjG8ZhazBHVLjn0Fbn6oGixYzjI6sTfdbAdSKjUBBQlTltricMaVk
m7mmAG47YeJqGQ0gRtdEQNu59sfbX+nuWKI4rtEihQHI5mxUYUfTJqKQgVSm6HC3se5VEu+GY4Lw
vj3UftsxLWE+g7YXvNVt8I6zXD4gVaAEUx+ZniJHoZ+szVFZePdk8Kkg+9IyjE4Hl/jmsV2zfOrV
lcXDfa3yp6FcAGQG6XOv0azTalV9VszkqO3r7tSAamWRde3Ty9m04w6sUAnWZenOWgkIGGfDESZ3
dxQiCbpGIDTzzt+eKGXooy6udCWINbPwhq5s3mlDdGQBcX8UODPIeIs2jQ0AbvbzMjcQOHGA6g0v
TNPmWZK6o56qu6PQ2c0tRMvEjk6ZGTFClovNvmstlO5T7uWml464H3c3Ax1botmF9HTLPiyWrDRH
4IgAv6XVU4vkasrhb3ml/ZZW9etYho+ZWhLbsfn+/3hb3D6WUwMnGb5QWvdfywhTkMGJat8ohyP6
965MIUYiyaLIDXS0M7HpEBke9EVSAm3CtnJU7ackKp+sGFEOrVm/NGv1NRzCjzgjPKjm8HOOrCa9
r+TilDHFl/0lNOjy1ujThP2BNnh4UYdxgVTslE85oNKj8SyTFHwq2DSkEiDet0NlPdtiXdkk8eCo
HpbStls5GvDj1B/lLPf2IxcuzG+eESKSzT0ogzB31GdVDDAd/PucQnox6Zu+vH0F3rttTbA3wXsD
79tykZJZH4ylbdSgDS37hGHN9xA+hG9H2VFVfWs9xmeCAgSSTSEXDglVitu1o3ujq8OhWoNSy2JU
PmfIRkutenlllZcJ44frsMbz6zAq47lW+vAMwFk/lX00gXtaR3pD++WFFU4ciTQG0qO0Zd3+mqLU
FkNf9TWYjWjxytxBknottYcDG5JOSFeCpEPBdqvLTLGnjRDjVIOSZfWjfvxqzM2RIMF+KlyL7EcE
cKgY7LQiqfFmwLbaEkRSLZ2VaMQxzO71g52yiziQEYF8QX1btJjzON8uWBjGgxI7sRUkjfl+sY3X
keZNN0bkinrz0WbZTcmgvIJ4Mz2RkIDgYNwO5syIbo5pZwQIT+n+VOgYxBTakTDlvVFopBScQso5
fKPbUWD6jqkzj0ZgtEbjmuronPVsOOqIvjsKCCidqvAPoHTcjmLbLewbGgMCGtsT2oQlDS/4KPz8
9kG+M4pQoxCPJEIAVMhuR6nhWegrbaFBpFWrj2W6chp7afbfHmV3XVCDo/kFMVtB0N6F0PPi9N0s
pTY6Ul3/uckpEyVa1n9DCWU4ODr3hkJniZZMPo/gZN5OyE6QPW75IUExjKVbrep4sXSqiomTto+W
nZkVDCbhFUpMRPZ7OxQYZI6qU0FpUcpiH6fSwV1kVLy7Yj3igd35TFgDiT5QCupsu81QSVX1hdRR
xYxkrFGHUBleFbtfHn31xYRoFwKQJtGhNHs7oTYG20u0hAk5+l8JBsrP2uAgNGDPjyKFQqoBKhJm
a8SaSBrcDlT2KLckURFdNUkZTnatfquQbjvIqOi845+5QQrJBEC9yd3A7vYtV3JJLKWagx1MbbtU
fq3a0YcGR7fZGyiO6fCa1cq68pg2uR8v2RT9nizVbH+0cFNUXyJg++mPPJGz8rSUDRJkJuFj7VFV
VIO6zcbwD2Wa6tWNtZ6KZ6VIo+Gq6Whqz7Uh2a2LnD69KW5vdjPWwijzlhcsQrPOL5xlyd3KliPJ
V3GTmb3MJCI+h33ema6ippN+quR50s6FQ2Pr2VG6qbhE+AjOL8Nom83FscLinCDtZS0utYpZ/bQU
1Tr9CbuNiqrZzPZLlMV684RUqRM/T05W/cg5g98JYDXlvE6pHb13ylhPzkKGfejdWV/lxJ9qCCyf
5pm4/WOY6XF8WSalBaORkqV9r062gSkACCyF5bLLFprMq+RrVQxseAJUR6bJH58EN6nKAl97GJ/e
XOtq5lZI6pbvecrn9tzo6fpJzjvrr0yZ8opfm9exP6+S/tXWAQ9O9lKu6mdz1Iwe1rGdqx69XpLq
ogfRIAFshbWpnkwoC/W/XTFkH6GGKArCH4Re57I3MJUtWrymrqmC5tjL0tbTdJk7jInOWUoj+FNI
dojkAyJl48cpUca/pGXoIcfwFhq558RSqH8Hfoxkz1znfPmBpZmleimGHb1XzkXdebmZhtanlRDL
OTejXo9eWYzreDGU0kifetOaacAvqmWSXnkSaWDUWz36ULFEyT+ONYXZSQY1i8+NnWl/xkapax7d
fHl9cqassD7K2ZLT3z2G8adokpzcq82ulhBakpvGH610ktkYw6j60xzHuG7Sra2/y7IxU16KKVwS
EsXFST/0tCUvT3pbZqvLx5Cou3dWY3sFLf2LR3U/jX+sS9TbnhO1xbcw6spPZoQ/l2sQa3VeHU3p
p2HRZvm3fB2010WeczyC2WmKgzaYKafeUhpS5WM8Wq3PfS8XPeL+jhp/NFY9T/0+1qXkqui5lF5S
csvoAi3EjE+rVNnqaYn7ARqG+Ax/NLXSqWcAAtXw5DSd6vNcpbV8gRQyqJ6SWXHjUuF25gtV13Rx
4yRfvyKoZ47CGIPz5OpNqOd+grLM11HB18fvIEHULm36s+rbWqMYfo15unFq+042vytKU8herLVq
BiHDUT80mpyYHxS56qrMpQWr+zPj3CqeaWSRCl0sV/pz1enyt7dfxv3FzvUCNYxaLu1yO3xyaKIE
cFWhdD6Vn/BFjb9I6FN+enAQXnFAdAWAyaLEtOXAUNAdkjFby+soU7ttO/TILVWavLdH2b28JoiS
0I6nNxly6BawUCZ5mnKpaq8RENa5d+rkyUgk9fe2R/j27aF2qyaCFYweYC0RJpM/3r4f+HMYsdp1
7dWoe/MpHqfC00ZF898eZRe6ilFEPYvGbl6QbdWs7On8wiq6vTbkQS9Q2FtaDMly4JqfkQf/9+3R
9nOCpQSGycoRjxPx3c6pkZxQzqd0uDrVtKBAZlauHMnN6cFRKDZSPKUxk3RUEEFvR0G7IKTEMfbX
zBltwy+mSX5nzM78oOk3bVC0c4O8s/HghgAD346jdtq81DSrIUJJP2adxWPhwrJMv1Ab0U8zlKJz
ZA5ldPDJRDJ4++JTr0NCCM6jMPHZtozkSTyH/US20Vhj+GxZ/6TKhH9Y1NHFm5VU9OPedNX/o+7M
muNWkiz9V8ruO6qxL2NdZTZIZCY3MZOkRC0vMPKKwr7v+PXzBetWtxLJIYb9NmZt1ZLxio4IBDx8
Oed43aEZ8dF9FUM/aIyRqCJftIxoAhnhp7k0zdu8VMa9LgamoZ708L6R89URaZJsv6YdBlDH002t
tVnLhO7YrWb70s6UdO06pq3oGaWt79JEvU4j5GecZtA+HK8R45LuompJ0EPsdmpY6ypuS611boeK
/QuAjV03jENbiafPvjc03SgqkIWIAXBnc/7Iq6pqMCXntu78+M5JrHin6KX0tQ1puyN0MH95fzvP
+ymi0on2K1RbIXeyhOTCoLS6ALd1mKQsH1xFyhkzVZUBzHI/VtTOTWzNDrdNknXZT8WZhKZqIvlg
6JKhaG7yNCnGXVrBFP+UWKnRucw+99e6eOdulYekjM7NKLBVS1KmUvKLQ98ZDnhfmailjr2YUNgN
u3Ftwuobpkjw6C4R/eOHlm3XIODthqPcHTJj6j2U6JIv6GRq12UhdSu9yTdNUWEGpkjHEG7/6YmS
wmpyhlDvDnUUjNYGp0BJxwiCjlhRritzt/Kqhb85cQwUUURzToxTIfnQxfP8VuybyrSV1ckaDi1v
EQKbGkoMkZpTAw1ImwFom6bjn13mRm2pbqH1cvXF1pluC5yxjC1EspUouGB2OB2TQQmjtVrMWabC
44HSxmdyDMVg1tPHswepbQHi9wdLUqKNNsTErbTRbiLVgcdsVPAxR2mtw/DGjUNBEtoPHHMKa6p4
qN/2JNSQ9ZhovB5wph0iOiilHn32ZGXvz1+1uNc4UYK3eJ6RTylKm0k2jwe1oyW80aRiPjCw1Im8
bpr1YMURv2HtXzQXS+CLz8qFUxbNCrWz+QAjcrqIog7Uqs94P8g/z++fqfN3JqiRlFlFtowM1cIb
OwUjYLPJHw/c3NId6oyBcUnNXPXyzNayHfov1bRJk6EOVwKtNwzTbKeKjOt6VbA9fW+pFYA0AZp6
oPxQepTUJTdUpMHrZKc4KFWVXgwinn9/tWfOmVkoIuiiWC5uOkv8/LfDYs0IZBd9MB3ydHLuo34O
rnPJcBDoi/qbJkvQXX/f4BsvkuIkCTougomoS71URe8aMsMcg2z+p8CKETFBn/uL76/iDc8/BC43
6pS8SGr9zrJPaea+os1WNh0a2Q6v1ThBdzCL1uYJvLWD3J4QhNEvPS+1FboWKGRn00H3w+nRMqLG
CxQj3ctd7HsdatUrUNE3ViXEIiFE0EQEMbV4Y41TMwYzyuVDAgz1Ab+WuYEVVY/vv6Y3rQhJJyFr
LpB5p+eCAtGU+1MlH9IuQ3JPi8qd06prcu1vWBHgeaqUtAtxk8sAJEvTMEd3+mAMrX6ZDM70iTLO
mqbDW1ZwwtTyqBySiy12bMibhs50rRwaC6BEkrYjLNIx897fsddRYad3ESugsIvaKz6fvuHplg1W
FEi25cuHnnah5vmlBkauoOaCYmAxys/SaANfb0H43k11WDk7YP5NEFAwKiXnYqplNdmovjM+TtY4
zU/qkKfWNpetztgwP3OwD7Way+lGNkESXiV+Xf9p+ZHZXhVV1NtfSENLGR2xiCalZoRhvJvCXvrg
DHUyMxoXYpYxoDm2cwmaaFFiS/u8Ug56Flm3pDXI6ydlJMCHivL1/Q0V+7XYT0Fs5OsVs6rPotOx
zvAfsawc0kKGo60YgE9deHTakRpx3WzrNFbNlVj1/KhwHfJVUQgTQ9qWDVK7RapsHHMGq0iJulft
CAjTrDcrR+Us4BeFbCjTbKOg5qqLY5+oSp8nCDIcHLPon1Oj6XccXO0+nylpTWNtftUZfn2pTLK+
gnM/974kcOBFybHRnODmPz2jna+BFgo5owhmlDdpPSmPXQLyZZioX77/+t7YSkzRAqY8AdVpCWDk
rmmlpsCUr6XDJ42jchWpnXX5vpXzS5NggKIE7FEcCJpfpwuyWgSqmZWuHaj51l5uDMYuG3P706jW
wUMSmelPhwHru/eNni8N+W0U1ICqwvIE4XtqFFnltC5yVTvQgHE2TA+MHm0nND4cSwsQFG8J/Xc6
6MsRYlMZ61PBbKUDUw+jG0bX8qnbg/nJrKw1iO/5saDiAswUJ0k8zZ9PF5SNllNK9D8Pjhw+17PT
XspdOe2GsFlr5b3hJVGeAxdNawppQhzmqanQ1Bh7XWnGARR4IjH0FzJfvE1iRJ4uFZ2BiF6kDyVM
I6YOKVdmOM+NV5lVcZCdyq63ajSW09coGh1kSXtdNLdGXY4vAquPjtWUBJM31VL1k6HIQXRnAREJ
LlTkNLKtmctRCB3JZiKy0mWR4wJXqXyoTmkzrUU5YsNOfRcfOJw79OA4A9SZTleJGHvuD3ahHeom
+lW0lbax9O6y9CH7qFHzNPXh5ZTUDP2SVqLXN46mYOyQaxONCCzYqWEzbeaBgrd60JzCvJl1SXpK
jVpZ+QBeIXiL9dFk5xJAfwU7y0pdj/pKPdu1cYD+ZG8o/Ru3qW12XhC37Z1iNc1BRrJ3PxldsRmn
oTwyYyDyCrNdG6R2fnLFXF/udOJJOpGK8A+/xa/kb12E5IB9sJgx4VKolDb1WBUU7udk+9GvXrD8
xMfIBSiUtU5NtWYRZD5ttIMu2dFWY5IFDRG6Iu9beWNBoInBrVBhE+gSkfH+tqApkFs7NDOD9CNs
N3Oay26RRTKNJtNZSTjOryFLNPCJWUXh8KwVjZBb4nRlYxyUwJK8KejaL6aS9Jugtil6KHYI+29U
ptgbtbRc4Xqdn1NsUx/HcXNaqcieLtPJakI+pG4PpVTEHjNKg709TNPKK3tzMxleAMmWajjC1KdW
bMhTjKDojcNQAumLW8s/dGZc7arCiVe89fkXz4IsgQEXcxkAjZ2aqmppZOaobBwm0JjohHJH3DtR
1nwNObZeomnZz7SOu28+pcDADQLTWVMrfWuxYoItcy7pOJzdF3qkh31ZSmwpg7sfRinsP6GrGHzl
MK2V9N74/rlyEeYDZQII+2wwSVHryFL4qnlAvKe3LuqqSwK39Bky4ypWHFubwgmHx6KJ6ozgdUz7
vew0UfXJrBV79iqwWPn+/e/mrf0nYOYWI3knTl0cKD2ZLNQ+a/OgB81EiT3lSdTpc9lUW70wDbfx
lefGCXZKkX5Y1BeYPBxJECMKFShA+aevfma+ySDG0RwIne1NH8k+YPSg3kd1262s8q13LDRWuEPZ
fggAp6YaeiZUUUPr0Oej6gJnMg9Sa6JHkvj6/fsbeo7QYlmI1HCgiEAo9CxstQNDy6tgsDhPbS95
3dwPL3FaociYSdl8NyjNNLnW3KWHaUii0YNR6ye7tmi7+ybOzHGvJWq4ViR5w29wtgm8KCBQPVxC
qPo8aJuqCO3DINf6bQGK+9MIkOzz+2t/wwo5DmKNaJ+KSU2LN2pGQQl9pHMO1tCNwE3ypvjRG+b0
cV8vKAzwnciyeVkLxJFZhFY3S5nNjZIlII6m6X4wlGGnhKa+siIRcJxe2JSUyEzB9gmR7mVR0Ir1
2ep62T6kdtt/6Y3QvwZZR+fWSmVX1v3u8cM7iGgNSGCYIzQ69YXnzaWiUiln2QfT8lO3bFNYvHa7
NjH8jc+Bxiffu5DU5F5ebGDXN1rg2IlzSLK82/p2122UwsoQ35XrlZDnjSPxSkwDDyRkxJb6qjAu
O3BaqXMwU6X3ep1Wk88sopUr+S0rlIqhJyJ3iV9deLFAlmoJ4iMHLzGrjRFFzkaT9e7DWS75GJ8R
YQxXI5H4qRcZlTAn/kiC41x2xj4vhs6VNX+N1/LGWsBRcQo4b2KK3CI0M9EORlID+ady0NJNF1nJ
ZYKHXCmHvc5kOTnZfKevgr50jAnOlhNE7XhQrIyZs0c9s7vZm3Ba8xclafLUNQ3a45cC6lJ5up8b
f/aZMpvHwcjkcRMXal7eIViujvcMlQR2QYRVpxtic6ZTC0UJKXYNvNz3SEZfxa2Y8ep4jHZy+HPS
5dJF6lOr+mTbQwGUQ7ZyOiqRYWRfajRLji2uJWIgrdnKrtMNKG4hpDClzwUTLetPhYV6gqsEQXqf
d0k3fR5y9PATVzVjXd+wAq25LmsfNJAWSBFiCsy7dNxENeI/h4T5m/dRbLTFRa0WqrHVETEarkfk
qyxXVqgRfx9qOZqRp1Im81rSI8U6RE5aVJcRQxN8CCgDIlK5Ojm0FudmnlwmX/SlK6FGmtReAFJQ
f1Za5u68fNApWICKX0vr+LxzKa2eCABhkMk+dNz/nqllgddmKMa/b+XM1QkrUHrgxon4ZBmJNZKk
qJCh7INddPHRZDSRm/WBfp1q47j1h7T59r69s3Mu5PWpuVrUVWD6LL24o1dOwU+VQ9xFxa5SUacN
a9348KoE05AYk7IDRW1z8TUZ0DVkNCbUQx1YtVdYcbmDiyZdG+UoXRpqtcYtPt9FUkjBYQYXrVCD
W2Q7WSxLnVk32oFZS/qRWXdO6IagtB8DX5MCV+4YePz+PooVnH7IlDlYGeIAAoK7rE1NjdOWidYT
wdVZZnmGVVYvAJylZK9mraHuA1Ut8gujoTFy8b7lV2W/hWkIOWBZQTTDM1q2LcERivlzjnPImrGb
bsvRSf9MrDz5VltDEuysRO1+MFqIHl6ajMGImKODkErn+N1L2WaNdOmkjIlyNTOVHI8zaYMY1Og7
fwlNu1H35Iv17EURvNrNUI1t+V2zsgDNuC6ejE2Z1F20LSj21F4XGUX74BBI//LV3voKrVTr3WhC
jNCVwSA+9Q1N25Wr7fWaXCwfuBK9Lpgagnq/OFuKpEydCVX+gNpH6VZ02g6xMxi6G0+O8az102Nu
996EhP6fddE33/XaLNfc+PLli/odIR3lHiDeBHanV1IdAuVCv8A5SHES7Ye2Vmo6xmqQbKY2SVaq
oGeJL90TjbKdUIKnPrNER/uDRupZN87BCQAxDuRMLrzVH+ZIqyOXqn2eq3eBzSXw/jE7cxQkhhCs
QbCA8YACJj6531L7XquhoFCdOqgc6F3bkJJmAXSRj1qhGgLygXIoub15tpO1lclGEsXHISq6b4NU
pC7Cxerj+1bOIi8bK7AlFIAWrGRZ3TWqmRFeSR4fm54P1MoU+Qb2ZLKjwrWWXp15IvJ2DFEpoGJA
NW3piZyhyVBUo+6SOgyOMMfvYxJYGx8Oftv14YoXOl8Y/FZR2+KeUpFWWFgLwnwsgrIMjvXQl5se
kzdlWmq3StZ9ePwg1Q+Q2dTHWRRFJfX0PGTjiCAe4yqO8VjQ46nqbNeng/7hU8cq0EukNkExkqTx
1IpErY5Ip+ImrP10Q9wRXhZx4Ow/eh7oZtDGE0AH2rv6ou5YhVZhJUOYsG2JFnhl4ZQ/7Bkirxs3
eSh771s7uyromXDTsiILOWAaGqdrMvxoMLOB2102gtk1MkTUnEr6sy77aynuiz1Y0jWJxTfOBTch
eHPUXcQNvDDZ4ZHMOWmTIwD38tI3WjpfUyulfF2t339/f33nngI5Q5onXPeCg/iKgP/NU4TWGOhy
UKIPVTTBJwcd6s+xnhXbj1uh96pyywuFp+Uu9upERSq1syOqsKhoNa2z7Z1p7V29tRbRfUWiks+K
kvTpuwqDWMmRLMiOamf7O5gp5lPAEPkfH10LulE6ACmhOU4leGHFbJh/oQ1+djT9MWF2CPPSkhYt
yvetnF8cWDF4KdDEUK5cfrGzJc9q0eT5sUi1eZ/B59o6UzLvEG9qL3WJubQVUuHXbZWZawCY8yNP
ovc6PIKMRFA5TrfRH5QS5HSYHQvF6od7tc7M+BZWjDoea8Zx5Z8nteyezdI34g9rur8OX0AzBdFC
qlvL09iUaaPEQ1Mc09Ac7E1ROgydY6Duxz8xmuf0hAiNeIOItJwuMY0m35rtoDj6/ZyjLsCwSCND
58xJTevDTlGILXB/cXMh0bqMNbU4K8Cet8UxL+duR3HEPBZxW6zUhM/LpELTAXIUgjZELyBsTlcU
NbHWSVJaHPs4GS7MRE92oSX5e3KxaKsOpellGbhZyuP2ZmTG1La3B/02x+etuOfzOxS+Pp86bW3R
wFieHr7tlDKlVRxLpurshyo33WwI860m1b6nJLTR3v9Qzj967MHWp2pI5f2sjlFUk1EZQVwe/SKK
IWlVE/OD87XA9a1VkdRyYQsxkLM+bK6mOu6rK4/weoLNrDnxJnd82KSqX26zWW4u3l/VG98gBEGA
z6QpwBuXORGpy1xPtVUe+VS0DdeTto3obu+cFHyjPcsoIFRt8PS+0Te2kvhAlDwF44ki3ukZwm/7
CCoKOSJfdTY+wpfGRiWCtVde2RubSWWLCjb8LaYxLcHACrjm0Zjk6li0ufwrMvPiPkvM/LFhmt9W
LaMPo1IhiUHU4i5lAiIidIu4xFbrAY9tl0fQudqVkM/eqaNOl0bTv72/g2etASzhVyhH4r6IWBe1
yLqugHwGrIwyjLZtgrTqN2Q7cKwqNUHCJEoz+Ys5wdl2+rC9rOOyWHmCNw4OxWSoaqDQ8KCO+Plv
93nTqVU/z3FzxMcV2hZ/XatbTRm67MoplLK6RNVAus8L2ShWsoFX5vJJbiegMzRIuTxECLhUSw/D
KAYT1BnHtGJmhsUFZZQIpqJ7UAZXaH1W0aVTAoy6CREzr3+V1jhbe3nI4uYht2bIc25SmLP5SzGb
orqWRs2Z9u2oVo1gJsn55fuvankI4S5wFHhHAl8hUrTTjeoGkNb9rKTH3sobr5+Tq0Dyj7kefKV3
/NFMSRgDgEOtSGSDZ5qqqlJ0ijXH+TEsGoXxrmnPwFX5o+kLVpBpxkkJKBO50mJJTVqqbZa39ZFJ
hebGMCRnz1H7YjhlsQEp0a7cOcvDLsyB2COPJ7OgRyd2+LejVuqANm17ao5RKVn7VueOSZ1e2cIL
6zeDPab7ZhrsbV2bwUadqnDFiyy9FeZh5REkER5xjy/1btK2bFoCr/aoScyZ0VIl2EkmBLv3j8m5
Fb7jV5EHvCIueeE7zAapX20OuiMCNfanCspbdjFm1bAWIb+2RX7/elRY7goVEeQQqJebyzjBbFIp
d7puOFIeYmKOqsWjvW+cWb5CW3bOd6k9x991Q6qUu7BGa2L2YC4hFQsyoEUmyZa7pqKCocLuTcsg
+hz3mjzvYefF48buB9Rlph6hGYiiThy7XWLa8z7wM/M5seTsc+RTm3CzOowZq2wHzrcJ3VdYDbL0
RTMbM/5gUMRiKRuQ9wq5IlGkOD06WgJhcazy8Vg40g+118N9WMTmyhd+xs4QVmy8IOoBmOIzX1ip
AtXOonKiMtsryrYejVZ3K0BvkzdLOYJPzjhSFZPG1kGZNxiD/JhqfP372AjsZsdQ6xgtlhponTsi
ayN5NJq04YOpkZizwEnms6WxSxVlke2VlT1Q9JvLY+/YBNuZYt1KWUfj/vUc/8ef4/8KXgqyAHD2
efPP/+TvfxblBOkhbBd//eehfMkf2vrlpf30VP6n+Kf/9Z/+8/Sv/Mu/frP31D6d/GWbt1E73XUv
9XT/0nRp+2qTZxD/5f/rD//28vpbPk/lyz/++LPocEr8tgBW7x9//ejy5z/+wH/9x++//a8f3T5l
/Kv/zW8Iuqe/TX9zn+rn7iexzr9+6V//8uWpaf/xB1JXfwfZIhqs+EXAkOK7Gl7+/SPGMoihdbCS
IHyJeCcvIBP+4w/F+jvvgxsUBWwSSnBHf/ytKbrXH5l/B4gHKIfWJtcrv/KPfz/jyVv477fytxx5
5SLK24YliZP+35+9GEJJN5bHwIpI95ZzqDu1zG2GXE9MTMisB7RWm6uWCesFI4Fn+VkrHUhE9Jb8
3SBD2c9nO5vcdpgqGjV9aF329I/vo2QYLkLbqn6CsQ4c6js2yi1RK8/PxKfp3p+lLnctwIordP9X
PPPp0wM9A+PpwGPADS9zYXoftAoKY/BC1FyegIOpD4lJaOeOzly4oePUjwyhhw+T+hTrpkz1zKjb
Ib/KtAB2Rb+sR4YMuBK8m2IzUO4xXGbtal9gDm2TTLZu0U+ejl2rDd+0WpkMKsaadOzHaN7BQ5y3
ppXWnRtnUv5tDjyQ6kGaM/1Szu3pzozj8MZX8+TSmeqUucSZPgKKnpJq30Ryvya/Jr7Ts60g5RF3
BLjeJZ5X6fQ+S81i9Iiv/U3ZhowjG2Vp45TymkLPaYwnzoyIIxBrEiPJKIGJi/m3izcqMh0CawIO
wprqbZqX8lUj+dJGhZHpWo1v7YMuv/u4//gUUXRvil/tqbM4dTr//3kZUUH8v/uZx5f8Ze5e0lP/
Iv7NXx7GcP4OCAgioFASftWB+i8PY2l/1wREisY0tGlC8t88jIFfIlCj/AD+jvkC/+1h5L+L5gj/
BrcA2oCZStZHXMwrUOX3k4nrIzBXUeyjqMM9uEgJ9KTFMRqD73m7T97FJ0/8/53rbi93u/3G3bjb
DX9xL7wL77d9+svX/e7bTkMnSn0Lu4vQSc7UUZqTyfeK4lGRn+vwX0fy5Eb7/fe/hkTvLWzxHcg5
jBGpwMDjYXYz9+ePyD1G7iFwb0P39viy/3L169vPq4eVVS099mJZywGHc+YziolJz96Pyn28K9zP
gVu53/jL88tN4I7i7y/77fevT7fXj7c3T19+PXy5/nk3uCvP8dr3eGf1S8YfGWyrGuI5Cvfb413m
Fu6Px2+P188vEX/8xv/9yNzZ/fx8uL88/Ph8GbiX9+7x8v7+8ub2/v5mc7u92d9f7u/vr8SftldX
2+sfD7c3m6uHq833h9vNw8P14W5z9ev64fbqzru+/rXy9l7x8u89/yJbKaIiKRsKqTz/s9hKnv/5
+fPLMXA/MwqCR79/+Rzx/JEb8cdC/O/+5fMLS/o8ijf8lf/ya+kev4fur6fvt79+fn+6C92rpzt2
/PvxFzt+9/Dr8dfPwgUEyZv69VhxSL7d3dx8f/p5/eshdO9+rqxJUxaXwPJsaKeeuQyKMWWaq+9h
iDdw9/PX9fMhw+wz0Y97f8sj5+7N96vHp+PT7cX7B1N8Tu/tp/gcf7sV2kEPEntiPyXzgvl/kfwj
oIUQ5m5bdjQ4H9+39kpOfM/cIm5FsbOwpA5zn358+nZ3dfHpx+HH9bdv+/3n60/fAnd7c3+z3V/d
bO/vD/eH3UGcsKu7h7vrh+3t1crKX8G1y2eh3cQ0KjGjiTLg6dKhoESFEkOCS6bA6+zPNbKd0XAj
1/bemhl6MVKMAKs1aMmPeXyKJI158Pd6/1XX0RTQr6T5aUq+DOPnoPscW+pKkCS80NnD0YoFZ4Ak
G4yt04ebw7qyzT70PQjvbmt8ddDu66TLcXqwnYB4pNgX6co5fNMzEuv92+ZyvmCSzrC5Bmzinp4L
/NN95D4/H59ujk/fj7c/H2T38efaB70MgLgCocZQ+kJkimttOS5qktQukLpq9ooqgIemRDO1n2wI
vKnt5z/fP30LHIEAS9IYodIECFkUEJegvxKVqcSaVMtTkUbahUDPvg5zGmib3LD8qyir1dJljEbs
VQkiFaJf+WeM0sxaHrtc8+tjEIJxgcMfgwp9+m4LtK5kp49tT3D4H4w5aFG0kVrwYOmcfXl/zacF
q7+WjHI6fSG0N86IEC3KChU4Ttub57LaVmqre80waU+9Pqj3JfS4la9qeX2LtVFZeeWVs81L9VOL
rK3Ta8vy9LaAQ9MY6CqZTrrydby1g3DuaD5SxwEmuMjR+7oeQ6gQlge/KvYku3nK23LYjLRV9+/v
31vrQdsDQjCMSUQDFt+h1YWVnhST5cXSbHqhQwYwNPPH6kW8JUF3g7FhkBKBVljWthsjrK2cITbw
ceton9jIPBdDGX50LSSrZFtwQKE3QfxfhHTIKvVDaFqjN1ayvKkR1HLD0FnTQnmtgf7uuhAOBg0h
dA9MRMmpTJ0eb8dJnQzG0QjRKXa1kOG9oPmqpr3oOqYmWc02lbKvhd26VW8xw6y8oNCBIr25U8bu
AqTghZWOW2Ocn2h1ezAwd7HWj66mKV/G+Pj+2z07R4tHFT//7fajRtXERs+j5gPaUmGlOBvSxtBT
AqhY/wNTYI2FPAAIm+UrlhVfiwcVU1oeF7vW1r6h8SG5EdMkvPctnR1ZsSjKV6LQShFiWaNmdk1G
QUobPV/LzE8JreIbCX+4ed/KmWPBCoeV7AAKILCDxdYBpY8gMumjF9m9tTWZ0LVLh169Nae5d0u4
OZcfsyeEjgH9/ks2xTgDbPehpoedVCGWW8Wu3eYXwP52qjFAL14ben52gpe2Fg46aiUqgwrlFeWm
PsIhe8w/1d9QJLwVpYCv9XX8OB3n2/Bp/hUdnSt/W3trUxTPgpPlIyxiwmGsUikdeITiUXuQ760D
ZIJf5j640u6G2B2OdudKX+QjmmTVZXOhHbTP+oqPXR4jCimiHQA6Gp0U2NSLTZBio5Tbph08pc8k
V4mN8Ws99vXKnfzaHvzdW2AG2AD+gB4YBJVloBOUGkxfa548Pcwu7aocvKlXvtkjtZ6w7N28VjZS
chWWX2hH7UdKsZ3zxcqqTVj6iPsDO7Tsa8Opvs3DrjOALIfXaT1cMIrZy6RPKrNZFHmmmyS5Wvzk
hBMwkud2+K4o38VsCL+ExDztZ/mnyq7K0ldLS12mqmwtBMuS6GfRlj+4vXYGDdwVf/DG9lLLpt9F
4INCzLLjXcQ6Iyt8louAovMMYkxH0DDdvv/RvGGE4Ao9d9wxg62WWLtYMbtWVafB06dM3vV1f2cx
+2Klo/O2ES5+KtHwfpYN4NGc6gbhusEzWnSMnMTO3bS14//BUtgvuIAg31jU4so3wXv6FhKVXpI2
2g0ks2mjT5294mXEFbg4jYiHASSh+KEBR1jkBNrAE4RVP3hjknSUTFPngTG57ScU3bt9EUTaJpnG
NXHnZQ7GJ8D4Dkpy+De+gaX+qR9kRZqlHIW+sQsaN/VTBXk7glwpSbLbVE7iKqAjvNTvlI+fQkwT
fqN99QoaOr0ADY0iaAY9jDnYWuK1teR702CqHwwKxQLxJaK1TSBFXHBqRbOnSGaAT+8lWWDtYiPt
rhQu+BXWiLK8koQZoNkClsZaAM+emgHH0lOJzAaEIVXNzdPS2FSTGhz7YbIRpJhsBkOO2a4xc5X/
RFO2DXJa39F6vND7QeM4DZYbp9nncrC2ka6sgHoXfDXufB4PGiuxsRBjoQB++niB2o1Jx23pKchq
MBYFsYrnGvjEIXUSLXf9xL83zT6/mEHbkPErQXPXjJlRb2ympYSbtgs+Rk96fSJHTONAF0Rowywj
tZoB5aUtxoJCI9MvskmzUGOywl1Kn3vl8xXhwOLDOjElfv5bpBUqztAFbYugvxQ05cYuivEO/QCt
uGAcXbM2g0FE5afWKIFS5afWTUWUPT+1hjBdUCp6j2ZiZCsuQ6dHt42m5KJnkO7GL/PoZtbki3Ak
BZKh2rzvdM+WSntZML7FSB50mpfNmbb2a7uT48pjhC0CtZaecgvVVp+q+yFE5mVlZ89OPV+V4BpC
6sUxkkWcrlVWUoavTnLpTQzRTaX2W6kNo+tb04+0qeQVf3HmqpgIgpAZsAT+Fwe5OMMSgnVjbTPo
2I+tditPUs/wH5QRzLbp7xsr6rnOBnpHcWDv3t/VM8/8almERWwvDLTFAYK40PVA4hPPnKzSVaXy
hrE1gKrK8EftILxf5B8Tv+brwOIrOVAFJYYY1CIEi7RmFACGxKt0BVFMK0l2dWqtyfIsTovAnaKB
TlJGB5+AawlezIxOSVtrLj1qUYZ2kwm5h/sR118dphgw/kpUd26OeT8MkRZyBADgllij3GDerd3W
mWeVZfNnlLbJPuNuK9zOCLWn91/ZIjBgaXT3KAeARiNLB9p3ejJ70g9fS5TMA4us3PkxNNgIAsfK
5/aWFQQPAEki+AMrdpHV+vPUGmUzZJ5Wa8l+VsL4qda0cEUP4GzfOAmvlF4HQ7AyFmuJxiowi5l9
M8ous3eZ1uRfUQYu011XI5P3wY1DYA3BQNFGpgWD/NnpxlWDg0pSGbOkOXY2BTOQ3Yz5riu38jLH
QEtFwIvoPdKUJnCzFwd8YiwgUDPMRBSO7Eur1KmK5YHmRBukM1L9DulpBl24iJDP5qEc6vz7XNoS
WA+jm+JtquRFu1Ejywp/ZHVaP0sBhIsXO5fgD6KbNWzDPEIV1Y3DQCm8ao77/qKf1cZGhiNxVqqX
4gX85vL/tRiRiYLuIZVY8l/Nyan6SapTzwEef6dEo91u41mNfcYnduUvhWtnTQDn7OSBH0JfRxAF
4eiQEZ6+play+3Y28sxjBlW1HWLkoI1oXEXIiddwujIiUrQoVDSWCOGXImSolXc+OgmZV42z7eZ2
GNwONix3ua/mKwWEIpMNZnUThFGwa7ox3LZ2M7qKUo17q2qCi9mZlK8fPaAiSBZoT1rW52yKzG71
KIvDzHNSoie4nsMuluqPjSNhsp3AZ1H9ZrofpxPR/tP9BWbD4OsKK3FtRA92GIbHIZaqlSvtrbeI
9xBVDPjnVE5OrUiNLTFvChHvMlLn66iTuj3KPvnHkqTXtRBhg+XjW0MFYxGRJGFhSGnppITXfbyz
x0GFQCitEfbfXAsrocKEoTMY9Sz10IsVLfUAa6e/Ck0egJNW4RpkcHEXvy5GCPzxZtBkgn55umUk
8cgGCjMpbL87GHGlmzOKzFPasN1T+0surShZSyLOPTAKKbqg8BDXiQTt1OgctUERcVl6tu13YMJH
+UJPkNOZ4zr7/NHjraJ58Mq0ZJWUS09NJYbRwNAYQ48yKhmRklf5TTynSem9b+d8SZwFIXBJVA2X
dXkZD82ky01BBTYPEvNbORD9V27TRKq5dYxW1V7eN3f+2sC8E7YBNBHjQ5bLSpXabLitMVf01lWN
lzB2E5L9uVvmvr5PkMm4gDgq7T9qVtydXGmCXiM0NU93M57yWJOYLLAxme01QCZooDAalVQc2q4G
naPgs2IvyLJ6pbq7yAI4pjgQoTHFuHY2d6muM9ZK345yKOEpB/86RHjhMrGCeD+P07QJ8qnaS2ki
3VYKo3pklJhX1n3+doV5EOsCenPebXLiNm6oY/mbse7n4aYG64VSZQj4wEtidn8lDjq/AKkkQZ4g
sKOdALf8dJuBktRjmkr+xpKjqHdVZw6zXZYxmQgIlUbhmTkkvbJygs8dDkZBtJlchCK1XyQfdi8D
KzJ9f+MbtrSVuqRyh5jZUe+foLOdRB4V0iNpFXK33IXi578lj0E36kZnz9JGH2Z532XxY0qX70Kt
4Li9b+lsPZwTyAyozeJiUEdbeDap6bq6Dn17I7dhuIMgqLq+kgwr6zn7EIUVIVxK2ICTXpblgqCo
Cgn44AaEbX6v2l30oyKY+K5Euh66AdKmLgAf8/P7azvbRaxyw1FqFH1AQqTTXaTt6Gh1p9qbxB/z
q9xMbbfpleRuqD/IQ+PmZvNoDsAqIl2j8rg4Fib60aj1FdYmVK36kWxk7O/MLmWaixsnmhx8IpW1
dMbStEHmuBp0qnElXn/jRZKoiumfoqZ8VmyR24nf2vVQUTSl+ca4P+e6au18TS5wzcz/4e5LtuzG
kSW/CHU4gNOWvEPMEYpRERseTUEAnEDM5F+9b+gfa7uZtUhFqUtHb9nbVOpCJAGHu7m52Yf90nOX
8o0o0IG7yd97eLJAWmvQ45+GkhMHC5kQ7gk0XP4jUzebhi8Jg51kQDb/no5Zep0z6CEHWi5/Gkaw
FNDiGARXxC0Il/y8SzpLB5CWl6zpK9V29RgN6ZuZU/OpxbRYXpMK8eSP9+XpZsDuxF454Z8/rzho
qtBOxNRQ6pEVEZlOoa7g6fI8LyX905IUT4dYggGiU7WNbO/ntVZiMVlXjphmFlZe2J7M1wn9w9Gh
v7Y/NP8w6YldDGTtI64mVjeNBGV4M85Rv+wJJdW474C8R80CLbvfgbj/EflP+xzqcYBxT7M7HxVm
FvDZ2xIS4PAHUvtYY4zNl11RU0nv0zD8YeMCZxurYT2oAJ6GjT8GY8ISm8RqoI3f4ri9CqwrxiOP
Amx5/vu++M8oiYUwagmBUfBzQHL/+VvRcZSQ+5a0QTuOHiqXrk9+kMs9BWBxnm8reQHRubz/74v+
Z5DEoviCFGO6yAA/lpEj8AM3rQVFznDyInJi074uEjmU+wz+Qb+bmv3VcuBwY6AKH/CED//8jIEq
0D+QgzbC5u5S9IluINoT3xYjHff//cn+M1TFGLTCqNVfFmvIpH9eKuYSGmxmpU3nnT/IBM4TZlr+
PFL9vMrpX/HPqxpINhtWg61PlmjduWyhr+tCMnlYbPI7XZRfvT3cLngWJM+I8x+iL3KPNVkxCNLY
sSgG6Ceq4r5jRXmVqjIzv3l/v1wM2Q4cijGOhY7Nz0+2cYwpJRZPxtI2O1AzRDCRouQqgcfqb8L9
Lw40JO1O05Snzh3gug9LtasWicBScWH1J7aloO+UfXRh+bDuoOw7/vFleZqpQb4DsPovS5Kf17OV
UymHy1Qzc1M8ujHqzqpinHd/vAFRCOAcY0QC9/vHo6VjTJR50dMGQjPidhJDcj7CGv7T/2IVNNNO
uq8QxPqY5QRmEqgdITyNEDWvIbPFjrHffifc+YvDhK0Awg7Gp2H193E4NFIWQjwZpw2VWjtoW5Ub
P1e8/51x+i9iIOa68LIQAk9DxB+Sevhtd53ZBG0may/EBA+9zA0CXXEwrLScgAvGy28+0y/2OZaE
MDTqXoh0lqc//8cJrgRbMr9iSRl8vydTi6YYJY8cUiD/i5UQZXGAAUOeZPZ/XokxuMxC+ytt4ARL
x0OospXsjKWa1Zsu+eufb4x/rvYh1EI2YxM+wPIuI+WMZlfP79eq04f/xSon5W0oK6NN8bHYjeCf
Vdk1T5sY6u+HgGb1JSQp/8yX4JRggAADrysMUgJdx9jmz28uFiYbetNCtXlYh71xnl6cFAh/cwH/
IgxhFczZYZr8BIx9yOIho7WY2GEVGNWt5zSWFtOD3fbcpnN2zbSbfqOx9ItDRU+IKuR6ShjHfZQQ
m/I+90KdnoqsxS2sIuFuWobxN7D3r1aBwT2QKzSjkXd+CK52ThkDCxn7IBTJuet6XbdT2f9mb/9y
ldN82F/oA1i8P38hEYRYW3hyNhUU+q6h+Zacq5yz37yxX5xVAMLQk0OlhUzp4wXIlIIrJZSQmiHe
xFMXidIeIdw3sCcoDxS/Ew3/1X7452ofYDHE001DAT1tiOmK72AMyb3Nu7XuFw1iVDJp95uXePrB
n5BvfKLT3Q6E4TQzHH3YgIkt1DwvOLKy7MlOjGV+NY0Q5asEJmmrfqn0fhnD7HZKeJPs//tJ/kXo
BTMJc97Y+uDRfdwnvdekXASetlC+aA9b1jHQGf2c8jpjcabPAItEFabQZPlnQlx/H2/AjlDkQFQE
xe7D5kGdzoxQSdpseTa+B5OErYa/5h8Sd/6KIrjv0ZsDJnjKan7eo3PnFFVsTcGSiMkOfUG302Wb
/qa8+9VJ+Ocqpz//x31SjhXrcwg7Nvho9gJATnvGy+l3gim/OgnIATFTBTI5KCYftopsO0XAZQGV
m0x6aqJNFxRM3SX6AVYHyHJ/vjfA00UbGoUyyqsPNxd3Q5EtHVaDeSsMFlCa4052vrruvBQ7BX1U
56PuN11BhMLTdf/TgUCwh1IjymXwR3A3f9gYBuVIsvWJA39iMY8ybhd/ZlJursAcT/Uukdky11Oi
yWs6zcN1BBEqEE1WWe5Hsoni0FfIHGoIUfP7TqRrVWsahyurITADb+Ks9I1Nu/Ghl+2S1rmYg25M
rqAgAqDUQG1soewBEvNzVkNfar6EMcygmq7sIl7DhBBy7JaE5ClZMv06GrHxBp5YcKm1Zk4OXbG1
IN0bSr9R/OXrXtKthPB4IeZ6wAdlO9rJHvQ7Wxh3YO28Po7OxeeKnbjEc9bNF5GIih8VqeLzaUxb
c+yXVlxlUB9EEzttq65hOhO3YFKPU9MtfjhTBPKIe4PR+K8zRa+zthZMhdrofr7SUi0LHF0XUhwg
moJpeCFE97q0Ee65rNN4Jh2J9HLNo3W48K0t0Sh1rpSNXMX8AmtJwCMw5LWPaLn0r9YZCAmPqPz7
uiNxfG9nKVbMlgDJqKEryD9DtkVDciDJ5/UQb0F/72Joy9eZ1/1jVQ7pej5NpnyBwO70qdgq2tcj
J/TRpTN/gY+w4ZdW5sXcCFc4VS8a3Jmh2yC7msRy3GDNY4KrI7mQu0xv4nMH58CpMWwu7X7JdQkm
CjicBpzJGL4/OCz+etP5uBwL07USsweph0FB6Hpe0036M5JIFeqSUQyvdznjr2ucs9eULCSvlQ5J
dk76EiHfguz7Q4P2fwX4Fy9t1Wq+jjJMzNdttHVXpPNm3KeiKL+IiAKO6DsgBo2BMQvuLQ3Z3drQ
wXwtpM8YHrmnLw4qNl/8qrProTX5Gwbo8+JydpL52rpiuYPcpU/qscpdXEel0fddSzzkImi7iCbR
qwz7DbrOcT1LdJ13xerGcu+0TM8zvjHkmIDfQRyNUgB3XY/FmhSWi+fayhGzz2G4q7ybv1s2VC9s
sJBC2MAyuOykGt9iCFi8gDZGnvgS029A/Yqibre5FE0ONHfZF4WLzhmnwJhyuFCse2onCm5paqGk
ODEX3Zpq83mjAX08wkvdZZDvrsyddlwWDbCrMj8sMUS8asny4TLFBnpn5DSmFDqiozr37YyvBRG7
B4cK6NGt1fqZlJE9OXDa1dbDGrysB1oa37BiSfbJKjL4wsVxJw4zMCSJl8i2zwNuXH9YN6KPSO+I
x0wTJEUBwllpGk/p9jwObrns0K/he5JK+n0t3CyaIg5Ff5ZXbtmrNGBqWQHboECt2zXUeaeqe8Kq
zV7A04y9oF+7ZYfJpeR6mYf8jUwimHNUTtNl1HLJd0iVzSdelgM96NZ05/22CLED7600TRgi2x8I
qOzu3CeouA8QAx6udeGyH0Nehvt8mba8LoVTSa3wCnRNR6OiXZJswyNZSvZMHKW3ideQ0exWqOyC
OT5CR8cMvHzb4rDcjPBomgHZjl21B0Fvhj2PiscLBy3eopGarNWepwkCVVqEQsBUHb5WEM9w08kU
wk2Yc0GdjneXuewr0Cqvaia28IxLKC+OFrprFhYVZAqHmMBJtIayZpgOoezFXbKyMtp5m2WPNnYa
yhzpynQdjLI3ehvHgA+ip76RSdHRBkZ3uq8pDn3cwPwdBEE/LnG0KxejLouIdd+5ycqxLgZmXq3W
+m5LZfdpniZIZaDV9b7BVwJRA8bW6HHH47DDxulhCD5otcJbvp1+cI5Uq1bzNrDbBR7x4L9u6/og
xhHkZyNF9016Pr5LbK11F5A2ubN4ZZOrA4MwNWQG3XNioETQZSQZIKsYxCNddP4FANfCD6kd/Q2o
rvF7G8YJMqpVFmC5vs5f/IJDDW0RnX6txlmGM4u+jqx73w9vbIB4CpjcFabToX6a73i6zOOFgcHi
t7Sloq/lRsJXsOVDdKjwvq8zMVctXt2IXZtj5umQY+492rdB4TfjjkCutiTwO4doL3efmICHIkiB
5Msabf7m1PV583PrcEeMafw8Och3gcfHLYgu+cbSQ+ABDAQG72Le0G0B1W2A4f1FOo32G8AG8+iD
xWbLy8k9RFzQb4yluBGC9woHdIiXL13uVoRG0eImyeIxwdU8DVAzKDWbGhfZLG7QpWmfly2qpuhy
mzju4aMx/fgpjUw77udVp9NOBjiENlBG7O8U1ea7g6PPeQhGf4NtCoQ07YQPh/2GzVtLlZhHXGz5
14qlmUX4jsNz51LxKodcKmh4Y4s2RYdkk0Do5K0a+sEdul4qV6cWjpKghRL3Fvc83ZpAonyPc7Vh
ClLNwxX8cmESxwofm3qdvcLbKbwugcn1/VO/lYg3lSFcgJJIKZwnFkS+JoEH6/PAQuEb2eJfWmdb
27NDNgSIjEu1dcuFZ+uS1VGQE0TTT3Muhy3vZlaXBcTA662HOHldcZewA83l6BvE9+y5LbdsPcuJ
tQ/Q2K7KfUfYDPtajOFtGHGdu6Vufduldbpo95aWC55ClWyejwtItrqhLlQzgi4tX7RuYUlvOlZB
9niCqktNMaIl6pW70TQU+UgEZlRln0K/Fd81aIlqRzoUY3gtugoNipTy2+Cn5GVZQnFJ3Sre0IxV
t0R327fgZ/mNMKihN+j8ubnGrGcbY/C0EtfLRFrbQE4R5paQQ2U3LeVIgZLE8vXQ9o5Xh4TnItpt
UvaP/Qzv3J1TRELUOfa9qAmdyVdrhuSrNNCQ2uleAYGIllAi6Az0JcJQm6shudeux7x3HvtQdy3m
dyAeDeilRV5Z7jgSPkj+gK5i+Lek6mlRV2HpyaF38zy/VsAn+Q5nAcxFaGIlsqqjHN2882xuSXLX
d7Bk37UYZxOXI4NHTwMrOWwQupZtfjkTOT+Dprr1ux4gkNpDkwmHBtr3SXxVQJKvPQtug12TX+cZ
4hTgTRZg9k3pi3BZZA+wApu7ndpy3d35Mg20wcDb4KFnNPGqPzrwHOgueEx9IENDKC3Qd9FDdoH+
ucaDDyISl1Z3fORA0rxgtoECmazuSznHZE9h/FN8DsvYPRZ9UL4BSUH13W6W0KQ6B5OIbM8lUUt+
a0DT287lBPPai2IaNlf3sHvaGAQFy2S4hFnqTPbWzoYdg4vW/hNLmbvoBFnNrksjEl1APrtLLrIx
6813ypBowkdQkX5oRhQHw97Oo12B/RmxHr0tOUZeQEWr2j2JeNTt4Kfj+AXtMcH92mHAsw1noDMt
UtY0bdfqAnzzUV9BAgXJH0IKtQ8Dchx7GRxb6afU4K6ManjQJWqP305hyTh3vnraxgHTFT5zZQVL
V5eijYS0p208mHDiYZZQ8H8qfdLjq8ITt+9eCluGqDYFL6PPYgpaRDgrFuopUmcoG/B/ZuW5potb
6mlkJkJZAIo8jBlHw9D9nUTc5EmvTmJT4xgBT0Dj9sALXJlHNSJWP8YLPtyV3UaWXxRcK3cUs2kj
mCnwwj3Fcb9td5ShFy3PuyFITKB4jPDyou6mgrkfZdvCDEtw6afDkpIxwryfYeS5SDQfbkHvRbMF
elk223a5zNroAoBxWh2c7TR/MxIUyRF5EUqXuCko9H6abO3U8+zpuO47CxbsY9mlMHbGGIGjcA9q
aXjgrpJ0qUPnCCJCN8+ftY1xvGBtEveHtN0Usr08OxVl2iCspTJ0WBifj59LaQlSqqpolxgmOsLo
GxlNDucHut3DcnDz6LZL0wJnfwcGAQgwDSJNvuTTpMrrOR+Nu5flkKVHo/hwyhz14p7ROCxOKYAf
h/VljY2bTF0UtlW34zaBGFMvRMyqmQamUPZVUAj7HvVlj3TNgA0K1D5jN7PAqEozzelwPkO4eTtP
BMkS3FuxHtcdI8s0HDhjvbiqNOMAvrwo3F0chVkhd6L2tXCYpr1NFfgidapUZL9jjjeb9mXm3EsQ
CcJ0WXgKP4xSjbruhq26BxUrhhToyvO5AVxB2X6JhJ+OdmExJK+oKVBVVDRT0WELKhSmPtE/2R5Y
4iKR1i2bK97buYjbm6AJUjy3bulTGxz3zYTMfj1Y0/PufkzGIt2ZZAvkEtQPTPlGYxqNdUWoCJjD
ES55NPiI08EjmYx3bSum6GtcDTQ/K+BElJpaGVPMx20JmM5fdRmres20Ga97Ubb8GqUt0omM+ymc
5aGw6hpXeTvchn6sskd8kDF5UV3iOvTZ2778JqMy4YcKYxL8HBblFrJtqU/JwXgl39ss6M9xsUEy
qSUKxpX5mnUjnKVgwnHmOt/dVxXTMN+lYMg1S5T64bIjSz83XEJFvLYgX1yA95iaphotKik0m0h8
pyewo+o4CShbZckDIs7k23xncyRINTxHbHWA1rS8HcyMExuE7eXSzGF1X8PaT9Vdj/GW9ivssCd2
IVBVlpfarWX/EnoAGpdcROt0xVKdZDcO/+LthtDE++tx1hCFR4ak7LRHPkuHhjKMJ53JKGDfay9p
fsfGrBAKa4a0QF63deMzHMSJfNvEEn7w4LNsOpsgQ1reFx2cNxtMesTjfoxH6OGVakPAQv5Trk+W
pfPyDi+7tO/OuKl0fJdHw/gMtHsu9sHCH4XKCXU6t1O7t1JgOhlvSrxD7k1XezGLMj1AiV2qumDG
4iJc+/JyAP5qLisVoXQfIOB50QIFhitKyOxVnqkMR0BP5bRfMtaxGqzu5N14+H3tAC7gRtB4kd8y
15UownQR7kSBIQ6cmmH19Zz3bYZu1tyxA34PAx4J6bLPKG9nyPXZMDxBLZ5t+3Et6diUy6LbmmaG
Xq2ig6DnDIl1fdSYF44hStcP9qgJDg345UXC9sr1xfumxNGtySyPNpfuCtKTJXyRKmbfcCmPvt5g
Iq33K1AUUode9JfFBGNDGEJUvd/zBOIC8eKgPab5lJzN4nS+VbRAVqsURcUP4P+tO+gFFo+gXwBB
wNx1e2/YAKyOZT5RjVhW9y33cf49FN00NMSF7R7mFSvwtSherguVFtipW5K9GPjUZSiVMXeyBDjm
NIYn/MvSooV5gNcwFBBRT07yRpFIQuf6xE3o6hbSpt+LQmOwq4FJYi4akmf9l2wbs6ukav0GXT9b
RfsMNhYPQEeWeE9FrB6GMt3obkw2HhqPFsjzRtIB02UeU2w7j9mNVwVZ+67JPVVJs/JeL3Wcyuh9
CdNK9yFGP79ZfWS2M0FitCQJ9Ft/4MMNRb2uZHYNFCm6tzIbCEABClX/GuJP4nPMx0Q2RWJwaXaV
nN6gAdqnB+nI2tZJ7sirnzZBICY893F8ZjKwMvZr2iH7ECgQbaP1FMe1Cy7GKw4atj3zNMuvRSrm
cdeSlu0rG8YfGn6fqF9hxRB7ZosGjCaCf3BKkJQzlAtPkG/wUA/WAEJ3GkqnDHlgzh8jrlpWGwMe
BXQ63TubAO40q+w3CGKLjn5XaTcxNCZGf5u2oYO6BbJiIJcl/DJqAJH2cqVZ/J1kwobaV4V9jD1m
DkK/psgrgLwXZ4ONqq3J7Cjji2SAHvSu8t38fTJQikahqvhnyP1B5htmRxhiIyLaJtzBMCrZM1W5
17bs4wW+fxXyDMoxYFc6jA8PSXEJXdlU1qHtBHRe0hi4GQKLQfE7VvNrSGI1N7RFUxKuUEOH2iw1
DgXpOObbTnmCKBuHMlLoA3RlggDrMwCZavWqwew9zxu+re33YBfwpVxLoV3fM0FQBoHifockSBIA
ni0wfSSF+sfCA1am89hBfqbEfV1TrsAJNibu4EhFPSnrfISo5F7Jlr+fZB6zJitF9jn0Fczc29Eu
OOy99fDAm2OAw8viFLtxDup5e4h2t/6al8OA6DOWg296JRPkW72UV8gRF9aw0ZVxIyK9vdB0ARcQ
+nDWNRxBDwWmsQtsU6FeUJ6QpeJHZ1vPGvBKx+SsysDmu6RKQcCBdzN8Y0FUA87oYPPdGGoYsgmT
alP3oIR4TGL7sDUMKAvQmIwODzIa1vGGEFb2+4RV/A2bcVibEldtvMtREB1TJoU9dwuMWfclQP4J
gQO5QxO6uEtgWy7H7uirWW77ti1bdbCacpQ6MLvKdp0JUtciXSaGu61wCEVTBbjCBjUzZK5zfFOp
MYngnGUUlBFNMoSdBYdy2hOiuNkVlcnTeu4pU2cERsfVuZ1J9sNyQ1C1M4BUu6rsunuPBs1DNY4X
gKAWucPPU0jI8FZDTQaOXXFNoXOY7CIXj2ovobe37hI7Q9g8WaiDwW+/5dHeZSt/H91S8iaELWXn
A5QkunyHKsWFB9X22jbuRHfceZ0WNyB8oTLJQaf7UY7tgBofaeKlhHGYPqYbRl7qwiBj3Jk0cffG
FukTjocyjQL57apXc5zVIxnsDdRvgGHA3s+B/EGi/ZwJCf9hz3F8gHg9CTh4JdgLZfTaYjCf76t5
BRzEUpD+G12JYTjyOOBvBzGdeqqbAAoOj7ss1IrxiOzKoQWsC6SEPCgB51Fc7nP0LYYzfIkkJyh2
vnkzhCM/qffUiZvkbZiAAFyDEBXBLq+zK5S4Elddig06QZejRyLeoPCNpjNpsrFr1mlGrIL2avlU
yorg+pOn2nTDPIzp7tHUgCmBQpVxwwtk/buCEqBE7Tp/gwAx7ZrRLMN7tSzbY4Zm5lbbSacxcDU+
XPHegV4RB3qSesrYZ6B50LPprZrOirbMOC40vGTgSau+DRamyjViPpKiKLD+UplhqfboWSLdRav5
ApFz+7xkkK6owWoDfwOGKt4dAaeSMxNSy+o5VAqgFfGK/T198kc6rv+f6jDG6Nv+v3UY91p++T//
A5LoP1ReT3/jbxVG+q/TiP9JsRW24mA6nCYi/i3zGpf/Qu0KHgIFVbQC2RF0r3/LvNL0X7CSAWiI
QfOTb+CJRPpvmdek+NepKXjyKsGYKpSm/0jmNT41Lf/Z7iswLYHJBbBwwVQAJ/1Dg9aXVnVs4VOd
QedV1VNH/HZWkAm0ArQq8uMG8kIEhsGKOqNwJNhdyMF63nXQT1R7Y1sEfRFG/JekzaBWTAFz6z28
xWFUjmoOLMd5VS1GTyM4FALm9Ox3dEooNHxs4uNVpeDCYkwIStgnY6uf+79yjTQHnPgOYLME4FrA
yQ+Bw5toBwXlE7nyxLms83Xd9gQp5GVvKn8GeIH+aKtk6F7bkzDSMVdjapu53Nb+pSuWLd7pBFgC
+mtb38QuTe0XW1EMK6oFvu2NSlcMXWeyUAEeSZmFuBDfEvUgSVuBzgR9nDtSdHF6DLiv3f40YKCP
m2uHFl6DS4TxiXyJhmbaxnxsqoEU2V7ko9vxcQPjmkMS/47gxipBcCdrvIsWAaiURWhu1IiAFiBA
Kwnc1dYFnciRt+poymx6T2GNiCoxT8Ryw2O+vJZJn8OPJazVsWUK7dbcT8gXCjPAs9FhZJahZck3
u+e6SDCiNpMo2eNHrlrI3yRQcfWwZI3k2NYpfOdfSTIDFgraWfIAb9y5h9iCq/ILtIT8uh96wR95
nEv08wbuj2zqVtxvKLTZDqDTxHbahCW84W8TXlsZnH9k1ZyTT9USpD3g4o14EwFQvRdoPmTX0BEe
10NqtO+hhX9C21B3LK8GVE2LBF5PLay9nPq+jKwtHtg0pahPs0xuZxiQd7C49MG/ZhMfhgMr17gD
5QxB8s6mSNsO5UJ6X2cgTHf1xuMT3m5idpEBkLQI0kVxg/JtSe+LbXEc8+gcT2FEIl9n4ALVee/b
5JOHU87coGgyF9JsW7enzrFwQMtM0WbpHBpAhqXAy1qv6bqDhPmCVmXmouV8yPN5rlH+bxfoDfP0
xIQvPyO/SKqdc7QddkDS2QubUKWh2yZ7uoeH/KTPMWgakFCLaVxe0S8R77NkQ4cmH+3i7zOGdO4K
wzbRWDeTv2gz9Eu8YKTvokwgt3poAReUyCNXvu61tpARUDhTbA+Pz449yaz3X2FcayEQlkTA1vSw
RbDu61s07bK2tcntpkBrvugC6rUDRUm0xgCRJ5z7hRM12nrBg+HtAl9tL+ewIIAs1JfxYaqqcDdV
SxTvlsI78jBQU9LzksQ4bAa22A5G7yN+1K7xAIksFcJdSKIejOK/jyLgRAfZLCEcfkJmkw5vYW4z
esbIugFKnlkK67LGpDMbv9M+HYAnGNQgRNWk5zNa4TKD+PNzYHMe6A6QNxbeqiBfS43k7HboR9ce
/t6uW7K02WcbW3z0EdrPtvl706GHzLujVYUxu0RvE6CG3qc4HTkIDI3Q5Rdc+S7bUU5gLaAcauhE
lXN+PlFYO6BHiBxGZkJ/wjsB0YcDJ30lpu2vsqEwt3ns0fwZBKNfA/HU1FM7fxf9EJ2hzSIuWYeo
64BsnFs94yhPsBXeoUJwZ904vWOKSe22Kcm7Q4586wb1dyEaipY5OwB3sytqBSTL9RZlfj+JNnpB
6QYZ76FPMMgs1lfgmsXNXETTExSb+9N10M1vfoiqy2HlUKZZycRA4OhtgoKoHUEUnofnqJXVOQid
8zVmtgEkjJ0Ud6k30jYrQIyzLsYQVB3WApSxkGHIFlNz+FKcdw2NnDGfysSjtqrwC2j7d4VI8H50
sWIJy1FGZFB1SeYB9YpuE75haqTjCUCvZdnJuFjv+1kRtkOBmN3l8ThfxaXENwBY+mhDtTS6xVT2
WgSBifMSKgTSeCTumQI3U0KsBe+wXG+3yS5XnZ97oITxinBsnvrCiJs1Wd8BBKoX6IDP2X7LWoIu
POIsOXfj3AJxEg92U925Way6wtOj6Vla+xoqDyTN8fa8R2nbyMHOR9lj6zojwaIpuJguNooDzR0z
viYB5RFMpeSJCAk/hUbEDnOMW88GRLOBvdt5HR8QsceTxXyVT7WQejlGVXfynC9GdusraPjAe2dR
BxBLMPEExHCDhBXuhATAxyiuQPfoWAO7APutZAN6TVsBf4wdZtrbL9CHSs/icUre7IjKpaakWL5y
TlA0tBBSf1j8kh8j3gGYGUAa6sF3MKZsACIk+7nL85sNjZ3zSI/lEZHEXo2+h7uupt0FyM3L2QAb
lTe3TqYBlG3Hw8Ikqh5wCeevuBoBt/Vox54B8jJn6M7Cfndj8VBjloomFxzpC8r0URA0sCy+GNrX
vfsOo176I2fuHQQQdY3BF1SzyKaeVlq1r2XUF28EE9B8R7X8aiY/yVqsHESCqEUHuytQtqB4yrBU
XxWXQkhRXUbgItxTCtnmMi4D36nKyx9rZPR7KfRyhwgPMk95QhWzNDff4tgUD5ZBAUb5mAxQ9dyK
KxAx0K1SQzI0aZuUn2SyFl9GtS6fBDxA7hEwx73m3faCkfvs0pQsRrSR7XU59Ns3HW3xi0XGdUi0
Np8gQFWBCGSqeoKW/W6EW417NS0HJ0wWldI3I+C4R6hdAMyQPUrTvdFKurMedMfqdUZS2dXJQARQ
6j6e0PviqlQnC9X1ms1t/tqjqXgzJ5ur6i3NoKVAoLkI74nODu9gdlB4n3qpn0uV4+5HOChPAP0G
2doEZBSwmkxymFDY2yYxFJex8NhE9ZRPAE49FyEAKCP9C6TOXH4w/eYuaTa5Yiejajhqo0vWLKBZ
TA0mFU30aZ1LfWbMmP0YgSdebAzBHT3hNOQAeMA9O7K4iP8vdWeyXDdy7vlXuS+ACkyJoRe9AHAm
HpLiPG0QokgBiSkxT6/Vu97eF+sfVG27JLddUdGbex1lO0oUpcNzEplf/sc0XE0c+ztUKYO9yR6M
3nscfWPpuHgPpZ4FBfGgS5BkwnuhcMjLw1kXmYhKMTv2EY42KSKtG9NuxxCUR8rm4YoM2vn8SMWV
9mmSxqlv3iYZR0mx+CNSbrOJRn/u9xNgDtgCfJjPcVezdxua66OHGkwYpabzh8taKJDaPG47KNHG
dLS7yZVGF6kR/G7ncW52QekYhUGVrm28DZa7zDcDhYNhudh2fRCSUYgzQB8hfqexAThdx3qgJ6Se
5aURzwbUdbyYPQqIwQehZTvPL/3M717kYte3nMjeeGHLSY1BzNQBUVtITq6lresPAGBRHNAl++Yh
n+1B7d3Z4vgoEP4erWwC58jGHl4t9V2EeKuHUXSahKMFnaUztdpx5hi3RWMDN0h/HG/EREoewJMB
oGvl/rmsB+hwkwGPYuBq0o/Ldu9gM5HOeYlroYcyn7OjBSZ2hxCGc9WubfGd4ejaKTOj4T00G/cC
cH+OA9dZuff6td/BcydSK/dc5bPzlCvrXHZebR/0IR7ysEi63D6rcmb9a7o35nApUyuDlDnj1a2T
2ENrNjXXOWeoCMdZ3dpxWuLGBvjbKDGdoWNGi9MDWG5MTKXBhYRevvCwF1zddtxnGNZXxoCvbZX0
90W2ciyvXZtftcbgfCaG2+0XLV0wKDNt7ebM0a7zoqzffCNBtJKlBd8fN4NjwCDVU0kBBl14Qb5U
qIk6OlMwAK/SWQKkhSzSqlLDGEyjBA4T5VTl+1Jfm+aARofIsWEV2qVeZV4TrYPQjAsuPqiNamuQ
TwT+dqjN/Mp7mco2iaSwkYFMqfSeGoveRF40ew9yS78+ZaRdXpi1h0LEL10e39apeJmQFuYT4EZ1
6Vcz7/9i9SIP3SFzL51xu98l+mA/Wn2uXu2iHg/cpLI3W1oM8wbmww+zN5pbr1H5wk+cxvZp0Bzr
RNRcN5106IgcqHXQ32IayLpg+nEJSAtjNi+XPH/KEssj6dKn+30/rpPyjr1HXRkLyMZhP8bxJILJ
iL9bYpJn2On5xPnvnfBB93CBQDRhA95UR2VqreTc+hqhNkx/XZiukH7PqdGuTwM9z/bOcIb1Hokj
SbGpX1rnAmLow7RiRWLsjIZhAukhcKIAyNe3zUIYrWWGyh67Y2sm7T3j9xhoPP4BwebyWMfbhTBV
CbGZJeuCxFp16lINKI7kmlNapx/C6etAB+E/8dBNRlh4CVR+q5d8yD3B6KmM0aF5dXprS5F9tnZp
fx9God1RQ9K+ERTh3ydLvEFbphWZLuxBKChdQfXXVu6Nw+P7GU+zlgY1V5YXgtyqOlQpcqKoklPR
HJp2cV8BnS0Kvjp9CbTt/uXBhfDvymuWL6Ppp2hmVL/30OjBDBfwqcVMtXFoVRapOqZdXSy9nA8c
lrB03Cm9woUviS28NYGjzzc6k8ch89tn8nqSR6h152y2NpsF3o/jWs5Hprfli6015ouoIRAC6qrS
M0LE1doxnLQHZzGrG1ODtA1Y7XlymO15IJC86PbpYoyPc2G4BzdhgIdr3KtSjF+63gTWijvLv4Tu
+FAo4dYgj1OdR9RfyzNyjexIzjfPSAy/iUhEmt6FVLN54vT5TKck+XC0ZjwuqWHtPDZVGAClOZd6
Bh0UYSSRKuxF5hthX/TpHbtkcVV6A6HtNZ2OQVGzOjnr/SoJLHQTe3xNzouSKIWRf2SRVRuMtmQp
hCUXvxCCt70ppax2qTWNV0SDf4qe7xqXXsO9YRVnO9PM4xiD8HOg2bvG0MpPL6O0T7pd88UvOmdl
woMX3RNKMopDmlf9ta267raKY2qoa0O7aLUkKXYdlFOgDW7qBtxCdAFz3OAdL/zV2pOPzHwddwVU
jqeyC1Rf463ZVSjp6vmC8aI/5ovTXhaDqwceLq4vZtkVT2OZosmcoRA4mznoEV/OyyEVMcJBw+w3
7NcnpdcqJGuJ9XmK61Zax7ma/He7kuqu6vSeD9+KCfBt06I/Q8jEWjDJRvd3vZmN34u24eJiMNWw
T/p5GrS1zA+T5izvkPbFl65GunAhHDHedK7GQ5SaK9s92vP2A1CU3jE9hwgzyt56bnvuhHY7GNUh
d935Pc4rsvqQCwieXnqrKBbTuKCwjFdm8tZOdNTJcri34Q+pBLQ6yFwd+SkyR4X6i2vTDut4au86
SnX2TWy+2k1jnElblmFZGf1eNFPm7GdNe4MQdA8mFX4h+f/zOY215ESs3QAHoNU7ZhTO1jbrQXZz
Iz41S8rdwCDc9Ni6lvE4I3QpMCVDH+6cntc8O4bxjOgk7sN+RvlljIjyklk1byIhZoHbeaceljl+
aLuk/1LMjtueplbjwXFze8ge2mosBazfoPfh4GTTjbRHLf6yIMAJyWz1nyq9QKHj6NNh6RLqfOdk
sqGWegy2zZwVd8yD696YLDTsriHa91xU7dchT1oQs2ZEa9bnaNisdbdIrTjQOGQfmDzhlTwf59gM
I7XrylG75gBs3gdDy29SkTRhG4+KK9g6mQTplqU6aKCFp6koppPiknSLPH+P79ZbIzdZincSeuol
5Oj1T0ZannNiPwMDkvCIvIaNYljTo6vAUCaG9SGsnMH7bCd96ULhcmmLeneB1R0dre0Ps+6st+46
DgDmy3JUg9n1N0ubL3uV9m8cx+V95lXoR/OyuClpDB/4aQ9EN/Gge04+fNqTM4mLNetpwktcr5t2
GIW0t7UVzYtX9td1ZiKkBL8NkRLIF5lU+l0LPwGBkZsAaLp89fOuPmrJAF7oavcKTU+QAZWhLuxp
oQbG0Ji2uSerQKPs+3IcVjqjprw6IG5x3rRSGlGekEOH4CGii97JIsTDBJmnRIadwHp6iBxsdUNq
a3ddxknEzCN4FKw7hBjDBaAffgaOqX2rafbVZt2+VNLV0p254ttG7G2hnEdeSZO4KwZ5rbe+8RoP
THZUIbeoFgg3OPtqnMHmoI/d1GKGK5bvRjlP+8Ys5JNZWMPGBMuoh8m7mP20vcqT1bk23eJx1Zj+
q7H6cJWnP4iu4wnqyq4irXQK7Gnunnq7SuWl5lX9U0fF4EVDsOCrV6Hr5mqQK/MmY46Y3yoShwBh
3UEvInipDBNhTk7qhTfJxIC3Km1+RqC+qrkhHRAw1UXzm0YpQtEHF8YVCSr2rjVYNiQIJaTeHFJr
BLhssKqkkd8rGjJkoemP9JsNUTOmdREk6WiftUrnN3Cxd24WeyofOHHbce9U9HgRr68SlPdFAjww
chkpIwM/SH3GmRJjO0wZqgJoyUmSRG/M9SWTiQ+ph2JO7Gbb5dLFZ+oBPqVQZ3/iLvp/IeaCPCgG
St0kNvEXh2Kj7HgyLf8Th+RygQBZF8dltdM8RJ6H8lQNsQLQb5drN9fqlz/QIze/kwt/rEf6J8qB
3FLqIhzSLx0ytn5k7P7RreWMHe6D9auHA+FK+tZwSBYji1ZA10gazXBE+jXcoU5CZpINmv4n9tl/
pjy8LWsQH7q1HVzwlz+zBakrUm12QJJX3UjTXalXLgCiL+XyLS5tMT7U1Hro7Pw+HwFSZP0d147d
7VsXdHM3tQP4DDN/k0ULWXz5KR6InjoPKonNg0jNUotsFBpUSK5EkgcIUy3tz3J+fzW8QQvxurcm
XV/wf78GLWgp2WKLYReocePcOaRtCg6uVZWph+MIOrfrEWwUjEo5nE5aeZAxSWFsVI02T092h87g
QFryTFDwD9Zmc9wUfxKN9SPV7idqiRQIsqIEUw9rjNf58/tsWWy2yAtRZdRtNh5iC3H0GYMEr4uD
+7ZPJ/np5z1cTZZTKfg7i+QjrW/R0yUElKVZQjnf7GIgBD4Uq/8nD8HGyv1EfqGUFjbDuPBohtkq
OH5+hQDbRLw3aML6geQFom62h64zu2w+GDUY1TX7huj2jgSvRwnQLs4pmfGHXPtVOs9F0Cy9we0Y
dXYXFU21ffNssVLiZjaWcykba6JIZ+od70/SFH7Ec/7xveUF86kLniJT6JQk/GLarzOxFn7a5IGJ
Cdc+YuEpvLciaepxpy082F/Lhs87mrTUzq8S00wMOozNNLtOFqpazsK1EnEsijqGxzJTWeyhwLok
mkRnr4FoUzbNbGODQAJSEU79Yj4JETttgNjAqUHBCFnYN8zNc1SWXDWYpRvvgOu9VPyBpfadG1N2
RyIEWKts4ExCgiW1r9irvOl26lLnwZ8tUQQIhGv1J0/Hj4Tgn98czKAE+RFTRoU11Vc/f6wrxETp
QuoEIx9Teq1Jj6sNPTRrHEpmJrWrhLKtq67tuVC1UprLefWdJL8Q6OWWs82l7QvofycPfgVFG1aG
sOsjm2ienXUH+du+xPiqBTC7ZkeRzwB145UJ32rOnpJMSJXuT5HXDpn3tXbKfD2BumQvAPz68vBX
NlPXxAINGknAH4thC3D4ZQmnE+UCdh5nQelN1TZBJ5QKzMWp1Mv6wpGb+0xXDrMEpWy7hZCgP8sJ
+JE1/Y93m1fAm+yQ1oMqnM7Rf2odWVMq06usA09Gjav2TmLYDJGrB6bwO6XD2+zaJz+20xepqX4O
UP9uOyvymm8ipYqbXmByLiITcDYOTTJfgTzwiL1VGc8jt884PmnE6zU7klLtgxjyoo4aLrtI68Wq
lWNQmrG2EzZA5eHfv7s/kq3/+MPBsJMFSV6/QC1OgcQvbliROokeO/0HN5PmCqQF1SCJtrx6EAL/
ilvkEAdbvsRF7ObpVxTUwImuiztmp5Mhae0mv+ohO3TsugvIKI6oLLs38dAscEqGuCfIITs7Q8We
oseiykLYm6qNdH0yrhAYu7iMDWBzD8FaHhHGMdRgeaLblX7d3tnIf/4s6vhH/cAvPzFSBcckJotN
G9nCzw8Pngq3EKr46ImgYWOB9eAOoboNO0OVUIUe0NO4Z42pq2JMZnkQCtyVmZxrTd9Y6fwnHvlf
yH1eBApkghQscmMINrV+jXgubZvsYAOFTj9xnJ/UUGv3aF6xdycD7uRotpzlcWxGAyYXv4ncTQIH
yKXvV1KCNvXdEEwQ1RnOLOF/r1IvI7W31J1r18oJOxnqvPzeSgFVKeqmvBoIyCzudWrCuV9tBCcb
Tf1qYjN4ICAwNYJF10HvfvyqNooasF4fNTdcEsTqUaIhfcVmqLFEVN8kgT4i0Q5Ep3IrEHXJsIis
m3T6CRo7CePVkvJQYoJmRRMKBeLCUJ7yR07YI0p2kf7FrxR/WPGDgTRL20qOlTs0R8uxjT2WCuSv
1FYM8U553GihOWM1Y4UtGhVVbunbp2rJNqpdM/PLpaiNx85fQISF4u4TEBLpFsFY+lcFOlYjrEyj
8HdWXzK+igJvSVDz7mrBYgzQTT+erb8kGHpQJf/829bWf6kp+qkm+r9GL/Q2h/1rodDdZ/2f//u9
kN++/sfHZ/EfaGET9UfV0Pbdv4uGUAY5xNAapNDr/C9b+99EQ4bxG3GOLl0aHhmrhMYToPF/NUNI
hgg0QU9EIwE6GAJ2/q4Z0sRvSIbMLZaLXYynyf8rva2ogn6am7wNtXeJ8CNiGJ7fcX4NDzcpt3ay
tt47zkLZVKKWBMhzsaxLOkzIscUopiPnXbu8YAPkgLiYzbl9wY8noawtUzWhP2ieHa4LaNkmTR8I
Z11FAekxKkdFQ7agyc59Vd4vJWQW01/WqF3eLduNcph8UP9yXnbKRHgXWRi8vlci19s969R+6JD/
YfZM3eEKIUCswlUHDz4OzNLWwbXVMu5sABaTSzdu2mj2k/kJk49fnoaxM5Znz22b5cIAkWujkTw2
B6GlQRQoMvokHCGSMB2hs2b2Wtv4zWauqCN0zQgwsrps62Bd8SwGND8CTs2C2xsTuJBXvraILXRz
QNG/GpiioTO1/B3w3X3TnZHRnYlogacEQ3taZSZfGowKyz6Z/f6axps6BkspjO+q77GdYwUEkvJt
dAUoXHrEH1IVN6kyPLWzalN5G2hlyt1qU0S7Syajx4aF620GfvDqB/i5tuVHgjWKHItkUCwu+Xo/
SenoYVUJwkgmwaQ0tfwwEGQoxzEAyQF+tx7aAxxk/9aRUYFzxdnwZ0bD62pwTBk1HUdyMA+tj0Mc
1Q6WJR2MdPOAkZrvt+2dchJCOjvZ47VpKfRaInd1rUtAZgpwoGOwIg8GEv/ISL1h5vz3W2Pf6i5B
cmbjbDSRR4X23dyOvXO3giHLoxzZZ0/LQFLKaRO0AMfZZp7inFp9PAHGogyOzC1s0qzHygi7GsNi
6LQa1SfjaM4wb47ESC9IwtIOmpB6f5kX/tBfYoKEesL3Vc+4sVvdi2j1qZqLLje1l4YAnOzdWzIT
HoHX0VA94kO6mYaDtr8xaEI/EoLBTbGc7cQLq8Za1a7oG6MPS2rIBrwTqW+GHZZjfzNOL/WuIRIB
LXA5YQ1x4YnQ18M4Gl6wcpxoD0pNjtgnBjEWIdr+Lrto80l7lmXTz/tUusIOWod706WskczdyaHp
hkdRmFkazXW/TK/IvOlHSAs8lw+Flk7ZVc7ofzFP7lieJaTueJ3MADBf2t7vpxNzVufta/QRaBeG
3Ipf+s2p+Z3XramDv1B+EnUsILHvlsWQ3JLwd9yKaaxQpekL3qK0WTZWbJkEsEya9PJkZF6NJxYE
ZIXVXpriWrSl632hIn1deVhmzbqw1kT5kYYczDik/iK+u6KiKMzOZYWjXKCUCvU86yzm97JQ+2Z0
tmZ2MZXpEVJTzw6+VaQq9KAdkAfEo86USUh/eW3OCTtXnBi9+aFwEtaoruKhv/ENCUE5zHOFRxjz
F5ke8eI6ARo9hbuhK/T+pLTeSXd1tX3VtFQuj6TpMzNgHOiy46S3nbo2DXae48xmkZ66jjTJI1Oj
xMDAOoov2pR4j0NF+AVy+E4QqOkOAJggSAa4gSA3yohIySPYAnWetO9tvE/ENEh7FlE3L96T7ee8
HD59vqlyOw8DUDU2UQqI/5qThPu9WWLxfclno46qblHP+rT97SWC4zrSUmIvglmPiRwaUIpjarXj
OmZ/0/nq6ODiZw31OZ+EjbC4idH0721t7r+AJRqwsWvtXqfg4B/wtqrZEs5Qa0xxlragXa78NOBv
r/OF9zUo0J8/p45qv/f6qsdH3CHt92XWxPfMNCosS43KBBVEqOnDMi3Us2d0nslc0qmPWJksn4Lh
CnV/hd48GCASiEZahRTY8ZdXf8KsGKDi0hck6/OMVmFOMnBwsdbLloTheSdzYIpioELqc2o9Lxv2
axXPT5Nup82lQQrIQ40rEm5BYLg4jXAaMD0WxuEI27/1InSRW9oxMRWRuUErDZQ/ZTWoy2HJddIK
KuDm0M5YbEBF5fhIKL31KSfUVpHDWH83AhFhwscYNIVJPOgPaSrEyYlN0eyhHmL/aBtdfAWvZn20
Q4FeaDGcJQtaAwtX0BNct0T4aVEIgof1lwSUgJYSuFJW+7Tz1PUwYccJhFisB5UUrQxHy9y0IiaJ
caFdle1liZlDEbdTLrctHZqEIUsfrNltsKmE1QIsjfDcsqpzExOgBNmnmw8Nfz3ZAmUl0v06LOY5
TtBoIuvwOxkOSU6MgK6V6wP2i+7Wg2h4Zro0UQwZ0jvDgo2YYIxaf4NzX+tdsYzr+/ZXqM0fr+WB
LKE+QtffTPEO4oOHVW/zS0dvvGyPa6l97SmmuppINKtgkeL8ukHe+lz35fRcFZr5oumzT4+VbZY3
g0PzREgWnsFx0wyxuyMtB3bKlHiHjb7JcOBjZ+KM8bDdI8rQ0lObZarRDvai6bB29pjpQGhu47C3
odRJdjVWLTB1h8SOsOEu8mHGldL38+SMt3A53QPAC1IiBiB0Vw7GkRLAfvK+MAT07VHv0pGSjKrh
eKs9xFsICIwYK7I5uNdYUtBTlLNs73ozVu/54BGxkDq4fLBcWk0e+iO5JIDVKkazl7kzhVKGNJ7t
qWq/FdX2UdqtLW8c29HyQ9JTQxaOSs53Lp1v72ayyMdCgmJGlQfwhM5VAgZ5uNmsAxnh6loVFu9s
16QdMe05OEDciPbNk7r/jpKgeDATJc5GOltPyi+GPLLnQn0Id9O2lPB5flCrGXzf5A8m8QJ6GC1Y
K+znhn24ibwqMXmooamOqtVbLRw8s6O2ZDs4NjUbRUA442AFZ4XMVkdwAw6QAWwc6f5oll3v0GFF
Xk4/32uyqM3QQvI1Rthix5vGJGJlh+Mt+RRiSJYLllX6WiXTUJKNpmNHwsycMwguiycj0Tsd9x2y
Yb51aPRQgrSafdNPM1IUN1Fk0vpYVPP9as3Q58aIqSXUoRGyHTgewqaVw+hC1ZpWEalBDEpk6MgC
jaaOERAVfnaj6t4kyaDhkQ317TjFvipqEnycanqVonDOQ2ZaU9D6Goa+zRLqHdqpsetQc1U279GY
om9BBUOrqEAqliPzrYsr4r0RzRq2mu5sbrfFDklEfFMC83U7n5YvO0BE2uEVYVIhNMGQyYumJdb3
Vk9xCXEpncniIMWHpyHRykcGv+kLAmEoRqSty5VfI0im1duS/LbYqkhRShsLRppkdG6stcT8mZZL
okHMTtVXWQxNebIHa0L9VHTeFDTk173h/7efEOoNWqSnWUUGC+8ongCQ9p2fEggWwY/nU4i+y8ed
aczLZ9YPExk4NPMSHi2XOyWK7ptVAIyQ5TGPL4ALHB+Ux5V4G328dtvQzJwqHXPG3F4PmYpcUqRu
qICU3/CeilfDy9A/d8wMdpSzwTJnIyasdzM+IJRghMyYZ8WseUvjQ07iVEmIVzDQZ0B+tdU4t0mX
uq8IRlG+NbqTfuAFdv0Ibn59NNCeP64d7GcUtyJLAz0F+wj0uK0/cukORGGi+BCBPyqCxOYi8SyU
hQORLxLN0FtWukUFq1PZhKQZ0ol3+IXLu2TgWEPwqOMO5HqSX8/kXmf85WkDwe2kmKto4GOgj5PE
/lbPyMiwr6nxpSeDKw6WzKi/TVvrW0DoAH7TlgTadddywBnBStk97uXGQ1C3zDW5ZPA27Gie0LVn
Zfexc9eJLn1v/XJ8W9YpuSESKl9vhQMhG1TrNDkBUWh8orCDA+M6HZu3i9/DABWyqg1Ot9bXQ2Do
mIIJVVmBiVH7ohNorQ44T1uNt3ZthwilaXJrgYyi0klUAUkyTdk3Wc/6Z0ooSBeg/naSqACfvew1
1HoszGlGKLRY01XvOWaxdwjEvs+cRX6TlcGlZImL6Qn6YHiejax5N0eo9SDjdH5SQ2s2oY6r/r5T
RYy1lgqphsyVMX/O1ooLkZaxdMKBQfXWrnzzGt2191rmDg4Iywf6Opg9fQiutWABgEgvkmjVEsDb
sWFwwas1Q3rWVvruK+4MgSYHMmWSBRaTfAW7/0r4j3zXMKm9d53fv5DxBVdbaDTThIMrskujTbgR
8ssV5dR5/cb1phjDypuGL4I0nRc/I52YlAifR+NlwObQcwxwfQtiUaJ/0eySaJvZdx71iqgVnWxy
Kg07KV5W00s0LsAmy36ZEQvvE2qL71oFk4hkSYqrZSrL7+s0z8i7k/XdJdkt3nGj7z6HFIXCnoVV
EiZS4SRpijHr8U9vMFLS2ajFJ9RuL9jK1JtOEsQWF9YbGRhnOnh7z4CPD1qQIabmmeMWhXLlPPam
1U7XfuY6UDl14XsXQ9ljG10mRtFJI76dGGvN+OAeVhfhaiV2RuK0BDQz1Si2DawkjQ+rMYZB6fAL
FQJMrp5AwddzWi0lA0Ovnm0xMK2THOMnu063km8d3rn2QJZv/oWh2DSvB/LxxjAeEBzt4rxX6709
cZsK/AQDHrtPT3KQZS6dGZls21XYypUHN3XquON0c43hzKHq7OJm9dJADsqtMekxKO7wZqv4yl/x
7QVNjiH5jlIYFKyBnFMdN2+fMUvR7KEZY5j0RbGGE5L/eGdhCDGfpZjlTVJ7i4kGhxiW8nfC4y8h
aV/qz+q+bz8/+6uv9a+A2n9BqAwU699hZZfD/Fm+4z37CSH78U2/Q2TOb8TU2eTaswapGyHF/G8Q
mfiNgQdaj/8woensN3+HyIT+G7gsnBCFasjUKV38O0Rm+7/Z0BguRnofShDM/69AZNaP5oA/wOhY
eHkN6MAt0n91QrV/gdEXfCaJNXBoIyvpA2sArepLvMW+KtpvxOf44YwU9JhmpcFmG5OP1GjWLtOp
ykuNMgvHfEUpHqNsQrVtHigt9p7wqr2Tu9iTUzRNEeOQta3sr7J0vtZu/KRa+3Wdy5Bj3d1jHf1u
mc4DURgTkyqHkpHWfWBiSg/76rJPhX/hLsmdq3kfIOwDMZ11c8KY5hIKmLoR2XdOaCIfP1c4mQK0
nO8NpobX3iDLbYbquUddv4R1kg14TXX3qse/HQAIVjRNIaMdS3PYVb1CgF1jUl6qbt17OEGiVJX2
F26g/jF2pvnSb6eOXrmOQL6+OrAbPyJyekvKsb8gr+k2jS12UZ1XGfpibA6ZWPILQJaEGCTXCcvB
eEPOfAuzOR8A7r+56Vxc+D355WWndiQjnDe7SUAcl7cHR38nGMU6oCvrwqpNmn1GLEMwbZI6fd1C
SlQBulSPXUj4E8KmUhCG6HhfYXDNYJzwa2cOPq95LpNz13tvddcmIfy0+a628YuJwRVH7ibtmYS+
julf4feZ3EfEVZy0SO6uMKlrYW1CmGSWiatQY6tfivVUetrlJDuDsbJtrsF+8EN5cHkSS0nkm9Vd
CgIQdKvP8F45THDSvCoE+rRVYaZp0Z8AH3EhEHX7ZC0meZENXcRxg48NleKjlS14/hM6qQh/e3IG
9aCPNBB5NCRHRTo+1XXf73MD0/LUbeF/83BtxpyFbb/Q5SNdoDwEmIHUlqNkREEKjhElNcbnHpVu
ZJvNfWeQELB041VPehFOtErt9LZk9dbLvq6svdheQeYVX8EbuNwal6LpubRzDSdLIL3efJGbvedd
XxJnR6wB716t9rWtvw6OhaLTpB8eKJVRGbUuUGWQJAvmKN94xxGGqLFavzBAP65EW+aK6cecNYYi
8UyWSLxnBsKRJ2hQ7Eezw2gzt7DUFQ57a2gfplo/etamkoztj4TQDZD76Zl8LyozEP6c0o6rWIEH
ZOe3wyuZEw91Osf3YlONSuC9HajNwYMdjRb8KmbnHVEkVzjPa+ekGpdiYH5KY0/YUbUjyKcNunru
Tnpl+Iyq7WtHkwB0IizRQtT2McOMHrb9eKGPw3wce+tE5It3hLQ5YHgjQIX19az37Xvv6Dm9cYSv
ITSi7xJB6R4lK4Eyo/dGVuc3b2weKUg1EQ8mGA9RX+OFqh1CTVf/YAyYV1N3K1Ifi2tuY1grCLAL
VOee88HwUSzV69a8Ul90lbkypzh+lAlFldKcom0y5Bt7AskOHp9rikmPe0n+jMGEcCY7R2HVTfeW
yF6lnHb9WhO5ZI7WAWlvEcVpnQejsRQn9kaT85sSJyU8RjiaGJEjU9i497QeUBA1IZU0Yb9lUQKA
W0dB9tm+qYGdE1e3eNdy+25xoeaYZsjHSLBfDWsBUrWy+wNbI8Kw+hNNFy2PmiN3WYGywSREccfE
dYuU+mxWE7uKhs+s+kr113zXJMUpBkEPtYK0vZgEIGAv3Q0ms7/2k+W9jQl21PrV8TYz5EdKYTtb
Bv+V7qPvZ8OWCszyS2LmuWF9xEX6PsblZTHmPKKQCYHKGmsfx81zMeFAqab0WOFo25WN/r5ilj0U
roNprcjwaWY8nS2EudKG5YxEUETTxJ2FWDIXseicHGPpfuZcAwK9oBbNs8YrmJYPtWgICUn5sJDp
naxEujs3nrzf1TN/aer4/+Hvvs3/4xvmhlaixfyfh091/ZUkmP8Ok4uPmO5fs3yXX//j7nOo5H/+
r+qP5B7n89/YPSF+28r6XIRbSKNIfsPc/3skAF9BjGc4WxC9YyFd+Qe7p5n6b/T1Mp8QQ4nYwnf/
MbtopvEbgjYHCYYNWoJMwfpLw8vP4kCeKIPBymakADgyiWz7RVNieqjlM2YPAOY81a7dKZ9A0ueq
06IR2ay7txYNdY1dllkMiOaPfRBv8b5no7XthIAKnIc7JPHZetCQ92J9Xiu/O2Hz0FBRowYqLiB4
HKxDbufvAUaAJLxmMsjmIqSa1hE6XupNhWTekCVOJ8iQ+kANNlGwHXup235wg/CtsGwG6y4miBoE
heOx5anxO/Jbp6E72skEy82liUw8R31LNOmiQG/Vx18nsf+7jd5bA9S/Xr+Hr+W7/CnNYvv9vw/d
mgHJzJIlWIwqH8v5od38W5qF8xsyGRoF6Ajja4gr/z52810sKvAGlBw/OOt/pFnwJZ2QeyZxHgce
CiH+yspFtfcTM41szd3UcLZNbMbWfuj9otepO4R3VFTemrOcajT+/4e781iOHEu27RehDVpMIUMy
qJJkcgJjKmgEtPr6u5BdfYsZl8K6Zu9NalBWRUQEcBznuO+9dmo+0wnXbhT6Molda2kI/IVedWfd
G4PVEpzZ1ta92Gjjj6XKsRFGopnuiKAGR9bmZv6o4GGbSIxLrS1JtMojxCNZDJRaVF0rThaGmUtW
OEw4x3hXN4IhHGoDPcxmnPvkS9+J9XOzevKCRWZKS7svbOtjIsRAMaMCvZ7TIMFhHyMON+DXenTh
dW0+W4l5Lm32NSMgCJoQnND7M/g8GlSwIrD3FczRCwWvtTyMLXthnFaebiWrUqhZQ5JnXm/0CJkX
h/S0y6bz+ZO8ySp8YCX8CnNtJorhd7SMBmQsOTPwgKYqB/WolM6hmyrMCazZZJVbkzoztp5rzuit
zgGbHtXYo7/O2qF2BHnEK9gNsAg8IZvQzoqdegUMaFFteiiaYWNmw8a6qFYMulAjP33NE2K0QYde
SLeKGs+rbY+9nNJZxWOWdsbkjoVaP44MuVY7dC0ArGEsR5e3SRPJWyo5L11FGVDXQNwzriCkKrTx
SSnBYTWG4rSZDWLOIKLFWkp0QJPBLM3Pq0FvYNgKVlj+oUmxGoE9BHEM/qgBK14zz2MMQIdWBDE2
Cpi+sMWPCPtE0GuryI9Y4ElY7rs5nUXpoUU2iR2vYsZrDwun+g3VDxBym9Noookkh7scd0znG2GR
IcqrYJ94MgKeK9HM2h1HC/SZuch0xS6AmZtee+7k2FGnrGXngNfxr9zR/+p9/a6Y5o+X8f9rBU2W
WObvVzSvzc/Dz/LPovb7//lLbUMvgekXr1RJISNZWmXC/y5qVCeFifmqVqcnAGPm7/exSrnj/UyH
mX8gelzVzX8RelTtX0Teq5JBheT4T+7ef1XTROtPuc3q6BNlqDYYf3jHy8aqE3odb7LwCQYdoD3P
pVg8KMREfFNY5wPP7IoCsCJBHVf92Wx6SWmllZtLCjpcjQ39aEdJOTIIqSl/+DfPm3heKX5KachX
ojoXrdtpKq00QHox84lFuKqIJ5w3GH6hn/VQBmTONpi/1okDp10V3KtdKFG8a1O6Zj3TJRWPrhyU
cZZ8iUxo0F6lgiP2164722K1Cl9kyierhJQPBGWLynFyWHDigqqYJgUKhwEFLsSTwIktx9oCzrIY
mdgpYXaCj4u3vtWUVtrEekgzAzciH71kROdKMCAcqzVhI5MX1ewxw2BIHuvRem4wgJBoo6UJ5Fjg
Ect2yqYIs7kpzj+wYU9gfMJWeknP5+SYht14gO8+HAzpDJq0G3qgPu1ccsrtYBGsQ1nMnl4195Gw
V9irWYHRr7wkEVKF7E1N2T2BKEcMzktuiDa1VRmDSzDE9CQvan2rQCxGLt6L4gSRMRue4A0BBG5N
q3kqIk39aiBOfDCiaXwmcqg+hXoydAxn9ZEjfaPEgl+dz7DbsWJdKfSOkqFvbZqndmgtmwofQFdZ
JtPrM02iqN2f1xghQcHMLMF2FTCnV8LJCJ+K6Roa6z7kdBPOsJ0tpm+FV9YMO9WEYxJoMEt150T2
k3x6MePyRpQO54GeuLk8LmTsbBg7dFdLmrgWmHNZE5xOLgxPVIpviyB/AUDLBL8ALC7VJ42+bT33
R0nrAkCqK73sXgytXSxID3n7M63G6zp6YCT0U63hpkTiEyTUQ8EAGV/rqcdMmAuQ2kFoSIMgOqOq
wC9qn2pAT3aZXtXjHDRqfcPyI7DCbG3FKoMaV6MkI1sydueJE1HUT5x+Zb9A5G6bYRx0WXVYzKIJ
ZCVzkRcfOpEpQ2LciZ25TUOLnWjUyfcWcuA7oAPn76nYbpWJR9Ckn+7GBjwF5vHSfTgYuVuqkjeM
onGXaQxbnaqLmwXKvqZ6HG+FJywcBJ3U/S/A00fdTK9511f7cm3b8Noe71uaK42R+fjYd3E0NFcG
3XWVWFXG2NvOOjTIqUwV938r+mDxXV6ij5b0Is5Xs0pbxnIlZoqj+IiE0JPC+TGHJ4KoY4NzhNfh
9UxEwoKmjqPDAj61u9PZNjB3IfkWlZl45tF+1tXhJly6O8UYfSHFRx7R66sUVyh4C6dXOVojE4YK
r8BTawkMA1RXtRhhdrWfmDrNtXU4/nvYso9oIi6l4NepdsAf4EJndug5bDBq9Z7KZ1GrZnPuznc9
1Kr8O8rpPcE8jFSeZD1dbIvmXRo7YrJPwhz8dO5Y0yaRou+xTkpGFHsgRxjJJu3wNVYRD0SkkMd3
oyXdQ0E9B7FqfRME64Wnbj8UM4uDLoVWy4UrZDejpcJfb+p7g3mHI44Qh9uC1C2zuikmww918I21
PqLQLZ/0rjsQU8I8TkeCOKV+0VXyttPRx5RLoArd5IYIbhAUbZAtoFaSmDHJjh6OPzVcnWdIjLJ8
g/B+dGVlBlscZZgtTS8c88NU1Jv1mYaRGQahluUuT2kBN0zL9qRmTLcTlxlrplLCWVpDR46Yia+U
JXuUdS04D5xoDFkI2qzfouK7KxbEL+3o0+tAdHgik31n5Yt/zgWs6jzJQ4uqPE9IZCCGW1p6GwKN
lthKnZPqSJHn7GXou2xodH9BPiG2T8ogPeNi3Bhlkd6tnRF1tly1UG4qIzmJBUFI4iHKzKAa8vvp
bFwZZaPCDJ7BcTpV3dwZ6XDLIW9LMgwpwddACxcsF7fIJw7Yendl9zKsSHCr7aHeGstxEH7ROPsy
K82tPO6ssfHx5H/pKrTuhJMg/i9lnJoj2umkGqd9tBzYn9mNQF2W0uQEk/mwpOIhJ5BBZSh+HiEx
1DdxRctEFw5asdBwu8rlTaE0B8hzBiRbGo5tWdjqEBkuqCF4KJ3hgTxaMoIILIsp5dDIflpX5LFU
M6UmJ4phSRUfuv2vdtK2qZltEuLa9iXCxJdC0zNXHMyNUdUnXtP4JQVwcdkwfMEPaNlxbSoamoIo
884Zm/d2DKa0CZauOnR4ZDW26bxnl+6UdNqhDb83uXiQoLya5dnvhsLLOF1o6cSsF3RrLAdL1n+r
E+0gzvq1hEMfsIGPVdJHQUA9/rbIW6ZUJ2M6mavBrb0WC9kdxb1qDuhtWhdb0wZZbYjEB6jCi7LA
D7HhZSATytoTqe3AaxvHmMXxJang+s/CNzWtftG/3CN70m1FJSlDV21AAH7ddVTbqfGNApkgLbVI
v8ehLT+CFSApyTgQOgLxozoVzGpBTyrFl77RvpoLUTq1/r02yNsTu2+Mjv0RZvo3iILJTlM5mqBr
IhmDLfGsogKi2R825yd8qqPbJuL1vCDJnRcUe4S7ki8mpiyusytAXMVt7s3KtFGKhSqYvCR680Io
AXe5PS0mHuNu2sCIsCX8h3hl1ZpEkkNkMfqORmtDT5HUEYtRd/LEUY6blMGEqqUbTg+uMD+IYtcK
9Pst7QqUNS9/zpOesJ7qLId36bQpTY3VqdHdXPLNrDwh8Tf3zTJt9VE7Mif4pfGGyyQyKaYaBRnK
N20eN+f1tZphrDRPUvNIV4VjTfVlmeR9dIbZYc7WTRdem5HxOKXZtoYWAI3VnqZvJhosqL7TvhYr
L9Xg4UVxUCvJLrWi+xSkOF3wwSmYEPcIlJw+jmsGMaPXpOIjbabvoJ6oY1jOYQn12FQSgeVz7rYZ
LPUVCeQrVv8jYgDiaOiXW7PfnbvoOq00owYG3LpAIe/1yEyYLw3KFvnrSEuGpnarHSIl3CrGnnl1
QPlwJMyGx5Tvp4tul1lBLw3idQQrloMms2VvSX+cw1zn3Q2NFlmwmhbU3eml0HX603zJGexK5NeZ
xknsWQFZgODoKwJnG5/0rUnDVJmflY5xw0JA1DLcECTvperZKTPgf8hDFtTeU3JVAz4f4kOOOTzB
yyKaGx0+NAmTG5kizzj5wDlx15L/mKTEUGmaY8qmY7TML5LS1wrJk2igY6K8FiRky0PiIT4HVKXz
bj4/6Bza0+TrUj3GaYsYAWnqibk37ynZHnXVX+cvWUYU3dpoIOn7aix6A/891ixuG3blldlOqhC8
eLnepvTU54EvOu8T03hqau1ulMXwUat4J8fphp3JptEkWm/QRHTBi0kgjsLvvdriLSoHv4p+oC10
F/K6UEq7pDA56wt2UmYYFesMDx8cGAZR13lE6TCQTvSFs5G3zud9s7kZ2YrfJOmsuxhbbEJYkHVU
GhviWjlWmfww1D8FNQrm82kQQf90nhWCzlixLqnq59U3c5o8PT4Yw8t09mbLdOFt8YhJARN2pfwZ
asM2K8A5wFsk568V8+iJ3mh0M4/K8rPvMMTk3coKhni75JodnSNPiThGZH2p4xMgeaPNn5RaYqdb
XicgScpa7h4SEGhbTWRcKJOSyF8GD0mvpmTeYRudclcWOpsit8zqzQi8BMc+81ICnBGjvhhtoAmW
naQOAQUwT9fIncZFK4jzh5fWQgoLg9COl3JO4ogBGrEvORgtRvsNeKQzycqPrh/GmzWfD0Ef6hXV
n6Nwpxo/ybN6rpsdozknzBDUEcRuxsdZ0jYJLtkbtKQ4vfaJIP/EDwAUSHDBFnN+YZeDQgS5g8z6
ZWGE4bKRSVI0xNqrm9RbtzIy4651hNnHsj/W6X0y8ftrxTaevo35tMlT5YhAFzKIFZBQEwzNz0gs
PS1RXD38HsbjqWNyFCmjkxJpnfa5g6RrHxmocRrABHHpS8Nta2yK4pbPClhu1cHGTBF5ifS5cSNb
yPx68HVyeUyZNvWmQfcVfd3wS1nlNPIMlEI/QiA5mNTBK0gNgaZwthybaykla7BI19FF6uWxorit
JNygXnqRegF51Ki4WiNlsq0MCXARhRmZBctxCYU7tMCQ77SDMWnPJEMUCO2RXaPS2yKQ6ogdEE4A
39nJiLYhpU+5cZsTPprHyDEzzTUEobZFLW9eFPSctWFelxE65Gwnpc01yDvEpHgSRBuabbkr8wZu
Z3lUcG4gWo8cdLo+/+GvBVutMDONVQCMId2NM5H8sQeG3S6u/kRBJoNN/BgtgqNMhVfXahsMIFzt
RDbo5vXjc2xSqnH8bRZ2fgUH4Eh8ybKU1a0Q/t7Ieg/Bhe2MUt7LLOCCo8UMfNMdcc2BYBt2OaNv
FFHWQW5YWoSWbRKN9relkUKEUOeumNOw9nRIILxWFzSvE8DLgild1YgqcBDALecqbHYEmHd76Gfk
JSJO/ilYK79XEg5ZVn/HqhYosqBx66fAGiGF6mYMF6SO9ilSaVtVBRMpQEbtMOsJXAMRhU1eBkPv
S/q40tCVvbaIW7W33Kw1j73aPJbzvCmQts8YZkF3xxEvL8GRrfaliCBW17LgVvMke2M6QJF0FHxE
7NmXLYyo4bZWUp3cMZcmL/Eym7wq3LLRg9k8dCHBXYYOk45tJ0HC+japbqo26ONKRx98Rn+x1ef+
15Js13uHJNys+CMpPHwWUpOucO5Inx6AhIYk1ORm+zWBdT8yywu7X2iYQ3kzI2sDK2OJTehbWCjR
AGdLb8JLqERSVaZeYDe1WPxPM4N8tsfSrJ6IWeKYlMtdwW9QSmDdVfzIV6Uqig3FQpqO3ayzkGGQ
tbuKvFPZKdiOPpHYxZwv0qZQDPSzvkLv67o6DcUEu5EcPekQljXvl46Fm0DHkioB2cNsXDNKYceP
f0BkGtl38nMqGZG+bTvFajgZ0HgNQswkiKSVVLphL8Txdl4GTpQZlq0nOOr8PTNCZpjpldX8A8nS
/6fNSOVDYdP9SzK+/DEZRKT0n/mKJMv/IjhA1AyI4X9MBjEg/8uS9XX2wn+viKt66i/fn6wz/COv
WZTxgkOEkBm8/IcVLtLZ1CxdVJAPcM6w1P+qE8mY5hUugSmjakBJ4CJ/9h+HSDLR3dMKglFymg7m
dbGRCUi19X33RfBftWbfgIPwPd68xjqTfAUFgf61Eu0j6aDf9Ffxg0074uvHf1n6s43698dfL/nq
TxtWlggCpfqgHIzb8DA8ng9nX/wW/VI/S0/+TUv/W/X19yXoE7++xDhqRrfIrXjA35NdgxkKPSMi
dC7tm8brkFCC77SaiYmAsJnltt32wEiB6IiTj0+G5ZvWalD0k8FZjKQyDO7sNLTWgPGdJVCGFRN0
egGjpW5Ajsc14QFDlfsdyhBvXCEEi4z8uR8lopKtVAwsMR5dg/6Th7bRtPsG3Tjb/ziQGt3EaZNr
PurX6LskdudfyBB0pK64vcu6p1+SkK8xiAUlauY4O6fUFzoWFXg2oziWcblmq93iUdl01lB54D90
dg49MgYQoXY2CPUWTZ7lRRPgJJh/3zsA2Yik4d3cyUnN5hVK5F3UKGqALfFsQ8mpf4rnvvXCVC2C
goRkR7Tk81Odmsq+bZoqkFfpjEZQ2BXEMsqeASgKA95LNo1CAIg2cYeulY5DrJf3c0MkDkLecZ9b
TXUgShA4GPovGk3EKoUpcoquKMzvRtafXU3NQW+C2nXGGEBXJhplAOyj3stxOBJ3PM62hVDfAUkq
cYBtcLSEkrLF0ve1kJLhmMqC6VHN//JGM2WJfp7fWAXrAOPNZXDR6k+FfgibqSaiUDqAZEoM9uab
GBQlLjxXMPa6fjMmW9Miq+uv+dC71/xz6v/3s3sxMmXXrsVnIVcOMBdwKq0WFvThqdP0wOJ0mf5/
2E9gRWKp/cTa/94VGZ28Xi29ejZ6VE7SgS+40V2Rnn4gu2yLP17w8nsL/kK/YMxGVNMkkA7Aydid
6ce096brgq8j9DtrcNPbuNyrNk6l0q4HmywSIDnJrhTsZbj95DOsN+ytirDW0ldFh4lRrREjvhxI
+fDoyd/DSvWW1iKSIz0iuPTKwroi5A7pDvIF6HRfNVVKCRVazruGfdpSBMSV8EIHWxnaRObQDef0
thjnr6NQ7deDzcef9E8q09+3/0KoanSkf6moMw851NZiuBnpEKouSGlarXvtRy9vPr6O/M5b5DeW
6dUvopNfqMcyLTxYQE1zz/aILobMHuXJYNau+7SW7Mz0oNMYO5w1CbvBs11/MYTrrt80xV2VXX/8
Sd55/KT137/6IG3H8WqZhfmgBujm+tEtlYNefcMj5Vnj9uNrrFqet+7/b/TQq4uglLBwTWfzQbE7
N9ufBl84zE7qalfZcdjilrU5bmzR7jmjJ3qIaWw66c5V7VqBdVP7d8xutrN3RyPwapd7nKr2n71p
pXWZvfFo/h/+lghXPW35aBJubtGzLFvSj0VfIv13z78UHFC6U447WMq0Zuz628e/yAVg5H8ftN8f
59UvMs3nkjl5uhw4aDGEqGHfTpZ3Lui6t1fnLxwFlj1DktMnl5Pf+ZYXRaDthQL0BxpGM4g2ZDHZ
k43Fjjqj7CL/s9/yvVIjXdRr4P45Rziuogdh0D+U2+aAvtSpNuGd9aXcDDu8007oxUfyVLep88l3
W7cVb93B9Tu/+inhGCA417vlAKmB3vJLkp6QoTamP7IniK84n9C7IleDFLoGJ1zm9ppNA1iVP3m6
rfceoYvqphv4gCA3LgeyTx3gWQ8mPBVFoW+EPcZc1c3GdrD2zfm5jSBrwwAr4UXlmhHUWOldqH1e
wn3RgAKn3UvegDruNMMrsn1WfrUUjtvW7IvTcqjm54W4Kra+LhoiPwaupwydV7dbs98K6aE935oc
jQ0aVPm+XrA1n3dC9dCKtz1GuFK5SbRH7Fl2tOD7pWNr3hBdiXp19LIEtr0c3UpkJ41wsmnjYzsy
5hyR7DZcnkAdoP/YQzW+Ts8R5FvCF5AS0zTylDpAkuqiGbaV+DpSu+3Ujm5SGkxytlF77Ep9M2l0
HcdbtjvjdBw5kFahSHBxwo2C7KLpd/okPQInfp4G3uTtuEBd0a5IgP0eS/2xRjD78bPyXtld3RB/
PCtmQrdzoeyaQbLX6IQf8720yfZ94pTXhPp5gPi+i4fpi/7YHcc7+dB+UvDfqzOXaKqknweg2Vw5
Eq5lEhTp0BGR12zD3NMfznLktPiHit36S831UVSeJ/nm4y+tvVPif+/TXy0QyegssysaBMx5f1wU
9EeiyiiIl1ofj0FjDteYjUBpMq0bHsoKiT3UYAKVHc0M1P4+auun1rpdpn3ZtM8xMOs0WbzJuNe0
s92jzBUlvANYgBdIym0f1KJHowjjJA8kaWuTOgQVht6+IbF4xIRLouYZ0AI1d5fSFwSV5Eh54hnZ
1RJBdd9FuADC7GszHUT9FPZAZu9i/ODFeTOrNG/i/tDLbFhlBnjZJ699pKFv1RAEMH8+Fzqu+SEG
WoYQ3yWdZnyaARAX/hwwrq4chcG2PXmTZtd35uBYX1/4iOap+SLj2nXo8g0PAL+uGDqJjUN4+3RQ
DYdE9ii7//gWrqfXN2qcZl5UVhKlADVKgnSY+iD257l3Cm9o/dRwNQIbcAY4tWDrd4v5JQsYSGnT
IyWecTjpgY68AR+rHOr25qyfCE3Wr8rPSt97T/XvU+arR0s0yeoYOmovASxOLQ0BDTXilt2RRmNb
HKXia5dteMIAo+zMprINjWhV0iyEv1xf7+7X36m94rqRe/UBwrFImjanNrY6XIcJBflBQXjyyc/+
zqtFvNgcZexbqtaq5QPjcvF5SuNl05yJ1CM5OARNY4HjHULNP0vENDXpJO+Avkq7XMosvi3dpERl
WIBFgYi8JUt8KdSNTRv24J5ViycF6SD6AgL0WvyzPtS93hs7qb2VFXNi6Q159z0bxnj85Ou8920u
jv4LMbBmF/FbsdGbh43JZiNeSAWfvn/8c/3eM73xJhYvDv6TmZP40VBo5h0OSB/RlSc4gtNQVyXv
l/AD/Mmu/Oy1vy7Nty528dqfkwq0HvrCQwyIWAqf0aZ5YnHDmTUkFnS8LS3NZtKDQ0Bt9uf01Cj/
8Ge8eN0nUAYRx7JjrMuAdnku9FgSTs302RlEWb/BW9/s4hBijeg9InJ4DjTJn0XP/Pq93Y7uVrL1
Bx+rKuudoGDqkbkp7WvRbhzZ/Q6QPTDc/lv2jd3Oj4/v5wX37z+bVHiCfy4ufag6SwyNmSntUR2/
z2dfOm9q20iei4f2Zkh8PTD2qP9szO2BsEMTm9ynR0FEihSQ+Q4IX/pVfEUB1hJguev3n3yst+88
3Nc/P9YAQlgAVDAf0lWRmz5n5kOHMmVBV/wryxpnBH+MgEZBFRVo1Y40viQOZJRsRNEJ4badXK0l
UsWbjSPRSYX22Sb77ZO2tvopX9eiOhKVFMjlfMBAlzjCS+8PHtOgR53d7j/86hcrTLb0ZSkGnYf+
0HrdYbxtj3XAhq3cp265sY76U32dbkqPYZwtB6R1uyQL+dInZ0X57b4keah/fkMarzAdZyrInD9a
6Mdwc50zYnlVBwS+jh6jFHiXuwoGPMN04+p7vknDh2VywcOSbAYRtibR4atlaG5DJPU3ov34Lv3m
419Hee/BWP/9q5eBpi9xMZnafGBm5WnCsTt1GgK9ed+0gK2+5CZdK09pDCcekJPsokBvPI2kkYo0
pyuFnPOYuAd/Kh/KM0KtHe4JAYN/XorbfDi22m4sMifprtvyKm4Y9GDn/OSDv73iccL8+cFLo7QE
FPzzofEn1/RSh9LlQqh3DRtlhju4ra07gh26nV040RaI8FZ3g2ybOItT7ThT2egDg48/zLs3+aKw
DlKrzWBH2S4m8b7Rp8CAFLBsBeMmIcRmBAulXDVY38ox9So4+nPD3iKx047dUIysHpV3lD4vPW+X
GcEbXpU4xMCicxIb3EW5GbG6iwODy48/7+8mwv8tl3C0//zxMjgixtisy469h8NRSaK9AL/gW32V
EtAM/8ilFVteicYXuJc1QsHp32mv724+VjfHG5Va+61VfvXAFVVei/3CtuxcuP1GbrhLyw6VHdIH
K3bN7ZkGqm054UP7mF2pG/yKlt3bJbAH8cQAn6Hf4qdP0j7qvOlu9vS74qb4FV7pwnWVPiLy9cxP
nrB3NmqaeVHKC7RsZki0IAcfxV3caGP4CS0AZcdnPmG828We5n58Q+T1qX3jhmAe/2MZMtg00xL3
/yG56rbqTnPz++pg7gq2AoJT3CNbDFTb2EXX2Rb3qCPsLdf45Nrr13nr0hcleBCqnKAkLq3vtAMd
FHfy0s1yND6BKr/TttHMi/qb1CHIspq/b0l2dz/dGZvhUfip0zQ6ZgLdqY9/wXfv1kWdTZhjGcQI
SWt3CH9zYbhj89DawnHa9Isnbw3D7fbsRdnq694n13yneF6ahaQR7moic814CER0jtONzOq903CT
9Iif1FMC0HKPKGxNTcq+fXLVd1aQebF4iz4UBUXFAT3u5ppehOy3C6qn6GnsPQWp+Vn53g/XCQkO
Z32f9yYq/+t+CzBvLPzzJxuKddT45lNzseGKlaxcGfgs42mj1wFAw3OI18ZndFS5FQZuTrvgon/J
16JPABQJjEnk9jBlAiTPzTEdfGv4JcrXpLLqhBhaNyYOmmJXVT6qc7SrK/cc9iGyIhRsXz/55d7Z
bRgXK7oToMHI6ypTTuGXyu1fpM38FYt9eZV+8ki8s5iMi3UsjyIMS4srmDeSez/Z6gny7qcl6Z1u
IWnjf5YJA+J+1KxrNd2i2Z8O530eTP6wRfZyTEDV+Z1N0446sZ2vJS+fnOKTh26lYrx1vy8hyoAJ
RrCNXBm3dnSVPCh+fVu57a4M5g15hdvFL17ya2mv292DcNSvz0HyhUSNB2tHvu4VT7+LROhI+257
vvu0Qr+z/oyLNd9BlrAWkDkH645wR4PWypXu0KSlQD+J7nlLuTx9tlN6ZwqsGeuHePXiAqF/FmG/
SQeMGIBddce6rR4UMjm89Jh8Uovfa1oYF7saU1IFHUmZdBhcoDE7yyceM0Br45euGSyu7oJaup23
3Z705kPnxMcuEPfa9Rw851715R8uk4vdDPlk+gDRkGXiZxvR+2kEg2cFwvazt9172w/jooKhQuxz
dFrSofNRbvG92kB3zXuwuDYYACdmFyf4P+JP1uTvucwbbzjjolZFcAkzXICU6fBbZfpLe6QVgYrb
lckjhhQau/muE+7iAI4CmpX4KCyB9ckdfeeAr+kXNScmsxoIHBePHs4v4+2yHX9NB2Oj34nfz/eI
fX0i5e7ynx/fuosEg/89fv5mob96SKMQS0ijcjXZMQN9d3+7OFDo7FuVfyyu5J8yRz9FjmnLbuG2
3kPkho75ye/8zitBvyhOKTkZi4WI7JDZ2EgcKoH32dtdebsPo62+9teLr5tbUH/rI9n5DT3XABYM
R3h8SV6zLbziFvaHE/mth7hho/gATbyUJXNNHPCL7J79kM0jAuo9IzKOX674yc1V3in3uvbnx1KV
ZOnSfy9X0Sv96dA/DPawg6l2qLbJBmGXpwZ9bmde+wCH155+nQ/hqfeLw+R1wYaT9FZ2ifnyZ94S
4ybeRr6x/eRRWFfrG0+9flGvljxrMnVdZI0fbYZD7/UBVi8vC0TmhaFrHZur5Fp9apz8GAd6YDqJ
//GVLxBGfz+EF0WsAvZopg2dYdG66tF44s0zgeM5iCEmwS4TjkDHCvdQ74Mu1E9WcxTO1yN0C9oN
D/J4F1keA3UjssuHvvJlQkkhFWM99ozaHwXBbTM/KXw1/VqDxGtd5JCKdo2a07Q2U7sB7FfryCCZ
i//sQ9kxMnQtDxoKy/466hCFnKLbc+2ZCmRF++NvfJEM9Pc3vqiYSoEGYiBM8wAX389PdSD5DIi8
/kvkPdJtCqZA9UVf2rX7z1b6Ox0vTb+ooauawshELgkDd4tIOXiQuM+9R9S1E/MSjH3kAvZPiWkw
yB/PtKsAeo37ZfKqAH71NrbvPvny7+xH9YvyWtVJep7Xnbd0Wg6jpweqU51qR3InW962buSMW+Om
vq6O6SchNu/VVGj0f1SDTJhAIa9XrKIFttMpFXaLfa2EQdwiwXGj9kXiyYNu6hDHraLS+WS9ryT8
t9bU73HRq/IqKhXpaOt9RnXkFVfZ7uxstRtPdnPv7rOF+15LRruoo3GfLDoqTGp4IDBAOgKC0r7n
/b6LvYU7LLGQroWrYTulSMqRqNvLZrgdHMKuEtGWH6Rtln9Vzu5qK7oOmSn4mLXG6MocrxGhE1D6
z27779X/6rcwyGFKJGLHD8t34Wm5Z7BFN6P5wWTlZUCOcEJTiwB93ip32Lm+1Y//8LIXJZe8qKpr
1nvfuMXt/GtxK4pavJZ6yUGjxmsNZiOSnOazh239w2/UUe2ijqYFpsw1UeGw8Nb+GSp3fX2DZ4Oq
fgOQnLVF29zuGlcl5+3+ky/53jUvKqgMMDXNFX7b+cY6MV8ryC/9MXQO7ipoTKAOnhsqYmbczvox
ST5pxr530YsiNsJWCqdWQ1U1PUvag4X2Pk/nzx6XtS699TNe1KtOSDOjGfgZcZxgoZCP0W3lZ0f1
TsSZ4kgPH/9y79Qi7aIWTRNOND3XWaAzHBh1ghhdx+JT1YmtY5lRgFSdN8mUfnK59/Zb6kUlCg3g
rCKp1of6wcCIdNVfhQ/1MT1hHUYZdN9s2sOygx5uJ7/ajbypdrLP6MXtvsTs2z/+yu9VQ/XizKkk
6QLClYdl/KW54ZGDofKUXkNQXwLIddUvZVfdNlfxjX77Dy94UaCsCURxYnHB6Mr6boX3PfxTjlzg
tCxb+yk/yndJ78apo/+IwsqVvn582fd6ZGtyyes9YAzSeMHIJB1Ow935tlt/4/ZLfhrdYrv8snbR
HYYBHqw9OR+LrXMyrU/Vl/Pm46u/szjU9d+/qnYA59Q+zFV0lWLsjMNtXD/02JE+/uPvnevVixpT
j1bdTYjzUQHJu26beGcHddPaGqV5Hb+8vIibxVu8dY9YuR9fU32nGXIJhchLoG7DxDfitzzE6UFF
JxraBWf7aC9fF8+1atNsdMaT+Bg+GrsO4nv1kGy123HcDCWmcMSOBAvwIZPj9EvBkm9XO/NbBWPs
UQcUuY9vik8e8fd+/IvKdE4h/s4GHxUBipfdJ5+8S9ZF+kZJ+i29e3VPhb63rL7lz+raU/g/nH3Z
buM8E+UTCdC+3GqXvDuOE+dGSNJp7Tu1UE8/x8YMkNYfRYPvtpE2JYossqrOUtmZ8jaSc3hjAxMa
vBx1fp/opZbg4wN8GyYEF5oZHpHvMz7ze84TbF7SEy8BftQqLgKvyxdpBw14PXyWTWhV3Otn0R7A
UiQJu9KGn4ifrJTfl1LvRybz7WEmDYZ+dYuVRi1AZ7G+wJg3MltyAl02vwSjPUQWmLkru2YBPCQ9
ugDfhmNo3KpjheEUHXwmJB6THdkywPmyeax0wegtXGJM2e9NTMUuXFnbS1eoR9Xy27CgR4qMQvFl
O/+eaPA6z7ow80rhPaHHG+3cbzqH2/A3/sLs4iP8Nk/NZ7uJ3kDn93hUAGRbkmz2lfj5rjmMVrAR
w5Wtfo+RP6y5R4L77cnEtpfh5kFwDJLXTEWODNgPD7hdwrLo8EQrozxy7p+GmYWrTmukMGE50FFl
QOSitDfgnriD/rmVKp8BhE2URN2xowc1Z4MwtQVZK10lqI2Ut6Z/Ijxj8YBYgiULo2KXjbFYASAm
6YeSVyD+Q8wiIwZH9hA0JclzhS5OrLYnBmAmAc4QU/QhsnYuhUaB9A/+InC8pZLNSYObqNBMuvWp
NRSqF7D8O5j3IOiCBOAm4VVTdBkgXkAPR/rWwHSa8wOZvRYDLFxS0C67vtI13ofhtZNkL2l9SEH7
Eljk96BZMmKPMjNEbn7ftg8E5k9TOIvJlRyxXAc10y33CUp5BfOTjxCmM0/E5zsn/2QDYxqsciUU
Le7L2Y0v7zKOFZkJ11rmY2xMEOVghA3ZW/T8stYai6M8uu0uAz0MNeva68BBB6AqA14g4Vfy9vs5
+tMLz6IsSyA+WwZ4BLDtjTHFmWDDWsoldbEywFKaLMzugONQ5llLMaWQaTCplboJboDE7T8YS/Q+
k/M9K80cfsNcgPVb+YwLZ4cwuxGK+RA1RdjhVutQq92PG26TPIV+ZHK+bBMHXBG6KdZC/cIld050
yqIMpiUK2BcDTy8SBYU9HC90ikGYlkxoe6IAAeGZSHQ4tYJ5mQDDgVjnhD9UnSBfJrjVcOeVpyZp
3kSAQyFx6JWgr/w+FZCP+vEDP4rO32JPDk8esaMCCnS4XOyEm+IKT/0hAQ7OFPI3udyCtNoaQbQt
Aa2XrO4JkFzOzhljeoZSE2BZcNXOVxb8fRf9sNh4Bf/+7VnqgiQpZGvQKKHvjXrp4Onx+1suHOqP
m/q3H4bwHSwyggo3csi1cX4D9B5XXHvJa7VnKS6hb2P9PtBCqvGY5W8D5QkKbGTEG7TASEcRqw8C
YyXKhtDMyaJdO/79fZylQDRX05wIIydBiUWFLsehfK/94Tk8KVb2rr5O1/4tXfki/H2f//RJZiEI
COy2ziXMnOi0+2abeZDfMVUTsro4pmXgKZBSQAREZzfVc+aiuvCydl4vNW8fj/RtLnu0EnPIiyMw
HAURfkz6vZoavinnwh19/lN4V6EQKq7j35e+3SwQcbBqSqT7qw4Gc0CKaE3m6EZ2hpIV1Kad2Lwp
BoS5rbW+ztJ4syCkdTGsDCjGE1Cs0/QLfBO2a2ylpcbUI9p+mzxRZTo4H+LHCVAKdA+SsJ64Iygf
az2M+578YWHM+S4RlCNB5cICzLI3YfgjnWpvgA57v1J3WLokPs7Eby8QQ+1tCO8hurdLf3SbQ+7X
fmLC0Gnfb/oNRBzM4aC6IDf5EG4aNqD7/761HofAT292Pwq/jSz17QDnBUREfJVXiEaxkF+DOICT
SjqUFabKhfjGva/qwjVEQqEns9pKD28hVPE6i24EC7TImqAFSjMTPs+KGR+E4+/PtpTWP/bKt2dT
BkgIBQNmvQbY25YN3Jf+wM2cOYP2tdFOvNnveic3G7JyaV66gjyKnt8GrJuqUWuORUJ4nbYQSTEh
h5LZym5ygifgtKFfimRvT5z4lq9dCBZy0EfI+zYkxUUdPvMYsraCU+rev3YMgA0ID/8xqD14kt9G
qFN+TAMeI2QeKnbDiXi5L7wAE2KmWzBr3cqlZmNIfvZeILlmHeWyVsdd3JezIKPEyjDU9/uUJFha
eSmdEMp00JzYjIkfbaKVjG7hIH2M/u0FWYgeMVqNqkg6QrG0gvzCsJK8LVUI5kDxBIp8JImRRcGV
KbmFk5GeBc5oDoFwy6Gd1+kwVup6C945EkEF9CkUzxp3whVfee6HC+9C4SrbdwfQE6EKkZw4+E6I
Vvi3/Yog/5eYcWADb+9DwaN1pRE8gKeVnbOwquYQdDEMIJRzj7aQOEEVJXQSm/cA+HTU838cYXZ7
yROhqmp4u6Ma9BnkpijAzmao9QJySBB/bDugMK7rnN6F+DvHiGf1kKVqOeA7gABqwfDqgBzoTLzC
Tr3pFF2DJ7IHmrB6L1f25cJxxc6yRyr1KZXZ5F4kqH2u0CVI2erj12oBceGaPCf2iEwP/1qcKuDq
Y0m9ROjPVjvWRFDT/6x8oaU5m11mkiAWC5FBZO85s8JWT6y2z/VMdgoknBVKbBA8eVIhQQnVOFgC
iMeGpugvus3Ktlwa/37J+r4t+1Rkay5EEweqR3+zp96H8HG/1pO4n08/nFvsLLRwIUujqmbYLVQx
D8F770FfPTvKz8M59IdB5xxoBIL8mkyG/PH7hC5cq9nZDSaQwxGywxix7+ByAvNKtLlLD6Jg5XEN
pP5zegL/nX+nLIGqQMRUmDLkux/ZJhJXTvmfJ0ucY99VCj++oMHvBsMEZdZW75k9hMzgnfD71Cyc
1JAO//fBK1artAo2jHA3Q/20uKinEGWPrXaCldSW8xmnsPIDcwnWoI4/h3xRu7/ot7XVdvBlpql2
ly0sYep6qoXaHGSLyPsY/oiBOaEPDiMYaV9eIulSdKff3/PnJS3OkewcP/WwQsU8Ahb0jA2zq1cT
5wWQKByW/n0lSJ7y+RhgCsM9vcIh8SqgrydQY3pPD2v578IFB4aA/w6SNRoH900o3kSeaIEYvlFe
Ry/1+UqXa9Rdof8YbeoDzk81hJ3nyur7OZZCBfrfQaHiMUG1F7MGWbxaL585J3O7DygY/7ePMosE
NOiTkR1wv1E01KZYyQBhQ/zolJWff9zE/jfSQJPo38dvmb4d5ZTeO5G00Tk4IgwGfOoAQIZi6Dmw
68zuOLMjK5X+hQ47lLP/Ha+UprpOIWGyVZgd9yHtBjDXoXDpRacgRysb5cMtMH0roy1EnDnqmpJC
6dkW59A9/QMWa+XitLBR1Fk8UNmxbTgmQHSWW53QK8T/dekKLUBNWwFVPypmP3yWOai6zPtGG1IF
x4tfAeghgeQU++RSHJUNwCc+BOHM6gA7Jxl62QYLuoNsx2YEZBag3Vd101qdrnhrwK9HbeWnp5nd
F9CeUQctuZfbAcAqbNbnnRQVveBSbbotehkGtSKb+NFedge3cxkT9z9TBORIuv2+CxZC/JyLCutR
6IYPyCAbepTBtojRooMtAPbE77+/sInnXNJqSNq4hqTuFu5FW2YPARWdOQbn3398QbNFnMPI4cwA
9e0Kvz5lb/E2IpsxcJS3vr4GvBmhPA6MC8zT1/pRC8UWcY4fp4zMwFl2vEtV6uxkqackqaBP7k2Q
P5XMGNfLVDVZkGiM7BqttTiXAok6CyQwPmfT9t5urIePd6GxB97uZRsqlZXJg/Dpds1L8Ib0/vc5
XcCnw7Dv3zgi80TKKshrbxPVmzRP4v/yhREXlggZXclgywkcJdzMSnhf1BBxEX1+ctnUqyAzC+Pd
zGcAHczNtNnGQBPDxxt1d78cIkOApmICGWDerEFi7GA8HDFb8LMSchOF9xwlZkDy6+r199eY2ZL8
P2CZOMeTE0YJhFLBt0q2E7CPo6aXZ8WGDJHZbAZ71KsLmqIo0MnH8W94G9/jA7TBwXs4/j7+QsUe
MJd/p3EMRyUJIQu1HW322l27fegLe7QqTckqt4mPwvGnDEBZcWbN7L9dbmFi9O+YcqvBffFeDroD
2qRN6St2eqo2MVqUxGBu7IaciBNYv7/hAqpAnGPIYd6tqVWPM4Czr72NlGRHLjD0Osc76WPcBl65
jdzSA9wQvR8nNJL9/wfD6L72f4ibc0i51kKpVIxxIQHTyOV6rCdvKjwFquulAVsTqMhyNf1PCYk4
R5ZzQcFrXIZLYyQYY2z1T0F2G7Ur//L7PC6ceQr/70er7v7pbYuFEgwm2mRUg6rHGdwxutY4XTpk
5qBxqC9BIQ16tVvOFJ8nj39m4QTjBEfh5X7JRiEMCHUK9Dg4Y9gXfnL/WM5bgQyoWwkqC/fuOY6c
keQaZreluOVhKq7zRbgr237lRF8otkAm798JzOE0IUoSXk8tIz2pvOLC8jZSO9ETNJNodq8+B/VR
rq9DAZ9hg6ms+gzRzKJ+KeurOkGrJH9VE29U/C6o0ZqU4PEAIwS/R9kGSaG07SGeK3qjM2h6yLjQ
B+6UfFM18M2FdH6/ssoWDso5/ryUixhpHK6L04GEzwI5U2iTxLYAfZRk5Sss5QpznLlcMYPAxTG3
Za/RRXAJankjsns92+F6Y/y+nJdyhTngvGzlTmmhab2NOuUEr41PLnrm0a6X3BxCvfSvqEGjfYgs
9GVubZyfOwniU8yxhae0LJWHSlu7HTxgnz8EiTnGvIMmeETuFUw23UgUVCoW5gaXujvX9CAHvM5E
o6G8iAceDK84gQiZ01Bo+O/lyhEAYIgggzW1ZpHdhWoIdiYgpKybHHLxq0oyG1J9EKqGw0cIKUFN
tfKS1SOA1pgXKPUmogPfZr0jJiwcZOj6wiSK/2LBxeQgOy9mu0RB+W+AI4DoF/GuqUfooJtgO1g8
yJoq2bLi2+/f474LfpqEWX6YwbhUqip0jlmjeZL9r94v/N5JnN9/fWFjy7PEkIqwauCCBnFY+mTJ
LQhXNvXCtVSeBUUoCYZ1HuLTTfkB/YTyLp1P9XBVomrh/JhjwCc54aVCRNY8JJ4UmPlz7ws+ZyHx
GHE//X1uli5uc3h3N2YJo/SodfY2tDv0VK88zs29xA5sFB21Y7ay5RaSsTmoWy7FDgZYKSZLAEkl
uylwFO877/e3WGhuinPktlaGLQTMUYyHiBN34DodzQ0R16jcbTygkjboAlhY8Y1bXIFb9sm1cdLL
KupqISzOId282pBILCNUcCEIbeAWJ16LjbqNwUe/91fgx+NMVmQBVqzdlNvvr7xUlpoDtMsU0tsq
1K/R+ujtwIFy9Bba3pvcUk3JUW1IyqifdKv8x3UCI75/qlKUsigOFdiigw/zCD/dAVIkHpkzzBIM
2AUc6fn391rYrHM8dtSUfZKrWPQijJ0FQKYS6fL7Ly8FfWkWB0YCcWM1RNDnum6XCi0KwhHwL8EB
ttI2K42W0MJpNniGh6VVT+iEB5AXZ8AsudvplWRbiYIl9n9XnuY+6g8xT5pFjwCaq9KUIC0k5mC1
526X774IJpM3VbffRSvX7aWlOSsgpVFdlS2PzwaZ9C3L90YLtf2+njb5mJqNmHtFO65swqVEd47O
HuAWekcZ3Bn1og+Sig/cj75lnBIULWllkAWUC5wc/12HfMlzmnJH2BUeb7XOfZDQSnf8TTSBOHTA
Fmo2oIM74VPmJM/KEf7Mmk6RUmgrT7DQ+IOj6r9PAAQQ8Br31wT0BLw0WDACNwE2qrEWk++v8sPK
EGdZGYWxD9twKJKljV3DcIp129RsbQ40H+J30cqpuFSLmwOuG5gSqsqImWTcVg8enwycGh90Nmho
UDM9rOGmlt5nFjpgeJPBtBbBmbQW4CcVhMFiLz42pzW00UJ2MsdXw2c5D1MFA8h+q+N2fBp3a8Dw
pZ+exQzSp52UlPhpQXkWxGsf2EIKRvmhilbK7gsbVJyFgVpQOoUZMQDlnO4cQBtEQ5WiBoMNnlEr
Z+9Snj+HQo9TkTDIrzD5uQVhva58jzJDRanXFwrYM+05JBgtZHNCPYSXp1X/5TUTasixBnkj+/d4
t1TreGRG39oavCQI08DhGVI0lGHanR+UbAvYI3zVQeMY2Ktqlsy1jAczAZ+ufc2pK0NRIN+pdg/U
AHKfasdsIaL05/cHWgpXc6w03ITCvBrwQNNTbzKbcs9b8cnhHEnSwadYKUAsTf0cIt1EMhOzcMLZ
EvoilV5DN2wJiWnoCU7yW61S+IG5MWzBCjCb0IaNeL9UXcpslPHCvsPOME7XsJILNARxDptmCkUJ
eQ01Amngj13Y2PEtLmBkoshuL8FBbtglwi4WTnCqkHGpSK5Qqcs5jyVIJXY5CwbmJiiilTW5sLHm
SOmuKiMtqPEwDC2MjoDuxEPmXAGvE1Kc0Qr2aOGGLswiD7LVvFcihLhKcSc4eAXSuY5Q61k5Cu4/
80OgfuDTvy3pbkoh913hHYoObCSuhjsDqJrSWiNw4YbwkGb89vNF3TNEux80ID478CXU+42whz+d
PVpA66D88ftGWAjPDwrqt2EYKPqTXMUwvd29Q1lav9MT2O1aX27pbj6HBaOe2ovcPbnjISx1DJ+o
kR1SXzaV1/y9f+FfFShHQqYo3MGnSDO4Rk/NEAoraz2upTVwz66+vV7MVVnR9ffXA7olHT3IsmtR
blbJSpdpIYD/Dyg4EZghiu+vB0Z+vcd1wFDRQV/ZJkuX1jmqt51CRiYMrvnw3IrgE3UtbPUJouiW
OuidOfnEUC4UJUzplLm/r4cFQQVxDt7tpmgqy3u+zA+misDgcm7J6HCK5BN9RKuJd5vElEMUTNMj
XF+aPV0ZeQEqKD6Kg9++FV8QNi55jDx+gm8HWx14vstoeluhIx4ymzGSK1Qx8KbaLr2kkGvC1cta
u6YsMHnEOeRXi0ONplCuQNctfCvxNWGdByNUQ3sK3cCkt9Shu24HjKwJ8k5xZk5To0MFe5dsZLt0
OwPAxehr5Rvc7+c/hJY5KjiEX1zEC4hcg1GYhd1vplNrC0blwBr6Y2WMpZV7jzvfZrvhxFSNJEAQ
8732Che0NDb6LbbiNTBrA3LJ28CWLNEGyVgCiGtluyzEzDkWmC8mGPKNk7BVY/4vQ4A9VCmkhqvi
8/e3Wtjuj6X17aUoKv5RKWPitEMEMma7XUNsLl1gHsfqt19OB+iZwjMOmceWf0cRHDvjhXwKNupl
1bY/wrf9GUvUih04PMBuyc1iI/OlG7+lK1O3dGN53DG+PYFSQyX4gWtuoHHwDrVg2FaAfdAyOlxl
jPELlk/hWkF+qb4whwXDmrOOGgmdkx5YYFjLGxXIA3/YowJHM39CnesTStnty+APPuyZf/94SznJ
Iwp+e8NRYdiA3pckec2vNWgcuI5+yqZgBh6x2E1qr9JqF4prj9f+NlJfCdxUjwBudGcGIim64ow4
WYtdjTC3knsvlDLmEN9OpT03xQQtZTXvXJUfJqNN62bl2F7KQ+eAXrWWoSrHYT2G79CIYqzegBxz
aDxza+CTpXD8qBl+myO4vdCo62p2qzyFZ3SRk8vwV7wCkQSbgjgG9RpcQu5I/WI3mFmmU7PYrXrm
3POfHwLgYw98GzsVk/8L65qQBPiNPSmH3NGsAkIEqa0kVmPWK9tqIWI8GhHfRmq5MckmsQPeCsXw
iYWTubxXO7h/wYn292W9cMOag3iVRGlCyt8RAIEN0e6GMWkEndYciCSmMBrIGyYr2eTSopiDeinM
hCaiIPwpw9MYm0Hz3imioUAAvwtvzCszvsZrGp0Lx8f/4HADTcrEEDjcIoadHjRDPZL/6TQbjslw
Mzd/n7qFj8Pe04dvH0fMOVVig1rYBlzEvctJlRvZCKvPthkiGBbnWr/yjZbi3RyG20d8EHJVN20j
IxkAK05hw9e+ZoHZARKZm5CwNgUIUpa1XhYebG77/lY0EUyA1x5gaT5nyYqiqm0Gg+Rp2wf+UMJP
l9UL6LoUFguiIMRrAxgbQkvej0cvDzz6ibDfhV95tq1ydmX5PAoCP+y6OXQ3IEquQZcfsqvNBTxB
nasSc5hu8DuMhC1shqcACmzqtO+qfUreaB3g0iAaXPmax3ZQl0af1c/DWBgiC+ZmXRgVVc5J5gpQ
GNbGEC7FtZULtZEHLiodECHNkJI5MkRzuXzDV5WVJ+8DOlEFD4lA1uLjS6v8oZ39+1pa/MSzC0/M
CnE9pphhZhP4/N/iAnSFrxjUzvaNy53KS5HqT8nzymgLu569R7ZvSzfWhoIrenh/dEboshD1HCz0
fe3wLp4F9Tp4WBpQVDGgzqyvbJYF1SBxDhwuuUDlYEAFuV+wv/lL26KSVBQHPoRMYfbcyqCahEdR
grDWdCkSyYlksNOL1MriYisr06GuL5AlgVEBtgCEdWXZCgWgFSI9T0YDWvkdNSux1HsOTq7MqCuR
JXZ7SuSVLfBoBv20/Ga5mqqkBLaaAzyAAgK5CbRTJtGeJDdNFFQiLioYPG2LfYkSTcdTh4/+pMy+
Kps/ELnWw+xzSt+7knNo+KVmLwWHgpY3iIwOz3uSvDDJoYPKNbSPtacgdVJU9WMoWUjJsMmxy+GQ
yrYAgAWZWXMvMho5rFQcxNKpKkZn2JMQfUHlxKgiCMtFjJ4Xr2OTwaHcyTSrhVEGxc9BEUcTip2i
wRS4sWRQeIdypUW60KgT5vhpJlbqlEgQ9WVRC+BM5sy5hYmC7bX2IuDumJWm5s9RSJjDqROZyl0t
iXSrAlAvQlBZD2GDEZagZtOL1t9+3xwLAC5hDqqOsaCyQYK+c28OO/imaHb6t3GAQZVc3sHZ2+ro
D06canROslVee86Co5Wk6LxRDpXOb1MUL+0zc7c+at0+MroWxUzoaPR7AsUQdWVBLkQMWNX9u4c7
jhPhcYANhYCcFh+QFN+Ih8li71JE6atiEAIiPLgyBpeYa4nGAm1NmCOxpUAmbDjCt55yFfD+7Umc
0FwAZVE+xC/wnQ+rw8Rdhuqza232VAcGVfVRfRW5UW9J+cKDYgkG22cXTKaArhUb2/2wg6VzlJk5
in4S7H5l9/fvuJCSCHNkd8KDD80IuCJyrV+Hk60lmBOoE0JmgbPa8KaBtQ/Ad3Nj67WSyNIKnUXx
qSLVmLIYEnp858wOPdltj2vp6UKWJ8wB3QnMedPiTlPoQbBwkH3ze6nCDHv9h3hBmRxi7lCQ3NCN
dNFOxd/+3GTGdOQgoe2Um7Uu10LVWJgreFNZ0MqsvW/2k+wnN3gNOcmO8zgz9ftNdsh3qHww0H7L
/4h4lN+/pcQ/Wlj/G3+hXf/vcm9VEbAOwkNMP08uIqudWPpaMelH0XenUpCJAlRIxOlcClTRBI0C
rnsVuHMshX4Tt2bTFruyDk0eUbA4UXjSx3bZnPryKYEvOM4Zo0bbAdaJOoy6zXAcj0EFnfyc/omC
zich3TdS7qoluvNJBfefBMLLPISk0xYXoAbJphbAQB42lHGzmQKCKsxghVloDVD4zCJLgOF0zZIz
w2lUbzQZ8iOlrfGcWY+wOY+gd8F7Rb7Nuno3aE81yJ4C6wHTZpFCjUDdO3CBRUbVYPh3HHkmCQa7
U8v3LvZYqTc4vK6k3pJEBCQH3gmsHnQfeTmlRpbdqFYZhfI3bDVXHVsjnfjaxHGTErsaX9jcZghq
6qXaJHBPhixC2sc6T4+RmOW6wFX7MI8gpkkH4JziobInklqkG31cltTGg12WL0ryWxBmG/h2vvRJ
Zmpp8SxFo1OJ4i3SMmNs849oHA5kjDxOc7oKuqekYF1CNB2EB75NtlXcQEhJxC6kfFJAQUmMiw5O
4hIClyBbxQRfAkhc8bc0dXLeT8I/ZduZIhSAWFXUo0RF9C10pQdVV+zBSOkqlpzqQX5rVWGvNVri
NEon55aSy8lnn/P1R1fWOWRZajgdFNqIGYSaFkydmLEwQxhIekwIZ4q8bhUds0j1vlHwlz0vW1Ts
dUlA8ALR3yo0SFwzzWskN+GrVBYvSf5GMtJvpVRyuFEyyz5V3Uykb1xLM7cUpPY1iqBJrYnF36ms
nWlooS9pJeQpiA5D99zIhyhqDQaWEJVNoURR9y408XGjV4roGDVGGmhwkndSzkgCnxY5rA5yWCyq
WocOjddEMGw9pTUF1ewPzK35+CiAThxtktDLE5dU/tgcWlyFozQwhK4yA8g9jTo086JBZ4kJbVos
3QhxWDZzxhmhU03irdhtWWp04gnC4pnoIhGFAJzKnPtxG7WAtMiO1BgoYCsWnHwFeMRf2WkHr4h8
AEqyYc2G0wOGbjK23gUQDcnRR4EU2lGdorMGw0YKQkpZ7Yf0qcK6VV4pC4uxGv6WT5LabcvmK6+/
Ruw5sYE5Bv9ejVgk8NFuSeSoqfiCdh0YYgpSEmY0YxHu1gwbQeazM5ClGxH2OFddCvE4BZdy4EsP
puoHiI0csobbNXxjwb578igJXzpOtUMZ9cTpnHL7HMS2cXib0nKD16ADepMMhHvaa1BPRq+RDWVD
4K81fxACzSMF/yRQ8QxPW+GiBkPr5rDCZSKTEcZsIyUoSmDzVnkB46ECQlZYGiIaWA20nhK9KllD
zF6EOjJHmlwgUjpQfPMI1rS1Ypf1vp+m2lAV1lMEK+9za0xhGNLY+Ti99DUI6rB66zUGd1F9DPfd
LaMyJjU/9AM8dBnoSUU9SuUx4OWwOGFCNLKIxWCpSFlsIz0DaRSGMMNl5BK7USazlASjVFp8JLb2
uNoseIu9c72g+lJuC6YIoV+6YxSzR1WFhWS0Bfcj8/47Ilwhx20hQe2e15wkljS7ZtvSFSIg2jW5
utWVeKx4Gmzz8GkYDl39RZJGh/MwoU5aX1R8dTlGtYiY4B1gd+RyaSgda7TCRmbcWC0Cs+j2EyRc
1bjeMlHm5Sj2h2yaG02sXQKYC5s9TkOBkZ940sL6i0l9TPDg1NkOlScttCBD2WwVRLYDi9K1cuwJ
NEzBXIqyE9vrTPYGZL6qPcE5hO0/ZC2QdAZwjbdMc1jqwkEDbONEhre6wX3gf9bwdCdGBWMNVecG
gwOUEQ0BQe+hyC/H+wE+POWWnfQwP5fcMYbmVWERJDBhbavchgQnZvob5aDoFZ9cDvkOeF8oEKtN
u/C5byKXSTJPjrJnktQQpE1L3mlzP0Kjo25zR+0jxRbAwpM0OACPstPivOoEHmL3qdF2zWikUOCF
RKmEI01CFLxLOW5C4YJIHlPYAlFIFr1JaCWE0kZDfiUWAyQolMqQJDdiJ2IUZYURQkJ2daHEH9xT
E9ujZAUZuH4yTOrRngXeMncERXFABoOA9qgYnBzrWDxW2IoGUwKBEoOHFB4HiTcnheiMCitFZdfC
aEcNEUQnL/+bTdB2Ae3jXMGTIYURmkfk1CAlPOqSYriJbXcYCVze4KyA0ge1imwLK7mUh1wZnOx6
q+P8SrCYyKoF9IyhakMwrqoZ0RATUCwwa+9xum8hR5siLRrAwdwVkyekyCXFL4GF0oBo0nKfsM/5
xOglKgHEV2SLa9FiaZ4hHeVI7TYUzTACL7DuTlK5r3qrhWSXiEIAjFFz2DuRp+nUA+CTkDOomEXQ
wDmvsGAuoipWF8NdQHymFPGoGG0Z1POW7wxCRxhWmx37piZ/FDhUEKQxdvzVqQgSYNKWiFMAvAA0
C2M7zis1weB5m+Msrbk04bNU+sI9VOhyvyuLDbpRYb6XqdVAbBsValEvFaOqEOduzPiUT5cSSYvY
mX3g8eC0dU5BXA3On6jxvU7hBv1HEZtjit7hImWrvLbV5HqHWx58ewdU8hWOWF2dIw4l9FxRyQvx
RauQPYjIQrMqJtsEtj1F06AdhfacIdaTpU2jn0B8xArZFkcMTQ+yiroRF1mJLL+rb1FjxcWERZsY
gsy7YZttIEXl9/fJR0VXHVK7g0NoPcEVr7R7BPoK3wKVGzKOPnQ7DK7uzILuM3Tp+1o5NsTQiJ9F
xOTH2qFdXxh1U28l1AFkOGmLQn2oyZZnngIh27T8O6yVCxqAnU/6oxAzR1BOjBoCoVCZvHQKakqM
LzOwP60hMTkOnC6ORqImu2GsBYSnQoZHZ9lsOl4pDW2iuFlxLh++dgpKRp2o4FLFtrjs4VIW8YpN
8zH/mHoc+IkimEluA7wMMWStdMRQtqnYQYWpNbtJ0DtU/1G0ZHdKhf2bejgEFBEk8nLyRarafIG0
kpedqB4O4/CKfrFei63BQjuwyQeThwcjLUUjkrZaJgGXXdCNNtWwJ4akCA62WH6qhtYGsRL+kXCT
RS1AY3LYJ7PRaxEoDhO8sygZoNqmT5qvKSe4nDpayMP49L6YQQQKClFXT03jSHngV5r6lwqhYPYJ
c8wLL6jYdy6BD1OMTy31tcNXA2YMlflngrbT5KhPAJJLkqprygaA7xq3kKl5o3R0tAYyT/011954
9kqmq0hxrbOq7DTBOpEjNoVxB/TdAy+CZiWuAgYvJ+eBF7568LsMFkYo0H3rgErLD3Vc7cpe43Wh
YDy5woplGlfpbb502Dz5FJXaijQCCd17W7GcYB4Pc9amkK0hkxMd7PkRfknhpi7yYTvILUzxChJ5
ER39HoLbOsi8577kdjKhkSuw/a3EGe6Ce6k5ZfPOTYlVJNrXOMJjtUyMXr4mMq7vgOyjzh4fYe0O
U04u/0gTJCZ9DvO7AYovfW22GeBbtPNxm/XqgNkUXOJGVeDAZvQK+b6NKDIOHXDF6Yv4r6BBUjmE
15wEU3tFfWOpgksalp0Mf3JES6AkymKPw3kjAF3c/h+SzqurdWwJwr9IaylspVcrWM4GAwZetOAA
yjnr19/Pc59m1swJWNbu3V1VXdUe1/QzsT9knVJxNjM73mQc+HIk1JOIgsyrAZk6vfOkhlIyztjs
QHcfunUm3plVrE1iD/Fx7q2gDbVLbbZHHdItqovDOtussDEMtKGfR6lbKSWPr5YD0VcQ5etynKPC
T9bE0Ze7LIzPemZMU8pDoXCgQFxT/TftPmI6pL6oSYxnE8BrdN1bh+6iJr0ja36sfndwvZZW3iTl
ucY8pZ1eyUQ9FiK/zn3EpoHFn0Tgz3ngb1C7Bbf3fKFp0+5dW30smh1UXfZWxtObCj4zq9dmOM5l
/EvuBdmXJJ+RkTUuIfci/E0hsUy3CeuXiGRMhTfw1pMlwlnIvKw+U2GrylO7QwYJrfiLvS3ym804
QK/xOLui3ve2Gigl2WXc/s3EW0KC+Is5NLsmoew2urtIKEOVr0l+MRZ3SNkcEsqvmg/v+vTDS+gy
j1E/nLAovDZO3TCb3bD5Z5jEjWu/1eitZnNcaOS6KTkqmryR+l/DkjYKqdTlq2Y9FYlbmDiSA3VX
2FDMYKla+aHp6dUOFbKJpGy3sE7SGAs1Dgp1qlzVeF/jfL9Y1WuToB7oikCVnULG0Jolmlx3TXtv
0idq/9LIpbb22acweUhOwhpGypMbgjrxRPISsl1bvseaa2HgIUtHSw6KbwjGVnciLMPLj0l7160d
XcI6b7MOJEPZJxM5qF28N21fb7ipGVMO+jxc18k6RRhmsG8kd6UrQff2PS0thqmj4Yy4WfUZnqn0
RP3PvJLtREqX9h4u25SwhpZ18aSIPDU9i+bLYH3JGlOCERntRl82ThnILSaY5I31md+Ye6M6Uz1b
bpgxPWrsaspPKsaSM+en7l1LJrSVrEJhubb1GWGp05KMre50OMjwa3mNESY0D//hQvXN9W1mpa/L
nR7QiZQRZVdzoJpzqPl6eLJsAoocJp2ajq+X3ME891pBLTrkPW63q3226IJF1ngKflAAwkObuUo2
kFxEyabL7opoFzFxaXbmRUwLasaxluHUnpcS0Ld36yU6YXS37XomirnfS33s2wqemckDSEgIiWq8
qP8NSRVN8sVvxooaV22SdjtG21bPcYJ8bQUeO9tC8cw85EO0hzSP3CrV6I0T15Dny1SZOz2Cbxfa
jxxhRlW0AVf7VZqEL+V+iMPi/B6yv9GW+W6RPc3YV8WfSemZS8YOTwEuDdOdirJyY7G2DZOzG5pP
U+xGxPXV8tXVV8HWR7mBX+pJ+qEC5Bu672z08mVT/pL0sGkq463odmp87qV30r230kRumYVJAGZy
PH2rd8lxteyTktMZhQebq3asWFJL6wqcrNKTn4c1JNOyaQ5PcTVNH3ojzx8ibDqgSmsQe0mqfG2a
t2nZe+ATjRPHmW+QDh32TL4qK99p9Wdx1qKyxZB9Evu8nfdTlGxVm+gIY72uisrGVOb3y7grlfZn
NYzkRAv8YstRGSA1cXBseum1+rkppr8oYnAT2CmEYWxu+7h8ri32p0LLfpYX29jMRsz0soSk2EpP
lbo4HXHUfC5XXoZvKx/jbRQqf5KleNUQ/izTc9ac186pP7XmHxzhwOoHM8/garmT/zMwGEvH1luG
RwNn9ofqLqnk4OBGh0WdtX2QLRYTmTjVCQt+nimRluUq02YpPWX2++qrSvjpN0J5Ed0mr51YPNYT
dpxYUXlJvrcUX+8iJ2x9wtGAGJbiHX9KGsESya/bywcFxK5uCIPfkTdg29eiYl36z/hWLuJN+5AW
n3BvZasMrmK4defnyW1IT4PeOTDH+rXnstYjF7CCTdZOxw9xm1Xnlv+a8/Fm0LZNl5+GdFdivTk6
ZbptcLy0L1q6NQjPRlRcml5DJDNTcLSXaHSqVwNTqfB5bFRvKDZj9i8x/BDVubITJw0lYrXitvht
ptkmD6E83xq21rog1Q5FUe9SY0sIPKuuU/8dD66a7ML0V4q/wvUl6v+N2bqrFb/Fjap2Gf1KYMKo
xSR4QyJt13h2fanMlXKKnC0CA8v2NHJrXfmp9WWP6TnX8RQ2+GUcD52gg5q8XFE6c8qrke2ym1ZH
TKDPTepxlyypq5ZYYKXxCTXxtunio7COxkWvj2yRWxjpIJupXfufNDZM2V5kvhUgE+WlG3fKSiJ8
BlWPbVhjMIcf2nRPmyCxti+Tc8BSpf1a2Ltaf48VFhDz6dkQ/0wMelMAJkLqJ4pZ+S5ash0lwxPN
sSjdWP7pVOx+y28b/VzxV49XHfZfY7e88jD6VHQAjpNafIAz9fElrHeNfiuzU6sfK7bnkYAXbM8j
bpIlj0tvaXeKuqMhWKufMvRycsvzwjUB7XoPO9SNClaVzv1jDRFH+Hg03PiPKykkanAWr2UnKLP+
IAG0kEE8nGhHarbM/tHjuU0dKFiy3YtqY31zqXRv1a/e+FHzkhs7wU4+OffE6vRsdmBp3Gv2eAmL
6okE041W8zAJqpef7XBLgGVsvfJZzOqpvIn4LZoveA1L62ur0dnEiZMm5bnumeMZqo24QMo0bA2Z
D7eewnspraxMk5ik7wRecVkNcnPI7XxrliknHotA21Xiq7QXeEiXOIcfi6Z6M7glc5owNWaYzd/0
6hotm6p4Cnte+ZPBOFMKvgEkgbLA/pnczcWJrOuS3ex1pe07wayP7QW52sY0j0t1LbXXJjzrNLQV
LFjua6E7qkGRHxL2rAcN8DDzwa3Sctc9V9RBzJk7lVeWueZWl75pfA7rvpDAeLfNZ5cFE4u/5pdG
RI7Mpcna4PzJ5zLj7SQTz678K0UAuLnJq72e+JiwEEFim/7wyymTbK8XAQzoRAeyXhPztS5/h/zL
aLon8HZUCFp3rHtHZHx37/ysZfoxa+2maaEMzWfEojZfX2fLQQwWUVdPc/GxJOcVh5DovSujTaE9
peG2ZB6PNqb9KmYX2M0+py04mLbVyh3qLMekUo0MYoBAOfkn5l1pDgayoyw+jLSy1BHDaTve92PK
vT8YjPMKNWWVXKAhWoq23NEBMSwnnEfCh3gXwpmN6g3O7KBeNotsth9y10Vfovo35e9d6wh2ijCh
sS9lVTpY9BpgJcqhq8BRjAsihrEk1Ghrpldmp1Ll2jTyjam9WbQVoVOtjowitntq8JIsuDz+Mv2q
Vdcid4xoG2k/up27uvGSRU6e7uJ2O4gAkoNreDSdiTiH+hXf4DTHtkw6LeWtI0u7Pg/pNe7uegmA
e+ikyRvZGUjzz9neafIfHV0jRY5Bl6LSx8SHbGWFLXOlGQ2O0zSkYmxK3nm6F5l+ZBO31m4Kxa2v
IvgTPh9GLcSy6pvuZ6oCTkodu2m7tdKgbWleXrpG2nTRb2gcjHC/IoKNXTPfjj9NSquGgxNr+roX
v83k8M6u2l3YG6YX7Bjw1BcbxP2oEYNsMaIALsmc5YQrcGuAkkjprolyN2/fMoM09ALC45AONI3m
Tuq+Vst0jGRf4HfYVY5sBiUSZ5I2VK7TrXnOZk+ob+uvltxVItUlht97yJo8ddkoHbng2yc/yo1K
16RiFSekJJL+0wG3vizCAtveFJjGt9TRnGDc3pdYmCTFCUZg/pmF1x9wI18UJEDAiy/cQGaIg50a
qMa/bH5vrxUXSxwk+LbQpoW/Rn6fUAIDZeWUWuFofeii0RkN2nNgR/CPzdTtFtSSuvkRaadO4JiT
+VPMQ5pf1enAm5A3YISOxjpe49rdWe6RdgL2uqq4J4AP5nWcXdyfNOZI5U2C7xYgyVJjuOMMJIYY
w9yYzW8Vnidspe2d+DDAc2La5mCxLhW5WsPGsPAdeJukykX3uFmXnwce+IHs15SP8vw0Iyli9K+r
7dJ5derLk1NJbth5Xb/DtlpOPq1xl6WlO08wYfLwpI3hZjWtbRThM989lTMnjPFTJ9kAld4lrZ+j
0WvroJn27WtDCCgO83/MniFSSHGPUCtaXngbEJR/mH9D5saKU8k41AeqvWHLx5qCcd/DHwyeyh39
q6V75bcQOPdjJhiFwhuiT6t/n5Un8aJhQ6COT927tmwrfiLNW5cVqPK5jJSAHoTEMocpPkw+V012
NCRbmCfopbnjSgaXYVrgOWyzB2RH6b1E+peSUCm9vjgA1tvqbxy5efed5FuQVhKyrflVkQ5d62Zz
EMpbBj7jT2Sm036k4qcevgB5iYzepJ8qLfUtKy1esvqhadCqbQHynp/Dudm1xgkee5MvR8GtKw2g
sH6tgQ/ORMx+DTgAWE/yX1U9M0rkRiCiatPMB73imp6ZW3dm9q9RfjT9+YH/YwRFZVOL63/A0uOV
E5v0mMQB1jG2o1cB/AAqLhlgKF6/jXQnk8Qsv+Z85RO/eWVBOruBN2/gWs3wJt/gTTqymY1528yv
en5LeafiGjNxrGqnZ7Hr63Otbc3FDWcftARBGGEAmHAXqBuZZThd+BttW3nXKD7vmzl/DlwL0bHX
PTN0hmgb1qVLJGw13dYYy4OD3dyAiqd/Q9Q41bsQN752uXNznMqN7dj6QNUTKw/fq3FIQ2INiBjG
rLChqZEavrXlTYeeSd466XdtHZUXx1zgPQ6PIALx0LE5dlQ4Wu3ZSuUOxQ9uD2bkpde1vWsCfEXh
JsR6/x2vOCkL6KLrxRvRS0lc/9tWIAEgu7n9Jr7W1g+5vk2zIFccm96ViBwLd7F+a1nUaD9n9KUK
EZsuFUE2bDmaRuGDcEvk8wEn5b5sv8VfS8+kXsBNqc4YB7p5VpD5qae+CWz138R/XHejuauzTSnd
w/q1/irVcB+mrzAnj6HHHhDpt9h8de/dSQDpt7PmaPlTaxyUkctcYW351Q7vc4wopHL4EujVFBrt
VXdTKDEqcUfnbMCQjxt5fBggJW5Woe3mn/ZKR1W/iLk4zAZDm/An3q2MNdSN9GKw7FD8Ck35qBR2
b3OwvBkig+2qVtW4OQ5L6fZGfTL/f72T2FCRALVMkxOT0lRVX4L8AzZXjCezUd8lAIiNpA8PDrsq
nK6FtecaskCe9SIDJSKtJupeWq3Zd0u8U8vKMYY6aOvwT07rT3u0viU12TZQy5vMSBzRBUaW+cUk
PNPyVGPkYtmUkS+YZq8ImRCQbizFreIfNf5WUSOoh9DaMoITNthqO6U+PGC42JWNPyj74ocU+iDR
MN1mZ6+6NLehibxh+RtGzUWB0nFxgTkHgj9Z1jxl1Ybt3Dexg32bP+peq/ir5ZdQLfqQ/M3GXoU6
ma3hoxQew3jTOcKaTlmDB3M/HpaeQ1yAiams1wBSq8m5era7j0iX/XTC1q3J/MjMnoAA/Gx4xHep
z+P4GOwBamcicuv20SfL2PtzBc3t7EUN5bVeT2Bq4Tp+KNYt0dKnKtyl/Gpdl56FdMNbtM24JjC6
v8bxiXtzWvzVpsc66n/R9DuhtI5AADY0+FhQmK4iDhPSRQ23rAhHLYdS+2h6YYb7B/qwAHz31ykK
ynG/gMRCVkElaNGTXcJfwPPsdOWwGkDuqldnVMF1Xy3ARLt1hY07cQsng2MZvphvJX7b7SY0vIoF
zZAUk+0od7tqOVc/JpqrzByvgMugFON4lYa99Lz2R+Is2KEczQ/dini6bq5uCzOw6whtw6+BVUp1
UW+ztisyvPt2hNxtMmIbqXrj4DNwi/ZF2M+oXbCTRk4gqTeVV58+me9oEu4cHVK6DJkGAb8WCys1
CKMIIyky+EZ+IeB1952bH8MUmOpuwamIuK75Z0QTWEDgXUZquRjo1govgyYOZ/zGtTjoxkuRvtnG
aZnOGSwrQK++Fz16O8Dd5hECODd+PiSg/e9Y48Ce3GjyaFEU/Blfx+XSKLf+z/7JE2MzJJ4R/qtn
AKwkuc3G8KFwMyz85iG+V/VXjhLMng4jSX7CmRIfUlTrXYn1rn50rGMzKrQSHxndI21k7oPfafPG
DmySqsJLnm3z8maPx3b0pPwiwy0P2YEEdkuz7st7A+r5KzNrg3tu658q/NUtJ7MZ+tEqZ7LDc5f1
8zq7Os97dnDONZxF0Lg65VsykZakFF6cfNTNSf62+DVD5s3FT1i9DTi6iuzKCAgJCXskxGmtUrcX
3J9sDHbKPqq6g2jhAHEkgmIs5N06MkmAHAP1+Zzlnt7pZORv2QqdjpxlQByQd77g8eZ3rG9msRwa
+jjVcO3+uCqXvHHmCdPnLUYbvjiE5iPiVHhL8zHL8PyO0H6Xh5wCRY3tMX1oyFYamo3HfJOpNBao
SHKnAvGjZUDpY7Pom350LwqjSe30WjCvnvZsX8f2rbmntsP7AAgKWKFEkFvSX15+4kpWF779UdJo
Ku8tMEuUBnJpu0u5iVDIFq5mbupYdtVrUkKHu4/e7WNZ/DAM2ASSre+GvNUL6Dkr1jBFF5vroFJ4
6NNW9Pt6YKKxyf5QD83wzUru0cTzW6y+BI25focjaonyZfqQHk4w/VFCpdHWpNj2fkLRkHczo1K1
YvR3ijRUsY97BlZBrb1wOK3ROVs+muQ9ij1b/pSh6BJxNzJ7qx9n2ZsNuMdDDgJvQ/8Q3CEnxqut
yN9DIR2ihpsmxOjxzQLbl+p3I6XMujGJ7pigj19Y5seZy6xRojK0jouOxZXBl4NQX/zO4b5Ipa0M
fx2HO3niAaW3YWx8u8i2jQmHA3G3Xmq0dBEEKELs8ViH1InINTjadfUvjc8JyHQUOS0ikqgNrLZw
FtLZGBji9luXXrRiQhw0ocln3ZMTEpk070gfy9hP15IeAlzb4JZqDM/MJm/R0ePkEcCDll36fNrU
inkaYPTxd5YcTX0aohsRk3DdkY1AakO/PZot4332HNc4Aoy53qKBAjFR6yAzCLexmMKL3I+ZFWGe
QUz6u1V/WcqW95JhHEhRmk5t9ZXbvBMJgAvdqRVXZ8VSndJ6kjr38ajHJ9FfCv7CKP/iTzNTZIzW
Uy5+whq37HsqI89XGMDVF4mY3Vj357XH5ohhlz45RBVOqSgC5U8FtLdjH2SkWVbkkKEq3NK4SzUP
5VBTCtevyv7uoujxWw68/ymqGCNiTDgJk747cVTxPM0xyq/igyvbUoATTWMzItEuzOyzM4BQ8xlP
mzs4CGs6CMggBt7l7ljGfx08/MK0O/6tonP/E6pcVv08QK1HzGgNNVG2rPeKlihp38c822sWmqw4
3av84JFlHojFPBSzchvwJJj2pXgJs6tAyxiFb3I3de5qK5ehH0OvVR/dZvUR5+m2OEjzh62AXyN0
cwY+yvCW2M+qOvpzvu9WeKrwqYxAlLSnPtpXKszhsyIFuuWtduga429beTHsimHuCHel29XLXSK9
JupIp/3PqL4FEFPS73QB3bJJWxInS5D3DEfY4rmf+nNaqM85/tEb4sviYq9jo1j8Ey1yiX6RYZ0L
mM71a+q4SGP7ho01Z25uv405eZVsuPZ61f1SGeGfUD5qbbVrBk54P+jUNfPf0IOUcAMrk2QFQ2Z9
hfGyJ6fvJRr2s/pqIiuuWCFImrsuRU8doHbLgJGY0nhKYPeB0yzZKROI3Yymxdc1OfZrVX82jSi5
aQKBUBPR05drtRN2dKtMwnsEwtHqnxplnqprO6lBzVis91V+QECUnEi20f2f8xgmFyGUCB/KQOZG
Ybf3wiZKT7LGvZhGdgHwVduIUg0GOw6dJjUzZ5CbcRv34jtqzciHCUW1sMQnK0RAIrSR7FCF7r68
hJLf54FQbPbbXPYOJm16k7jfQ/26jC+Mn216sC12J5rELVEkld+6IVyTIIR1o7eMUxlm+habME4b
/SXSs0ZIEUMoqzK2Nj0R0QQJpyBsyBR2zOZeIyawqZ5zSzo0ijQ5lqR5Or4cKgfVdq3+NuiJq5TB
on3pFvyXus173gb1q50Z8QvUFHUJVwJnaT0IOlyIK80xMTJa6+bcxvXdMBQit0eYKNVDzC72qaJf
Row3gQkWulgLCIvQY9rgIDHgCrQPEeNRGcfjru2K4zgNAlYrhO3CYDi2tk0j82WyMOeYVhE6odSJ
TdsIxYsjnrdpQ5MMarq4EDynrmyvhWo7FlVEmuuz1n3aqbUvMBppxqEiwUl3Zxsdqq7VP7p0NKti
l0QDu3FDAr5fbOXwoo9+SgqKzVqWRg78Il00C0NbnALKc6rRODt0kaYSEEKhcVvM0Yk9pYSucyle
F2Mvtb5q7yt9G8230ToI0kxZD+C09XX/xGsd+T2BHdBZYgWrTyXwSA0NmII0S/HSWQP3V8xXrFO5
5ktMmpL1s5vbPfgK02jVO0X7UpOaETHdXKC3JfMg4mdD9zqsJjrXTsCZIHoTbpaBySJfAyYAmwUp
VlotyxvYaNA85A9+hYHtsJiuFvFx613UWLthif0BBcKgMlg2b/HkNcMQNLm2a0Qv4N5omVI0h4ie
qb9vzXMFnDpY/0zqNs1vP37lvY1hjfZRtz8AZ2FbnvsoOStVkKvTcbV/hQXYXTChtOp+0Tt/MXgO
tbSz4m9NENoiuayf4Ra1z5WuduxS/pLtLZGPblsjf7Hb8KstGwJ00hARCWq8WRGuVBlfiamsdD4E
A3bDvVfkQE3j2xJmTthYpN0JRw8TlBCVhA537JZt15rYfc7VYP+MbS17g7xYrqREiafo4a9SoUfl
UGtDR6Bk3SMbTmXyFgpdq/gf0AdxzU2+FjKSzo5EMDOyD0iwNRcGkNPRDYWfpWkwNPYhnmeYPMJv
UDFNEPLVHIGN1frsxF3lA7VVlUByNgLfWGOZHtK5AZeKrw1LbQ3wyJCVJwkyThuVYEWJOA/Vx6TY
fmJlF+S55yxJn8LHgqIG7jTQ3q/srRSobgzDkD15KAffqB8KsfOsH2SRWs8r0s5qMmy/fIh20bk7
U4xNfhjvjHGzWkVgI/XXaagE00nKblKFSkG79Rz5BnopLFpatl72jPFrXD9FE6jMnRpyshalTUx7
wo6e5EbGc6eeZ9Om16ldkq1DVd+oPT/iX1dj/RcaxwwFQkujXJp06cZXJjVMMJLhzsW9rLNXxVqM
ywLNDZaQM5o/1NtKprn5eDHrqxG/SS0o9V4uq8eBKxN8JwvjuzZ40bR3NC3+kLGOJqMgjrXmr0bK
nzmj9Z5E0VZLICsaULhMFraz9NaO2CCSl/46FR3WTI9j35BwtONlLH+y8DsegTs5wtbyi8hgosMu
Uvbxe1CKRVa81vDXwe/YjpCvo9ia4VOonLWwj68Zm5saKsSbPq8/ST1O+7R7s/Jtnxu/epEQszJu
deRiZPn5KOUr7WJM5AaMOcSK29dO1r8khuoY+MOak5Ojxs20Pugfyjv8rtGGzDaaX8tL+hyI4Vo1
pyVG8IR61VILWP7CNeI2MGKU2B72duZCkgNv12bCXOrR1JbwEzLMnhTYucTy5DuXL7ITJFwtKhCZ
qbv+THD2KxTKq/Dacjqv0y4JD6p16fTUiSgx2fg2ts+QTlDLUwGR6tslyBuiU5u1XEdSdH+UudZg
aOIx+xyl+JLRjYv2MEufw2T7FO2nRDS+NL0KTWC9OrGboLllJulPOr1ekSNnGDsqbf4UGZYe9O2K
Bwjtv1eFA7yp8sSfP6qxg4iJBplDW2X9MWESK4r1FCk4dYNTaIBA/ZhCqy4XKzceKiZlW8hBXn2t
C44fs3DaVXUU5aMPq70953wOtmCzL9NEO8Vv7B5wIDyk8lcMCGDVbmOCyffsalRanriA4etisHIK
0pGve5v8anV1izqGIMHIu7CiCV0BY28q/RaWgYIUdSNC+yTdxpFf4w9TAWBnSTDWi8V8t2us8TrL
C9stY5fUmKpCaJc5xLXoGT8bDFGMbgFz0Pxx/Isb03pGGdBsxrgcrkMMok/Zn+G1olhZXFlmz8MG
qEqP8pA2zliLNxMZCgselaFf61LbJuy57Fu2kllckcrAKohzlGi8h8XiwK6IKGc1jN2Ho9N7XeP7
u6z3bB0lxBuB0sslFyDoSJv0WzU6zSQ51aawNo2aXkrJyxGIDBUGc5rGuGhKMAuyxdZj3gbqKCFp
ncEAacSeBim6RWPuLrNmHft5+ZolcENNl1vXUlEPV6b93ChEp9nzM4hr1t7bx6TcqdFfZeMynyhX
jUZU1FPmVLZ5VTtY5fyihi+o1HMvSz8bAkfm+9ByadbNLbSeNAys0RMOMkkC1tuc/QsZvtrmHk8f
CsUttl564z7roLrKqwxomD4UQfdUQBZr/D0ur83ZntgdCOOmOZoLJFOo50pgJrH6FbKtWkCcRiuc
XBWGrk1zJY++9hjuBojzcG1skFRzN7WZ+OrXxpvUhoXm8GVOxkALTbfIZuVFtn7CQXK4FvQmSd6Q
SJHLYCDIaLXaRBE8Sd+tHLGBkn51XfEbrTEo2b1eu12Thm8S8II8vCQzkGxsILjp9DwLYnNWOT6o
eivZLXj9NtQhSzcVFgGiozCCXP63xIQMWhq6Yu1fkVgnwIthtWToZHoT1nKQvlHH9YqCaW7L8k8r
DQjGHkuiWRkO8hwrmAX/q6a7MbAnBCaPxSL3XbbtliIwQPGi4avCJX2IX9jEQu6OCnHkcVMeptdh
Qhoq5JJpJXV1EBV1hR0yRRL0tNEg6GBT0+PTpK1fNk/QsjmTvG19dKb8HJX2Z1EXNNDgl8ZSSGgL
HuYOiB63RdG+9QbtHYBbaownDIlTyUc3HvXz1mQhCgWzgBCx3LZl2mnTh0ydiIxNLEFvQGgXGqoX
3UD+Xad6+A7wSwFrfg21/h75ZtFxKDHSUcz2sitGxsAk0rM0nC1iaZyO+cJdmju+jqhZtMgpJlBO
3JIH1rqUgTrJMFdU+lPBP5Vs9fqx3w0yIpDVOpByumGteFYQtbSWk/fJNgkXcoyBZ6T7EvGNNcqp
No9AkKd2BPi2jKsSVQHy6SKa2veZHNlyqNgfQq2Gw7PZ8+8l7AfD8rJuCQ3YdS0HS8fasP6bQoC8
arbfh6yFeo6ZuiU2nAtDgMuI2mc5Ycbj9Iysvdl1uW0Fq90Av8biWKagffRCshtVdnPSBpRmltIi
Npb3oUoznHZumupMdRFvYSeP9KVsonQ62vTYhi0U4ZMxGQBIpn6WTOtmZo2jhOdqaY8GHb1mxX5n
ARZbDmXskNn0KxBgUXdvMsQp0xxUQrsQCgh19woPubBjsZ2mX7UxD0Vqe8LiG4b/4u97Ad1tiymI
xmaX8GMpHRr+8bVSJl9PPyn8wVIVh8Q2g7DbMhzHw0l/DdHs1DXZ3qhWukpxQrDd1RwdZNj7OPwI
W6ojLwrimjhZj3Wk+z3stphnoFjrtcYirppIpTGuBlJv1q2hnmWnWX8FSq0+HHZN+WmTxYT9w6Nz
mtDGlT/2cJfEbTB/0IHFyVckQ6SgYxvcRPqa8OkWhs1HBdFoiY7IFneqR5bIUtTjcG5A/Jm4aulH
OF1pT6seDKvmFCO6kExf7qWbWrWBHWt+i328szy4GG2OdkzpW81CAb9UwSjdpybbGjjZ2slBnd9q
lpHUkVw3ITtW0j1oDkPJWycfJcDIx6GfKOwphi3DP1uf4kCo4S7Tzc+YfNuxybezKYgVZ+GtZPGm
QJCnZgYqM4QJhnJI6IMEy5thF5268TZN/+PsPJYjV7I0/SpttUc1tBjrqkVowVCUydzAKKE1HOrR
ZjsvNh+yq6eZ0RmMsWt2NzdJQjj8uB8/5xfBMu+h/pn5RoNCAClwjqDiyIMXOiMlNTQ7gV1Z+oQz
cgN9PqNaxjHJM7pNBNrDoEqX+Hel+SoFd7I5g18EfO25V1/V/M2iL68UqLqK5ywd4ICG7VvfZXDr
8/RZycJjHiBiW2n1UemsB3+Q0S9Ihmnu9Fsp3uYOEnMV7nb2WqEqFnKqHMfB83lMCwpiyXeC0CJ7
/jugJPbjLbVjYovVM7OipZcBP49oZe5EfvTdOw4zfkZTeJt4I21yUYhwXhvhm0HhtL3rpQfy/aBw
j41B66pDAED2WsDWbs15g5I85/9NHYEDN9r2JANJHUDaOn2zqjmc2HYQT1Q73atFPxuMZNP7hnqL
XxaYWK2GMxnU3dwWIHAVxWPtjpVlbvRvqm29puqLFR8HW0zjUgLgolZAshLH29tG9wKCPYuceeMC
41Mg7ojQWmuaFW9FNmZJmZs8KCVVfY7CMy+sBfMjHTvio8oDGU6X95x5kd/QUlpaPWfj3LNWsr1Q
SswWA1Cm6R7fnEWtllOLqEYjX7e1bZTQZK5td9NF2p0e+ovI0Gae00HIWObhUpFAmAJxF/pMLZdp
uJds9xZSRB28ta118vofhvcO5ZeWPqdR05Bmqn+rGKdQ0o4V9fbSyvdSJ09N3V5kpmzeWl0EIsq3
tAWHOYScknYBJfFn0MK+alFqS+xQf7HcCNXZpsAUNG7/M22XYsClSsQxxS4kGmgFlGAh+F5Gtxh8
sEcQJ7v0ybZfQAAO2ltO00AD+tDMOolchoUlf7TN4Z6z09pk90kVeiSOJ+8byFBS/doN0Z6x7gs6
Hl42C9IYioUFeKhfRV2/9G1vL4E5KLpwZ4T5RvUMuDKdsRC5qs7gAc1jo6D6JG8Kl+pBkPuPZSTP
8adjCOCfBCCHs2pRJ+3eq9ypR5slG3rw+UM402xrFmctWLqqUF7ywTF9SixIvUpPlVVOhcPKusLJ
gQL2WgXk1uIKYMJam8UexdqD1j6zAAvlye7XustHm0K3JOm/HXxkXECv35Jo594d80N3TuC67Wrt
cHR27fs8NenK3A3mostuajIKpaB4oNfL1nbviLNURlZP+sgAy2tdNC11QbTEOQBFJwcyFebSTNHs
ehp4FQOspMkmrlo06Sj2huGs5ATvBbOCvk3RthsrN28x4cpnlZGdququ95eaNtMDbZtTKVa0h7rI
SKU9DgTzLHa1SVFATcsWMt1Xze6m8ajCxKlFSw9hJyCQP0FtWztyuvSUSF0OyvDWmbctOVo+HB3p
PemeaItzVB+ZoZjjINBr2MPUzcIFbdu4N8Bv2psCBIRdrWRfeW2qHLBxsukoyKjpxm7ePW0Ahh68
WWpMTVxiD3TQB3uss2DXIQaOMZ396g8c2lxt2Op08gdyCtEd4L1QTennPRt6f5AI8EY2oCQok0B0
P6AO1c57oH0q5mqoqmNiHOho0i7u4R1Lxd4v05kGMz80yl08HEs9XuL9Oi/pIWnJqUyfrfCxL9kP
4Zzb27gF014CG9f2JRpVUWlTrBz7FovMgkIVzOIRjUif1iB5BY1WDdaulD41pHNj+MNmCR1mBCuJ
IIejb89hEvno01X1Cr+haRL4c1q9Pc6JKszbBSBo1bSnXtPMsmGvmym/TGfOpTESsMdKBSVGAKlQ
E9N41ec3iXqjkufIy3rYoB1LgX8yoIdkdRBbh8exAebNs3wNUzegOmmsKRzp+rJuDoWYJpS7vDvd
mxcpyTYobf2jGD2yKJDY0YMEygO8BIgl/wZQ+STSXm3O0XQVwFlJDQ3YEqautBc+kBRscCNAeQ6H
c1XjG9ElCA50NiWDbRaEReEm06BKF23f3uQVTY5dILZV/9zrs9A0pmq0rcNT1e1MgKNqcMhlianp
R895oq8t22b03pz8WErpxrTo9pYO6EwoktIr6cea4zllPwjb1JPmVezPhtreZI6DPSAELo66WU1/
uzMeZf3TSFLwXeYm8IaHsHhxFJHAX4HyULTKDJbqrFdrYBDRUgoBytpbb3wj8cpxnS8PbooqNRRA
obvztM4f5EbcBLRlhIWAdLmVGg+6mDT3S+/eC8dZEZwMJ9gUjLTqKgu6L1OtFOta29lyb6CMSiob
ehWuf9FKrqs9pGOSvHvby35A2AAIQGNggR3bPFTXboRgcmMALumHdNY3r4ahUTYSlAm8fIk+FnXV
kgpAK1Ast6aq068Vue9nRasjzZneZGGMQotPNpY2NVUWs/G6hWvXeK4VHH+LTiwHnMK0qITlSQVK
dNVDUGZEe+XJON0ZaK3otaoePUkxH0b9Pnlmcs6feY0h1o5CAcFzqCnoDvhNuwMuChUKaorUPxXD
AYhnpPyIymw6VCgWgIsv6EE/W2zxnXdX0AwyIFA45cINyxe9PpYmpIkeXljbJR9pBem5r1xyVQHC
XykeLayHy0SQhrX1m6+pN2WhbOxREyJPjjkaRmZmB6usOZUUkOmtDUo08SiG2TSQLYVtEepMZxiL
wnzH5Ai9o7Bbu+2HB1XZ8TnI+e7JaUiXUrvPD2kJWA2efcMJFB9aA45fqxzc8RSZ0xLR5OdYMX4g
gSRlYp3E4bPmwctNk/7WwlPgjurpihS01ql9Ncc2BgClwG6YV8RaKW5tZHuA7wf+W1+v1UCay+rc
tsSaLssyR/Apj5M7H90s8qcByBoag6TqODSA8uv1n150SJKZB0wbdGjQg3LojwHq5hPybXQEgAD7
knVMhmGqte40rOZ+Vb2pdb4klmZN5W8FJygtkqYGXUgrpoVduEuVCpHf3ek9CZp5Z1N9nVVuP0yt
JCbVRiVLSprPZJxwwQL7sqVm3gDcKdy7Vsec0S6W+ZheUH0r8p9Qf0W7sANYbfhUmdTKeVcoCIW6
AExkZ3Sr0TXKrIMMli/knKFEiDqb8JDdsutIJaC+wWP0g3g2pCn7+FDtrVYauZEnqjxZeF8UCwi4
cPKPAU3RnlPcA7hRdARk3rrzVPhjFBsWXnJvi7nb3ypos0hrwhJqa+4sSulnWwOwCRfCmHblT/Df
Hj6/8m3lbvz2vlfWjbuKPGnWBUc3vInBoDqzTr2Li0XfvqfJ3ElfArrz5s/AoEn1WNNNDZ591or2
UY7nFmZU7U6l0CmlyNSknGuHinN+cuwSKue2MoI9gxvPIrE5RCwaTnMyjVna7dXmMdXv7MY8SJ7x
M2fvjO09ufBMbva0KCtZPBT+RjhPGklzTj08btxsXjmme7BFO1UrPloA10OokME4tGD9p7fCOjgF
oocVaPsstvStNpJri8JG+pP2+LRE6zxRKjLRau8YQHyGkCVqSKg1JtqhLkFlaVm/EpJNRyqrNq6V
sSyIXl02ALGmBfQrJXkq5Lc47JcFnJI+x623HAaEcJqAXzK2veaulbBcl3mxiiVYU7G0VCAD2CjD
JDf+6AvTzf3h3benthse5Kx2KDWbm1yROYEooKipbq4dmv8V5b28ffYjDO1TlQTGpMehLNHXumsy
snhgwdvSICHqoeUVyU/05258mcN0Bjc49E+NlbL89ksbrZwuWdbmQVMPqra2KQ3RiZStm5gje9Xv
bEOZGEVRbnTLd2ehb/ygR4HwCO3u0kdKigajzxdvFP3NU+1VCNcrGuhsRyDx6Xb4jUaIaxNThZuF
UJYcviY26FefFk2v6kvKuLlOUmsPm1KLdolW3QU60F8pfpC8YOuC0TAkb29UgTaxc8hodbhybH+l
DhAjUFrrsn6G5EZDIzA9oQE00crHPITX0M4z6cYVSEf3iTHNRxpSRLf4JJiqDYurNjKWzYiFrihM
UN6mpvGe9S1Vblr02cTl1OirHaSBoEomopB/SIX7LIW0h+lQmSaqB77xbrJZl/FcAaDvVOsuWJgB
6Yrff3phuE0dkOwQFsigjIxiXT8iPNOlcMTcAs7mK+ncNU++F+xqMDqGTLVizM9jmLip6WyUEnGn
e9VCTs4CExRR4KXDVhezEG48XuYGLMNKevTUcubQIahjH+DGyeOJgHeHRjEbBnq8af9eOMBBJFoz
iL80PcQoO7mxqB6WAE1FALQIdOBEoy+YxOm80otbN0sPZuwfsYFed4l9zMUubBFXEuIDQE0orWzp
4EXGDOmNH4rrb93ElKeRD0mBLJ92pDOhlrWLXLBOYQew+HtZKmXU9fqDKNW5Z3DkpUNiOS20m4k8
fR2eID5PRunEUzuBO3hFOvHPstTauVdwHoWNIasGSD594Uv3eX1bu49XXuDPWt6cvX5X1Sp0X+5j
TVW2stzmI1BULXe96odAEg26REqfF88iaqHIGqVBRu/Te/0Qnk17SR98UAhXnuPPWqpsW78/R1Sr
adk4oHSGbj/K6Mbw2mkFLoYZOC/4Suq8iKf4ptP7dKVdSN1BvnJr69IQnGmblrVmDqbFztDpCOyi
4WV6rgwxr5tT0wM1fRdh00kPB5ptIuJto61bZW2Kl65G8KBigknFsnbgLMIKCeofRazOQ8l5Zxer
/BXxS4EuZTTNSUHtQa9OqtFP1Z5MzeGlilu/f0pZhqsXrVBWATgQ2YFsHnrmi98+sIdCgoKaObVh
mrl5hwWFWIWGtIn1Cpg9CvCDIKOFQM/E1uDkJxPTu8eZxCpROiuI7Be5gV6ZrgpRrpSo3qS+BCZJ
x6yVrPA95nygFhuVf+tiGHga3dzvP6k2TqE/xYb++ydt8ijOklQeMGT0bw6zZOMes2UweZ09Vquo
nshLICby5EmaQrEDMzvZtJM7MbMnFKmn3vLTm77BRdrJYKLn3z+Ral6aZWfyfL4tqZVkedqNpzYr
tKpksB5S8QOp+R+lpU5yR6NM6c0p4Y3NMNCtoEeDsIWppJGXI+NIFyOuyc42grZVQ+q5KhC+fw2r
p4DcPEHZ1DgW/tFR4pUF4lt4qK/3dJtahExlQ90Ddz22b3L+EBvb7tPoxxtYCHcNqyS9DbVHCbXE
fA6qxTvIPupVI0xgr7Y2RKenBpxeam7gvepiDuzxhPP03LqjOj34D72xkJHJiJAN3UkkNGJmkQLS
iWZKbbznWgEZDiwIkuJ80OFeL9KW0vcSocLbkVZJvfaztcC8QEGc4vAi77Q3pOjyYyteNNZl9i4m
RxJtYxo/Q36g99rl8P2lDcDM0u4mLWJmzcRFEyql/kFVqX20nmjjGtqNxjZGviiaFS0MiG9VuzbR
DxLRflTrSrT7DlFd4GTqe5UTBJyBXWAF+I8N4CbaV0MHl+yLRZAMe6iK7DC+r05k2WSie8e49OAG
6Y+xqh+DcOdlYGOcQwIMEWGCkBJRNa/7daXq4DnvbHUv3A9MberuoHXF3Cheh3QLtYiO9WMJF8vE
4CMnQBFUgh2jUMlS7yJCSinuSj0QKHDbd2reHEuRvqqRNXM48yhs+UnKGQ+9OjQi+m1kOFNOEkE5
71AM4LBJBjexw1fVxRm9yxc+vVY8r3NvlbgvlbxPSaQ5tue6jYYtElgqqibAm1ZRzKqj7dnDBqr0
GhDclKeK2iUoU+B5Q4ieSU6SqGGWpj31kAJgboXVQ9lvRLpVQRqUYJ7B0hUh9O8gZP00xKeNeJsr
Q3vU2ynW1OZANQDDPLgMVncU+i5JTqjBKN7aMZHKCeakii3O7hV8tAiGnPdcqcEP2/cfo3SVylMn
f4jqU56qM6XxbiXyvqRpoD5jCZbaU1/AMKk0f9ll0QQQdA4UUiTZ3ffx/Mso+U8rzJkkJFOksZ0+
B9qJKgt0FRQcpeYlqMhzQS02AFpNOn8+CdsQKydJPyQK7G8UJOmHt345AezSaTAQI2oesbtrC+tT
0sE5J/VIynjJKXHJHCvJ4xtk1/0TAGSEErY+wGY4FpEAyGiWU/CchUU2Q3hEa6WqaNvsWmlTxzvJ
3jTJxjEVYBb3MZ23GJBMXJ3yftWH1bGhIBQ7lOxzUS9jCrcTw/dPRuC8Za4xzez3yt26wH5kYP5J
fUdNeJ7X3Snq2lfNbVZ61081ePRdjGyw6u314WeXrrV6Zw3Dtfzmwt6ojf/+RSc6NVvXELqS7PpT
SH8KacaPJF+o5HMj0GJKEZwawvdf80KWo519TMv1c5FK3CoLfWVtpyUkeXSFurG5+JfuoI5i2F9e
pk9zO/dbeBzGaFI6vFV09usru92fBbW1cyucVCrbkHwo2oXqDKSiDHYQ0s9YSJ4VMKGuCbGPe+cf
Zvy5/Y0e531qW0O0y2DWSOpBi9ffj82FnfHc3YbEXy/NQER0gxOqnJU2sXRnMXC8N1L18ft7XPjC
tvr7+AtUU2Mcl9QbNyKyAokdl0Ue5E2GGN/3t7AvDJB9PmFlB3R2LHU3tF9gAyG0VyLABvQUOVjD
Cyc2iNDEixegSXYpGIk8upGCNxf1cckdgGt1s6TZDyCBpY+ooL4cRGuvoqlTSgs73fgRS7JC1TcH
Y15RzUuamZE4Mw1wbDCi+Yt06dLi43yFjl5U2bd+/KYod37YzKiHTdmAS2VXIQemVRRBo+BZpPsM
iDZ6GU7M/qL8LPHBFN3CkR5z/02J5FM50NoLk1njg8FTUFt2QkrxksCr7rHQTw2O2nWyB1DR5Rgd
dD/zAGlyPA8EbZHe2Uh8RYqXmPWkb93woJa0Y/xkX3aQVDjh0QkNaUYFcW5diWPlwpphnYWZXHPQ
NsyK1kG99CUE7ODc/pB070H3IKps3AQ9WcjuzV+LPGuUYv4S1eyebQ90Qt7WXm7eWWVUHeg/QRdI
ssxBZT1NkQiJrRngqgh5NNsyjt/PtUsC3NbZ2UmWBlnL017bSlVJ725w00XUm3eSIMdJwYSlFmsA
9XNDrql8fSSFPG+kCjRny2FZUNvMKJk5cmBfmfy/gvUPq4N1dohq/aRqPL/Qtn5bSXAw49rV0JJP
pecgk9FyCuj1vbcqOG29sWjsmKoMysFAAFOvY6Q9LL17K6N4hM3E+dpEbx11zLRKt3ULIa6I1PLU
WWQ5auZW961jhmBfW4Xu+Rh0iAAEQPHiAWUXYVfulUX71/r/p5c6O54JRQ1DGd3RnSlMtPgs6izZ
IkNSEZLUVLgWTTdaM3L+UwLZatjZrg9Q8OkPnhaMPRgwG1XwkYrkLo/7pQ4cOQH45uM0aeMX6IEp
LUuxaktaNLBQ2zKnII9woxXME8+8Zk0/7mF/eodxtfoyRzvdcWU1cjKEn1paU+BppvKL+4LadEjp
HwkUW4P5Z68MjWLRDEhkDk77w7jLT0Hz0j5InDfo4b22e8IKsZ7lsJWAKvH64Mp5ISxHEMl5NUsk
N1ZW+EKNEnFZdeI81Z9RfAO4nHn4EWPMTjGFfeOpxMJDn0tv5KcSaAs0JD+AE0nVPNpUCAjAbMaL
bgmCvE4RSJsUPyE0l/IkOaJRaevzqDohUjL4HvjALSX09IqPgHlhF7XOzmdqrxTZgKjTDWLtC20V
bWhL3IConPi4SEuTexsLMH1qbvBSnfoLBzDkRMKDLF+Y2DGZnB2jmTshe11RVxv/apZMIT/OkEmZ
6lRmXrQ55LZlPIVleIDOsI+XJNQ3qB4Dkl3SDFzHS7ESW39uL6BU/dUZfLbvmbbnlmbGW+GmPIV6
v1SX8glKKrrPuH63M+ST5uaaYZ50E32GZun04/nBm0ULqp1b2N7FNUH8CyfyXxWQL9MwGETUseqr
GLfRdZzBIpmOQ2ROSOamEPwnwcJ/uLI4ji/3pyl/ls6VLA9RNN7L3Ul36Rp7gmP/htD2NJ3/xbrY
r1n05XWcGiBIqfbWjesAFi+iva2Cyks70q7vX+JCUmSebS213BR2F7XWjSKNFEiB400RZuikSwsn
Lq5av1xYHcyzfSTVnBLZ9YFCCd3OvBUzvX/gLAHswFq0Ju4F1dYeXmPnWpJ0Icp+VUe+jJvI2qZw
Y8DvjUBKHoVKqdgkFF4Rl0NEpZ3lKs4j6ZWJcCHpM8+Wb43Oqh7HdMzYOJaD/KLB9zavDd2FbM88
W1c93cz7SNcwzfGsU1NAzUMk8ftvf6l8ZZ6tRZaV2JnpCyqSZYZyUVTSUY98x6yn8CiQu+7MwZjL
FrTZHHTNQeno9AYGYlOI+PvzxPDJOfF1RexaQztAFDXVkczxJt0gC3DCKuIgPaBIPGuQSJelYGtW
qryObV/eCpQjZl0NjaWB0Y3oVGo/6ypajTjuuoDNgsGxbuxEQefTdZHCimXnXSA2O43zDgh/rGfo
FyBJ9/1IXCpyn3tPagphZodBtGu9EJ02M236gyKlgoYqu77is4UM2FOuELMN57Q32rkzpNpKUrrX
qLalleI17RUfiEsRebaU0oktBzCPeE9UyPKg9816NkXZYKIaV/agS29rnp0ggtIwIftwC1+LgmUJ
am+S8jHnjQUIzlAsed52VrVTm9w9BH4pNnEC2w2x1xCaVT7MQhbZK3nDpdg5W0P9PqH1bZkdc6ig
YhBsbEBVfVBcydQvDKZxlqhLpmaGcuf1N1Kxw1lB7Ra2g4rMlU914eGNs8Wzalw96zRMAoK4pGqN
Lmy1a1R5/v2kvPTsZ2umXAdJXICPvTFt1GR02flZIZWqVu1r3ITXJv6FhdkYb/5loYR26g/qIHOT
nhKMCEGPJ1mzCROd7NLf2s5wGLTemqB+PlN1ACnfv9uFVc04WzILVGaKwlU7WHAPInnOwiuO0+PI
/2FLNs5WS9ui+1oWXNdTNlE6yumBzlZgW/pzc5j9tWc/WzXNoBZFmo3PLtGbthdBlF7ZjC+Nylno
l2hSWGXClUe9tDq6a+UrrlKXptJZwAt8RBOXxeoGjD9Sw70yA2GMet73A3IpDM5iuKxaz5NUrm5Y
/gTbC1dFIH75/bUvfFD9LIAB5XReOD65A9dThjE0stPTWxvtDPnK418YnF9uPF9CwE9cb2hioCy6
CuFbo21sIrnwRs3z+1e4kIvoZ3EcpO3gIX2b7Uwg4p48uBPFstS13iCrhyeezURl7XViuumZiv7n
93cdr/6HSNDPAtuPAVoNeprtRCBes0gzqORryTKKkVXIIgHXAS3d7291wfVS08+i2RQiY0scwh38
m2gvPwwJlOSpdOoetEl/ZSJc+kpjzHz5SnkQ2Dnuo+Gu1jIODGkRoB1b2K+hBfYzhzV/zXn30ow7
C++4CxxFcyvkVwGzw6+Jg0er20o9ZLTqR+PnV2o6F2JdP4v1IpFiXQffuWtkO3go+PBb18nc1fef
5EJI6mcB73uh53h5Ge50b9EE92FzkK8Zyl+69Fm00zmuJVePw52ENmdidejkzovyyo56IVa0s3Bv
LbJLpWFUkkfU0VOYVCicKUgJTgcEWq+ts5fuMn76L3PJ0MIGOOY49rTlmmX5Ts8mxKXBnXSIa3x8
/wkuRcWvrPvLXXpbqZs+5i4h2lblLGywQkA1YQIDTkgbF8pAcWUFu/Q+Z7EeBXWEHTF3AsgLEp7i
KaxZu5qj9V5izXDlhS58eG389y/v4+A260YZeo6989TEz3FcIXvx9v1gXbr2WXTXieG4XZAkSBYc
G1iu6GH7dXBleC5EtHYW0RCvKk0FRr7Td4izC4hlVL2PcjHXsysr4IVg/mUI+mVo9Fo0TZNyB1E/
oj8GL+/Ko1+4sHo2Lo7h+iI183hXdQdJv8FN5sqFL5Ww1bNBqfw+tos4iXc5hH2Hth3Ya2jKE/Hm
/qhgK2IBdQ2UcOkl1N8nTj4owreTIt6FwHoL67GursyaC3uCerbKCSUdBt90op09SEsdMY6SsnOA
nLp1bR29sIuqZ4udiPVSylPuICS02WtULo6u9FmX6Fpq4ez7uX/hLX6ZEH6ZPL0XUGE2AoYHoqvQ
7yKXtjYd+Wy4ZoB94QOce8lHZtabSufTrVWTx7iqwWhKz98//IUBUsZ///LwfqhJTjlE8W54a+6V
1/zT/QHx8PtrX3rss2Wt1uomhk0b7+reNFDbUp9KXbpy7rz03GeLWY0Yh2cFDLr41OeY7z2aC//0
/WNfuvT4Ol+GpJMBehWhR2RhHkB/CkiZqqMJMoQm5lrozLqx8xdH6CyIrTwxhVczQvAbsEYSUPO/
f4cLS6ZyFrJpgesVemPMmBrQxzZdyEcn3eYv13rJl65/FrmOqIzU9hh+3BOVe/y+RjvjEm7nBLTB
96+gXJo+Z7Hb5Fngy78+sTFJ9tVLfpRu6S1oP7Wp92yvpu4cEOb397qwAcvjv3/55LX0X7NJZjZJ
exPpxnyHTNzy+8tfeJP/YfWOHo6nQGCj76Oi0/AaV4/fX/hSJUg+C1/XqTIzrrJ4Z6iTbA8EGSQ4
3gQCYO9nf68DPTZm7pN35XR+aZjOAlrK8BsMet4jouz/WN5Lt3BGadYss794g7Oo7uyypcnPDdAk
GVDw2ZvP6j1KecOLcWW9uzhiZ9EdFZJiayG38F66t/Qt+tQ/q5N0C765Vpb2W71Trt1pjLU/nODk
s+AGyGOpNF/jXfsZDVOgfBCMUTW7VXUMw6flxv8Qq++nwaX5dRbtoSSbsu3K0U5KQd5Zc0eTrgTG
pSCUzwLdb121j0c0hy+hhJN5OLZVBgdRFOboyVYyHO4Aj4o0odLcwp2bSbWVz22zEvu6yvRlFtfZ
hn3enX//qhcWHvlsUdDNKqu1XIl2BX6ygO5+eA/GiIibwDP4/g4X8n70P35fDCq5hcGOqeEufYPz
DYQytifxk/pmndwfnGK+v8ufP5l67hPuFJklY60Q7yyfyjBl86wsr7zApUufrQl+Lrdg3nl+map+
YmFtGrpXnvrPab567uctJ1pfwv9h2R+YZqkEw19r8g7FyLaYfT8wl25xtgRksoVMxNBEuwZVL/jy
SHuYtBCuHR0vXX4ctC8rfSLSHl9d0uYkoR+37YNl61+pE/05b1Cd83iXtRprSS7dnpDuxlinnHUv
yd33w3Ih31edsxjvisCQ7BZIEN6N3X1zBJszukIf6p/VoflZvV65zRhH/3PRUp2zeI+LABmMiJfA
5w0PmX70kJggZ6YsA7pvmDdrV2bpnwNZdc4CuQtcxw0A4+5AoaDFZdSIDi5bdxK85dfyz0uRfE59
GE2sdVTvSG59bG4xXoHxQ6Yyt8oF4A+0/u1r/coLMXfOfyhEUmG/zLAVmBK60koI48o4XZiw5+yH
UFa6wS3oUTQSkm7YK0vPGYJZ33/uS499tqFrrSQGBwb0TZ1jMEEC5yq3v67872/d//I+suN/Tpnq
n//B/79lyKsFnl+f/e8/77OE//5j/Jv/9zu//8U/d8FbmVXZZ33+W7/9ERf+141nL/XLb/8Dezao
+5P4KPvbj0rE9a8b8Ijjb/7//vDfPn5d5b7PP/7xt7dMpNDTbj+8IEv/9q8frd//8bex2fHvXy//
r5/tXxL+7PYj/z//+zUO3l7+bcrlEIn9LPmf9OX8Eh8vVf2Pv6nW33XTNHTbUSA+WpbGp2k/xp8o
+t91BdEWR7UVTVHksV6TZmXt8yPl77Isq5ajq6Zh6daY9lWZGH+k/l1VWRwcqHaGatsyLJX/etTf
PtZ/f7x/A1h0zIK0rvhr+Vdx5b8XAkvlATTV0g3HgENpG+e9RlGFVlGXWDdk+NDhbNcalQacL0+x
YZRMfaWX8k8gP/lSzh3xUx/wHMDWvD7ktpM9KVbTHUovR14ukqx0geeX8xjpwatWZKU7G/KmmplN
YC4tE5WmBL9RxM1K2fiwtLDfGAnV9F9XZPWDGi7i1z7CkL7HWLuclJadPfldUgfrXk/ztSzy7tEz
cjTMDS261VscmUwFp3REinP+OkQ+ZSjK8JDlg/ng+n6P/10Iw1lU73qvcMXKwPOjMkILo4FGA2qP
Q1ag8Ldyj6y648bpLk5HkmRcH/wgiQ6BId7DsLbQqUBf2YSktMZLB2OXuHpPPFd6CtKkPkAmt6ZI
V2Ba1uGi5xsebDZfatYJ0sJ7UecVOqfBa5PAUR3/Umq5okzF/14S7XtRuv22yZ34xrN55Lbl5l0n
GZ8FGjvQ7CKM44bw1fIYwMECT17aKOOQpPEafmqZq9xnnH49pd230QGktrVv+/y9DfirCEV3L9dg
slcCbffOMEHMOxRspdr41EM5e3KEXg5TX23rg1DQlzMqPzpQ7cNMQPG7WW1xhc4yPvmqKA0qJS8h
S1JV4xSmKMu416MHTWaYw8SXF2bdtGzqvLY3Pnit8ry9i0ehgHh0aFEvYNdhxu0HU+VNJB7fsHLQ
BqLCP7U3Y3j3pR/Lq8aPu3mq8AcQH6x2prm++p4IrtlGGkoV6J6EKBiMH6/oa1RPRk2acXBD30bj
oUvYx/LeNT5DK34t0pg7au07Xt2vJRpa0I2gzo/Dmmo16vc6r5z2DLBWYJDrIeDVSNzUyj3z07b7
8tPQvWCtZXyQuPctbNaqd61zzb1uRP2+l0r9p5qh/+/bzT6qjfaY9vjDNBW4NH71UXbloxK7SKLg
la4iXwAfG2xsEd+VbCfz0G+tgxQU0Vap3WBpNS3se1so9qMcKZiouKV8MGpE9vJKs28SR8ba2nQy
nGq1NlsolsnGQdjuiwRUh5x37tY0ZG0XpQ5GZKoonwPg+ujBdGh3aJGPB43WzHyr7rCrqCzvfUhK
Y5VaKS5FBrDKlSVs7V2TMx1dpz7LUWgVNeLDbmnMNMjW0DJBFtuZXX9Aa41xwHMANXudM8DpxPsG
dYbq0DLh7QzCd+90Sg5qXzOWlh6Zp0Jutadc4JES6kgaA7TzgRVqvf/iNQTCMJjl9v9Sdya9dQNX
Gv1FDFhkFYet3vyeZlmS7Q2hweZYxak4/vo+LwkaSAO96GVvgiSGJfmJrOHe754TVUocU3eZnheI
jfc89cN7lzkC/ItsR9zkLSyM1k3v+4AR8nCd3L3Q+QRfsKZ+kIqg3dXe5N07S5s8x3WY8WjZ+HFw
83LbFkxaBG7r3ZVLvN6npFVuuAOBRSlHCw3QdQFJjQWKig4fZWrjERO5CzkzMWl0yH3EuuFUBPc2
GPwH1yTTi1sn2b6NkMSvKkzPVcPAP5LxObgDvOB/ar7tfpkrdWLq5GsIg/5ZsFTiLhxnRXCDNkps
4vsg952tYeoPozQMfMPvdjeVpoMGmDArnDQtPyEDCf7IK+G7scLq58mTQzoDyoWezqMj3+o2rh+z
QYj7Atv0a+km3dkzjvzsMbNfZwGInjoB5JUbDZDvDOcvQPiSRlexh3jt3SB/j6tQvQ9NAK8KguCK
MfhHmJt6FzgWX7LvMD8r9ILdaSK2Ohm4jdL0yZvynCtL1S5Ym2v7OJBaOnbXkWYArHCPJr+0GCob
qB6icO6CLkxwBZK7d5MGyVDnDlCfg4kx2b5w1n0zrDmuLbBP302T/OksODBIdkc/E+F2Cdb8Zejz
mJnzBn9pxLtPYNEpkj2mlR5UQxe894XxTsIaHG3dXB67OQt3/eB293z+AOkk6DeOi8VDtuRmH7VR
+5pODEMHs1DnDH3cI9omB6ODhajH9BezeGF+yVZmYsZ+iGGVpail55YIFhL4Xea1sDa7EUhk7YEi
hXf/sQ4e/6aO2Znca6ERrM7Pck1gms1kuXhVGEc6r0B571YFaM7rPO80mBkcQm7pzhJ5BpUtxnjX
6jneqSE7cm7n9UaE8jXK4Q6SDqQ5y783chDuzPM/E9AjZNolPjZJhXMGlEJ9qbT2gUosTE23Nb8O
kadMPDajL2D9xt2FQVuCZKLzeKCEYhTUbZAiKfCt2mW4Z4kTBsFcCIfd6OqdM0XTl7OkEWeA5keP
A/rU1Y1+7Zt4fXP9OLosc+peXwn/PsxSj0VYLh6eKtMqZuUCWkbBBCeV6fHlqFZHnWbqZrfJggDb
V+G487yk2gZRwDiaAzTZWwUyKKNhfGY9QEB+kJ0TR6ytbs0LEbEhd2MITb71z8GYxA+eiu1ublPi
y9ediv0Ot2smiycnTZ+rYVjuUzXFl5wBge9hEjVQJsVMVG1+JJp2/yi8adP4HkBKsRD31jF6oIWh
5KSQ9b4b1qutrn/R6UJ3uw6ScK9LKCF+l+r4JpqZqILC3ffHONHeJTKB8+TqAC8xT2oIE5tBOLhN
aCaa0v0uoiC89DLK3rxgRjHay4u7jAqzgxzMPla5fqr6oL5dUha1oG7bmzZZoXeqvH72XQ88QCfI
A3pNDqGsbpmmcwWq8+zODWT7lIfUahF487R31jsqvv5eOfpxcGazzUczvpip19uycKYDA14PTabe
yoX5O8clSdRR2ad7j4Uso+Uk2XDl6us73lUsjS0PcR/J8xRia9VNgxWgax97nw0g196PDAlaoNdP
TrBX+1We7etY/Ub5zGNqI+LPJA15aXMFbw7mbRNWL34e4iPtYshEanbPeiFazvnG2TCH3L8lUxZe
WGlwvU6+2NcDDhOIyyMq+7n+DSGDOaQkyjusBmI+OTqRD73hOsgoQfycNzFI7noasLpm698u7s7d
5I4vQvXJQwtdheGiaMQN6tGIT/1lq1v2uWCK/EPRRvVO5W139GqnY26i8nfZ5C/7Ygn8PSFZ+eXn
kdlVTFy2u8WfofDb/jVgc7vTgLEhRC3COUlvWBo8KY438dYw2BlpJFrLYtzXaNbB1yKucxocfDcq
7LMrrqPZLsnQQ/CxLeDscN779Wz30Yj1zx1qxnBI92WxshWIWr8++8reZSsUynGogl0fuOpcFEYf
6lrf4T8ooSMH9nCl19w7DusE2MPg1bf6HZ/kBAgHBoUNJZJ6DQVGKdBjObG/HdBhzJyVfzVVq+QG
psPT3ILy8mMwgGwO80YgLthiIQCVUKv1WBs8uauEDT8ukFEZn+NFy8b8Mrawf1pQIzDVbHQlIuJp
kK37vWRlcCj6eLlxe3/Z8W9Ktmk+rBcFcOZx5lBgyrb9SgOtMex1v/uYCriUS/G0cl4B6zHL23qR
nIbH6L5R2QPjMBhIZ+oNRW/cF2jXDzbIYCZ6V2saZOADG4PFvxN6426MSRHF8yp/VexuX/gb4pNp
Rp6u2l3FiaEetMFusjSs46Xj39kycRCqKBXhWRyHCc1B3Z1CWfmPvLHNSaxS3UVNB/2rFTb/6YZ9
eatctCLJiHFqsyyKwo512o+8wcLZeDVQypUlZeiF2Ih6JFWBMvYSRZoMUtfkqIbzfq1vhlG0z4q6
+ZOOHeeX8LPO3TDflBwmvx+x1q4+AgfpmeVxTFvnmfAeCR8mt5NPVZfJkTNh/6aoH18RzOtycvJe
vnIpVg85WWIAS+jOVRAyT0mrys6AMqLocYob9xg6LjqWztj2aWRmGLRRAL39pjfjcII60Xz6gQ6/
2SjWk8rHEcxakGaPweitB1vz5GUiGpA3TuHbNBfTjtnSqwlsrAVC9QqbYxIXj7lvaKZ6Y+/SG6Z0
f5eV6k4grsCZ3YMd0i0glV6FjAMWHiQGrkrPDhpxGM6ARQYZgbfXHyUp5a3u+/ESzWhgw8x2mzmg
1ZmOOb7nVP2cISFtJke86gDggAnH747/a5dqoKRpTRRjYJ++HZKSuXKH24lem34HpvrDNgW2RNi0
x7RDhiNTt7odU/tRDpqBCTE4+3nkNJ5SvWG9W7JvlLwl8rrxOVybQ1SC2eFnfVsW0ILeVJ7TIUBT
Omi8Dxl4yFiD4J5HBeCuz++kx7x5GXQlGo9F/hVxI56I7+W3sVcAeTUhh7IlT3ez7+ojx5+n0Cy/
F+g5gOdGgAC8r9u1GJDqTElwDoVKz6a1zq70pbfNh/Z21vArXC6l2y6V9aFxsvW+6QYUZ+EoAEE7
HcaVBR+xY4CDevZ2LJdv1s7yZjVZdNSh3NddBkog1ntgPW9Jp3/Aa3zRVum9DfoSm/DyAz/s1u16
5rDG6XXWYQSkE0ViM2XrpdZF+OgviXl1ZvgAXui/rcP4K9GreRyIKHIPFAnT0NN6B2ac3Xz4zhtV
70otPkEkoeMY4nE7RIbjVncVTegCdKS/dq+uU+vbgn/bqea8uwf1+EKJ4UQJHgobBJGfVV6QZ5/X
ByoIzPXm3Scxu09zPUvlDljdmV0yTsptycmWjC0A31mVv53SFBsr1EsyOX9nwzO41g81fvZ6qsd9
ME8ABQGlmbBfbpMkcM4BeM/9GjCJ5otmuyaAi3rD7PUgnHcxTiwwDviuASNJOZYAX11c2XFfend+
0Yy7dpX1mZFFXDNuo85OGVGwkE11iNLinmOpuClcCaeomJOdCztlhysIoJ9H0ymzw62vxvprrsOF
4c7BhVCmBJJONjkYiPP8gwhrxCzHGP+O47jfjpFKd+Czz63rcduP/S+Xnes80RPx8OpFVX1XKniJ
cUsQq+AsDD92+LtYeGTTAu3XOuCgknr1cGrFPMeM/RdB/LuW48vayat4w7vL8/gy5uPfSQ1ffhqA
vi7PXsjImeBMkVsV39YmueQ1+yaVnPsMZ3VFGcjx8Uu0UDClS6567qN6T4nwzVTOxYmLVyDz051s
Fue5SYpoI7z6b1DC7Oo8VCnrKYWHhC6dm5xV5f0wAD7PhqaDGpchPRQCJFX8DsUv2VivPY7wT5qS
bS4amI+oo/5cAa7uq5Lj++QELyObZMkDgZTH+VVGM/3XuJRIU6afE5PDmqYjdpTgPg0mVFQF1D9n
qA+JDB9qhzK+BxXpxi/0ALoDPXjkkYNpI4SATb/+5QHH4lUscBxq95BoIMWp0k9+LLFjxmAxGfGk
AFC9uiIFRuQg+wJuyrb95tj4thmq+ey5wx/qc/C8muVXZSTOKuanf3hO8q59Z31qCpeqcsdyNfU/
hdM+1Ur80RIuVxx/TtBBChndjpqbC3MMlR//TSvm3xvO3V7leSjPLY0yxC3rYD+yup0u07rytDU+
uo6qx3gWdD8bh7h1KAQKL6qQnBXd5DbUjGMoxwe3mmYlB82+2pbVlRfXtTE0vuIKiNLMRMJojP0I
WCVkqEo5h7GBCtr7h66WZ20AInpOcGzT9dusGEr4cfqbsl0xnba/+DBfrMmOta7vTZRBCsNaPPgV
2+qALacLNjpzqAgABD9WzMfvK1MHD9fB64p7GqPH4iX2oDGIdoSoTrBtdZEP1HmMLqJ5Ljmbp5C9
qHlybarCR1slhzrWwEqDU8ecc8CtAkmbJpwVdOc5y98qxmOcBUKuHtKPoPDZRDAhR3o6UGxKXkM7
VRsJajCZIEOMY4jmXZknZwWuTQCYr/IcrMWDl3c9IFB1L5PiZOdu2ixR9Q4b8pmG3CZP6gtoLGcT
A5+si/W1WXF+LVmOyqSkmoFE+UmzbzGts7x5c3Z2q+RBDjgnUtCgVZmNkIziU5aWCRjsAbJ9k/7w
DSFuNxh+BUl/4T6MnMFoZh1rkR0blrLD7KWYnvuQpzfLKAkD/UJyvFbhR9d53MHLIt7Y0Ingg5de
89w34ytFQnHoK0ecs7Ry4R678iA7nEK7KC8nDxwGs6+cY11LDvYKqzRtuPWoE7MiNxkFyNUIPkI7
GjBnDFpV72ucdqcoatf8uZu1Ydw6y74SIhi/qIyhZTeD9xij4Rge2EzUcI7AWd+IHr4gSg5ipbs4
5E+pO0rkG0uuEtRtQARvhOcN4EzQToFBa4r+VwH7GZ5vwf+OJdcSd7DToTOBBiljm72JWy7fFsnD
gGhguoS9j5l9UVFSnWCYEy1S/ejNB5NBwqSSFqPHoYDXp1sndv0Kmxf54ntGoVPv3gtFDxiaB2ZX
TENuMYshEIV6ykh80SgwgVlkQHQOViOJqzgf7nvt7azpfM3g01wm226BlsChr86u/OQufKIkuLp3
i7DoJWpQtkwa910FwxhNV1NVoADC2OvuR4hE4PNTk86Hpm4oMaW2UliOI96YDzlwYrnEVdRh0S7s
OuyALLfBwYKYvg/jUC2gYCZzyKTbnVVkvBcRwfzcTCpM1HEoocmcmI6hSeByTdA+/wDkZhMCIj+t
5bYnNJ794QoHeN24/oSgKQuurBpqurgPVV5m3WsTdWlwaZzyE4S9Fr/NGmPYzPopiM4yW8ueDv5E
GX0bRUUPTagNxl9eOLfZ7VKr7punt4t3lC9CZuLCpMo4s89uNj3JuM97CjMVpETVSCqxZTcBQaBH
skWQXYyPrQ56/momxdbzqFXP+Tr2G7wh63Kcs6Xg4axr98szJXW0dVaiPw5VhgS7SHx//DE3FMJd
huLiQ5rzmzp6Ngi7w6Kgln8PgW4b50lzsb14qkNtk+Zu9CZ8akA1VXdIwv4aMim8jt+mMOljglgK
8rjmz/PR52pqq2V9lFNEUdH/bFc+KjauGFvEUro9/CCRyyOXFZ+PvcVbj0hJ7OprsZ+n79Nz6Uqt
29afJwSilMRjU5mFwyi+j1/0CTr1nLtNOiPQMLhx8kT+XfQ4xBvK7Vl7W1qbT1s+TL5pIpapu4/n
pvizGpD4OAj6pnpAyuhsp6gOxaVY8pUUH1th9uxVoffQJK7fY6dz8RjRaanHXW8qBFuMXlds+M4Y
Ytlc12F+SzgGJi+QTVBDOFH6XOSRxxQL5d+g3mpc6yMgs+7bE6KhpNzTEOAMohHuDEVWEuzr++6n
q1O2b67u1dvKsr0tYhSo7zpdp/DdBLJAf0VjZdou9QhdCsxhiRsGaB9oQRsUN01YxD8nBXrgjjrT
6+Bdn4/JSZoPnfaGwf9RqAi8UMRak9dYPxqLi+gtn2tHsGQZtz3Rh0+xG1QFukN+La9rrdjzxUCo
JmyG4qerevUxqtHeO9Po+Eedp15DPbls0UsnaRXe5GOdcZBqzVOUpqQyFNxLasipMyCV44m6gHKL
tkg8rtaKiLrt9nopYUbYHvvWuawuA0VT5a7dPhtY2KmhAr7K0jo/EIGPHrmd5zdA869Qx2zCJ7LU
S8PrJZu5ep/6ZC4PcipdAO59VhS7ifpNNRw4uwFmELVtbz1gmNy2ioCEwaacvb6j9ChkBYayyP1t
RNsFkJ3OdM51chjvMn4MprNSaRKYmgKkucqC4E8yVj31h6lmJ6q4vAIpCOPqs1JGLpva89rvTIUB
pALmus0m8LLmr1pT8eC0rgQ1xjd7jpeATd6HQEQpzxTts0td1b0UZFvKC+VfFBhJ0oCUlhKt7TA5
8Xg2/NQxkLwW065rKRgUCYBQGdfZkxy9cJtJHnc4p2EabRimBdDbAyiE1N93MUNP4RrSn0ynajrp
NtYO5Z6SQfeNaZwYYdRMrebvXF8FqJgggK1N+Zb3bxMnyYK4WeiTvy4W3ooLNcHG/cGprbnFylDs
Ld1ECAgZpIPG/mDdh7Xg2+JPr1q4f3OfDGxnC0LZBu2prao3QYwbnOwJbCj33jwAPybmDux2FG/q
NUBrgKrtiU8Td0y/ACjGJAfC7ymsEV3mFTWApGEE3Bn8LwqqV/67fWerNbeSin62ZBJ6Mh6sGn74
asWT5QT23Q0sFg3dQRtLfRBTT+cFTlXA9fsyc4rbjlOQ3DaB/6I7VLG5jE6MKnjbUnmEXIzhYFV7
N2UIN3Xl2JYxeFyHEXhmXGhoxhbuAl3p3wwpgrS0bPdrM8S/ltA0m0q4+Ishauz5/fk/1qtcQgfR
jzWVOKNaSgI1yoPcYRmjwLYL59FitDDRe8RejbFOACEtZlf8U3/R1Hi1+q5cVh5UVkSTc4zt6hWL
Q97l7w01HM7DTV/dwthpf6hR6btsSV91KyElL81bzBUTpjLaECfcyJLPFxz0ovR9lIQRyRRPBaQw
2kQgqui8BrN2nG7WslYMOoj5sQnL8bxig3+0VAIO1uJySpMZHWZ1CYfpScF1xt7zKNfmyJX35Lgu
OmFZSGJ6ziOn+24zwZu5QRb0lCQ+60AZgi6M7QwYclgQsnXxs0FGSPV22lt/zW6o+N66EQA3JxMP
g8uFNGaaYV9KGD9m9bgvyPJzLfpwb+bZvLhjySxXM3ubKQHwS73S3XCVvQyzWwIIJgUgXRcGX2AD
EMJ9GlDhWBl1yWMPq86SefwO0+KxjbmzZZ09pG5TPOkqwGgsOJ54CMdFtXO43pzqvHiXUm8n26Zw
bxOO5AmnljN+TK4oYqjfKPZOH15ecwuwsJC8KMeom5UX45e/0b9kz3Pl/Zpr021srxwkDjV1vwna
TNClO0zZe+i33mkhEgFMht3JTZ47AXHTbcvp2MtxRezgD3/iMPkWZcaRGn43tCUqm5XfvAFWkqep
V9E9sQpuEWtW3VY44K4V02br9+mpcvx5L13KLp7i7BMLb/1mZQJnF+Qz3vrgr4cHjs5N/MPrg8fF
hCfHWMSbUfvU9T7ypm6kWqszO+89k70OkDM3Sk6vSoF/yixU33UZyc+5YfQgEcturFw+IrQat0it
io1fyD++pzmf+oBrI7FSdcdxvOdXGkBSpCs2zrMghlt8hBo8ObVkCnbeQHtREbb04MSgMJUv1Ly+
K6e7AgkRWrt5Ybfhst7ZlhDyOpMOaJYQN0A4s+MThKCLyNGdsclfdemFB4mws13UkaIxlM1Z/i5g
jB/yznkZy7+l8W47E39FA822wIMZ17NMA5Mx3Y+CoUV8LvkxFs5OQG0fXMu93TkvOnj08Gpfei+q
TkvtezCwkyftjZ9F8VIHxQO+Il6MWG65RgCVLe4lkwpbBC2PXto4R20Xbhy+/gw7vG1opyjvzO82
N+O9apU+OGEBG34OP73RbqMwPPouvNO6fh1r/ziiHNOVFV+Ja3+meWZfK7w8FLg4rZbxlwrGeYe/
ddPZ4FfXAprITbp3Fc9slsx7DthnWLdqw3KcHRnUfAAYVSG3T7EFD8t6tt7EPHQ1P6QZTcJkZHZy
gNfTh4Lii8D74Zf4N7GFg+ST8+3cuTOq2HgfTDT8+tBL9Y311B0Av0c9zNODF+QPoNNfozQ6ZYXM
t06jT2s4XG3LwDDn8TMuGq6uOgPQ5RT3qiq4a4fda22zs+1g2ZQAMTkGli3Ie9ubr16Jw5hWFmE3
0VmwaRnge1DbXvGWhu3BTxsCEfYpdutLL8xDmE/HNYqxkVdHP0fKXDfBpXf7EgBsgYxHjJiDClEx
QpifpSZzUGNzH8n9bMNOYGjmc88ii6oevVaH5mJXL85+7eXZDuWfYvTuy7q9xKMUN2Vkim3hBCOa
Bd6BiuBtFQHUrov5U8wl5wdu5rvEr9Vvv6QJOmaouhPaM/jSompTcGXbtNqDC1pN3r5z5umGDsf0
HA+pfxonwTVfWJIbokX21Y6hMgjH5W0wWHHfS3YwL/NW0GYqGcCZCatUlm+nbrEYBojDrNSmsJPW
F6zE4ibOJG09F24oF2FzEmiGuFo6D1NV9qjjiCOV/GDVRImuYbNZR/VcqfINL0u9yYgdHSOmIR1U
sexPNFVZR+XaIj2A14Ez5rq/YMgUGcTN0CSHOcqGE6XY8UF2vtz4Yeg8DkN14/cG9pJfNptwUO2t
0VF0WxVQZrNyespx26xU9blVlB04/UEehmSMzkNvysPUzxfrd/e5UJDFl4trVHjjdZya8srFeFyj
WilrXG39JPWT9Sf/sR1BjvPxj5uoTG6LVOzaIT9yTaHKOraHMmmgw3bTzdx8evZaNims2Lj4rOQa
oTpU3cmGE0S37pYsxp27+qfaVm/sSbTe5y0D3K9NhY18HqaamgUnbqAISfQto1bhDg6sN6DL7dWf
Sfr5XRGb4pZCa3yXUtk9Z3mL2IpIcrNNRiW/A58TXd7qv2XMxkkTTW+1yTnDh330JDgnb6aFSzcR
o3jL9hPdT1T/bsG16H8lsf8dc/yPyN5/Zyf/Z77yfw1P/kfg8qH5Y15s9+ePvfto/h/ELK8Z2v89
Znn4Q00i/49Q5fUv/CtUKYN/hETc6Qz4YSAxWf13qFK6/3CJUsZRFMhQBm7Mn/w7VCn9f5BvVNRW
Ao88ZnTlY/47VCnJWxKAZL/1hPSVAgHwfwhV8qP8R7g65Mv7/AcC9yDyAuw8/2PCQLdFHI7+0O3W
yEI4rpYCg+YUNsFbrnppuYIlbr+hve4H+0B286s3VtEHPzHOkagu4PSv165lmQ3QMbxg9Yaz69Kf
u/SlH/9kfcGHZq2OS2p3cakOJi0pO6t1HB9myPjtTcr10bCP9hFqlYDNp4+BIEFhbJM7E8Wk97rJ
YqHLwtqpN7oMG1x77kRO2DJbf4ODwqP6KUYye2NSHHOQ9rdhZ5Pb1J8oQElVtH+pFU0st5n7sa6L
n+LxjspfNWUEGnVLNZmbsMpcjs7l/MuyWr7GpJTyQ5ZkjFsTsEKIFTBaSet+kiGMYIpa8L9T3X8E
ZSu+M8PtEUJqrt+pmsiQpZLvfZPYFTboLKBHbYmEUHUV7FI/uTuuF5OXQUAiSrQHJMAP0FAi5jUn
Ov4kQHR50KQC7rtK0YKEElR8Z0VJ5Sugn3zmWha7NCZtGFAnWPAA87HSlKX/dS3Wdg72JeVTL7qC
1K89aCfy4h1HPT/ZJWZozD4wfkP3IidC23An/y176pZERKruiXhv6uz83q1/UkGj/udSxsQv5Nno
gXsNANuK6CcQZI05/WaWGt+L48junZ0q/qzmsURw7F8TR72exMfoCE76ADSjZFtyVz+PWUfmMSEv
514LlzqjF3I9SAKnaa++t2F9hOsk4CgiW2qO6N7Y42ndG7l3Jpz0pCgmiLEuPZ9NLdboNULxRRs9
8xgzmoerxzSyYsm39NxzByV2HGI5lE7Yntu+4SxVKZcKJcyVVm+aOu6HzciF1DvaFiUK4MEaZDwH
wpEGf8YX6/Iu4mJJ+uAlmmz4bGabnQzf+HlO5ozrmmf8ZRP4PGM0PllqQ9q6r3PZreMmRA/H7zwe
NJ60zBSIC91QflTp4rKXkzK+tGyM3W4JrkuxFyVAoxVxJr1TuvFpWaxOBJy4DugqTSFyLq9JBBM0
lRNA7qPfzKhpu3DPk0CY1LGOOuZBF+Mbusy6zKBPc53+bewc/2ocD/mWtFHF59PLnikWhIX892q6
yni6+LNbrzfGdgDnnC0N1SPfCEXiuHCPVo/QLqei5r316SACSgyyMNvFzrz8xZ+b/wqHldG7cLQW
3CKNt+XEJDVTbLHLEkGPou3+4kip/E1RO7LcClWKdDsCKBE0cJy6woWRqHcaMKbc+HKm2sPtnJ09
pOr81pu8+luNk/Nb97ZF/dwRs2NGIKjp9fTTvaKDDya6CZS/GfqaSEfZFS0h77gDEZvkInuPypis
1OS3gdiEc4bu1dpsGCCTiRTsP5WEdNtz+VNc0qOVVKUwFNnL68ODOoor5dlIS01e2kxmAMRHJHCN
nHhPVeysj9Q68RC23JwgGUeWjBrv6NBRlnZMsjUIVtxTwD22ONi8Y/6pqSIZ7uuV4Od+cVKWpqCg
A3uErJ7T0FsItF+rTVhJsHFzbMplo6mwNZNDRWwtwnGftHMV7zlOyJ+UjTlIRdGcv6lh8vE9DEXB
ccpNh+6iKrnOnNat/RHPC4T9ohrL4Dg0jBXv/IUwxz5xinAi0yPwcOne9YsvfpSZblSgsSm4QS9/
z3T3MJrN1fAMFDaF1tY443Ts6mH1Dymub/sMzenaTHQWFTx2YjZUjuOELJpxhSz309RPzTbUffXt
FHhXirCN94UG/Nw06VNc+DMrcDsUAoR/SONyLJsj/pT4hiCIQh2e8zslRsbvThE3ThVlgYDLD1VL
ebvWBrUJ+cUWc5zi984R9RLVC30VfxfTaGpztBRCD/cleOyAd1g3HC2R/OClfHJViZagAPDUDQd/
4BCcUKqkrm+PI1VWPzKXAH1lXCDPIzSGiq9FCZ82l75TP7kwfy+9eZlLnze02ZPI+xDp42jbO10u
QCKXo9+T4rcF9Pp4t4yad4HFKq0e5hxteYtGAdP81qq2PYbd9GMwCQ2cIic9SqtuY8wzQXwIxq1C
ohfdGVxhgD4U135Wl+Eruvplx7HeTjHfrXJT7l3TjZ6SCEV68a4WP9vb6tpWL6qtl2AoWoMbMuly
y5A9stXlnK9NeeZw75wjPfxIS65qSnKKJyxAeJ0sGQEunMCnMoWdl5noSHhwX0Xjcy+G04jhJhYN
Cw98VjkTcQPca6ZwOfH335MuJdkqe8LI8gUW/nlEuBqV/m05Ltx6ojVmoV0OY8vtxnH5sk0qn0jS
f5GWNzs9onimMyNGWlNd/2ZQTxCt3Pad3TnS22ej5P2knNK458qIyySoX2sjqAvLB6rCPDUsN25p
TmnSU8miB/ezc6jCF+WfOiCp6lbHofCO7hK90SSEZrtm9Nt1VL6trqSx2DwA7t8JympUHaB9cBch
cavzXTYXNYInFOiZEW8h1U8Q19djTGW/8hpaFTeuDSH0eDPgmAudikZB+2P0ip+spRsVxBmlE+9p
nFyUCbZmAciZHZWtRHrKweelDesL+tIPr8reZzK9zCoJ8YMkx35QGv2aj2lOZ1zwiG3f9ZPLjTTO
NoOqZ2JPfM2GF2hXDy01csfB46CH7iuSV10vmZm7SQhoYPNPIhoID4vgD99uW0TlfZZ3JtzaUcVb
rRIOaFrcFULu/CxpDxFnja3XON+kYLemIYhXrcnZa7rmpZch5xK6aOPsEP94lAWjbMZ/LgBkElzG
z1YzUXoNUslfQzcC7SxBtbbQZCGC3pRmefLktNcFBgqDrspE/A4LI1HFYHnr7rt0TE+B9O/NWm4a
x55o8cR88vnnmmd3q7Y3a8KeMeNfDdQJtsNjaNErT+ywM8pyo/0XTxmKtRMsa1R6mcS3ipCuoVXC
9XhBZUKV03pbWScemDR9tAPORKe8W7r0UpaUb4T+L/bOpDluXE3Xf6Wj180KAgQIctnJzNQsy7Ll
acPwyHme+evvQ1d1HyvlI0XV8kZvalEuF5IECHz43um+NPQhTXYAJKUP6N9JDhntI/UVgoCGMDsn
TBr+Z3PGpSv2MqJlP8UZEXFt90CF8YG2Cnfor/jpX6v8dbLcWkPLcq7eDItz6YZMvx4/UwFaQeIT
KZMn5w54z90QvcvhyRhyvcO2Pw7+N3rt14uLaWQfhjd5q6/sPj1a0KYDYu7ghH2fUHZDqeC2GtP9
7GK4Hxww9VmHL9+uxLhZRN0hLUd7P25DdUn5CSbMnaoj+LjElNJ/o0MUZeSijuhzsHrb5b57zAml
jRGNfM2aBa57plcoHYqIw5ZKxF77b2UHc3baArHXgfq4VGTaF7fIs67I4CihUbCddMmHghSJPY9G
n2Mi4zbTzWfq6vHcrz7P0qobxA5Az7Rki/iT6Zmgi2i1zTcHmZGYwibmUtD33iG2bLkBCp5dHrEf
a5fz1i2yT75N8hDR1rmXHtuKGLak6+2YoDd3mkhvhvtWZClnQVcPCUAYlOJgTBLYSdgdqa+tTovP
QhV4c6E1DuuDa0LyTcK6wAsm1BDfd6osk3YPc1Wc0zvDf8afXY7E3kh4xzU8hBqT0QpRZ+dccn0Z
vvNus/FCwr1O9m4STmQI1Z77Oo2K4ge6EX/dFaOt3sBCyLctsSF5PfG1eC/6qiUXMU0HiKsu2PGt
Gyb9nfFpAx26fFRvahnB4qlqf0Ot5kLJXbrM9Tc+MHuFtZ+39rEA6inQWwyQqzAz0Om+Nj2RMoID
4vU0gTbS9+mXV7lVgzTAbUCnMQOJTuccQLa3hx2Pi/ak0u1n0orPL+3aBX7Gi3WrLf1cupdVlhBa
Dlh6S22yNFf4uWeHolvMN9G7HDZ1DYi+m610/fL3pZz/f7YaNtfkf99qYH/7XH571GrY/sKfrQZL
/+H7KDB93wUJ4Cq/mef9KeC0hP2HKzzj2cJxhe3RdfjfZoPWf4AxaIcGuTD81S0v5q9mgxZ/KHSY
/FsixogW5Y/+RrNhU/D+S76plbs1QHzaFsYzrmtOfQZoUHZdt7R10Ej50RUa13LAtAMBjdaZLk2x
/+XN/NWN+lUwKh6L3/8cj19Of5p4de5T8rG+PpPeyrnJeDQBiecjsYI7n4zkkeDAEv7nCNM85IM1
jiaADzuyD623WLu0V9VF3ZXLZT/N97OmRAJAhuM3yIx7dIeT3PM/lPd7+l60LZgyruUCTvaJ8tkH
IFjLNIe5YNpPTTXFl7HT+AGBvs0LDkVPZ8BoVgejGd83zmlsiaDgt9cOZuHox80ZIIl7JlPPHMbU
qz4ZsN8XnuzpDBgurCwcweoSdLIez0ACz7NoZQWXGP4UsfOroltbksEUZ8vNMJWEsDqW98K8/+Yh
CcpkNOharpanvn/sVFw0uBMHpcP9jeOxhgeWkfoEwefcqawfz8+e3JbR42XN2nIYyBXQluBtPX7I
vmsjzmz4twrWccKhmo0PscjIaAdx6D6k2DFukZDCekOjVvj7cG3dN8Sh6m/GrrBvmmiEQMleWtIk
SXqvDDFaNCkCnoEQaihd1kPni/ZrPJX2J6wX0OPVcvXepEUlXvK6/927Y4E4hvXoSmVvS/UXS4o2
aUSuY07iebS967Jtt1bUvOKonFUH2Gru4fmX93Tpe67tYDnCAoFZKE4+UahntbG3hC9tJ82VVYXm
QuapfWib7iXb5m0aHk+TZwCvlKtdYE7cFh4/Ghlzs9cVVU03PMW5yffTc8+DmPH8A514YrDpsMUK
9kwlla/YPE/6qXRaLZkjNOMOQQmS1j4Aehp6X2ZkbIesSiits3CmK6DXg84rnPhreg29RKH7/C95
8u15tmRpKT4+xGXaOXm1kXFbiysDORUjmigPOByKCdThfCa0o0tmZ+9Evrh4ftDtg370khnUQfRP
SB1tZXT6j1+ymdqxATAlVi53gHX5+pFmwU9QPTRjJJzRGZdEb58ndfIPXrzU0BK0NtBvbe/kecVS
ONpKeN6YjvfOFqEPTAaMH1rEzLdWJILJlxK1aSuvhrGa914KpdbDOPqF/ed3L541ZrOTkwQqTv1S
xRBafVaR6J4VCezSpLou0iSG5NzBG4h865JYvPb877535bmurdhuaU+Sr/j4vbslxOsSFkNgdF5D
c8T9b+1tfVni3UqvsSLrtnIQfY9R+cKM/2bBa6wfOM3BEKSwTy0H+5Dm6hS7VVAhywn8oq2v+kHE
oKBR8m7ecNkl47LZW1l8SFySf6IBrgTU9+js+XfwZC/x+CGwM8BZhEfxc/LlzVxjC3S8FfPM9aol
kTTQI13EdPJe8mZ7spcwlCNc6CZAMEafmqhB4Rxlr00VZKWXnTd5Hh400Q0vbI5PR2EV8Tkp4RvK
r1PzJ3wgYiyrJ7g/tt2eSbwK7mercV9Yrk9fm8uOxV7lS0VpeFqV9WKavWjtyqCukb6MtI5hyGbI
3EZSZJ+foadfBmeK9h3gLigZFJSPV2mYNmM8gOMGKKbQ/0+1so594rmHIoXt5a9AtuALXfaCLfLT
TYkDzde+ElKzF2JD8uhQQxVpdaVEIt8ZKzsucPyvCG8tr0cxkTnfS5J6aJFy7XxpN/R/omeP9kPD
sWZT7HrCNqzLkydetds7TV4TWW4Z8sajFKWr18jhLoGxumk+IE9VA6y/XYc5+YXr5M6HEUD4qmqi
gTlQhQMlZPFGcnDWFPRcecj+AhQGpDURerscEuNSdDR+uXx3ikZ/aMDhiotIRfENmBNqhDmTqjuD
w5RdZkTKobCmvf2O76/nLqcRIZzFngenIFJa35QZ1jgHU/byskYp/DoNfTpwHeGsZYD8F0d/uvYA
Bd5SpffzQLRp3Y3258ZbuBnWIm8tXBTaBFbN0vn3/Uoa3sHpy2U9SAD2HC30LMlspZv+Do553x6q
OoNxLqpkPDacJ8Q7tbVPVweunj5XQ219DZNZv6Nip5tMKdV8IBylu8uGTlf4v+JyYaBTvl5Te0oP
4xTZ53TbHX2dzEX+sap6LCG8xG6+hHnrPajWNysspcjfT44zE0Fpwp6Y+EHPw36aQvsrGIH8qDau
7l0jCa7cx0s3F7upyhYrIO4OwmcRrkj8oyLZ9nQXgxjMbRUVHgpn3KurJhXNQdRxQ/MbCdmNKY18
aIuaNpmVjNOyq/xcJIGG+rUclmXrQiy59rBTTedlh9lYjMgKkC05H8baMnAJMqJRVRqiXfI7MzxM
suZyEM8x1M2hT9RHmoBgVGNtAz8t6Bj0YenG9lNhw7ANkoic+ySf/fQQj6ZC6mWUHYNbCU4jFCb1
bV16SHAKWULOYycHmCOlW6lj5/T9dEz7jh6e75koP8ja0ZhXbcZiQUO1+m5KJjJwvBQ23R5UEpZH
MVWw/F1ll+/9ut4k4H5rofLxBwQBc0Qyr1MOkF19Qye4Lwb0KJ4No6mtJwXp06NrsnMwJPk4jSur
qPXT+bOp8V2hqdQ3d7HuFrq5PiwGEvu8NYqPSjUrpCrbdw+wYblM0DTJz+LBhY0ZD8WIfUGczPV+
6CPcYABX3LtaN6YPVNKJO0mgaHLATiPFAR5VbXQAA5huEqgtP8a1bqLAEWP+PncxSnFXeygojFck
memSRbcS/QbsY1Y0OE6OtxdOx3J6NRkhHlbbasjD9WR9ERcOmEbU2QPtngkynw+IlsIWNO6XifS0
W6/FPWIHMgvuGXM9Q8TUDh3CAl0m38w4iJVc+walqNM28k5MlQetCslzhO45Xhr8Uaw6hyjZzBdD
tDao+5dZlyQxezihRmls/+DFU3D1fU3nbsUh+McCPmgHrTNaENUGtO349RDcc9BgvAOsUGFdxb0n
yv2kwqjYz+RSr2iTEu2jfi23LpBOoBOBnsS7kR4TXovKnfOgL3LYrENkW/2+QBgBNVNbU4Q9H1j2
ruvr5Uvq6InkeqtJ7nrLQ8KL6dHU75KusLFFIUTog7RGTD3TLKd1SDjGdDB5A8aVjA25PWLgx4aI
h96Wfba8LiYuEEiw0PIGU43M1IYbuX3V6sxdysYN2J/Gj5aq/fcdHHU00Vhsid3gWhgGIOaN891S
F/5334NjwBXRnq6aGSUqba4FUCmGBMnamyStgy6KqjcEdsAySoaKAFtnkd11lvf4yluDnbu7xW3d
19CU2BPcucy6oO3i6kFi4EDauG3rb7pf+089N+LqbBo73V+EfNikB9ukH/XOyF2hN8sMTppVw71b
JtCGo76chyOUHeyIcs+MUTBNsz1e4DERvsLoCIRlrFOfhrSJbcjyetukRQzYGBsY2Ps5j5z3cmq9
txCA7P5ML3L45K+mycm+nZrsICZLfVho77q7OCt0eyikWMtdBOkds+QWG+By7bLvIL7+Dd9j/Ske
l+qrm8pu2uuugvlVCzPl+1wW49UMTkuep2viV/QzgY1tt2zhiEyR/rai102DxKrlpyFr4ygA4qlf
pWC6A+KtaAEZo411I4atGxpzic+Oo6s7zBEWNXs/mM6pvIfvr8U+hGjT77NCkc7c9ZH8liI8WCGh
Qv6aYXY+dJaVf1qJAF33mPEg05jzabAvoWoryPp9jN67xyjyAzdAVGWNWfWrtWxJ7i7BT6rzcEw8
G2bogqk//xZtcOO383WdeVMRiDrUX0fPT/NDuPAxoO5zYYgntRy9YELSDQY3FpG58IqqhXqeWojZ
Z3uxLkhDXrbs75nWKPQ6B3ocyDw5J+laXqfu1NkHmmQEBTcmxgOHBi68l64pLetMqip71WQzLPwG
PYO18yGMPSx0X7pgLvE62Hnayd9zdPXsv5OuDzWNkBhFVrh+cTMa9AdWKNLnAc5wMBcth/giRuKy
VrdyIGZWtorYJHMfLXrhVv1uRFLsBFn/0wGiNMlFAZK2wtHIzBfPhJnDSTDVmwXIxOaOcAlKLHMr
iZKNZRt0+fYIdEbad3A7qnif5IaQtgRqaRX4RGB85AvEpwdn1vWD464135PK4YCrxTg/ijEsugDJ
RGbRRVkLpB5WXn60XQmSBZzgfRV+FMfXyGLqT6MYmk1atqh7heoTvlHipNdUWO0cyHAUX01j7O+u
VTp7Y1NG4eAwhj+i0UP3lvGqsqNLauxdy30avpDj1HoPth9eJ96AudQ69Ye8XKtPxbDoVyFONM1u
zZz2Ls8seWNVc9py4OUfjWvNd15ixTQzkrBvdnTR+4M/lhnwVsshYwPHZiaqLpKNNuWbKp2CxilH
3CYra/gOIWf9CA9TvbUqNV1Jg/0lndKujQ+lGbqPU7fAScTBYsCcztHujYJn2p2nCAlowQvum7w4
+6aajYTRmXoDwQr1+hkBeicuYjRXb8Nqg9hSyXETTHaOFEPlyGEabdIPSof0LFBOd0fZZDiq9GWW
o7sYqXZhwic/WZX5cNnWOI1hT0EHau9t/03A0bv8CIcC6V4hnBp9wriFgPXpKN6seBU4ENGX9X1T
ueCv3awXeLWN7+7abOa+OrCEfFqu+Pvcz2rCa3kMK/O2AUzCL2buXNAxE+sKWwWwK1gDZdjPezpj
4edBOu23buqyt64vgBtzmGBoFtKqe4AiTHsn7ADpWbTmbVxPNSRcRLTQh81s7cXsFSWasLbx98pO
XLNr8ipp9maCPrSzcVcgQjPF0OkA35egBz/Ok02Y6lUXTWfPeIKkFtyqTXH8wULNyMmFlAbprbUi
kl9qGV/L2HbggKDF+kKboEYIYLeJf0j8Iv1CTmKnERotuOI2rha0fosmuVKLPUP6yHMfIVDj+ueq
kxU6DiRXb/qQvxhgbjA9iFWn54M94mrVoQj7iHRQ3nPv8b/Vhb28FYa0nj1SJvjWJT5iFGG1WReu
IHb4McxHoHMOAgJDnNyS0XniT+XrjsTbZJ+bAvgttWPnVRN3RLKEXpjCNZuQC+29MZoektLdHCCw
e0A9mw4NP45CAL8SiDB3bRpRqLmNLC9G3JlhTFhW9k1B1vN2a7/UrxcRApXlQo6XYMeLvTPDCFxK
RZD4Z7NJN9c50Cnk6w4mlfvSr9e71ApbqBSdqb/ZruC4roQM4U/hNoJkJRrRfkeue+5WeXc2Z548
KE6SLBjF4p5XNCKYmWEY7/C6oEYPxw5uTTV3sJDAEJdXljuNI6od2jKvlUZluAvXeMLUalzFdzWk
oCuxhUtWDXmy36mooXc+FyG8vgSNGeznqYqn8ypDiwFZMpkPBGUDOJihGT62rVmAheEjQhxkM/3e
eJHZQ3kWCFPSbC0h7BeJdYCylMCtJF3SwCwPQSo0uDhSEJnhYrK0YfV5pBjCZiXMuCCjA/LSQCQV
317exuYGDnTmHHG3nNkHXLyKWmNjh4XFxwwnft0acdZi269VEi56ZxK8tYLVG4Ax8qVfUB40TX9j
nGUdgshvOUY3lWrmcN5Tm/Nf73DTwww3tJzxuxspuMdRoUVJZVwwhTMcpfMUJlVPHHiF4iSp8+Zy
RFvwNvWK6RrLM/RQUKmyi0wQP7kbPcdc4NDAegvzWt0P4zxd+gAj70dhk3cy8GU6lPjN/CmUqM4l
vS10VA3lIAhCLY/oyfqWWxwn9aG21Pw6NBYAfe9m5u3iumT5om8UFR2vAatvAZ7SBRqtmxtYlAVV
YKfjfK+wjue6lShxFyEQ+96Lngq/gfG5Q/1a/PAdkkWyOPLmW6j/9UcNf49y0KQRnS3A2BZxGm5i
r4eucD4M7ZKYwFMxFFjMVfvNONQX1FM2tor7qLIHdNscufG+dFK72Yddvb7v+lbNV7KdAaS6dHZu
BS7mOYJXeuJBbqzmfG0XrnQzq96FS4EG/NBR8gqOt6I4ImuUGQj0ms4gzkv7zlokViPMvXiVt3iN
0vxqx32Oaeq6rxHZXoL54ZIk0zHmwUs/vva7qELTCj5OUemxH+PihrtYBkPV2xd4Ln5tcuHj9VL2
mPISg7pDOOmuAb3N/COOWjNuLyHB7/kQos+cbNu6cGBNGVxORgnGT+F6s+I2luBaiHXBgTLJl7su
81S+4+bpncnGdB99U+YdRBz82Xqnm/FvWZzlDCfLwd13npVEWLNi5Ymhn46+qMGxmbAKzieMHbxF
58bL+2DMxZQhmF55oQ2WhdyXGztF19aXDa7gML+Ieh58e0/30EKp6GvvPFZNiCWCVtnnlY9Y7xdr
KK5zK+Jtx1hB3Uo1qh9pu6jvXSJxekyMGc+p3bjMzZOfvJOr0Q+yjNgu3LAI4fVB8ny1UCv4+Cd1
eReUTRlftH1SuTs3ddUP5czViuCq5otYQVQc6AWTss6WEosqnDYgVezHroXS1NJtRZgQrS1GLAVV
5JylywV6SLQo0WabdRzTBm+FKunS/IxDNs/3/ZSNeA+uXuIdMtNaV7NKep4wIlgFS6qRi7PlcXLu
l7L+2qMJbfa6iqbbzMnWT3Pf99e4DlmfGgxJP6GLoBmo5kpywC9+6VxGTeNQIHCIoricCEa8zNJh
QeqUL/VnXJdCs20FiwzqvkKvP2DI4d0qgbNVmaTIPkdvQrwDIGB/62cPohk3tTkOlFjbN9qC9nem
+0l96PiK54uib9R3gsnX+0Z5ZI+TF0VeaItKr2b1CQy6K71RS6OGG8gupzlzlbEJ86+zyntwbF2Q
zKmUqHABJV6W28SARyHtuZzFqWC+XkzO6F37ZZbwmmFVXDgtUulAqRgacl8OzhfjpoAXqO268sLQ
Ax6xWG3Tyy6DQo02lkh3GDw5cvMmnG2zL3tMlY9movGGMCwF1oE4A/0idYdi3xZ2cwsEFkOfhmGi
zxq41e9C07VEVji0qO2sxhtzyV14zkVDnyYoC9l+SxYKzd1KsZfuitkeXhdrZOE1FWXZB3AfbqbJ
hA3OBbo0eoBhJW2aIEOdNZdx2lFK7lTL/RJvB9wSqQ4LZPD8qde/mtJKf0kEYA0C8MXiMCyH9L3E
tw6m+Kpagyseana4+YtF4BjE++yMxN71B9iZd71S2uMY4ifFF464+boTBYrerTEJ9cuedMzCT0O9
B/fShwjzr3Kv+grXQfal0ASJq8K7ps2pbKJUes0lvZT0igvF0m1ONHIImk65hBRj3OkEy0hPAe+h
uusDv/YTyvt59EX2ZubZyuM0WCqAJdjt2t5xuRw53qCCyBnj6UAM6fiF83dAr2xkfIP1RKQvsHkx
5UVa5ZoKyLgoWuNo6+NAHIpe5QiwPvyXhklol73F5NJLvMNKcL2fvKi//a8yRHLrFhNgb15KAjA5
tM/bnB7J8flW+QZWnDSOWRCOa4yWrpSnOdBu03Y4KFaIJzNL0SwYymvLcoY9jAl1nXR65u4tofiF
rX8WwqndPT/8iU39xp0w6LMU5ruucB3bnPTMVVNMQ1ikTeCrPp8pBJZpN6V5e9YqDKBsKw8vhGyS
Y05reI8DCiI0vPH+LjTBjwC9tIG0FLDBaaY0QvCuciIN93ke5GXSDIJetaNvcz2XL6S8PMFatqE8
QALyMgGkT8EjObSu1Sp2OMwjvSuVxdWuwYPpBbDst6P4sGAcszEwTmP8Oh13WERT7juRWA/EkZD1
jnXJCyyPp6NQjeKUDtbBxLE3PcY7PGcMDRpI+uPKno+lE+LPoMLacf729ACDbW/MQb4kPX2CuJZx
HjpT3FcYj/nivNkepIoUfcIeAcbz6/EJcrThKMLRoJtInni0x4+Efo3WR7NB2LYbXa5rNxEwn6dX
whQ0WNfePwyka78AKT/BjRjUoVctwJOB305jNR3oirXgRKDZzU1uwBv+OKUYyrS6/IIyftl3oK1B
mJn8BZzsJ+3h5OvnpQIYOZJTH8rC48e1rXDrLfL1OaPcjFjzCUk+yGp/Iavlvaht59qaJb0yN8Xd
q26HqwqMxg6a1cPDDcbnC2/iZ6rb6Q/yfEfwFWrjyU2P9isvRHcF6E3LqzBRgev8DKFxjuYiCIcZ
r455/T4g2LzGybwLuhVJMnHG48WIhOHcV90cZDHXObRx5sou2uaL3azhvRsSH1sh/35h53yy+j2+
ru3bMhJSm9zocb/+VJFPqE76oQqMxEIu9+d4vzh2dv78gvzdKKg0+MI8ZHogi49H0eGMOUddVIEq
JMz8ynyYU6t+/Q8GMWJ7CnhbSAgfDzIOfFf2kHOVcTKF+rTJ78a1eilKUWyr6dHk8sY8qEt4FSsf
Tc3JswzO3I5FGZbgo4O6daaRxisbzDXF9hZ5QwkifAilSEHi14MtiS7oBujFUqdyj8NKeV5omVx5
3Ww9VHr0Pj//Ek7injZGjQsbR+NaZBxlS3MyoXKcExlyKwrqQv+wk6j5ONTNvQvt9MrxKcnybiHU
Xg+0Q8xkhhvPU9jv4kJx6+LjsKvUTPtUpNP753/XNuzpW/N9WBeQpeD8nKY/tf6wKHruSBJrURxx
p6G7NaJr8gsXt+xm/B7lZXEUi//t+XF/M1tqWxIbZZN+p3eyN3AVQXwpWBQZ1md0yzyKyJDe64R9
8wu77tMqgBUhsFOFnGgrBYb2eAHS5R0tpF2cJFkBvFrn9r7IF+eAbTw+Z3g3BWOU+LdVV5pb7WPk
mvur9cL3LLdVfvKiFcweX25MQo7pk70/9xdK7h54YFQSA3mJOUoO22dn7K7lfrukF2KZ/Uu9hsVn
P1X9QyYhaxu3iC587P9/5B3udJ6J5V3RbpaxsmjcN/FCHyvGwErs8ZMH1+uVeT/byj+KNmwRZTf2
S3zU3ywY5B1SI/hF6+ucTlwBEWoK66Fk4qL5o44S7z6khibHUZf3qyGiQwC03ODxow/PL5ltmk7e
IB5LW0EAH1I7pxQdDM/62qatEqBTHb5MxLOd2fBg7+Hu2PfN4r/0afxmc0S3jKLZ09AI4YM9XjYl
2Ku0Y0nEEXzCe6htw6ulxPr4+af6zYdgeJ8OVYEHR+Z0X4DWkaSbujIo46Z5Y5dOw44VJa+8rBYv
VIcnCX0/9yDOE4fJg0AIr/pkDc69VuwwGAK1Pe4veB+iukVOeiVG9FlxT6hEP9mCzr7Nt5JItCtT
8U4k4TWVSnglx+aFzefpGwZEtiG5iZ+Flzo5GWixRdkwIvxQlkjPUHCtAJ1F9MKn93TdQNSBuUsN
yTYAR+jxPPoyAta2WrghJJm/L1vudCPOWee4DVm3+KBWu787o4yn4VXBQIWHfpqQq6zMhuLFeEqW
ybFTgBG048NjXGHe8w+GMj68cKT5LNWTR0voi+bNjE+jGYb2Qm+kpBWvVKyhaa4+P9Rv5mrjpcGu
35iRwj5ZO3iv5jahPJBf8qQ66sJVZ/EorBdG+e1c+S6HJPIU6vGTB/JEbBOdwgMR0FUxTbq9KukE
Bf2swOjcbHyhAHr69fHmfhnv5BjCs9BOvLbhqYgaeNO43riDXJ4eUaO8xNz93VAOZx0HraPJiDnZ
Tlq/w8xY8GhR3Xo7pYwIuj5vr6whUi9c0H43FAed5trpG1q021v+hf8cyamesRLAYaXu1cWIjfrO
mQtxW9m9tX9+WYinMwYlnluFpw29JbUFZ/06VqGxWR7xCAhKIcWXxq0gx6rUu6td6aTHqsINdijU
wHG2gnV37XLcyv07fJnCINU1UteyCb19D98cgKSvmz3iCvHCJ/l08W4/kkUl4LH52jnZaOyeurEe
2GTdOav3swjDY0Sj+fj8u3j62j1JIe1KCio4rKdMR1r38LVHk+OPWBf4LhT5RdO4KzEyunlhqCc3
SQ/xi6Te5Rzerq0ni6lKBjdHjZAD0q4l7tl5aN7NCMRBw3tkyHZuRBSM3vJSFfub2VYAdZyLnoIm
65+Mi95+XRTFNIEDOMztyijq6PILdMYivOLFV/dMfnfJUl9v5ajGqyUz1Vkcd9GB2ImqRzQ9Jg+z
yO5sPZq3opleim9/Ognwn12XX0l/gl7zyS+MMF+r7R72QSu94Q2a3OpmwKU8iCPrJZb800nAppjD
CwkKGzB368dLvymI+8nmJAtwZfc/SZnhSA16Pe8nW1n70LQ02pf4pXbS07Xsc5FgPQt2SZu20uNR
Uxyt8DGFpFw1qnvwJme591pCnF7YiZ+07jZWsCPYRgwrTZzqT2od6srLZujvNF4v17mA0oYgmLM6
wbsd7hp44kg4DfYftov7AGD581/Tb56TtgzlsjIamxi5/fkvm1jWrcJHopoG1NL+wceb8ZDFc/Tm
+VF+s1woJw1ABCWl91M19usobJSw0dC20wB3xvt+GV+jiSg+YDmQ/YPn8RGkCLQ8nNTuyUa54GOO
sfkI8cP2Q6z1ivGLsf367fPP85trMJxxpAsw92n3SHOyPNaqRqSTD4g0rXY4pBJ19i7rvXlvljDd
JxmRL26XL3sle3CnfBkOszt9xekuPCJqkAfAckiE6dIHAoXJP1hULKvtFkYKIjeIx3MKrYVO79QB
5SZx96qDPxWUGfgGV4YcrE6CGqMzLY9YtMG/QyTxwvhP1hTvhVXD1ozWiZk42RzYIdtw0PjtpOmY
PcSWn92YLvzLQQrvp99nPD6961NfUyTRitg0HFSdjx8zs6a841SO8dLSEmE5/qZn6RTC2CMXr9u5
WeadY6sIZUZAVjsU8fpZiXg8y+DlHaxk6A/EupmHGDRm/3N5/J+51X8KeBN0o5nRf687/e8vw3/c
DB2HHjmiSb9s2aP/+nt/yk/RkXK+uWgVFG1hRJesoT/Vp9ufkNQIDV4AZ/CN8QX/5XQl9R+eT5eV
6d7EKxyP/ys+3f6I/w39V0QD/EKurX9DfHqiBqWdqrfykeOG9csZbLYV/suuSLpsNVkV5phNH106
CzvjAvcyRvWOr7YUB43H0gHw6g1KMcyc3Ol8tKN+7+jsqHScHfUqcNKO3Ityxeei0whN/m+F/blS
EJY8t7ge2iEaPi+/rq2ff+N/VM3OH7ZB1YWIQm5I2Fb//6Vq1t4fRMLi3Y77C3/lVws1y8FeDc4j
ewl255ipKRbdX7Jmy1F/8HfYRf/nf/q3kmkfn4QuXT6kJaytTViNYOcUO6pIElVqsuQBvy/7Y7eZ
gw9r1LztAbhfKi4eN5H+GkvYFBh0Ql3fPamc4PEkDvGbDhoN05G36SZ3Iy3TIw3i4WzAYvtNllZD
QJjf36sq/hqZMcUm3eHVOY+/H292GmgdiXPIIjhBlcbPrMYA9ZeJv/uzJ/VIs71t8P9qVf01isMD
UlFQuzgn55wYKzLsfEZBSZjcDgRZwpdtrbdIhSBvY7IwnMFwVMsG6Vc7nWfvk3V5Hc9D9ELL57eT
+ssPOTmJuHj1DnJN55Bo701H4VaG4022/nmq/NsDb9t0nj6uwhXQUwpR6snj4icNGr6FtcGQrvaN
1uA6s3rhpf5EZ54b5WTqJtgxsYfxz2EKsGPfd0F1g9fI2RjoMwxSYZQF01EEhKcGMPj33mvcWYLi
Sxp0l/jjXXgvlBKnb9bwiXBKAJvQqvDhbzxeSEotSG2G0jm4stZH1LL5LdlhztaNrV5oUpy+XgA0
pG2IYLnRUwqfYkEKb+NC9kRi4dAnD1lZvVpMX7wwyJ+d21/fL8OATXC4UbGA7pqTAtUeLOjLKcNk
7QzfQpGosmKeNEBoUHEclmcKcl98VieOggs6YahBrebUn/qIMj6jke2BlvkoFzDQRoAT49cR4zBq
k6+Tvc7Gpomw1kd4/krncMkx1q1RELV+XOIaoiB3QGCUprtq82Tu4IRWubulDrrV68FJex3Akrfh
TVK40e6ycvCqYuHFXKRZrfFAq5ZbLzbktenrVK60MnNaO1ALsgaHZD+aBcQ+M8IT9IblwUx95QYQ
R5S3n5XV5+fJ9s+zOks6/zxuSVZ440h0C2U7Nb1C7NZUPk6+JelbzRCGrwZniPyzwRda4jSnR0wj
rcRKvxaIjmyShmvxEVufkFCgvMaSOAq1IAgWx7F3HmV7tY/9biYOrOxwU1M/Vf6FF3UEMOhYBqCL
6gwFDG5dqe5QnUbhZjcGayUHzg+dD3MsMLR3vKS/QCBWEJO2WtZNvpoqC7CAxYG1muke+zneJ5Cd
op4gFgjJ8NUQbQ0HzYX4Bs6gh3mC143LYcJt5puPgsnxzow/e1eRtfC8+Nx34dFyvMY+ZHOff3bg
uJJHghxpOZbJDCCf5V2z7uBRYXY14fYY1GGEHqn9f+ydx5Lk2LVlf4X25kiDFoPXA0iXofUEFhJa
a3xaT/vHeiErSWYl6xWtht3GMjIpIiM8HA7ce+45e68tg8LX9YWYg7Irr/pJMa5bKdPfNB6RysnJ
ZLoBAyON9hRbPbHSmYKzJyRodnQVgjO/4llpB1dDUQsreC5QztdqPCHqU7UZg8oEDL+I0UKQd9fQ
LRprOX/fcCI54r+xeYaH02N1ieX4rogEE7ciKTjvQhglF5FaCHB8Ga40dlzHi0FjIoo2umeUP6vA
NLHVKDP98Ekw6y9y4ZZzEybhexTV3VVcrCs0mWSOgEEg+70k9rt8XHJCIu2ojqJLSFtCbBtlZl4T
K4nlSSm7ESVtIoy3oPCbjwleW71fwmmu8EQg1rCJQowf12bmdFaIHbF2ZjK1iJ6kNr/o6wR8I+pA
YvKUkabGqHfjtUzWEskjyjJdKJEyJ45KkM8tQso+cSNZpCmQkzSE8rBFd4q0JWKqJmpsPqJAPNFS
kJWHiU+8XlDhb84OUIQ47Er8D+sqKFDquNEvZaFNVvTkhrBDJ9M2tjokWFy6TFI+DEkdxSOZTOJZ
UM31BUtdIwXcZuYlnmIkucjwpt4ZjJwke0IMiY0bEkTVVVmrNxa2FGRetVp9VbOgv/brEuLNays0
2lz99LIM6+WeWyr/iKMYTvUULdNs19NCUiuC0vQGkDGXKVVD6aZjDZGISuVjcBpr4aFeq04/h1qh
5g5SnP5pGQGfMXjrNTfhjrkpyhnr6Zq1xWepxCbCg1QBIl8vJiioZBFrdpSykfUdCqHiiBN3bdHE
prm2y2Qeblur6gb4I8TMwlMzg5SVpd3sj4O84Z0RdjVAwNYlGzbfR/WiTJrBKiBpiLelGH1kDsTt
E5EpnkH6Vwn+FZw9J20gjeUEfoN44TyeksXHFLpmftdE8KonzUrETXiqqcT7ERmORYUHgZCxmkg+
bFxLt4uLGkKrXFHSH1Dmtq29ak070jRnHhiAqm7XEwJU44EBJ6zZNUrGW9TxYhyUnSISU0XEDRoR
1CukK1dpSxRgRCDPKsSybEuLBGRWLrtLLRrS2iN3x5h3qEVbysUaKTMOlaFJ0b8uQNGUNp+VnVoZ
dYMMHx2iG+lq3SHXltDJz1Zs3WpGApa1wbgxkf9RinqgtxNZLSUCJrwyhTSPgWxFK0iqXgknJ1qq
BANrhLjPm80hI+C8WdmBENSL4kbwItKiR61Z+0QwGJOXJVgPdvQ9pju6r+jPuzifbnDl4heMQygo
R9L7YpCV+TJjcBvj3NyV6kBlpJAqdDVjNasJyp0VdHViVkwOzO+mcaWKX94ne1AWjvg0tNYukPsT
6mOwoqZo2u+pL8k4MeNxvGDaLuhelKW56YkiV8CtaOqKCKbQ8kFdSyDeReB/N2BYqssnDdUnVuJI
y0unwr2QezUWm/5OzyRxctk4lUdtbmZjp84TObuCHnLByIxsZj+WN5fQGNdgH3m+MBXz5AxM09i3
x/2QMOnyhorDhq0NEjEmktWnZ5ZV/KJmW+t7dZGrHeFD661k1DiCrTHUbvM0U8EWh3JJZbo0rasN
NY6Xfo41jR8BHyQ9meY4fcGlMXLkoWh5nYL9XLLNtez6wEhalVg/CfK6uy072Fp4b41N8IL8GPM+
L5dM1p/6vqyXkxALHTqUUaiBw6aqcmqgTrIMJkaf+XgG1Jf/nFN/O6dalN//cw8kSN7a17x/bX8+
qG7f8vdz6jeYJzQsMFAbDNk5X/7znPpNQSciQV6iUgTdvR2efjRAFP0boBBTASrMmU78Lm/4cUzd
viSCK6AhqZl4mOiG/ZUGiPhrd43OHdQKoBW03Jmj6uIvlXeIX5rBUfUlSXa8X/f1XXEjPdHlJMCI
A07t6t5HdigOGMNP0g74Gy7VINsZR+u4fGqn8aPf11fdRXlHnstl/pF+SK62y+9Wosrep4c+tJvX
zhMdguWcxrN2SMH30U71rOO6Hz/IOTZku3GiQ+42181Bf42v1K9kV521k/xqxe6Q76hq5If2DiH6
QfA7z7rsXeKm3djJ99mDfF2fJi+8TveKX93IDiqQq8Vrrtnxq8E17wov2RE0bvnlZXU93UP/4Cvd
9Xoi7+o0PPT75ka4VN7lAwwqfwr6kx5kF5rfBKHb7zCqHgw/dvSv9Ko68FteKEdjFz4UN4JlE/rx
hQyaJHmiCKPdoNsYGBrdzjvXPDRQHagU7fbS8rWdeB/Nl82htq7ehnNyKPix0UV8tRysy+WBS3ji
PXzJXumHewqKg+6InnYkecLGYuTnt+GdvK8CfkGnc+4Kx/BwuJzEg3KK3dER/fjCvAsPpQ/g01Hd
3i6C6bMMfbrV8RMA6IPkW77g9bvhTP4E6HLhGL4YO+KwbtfcnaGr2lSMoU9t3yHTR4jtZqJX8vfj
c5Pb0VsuHZXSmY7afnB0p/TnIySdej4RKwBi8rm/XUqXSIZJt7UnmFC75Lo+EoaAuXnf7Egid1Le
F2kbXJZ0H+9JnN9VQXSUD+Vd9yJcFGfzild4RGMT2qKHHX+xTS57FiSB7ho3yq4hju4DYo3wmB0p
EQPzazm3WFEfrRsstI/Ksb9tL00dt2mwjrYq7ix+Uc2m0LpIfMkT3ToYHMkfXs3DcsCG40IFKI5E
bt1yf45OEpeXSbEzfMmuzny/m3DojXyd+C9b9A0+kSB362eWaLu5Hq8S6lwirC64aGhndHfeEdNB
uKB0N6NJKH2h8OGM1id4+Uxq7eINgKLbBIRbpU50viocm8iLm9Rf7dw3dvmH39/Rptcf5BK243ky
uUwvWO5j2/TQNTmdB0udgC5+i+alOAOJ9/vLTSQPy5of8ZFyG4nOvJ/Z2qVLHe9dVp7w8sK6GRgN
P6GA5Un+EmQ2besrD48axhTNoaCYlXNvX713vuHMs1fuGlfFg+T2NAPux+vlVrvnwEStXxdH/j+K
xXwLIHG698HlLHqfe6bkgHv21pmTpgOqhVTponFJ1rbn3i41u+M4Yh1yKollJ77PKtwJbl3RC8nP
tJfX5rA+Umak1iHyKAXgMh3C9+puuJpJ8Sk9feRdHJp9iW3lNT8kl9pd85VQSC7GbXiBF8Hr/eVA
rFfQ+4r4qd03nowI9XK4reG8o8bxu8vxvICNttez9qDSy4Ce5pLtg0ANRKjklwYxla2ds5ESRwuD
3E7JB4/3GFWotrXsrK93ao05LyBY+cATbOv38Kah7I7VNTx9oye3MbdNw07P4FI/TNnWvdkHoSkf
EMHH897Iz/lrcksyfWDJfmkLTTB/Ce7iiI33WOF4Zmu2s2vB45nesztrndcrr1xf8QkVm6w+6i7x
vsVn3T4SgK26WbB55abUXneq7nFkp6gp3wjcSfSdYSGswg54hEzSPc/ObBfedNM4phtJrh4fFYms
dk/EOAtimMuHm0963MzDWQWX1sa6hyc0DyGr5L7iK7fDuitiimy7Hw90SR50/s6zejTkc3nfFPvi
caDJpmG2tM1dTQuptadAPAPyd14MnVrF7h6y2Nf1B+oNS3zsYJjvoADTJRcTcKWYS9z1abBcbQ04
ZmT7xXrlWi+3ZDiZu+l2ujUeuKeoZp35or8RR6fDqYRB+NBfZ+6tsafBMeBYAw/iL9NHbJ4i6zoi
r/GxexSvRc0mC1f2wLtyegqIyt1hkyCv+8q86XYflkukeSG68DFqjlyvxpkDhDM8NZdDxjnS18Lp
LEU3pa9cDhFCdrt8gbEyFJOdNEYgk01VjYIzvwMVDjAnozrc45OlS5bckFvu6eHi4MB0G27kO37O
E3ap69jQANz6PBxAI+ND6w31WbbO+ht1uJ24CCktGgp7lg07gpitPyoc65Sg0UcPdky12BivzfNU
qC7LG6lKxugKD+AlimdLZSSGgPGcPInlk3TZ9i9StDc4MEan7ktB3NjU71p7b11q2XE4FGh4xcBt
PM5nl9rgjrNzP3re9F50ns6hkSeRI7KtPhJWPJ4lgpLqWnZpMMVefQZmwNpOx8GeDdbVjC9cD36P
dR3/lG5jr79iwypt/Z10zNUsH2BR+HpWPApuPJ05umS3IeNKaC2jVwYCeYsHcrhdPDVv5o15YRC1
5vZnYAQdRu83/ujP+YFQ8kvNKdzmjZzTPS/Fh1o7upefOP90EOZ39V5nc1Ff4v3wxilpOg5vytW0
U4+c8HAozrqdXVUns3Gbp0m7kna6O7iyz3vldCX5xhzwX2L4KbsWWVTMjVb5BDJzr9JGSQYUxDvN
9IwsaOp9mhzC1R2qXa89gq+MPoZ9CF9ipYlGQ/GwpQIC1zeCQ3zgJuNuHs8bQJ14sl3ivuIwnAEb
+brpT/oh7K/E6pBPzty7H2LrcLL861X5XVXwr1/zdH6XvENWzcVr8dn9+pe2OejPoT4/5qLua//6
v77/XQa42/+gHGD8dz18tsvNZ4fZ7+8V6V/54o8h4t1Sf/73f71XA6AnfhrglfLn0hq55Z+V43dY
yP/lr/9WikvfINZuonEm1oC3yMv5RyUufqOMZpK9/YMMl3ESjf0fpbgkfUOtofFlhkUoSjeXyY9S
nEoc9QGVOMfNbdSDmOvvb/zHVOO3IKQ/HnPL+tZx/2fHmL63wUgT/QvUPpGUn+0X/HkYWYvrAnXh
y0gyVQ/KKRdOBtTz5UyQHA3L1rDalTWSzqxSknJLgPBMOtbEufeCzJjiCzEzW6eS6+FVVMzhQ8og
5SWesvq+SspY9GQaXRFnRvASBKeKhD3o1ti/kp1LgIZASDxoMTmmj2dJDe3mTBuHy7oHkEvDN+4N
JzYN2KyhqlZXSq7CDZebVqy9RWiUZ2nq1OUd7VoLqHpIwzhoO3CyQQTkcD7rZpbsrbVhyZ1SSW/u
S4mYlQi3jqTfK4KcZV4tCaavLtnUuGNeZbM3Gr3eEDha1RJzraleLNuoYmHY6xuhJEgbiy181gmp
uenUulWdPprx8uP8009iFBXnCDt966cG9nM3GxcKxDnu2jchndfGN3VABWRxwk+psBYFU2ckDM0k
NQVBs4Q0Cz2UT0qx+lPSjssl6CVcAxrWQCz4zTqCRoIJZdpLk2nhaSF1PXTUxhjucnJMEgeUsGlh
T1/EbR2rirH7qMIttUES9PpeA3hxgT0uGTS/ixMddIgiR8M1aVHSB+gp/Pwi1IsvtS+jI6H2MwVw
q05eA+EKDIyaTZVfjxKVnFlEH2qIjMzGK9JlgEXgVthiQWKJv1Qbv24q0/bWzKCoBVpkjYvbNhXk
zzHBPOUIsrXGeyvUVjFY0rQ5ITyMoc6OddbbZP8JCOLIkvkawi6CK5b13AXtkoct9bUwko+QWiTx
VM3afHSjSSzihGODWUOfJioDjNhghxa7FI5d01n3GAWJi6+WBD98Cv2DVmk0AZan0fbU5fVI3Z2n
bMaaeUysGdQ/T6Q6MmIbslvkq7yxLlNxe01KviLC0Yz8wtIE8VE2q646Zjm5jM5Igx8xvzIZ97oy
kMcwLQZY+LA34oVGWlR86A09X1deZXAYnRXOtSMTz517vV7rF2vSJJ8ral+GHGVSXW94RcWrurV6
y81oOkKXsTIvtIS4IK9N6ztvafLyadbk/i0lKQMbfFwYnzIt2W6/rFb6FlkpJ72sLNhIjIkMFsa0
NDblmBwG+uz6Ag1kBIJmp7WakGEV69EeazqQZEIA0/Q4QZRjn9Ja0i+hJAuXMrZwHJ8z8ws3Bda0
T1d59POoxZxYiDFnk4FpIdy9BM5ErfSisLG0+FSbXs9fFEvIngVETL2D0o7I+y1S5g33RqHaamH2
bipWnMixBRvhzqzksSAuZS7JQU1kS3AhyvCr9oKs3yo0jEX89nVPTBCINs9Qx1QCxh+2gTWPsKt4
D4YWmJPYQnlGytU5YdjHHNn6XrjvG5wPzjQm4SdCaKvxFyWN2tNK0EZul5LSUyKUc3G9DkJ8VvNa
KIkRyNPPGQzlfZxbscDc1+Lq9bD4byLAgjTT60UP1pQsMvTHYv46DHHzwh0zi56IRqgiPoZgM95y
WB+MbuPjK0g37mUrbSYbC9WsO6pW6huyphSOKk27T2B2Cie/aNRPlTRw9lPzHBRb0sUlEsy8bLsd
2cl0SwjSGAcWVEZN+K5z0rZCcs2IBrcEMCSoFey/vrP//8m635SYf6oM2Xf5698+Pv92fv1dZfDj
+3703dRviC0ZvG7mIKRCEFP/sdur32isoQGh4YbECI01r/Zjs9fUbxvu3kRUAkyGgQHduh+bPV+i
JYwsGwXlZmy1/lLfbdvK/7nVU0lQM1CN4C4Gfy/jo/r9Vt9C9EbAHW2wyTTc9eHr3ELrA50MaKBK
tGsjSgOT1j4ozPrf8de/W3B/eXEKF4gqKIh5K7/yvEVZsAp52mLyVLJ8QgASfgaUDrYYD7mfIL2S
HWEGelJ3dbjviMVhYRoajV0GLIgdIc5ykf+apw4LYuxURcbAhlXJcgA15EeQE0j1NPFpXAjniaHl
icfNuebWTMsHx8jCq0Qq5vcJ5dXshmKl2mRMhV7Uav1jK8oJDaCUrKViSeSPRBpp2lUd3n2fKE/y
NoRErmAcglNys5ajQRhb18VSJC/9qrIGRgLYBLuLpvkB+bivwxh8FUTiwiAK9QMtAGw6dOQb1upW
NqqvpZe0s6lNnKL+84T+1hHftEz/c0fc4STR/p///btnc/uOH1U4RTM3PakRFs49HD3IIn7TbW2q
LYyTKLOwcps6nIN/PJYSYi8a4RvHGTEFtyw/7sdjKX3TN1Uh3XCcSDxU6Jr/Qg3+exUKgjHMONgZ
DNwNVODYm37/WFZZJyHByF3wEOUOJ+V6bHC+eqnAhP6na/Kj+v9Z08Qa89MC8PdX4oW4Gvh/Nh3a
z7U+gOXUDEsAiSXJKU7cEDRD6zIBC2eIb7ologD58xdk5fqXF9RVJg6bggrV4/b1n5SOYJSnWLVS
nscsCdp+JosZwNrytZiEQuVdAk9LH2U1dufWEh7+/LX/6LLq24qrYsHe5iG/f+2QiNwqBgmBsEkk
Y6xW2yVQpa4vXbHKovzfXNo/ejVOUNxA+NQwqHFg/PmdznHYl2pdubVklvIjMIySOT6sU0Rj9dCM
V3/+3v7oum6aQVTiOgOUXxVwibTEU5VXbmukRaDKK8ltmfGkZqm2h1lHh5wQ9qtM5o8/f93tBvnn
Iv79BlL5MOEvk2vBEIeR08/vEghmBrUFU5eONWVtGhqWPb12XXkHjQbzVyC36a+/IrwA1JaWBn/k
V7IDR5quNbcIIrGk2W/2Jq2oQh+PGmC7WyJEVleOpuHfYLpRZf36RlUM3pspBK05+JFNC/zzGzUU
DbM2wVljD7DbXuAJwZBT5Qk4LivJx2TI4TmuhNDaGaGMM0jqY30fh4N4J8xiNDkTebKt3Wj6crOg
UyH/SzKVT6lfx3uNLUGkxwPYzdmMy8BUy6E6KV0XofyRBnqrLXpL0lZl9Uqw9HYOZhmwzb2aZ0pF
c3zq2Gq6OaJh/z2kWZ/DkSbmUC6X6pSON3AwehhOZlpeD9wRSJmIbw29HAfyQZARErqMs0PJFhOD
bFhyGbXFm4G8yITxGcgKyAlg0D9+T902f4vgnr/ncQOa38K5QfPB/nIqDm9jsNQqUJ1YKWiWzjPC
LjsdSvq8xjgVH1jj5qe0FRKdbNkku9FWAj+vRwux3aSiN3LrWKfDHE/rliZYWo2LOXGMPYaDdADV
mjzIIBmscXRSpWDobApNtsWMGevLWGlJTCwnSzq96Vp5rsYurfw4ZOtlHl5lL7D4WGRatLqyC01S
ukfQpZaB1XVEhUHWlWgRl6uheJ08atzNSKwvNBDKqpN3proXV73/jLuxX7wewuqHUklLYzchEDOP
jo1+0LV0DEm4V0f1QQHcQ7Ntjoj5K6yOWmAVoGQ+p1VC4ty0jJr0ZClxJ9PZho9RXGhZ1C12i5lw
qbx07sr4ISu6imxB9oowJP6qjuprAF+icFwalCszCOkuLUL4QxwunhDfTYbfx1ocXxBfKoS0D8uh
yaYLcmHV5jKTxxhhg1qp+CD7ItEIutjyRKUKpwjrYDmIlrsQgJHdiBqnvQPI40U9QxsjAqQj2a8q
bHjfgkGapZgW0Ukqak14iguuB9a0WejpM8YFkOTENRdJW57lKMmXk2kQoX6amPsz10zHsflogFmS
SRrPmRjBxdX7kU6Q2fK5XEhqmETvaBYr6VY151DxzZwYNGCKjWBoLrreeXpaRRloGUHDbeMi1lDD
Zx4wlDEZ/IfIRURJ9xQkiPE15KqMVqXPMqBn0jrxPFomnXSMgxnDUvCKd4UB7soWI6VrbCWJevpN
uro8xaM13S3zrKEzrQuUKka9bom6YSncRuY0PZGB29wMKru0g8sllqCBj3VHZm1G+J3R6s9K1IVB
sdKGcZCRLVvWXQp+ay4s9UKsu0G082qrbREiCQxLqWjjE0C/iscvXaTbGJXZfaHkyzs6IunVarP8
WWEZeQdEPw9bnijkV7RV+VVET+2t7QBsZktYv05yqG0zsBaw1GyC6yLdB7YyAZW6cK1vOkPOiJry
Hm1wJ1veAjCRiNGsJumG61lURnOXSBzVUVrSDrJD0om+FDkGdJSrpvZq9PkaORFUtA5Zh7gUpP4o
pHk6hhbqInBNtUyfpWFCUEfogPqhNJ3IxGky+kOnjhktA07OEdkUhfZMDh3s1GbIoDkWBKcKsJTE
+qEWNYnc4p7/sOMOiao7JXXxkIGxIL9PygV6c43MxCcuyRaBA7b2NN/VcBVtQanD3jbljA+Ow4VE
YyRUqsNklSiwTElK7gStXE0YzTFEyTYZtafaRIgDQ9WIdLcNaTPSJbKMmz6h30CvsQm531W1eOnG
tLM4wEtJ4atpFSH0MmII5ZpCtjYnh7KojhisGgbJFrQHexJIJ7dbKVrOYVd8b2oa0U2XoUZC5Ej0
qmnUdXyZmHoyeUhDBZSCBmsNaY7ogperuh3aZK9IQ83QD20XfSp1NqYDZyVJDzqUujp9R7MK3Wqs
QUa3AmdJW27y5KxgDQ7v2o6gYPK0AQKwvJfKeAsGNgPWRp4v0+SWDQkkfqdELrmYLUzOBki6l8Sa
2ns0fU3CzTtRjaNPqx4j6z7aBJXoeUozRKqUy62vWlC/jn2ar7Ut13Mef0hqN7anlsQFZlGJqS57
qWlqy50RNTZXWd3X6pE1F15zbFW1yUY9WMVuzkikquj7tJ3uzHE9N96iET79YQmiWB4XtS7UM29s
XZ+6wZwZ5EZhRE4rRUnS32RpOMiXo6GRHpnLk56+tXNBtylsE4SkIS9tnBrBSobOiUhQiN504jYk
IrRNlVFeNyzatIcPpFTuMHZF4tbJlNxWprgqu5q1L7O1Ub6PhgT1Krqrm4lO2LE32mSykV4JH10z
dDvJLOYRk24Vp0FKa4i576Lz6MmFRpNNLHHzO7LOS/mZBnKeyIKoPVamRhpzWGOhto1aYJsdw2bu
gj7EXu12aae99wnfgyS1YTDbQp53BKWny078J0NsvQxjaIet+d4tJSa0NumYTMWbLSCzOnrpaiRF
xS5CwK3601yGD8jigMzaVRSaUNvTcH5CS8mQXNKF7Kikg7l94tOa72sxrrvLhSTVAwUAXWX0hiFm
Qz1th5M10Ig8T2kpSbcKOeMPXUSHwDZrw1y9DjEmbMl1GoHdrqneu5OWTNXtSO/B3K+49uHIJjPB
xk0GH+sw0q4rzlUpdZrN0b4vHpM2WlGPVcaQ2ZlQEfAA09zEBTBbxkcEDOapAan1qvW6cBFNUslH
2esSswg1f4LCpS87TUxqoDst+CYv1uh6+X1UwV+c9RnyNbx7s3XLUEgSp2JrWh1F6GNkDExe6p3K
Oo/ahAeIVly+bJeVLFumvnoDWyiqxugFy81yTjiL5fY4Uv/YBE8ILzLO+HOH0JWONZxskgPAPTJ4
C/X1Q12L7lRlcSGfm3JIJidTiUXwda2HUiXAomwfJ2HokRWho9bfZhOoZWAIS5jvwoYPJ+iHdbUY
O3cNqyj23ewwCyZLJyVGg9ojQzHvCz1ZEnYXLo12BNCnV3cJuP3hBDp1jI9iMrPQkLrLtunGHTEX
dhpTTJCsEvFkAHvjYGTLE7MKV2oS9QkyRURkxkz4BKHiKpPyRTTKzpu6PESipHbRQd28T05vxfWb
gTbWcCJDXqhJreW8os9tPUSGoUatU2SoaqZliTGDZizE6ZzAd7TnQVkEtyb9VP+Y9ETCuZNVKl1a
/AxR+JUq1Uiy0BZs7IpJnKSPhaXUGU0TLp/5biU6kPucW+wBJ3D1JlhaytuRl7HFj7Bp5jFAi69V
JC7rAd0iVLA0juUvosKTi36S5mfg9cXNGoNVmW5osLeVu3Wk6B6VCacnpM7b4xqpRwXqshEUlhVe
IPRUnsdCFV9brOp4pwnCeUnqRpr3IKiTF4M5Q+zUFDuKHYlKfTHTevvS1yq/tqBEUF9WbfvcyAt5
JhHhapHTCqDqTlQF82XcjlSALMD04xa4kwAA6rl/7jr6zraMAJ5AHQJT+2BsK9SeFMcgffOqk1/X
JF3JATFl0osWI/kwm3RUPQnBMx+hqE1nIDSd4VRZY74OsdXcWmojaDafvLjrpYrQ6D4P16sEi5jO
jt+Ku1Ws6AQkVoQEpQsl4S2etGY/YpVA0jGBw3AEDvfMqMjPeh26wbpSJ1kDd6kQUtsIAZs53FJw
up0rEzcI2LhvSLaTkra4R3Q7ocGjZDQIsh3kwmbEBm4dHEVxFYqzVdpp2ClPVV9Mj/XSlI9qHmYX
lGRS6VOJRuewTdvnxRis1FcSKTtpSp/f6VazFnYzDf3C4AtLlm2pI+oWrSdlAFL+WnsWdLqXYUZY
bytSwnyHJh4nJyBAj1I6dNfdtK53pMGhccCk3zNAi+ZxspdhkREslVrs162EdD9OY+WOvj+ClVpt
tPKYxrOKmKUJM9PpcDdYdgNzRQ3Cclmu8zqEUsUMqT0VMoQzZ1Dk3oKykLeI/Kmd7vpp4BxgUVFf
AKwvSl+qdK0kIzLvT7AK0HZ0IQk8v/m7/uMa/i/MNj/1FLbp/4+p/iYv+O//2jr33d+ukv79leTw
n+f037/xR+uedv032CJM6mlzIU7d2kU/rJ0S/k2DHYt2x79YO2XlG2AFnTYgLiH6BFsn5keTUMA1
zBBJ+p5mJqOblf9Kk/D3rTsIIdBmcJ4iMYfRQqToL607HQp5DXp1vdDmSvAKnAdii4SPeW5GW5wo
ip8u0R90Cn/lPvJ6G0+OdhbtUdxkv2IWW7WYE0Tf8oWQIgMShPiLw9fZyplBT/KLCPXNr8I+DYTw
qiiehIgKpGWlC/7815B/33DibdO4w4kNpoRWK/inX9pq1Vro/dRV1UWtxHazUjyFiPhtOvnxsele
O2CBgZKg6K3YZHdtq31F3XRb0tJxVcK0LrCmXg8VG2yhTHeEDyacyVTphsJ71zN1BJaHenCDanpj
LypuH43Jfn2W9ZqQciqZ45+/HSiV9I3+2UDj/WzoOg5bsGQ5D6EI4es/NURrjdQMDADyuWA/j50B
mOdiK+8bVjnpfFU+DOJOzQ9qto96v+13eXeNvaS9stAAIQlSd5rg6J/VAfJ32wZd/dqZ3ip76ItJ
luH9NgSbdOfqvFSnNPHNkoQZm0wt6P2R6oJA3uuNq7B3qzdAkMkmbFJbL335A6VlRo1C3+ICpV9d
7uJH6QXt5WIESXeQljML2dTskWIul1b5oAuFrVTvpXQg8GAw9sbsaYRY7PD7wqHWchf+uyUGUhEM
ZqC0foGoenBWwzUmd9b8LaAooTvhxGQLU4TfDFct4lfTzq/re+NZeabCXADnXVkTCSlOlPpF9wiZ
hU4yJyAptQWUrnrwFjEntgXDlh6ra+HRIgHeckQOSoUfCkSPvc+9N8puFZ9XKpd3Ak/hFWEfLI61
G7404o4MqYzUJc3OioCpLidQ+Zyejb3mGreN6WCVCj87AzuKjSi9OkZvfGrabce7SlGEOnCPjDvF
1gPEpQF0CES65+Rxjdxw2a0NYGfbupwe/PBsnYZjeLEYtnZXHXs/P81PFo6nM+z4PnIJLoveKNFM
Zzm0Ph3cm1y1ZzSaMSHtZzSM8xwoV9gTJc4S4LDt7NJ6zgPhtD4XbyVjpKCo3XR2Ij905GD6wvcZ
XtOEcayTtSdsx0UTGzn1y7I3/fmBIsQJ0bHxHveUVyDJc49zIjUxXJj6K/2yZjv9KhdcP3uEd9qh
RZdcHSc6UxxKr9KzivPxvD6XAcP2fdO7deog+nWyj2xfPS1pYN3A5Q6s8+hNe+tzvEAwcV1QjC5O
frG+8tiSu6nYzWjjvEmuJK+8Lq9xs1kDLk5MhE6q2sqEncbBEvr98ftLW+Bl/Vne9u3nZ39+rf8f
kJ5xxPlpjfmXze3qtX39lVjw/Vt+bGsMkJm7sKlRoEK94N//2NZ0+Rt9b30bfvEVC+LSP0ZfgmR9
2+ZDmN9poH7/4k/bmvGN2GJagPzDn7By/8q+9vsFkd1MoQZiPkNGtraxEbaZ9U8L4oJfimN8lHlK
lN+CH9scdQUakpCAkp8uzB9saX/8ShCeGNKQeKz8Mv2mHaVLggpZIzOW5aIeRO1qWrP/y915bUeO
XF36hX7MQiBgb9N72mKRvMEiy8C7gA08/XzZ6hl1sUvNpbkcSTdqU8hEAhEnztn72/aaDJb/jh74
ry+Fg4ahBXfQkc6HVZ6yr+8sKsu1GYvbmDkXESjOfaPCT8gAvxYFf14HOo0FkYhpDK6cX24eqNqm
rTICFTMmBKjkpxTVsBWLY+3jFHAQB33953v463b85wVxALEpwy9hCPTrBYc0QlqbJhmrvcpvgsp/
TXH8nQ2foTd9PWMBVrz9rBRBncAf++9dk8sCGkLuiEQCIBI6yg/fkwAuejqtjNc22+qtMej8B3az
cJ1kCGZlHPsPw1SPF53hBCYtpd4lws8PeES9S+j1dJKVzFekaxVfA8E2i+ZnpBdhurczsSpwk5Vz
gsKqML4b9U5ErveQDnBsKzFxxm45Ay9nMgYE4ax1d6yH3D+4U5W95JZTrD0rDvJl1pS0SBVNr5U5
KBqCOp/EczgP3VLJzHsZcNBvY3oP9qIdW+PGH2z/W2iG9qvNT8cBZFbYITm9I3TiSHPywqJ78yrs
sxm0KVN6l6H10iNSiWHZkFMlVrPsUu6H5y2mxBHsRXI60lbPdxB5UR53CRBXTs4Xx2vGtaBvjyy+
b5LlhOvzqUS4t020Sm6yEQdBXrvJ3lZBRzeleDOrxqIVMZaUB0MbPZluJd5Un4mHGkxARfc/6wiQ
1PqbSbgNHa/Rzzdkf/Vb2rJ+tMgLfAqG22MnCZKaG5xbaX/jEDdDsm0z5e8do+ZlyDHwFOdORdO9
Nzn9FoZ6HvI2uxd2Tq0W1+Qp6dThmD4TKqBK692dpbEkTAppH4nOcjWHiXGaLNxQRmISNgQW4Fvk
arqBcSge6Q73iP6q0EmWmoi9k1upbDcU5AXQLESZOjfs1CAdD3EksxuEgtFtlzekCXiM6ZBfyWzX
01tEml6QaaKqa0MvSW3OzMwqlklukR01tFiRCqdBEl+U8NFblHiHLnXil0iQZ4AaPaQ5NeR4mmMk
2nI25YE+SvlmRS3lV4WI/dsQCsp5xj/9boQXnmD1UVi6oCvvRJKk6aJplV73PZYKu6iGrVklN0nr
zS2Q9f57xxJwKKYAk5xJbl+9kFKJ+85kD+xNsz2SR+juXZObO6M53RBW1SCUyUbEeWUz4r6y0nzF
uK15RvVPfThwcE+YHq17BIfeSvZYY/OhLBdDQWCL1MO4CybhPHXjUN3SB2uuoRXZksy28KvfzeRB
Wan7bNiFefCLOHtyzGFm3tbkr9rwvXWDo3ibzj4xRyWuojLxnjn+Yt9zO/1IIhkGiMFxT+5gB1+I
qrJQ/rj+to3M6BB0cXk2efvw/oTC/EKnxgTiUIcXWv0+lou5nB4wBpurrBrD70kSxTekjwIJ1152
DOhD3hlO2z77sva6OxtMZb42+BjtNyO263htaWgNu67UnAtIQ+3MlYc9Gb+Njkm+uldZK5ttNFhN
s0O1h0xwgEAer5reaMzvZQAZfyPR44Xbcm78chs6PqW7DGRVnYlfCneZbIP0S5YhuF2AszW/I1bu
vQ0Zs5FeRwnBccvGR5pwZkvhfs8RIWLwFDr7dW4MeqsTMT/epsyKvlsZmGnHg5vUVxRZ5N+asES8
lKbmNrfsCA9gUNvjag6YQ+1Khw/75nu6f0yGirwx+NiZt8aXaUMon1tY2douxkNMtlZ1KAM9fC0L
0x62xHFMb5B2HDIiAUbiLLfa6Vtv0g3d9jjOnwjmCLxD5sXdz6Ju9QMsbFolaRaC+riOoDgNFBZi
X2UYjHkLEhKmIxFAoltREeT3HGB9oojDL0mYqa1ZY4ZybdtYhm13ckzFgJJ8pYVqvXDVdwq23YDB
UQVevWqq8RD58aYJgeSJUodPkBUUFpU0/WnHel4ONY1d3QSgWnmcJv7BGsuUbVTdNnLkQTHXWGZ9
YEJudVkvuB97YzB+pI43nGi01bdQGwSDtZ7RUuVYu8ogL5mH/yHj8aqY34+RyHYm19sK4uIW5Hg+
tn17ozgPhWUBksA2fJMEHfKuI/eQRP6w1j3h2mWIY86y9VN/vUdzvGUHWvuNOnrdeHRjY08+8zGf
8qdxbJ6dqkm2BG1+cxrxJonISTt7K9RwEgi6fTMevrAPbRvy5ciiyPcu518GeXhH+rErFqFF0R5F
/b4qq+1Mv24xuPMTqTFoe8l2WxHF95Ynil41BL3e2XaB+tlWYltJ+8bG6V7k9UPV5HelpEeHcGk7
unKbeHH/2rM2MNbCuAdJbe8RkIwBsLUvQxn+jO3xMVHdDU3ibR+Ud7XVX2rPwhQfB18ZW5HcFDIT
110Iqr5t7/ya52iYd57ZHOMcD6xuQDuk8beJw1zN6TgKfvQArmm0B6t4zp8QJ2LsdHD8ZTn99wyR
XRjKpWjKk+NML4nr7chwWQ6EPcgrSyIT9I3ROXX4qQc+8YyJIdM3ha0OiuhaDiaCepMDv901m1aR
8Zt6N11LlpZjupeIlPFFIfuzAz7owfbUmkP+tiFTrohQeruOqs4NQ7JCFTxHVrHDnL+BGwWuKNcv
oUNyD3E+h5EBLtBNNNhklrNYGhynh6BajRWZOv3UVKsIjgau+tFdilFt08pv6EqifrSIQa18YlYt
z9pWDYa9VKtbg8ysr8LngFZLW91A5riVg93X1xFYdcrxCTActPPN0CcHO8E5kDaItL0sZ05AaWhm
5dlVRrTN8hJCWILawT86bfyGC+J7Kc3mPrajtUa/vgCSeEhdQLQ1Te7ETR6CwkeSEMmb1EjLpT8a
wY4L8OXTktwzvaqVxMHaGWpjTP5XHeof6KIoUBwXt1sVcbKP+5zgBixSbie8O8tL60uCyGCVMyRf
mKa61HXBACcw+juzq4N9UDnPrZFyy1p9DNCubtzc3NP/NbdR3XX3g+pDKMXNuAELg+HQGt8spKRn
wnS9Q6/H2zApd9oM+yXzhvmcGc6+8Y1qR6rXnuHatJo841Wy1+9Ez2Sv8MV5mN27chqznbKiidZy
mr5kpr8k6fySw/15jq9N8VHhM+1bi9Sz8b4kJXiF1vO5C9x2o6b4WbtccbxO7yZ/umuH5KkS433h
20fwmdEisKqYhzvc1qNlXYRnnEck6cuYhhd1QfwwafMi5LCXRX0XSH1gKHkaSFKE/4UmiMl6OW6b
yj8LBndr3yxeIbEfXVvtqmm8qehTb3RvnUCMPNZa/MyScefJ5h5NwFOeu/fSkZcoUycvj2+zoB82
w9yvhWaqDghHLhM9fXPJRdTagJDi74NO7VqSnOfGPhm8rgvb15uKjIAqji5AJtKN7yeXahDvQKqx
qQBg6VIkFJolCJPNq7Ab9PLiqtj1boiQXNOh21gZvsE2RzPhFSsRz8YJTcFjN5vvJWR2QDIDkclT
skLpZvDIjvGhlcyaFV888hmCI9lAHYwensi/a/w594V9aT4h7jnNKe96qxRrYWXQXEsceY/64yL4
m0iQe7HrMgM/gvIDrIZyQNLfe4ugtr4YhNSWlV+vTTV7DFQGvQ9G2l+Gsr6bPj9iVoO6Ie1xKTLj
W53b5saJeqyAksB6Zv1f8gqVRYz900uGlClbiTfWcmhp0WZM7hzVzEvH8oJFZFkzRtg0WfT+8G2I
qnBZDvW5d0fjAGUWKIu8PioBPpXydSKB3EN79DBPub+opTIXmXcVrHQYi+oxEJuOdHinGzR/5Pii
C3EucvYbKHrcW/JK8N20YmfPbbXqYHN9twbv3QKXpVsURqp6C0sfGZgV3rBMrW2X25tHebepXYDU
DfqUTYpLZKN8lOFNNDyoymNzATvC9+eruOUlTeof+dQefTMkid0l99NsJAaUFhatFWXxcQps6rc0
oA1W0JPsrLw9MqG2N8jVjP18zYdchMQ+7tw0K7fVjC8U8WadUrNGeLWv4dyy0j+Kua+BZV8T3iTz
YiIEy7WVNw2j9J4mpAXbZiFac3piojsd2shwvkVBlD1mgbq0baoR3aniYe4hBsJKQ24Sh9apyDoO
Imbn9k9mCdU9u1qSzKId3wkN96OlVcRiXcjKf0iQC6+qiDPf9V3kqYuiaEmPpfohppiouDpxngZo
aj+9CBpsN0qS790irVc6yeqlH2ckRPltMC+jIY/vY/Kz3jIzn3ZEftGmvE5bTT+75NpKfqQ9Lo+V
DFr31XADY9nbhsP2QFlN2zDELYV2ZV/68QS/rDX1PumvU9V0svztXJYcmiJRWCdirtNDZ8Jps0fw
N2XSzbeh79JAHZ3pomCNPXRd69xILyvOKgteqhn0QtKZ9o8wF/ARyBjleONG7hLrWrisgq46KVbB
LVF62alWmfugdEkUm6QB3ZWM4shqnDZhg8KoNhq9DE1nuCkT233SQzvjWYsBV4S6bs/uOHjHNhFt
v0j9Nryrgwj5iqiMJcmmvE5Dg+Fbx9axNIS4ozlQp4h3ZHa25gJ1T5RR/oamSQgejrgMQ1LufbOF
Ua1rNtCvE0/hT8/rae6no/U+BTI/mdlcL3tX18e4UAlddCeltsAvhaiyIUAzAA7l14dsHKOtFQ3e
rrHD7uyEHdPnxPzRt423icygW9lh7D+m0yRvmkA0D0gY8dijehOqIOSaCBiUev73gZxBPAbsQ+0c
8ENPlsJoX1f66ERzf6+c4trV8NKp2baphSJyuv5Sh8SOjDHiBYupmqzbHD+b1iezYHLl/yxbLX3c
CA6Pwy3+S637s2k3iRhXkOozhEVFZ5o0/rULWXzd6AzGUD6GbrGecgDudLwMcSaROrRv3cwXXzuS
IIFiTSmSosGuonvS7E/44FhckQztzRhv3sIi5nfbWY3/tdSO5LBFJrgdjlDdSC4ER51aFKKx3JTw
pDbEWzYnkorjtZswFEZTYeImb8DW4aHAWl6E275wnQ2cGuC2vUl5Mg9rJTXhkHBxq7EGLVIwtagE
s3M4+h3cJcs/Yb8hdqEntBHn6EJMQbvg1DZtKzb+GZiDBRDA4+fK6mHLV50Ome3XW478D5ps3+sP
7O9DnbiLoWvWaTdG57SdXsCf/XATOu7acJB5yM5YD0YsD6CYtsOg9iV1LCOUkfP+NHQIc6PhNEUa
JMwsnM00kYs+kExw6LJEnWt4VURuzvmRaGoQEmkjKDGlfA4D99vEC70lh9JaIbuHB5G7/ToJe72u
SvsxtKiC9RXZmqQBRwoLS36N2GbpdaF77JBCL9ETDWdVeDXs8VLtu8phZFOEFpvlPBmXvli7o49D
FYUHIaEaOZMzvwcq5tGzJ3NZ+NLdaNHwZmmLJIUidu+wOx6Vo921L+cTn8fBfRlYK8WD1CyqoELS
7pv7Oam8E+8yegCFDMTIBHc+i+0bVSN7SCoGDa7ZbSKb+KOG0T1J7Z1Ov7a4UCUWuWjcI0J+r+G6
gevqsrXri2GNuKXaQqWy1whMnCUSimKVjO0bYaPlJmYQTqisb6DpjZCQzX5z01Q94Dike56KngYT
taynSdtVjSY1trEXtTmE68Kqgh0vvLeLJlevrSZgux7MTVXQhxgQyD0zc282IQLZJQpMQuN8eWFi
py8NrdoVx8pixRmjPzoZBntUDQY1kePoDcNhArvZ13DqeQg+SORQYAUXXmSER05qb/gnfiq3PMY+
a/M4F/mFMb5/ToLwxncAuzjKGl4wQ6b7QMcTHMxB/hQkSSErRvb9xRlYBvMiuqs7Mzn5BoHB2SyD
zWCm8e4akPkiWJn3dWaqFWnCHuMjoBBO4wOOa+llsBP05OqSXTGliQXSznP2ZgvsMbfEhI7WDdZI
n/WJRnhxk06j5qSTlu9GGI53RJ9BC0hR1bw4XYkz2hfhPuTLr9t6mteN1dlgEGz+Yl/ExcEytbcx
VWfeo+XGD66VAamoMMwvfoPk1jKku0Zf0j+UJaJBDuP1ulJe8zUy0MYLo2nO6VgGe/TzDPNQjtHZ
TOurQzUN0E7XhR9eDHciXKVpnjQaSmCLmVwOTO2XjlT1yrLQkURj/mYlgo24MnjeiuZptuVFRLV5
E1WtycIUUJZ5TUkudSTHPFllOvCerNTIV8lsRdspUMYB0H+OWjsv6EJUX4IrqI3CcSo1aX0h6m6q
RQPPaGhbKw1bE1fs/MzjkO5aBTewG1MLG23FOM8aqEFjXo+rhhBjK5VyK16RYFc72Qm6ztLA5V5V
t+6ELC/2C39zlecvUvjxy8Cv3duhyYuLreRF1QRRL2ZPmyugge7eqJIvXS6+ELTb0vuMOclX6Poz
1F/MwxWrBI+ErwJzQcL0UnbuU0P+4QJDCjXMvJk5Jo4o04O+XNtT/eKl/i4N5a3U/itSxndqKYca
FzV/MxLJi57tO8o4e5PabbEObY9zR9u+x9GIy6TW+yYxOOU1ZrcXCrAF75w6z1XWnfC82LsiFS2y
ylzv4iYihb6W2SZKPMPEj1JlBz0mZyfRX2Wj34y06TmyjfoBkHl7b490OECiR0wKVQFqprNu6r6g
zgSW56NeZf5pJ2A2rH7clE4ZfA1bPX11ZM1BSvrGueqpnvMEFzhKKiBZLsY7e3pwB/8JSsOxElm+
yYtslWcOW5yKALtMzUvpapTl4bith+ngefGOqmFFR/ekGeC/NpqNNIvNFQeq3eD1D6NK1sRGr4ps
vnfrHEU4TTnkzO0qMauzPw84rHFESCcFqKKS5G5U7YoO+ErxL1UOz2LaN/uRjHEPQ76XBM8kGh7T
0VnWtrUFeku+tb3z5+Jxsk1/kycF7Jp+11esl0Fy1xr9I4zAL6pE0Vz5O5qq16CjdU8/JCiGQ9QC
hYndzRiKHx0TglZgDXHb29KYHeJN5EqNYpULdluYjyurMYAVqnVb6flr6hW7eSiZ4TjLHKJsTaWe
58ZRNby9ZQCBS2yKcADJPDBINqYlT8Yt6QmbwCme6mJexQk6rWhEvsTZ+Hq2maMDgvVl4dQbXqsN
NOIOPZ27UZn1gAhsUaurGdy0goMO3C8k0i2hEK9zu+cpmldBhkE7q6lo43Dh0fp3LfY3j9xs+u+w
qL4Xsm4uaOzb3WhV0Annw2iN9fMo5aFwFNFW496O2daTcNpHkSRfHsm0nVEjlMOpq8otJ1Oe1VCe
SiztdAzQI2N84ZOiPn+pUwUci1CRIFkVZX3LOPTZM1gG/YhN23RPxCbdly0dpMDs6K2ULN5ht/Eq
wVgAfVfRE5Tjniav3cZAhWh63EpZS9QMUORiBkedvyG8ojxxK8+BEz52nTpk1jc5WsSfJxuUPcjs
7GOT9tmKDPdHYkpvtQ/rE/hVlNJ+5rQTYMPvUWpHAeZ6lRQPodmcc2TEAzu67LD0NMWwmlyzXpSj
vItiYMJz8KoL8r95+SI2Dxqkxm6y0rWU2HBcdzrhyz23fs164Z+Nvj7CB17hQFm7RrWHtrFBpmsv
gonJH0RXJCzs8nd1Hp3kkL6ObX+rozJhhtAdrHRegk317+msa8qAHPkGwRiu44IXQTVrGNcOJlza
shqmOwnYxwhRothzl96y4d/lbndW1JSzmdFBsOit8e0z2EGZE3THoYzvm6QGhOYNxzpv13FPJ5bQ
1W0C4LO2BVQqMg5b/ABL+k63pVOc7GtenhuN94OjH0gNXnmpdUx6zEsllpV1D/Z00eE1WYXwcxdx
JeEMJeYuwdrFYEUeONzCK7JfpR+iNsn6l8run4j/HrZGPs1kY3lH29KonnP13Rx7dpf+5wSUS42Q
gsAxT2XyMlwR107zxXLwMxDe8prL4UjkW7BnGPFos2rVDAcZcp5R277rQR8wqGyI1r7VQbqL/JDl
kmnPlT2Kh4God6Hu0WvOS1wCyVIk07Gxxd5B0xIGzhd/Nm6gwCAEv5rz2sh+6JMSKoLqlnaUn8eh
+JFWEviSta0n4yZw47egBTRF42Uf2pz8rme5iq+OcfqGw8lKmtnRyeNjGEz3mYsvBlPrMnbaQ1m3
F/a/1yoJ7KUr/C95FE/bwuqonzx/HTEWXBYziEGVnZTVZ9vQmL8ywl6MxXQsgv4mj8uZg0VonrAq
JQ8i4iBu9Ol0Adgc7ke/ApKmB6t/wIPxmKVYtGPi2NZ4pCINCkpx7oInvPcCHCbCzPRpFCa0tGC+
1Crpdn7Le8H7ke9bDVErmmz/krOG7DqCsL/o62DQjGIqfeF3euGh2tznkw0Wty/p+PiqBDVCOfts
pDrFyeQF8zExpThbjtMtUTrnzaZqjHgtlLqWQL67YZLMFLnJs13W5fFDMYfpeyat9DbH00XPPMBR
JsfQXEF3te4HnTi30othEWq0uKB5M/PHMAS0YgwxkkUfhAmq9HCuN6By3vN4CtUuTGwbk08a9S/G
2BCNbo/VeCuaHjzahP+JzYqY0h1/9nufh9YyLEp11zA+3FWZ5T3IJJi/usSb35Bl5F+MANffksaR
WgdJBKsEtMs6Vvl0S+9QviDzNV9HWsm7aiTOmNCDsN64jUkKHHM47CQRFr7C69Bfecl43/DLrDXl
zTqs23klLPawso2St6DxgOy3cw8Zr5uWjNUl9fgV6Jd209HpJ7lhngD1rgqDeyfMIX+Z5B2tc4qL
5EoCkSjMoRYArRnPNlEQZ187KNqx3o5PeRlOy5Cj+2FwRv8tLgL2Z4s2KDmVUOD9fliNdj59AeCb
LkYZ/YiuuuVKa3SF3cgGIAKz3rVW2R/8njPRmLTf0ZK/ep3T3SS0D9ZizJpHAvGQhNtVO5yCKasA
r0CMUQ6d1XpM6MrQWF3NSoilVyHuzZilmAWtn5CFkqkkHVTHm99LhoPjIg6CcT8ZLex60gQXnTl7
G89vIFpWCuUifbJ1E5kruxKXiqb7ZqLvdh+Yc3ZMOsRfVAXMhuR9XMzUwY3iHzeR9awmvyzXA9X2
16md5n0uMxpl+J/bFTXssHainI56ogcoNDl9M0mvaUBFf9skoX/GRmxcdBXjvfOGqaoXTjLRuqiG
/MYiNg5JoR0dbTWN7B0jXq68QXKxGOuovyStlGgRRXoMYzu9g+3y2iir2dAAajdR5uZbaifImp6D
LMys2Nh7EMoXc/CqhCeg5bCdBU526J0seAi6LCDPsa/a77MITYWQXhWbxhv7G78mGJcqr0RcOFv9
diDOgKKf8o0zvgd9324VdDydMk1XoIp51+ifICefbHwVUYfKskb7DUkIv5Yb19mwKbCw7nomoGoV
RCkeWd9S9qOoI6teORPRpowMAUl30RzcFEWPCrLWhqZi7PRlygDIaxF1zwK37i4bkngVOCPe9q5z
zgmTOv5Mw72QHOKtHEIauKeaxDU/razF/8wlkp26F/E6FQLEe9dOiDVSUwk2HbhZV6MY5jS7wrn7
HLipGz+TBGEgDoyZcq08COFy/z8dKH04WiQkRwMkfUYdfiSYk3WNeXEbD57z/2RFlraupGdRp0ib
F3HCZYFplv1E1KSOn6JQcjz+Qzf0Xynv/j8Fx1yz+/4zl2LLZvrj7RfR+fVf+FOdh5JO/qEIFrbj
WmSpoR7/P6Lzq3jcNZEHUNgAbvm3OE+g20N6daVSMHSlV4RI60/Jufe/wMnxV/kPqRX8HfnfSPM+
asChC/AHuUAwBJ9Nuh+RLazFUS+L+GyoUb1NiEDgMQIL/5F2c+3i0insW0e0lN6ZYri2bgtvqI4J
AKl3x+8LvWdPHMtPVHy/kg/A4PCZUM4wdfT4H+rFXxVoqGwa05pyPEe6fihyw3mpR40q3bXD7DXA
wfIlYGt6dhjDik+EaL+q0P68dACXD5IPasWPQIl8xGY9eOm5rFNjEwWlcxoL2j+GBX+yY5t7/8uD
8hu94u8uh2gTGRqWb9R9H0RvsqDb4OXp2bfz1FvEsSq+pU1SvoZ+hSUWVtb3f77er/rIf329v17v
g9Repoareq4nUGys/cwEb4mbd+un/N9/vtJVaflvOd+fV0KW6vgmGCL5UQTPMZEG+Ey+eF5259TI
yH+J9fCJNvJ3DwpwjMAPvGuu7ceLGG1K96dNzpXfV1sNJeynahA76LTN91bYNe99444rlbvWJ9/u
qlj927dDw2hi1+Bsg+3jF1Fmm81mWUbxOSL6FWEBaeNEYo3RvT9zECqnfjhOOSq+InONexpMjbf4
f7i7gbg+oqTfoUH99fqBpzQiFa6fVeaawpdhKblV//27QKwoS4zvcRX/Y5xR5vhd2iGsT/zEQRGk
jS0sjvRuyrL4bNWqu/3n7/SHwvPDTUXaCYwD2gkXFR9AMhapj9RwtOsnVR2J9jGeq8RKbitThnc+
w/4XjFTtVrsyXZh9ZsKX5rXxluZYfsbQ+c1rwut4/S+vJcFtH37eoRxYocLo3PW5WHaMf1dhDyKk
D6rhk3v8mytJn6g5XIbXvOOPuK5eGfjmQ+80ICV+JiIm3atgprPTpOnuk9t7FSR/uL04nxyExIiI
MSx9uL1Fw0rmpfKUmIl47LiVrx6cl3ec5nN/GDHLP3lhnDI4i4vsLTT6AAleWo//inP4jxFkv3ll
EaTzba8RZOx8H27t5CQOWVHixNvjVRhya/u1nrN6XYB5OVNZFU+zzqFA53b7iTHnN2stUQmmK9hS
HHbV60/xFxV6McdkGkt5qjgL7JgodZssR/yYZlptQlFG+//+fiPNvYLgMFqZ7LC/Xq8P7Jg9F3WG
cBs6mypzCJ/xAvpTRF31zxjUp5PCz/s1MXyxM8JSflUpott//hi/u99//RQfFPGs8aija0JL8prG
Sajj5mfLKWjbO/izy1RDd6mCetvJIP7kgfvNDkA0FRmdnCdYPKzr8/iX++2WWYz4RpywRM+HrLOc
nRgiK/nk+/3mBbraHgTOZIh8LIi/XqUbVWjWtTgZodmtAWVYW6zf5rIVZXf45zspfncpSeSMa13R
dlRhv17Ki+bBcAZxSnPW33Xt6vbBA4u5sbtEYrTK3egMlnXcJ5a2VqXd4mJNkY0C6nCaR2/E4ObY
jbxM+Zii3HKUrz+5F79bQTFzWFj6kNZgTvjwyPllGxuIgU6ihl9HT/rqGA7yWysZ3a2mUXMfp0WA
J30O93Uf9JuK3vgVJlV/9uxf3+Jf1xriWmGCSZPt0RPiwweB6mvgGXaPBoKImzBPUhABNhTLwW23
ZMvAxPaYRidula9CMeV3fm7HSJfsclezWf5pi/2Pa84fdcDHj4OjAC+LjdfQ+rj0yakfK993jtis
801I5tM5KpLgISlA/bleHN0rFAS7QOgBEOkoNvBzh6dPnp7rg/jhM4B/srAE4rnkoP3hlqQxOUhV
6R0NmWDeE7N3sqIwvDitMlbK8cp7xMvJrsy84CAT5j1FKctbt0L28MkH+ftj/MedIFWTm+H8C4v1
l/cypfMyiN4+4rhIv4euU68iB7M7/jJZDGpYNV7Q7qNONTvZmMnPAC3qs18jWxCxnPeI4lyyrWx1
8YEJffaKXW/Ch5tksUFdT0oWZePHV0wkVnFl+x0dArcM7GKxs+q1tvdWP/XnpngLzZl4iJmmuE1Q
HhZZgFZU8jjvUNM1RK0NmoPa/z3K3f7r2n/F6f3mgCRw/OLMZdN0PCB3v771kY1wKdOAJvsE+otE
33w7J4Qo1B21B7itnMZ3q5Y9ccZgsmF3+QzKQ2jEd7GK6Gv/88f5e+F5/TQOB0N+RMrPq3nnLz9e
nqemmTry6OdjtlVeiP1ATcJe9JPq1nPV1Y+EtCEssOvyMk/e/MnD89vLOzhbHWiKroUt7JfLo2dm
HjRax2iI7I2GLwSC52rsGIOpXSFs7e9UH5nbUbQvGbzFT3aUP5aNvz0eXBjGo2Bi9HFLTUj+MnNP
HNOybXYEQaJAjCr6aE5u3uUqEK9i8tWPgMRB2FFmEu6nIN8zCWUkxP1ZFUXQ/dcnEEzj3AzAdZKy
9ePKkpcGDdqZ0XZVzW80cnhUZxTtRIdHxJIwpdWkDFLiwXwkJ/Gfn4W/b7AOlunrYsKtEGyBv/4Y
RjzamQzSo2i1OoS0Xw9lbmXv/3yRjylOHMa5CnxacQ2HInr4Q9kEkKe2mjk+MqmuLkwZhz0q6GzJ
SpHw/Tx7k/NMbIHNJasww93JIFBiKY4lEXq0Vl+gpNvpovSbaP3Pn+zvlQ0fDJ49QE3cj17wYUGl
LZ27ig92pXvupkoUl8IOkk2IWWjplx7xk1WIxq0PP1nJf/XHXU+2bgAykKoDiyRbyofbnnXSj8vC
OPjoqsg5IgsOCc+Ie4bZVFUzmR3Da4DqGE2fnfr+ONb9+vxz1r2WOtTwbK0fvzKMOt+eccWj+gAm
2CBaKcaERJlUPOERHJZgc5p1MU930dC4x3FUzsYhpXNDGCOGb0Nlt6qBFw4psHvwIMgFopzv0Dep
c9EwuGmG6Jsy+8d+TOWBuPJ0XdZNsFSqNRiIheknVcLfC3LPZEdmO6ROoHL7UJr+b/bOY8dupOuy
79Jz/qA3g56QvPem91YTQkpl0gWDDJqgefpeV//XDSlVXYmeN1BAFQRVMumCJ87Ze22IS4I1NThD
Esf7Ifo+TDdoZofeA8G/cwiHvf33J+bvF+Z4QHIYWDnZdR0JsX8snn6PU8X1z5Ygynf5FKp9jafv
iyXyH86Kt9JkIGQiqwJN+udBTEQum1F5Z41hZTc6cMH5KZkT6IJebkUxVBj3/35Wf3/PQVpYEU4z
E3YCIIU/DyjruafoIL5mVWVKXK3eicLy92DR7C9ODQIlP+v3B5AeFbUv7ULuGyd4JOn+fgWVFBPR
EMg2MNWOe5UTcZng25LPJgoLjALg17rYz5rt2e5YuY7iW5Ing9nR8tQfMv/Sni2KX88YnBNzrjf7
ZFjtngS4RRXTDslmdW3NQ9mklQx91H3Rkp02w9r+nKBEvIPdHNT96tr1luCDyDq0QwJnSS/qCxR9
0dugCFNIA6vovlvgW8Z4tFHa79wQ29MO351461GA09DPiokpmm9VV0Rzwo2binGI9jbkmjoBNubt
IncjVKEdhHgbc3u7aBDUDakMnR7QGsKjjC/usbM+d6K+CXBWYGvqnOmNl7//AGy2nNct4Hb+7owW
YRKT+Bg6sI1QNFfYDoiy7timmh+DXOxbp5wF7LuuD2ZwR5b1Q46WyFOj3raOVCXhf69a39axNszs
m9tYK6ACKYSTZrNZnUuyC24nAdASM4lrPNAEsIsDA7WuiyvGwMv5VrntnMA3YrA22AtpQ3kG1X4B
UMfFa5mPIIxvgU8wRLcrZbz37IIeR3AbWVwsfsQTjL1AEwIvRqxD3Vr5e1H0zzZmJxgQ1jgrlOO5
UjuEtCTB207FPGcdq4DkBb8vkS9OmffhFGZ/hrfPf+llPc74DPMWKnkj+V8AkDFQNssVUIM15h34
v9CZz3HObGU60e2FaGUKaKoCpFoaGD6SAGbrBYM1uSK7HySfwhSU0HwyDI0DgAgXjZG2TtnAC1Je
dt30GryIj2BIpTWUoBuX3AzSRCo9Y+YE1Ep4KpYXBCglkIq66/l9FBPJfJf5OGKTCHNwdq6jGnEt
sQfyUBh1+OZVdukmUo48VYNT4iyJhNRPvAZE+C2mt6Jl9vph3Dk97DwgUs0rVZXdxaw82Q/ss8db
InMDr2251qeTHfRPLIoL6g+UaA+NtIoXhH9Lv6uHxfnpS76ziHeUe9cLxw7SDKj7lDbbikuCx3I7
dqok8oppWb372XSN17BwODxERjJPOl/M5yJUwjtgpYMh2Y9a1Se57iP0yBD88KXWFX0CA54YGJYx
ALxhBvX6hnkYEYxqhCRkNsdAVs41fiXsZQ1m4D4vozRvtw74KDxBEtp4eKZzXORtSVJLQGmOE0bJ
w9xiXSIG1psF6oSGQqmZowomBVgYkQjGbVOqsI0xHexaYqtkXusffqUDMzbdgPns5jnQ7VZHmPuo
1/mFO5vbQaOzFfAiq+qJBxndeQ6J6bqjGCyS8ghXRCdWuBeOiAiBmaWXq1Or9ZwTiLd+G2MmxQ2x
rQYyZ3ORYPy6elNJe8y22GEizn64fl51OwdzEByefmi9dFaNMZK53o2vGRBenHAjehNvsW1iVEjo
RfHEhQThhobkSZJWPhPP0aJeHWcTSqJwSxaabAbmmvYKGTwq43Bh1o0Mt0nHEpUhVRZj01gPfoCM
qC+jt241LXcntgyHbdQFTXhRr53h4IBs8S1WwpJXBo4YggbxQf5AYFZQAtEUf9uC2ob9qsIHojVw
elg8kWaMI9BoDla2Ydvrla+HpK5zG87h1A33vl8GfSowgHTxaIUVs3qB3WWHnkhS0HbHAhs5w/RY
TjU8VGtuseAydKQimbBqXm2NsT064cCyk2sMc3nVbiH7udkghAhAVjIjgbFi31uMW6iFbKz8lRI7
qVYW3ri2B305wVSWLDxte+s7Q48Ed4nmZxNq/6tn9/YlVwrcqV+E1SM3QN/lWWDe26UwnCRsJBaZ
JpcmOvgGPO4uJFBGxZmzDFG8RBZpijZ6xfuI3WxAQAdThGRwKvvCd7ztNZoovVAIiaMeSMPwIhLG
wjQV9p2Zpy2oM7TlGvVeuuKFJyhpzpyfHrTzS6eSlZesnGEHxGcr7m3X6Z7pt9g/tNkub0vQTP4O
B2jzGLB1vXGrPnoyfHe+yp0sxHvXSMNHPmH6eCXcHMvlJiDrpaaV4XwYcUvcmnBbkQ/QgiLHBHWh
n/Sdyz6szIdjijlv7A0qerRq4yjmkzJyqmfb1dY7rdjsRjBGYwxuLv4dlnny0tS2BczVqLEvRMWd
S91+K4MDZT1Qcz1vfCURDWd5upmm+phNqsMTVl0N79i2pgoJMWrytByHmgAeHkqE5BNuk7PB8+YX
HHC+t9OlDsSpSQ/ohYyUWqe8V9N4uhJ61Z8jdTMeVlQCO0NNTnEQc4OxWWxRhZ9ISvFYWzgo40Jl
/rVpKCGSqelyEkAXc7QSvwlC/MBhU/HQT6t1QdFCw74ylq5PZoT+LP1e0XuoSTIIwihM2/eFkY1M
PLQtoO42Fz9x0HuRPu2WWp5tFYWExYJ3XSIBnd89X08n+HCx7kvApdPZMjo2AuDSaVXiWm143bst
3lTTQTxAJFvnfHONplYpxdDWJko6K9CDytevdQ99YbYHCSbTwfmdLIg27qRoyNVcbbv+GTInW9Em
YvKHkOwGYdyTLI9bzGmmO7bcW4XGwBEEoE9e8zb4WB32boDZ9ZK89dUhWzLyT6QSgxUzWXUdFjTh
vRVbll+Nm9+9kTZVK6TxU33rNoHxo3WiXNNKkW6TDkYHbHmcoqPS1RXuiEFDKRacqLp3/HG5aljl
mWZRr/NRwKaNzS3LsXdtSphnJruRjf1nMBvPTest9QFzWER4HQYPVH+yz2D8epnhXlqsP9SEKxuK
G9e1NIGgBmZUosOijIzvhScKLmclBbxT9PE2AVc8mvEiKqidxUTzHMjrNj35bUZNodEF0kNjHLUT
WHRfBmVVWQoFGZRUH/jFc2n2/k8/m0u4e5qyB8YSuR/uFMy3HmPCMC5sYSE89nr/VmcBMUJ1k5NY
3q8NuiNHcgWTLKSOjr0NYRxh2WuHXSnI8Uup0PFeCqMsLlbYBffblq/3K73XB4fweO/UkB1NGLZd
yGsbM+vKXTguGvtDoTtCT6sewrpDw98FZ/Lu9fPYpaN2vIdlKJYHWLIO5E6CTQAE2FkAF9fssuuC
uc28R3I6ZnfK69Hggp6FaGj7XnbMrtpAjORIOpE5BhVewWNhfWlQK3R4BeTx29P2+jaY1+JbY8B0
GqMNNoBNNGhHFmNxoJZnTZnnAcyCi2AXoRgmUCxeEbmmNX/yzQZju6TFYobLrmL5vfQmrR82eCKA
sEwXJosCDXoL7yM4sMiU8lCBjt92eebTAsjswpWIW9zsPSvM5q4TAfoUV6oJ/G9IRiigWr6TDsvn
DHLRaAhNgr68xZURdGSeNaNR7F0xW9bOJnVpo8Sdog9rUF2YLNmA5htwBrcPHepoXYIUtfN9F7lY
2pDduGgZpk3iJ91ITMd1Kh47tHXDHruWdBNtDKiWi8roY3cIVHMewiMmx2UsgeBPevV+VmtbfR/L
I7rUD7gnKeLH4QeFLsLIaJhzOBdQHBDadg73RKwhKdHR6AYvrVHSDjB8xN6majB7I69CveVp+tA7
08/yZ/jE1iWD4+0bHuL6iXA25EBiwrrS2fN6FzV9qBPQ99PBX+pghp67KcofRKMHn4ZpduLo4UG3
VXRwDIxpSVlTbEFks8mNpPRyLhcuzi262bI6wbkYXvC9dbE+EkNC5eG1hradk0o3pNwx32jvuq3X
D0i/IIeykd6wds31+AOTg35dhVzvGh4qkUqi6cGAL1OLQlnJ0UcjxkclHlZkmZj7hTpnEpMZiKQH
ug9YAXuLdRvfQS9GHofCHZbLLedkdt0w4Jmhp2hglMjtn8uaH9PYFqfbdwrUeRI5Y3ZvrB5oOpD6
9RWzaPERbJU5p1GwuS+t7QEzMUoL/3iOu9TDkrUsc2p06zKf9AEGODZWCvtfq3q89rSz4RWj5gXz
4UbL6KdOt5D0Z0we6LUCdSZJpi6S7IaornqfSbLM+RRnDZ6BKn+nmRWQhAA6CXvYaCwvfl9N7iGY
zexDWNo+9ZyV/F0SBLPX4zTiqhhRHp5yF+Yd6zsBX4VtL09Rz6uN6Lu5DnOBo6aZIT/AbsEcl/m1
NySFOG5tSJSb7xwMlHRc6S/tAxViW3Ei7V9utRmFCRXhMCdarbD26in/UfQDHFcM+TYpvwUCj3hw
c35cZIkJL78EMojK3riZbETY+OXY5aRseuaPre6Nad+vFvF8CETmhc5FFLxK/uRyndVwN2hh3YiM
CwaCqibZTfkZ1uWJpWOPrDGwYmSEjYg7v0B8vuWT8YJ+CQFsoRiA72fHbD7qQBoPqgorrugUlFCI
yXbhJ3miPJamVohRxstB3UEP2UQSVFRwu2aesa8bqPHPvJ6x7b73JurohugFkOfUqsdK0KX4xjjj
4Z7DsDTv/HZBgjiCx/3m2j2kY3oxXc3HBpFz3qOmT3oVQv1GgNddbaz8BgDjkj0m3sn1dexRw4JW
XEJIMW0VPvRj0fd7q7Dzx18NnP8vnPsfHkOw/zNs+YtrR6h32/woGci8/4p5Pf35P3/9H/8Rzvn+
f2Fv9SzPDDyfz2lEO+8/wrnQ+i/SWejjBRG7ZYSu9Kn+d6qq919M8pi5w1GNeLeOYTL/Uc4ZcPLA
0NH9Yx6Pxot22f+LdO5T382DYxeEyFUCsGyRyX/92QuzMHoERtE2+1JEh9XZ93D3R/Or+f2nduLx
KKHLkI5T+kW144r+3nErw2UW4TSQ/R6ZexnWF/MSHKxiuRLauvvt6v/TqOtTZ9vz0EaQpcIVot8f
eeGn1mU4VeXY9H29d1vGlc/roH0bfBORcs8hm0V1RXO6PbaUt0wBAwoX/94fPLClNavY8tQJdkYB
mLN2Hc47NsgaTMWEl8fly6ifmkg6zs6FnDZ9oRz66074Fk8IGwa6yNGxO/nnNYKYFCpjaSo+949C
XEMRob3y8MXF+SSfOV4cnkKf9tuR82xbx9bob5O3WUqVbdDI9qtR/rSB0ssNUC9ZOBAq9v0mAdBr
8GRWam5f3Ze/noFfh4bCGNgQhu3PXVd4VhL9MLMNJ/6m4u7CiWETJTqlKbXbDvlDdOiTr9rYn+ee
/32+ARNGetn2UQD25/kyy/LbJhLVvt1t+y6dd1lan4Vpd+6doW747yXw/zqhP2Yd/95Y/nW0o/6J
AX3khojm/jya31XHrbhT7tXOe1vS8i4/2dI7xOZpeerHQ8ruYFfEH5iR4vvbL+7sPzw+zO8o1Ijt
s//WdbARokCkebcPYMVRwDwFJ+UOH/iTOm1Ovdthv5wVu6/O+NdN+62V/p8z/t9HZaD75xm7FYPT
ie7hfk7a2Eqtk6M1IWZ/lQZ3+a58VGl+tJKmOiZC6jLbGfC04iqhxt8PJ2ES3MjL+by6HU7yfbj7
9yvi/NOzToolg3ibpYdJ/J+/WyDbpXLYOO0x4J7g/UuNfXiGkeAk3NVXxovxUp6P1xkgIhBYN9BE
9va5cUoE80X70N70Z+4JVt3433+nv29SgJidFxxlIMvTr8nEb68f2g49zBTF+3CjlXJhemF/N+bl
MJ5PIK7Tfz/Yp0ER94ZyhHE/M1XedWIp/zz/1iARwfYB3pTttFChCJxM8fHxXL640n+f1VGIhsTQ
DyybxsKn1X0ebEVpozhQ7r75zRTifzYxVtCW+WJ289caEjDyQuUd2C7qN8v99LjxlTFkiJFhl8Py
J11thyFTQuJ15FefkV8Dpz+e7OOhGBCF/Cs4ztn+vHrbWFi5GCYO9d09W05FauyqtNsPXMIkPy93
RCCnwWHdy6vuyvq+PRa79bw6qHNj/+938dOA+EhSd1ksEW4cJ6aMGP/8PWBD4s9fhLFb9jJtDhhE
YnzBX1zXz48K4zCbf9DHmhbD2c9rs+WX2wYaqtzLkj5qmWye8cXD+PnOcQR0Osdyx2bsYh5Zwb9/
eIqpwLdRrHx4kjYJb8RJ+4Ws4q9TQEX8S0FAziVsjaMN4fcD0PR10FwZ9S4HHRKDNYlid5y7Lx71
z0cBQoTTgMQ9/DcO5oZP30/QicectbbZyYoe1dz1tMTDPvviYv3TUZj3c0Oo74D2f7pYndo0Sg8J
BSULDLITB96IBHei+dX79PnNPZ4O4aAewxrEStg4/rxo2oTVQdepOeoAWbSP0AvwQUM8+dDX//05
/qdzQoSBO8Ayyen9rIumXUDnxuDKFaQQPhqTCZ9M5l9Je/4+Cspr1lcLvURAf/HTUqTCUVvRBAJn
a4lNZ70IrtzA+Oqd/PwwI6BCJ8M1O6oo0ZQff4vflvFqCCitNq/aeaSOPZhzry8ZZQSnobBtDAne
/IXo9++z4njH8olOBatB8Ol4wWg3dtb4dKrhcqWSlJaYQu+r4ON/PCvfsxj6BzA6jimyv5/VVCmH
RZ45gxxxQ9Y2hGHXGyskSsy5O6xy6b8/EZ8LdR489D7MKkP2OZhVPt2rtduEF9QOG2AcqfHiEkA3
M8nyR7a3tm9cE0DzVUYn5/K5KuB+8ZlFbeOiQSMt4tO7RcJeOYiILIosy8WVk0uwyNf+QN86LFPV
dD15AYRcN8nQocuPiT+kd7R4BtBEY6zmB2LmajizTW9ivvcwQEIfI3wx6SMHHEQXzP7HuHbONfst
rM3MmkH/6QHaXNHSKTTX3LypfEAQKcluTZgyO+j25KfSw6hc7xjgrOx+JT4HuhG7fjssSN5xpjHG
d+I9+H1hMVTpkVrnzTaLc7UZEJ6icTqa3qcVeiTE44FBFPDh7TxoWF5SWVQYZIn2VMsT9zjzmXE5
0UJTPN+sKC4sJhnEVhY4EkJaqEHiNQ1Zfi7dpVukuBbW/ErhBK79aTlYmxtdQ82bH0Ik5wQgYgqg
2bS4/IqL7sV3qCrM5YZQsDQS9zbc+VPuXSqEzeSgBQ0ZZLoLLDqPE11+KBLETyGhFdn1NNGaj7l7
skvxmVs0k+FnT7AtO/3TyTsH6J05B1d+N2ncojODUlAGJV3vrtpcenWb2ewZRWsRF5turyS/FAhP
Nt/PmXKYnJTQk0cWOVPh+e/Hbt5jFG0AnGyIbBJrJF2S4IcSIxhMnvqi3Tbvhljcmbi9ddxI6Ioc
h/ws1zZE7DZKdmerALGNGiZn3NOwojmJ3xFsF/vR3H1TEABL+8RaA5NgAhR/HzbM8S45dvzaeAom
2Ky6Glr4H1G1zbB6oE4kELCMnM8waSX1NmbjjiFlVpanItD4PA/93Knvlb0y5ZVWM1KGGFizMUU6
HX0nBuiX0dBiEp5VNLKMh3DQ06milb0b3Cqi+u718lrUm6RJuZDGmFaR09wHODtryDNTy/4EO8VC
UpXhirSTM+Mc5BdrFttN0xO2p0sAW+7RbaxXt2ImMjEXOMHUmYU7bybEaldInsBYqbrbe1YLchLc
dBiHg+W7RLjKqUvAHLArMMbNeQ5gKz9ZbiN+2mFDimNrwsxtR5B3yeiB1EIMAv5yJk3pnnd68056
jDPWruJvf2+A1fWYc4PwbSojfBj5EOgPnq1NpduRXnuciR7TO5Bp0KK0B3OABeEVwSkByIDAc8cx
POIoRNSAoaVLT0bnYHG9ZlO9Rl7LYB3MYmQ0xC0O4aOyjyHUavSa/Ag2N+WJrTp0a/PEJzY216wN
08LW0XknMiJBtK9N3Kqy67dLhEPdNcRe5mHmPIrlkBuguE6XnIZALNlQvg1VU+Y7HP/GvemM8MiH
ojSNlGGGB5RvqzIRRyR9OonylUAiF1VCHEqnAtSXtWttA+7SVrmrqtB8hV5jA4EMluDRnkv9Shux
I7jDwCBvMNdjBJY74iANMV2FgHvYK3LpLzySLicIwuP4ODm2vgtHqWG3Sx+NjWrMZTgotxrPmbIJ
cgHdwHy3l0n9yg8Oriqmt2bqgL6fktxQC3TrZTLAX8GQ9YpTVdghFuG1rD5qdisQzWFCZynPG6WT
ghS/ppa2Goi1k4froF3y5pgbmA3MQXom32lkTooklKZhdmkv9560jFvG63OT6hKT/U63hveeG9KN
gE65RX8SRiPCrRzGDFZx6kW5E1AcSQqU5eCSwdjYZkyZZV2BtO+KJJIRM81FDjNBq45CHVCMC7mp
bHYk4m3R86QbWZj1xPBAxdyFbdfkmBHo86fIbjIvGQwNkKGHvgGGtOiq6TQosgwceFdb6chEf02c
Iiq/MZmOaoRZxtZc5XAM7wVvFMldEBE22tr9NCeVVky+aUGX9Ph1Bw5x2whRTipYUURsTK63IxpI
OOfTWrT2iUvKGxHpXRG+zzaGJWzaAyrdqlIwt8K1n3TiOYrUGl3623M0dBGsijWCrR7UXXch+s5m
OtSgxU6qUAg0S5bO5stZZ6QnwCDtiqspDy1N+sCkjXQK4ZjHax2VA6duuy+5nGwvceap/FAVcX2A
fAhlhKpm5fWpK3WYp1WISpJ1cqIlv+bhgNxDm8M7GWrLFitja4ljQCh0I5hdMbzLXN5ITDnQ7yq2
JT+nsCn9hC2o7pPCnb0w9WFRM1hdQpZWWU7M0mtXehsvMzYhQHumwZBkwJaV0ENVqPuaqH31g2oE
5uBY6JvWLAdrwaSEibcWdnDOgqJ5MMD5uvw52auKiW7ZR/o1n5yF5OMmRBpYwEqa4PAov06Gti/J
gqtZeLI5b39m05ZLPmtNZ52hNwuhnKjKDE4Q5RPRSCC3e9vCPnrYIj0u8ca+/WcVyek8CgkCjo2K
J4qyx4G33FjNfK3DDnomszPn54aUpzvMNBZUUmUriUXk1YEuBRpTPihtKoa0PXHvmAiGuYbTkbvf
GTIE72sQQZiwZ3AzlDP54oCX6ykggmJZj4Rm/nievPYH46eQ5GLzWJYMFgodJBjzyurlY7NPimZg
WsmI27JOFrlxjxPH18YrkxLYkd1Ajt6+iDr5zWiDSYFfbEBn88RVL6Pbs/KaPsKHxF366huDFdYf
pTYqK86ke9d+13ExZnPcTkbhtgvyXQWtDFmq+eFrG7lWMLu9nQy4ZxkHmdv42qOMm1LDQCEX0+Oc
noS9lbA5wAKSHFVZ/T2pBoO1881K3yPLiUzQYC6EPKaX3kVAR++7W2bHlyMYSpeXQZTrz8okrDke
DLPzAR6jY+iuiOFdwgNf3/YIOrTL72gqLTh7vFIwAqsjf7DqvGdRu+XEiGUE4zw2a4QUI9ru1iCX
zH1my/8px2J+K73Z7o8h9D1JSpWX3bViyXi+szl4KH1vTcl6Dss9qYEeXqyhlPbJlqEN28Ae0NG+
UBE0cw3WXt2SiB18bGxRit3g+I2NVntspsOgtWXFbTY7w2FjrXB27ey4F5FS1IN2b2Lc6wqv3HYm
3aDHaAy7jVFr7r3U07hAs26HosBL5dM8nEhknQmR3EKo2qRw3AjtktDFrEy95euwEaWEOoWgksWx
P1SBKSvG7RrJnT9nZCWZxK1fTJaH/KUjcuIMnRxiPma4oJAEBz7nYddlavkVyfN6A0G+n/MjbdYT
TvWRhV3v74tJZrsW2f66Fy7FEOw2ipgVbv8TpILJuoGWQbT4SbbOvfoYj6S3R3r1zlolFEbmmYT9
/7Y1FuDJeHNGTcQAZT/oNACimoevLLV/1RL7MF9qaYbdldMAqr3V4+SPJ0Mx2vOhhvkKElJl80tR
Mm2AAmkAtGMbK9eD6o+oz6rmtUuYEpsUCXMFZLcuCaa9DY2egpE5s0mEs7DWKCYQvW5S28mLtyDX
4fuyIIoCpd4W1sFQTe0+jYFEC9wErvlKVumcn0p07ealo4bNOmMyUTKXX6Mc8QzKMjaEaZ3LcTgH
0IvI8Igr8i82HH9U40DkdbQLdGkgGKiI+ibU1AIDFe1qv1x/oCKJUNYQ3vpt7HP3yfHQdx1gTCNA
sspaGZcVkLfwJBqRASes2h76ktbiE7+kQTjahJCVBtxsE7Xe+DwytF4T9KPZMRym6K2XOpwQX/jM
PQHTdohurrXWznyCCpaFmvIeLWA/ef6295YS3aoftSzj1hr6pEgPCpBMQKgS646bRYIFNYsexhD0
+4vM5fpi4CuKDtksg+1skYb5Fq0VTeeGMfqMP0W7eTIID0kRAlPCQUnwyE3Sv3zTKvYTweftbhiX
1bqlQ0noji1rFe20bbCAmGNPcGlAYKpIEQlb7l3VmEDd9JARCIECwB3ewUPL5dD3lDhnkhhZcVZZ
m8WeXPJdvnbrpSHXrB6cW19Rh1wFaMHNZ731g4uo3fDqOe7quvZIZTUn/7U0uTfEFLL5B4fPq3E5
mBOr7zihFYQ9NI/2jl4UWKXalwq5so2g4aYXMDnZM6FrIy/ArEmbm8SCDGOWqIor8L5Ukk1t5Qk6
vIFXxxmQHFi+Bd6PLRww0FB0Mkt6SL16xzoSlq/TlIkmkWO7TnfLYszNJc60crqOGstgP9MYrZv6
jgzuJazxO9JAwptlGpz20Phm/+Y1Ae5rTzu1uG2hiz+bKyrnHTPrMTpZh6OSZTJbyLoqWDa+dR46
01dUIW4OfMZu551sJiRkOUws6w42rfzWtPAyD3aYoY0pt46cQSivULFN7lQacDfNM/SgAPpmEFYW
Mds96E3dwBlE4xYOdUBGrCEsnC1mqKgPjQiqacPt0WlYmHwUq6AmBN6pDXWmENK7eUz2cIdWezOO
KbslMStxYWo+sEiY+/HKd3qAR44xHAccoORz2EoI8q/RnVv5+UBo8RKL0rYIaQKRZZHwzfiB4sbM
rAYB/YZ2/MyxReg+ta7JR5HwVf3DzXzKj9IJnzI8pk5aomB9dLxeTfdeRwgUOnGneO8y9sr7LVLD
G6wug922BCAowtKoD04+bfdtpzuUfIjX32Fhz32KfE84P5uh1dkTPLfmZUVHXqbbVnaXETrOHOlg
jUC67mf2KC6Ng5/hOi7VaWPK8sMmeMdIZNF57YsNt2BKvTAP5Hnb9MarQRUVnRIDIYECbaC42IWU
k38OlCfnhbam+tGVI3qOGsJhf0PjsXgUnsjbM6sORH0qm7EikcPU4bMifeZZd9mo92xOVRaPnqmy
NAzdso61Z9gG22bkjrGvZ0pO3+9UTs5QrZrrEXAl6o6+m60ESTz7h3WxlwuEiD0svEp4aB74rnBu
Q60DyvvWeiwaFoTE4Iff12bOV75AnTJeutbiy/sF2lR5Y0aEN51V2zYCEjXYhvTIEFWUX3SG2/7A
SRLQRxk77e8ayWYhzZtua7FnBFCA0akUtw07hREAc8sk3S03ZLRMK5oq0R7BMjsFtFTR7NErnxV0
1PYlqWCrdQ6MbC3fqMxq3hYVAnHvdafHi9Xy5M0kCoRTHTQq9nCbPxE9M629fCOUyb/xkcBkhwp5
h6LssK0POi4IVVQ4jP3BDYGBxRUOZzPdpshjLeEDO7IGOEehucUZnvAlttfEgBVBgoGTKeOE7ttG
0qJPpUL2z6yrNAwys6QtF1U3q932sJenwkSPqhG3Fa8Yj7FrEhhWnSB9Ylu18qp6aLY9czgL8jEj
p9gAq0xM1OpDn2NHoAllzwWAZjvrsEFU+UzXjxH8t2EMGUX3BhUFKaETppii2l59uqqABgiNOA2D
yqL3aa68YEZeGfNJlRc5GMKx3kBOIoLjDXCGKdXe5ra0GwqfAAg07FHCRV/xaRs+4ZCCToV5mrN/
Aic4qvCtjRze31w1+aVdTg7JpJm0SLJSNv3PVdfeTdYbwbcMZ9cdHrIsO3cxTixYVxRJE4UxM0Kc
at682qnDEK1fN0hMGXweItdeCEevx+Km1IpgZk/LjRyvqDPSAiBYEbO9YKPcca2xHYqBRt4ybT0B
SDVxtq6SJguRPetvgJfde2qX7Z60qY1fHGfAkMBLtBa2fLP+3rnd8sOpAYqmBd1JnDZNOZxaSriE
mFi8RDsra9Ujeg/z1aGdTPmIbpKoaL2QcakDgx9UrnqEeupwgS5C+GxzvHQKeqYdrhbEP6lIMKuQ
syOQU939TKrHLf7g5nqRjF3ifjTrl2h1zIXne5GKyUUxDLFZZMFNh6x8iRcnyO96FQTkoxbG+lMK
n96vnHMIYJNJnY8Kl2ZeIH3/qgRSisXDbwoS6KvJQAHWbL2XRH7f38wwDNrdoswqHgCKf5R5wy4K
m0gOJzZEjIzA0RVFbOF3oLUaMnw6zXrmUjuvACwXWwWtAeqVnJ7M0FndkrCDiuYzXp9t5SZhoEeG
5eL9oc3kXnjTwFyd+IMOe0WPCjDGghPYJHxEBTsIlVfhwaZooO7xowKhSTF/sxpktMin25wwi9Yv
kqG33fs284Nvk/ZRmS+Vy82l7FFEMBgsepXcJAZfO6PdgPo9fycufXiLetWDFpmK8sMnVoL+tDU3
j8TNLK8KCep1pMTS7Y0Z6N9iS9Im+D4N77J3jFc9zZgzSO5YBW1q37sFIGA9et0o2TJaTQCR1J6w
Z40k2LA8kLNgxohTi/XcJ/roZaTXaqaAq82zss6gvGmRUarZWRa+qfkYV16W5XbuK4VzjAS96Ew4
g2cggzsWTCPaY3fHB5u6Y3Mm8MFBS882jAbxzR/c8rhrlRbhJH4fRolbk9uXiLxv3xBHSjI5yOJh
pVgyRfi8R5MrhkmgUF+GK5D/YNHyh5hxqUfu/2LvTHbrxtYs/SqFnDPAvdkDVTUgT6vO6t1MCMmW
2ffNJvn09VGOm9c6jpTTsxokbiBwAxEWdXh2+/9rfcskeNB2Wa4DgzyqENF4Wd7MiV60zO6Kk3LL
HTshvVZxhCYzZogDJVhXzyDhFHfSoXIxpDYbfqPHzj3Jkep+wEQ3EzucWtuBoyWIwsXgfmj0xZof
VOXjN7Icw43WEBNc8g0/xYmkCsgZL70TYO63udGYZza5YbvGwHPiJ6Nm4FirvNAAvmurjw6HOWDB
Kk0/FK7rfe6pPXyvQ9UdJFDyYUtNue8DenZasN4qtzIG0mlj8TC8mtQc7mL3SwzjkApbeNFbM34l
qPDjF+SQC1Ahdskzctmcb/iCcmerJ6ZRYWWqWWSWKl3uW7fXz5GMiEtN6XUfaFq+fNPgwWfYlZru
U7RMIGMH5VIWAyP65GXTjIqzdeiD4AxJyeIac8Qm1JYj3zJy5Qapt3RPAikCk9Yxpu8eBQt+GqiG
h2nMSGzI6KwOgb7o3rPZj0w85l2LrpslctkAea7wHST5ghEnNEZErnFM9HCjnDtj4PrKrlYPl7jd
FvTXOYcJHw6jnXOUdk3MiX3VAEHtSk7SY1t8c/XGedSF6yHiGOfiPtG78kH2VDI2wpwKevfz5Mwc
vlKJCBbhdQzshCzCIM2S8IrgFcAyZo1Fwo/z0vvixTEkfc0NqWQYi2huoZ/WzxHnp9qn0rEWKMiY
elmMdnpwZq/9ZKmpZGaa8QsVSpa4kM44MhjPbC9SfSm/FrTckeRXRTj5Jqj/YyrGtNmiQU4eiPgY
9ECvpHNr4tmad6BO+orBZzAbI93Nxc5yNOwrra1I1SxdZdTbugHxRTGMM0Iw1Kb5bY5kvwSIzotv
C4UO5qpywCZndRqxm+P+ToMWZDFTKcy6r45pT5Lfb6wunRzLui8p4GubBTL2gH5fJBXJdAlCKi3j
5WxT0ys54WTs5ZqdSuYc1s5r1ZBRuMl6gduobwvvxqm84mHRa3T7TKLweRpoa/sARvKBhhaIDt+S
pv5hNkrrM0r3tfTSiQGpVCqU5Sv0j52cfFCn0yNyVrcPXO5ozdodi4n8HNY5a5hU8bZCDOGyBa5N
OBeclARnGBUEPnOYWMR18RJ7PykHMnW8rJOGb4AHt6FNz93MeKnjhBAAyIAHmL6yC1yT68glq78t
fyMA+qWTi2jAWd3vSCHtlWh00mPFdEauEABajcyfrUP15jDZyeP7jdVfHkKbHe2jpMNIf5r74duH
aJnd5gO5SpsZkPLOaJr4PHPBCv/pUzw0KUhHERSadFJPhCkp6xn6GQKyQLPXl6kjwtuoyKv9+085
VSjQJEYgi57DZQSa8B3ffhbiIfIYiJe1qaqE1HatoHrZd9bGAF33m370r49COYB2VGeFIjj4VPGj
dcsMU5wQXk1iITYbPChtRF9sGvPftdpPvyHkKfiqV5872AvTdU40qoxbe+4xOEERj6m6xK1rY6EU
nI//9O1J5DDostb/IVY4eU4+G+Q/AV7eZMowDpbDjiLoFfuNzJLfPOrXbr5hCs9c0aBIiYA3vf2i
6rmj9YkGCGfNbNwyrR02b00Wu7KPmhtDgbag4TPpfzihVnmWSREfH5EAnnVKzkpz4j/UTHWitKt6
xx1dHBurjnfvv8dfvy8UYB4Tik48M+v0+0pSlhoHWsAmdtuRGFFON2krqj+UebxKzVblCloIFBju
ySvUQP1S8EjNjVoWzNtDPezKlojFP/4sHsPPBMAjsBuLkyXIUo2lqDvxRdGE2WlV2t47hMW8vP+U
9af8LJ/js6A+ZMShuWXyngpxkp4D+tDXxga6yUTlPYRH5c0lrvrI2hR60ly//7xfhx9rkIP/E4Mt
S+wr9uwnSc5SdQUHDT4VVwf5IbEcYz9YTXcflnhJQfNNfuy6HA7ef+qvSwavccVLOoiaeZ8n35g3
LPgPc6wulLgW34uoy0GiT0BL1X9j0f7HX/Ef7PA/vfVfDBYP0VP57elne8XrH/jhrzCAD7P3ODoY
MHpC7irI+2GvkN5ffMlMVpZRtsBVb/a3uQIDBRsWuzDYaZRAiCr/ba4Qf1GRgkOCIAnRuMmS9ifm
CobCm2mAQ8OlMaDDN11lqxJ17NtVUeVz2knbu21I+CxJ8+5d8iHnYSU+EKN6OUftXWOrsg40cNno
wmtLXlq4WjWaB1UMKN9pJ7+wIWT4SNmTZN/LIbcQpAi6YZrj0abJOSvRuSo4+FFZrUhNpGiiPul5
Zc1EEaSzQw6IxAvae0l4P/b9OLFluykBQXpcPM12QW5oFJlLQ56wTurmHsRFrzBmimUMb7yFVhPR
RY4qO7EzZFzWdZDZsjX3cVivveMKaPd8p+gC5ec4tNAocGcnM8PCp20Fqk7wQDr0sO5abIztnlv+
DHlJjUROIh2u4u2ULVO0jxJoF4E+FnQwElqgn9SgAd+PaM8gKpBCc4OYm/F3HccXCeBJc0U5tySl
RMKD5CBPcyDou0GSA7HkLv1ifJ7NDjnd5KEisG0LHyCuWqQtivzXoqv1AyjWctzTCsy+ps60Iuzq
hcOxCtlGdqPSjS/Y6amYDF2EBoTWP7rtsHEIopErNcWs032um7wPCm61d54mCJf3LVsSBXUZZl8x
p8PWz5dm6T4mSinvM7qa+jOSkyzbpBEb6WbmDncsZmFiqusL6+MaevjkTKSJ+TAoCBrIi0RwGTYV
NA20FzWYMiul8ERlivi8ck3vKwxiKhyBZS0jOF74jdMs0KNkU3lbeH3dBwUeq+UW7Fkx1JCpA1hh
zsvF2swxNxBVp+yAtMmcNmMj+tAvYzGVVOQ6bqwOW5Lmc7iYyCYTpUs/Ml3EQOZdVpHUSYch3NTe
aFCftUw0t6Ql6eRZT1ank0WD1tjPiC7zQDhScvLTuYtfBHwAjbv1QgkZtWgDe4DDOO1YteZ+eNHa
JemUcq9aiW7CV57mtZtJpDRYSxQvz6IuxfVESk2xzydsLBQ7FVFGXskpfsRTfp8UjrxVvUMrdEM9
rJX1NkuYARzsh9DAQB7ncEs+zxnZmN+jApAImcWKfsoxSiJGB1sFOQkBjS/bDSpmeAYAGkxK5A7K
8Qd9MgnKYbhxHRHj/CE3FkLEIhzh1qXWsxwEMY3+TzQI8TbayZDfcqnt3FvPwZ9N8cSCcaOyrPyq
uaVod60ZTsVF5CSp2MNDiPNDKdA6HxfuJnujTvvnEFHefYytuA/IQM9vwDWNintXTsu0crUuO+8d
GnLEdmvTQdYyAokyeNRXFmu6cqfEznYF174Dt+ZW7Qs3Wu6V6kzHn2vpfdepLV95IWWvS0dzm27T
GtK+Q7KiPuskz7FeNR65f62M40elZ0ScxxIdX+CYzXboCH4IRJz2eVDrcX0BQaNpbmk8UxUwYP9b
W0pv9WfLiiQ1w2Y0PsdEwX1sECYapHdMxK5mGbUw3w11+1rZksFmNa2zoaRlRZuOdIUHTrBmiMQo
bRDYeG1+1hK2V++XmTG7y10Hy2tO9WwOkKoU2V70/fy9roxy6ijbOZTado6RVSSMhaUqbinx0MIZ
6kw9hUNefeC2SwhW5MSYFfoFhfrGRX52iRV27WrHHescKQPzh6jP1qTyQQcTZGECMwMrbLswCC03
JaUc4TzBRWacdjemHtsaKnoT8eLikvyFH9glakxTnFEOnMn4OWYk04dykV7xGTHxiGjFJEb02XNT
iFR2H09fG9b2T/gJnWe9LMQtpWJ3Z3S5nm+9qV2668rCdd4GndFGXItWSJyN9/SrRReQyxKHVXXm
9qoa/DkilZchn5a09LnrEv7UWMtBeGNIxx31XuOTJdFGdING296m2doXdgqmAfE0ZGMNUY45WtoL
xWCgTM6w5YCPRlF2XMI32NcbcnEsj1RLVFn9OeEi8Oy7SlePtUdjwtcZ72fG+gZ8y2qrBXUksRM/
DmL/czrCS+roa8mArxpcpL0eNd87LR27/Ol/BXlS1y8twWA/H5v+8Sf9bVPlBrUmMiAaN3EoYUTk
nv2vfAf+FQcmbGWrpRLPDUf9f9lU9b84K2FRdZAuGuut7z9PUkL/C+I6JzUk1mAX8dH8yUFKvHqI
frpPnL6EU1enh5IPopSZkup4TlaL74iXYmQelfO6T6IeuMqcjVSbVQy7PDTRTi+3bBvUb8EnWeFZ
TiGv8lEf9+a2yg7O18z2Tf3o2RzNru3wavH29BjN/OAsH93hInW+JWMVlLPwk/5rY94I8yKM7sfw
yJiPUAuDC7KekviOBGRtuHLqs0aedzbUmgszvR6784y/n5O2uSQfumnP1SPIw3MhWpQSV9ggfAe5
39JfEf4SoVXTs2enPIThrfIereRDpb1kNDIH86qlGdEBxinHXZ1fFum1OR5tzibhuUWUbXk/IcYw
EJrRlTnI9hirJ0k0YUvMoAg7so5ui/kuNu4X/ahlH8XyZczQJV6G3aHoj/Z8Hql9y89RO7s+pPne
8i5ssCBL/uhZGxAx6NSq7ANaMTvZmdaH2LsQapvm5zAypvjMUJfzeD0j9mZLiM+W8bNW7XII8/q4
M9Jrh0K5cXDGQ7t82ljRQZvO1r+q3WJ+jKebIbuvlY7u7bwoLkvrqjXvmu4uzC+JENVgKGXb2N0m
ZFw1Pnr7PgWZf9ZqB+AeMrusxU7W+yb+wUH9o1Xkvir463+vf+YrELg2ieL+/779x+7HP0cv1XpZ
efMPeCOSfr4ZXtr59qUbcv7oD/vo+l/+d//l307ye/Rv/+c/vlZD2a8/LUreTmdpcNf5r33p90/l
8lS+9aW//pEfM97U/+Layp3Jxnfu4GJhVv/nxcnAFgHvHZcw3SqPpeDv+a7pf3kuPhQCBNciCHUX
l9/hX8Z0gZ8d7zVnSbIcoGGCkf3Xp//bt82L+y/NtKc3J2SRVA+wSLI06QBbT8qLY5KRKqzRUAv1
KSu2HjLOXdKUXBR+eit/P/dnNPLbQgVAWIoF3MDYSHWYqBiF397QQgXTa7KGFEU+vVDOGO0j0Jf2
kTZK9TGjsbV7/3m/fi4HsDmlpLU0i4HspGSQydarmord1WtVt2ujJvYXDiIX7z/lnz4V1lekUA7y
ce+0bBp3hldQNCNREgDZjdU1ZD56Mok/ZO4S16jxIbS9/8S3pRDeIwXNNSRgHTAcT0/9d5k0O5c+
Ja/QRD6HFiYBsgMqiRp8Gk2/qT3/7mEnL7HR50XNZP76ZHnN0z6XlfGQRYaOg2eK/o6E+u+PRAgM
cnUM0aKBxHBq2o3x3ZXD6pE36gbQW+1wXFRW+5tx8Q8fiVqwcB2X2vNayXg7DkWBOkLGOHRRjKTn
WWL0+zYDfd1RSg3e/6p+GYJ8IGN9FvVMk2rZ6aOS3BhAyiDJ7Gs8SnyYgEmtfjOx/ukpa3QCCwY9
AvMUOZ4Xg5XPM23btjbFPhtgzInQSn8DWzdYjX4qNL6OO4nTWWKOIxoXiMXb9yY1jHe6nnH3jWK3
RnEw2Tka+LqO+32x1iBBOfQAxurRap6ill7mRTaUjdhPTR2nPlCwtr2nAQnprOxov4FeHpCvJ2OZ
X84ELKKJ7MMBJkzlRjiyoMZYewS/ZXcA1YdwHVhC9F11iRFuemNBaGeNqfdk5w5t66U0Eo7FVtHd
eqneNEe65Yu7KYfK+RwhAP+dvXz9rP8+JP14FwxRna9WsHLaa5H0pyIo60C0ZifQi59XGQpZ6bSk
nQpRXttntzYSDz/vB7HrYHpirNIS7zcg8X/4zg180xwSgdStQ+vtL9DD2nDp3NEz0TWXOzXFK91Q
2m/G7z9MFRJ8114NpXJqauuQ+OljRsuiwdJ0EEI1A9LTUVrnRq+PG73J7K/vT5Vf1lEWMzSzdOpY
TWFXnCw0XGD7BPoehi8OZN8QHWTIuywDyYTdGsldaYXSunr/kf/wDmnZsDcb0OPwTJ+8Q60mpD5x
eaQQKR+RiIBdkhCG/mdPQThAXRQrqWutx3r95CmJQeKzIcJ1dmoi2wxW0k0+6N7R3fzpg1y+Imqz
bEXcEE4JHG1mdyh9cE6lwo7PcM0K3EPddPfnT/lxXOAewtBbv8efhsQqNoKU2xSoS3A5DEOdbgwX
tvsfPwUVB1AA4B5UiU+9+OR6gzWTQ+GTK1mcVxX96mXMtT9qZaxvi94JGw3XMCBAwjpZnlMvofuc
OCW98KW+SURRbFDnzN9E8U3irJvK+HdBYORl8H5+XjnY4UCKc9R6fax9mgBQTtCBld1xk0fkCUaU
7mrrxxTqhq2LA6k8uoNnfzTHMQxJIG8KCGXs8tQcLNnsl6IeTKrJucwPUCX7YTvqonM3jR1RxkyR
sxZb9CfK3XYKyGnQErn33HlCcY8qZFsEa9ny+9JgkdmMdt+ShlGZbbqzjSWdfM/oCaqwdWi4Zxai
ahI+anDHvjAWV/hTKrUPMqeWGJSLs0IfDUPdWd5kfok6vqAdIj+JYiDC8+WjewekhuWdHFr0CQqB
dBu2W4g/3cssAC0EmgKKA9NWVS3VMcfI4Y2NKqFCouAHTqFoUHCHefwJ/rC9bIVXk7ttuijiNuSK
tkQLunFBcHosEO/N4PNjznmGyM6WIVJekKNrc77kk8A/VOHw0XfFOFkN/TG8F0OCQI1cdtN5NmFc
NA+43lysCr0yIwPREbJSYF+iTHFmRqU9LGe6N1cVaiuCSz9SnkNiNoUTay69hqQOoP5Z9T4uG+SV
yC0VjMOiK7Bx2Yr00nFWmAqJPcQtKgfX1TZh3erI8rxxcg5RZ8RlgKnH+GowCKBfuKP9DAovVo+Y
+EOcmiOWZWCGWuobljvfermtfZsyQWTBUBTN/TikpvZcg967J8FFJtTmG7c4VLZQd5GL0/lYp6ri
Bp+SBrttyfPVHhq35ELrgsBDetbFXzRQlVVQe7L+3JDUDZqo650OP5lSDnwnmWHda0qnq4k2LBSk
azFF7s5O4xylr2yGxjjLRuDBO3PQxi8YGvX6C547SgDaCON7BwTes/YI4Ix5RznVRAHWjYa207oI
amXRLSHVhVSlcm/GzSjxHyMC1SrRQVK10wVpVAyrkvh3w7jN9RiTWpnaTf/NTDQ5n3dFaGhHF0on
uFQ9jxBZeXqf77ImW6557yL9KNnk9K9tHub9A07HrjsMjchxi9VaiXyDcNhP0VSG9ibC5HxXrCLx
YwmNUnsmEakZaRyEGdKaYoz0HZU/SgHNnBWIfnE1Ot9tWikQAjs8/V87h1r51VjpKSXoBKL4mes1
fXrRDEMkAnSyY/3cYakCaFe2w9J4/mjHy8FixtffGr3mJs5BsbU387BMlOltkdQ3s6fichuSI0HT
xJ5xhoxWbA2bTOQQCMvBBJYYN4PZgcMumgchI7PZkOFVlOfeNLqYx7zFibaWkWBbxOzE6Zc6bVJc
2tyguss4SbKCMo7p4GjbQx1XtrXpuM5qU1Allc4Y98Z8mrdJZZnlhjedZQhuvYKgJi56XRD1S/Vl
Jq/rWNDfGa5ZcuJuJ1FaxzNdjtrqG6SzWJYowuKx71/aZOAKI4Cyv3qmocZHbnaI2zJZsscUV2AU
TGpKMLRAcwVhmSLs1KlFpVEExGrJGtpmI8RSQR30ta824YJ5Ql1Gt82p22Ha0jHz7r3XflwEId3x
1dw3j5M74n+gERPhVqqMHDm5Ao1Gi8luYfkXptYGJhcEmCaaIdC/WS1nVC9uSe3uhKarwM24KBxo
P9DoAaNvD9/U0oJ+NcZm6M7xVMjYLzml6vt5GqPwEpbiCE8iS0gar9E9Fhs8CtxFcYzrJpokTU+2
+tilV9pUsWVbhiJ8IO0jqz4mbueUAdLfusBbaHjXOZDnetNg+LTY5QVrdo2f+a6fwEnf6nbEBaap
wmbar4xXXOnSRIcy11mDMKCu9Rst15fwDLM5JCaGWgQgIS8+EEGhwTjGhnLHz7CRgaEeIbi+TWh4
VLnL2izmrsLNgm7VDVTqxuK4dJBQd6Ku3DvelEQri5flUzVHTkhGt52/9HRi6c8raa2E5pAYehad
MjkzKjd81lxnxt7JHQKFWOrYcIpHrX7WJNhRv0/jDDAuBtAdtqVGPyJza1bwujaioQxLMtu6JBq5
h7iQ360I7NgOxH/+2Du9Xm/A5cr7aSq5PdZijKGsNdE04EyF/INidbGfUBv2NdYImdBB0mSFCaYX
pAsaojl6TVJhrey4A/n0elitHSGWR8zvECllj9MpSAiJOGdykB6d6mV9aRJckNAI0gd9C4C3o2us
N5HtV7VrZMFKPuBD9lb0MKSArknqUm0T6BPSupekYo488Gta1bEtIF8zgEgD+UR7xIb8W+jOcA60
qsCuJpwm3w7tAAx6KGVMsgN/bNiIriGPjTq/wszQuguIUxvjcjDGfUxxr9FldDdMphVv8d1RHMW8
oOBch3mmX3aZ5nQb/HnG2n3TYLoDOpUVNNmyIiizboZsWyE6G/YetRR9t8RJuBxnILbjRZlVRnqO
IBQz/CTNOd0SzD5bX4jiykzdz0aai8eCLpKxc7xmTh4H3WzCbdNL/q6awgqv6mLqS5BSWdnqFx4c
XYiyHs0k9wbkft0+h3Flt99VGg79vjTIQzxE7A5rmMUMCWHpMLLR3qslnnzWFnGgchU/tFkE3jjW
bDXTw3PDagtKXMPKEGJTCpJoTlhS0V3DTpv7AW2jadPORTptdWdpXrMbAYHxSJwbkij0rRIfO7Jg
2RoIW42BCvC0+gRgTktxKE0ShNiax4UWm7QGeUyV7vJ2tUwRjBYrtXcrgzU0abgNbks7Yw/jelxx
hkmqaDyziFAofeAY2fc51qwliEsPOWZD9Q9TLE3t7cixBXH1wr61H5CXY+6fnOo7VhfHJT8ljh4c
QRZzkLBShOcIMXB0MvczJN86bsUNO513GQFmBKVAiQhMLqJpcyNmO32IdUHfdkFI3kGIz4pkW8/D
+n7zRnssioU5gk1dsMlZubbs2BuWloaIxrW87ZsLDAAh5ULETasBdkJwPFrG/Dh0o/ahQ6hub6TX
2t9dvjSdVuNCEEZv26G+HbHzJaEfUi6YvqPdsz6Hmm6P99DMJw0aOOfPAIH0jGg4stp2qzj6fTSy
0MLbq9flRVYPrPJE6rosa7QmZwrkWOMDs8SnVdlrK66wSDIJ0J6Ah7Xy2FLBUHfeQ9rmtDByL040
H5+n/ikdwHoEDlsp58+pRUSnlYMD+j+sjDuzKIz2GJkG6v2uRcRPwoHDpd7B84UOZFwsUPEdHSW/
0rCyYPWKrfvcTqtnk444iLIoXKgtsaLqQQVjxPRdC1fXFrjW5N44JRWdnQ2yxrmyytTZTiID6kFu
XBYHJHM1Z3it0bNXRiXu7b6q8VEtWfk0Yl/l/fST97oRt6tLtWklnwcLlt/C45x87gRIcqnDGN8G
erwStTJAEKwYhcAQRezUp1ZlmOawjhaUDcvMm4nxJmbFF/ZiJdwwYrYirv+ZAxPa7W4Gg0G+keMw
64RlxSLdwJTxAMQzJqVvYTJ4xMCA+YfTWn4OLqJ1dxbCD6IHzHHi9gJ59+b9K+KrgvftTYqShMHl
0LZtmK/uSd1ah9mrxEKLV0MVU5wBIU1QtfT4sshsbUN7l8S9Bmq1Ds1lA20GGM2QLfP1Inpy95qs
rbLdTCtg3sRlvlh7F9YDVCC77qvrnEDP8tYcuxEtDDe2ZedGcEKP0ZjKz32lleOWYK0kvOGqjSuq
mFGT+EZl25/BjaIhEItjHK2+tJ2NO9TRoylTkECLEXofZnyM+j7NGBd7LQw1uEC4hzMSX9Uwfn7/
HZ0WVSR1aRd+H5sVZRVsc28v63ET4+8tIdKjfxAPQMXDA7JHiTcKq8VDTt/8/v0HnhaMXh/oGpT6
Xd2Wxtrr+Lk6MM6po2ezXQLh1/OvC3zxDZcOzsnVQgDDHz/LpGZEfwRtJT2Sk+JUGLV1w/Ea23DW
G7tlYB4OcaP2CNG8Py2tSABmLh/OhvGIpPikhuOVYdJBo0HY4NafQFrNlzCs2t+8u18rAzYcutcu
0drzOWWPpY1X4EqdOJjEQ/q9SGV83Ra1Or7/1v7pKQ5iUX2dMzizTr6hwm252nDJ8WMvH1eTZwK5
oyz27z/lVQX6dnKuP5+SiuN60tKdk8eshhTP6lBqGGPPwt9ROp44IgKJDeyutTQEQnrXXBNytTgP
9gQy7y7lKrdsubLjwJCkeMoLdqbGPs4DZKcjkMjMCUKnmP78y2VOCuJNBZJW/ra+sZ8qWrh8NOT3
63t3+lujFtqxg6/xmz7KP712VzrCpI5KDf20Cijwe0gQC1QzO64hnGtr4uvmuob78P6b/2UGQrBk
X+NBiAXRvqPG/PnTZKUzNi1CcFRLfY9XLe7hcTUueHUTE+GfTkEKdGhxHWp1LoP3tBUVLwOFK2tp
fQpI7XbJtS7IB/exxcy8ef9jrTPszXhi/Vp5xoh2gFpS8H77saTZIiZCz+kzeCGmzZU6spulH5K4
ii5DGxZ8v+JH3n/oL1/aumhKIsCpTNO8sU7eZeS2g+xcmgck/4Ybk2ywnTQZza9P+aNe+GXylaJD
9b1/2/9+7eL+uzn+oX4p7/r25aW/fKpP/8s3ffT/Txrn64bzXzfOb4fupGu+/vf/0snYHoJjWLw0
cWmfCZeX/6NtLry/uJAgaFwxXgy8VYn8d9sc0Ltr0Z6iC4bK0MMB959Nc1P8JajxguC0mOS0TuWf
9MxfS8P/Ho+rRgfOFu13GvCmJ8RKrv95moVGReoDPjxyMnWT2mcJQymIhrQdPk1mT+TSuKR11u8q
wv3aax3qjn27Rn+lBy9tvfm6FVNt0BdEZ+8WG4V4cjykBUIjP597l1wkKpQ3WeVVj5wvXNNvizyl
kqKyxNpWsR3aN2ZshSGuAnx6NayP0kWdV1p46TvQuWAIikBPbdXihZfDrbWM5ON4UtOv3bLF6ar3
2nxda156JusJ1s7Y6ZUezFVim3svapQehOZgfRIDNWFfpl5UbHRFOwCRKfIYS4GwBU6S2DGVE6IP
KEGVqe7j1KXskyZWdqtFJv4uwEB1vtPlKOyjLtIlN3csgLyqnDIk/L7eayMm9U+j6PrHt/Cz0ODt
Evjju8HTgS+LRvkqrnj73TScziTvjEqCVkVYqgHXtN0r/uYcWAdcz/cfdxKjvj7Pog9ID+n1L9an
t88LydJiyK0hJakGINGX1MG6TWpjb33W4ce0/tInWMOqspo5FGG8ux9r1X2aVccQmOkHqd+8gbft
SX4jRCVYNHQopvwf7kBvf6MuItktiso1LDDVbQ9MRSU3ZGKCvLJSQy17J6U+t3XJSeSWhtajAgzi
gA54/828OtN+niUufgAmikmiO10ppubb38O2y2EBjo1qPEbpbROGFlbyQ1ZmrNdZTLjdzgy1kHIL
+v7sHHe+8aKLvNmISUNdnnG3X544rHTeI0PeNaN9Po0x4lTAN/XyTfRG6NyavaHiOxXCL/tqjVNX
W4EuMcX8jnD/djMwOR8w0dkNwGyy4cHWfftZdKpec9LjeMKK7VZfOOBD17FjI09/M57WreztS7N4
CNBUzoCYt16H20/nEQv9NqMj5NAcOzTBSQLk/HNFronrBGUxJaThWQXRLO9/V6eThj4oU8bQAcVK
T7DVvv14hauaurTjMPJdGa3IDtywBslZmzb12sP7z/rlE5K9QMON6YKZDFDeyWaOfMQjeRq4hR/a
yI83wshkeOhnEHZnc9Nb8rwfUOF7vxmOb88QfIP2KnCin8jjqfWdniH6cHSNolu9r5RR7WASXXZd
hGlDj8ELu0eBFXnXF3b99P6n/eXN8lgblyP2zVUMcmo2W2iYzBWtVB6rLyRFChzLl/SB0AcnojK/
vv+0dUq9GT2r1kmY2M54LPvdybt1+kyO4ODXuBwtGw5tWzv7cDAM7pq5d93ROd4WnNbO4tXm8P6j
aTb/8nCQ45ZHF98hYRiJ0ttBROpgI5PGYPx04VSXUZB5Zlfedm25ZE+55ZrkKdoRv/fetRYH1G4W
ZS3991Ejzo4MT/w9SEO73gbnUGWtPV87UzqWqB+NDp9JOeTyQzNR22ObzPBl0LMclmq5UVU3VfuQ
L7i4qZayRdmtxLwiP+CGzLd1r0MnkaGt2TdLOCbLdyNpaksd9M7OEJ6OikjeB7pH2vgS6Vg6HpRJ
fx6W2Oym2aWpEmleJaUuQMLBwidsVUYVPgpFHcg5z3Rnxj6iwBSFwazyar7qosqEKe5OTTvvyGWU
a2awKBP5MdWq3h5BKUQFOvkhdbz8IV5yAtxisD5i2tROjMk+hZKyfBpcbBl0pCyQA2ZWRzaRt84Q
a+6xznOVnveRbsRX7eiW6d6GlU47IVoib9nF9BLCMch4cvpMEmcfknxntvkms4XH0tHptuZWV7FD
rlJxZOQ6pF/Vk8Xdql9G8D04wTUtW+G5uCiI8ZQF0MhCTIRGfS8Nmwr2oakLzABE5pbeLLelZjYA
jQcj5OIGzmacSzwehea+gHX1hgdJwWn+ntlW7UCcqWKHYr9FiyZIaJs2QWJMdLm3tI207oWTjdOD
DVji9MXz8rw804yQM4lfFmkjL7SprO2GBMslrijO65Paki6dwlMwFbUtIondMv9oykUofPuiUmdy
sAvvoCJV6IEV1f14jMtR065sINHsPhpoke4uLpO5vObsUnP3rl3vFgmTileLvyWyT5g4opg9PSeQ
2LdBNOiXnAoTeTuXSDjPx4kGyc5APEAlHfabhSUAyrG9SYiPnR7AmEyHyMP/v6srEysZBKLcCZK6
gP92FjslFBq9EJhMelVyV8u1aLCXZ7fUwokTJl9ZRWIrvfpsr0RnlP1F18hY2Pu6hBlSbzyVxeiX
3cgCH6k5VRIMjZNZZ2uSW34kWNEAxJU7fTK40RmVLMtpttClzPQe23kxPC4xBJEhgK+gA8s1OpLz
Inr+xbTLpAHc0+90PVkcuFHKaD7KfjD1s2qkrLzGeIY2aKZlIsZPIaIpkZoC+aXSu4mgYylMLuCL
j8Y01vA16tq26expmS6vXXvmpdIlAUP5LIGLJUe+17jeAifr8TRFLTm0EsY7hAalpvTLJFMqplZT
NcNVLau6vFhmV8yXBGHQZxcJNcqGYqhqnIMK9XG6mCuyvfeuckR0iQQkSh6dPImy4XJMiSPqtkrF
FdhlxoU5HeuE2qH7TDhx2D2EydrI85c2pevJPqz+H2fn1Ru5kmThX0SA3ryWYVVJaqd26n4hJLVE
7z1//X6p2cWKrEIRmoe5M5i+6KhkZkaGOXEOLW3BkOIEP+tOD8OjqddF396kFFjMUxfDro6uygC+
WP1CMxD90I2cNlYuaGCGWqJaquEkwJ+il/ln7Hu1+d1KqU3tdZIU+Rf8MHJ7a8lpPpwgGG28T4yr
N/dQcun689gYVrL2Fs6fYJInGawgWFzQpAQbvBgLT50ZQQzJhuWW4B+2eRbX6M3l5W6wSvh6B/Tq
rr8N5/aA8VgyqEuQq7r1Bi58F9RE4JUU6EEcN/b64JgFeX3MQfXRUsQ/T5NmrNibP4NifaqIxuE0
oNiliWxvlp9Jntl1DbQJbhHn9pbTOLhDgFab3nj1nd2CZwFbAcUSPD8r4dsiHXgzzZQew+VUDgjg
lnXpNiekgCiV3KwN6uAmxksM2xG6nFtZRiaLTsd4SlQ2Z1tUkCz5UdqnLrzvdbwz80xZgW2eha0E
rkieMZZLlVxUTuYfQvE1KbTpob1C9aXdRK2C3KAVah8Nreh+yoamwddP2c9wFlaMdqqnBqr+10CO
K7Rh6xTmjUHRvBsAJLAkllrSZm6d06FbsbxMdRh9MYkgqQADsSMPW5RmYU8aitxqvFfa5NC30ebI
4kOlytHgkqP33Qme0MbbNlUzkZ96Y3OyvUgeHz5yvAktsS7Kh0JxRUynL37FYMC8a2uQFUIn7pGQ
HQoo7dKWPo6tVZ9K8kOfDnmpaeUHzznKQzoFRcbwiaSpXS4+PEP+o6qWun7UIJ0Gwg8nRHOw1Va5
z3CRwSGvDZyzOnXmFnxlqK1E8vOAT5x11PTIUyx4ICmQL6XUJJhkaDaHljsyXXCkKVre+LAgf/Yy
AqWVnb5gi8IOA1KijgPwUFz5dy4kgWQHZrPUYjTadu5gcUPKwjDir4UZfUxn6X+vsDhOHGhmMJ1F
HJu0codMcim5PbRlwc4eaGr5uUQHSQY5sAIQnaclb8Z4ZenSULTi/pjafF2jGqqGkfn+oUZu4hRV
sQMhK6BAtWi9rWZn6KrmcMCs+IULVtHsIy2hJk0HzRB+493XhBuc4BdKHxfOyOYbPPb9yTTBZKiD
rH5P4OXeKhJkiit7+JYl/396wmJBPALwRYJAQw8C8ba5WRtUhuahTXcQg5PyASnunsBeHfNkoyqw
jDoyXWV/q0x5Sy8AABOU4qNsMRApV5HfrPycsyNFaQTNMn4T+qz8rsWR8tvO8wuTqKqNFKnfFvDP
J7+6FpI+YyzD5qOfHEdFCog8nkI1mZ7CfO2RQCuBKy0PNtwmlQvkqtzC59EDOIKx2LbS+l9rhqD3
P+Kb+OSsiwQUr8SDRFF0YVbvynxAEb2GLnegy6KpQIXg38+3bdtKG2o35prFuU9+s8iMiqAlEeBd
uEnmC5VjBV41YsCD3yO+XMFLnEmRdcjogPzmUD+oepTdp40/3PnEdN+uL1fs2eyEEfIrzBfx4rGp
JP1z40Ohywk6s81hzEk64wQQVwyx+I9EV7vNG7VCLxUWlIDxsLK/Cw4KsW7RIiTvtkDjUvhaOGNa
rRKK3UN36Fp/OoR2A1PJkDrPFSpTJ3Sq0+3UN+jVKgh8J10Li3JsmocYBiv60wB41RZy0NZTi3rl
CJydc44RPUW2kjF/QKKLDckLk8ehqUYIsIcOWERbHCBhehTgkv0Hvz6WdGocOoQfsHqoi69vhGXa
5vA7HZIQqrYhU+WbKaibUxwZ8NhLQX03jCwv8lQpWzF9aZEg00VpHuN0bOcbn+t+VkGMMB4Iygj0
jI7Ol5b4jw7f9t/1Vb5paM0OmU3XmQDaodDC3O1SYwuhpgEWgV45gF+v920CoSek1vkhS+34VEK1
uc2hrN6qdul/HpxRAbEWmVtbruTvBeRX7pSUv3XB3u/DlgdTmpJ+glUzeIHlYc3rzO8DITcRMOMA
ADn5vZQTFx63ASKMITvaGaGhwW8uDfr0FxJCCQcAEfsXq7Dq+7STTVgmmIRf66EtzeNamSl0mEng
OWXaalE2jXsbVi+4Rt0+t7pTJhXZN6PsHmMl6A5UEJBgDnqkBaWwca/v0fyB440Rhlmz6OiSAbwB
8d89cCCwh9gcAtllujL7lwDJAotgVTL6BZpVyAL41f2CF9z4ed2uOOH/fzSEXZFVWW/aVzRGlw+r
osa5b1WjDMrcVg8U3dGFygf1kAQ5O40o5em/sMekBBebDItbPj/2xagNFHsopRueVd9ak91/kqAi
PlRT9AS9iLziXi8tj/MEFwdDQbxhiwuOSiKUdzaC8qaeO18yoyJ1a4IWKQMycspupqevPNIXLVKu
FS1tXs3lAc4bzQkVone312V/h8oISkeUDfdQLDBVNuhr5GBzP/KfDQQ1o0DrJ8Y6l+0cRBC6eihU
PqgOVtAH33bf8/8wMDHaKzxkl0xpACQwJoAsyweDiSHCZ9Wb3MnLIAkeR8nY5PmAbKo3eB8b5vrP
uvCOlk0nhlL4sjLcgBAddTtU3KgfjLvaCOw7kzlSWEhZ4fUzeb4uHkBx9YhreQiXfR/g4+bUR4YM
AtyxgAg6yKiDSvwZA1b9UPQsVmUyV4VaHjPSpGCi4/s+jgWGnRYMPCERZ9bF3tBbfQeZLKitnpRf
NoJ8j39ZGy2+tD7SarFzbBG1i7nR1gx6eNUb2bXzEJxw4+n5j0HvteREXJTW++tf89yFMsunCK4s
GiagIBYPm+q0MTDmUHVDAMnlFyW3BFFv1tgR4kVVrZW7BL6mAWWexh5h1S0ge3Gv/4RzZ0oZQfS5
WS8jbMYigDDQKBynDuyjOkk17bl02GZQJLkl/+62AMC916dobbT6klEyPZwN0/O0MhdPhzUlgGp7
jJamFe5FCeDk03a4HUNLoaIwQm8HQfuHryTJPBefKhV/I5HcfGv5uK1uK4PmhpH50MlJ7ypjBgVN
atcrI5yXlicCJY4v/ZKz4WAEDgZglbnmynA2btUsaU/kTcSISTwd0FGowUsVxu76Rl44ufCjEbA4
Nt1MFjlfHnAvBi6mWuN1GoNdY+YppeIpPtZQ1awc23O/LSgFaCgwYk1xQLAbvL+ZoUY1VzJH6AhT
ptiA3Gqfe2CYd94gBfeJmsYr9i4sjRPKBLQgcSGzXSwtNfNO6iPsqbmv7UCGDl/1IP3H8MPHCFnf
fI5IZOkBE1GBGRO/5F1oQe8IVql2ROfcCZsHuUVqYSMnWbTysosfPI8kwDxRuqOTZhJRGIuX3YGC
aqgynyliOdBHuiaUmLZIzmm/r5+J84MIzIkD+ObNmPVdHPmgj1t4rxTVtWsjo2huxL+lsszuIBYI
3KLRf5ZDFq/h1M6dGsUcwRlITZgbvsQh2o40SHWkK66c2BxEvJ87UYD+x4BMse1glt5TVOvcyCnX
SsPn51LggwzkV+l0M7axcCuTLYFIbCa4XfRecrNSe7XpStxJnfoHzjlz5cJdskZNlK6oyZAp7nt+
VhgRoPtAG8odILcizbNaf98wCg+DemLdlCFKiB+0KOr6OvQgAqfKFReYqven05NKL4ejsKEn5wTb
zlFeWtW6GUxYd+h99x9KLUXZF88MTIGUCyyWvgTbIAHVMRriNPtWQukBCSf5IKU5A49pYkfZB0PB
N2OE1/CuCQqMJd7QID/OgwZjRasGSB4hhRgjaHMzdT6qQkVuHq/fDPGyvr+Bb/Z4DEDKOoQzy66F
Hcr0lDu9oZTdGKfML8ZvrZN4BrN5aXSLvfqTN1XeSa1N44H/VX7QpQn7zCjDhUu1TIb+ab6VdUy8
1kdSs298VDwo4kbuSFN5g2TItHJqlt6TwgBgNv5DECV8wKIhNEBSBugCevO+Nsc/HaMwwdeCibbo
xkQ28ev173rJmGMA56R6bcP2sfBsGjA5TQl1YrMii249O2b2MKct2yCa+PF1UeMU9Q8DuB7/Nf+E
g+a1emnqxX5SAkTQEmhk4UJCgJvOY19mfz+8MKIDLh8JkrC22LC4NT3QZ9w9nz6+S2pm/0L2Kto1
AZIi100tvTYbRnEBxA7gakjDlguLLEiRSs9q9qnXNDdmbZ7IZ/S9adrkYqMWbQskc1bO4xtl8exC
UEKi8METSCjCq7H4mqGt0RVP8npvFU72VTI4JpvArJrj1NNZ9iCku7XU1nOB3cnelvog0i6Gg6qI
wRAI/Tf5uxy0lds1Q/Y9yXSajpCvTite4sKXAWJN7Z7sm1daMCe9d4CDEzeZYgEnAG2fudkwOcm2
1PNx71MtPJppFbowpfjJR83y17ENFDkoe9H3WzyjTcTwOGCVfg9gg9ElGuobvUIfCdjYdJKbirqH
0pyuH4KziyRsCqQj+0LJaxnOeVDbDkGMrpc+JvFriPaHW0M+d8oLuf7o0RamaBUAYMeWs0wftahl
vGkM+32vw+KZMAOFfmpSMiVtxSuRsXgTZ6cMU5QXuLKCEQQXMd9AqFvKqTTNfl/rkv45spCukGWv
/+gFElYMUzyTFPLAvM2tBNrYqMyb9ntLK7ubQY1Lt61jZzc6AQOEsex9qqVyLXM8O5vCqOi66DBg
cdzEhr4LHTWjabUSgdC9WqrazjEmNKQADn0LCibilLhHeq5tP8a3zxstvLpA9mkoIQgQ9Nxo6MUD
w8LMRLcol+30Jk9u8ErjXlHTNQqnC+ujxEiTTpBhgbNbBP0q8g9Za1NW7tVR+2dr8pCieI4G3oCC
8w8U2YaDR4r89OFr8AbJBPtGqY9hp/kC1UAOKq2CMi80ulfEjpW7FhwNhT59berswoXDEiRpsLrY
RFeL/dNh2tUUZrT3eij7x8lkprR0agcpIXkNorGMkMWuvTe18CeWF0gerIv93rbjAp7EGBZfRNzq
rRlrCC2NXvBV6vxoK1V5vxL3nPt5YduA9YdxJEo4S19WRXZoFej07ZvG6aEZ1PuT4/vB18QaBgDO
kB3kzBTWxj0jbw5zhPbofEU4dPgi11V9S5UmOo2OVyCIlNZ0pQu68aTVsrTici84ChrvPH+M1pBA
L6GyHomso1Px3ENF+6pkyfijUy17xU8sI3ixD7yyYEkAj+ICxZF/d2UnM0FjCj6Tfd1Z8Q0cGaZr
V552Z3eBtldQuFypaInnaeH9RDsYsQ+RM0C3NbcHvKvAuyIiVpe66tYN3XWt1UMXZ6Kg2dfWLv4D
7c2e4YOkGLLD9bt06QYzQgQwCCyHZmgL8y2icq0XAqorzSH5pJRKJx9q0x4+WSjSwfeVJ+2XxmgM
/dN1uxc/s0XUZAmwCu5xvuxJSfqhkzlyCViRHdm1fQsHCepiSP3tuthea0xcOOMmeA1OHe81WNXl
vF1Xg66cTKXbF2WZeJugNqMXqq7GDyYzhgax6kp3R/DA/7qIae4C/krIP2W9fMlHJRZaawU6lR2D
2ZDwwCSFApaZ73xGex+vf5hzl8NhIHekDEYbh5Lq/MPUSGdRF++6vdqRqxZILCh7A00MZcvQjOat
hObn2yACCvqYFKVgL9IW28Bl08wCvN1eixG2A0Iz/WFWBC8DNzarlZSVfsKF1XGl6BJTv9WILxb2
FETuUTC1uz1UUOg2wx5uFH/qNnLAhrFD+cfNWSLrJyUgQAQ7NP+YjU5jv5Uj6IOKMD7AY6T9RqKy
ePRUH36h6xt37p2gmKJuqr0RgOFL57YA8402HO3jPghaBG07HUGy2Op/X7eygFSI152Wq4C7MRoH
rP7MX+h91aNxNe47nqtdbTXBgwK/EFRMBMmvpVZb0ieFIXK05CEsf/GRQ/7G56Uhf/2HnO0kkY0m
wISwE5CTLKM2tKwA0xEXuBDiBuh0kBXkgYdMJQnn/rqps0MKySHzmuSrlMQFtmH+ZQEFa7mBD3Kj
MepOA5qD9yETgkdNqSJ0eeVw5dScuWTiJ4Ri+AcfmTGfRQBFOpU02Rip7uDJ+Rc19M17WYu1Vx/O
OGabGQQbUMNVu/HGZwoxPdahtJbUnEUDwjqKrLgs1APIv+ZL1g0mS5O4U10/C8o/MB30n2Uy9ge5
bvJxGw8RHO6tjLgROgorJ+x8Yyn+cXzfZu6odi7yKSvoW/RzRxVyJ11MNxlODZOQAYk/Et/OytZe
MsYaRZpKEcKxFs+PUchFj1NWXSiDpdt4lOp+Vya1ZTzkvifbK4/O2WPHV4UZ1oE8myUykTL/qoUG
Kb0+FarbDVK2C0E+37N/r+nohzApt9ExQb9wd/3wXjhMWIIHTvRQOb2LFQ5ojhh6z8g6hadwp6vj
cDuhuLfLFa34rhV95cp+nHzqGGHbJLKav1w3f/6BWS/1CQEYBN621HEK6In7kYLsRp+W/XGUYQuS
AGe71H3qlfDs/JoKHA5XhsSU92tZkc/0FnJcEH2uQ4S+CcIiejQrS7qLh9L7FKT1x0SC8IRi6JmS
Mh05qIgonM93MyjHlvi0Z8YwpyFdVma214MaEWSaDyubeOEr0pQjukRhjkdyWWNI86JxsrLW3ZKR
zJuYAuSJ3KA+dmMwutc37OwrihwY5ARxuMCXLvlqm6wi52CYzw17UM0IyFjmxszs7KtS59+8KO4+
ujTsIeWDwABSOnicRbxBzBU2FnQNLqUF76cMeGwHQB65Qb2qUB+5vrgzt4YxDiFkvBTk6dwsPCuc
snpeR5Hijmo2fodpbSTgo6OZqQzko7vd/CR3oGWdT9PK63x29XGiPCDQ/KMuyIoXltNWqgD+s0xg
kMVd0TnyrZlbxgGHYO5Npx53jcHw6PXlnj/WkHBQSNZoMhLw8FbOj2gjFQ6cgaxXgQDkq6IKurFQ
q3aKCe1KFEjyPk+nYdMpeu6i5G7cVEIJ5vqPODu7/AZyBTrX/AJqleLAvUtoZESAJcmE2V1KA2Nf
yl0HGmBCtzbw1npywn/OchlMWVCU02vkG0MMMjdVtJLqVYx2uKqHtks/jP7tFDHsdH1BC8g9/OUC
3SYD1bAgziBnXVz8MG9yMs1B+0tM/teD28qFcy0QLRZ1F/tU4/pY0rc6LJ8buMDAHA2+c4gKhl+v
/5DFl+V3EMrydtERYWgKWon5chu0T9sg6Ow/ZMhQsDbd8LUuO+lx7A0p/dj5fbPFQRK3B7cHT8Hc
FiFJQcsz9P7EWdLcegpURV5gRFtvlKVfcNwgrT0Axb++wIUvejMK2hwsF06P8u1igdHkW8lkduHf
StWk+zqKnT+tZ5ENeYEu+Nza4d/HDZKJiMIOa8TdzldppzkQbF2O/na1Mf5W0QxFbEKlx8RQ7EPb
yE/XzS0mGMVJIiGk5EhziaeRjGtur0gi6h6W5f8tUb4xv+dpDEhPoS8h3yYB4uxSgdCFlKj/apzj
baWlMLCPVqMcClSK951ZxxEDR0gRuUbfRN1DkdXTyidZOK63n0i0xzwHM57iWs1/4uigChN6tf3H
q3SiBkNBsmdomBNEaedZT1sIHoMIPqvrX+bC0RbAAd5xCl/UEBevggRAYNJGE6vaFJ7SPFbvJtRC
H2QposJz3dbiUWCFnC1aNvRneYYIbOcrlBL6CgGUtH9ltJq2JRnwIa2Eenlp+bdmILf3o9KCnYzr
YeWtPV+lKDlDk0ZsRO1jqVFQNIFX922Q/IWlnDk2eKGzbV9nRC/IQAcr3uLCYcMagzn0TmmC6csK
hATrVwsJQPw3FyjTbdaUQ7FFbCgtv4KXzhpKIRAA7ZpBp5ki5aCKX+HFHr4UejXATad68qvcVrZ1
OxZdSZqZoGr0I25qzun1DTn7LHhwkkW4fChBCFDHfENC6mKM2DTBE+1qJ93mLaOkvG+jt7dpPv24
buxs92kvyaKXzANJ1W2ZbkzoiBl95ARPyLPHd50ZJwc7TY0DNF88jLmk/azMEG6gbg36c+bcgCOA
V4HnBbQh0dbibQ6yIUlTqoyPEe/DYwbX8W3XFcO3IimHx8iEfuj6Qi/bI0zVBQaQivL8qzaZRb48
xKqgLc2OauJIv+FKS/ZZ28blxofmeQWgfskgGRX9B2DLBMoLZ2p5SR+G3qA/jnJhP07dYH7Nkhxm
jzrMdloHs+v1Bb7xw797/knMTSb9AZbQc+CIL5O5CR65qjVU6dlOqxb6h75EslNWg/BUQQia3WoV
QupPCfwGhsRMLsxr92ENb9H3TBtRFgq1CTKjI3PHY70C81LesAKz3yYw+qiDiHYmZYRlFFTL9Cib
Ie2eIVOALhKywjoQfKpJHVpbNMVtw7uzmyZGNshOpi96RVa+4U89bQtDZ+B8Lnw1JSZmpGU3KEba
f26KlonOzNLl+lhlyDieBuYB6DlncEaiZQu8DtbKUA+P1agg3QOGMJUe0DwYtG3YFlqytwHiPGvE
CpBMFE0BLW0HJfh9nJArBVtJlyhC7M1Cq8oSCko7+mkzzDs+OEFj/aG1JFOv1UP9D2iiCKIRHZ7f
feRkSQD56Zg8BU0DI2sBod9vwtCgFkQvfowNBOe/lipqdLumgHcVZQW513pvZ9eMmZ9yn9j03oqi
9t5rKm84SpmXfqfZCbWvNJl6uIP1jSRBghrmdlQb9QcUJ43yd0wn9JTyOIamCQnK4RZRyDFkGM3U
k71Jqyv9WeuDLJ+YkM3tfjNRqOp3ROPRnVMMnn2j+7aGCLUvVTS5kwrlCTVE6Qyi5zEoXyB9lpE/
gwt82JmTmt9HcQ/5Sg+lWXJni6IT2+d4Pw2rrRk9hCbchKgw1n+PNsPtuzAv4vrgjb5056WQim0R
bc+rH2Y5BnK/BzNQAEowPTiIgmMuFC/cgSGhh0mCtfc5DqgJg2uDbceFTlt71SFGhWLbRMOwzXdm
P4ZQTl6/TGdukSCatEEEe6DoCd3n3kJxfBkaKnl8xkU0hyDpWzfUG99lWBptDHC/O+bTyp0c9vGK
TsKZZXiWhPQ4+dkbC97CT+Wm1lbp2On/zF5OK5cRJsnfMQWpfGtQsf9ZdWkCT7UFqso5NAHz1Wuw
n0XFhFoQEBjoxURXgsnapRsZIT0x0jTzX5sR+vxvmt3YDxLcjwRiafUFZuwoooQCv3wUtOlPXqdx
xZGdhVzMUKCL/gYZ0+GiW+QX6Iqiqik18RPhvcJgD0SRuyIbM23TSdZnKZsKe2vUTuGs7PnSYQuo
oYjzLELuN0c133Oo75uhqGTzaSRhcxGOLE+FiiIjU67DvWOUTHxeP2Q6f+F7pyiqyTqPPQ0HKqs8
FXODbcLYv2cNzpNfhNZ0a42wHUiAAuyVHtcyoAA6Qr0NJDpEhAT3y5dIlqRi4pV1nhDJCzf6UHc/
jNxPX5h5NNZ4Is8/ItGqiCeJXugevEVh79JdddS9MVR77wmd2ukYMah8U8MltyV8GrdlV62R4i1z
fIGLEbMYGk0GYiZ9mfQmdpggEJk7T05iBN8sqP++wBs57jq5b06jHFo+HVF6HSkolBNogEfm4qTj
9Y08S4nffgT9DeIoTi6BzXwnq04pAGAlzlNatmq1g6QBqR0ivJ9BQ5m6H219Hwg53n7wvRc1mPov
iZEhCGykcCxc/y1L//Gfn0LuRjtRAC8X/iPJEHKdms55Khy7NU9O1zHd2rWTjQZt36n4EqWcbvI0
j74p7eiv1O7PjzS7QV/x/6yLX/du+w14thlPV7ynss/CnVnbo7/VUJdf2/aLx4zuByBPUYNYtulG
TR16p6n54HAbfdedSnHNqTEOPI39LQSF0wpI5pI9+n5imo+e3NlYJ6IW5ug4o/009Ib2A4IW5BHG
sd+CHNf/NmW1Jsly6cqCMSIy5tJSNRLf+d137GgHA+bwnafEr4yv6lD5f1BKHU6THiXxihu6tDZ6
DhYjlaRHlOnmtuKKiLBSQ2wFnTUc8tZMbqF6pRLG3JqTHbLE0H5eP6QXjonQgCC7Ef4dWae5SWbE
eluKcqjpPaWlu26yQFeOecpX1nbhNmBIbBotfgrHC0NFSiFDLybvqZaLHOYNz3mctELao1/sHVWh
JACFf/Ujiqr6cH2JF3YQjgBoE5mkosaxBCdCijaFelk5TwqMac5hkidkj+grTnt56NJpJWpYvpnc
etDOAh9PtwONwsVTYoYqooKKLz0xUKXXmwxKV1RQVDN49gopIYqAudnXHO/h+iIvHB2cPFhkKmOi
HCc+wrtjOgS6WXu5wef1Kv85bvLuSKoIrcoQSnsjbsuV7bxkj0E4msqkcOhxLezRWqoSRR6lJ8ms
JHQ3O2XX5eqY7CU7jO50voK8YvHSNsKyRWGVPJUK1eIiRpkeOZ6nSE9+OQHnss2Y4oBqRtk2C6K1
+vylawFylu4fuRIqlItnJDHgCSyCznvKdDDXeyiIygdFGSZ5JdK5dFqIO8j3wTKCZl3cCqerSi2e
LO/JSv32NKn9uI8TOis06707VNaTUzXCXn39rFwyCrCC/JuDAuh5cUQZqMiduG599MEbZ6snFeAT
LzOPQaCUx7Zo9U+FGkYrt/DcqGhrUiEGS0RZfNnIRYFdDpHg9p/bEPHIbco07Kal19jAH+SXd5la
OWBqVUj6ry/2fCexKyIggemB9kD8rncXg4p1NfiBxZ2ALrvalGwEIQklo9frds6PJw6UXg41PIeT
s5x/NdvITBEyDZ6H3nLutDFFlbu3zHtdlT7YKybQMoH5UqyDWYizs6zWpX4YR3IbhJjq0zv0N6Mf
QdqVxJN58mG3gilRjKJzQstoifvzyzqoodlhVY6WfUqlWjqB/OIqdMGdHcD9df0jXjgkdNxpS+ND
8WVLTVbdK6wUFebwGZYOYxfCA/ngSIwXpk4U3vborWxga1rjaBLHfR7804ulCvHWuqChIl6udycE
Wp8q07M8fJbB/xw0NfJ2mp5qKJvG2mcqzM0+lwb1V0ChbO/E0JJcX/Olg0NoIUphBvnHcje9sByt
EraiZ6pzCC7V9DJ0pA7urakLT9dNnTttzg6VbEP0OEU/brHS3O6MySzT53pItHIvp2Eef7WbTFJ/
UqFqvvkFSJs1pqJLRqmFcdFIJgltFq40LeIYXaw8f1b6yj/Ifu58oy6k3Y3ozB3JgdekWy/Yo05A
4mwAEBK65vNFZo45VTrpzbNWWcaGbmiIolpfN7t+7PXXiDLxyot/voHiFaQhJUjfBchgbhBa5ijz
2yF5lkcVwQTG4H92IePhtdJN6ocPC5hMggq6EUj7EnTPbRFGQO7UF/EzRGna9GOMhbyc53ipdIIe
Of9x/bycrUzkccSEJuGhkGJerMyuVL/oNfTJB0jL/jYJ0H6FAJXHV9K6/8IWmRn4NFHqAJQyXxmk
zQVSbmH7rNH+3TaymXh73kRt19dSuNaCOPMzJOHUZkVuxMrofM2NQWU3VqWnDs/OUNd3mgczM8ON
xpehi06dE+1DNYtX7t7ZOyQgDAJGRQEAJYZljxRRJC9L/Eh9lmOZ8AU1k1Leq9QKv310zyjn00Si
WAaSlUxivjQn7sDrOqb63NCj6DeDavo3weB1zTaBQ2DlOIq/bOY62S9oRRQw02AKuHRzY0ptSIHC
aNi/xGhB+QWZ8ZN6f7SFFhFuLCnMttroOXs/VrN/15d5Vm2gQUZ0Ta2B55bL7izedW0wYXCsuuqV
kqn5GCIZcUtmNd4j9+PdwGbY/yvkVvrBqOVwAy7b/qWmY7/yrd+6f+/Xj98GeE/HhkI6yJslH0qY
SYOXT0bzwrxShcqWGcGAaIStX1IXG9v6Jgll5UFytEn/KelpoO6sUVOOaW9UMTXjVH2Et9aLToms
oDO18oWWJ45oS5ARIRpAn030duabo4UgeZrEUF/QGNfu0SPUHiUAWA9UvJHETAT/0UD1CMAz+rZl
lHUWFDmSglCMjxSYPujdr2qKh9+yKTNDsfLjhOuYfzkgvTy7OpURsX2LY6pUdtJ0yqS+yFXjfIIL
3H9QDCkREmS29qWPJgnuq6Z00K+jXJ9u6E4Ewa6riv7Y6EEf7AKIV42V/Vw+HeKLkQgTCZDVgKwQ
f/4uErA64sQOrtiXaUyGF6NU8lcjoaqqs2v3ahyba19BvEXzrwDknRq1iBchaV6yTw+2EaaBMlgv
UV4hr+X3WQMzosVcdRnU/pccnRD5zgpGeaMnUWvvcp7qey/TO+SRUGvNRtqWbqA2CBJe35/zL0Hp
VyTrJEA0a5cFUTvJBdJR8f7FrfEoxfBKbaCpZojdyopjGlUv180t/TGVXnCPGjECoinn2avntHXZ
5qr/Ai2ZjMRVTENEKqXbqoBDqdey7kbv7WDl6y+d15tRJgmp8FswYy+nap2xCVDfwyggq3jbaIF+
oOXlbH0jV762ToGCt1Erp9qHevz6ci98XXw0EiIUugVX1+L56aegNIxW8tGEjfo/hRA+CKJQu9Xb
Id4NdnC8bu7s6wpUIMJs4OjIvM5osIiU5DCMogiG4b6Gj7HLs+cBhXaUwrq031DX0oYNUPu1PNNY
nm7sEqQQiAEqsM5SL/QD0VGww/ilSrg6ZSbmBJzKg6je5N376InFGK1NWbUIxVjq4psWyH1BCN3G
L0ArwnGD8lwuASSg+oFGlbRHPRTOl+vf9cL6qOO/0a8Yb9xbc3cBEX5Eo7xLXwxEB44IZtq36ZR5
pyl07JUTc9kUGGwxXismH+emJt3Wi1gu0pcgUcN96igSvK6qUO2LKRCsrOvseAIEgRMLvwTQXAwo
zI1RhYQWUKqyl1zug20YD9qxpRl1GMdO+prm01qx5aI9EPIgX6iBELrM7TFnESuREuYvYWT49cYq
8rI5yepg3PpVlkubotC1lanOs7svlshtEO6GFtsSXBoH9OSl2EpfzCgaQJOWxb7KI3NTtTGAG7lW
m7tSN2JXcF6sBU0X9pLnRYMiRoQtAGHmyx2ZP4rAdGcvQTvk2QYMS36syx6NQ0IE8+v1M3rh22IM
rAV+nFh+Sf6fZVrIyGqdv0xZjF6hbqK3bTGN2Hmav+1H9Af+C3sk0wKPzHi2uagtparaBghc5i9t
FZlHChLxbpqq9CsPV3aseeZX2gHnHxPJG1BrArgmWqWLj1kOQr8jVeKXyerl+9Jvyx0F5vEr0wzF
/vrSzkNOeB6Yq4bxl9Epdm9hi5mdWCFYSl589LjtTTapiWsmtvnbqaFztMcp35WRjNZk3WlfzB42
ccQSy5UW4vmG8iMI63k9mH4hCp6fHqqSoxyNOZfTmqKDgTbmNtcz7R9KXtDZOAiYXl/1BXvUJQU2
jXlhJvsX9jyt7YpGmrKXetQf67Zsjr7Gw1VMFgqqTuRet3a+nUQbdGIpS5JI0waZr65VUVbUPKl9
0WLd+xzKk+TG6NWfdK17+bglkISEHTT3IS5YHNQQdsKxkaruxevV4m5SnWDfd37optAlHK6bEn/V
uygPWBdDmqBjgTAoAl4uYuF3YeU41YkVSan66me5fiiUWt3Xit2jTS95p8KHwiC1DX8X9GH0Ex3V
bsX8Eo70H/sCXIbHQzdy6V97IJt9EzTKKxT5ur5v7FL91ehNe8j8nskpNNDvZN/7I3uqfTT8EBCO
OU2ubtXTF7lJ19yfuCWLr0G1hB4Q2T5xybJDS+tW65ENUl9VqbN2te81Ebh+T7uPPc0+1B5K3cxI
eMoGrcg1jL84rGe2EdWiSy3cxRJWaw6alal+pr3CF52gW5VPv9TIklYKQsu0UHxwaGFYIPGImO4T
p/zdhqcNRcwsU7TXBszPSUkkhKJqJ0VRqqoCVx4NlEkj5CzGcZg+RbX0WRvi9hRazSnJ++I7+OnK
XwmPlo1xfhN3isuFp4Shlah3/pvsoR2QpNC1V1PNH2tY4I9I/Roub+QfxKftiil89Nh3Djoh9+gW
NzvUwwFiTQQ112/D4or/54fwQkD+RSWSkuf8hxRlBhxZTfRXYI7hvnYi8xQGbedKnS7tr5taemxh
i54KqQoFireS8txW2zuhSoQT+BtJs2GPo1p42/WN/3dI/PoEeTvjTih87yDzQQNA8ihog/p5uv4r
FuG3+BFipplyKxN0jHourr/i23lvgNhBCCeqnZvWdr4VVW93MCC05feogt4RoFobr+242NH5YWe6
hC9MkEG4YSwZMkcvyqVY72B8gRjvc2GhhPOpHdVui7T1+Fon8C0aUug/wtCUJagfQ2phDNBBtzAy
I03SycVNX9NsW4kuL7gjfo8QqoOZF0e/RPA7sRGYDozT/oZkRf6ESHlwMkYJGdPYGpCC9oabYSjr
LcLfptupSNjHVq3fjlOm7jXa1b+ub8/5eWTWh6lYXnX4i3na52ekUZ3ObOQc5aCYmbgj8iDeFzaF
sRQ9D1fO/pn/IbplZoPOBrVi8tzl2c/yXpJqq/PpDY3pFnQ50jNdgcTqyuafnTkMMTnMmaNTBHZO
/Pk7D2T15TBWzGf7m/8h7bx228baNXxFBNjLKaliSW6J49jJCeGUYVnsdZFXvx/6P4mowMLswQCD
ARLMElf9ylvUMJ/FFqMnU99kXTJXePnw3Pug/7ro2OtjVV65/v4yNjw/Cv0wU7jf7fXYro7tgTQ0
DMe58w4Fnl53hlnnQYzs0XcSM/naIgV+Dan/foOd7XfelKUeSDcH2V9Ag+ffjIZZPFbYegMziitt
2iG0HuunOKuixyQ3LOlnrtOpwOfBY26w/1C9oxaGyStiKHOJTXiEf2+NV13n64jmkihLjXAONz0I
EOYjhoNJibF82pk+YGK73DajFyZvFgIxyie7qeLiaKWIgfllnwDIRD9zInXQZNHUGOhCxU9kYBqR
+2NIxuI1zmMT44vZaYx+i4SWiyEHdWqcxqfGyJLXj/f4xZtLpAOTZAFBMDWovpxPDdbrWWi2uY7B
malb7QFL1KkJUKAxvFurbtzkkNnDeMKTo8q3NQ2ba4/+MvdnawNdZ1HpXbqICIWshTXstiyhIo1G
7Heg43CEMYfF4g3eAR7hXtH/sM3omhDjxUczJgIW6P4Q5QHcWcWSoNqlhik7Y5pW+ascGvTYF3er
WEd5WUfQY7/4j+9sOdtXTsBfvpYMAT0H2ldQR9YdRVI5YXlCp5U2NcmNgy2tuIl0fY4+d3BtzduS
iD2/khdcnDr6+VCHKcQzzVxkq92vRWaf9hQ1U9DC0JU7R9hdoDWWlvv5GFWBguvlXQPYJrxy1bzj
+s7WluwLvCYmJHwypcJlHf64ayZnKL3cMKDDdOrQFUdJ6ts2QYXWWfbS1Rld99Lste7GlcJMusBx
gRrdSjsp+junGAkFdmT/s75rhCseeqwTY19rdCDzuZL31cb1OnMfE1g7/lC184LtTvIo9WUhI+dX
LDK735iE8urBMUis4wDRLTU8eR3HSsflysEPUnQIv2/NPFeTe1tQENpkVttUmwxAZnTlgVs/KEC3
AAKw6/gXgOU1n0IQ66vkaPrL6PUbS3/2stjPp6ePT/R6udeDrCZd9GNnIO2mvxhPih8qPnZNyYN3
ZU+t9/F6kNW10cV2Rkcg0l9IM31DCyLl2CQH95pM/5VvWZPPbEeKplLevyW6cT6rT9Ph2pesU7DV
l6yxqWVkWZWesSa6E8S3WucrEG5/Rl+6Z/3zxwuzvnXWI62ivVrqsYNnh/6iPYijXfnW1rqLj24T
fDzMtTlbRS06vIQSjqD+Et4Vm3SjPmEMfaV0dG2IJZj541wnI6ZRSpjoL1zUgblBKmar7D7+infv
jz/vjvVsLWfpzzH0EL3cms+o3+r7er9D71j4/fMAp+BXovjJq3eINsqhq33rWvX2XaLzo7FXN2ae
IHPW4XH4kkb7xrxpcTHMH9GV8BvFOmo60rbWveVuI+OgGYqvWEiWqQdFPc3tjt+8Ga2ta3/JUr81
nf92g6xtlVSIBhiwsYdi50c+fmqLb31z5f7464HguaBWTvBLeed84vWYyC8pGSIU/pf8qH33vkeb
aFfefLzAf91DfwyzOg1IhCReLBim/EfclD+nV+Uw7f/bEKuTAKO7M3Jaqy/9Ntou23Ty/200/b5L
//iK1UnoDEXXZsTGX/pjdRsd9UN9uCaQd5Gfr8dYnYQmNiunMRlDeyg8f7gFPzbVfvOjavzeCMQv
9cd/m7bV7m8jT1W6nN1f/jOflK/GsdhfW/yVMQxmqMtL+Me8Lbvjj9Pt4HZRKSnfFH6vbvV9+d1+
HHm3j7gAdV/jZ3P2u9f430mbXIy5ehg7UcomThhzmgLlxUa7qgq8L/bzf5u91ctYVFFWexmzN27l
zf82nXH4eIi/Pr5U7omXKU9yTM8nz8TNBUCh0F+c5lgqT675ZI2zb4zf/tswq72tIi+TpTPDVPEW
g9oUqbcqSMwrh/Rie5PwQ40iLYRfSuVnjezrHDjyTabO37zWjQtfQwT+UwgUc4DSDol+h0m4iHeO
K5IbRbZZgYRe1P2TiMYk7ChG7+3ffTXgEXoFIEg0YDmIfq12/zTKxki7UPvmimz0hSqLh4YImXCt
xsbTmeWVSGqZxT/fmgWssjhoU3CmQYmt9/lizjN+5K7w4u+RlXumH6YJdrRO6FwLC9exJ9E/giLQ
XMH2votCnI/TyzCNUqw1vg0tJjxx4FZWqh4digChFtBYa69JNa93KQMC56WoTYF7MbxZHYQMaG0S
NVn13ahzC1dbvVADlMZLH++bzq/Srmq2Hy/d+kmhpsCTtVSyURLCAmO1YTuqWuDEjOSt1ZXkNMci
ebAVVEstb3YfcEUubzPIBf+ycPNeyEBSdyme4rCz7tnlRqZKZW6itxBZsm1N+r9HOE0PPv60i9XD
p2xBBQA6p2JHR+t89ZTKdcY414q3Rqm9CvPMoXzyGisy98Bh8t3Hg11sSQajBMsdvcAlLyRZ3Yrq
oZvr+VuFXf1t47n6p6K2rk3csv5nG5/JWiBvSBsicKiuSVAK+ifCxO7rOYnLYVcptnU3OIl2k0b5
V2qg9o0yp2blK4o2BHM/jFcy8YsK8LJYNMtgYVNXWDCT51NqqZmolThyn+uYZwFarnSbN0eqgNyL
Mu5tX3ObJAEXPsM4/tL0RaEvXt2RUH6LjL92ZdJXmxe8IfwF2gKLmDCqP+tLXZFe4dotKlR1yaUX
J2EaCAzydgolplNk5+YpLKxrLiarbfU+qAswgv2LnNJF9cfmPkscF/EdSYc46LMiO2K+k2D2h0/x
x5tqdR38b6gFdkiZZyExrQ6nG+aq15L4I4aXqhsowkqgOWm7Sao6uSWTvObr8bf5xLNoaedQ8ON1
OV9eI8RDF2CVtmt4KR/0rlxo51q4HQXUZiMspd/b4l82Kf/3kaT3dPTA4XIdnQ+a65Od1pOHlJhL
ebDuRENNCZS/ijX3lf3yl/lEgJUuEmo3lFPXtB7cGKU+NLG+szJlKn060BN+ebCPvuEjb24iy2mu
NNT/MqOMyHAa/9DvXcVPuZ3OYw1PczdGkdxETTrj26g7e9zRm1t9ir9PVIKuZAl/2aC0RQB/caXz
RK4bpDFEF7tnlZHeyqLAHsx0NzpUz+w0v0YGW37+H/fRsnZ8F+/+IgZBC2L1EFeqNHXhherOwKR+
J4yq3FBGKjdGlaHCWeXzrnXnahuG47UkYnXf/m9kOl5U5QGmXzCmUEyYiqTP1Z1WTe0mckAGRJ47
/z82DPHMIgq3sNfXHQavdzvbEFhQpVWET1Mt5yDth/xBj1uwlUp3TTL5b0sH43eJ8nkdYbmen4UF
GRj14IV20bJn7AnoYmiG+Q3OLb8+vlr+OhIMHhqr6AEgP3c+EpgSHSI+MNlKA97/Rv+ktz/Jdlqa
lsJQrqQRlwePKArS9ML7XAhgyzH5I3UBs6IbxGvmroJCtVNMTwAKTzCrnZLsqGZYHfzbr6NfwzVG
wZBrBQDE+XgdPiUzEBlz18eqdWNmOKfE+lx/t90w/vzxUJcnnL7awmyjzwqSbF2Lr/BpqOkMIucc
hSFVDZ4eEf2QNvnGxpqGKN+igo0FnDMkQjt8PPY6D+AUgEGCUkTwAc6JR+n8O9GniBQA0ia2fbBc
7iszjJuf9uhkWetHidPU+0G2abSzum4s7u0G1G0eyF7Phy+Vm9vyRh8d65r2818WG5VPUGDEzmCI
LoIEzak0IPLWLhI0xXhBXP1YxLq7m9qyDhykI68Eepe30PsFCz4bUNYSnJzPQpbMo6c5hbfryfB2
/TQkr6E7FAe0htRtWivtXW6EoQ9prrxyvV9+KjQOuCpo08DVJrs8Hxm5C274HoFtBUntp1rPhB6k
7iAqmB3DvK0z08v2V9Z8yVTP71wWG4YVAD8u3QvAW+xQoCl6iS1eXKkIOEVWFww1Xmop5X30eAx5
yovM8xOrsG9VKdVP9VCV+3KW4xfTqSV4x/lamfZv8wB4H+IlSQv9+VV2PcwxxGq7JBAzy/hk6W2/
FVNTnGLEEu4ry/308RxcXl4LqQ1NUHBUDlSJ1XAspktLMjJ2hoiL1iexn0s80+1yN6Bwcs3UZt1i
55SRay5oWOg0pJ1rjA0CRJCTIx7Utk2ajelW0rfbXv8su7lAC2DoNtaMrhPQwPwH7c1X2sNOkEv8
GayS1Objb798+JY2CLAeWESkHBeQQOFqsqehg3573u2zzptEgKd1/C+VCN4/moeBxJcJXmKS860N
aHMYshi93qSY4i85ImonO9PyE4xBxbcy90oB7S+fhebhuzALjCUGPB+uFXYRxSaOeUIyx7HiWvdu
XKpXivB/2Th8Dc/CIoIKG2t1Xiu3i6oZjeVdmaXml07GWe57YhxPfYHAhf/xSi0zdH5QgRfDlOVY
0ESkdXr+SVMtJvBDIYrHbRy/xYpnvYHhiOZDMvRKu62sTir7pDFFdeU+/MtXYpyxyFly/RIFro5H
pzkdCD19yYjm/mTFZoPkIGDDoJ0U9fnjj7w8+VxGCzeKLJ4zqa8iQFdD2RVuCy/QFOfHmL+8SY3K
9ImF423siPhK6eCv4xFHQ/AGgHXBkWpdW7o9YjA7W8DkzlI3Ozookh/cWpgbHU7i9v/xfSAgiAJ5
40l+zheRiLaxm24yd0ae2ltPxxmwFKET0JdsN1Nod1delMvLhiiCw03wApQK0shqixpiigFXuWgC
N8AZdlXROU9KItHqQpuo3apu6wDmo7gNCqtCSWjjZC0yDBPWEmqh4QhXXb1yLvYTPwncFxcuuwq9
11WsOONu11i4SO4Ksj98OfRpW0hMXzJnugazulhehlq+GpEojugFpzZOG+D+gL92ODlU91HVy308
y3jbpfiyDiAyrmyni2uH8QC6LArT8N+grZwvr5WEoVLi8LLr9Abv9DbHN8OfJ627xku+GAgC0AI1
XjgcxMFrXrJ0ldaOkFrdGzjoPrGU1hE/1PiKNt/lKMQDICWWYw+8eB1nJ7OjYyPZWnsNhcN8C7Nd
B6USyky27pXb7WJTUBClfrccCuCZvPnnMzcbmdnJsnMX9TPxEx17+yYspmqjCXW8Jt11sSsWXiSX
C68dWZG37uBlDsiL0qjdfSJMZOohuSFFpBi3odGdMlUJr5S5LmdxIXVzfZKFYdKzLi8Pooec1lTu
3rQnuTWMeT6FtXlNXOm9Kv7n+7BIBoLvgKdGjk/hfPXCDraDASCiw5sRGTIbRECTFc2hHRGq2Xhp
pUcD+kaWM95xWphSHQvZcI87QmwcsUG1M78DFeNxs7dO5o8Ngm5BJtBt8CPyuGanYfr5ve4tWC5V
1DwB5nIfIDYYj1YozIyQMZueMc7rT6Gw9adRooPrR33haoHNRk78MY2sn2jCVn1AxVG9k64q3+JR
d/NNjcz2qUOiwdw4+iQAZDS6Nx8pLHErCbPqQOQ6U2j4ttOon6JRxyDW0zGLv1fLoRtuESYw5BY2
g/3LA8GTB3psxl/CJhvfcn2OMURxqFjcRq0Z1j5XAjD50Oqi+7IFbrrrc0cZdrZVJ/OGamle7hwz
AlgdCTV1tvaoR9qjC9ft19iXebHvKcyACQs1zR8sOY+/jAjv9k0kOY3b0TSSsQclZiHNGjQZ+JdN
ZqYyr4494EhCKxvamrjRAKYZBnCrqAkLVB5Fnz8ULfX6bdREVvjbMBH22xIINGaQqImRH7pKzm7g
xnmttXSAlKZm8syejJ7wMKl3uTF6ueeDUI9DZYdsZCoPZdFJ+TuvaqumGmZ4w1Zr+ml6GUIHXRMf
wnzj7VtlwJ7641duVVfmdyGVALIKJCVIR3Bt54cZdfhZQ6Al2iZRWqJpbXabHG+YzEc2ed71pL1+
VKLYWygFSD240FfGXx9wAmwCMg4Elwm/ZZ1ED3NbTlAI0m1oy/LYOe1bOPTFznaVeufo5TVx2Iuj
h3MadxaPDNQP8rZ1cIvobZzNsZMeI7Rxw93o6UgSzrLRrW1ZWIa5meM8GQ+mXunWwWlrt9u2MCpP
SNb0HmJc4KP3jpkm824IazXc1nWjun5em9PkR23iIsbbxk7sAyaV6l3ZqyJ8ooGGQ7NREGreTzJS
j2COjNrPIY3VHGIz/5RDCh9eusjRyq1ej3q3sR1BJm8ZAthug6apioX0qIUP+VCW7WaIINb7oxMR
mSAEXzTfWvyGnF0ilBjXB/y+v1T62IkHgX3lraZUNbgjLpMf6pAM5rap07S495pYM/Zjp8bajZ7q
4h/NTIVV+GpNyuNzX6Te4+joFTrdQ/SNlcrtACkGkPZamwx3aK7O23FE8OIJNqRQT/xWmfwQFgr4
X6NUiebbbp5aYx8atUObZ8wdPNUKoenixhaQNUAVtuNjIovC3U+KV2aBB0Xuziu1KfllzOh0kWOH
/UYgZOCZWwtfAcVPewwv4sC28Gv3bS1toBULWOv6aw08UFY3YwI89satsznZA+6JNPyYIs/p/GS0
Z+uokysq8J+9Ono0plSVTzb4r18dYZZ2IufWon0lKw+8r6tnOZIQNfwus7Hd4fXjg0cqxdH68xV4
145FhYk+I1kmx+D86LVxMlKEccsjcFENnHbN6XB2Zbcc+Fgp6dv6SKp4zc51cgAyMpT/eBHXwmNV
IN/tixIvQL9F56z0O8ot/c3sFMkP1S3i+6jkCd/mcNWHgP5fZW4TDkRk+Gifh0rQpXLS/XzpMj6w
x8c0KHJVb/xqQvid9UJl5HFQorH6hJOiku/ob4XlVlVHKwmKujAa0L+jqia3Q+Nowu8mdS77QEVI
U+5KjOzFnZKnSbIt6twdEoTky9h9MafWnL/Zyuxar3qTlT/cNjacoDe1vj24SQSOvU9VY3ID7gM9
u/emcHB/J+geVFxEdptO952dldpx6kW/zWGNpTsPzWpE6mlyGkng4PzVfscdwQmmrApzf4iRez2m
c2xVOfeZNYFpCes62STzUM6+FoNy3KWUxu5NvfTae7gmRfjNtvPB9gtTRS0z6Z1y2qURp/suzBDx
2C6qGl0A2io9hm2j9LycORIFn0bKU72vo1To7Cww/4DgqQ59asaxuMERUooAbcNePUyF4oYnhZD7
k2LlsSt8t5EjDGJdbyYliBunS5+F7uivsP3CfgrGhtNXBtC442aTZ12ublTYuNMmzCphbZzStZSA
RkNc2kGr88r5BbLQLvZXaCfNCLzDrB199E4S9UEt4tD56cyGAj5/Msp82yGwPKo+PjNp9omQxfoq
66IVX2Ig1Bul0FIXMLYb/WyyTPtc9dGgHZh+ddrUjkxfO85PdGNAeV5Q/o5TK5vQmvW9oaYpggN2
iXpLJSPjNWyNxPLjsE82PJ1GvU/aYp7eCphv2kOLWPn0VnmtwTJpuszupYizxMeeVn6JeqC4ga52
4wbDQKwtuiErbqJSL+PNNFYR+zhMYktwXsNU97PRKrLnQpnC76YCoOkh6TTIKUk6qvHObqv8xhqV
Sf8C529KbtvR9ajjVEOZfAmNNk/1/ZjhsX3wGnZ/7zcJUlf1hnqMyLezORbTl1mT1m+TP1Qy35yR
/PWNROPU+16KcjpMMJ65m6jW4tDeTmbTmkGaolX65sy0U17GMDQVwnIkruQpRjDQPMZz7Dq7QhPG
baM4LZY6FXiLu9irHeM0h0quQTdIqwFjj1iAO59d6W31stezX/SzBu/E/8siTIVgWG1Vp3b2vT1F
WQXvKJbGdoiUZA7KBXLsG6Jtq++DBq1g27ZIm6gh1fmfQ1Ul7SbO5y76pPRG89XUajwvClhe034a
dbMMvCpOTj2s+umugQWIFnPG67LNOk05UGNQCPuGgejZ72vP61N/Uot+py5GpTKwxzx+BfmclXfp
mPfPdeHpyj9EX0bhG3iNV0dEm0bNl6mq/YrUOFWuFEXeqZxnFy1toqWXSjWPnI9u8flFa5JFCEmn
9uhqbYTTuFH22UHvNa/ZFE0rCPXKNnnLitJ9NgurBrmfO5Xz6JqTQfSKwGl4qxRRoi7huGbWfmkD
vf5MYpDiPRxFuuETbebGVsHaWHtpRZcezbLSrKfCRC/atTpwslriZf3Brvr8mgfVGvsJ6ACu31J+
hSAFMMhaFdC8DsJCGBnDcfQmWe2yQlXvepvsr+qa4iGdVOFtO1Dtie9FMkRoW22/NVNRGpupiLuj
4k7fTHoXv/GKQjcEwbXh2eyHXy6EzmuG6BdPHj9Vo2ZOw5D3hhLZaiVo3TVOO41HZASmClWdqk1L
P0orupq+FEnaBsgeqveOOspyBwfCyq40TtbxJpPlwRwlS6apRxa7/Pkf/Sizj+mqhbZ67OhbPdOk
6bY1DomAlVIuSxnlRF0fP/SXIy4KYeB6aCUukmyrYmBqQsZV6lY9InCeZXttDhEaEA6dWumnCGNo
Qdc3ivL08ahrVC67wli0ECkjGZSTaBWdf2g04RIUy8o6CrKV4pPbzI03BdTJmp+GHsf2vdUMKBAw
57GyVVDolniQ5DymplSs+dGTHTe2iyb6P9Y0zahwlcXQ9X5oLcrvMxS/HyP8bDH63Tiqjp8UmnsL
f6rWIQH2/SCuFP7ff++fh/hdWprC0JKqoA524Qyciqgejao7FUSbxl0UtiH0lyGl+0zcnoSPlTAV
RA8sJ8+DEJeZn9U49uMtBfL43lNmYko0guqvhcc96nv9EO96fELUoyq9TNnDr2xLv4wRNzohpT98
T/UmzbYJytm7EAG74kql4V0t9c/voYCJVylNJDB8UHrWJiUcgK5ylcI+giNJVdAdVQlzaSBZOjmV
kbr3OErmagCV2j0qOkWdyW8m3ZkDrXdEqPuIqnvOJzG0c+6jtZANSL7aboq/n4U8shz7RA+IyLN7
m/+q7puMHtiVnb0uc+NEjTYcFYz3kjr1jPMthtq3I5A8cY9R646HigDvgTq/d9vUKPH0zaggwSOK
ayWhy1Ep8lJzNnTaTgAPVre5Z/QojvWUlyvY4Na+SRtvvClHZ3Afo2zK4i/CMzr31tUSfb4Wsy9f
dLZolLuQHAMps1BCkdk5/2KkHxSqXFV+aoXq3bqjC9G1w045+pTQDH5U6nqs/LQ2EKzV2srSH2JR
t9bOjKaw8NGYU4cbFi+5n9J0aAqAyY2V7WWuZ68y0rGtNVJwvgH5WvFPyzcau0qElXdFs2Od8lNK
g8tKXxQS87sx5flHRG0LaF0tlKNj97vJg7k6Wt30m8vJeuRtj7aTFvdoJlnW78mawyuFyneJlfM5
REUD0I+DkQW3k70qH+pDUhWznMVpmI1a28ReNN5mXW1TdyKUyjcyEbBkJDJC9ZNDObYmkrHaR32Y
LRmElcjxqkBaKNrqDgF7GAxzHuY/XKjid5MTuuVOzKTQQYnWXiv9GLsy9Gt4uZvJN3tX7x5HL7Zu
J9hd0pemGSr471YgTf0irsxfpqWYZNZysuUu6jS72ya1EUcnOmKefoL2O7r+1IpKQW6I1D89mMZo
uwHFNw/hKQuhsApr37BV9x/f52sA3lJqBaMJHY4Akl7K+uksxhl0hqWmp9GOJPhlZJeOWjuP91To
yz11jfTk0Xv3VS36VUlXO2KD3L19/CPWO2cB2lGUQAEBpUbQUasD75VVEoV2P5yKhk7TIQt53HzO
uJYe6RlSpTWM1FY3ptaMxk6xSjU5mUmpZrt//TNof6OZDGbMdAFfnG9gOc+j5mZxdxIOJE8kiaA7
95WqycDSgX36sZt0Wwvo4d0g88zHhKC8sonfy0R/bmJmAuVIlTISrSjMaVYz0XgxxcUkrk9jOEfu
Pu68bvbbwW3cw9z1EOWgtg71LSlj88Os4Wpuc9ss70Un+wYV8qF2jnUWRWNQDZ3S7vomGZpNgyqK
6GD/6RMkv0Ht0106ZO1tOauFfAtZY+84jKV7KswwlL7iZNWx9aJmJNmDHGvvEKpX9qGCg8b24xlf
l/z5XFjmy4cSctEHWpUqRjqNc4TqxUlx7Z9SdZVhk8biJa67yrwSrV+0wZaxqIeAJmB9AdCtxkrT
zs0S8lUEBpSfEqtsYN5ZnlhbPKqSfdVT5fWTxnDKXVN0+fMYomc3J3n/jQrjACP3+tlbR3CLuhhc
aLY+qBYC19WLM1GgHZspbU4KEr9J0HXwzotC1F2gWpRkA71NZu/K27pmg6IysejYEquyv7k81vEb
14mtyrrrT8kCTTjZVlYZN0iDt8PNKDp98M2yzofk1KpKpDxN2JxXD7WpzhsxZV32irT3mL96FG4e
kthTom2BVMCJTFV3KPU2Wv/LLPRR7hx7zsJ9Sh+i82c7cpJNIURqfxuwNeLNMopktO6h4YnxExoJ
PLrk6d2rAqVfSXd1nutlMAxc1RSiTOneA1yuoyub76JQxlQA5gLdA/HaJLda7YhqDBWziIbyBCe7
u59iS40AmbRVdqPRAXX9LhRatGmsFo2Fou+qn3ONjfpOSxEHCNyWTXoEl65uErgVSVCldvwVMns5
3chZU9JNNenGYbDC/prb4QVIix+OQCrJJyL2js2VeX5RdQUAg3gsm5PjsIMf2pKX/S6JqXZr2lRm
p1po1r06N1a4V3TMPh7Q7hBt0Bu2kDtZiMR5+fgc/+VwIdBA9Ru9LEJoCuDnv0hv1MkVoC24Oo3q
JO0BiGYvjUdNKx/62o0fR8j4j2R++qGxrDr11Uoa1YKUlS9RAybzyjb/y9GCgIB+LHDVBSG4WloZ
5yFRemacWgrj1K9me/QdrZj3Zg2eYFZpc18Z8eIhJZFYYLk2qL0F7HxBYe2HTAsVtTsZ6BQ1wVg5
hQwMKFzqhsXMq8JvzFFvP2vQjzsU6ykbbxRqYGB6RGZYV1bkcgL4fH4E8g6QMC5+zeiYYaRWdnOy
WsdGPmCmnbdRI3OwfyDIlVQbJGZM5XBlGyw31vnzRQpM5I4lI3OBqtL5NhBpVs46qvXcsZlov3Re
rT2kmV23vkwSN/VFmM4J6iHm8NAUbV98MrpRX0SL9TT+SuxVXHlPLwILgmmuOexkeUoR8F9i/j+z
8kjx4rqU4laQ4jWC13MWc6AKrTXohHSkUH4VOeVXPbGLcTNOHCQ/VebcuILBeI+iziYG3XCqRFQI
loYUUJXzH9JajTdLy05v09CUdR8gNNKOr6WFw2KAsKugeTk5TWfeJC05N2pE9HI3c6F1t5MZ9d1p
dJvOijfgpWKIQmDiXBUHpN7TGi0oDbxxfptJJKnUR2F561TYdVADiMoisMNhan5dWeZ1usKdsxgh
0uADXI9O82pahTXWqlFmxq1SOkr5WbT9+KAaoRefvLwyXMwiQ0e797BkR8K2T1yFavyc54c2s6Sx
//jHvCvInU0tP2axDdbApaNVay+99z/WWB08esw9AjQ0qUyJ28Qk3ZCmQUJQSYMzH/MvaYU4rbZJ
aR5YvtGKbEiCLBybtvVroXcyULU0BKXR2dErwRLPQDtEroXRX5wam8HqxCnvVel+1unoBWre2Yrq
j1qWK6cuLOpvutuXn2FrknaI3OuaW2jZalaiKjLloW82wniSSYe+FIqCsg40rzAeOukC1sr6dIpu
qU42RzemKbSlVRx1gTFohtg6DvvyNW/7qdjlmSvvaHsX5b4TAyaEoAcr+axThv3aDTTcNx2NvZ+K
M6vObdmasRak2Nf9dJOcWkCeN8OvPJy4ckFvY3DusFXzfek5ptzbjlKdEJSlm9/lurlvBTHIDd0W
XIqdMC1yOi3pkLi3le20hAQtaSC6etbknZSoVOr9WDvaQVRemfCB5jBdeaff/S5WK8xljqks8uOo
+q2lQ3MEuUC6KPGt3lRdesDAtsCDUNVAUvleW6UHFEPC5NiTKqeKT3If65XfNI7cjWBbCWUGEd4C
Aer0bel2ZYrri1mEv4dZtMMdREdnelaVzG1+kBzidzFbY1gdQCiIJzEnWrFnnVWiGMtGbnkjW4GW
g1RSmpCBloR67MetmVl+iDmQ2/kAKFLQEx9v8nV90wFUhGLPOy+Ckvq6SNXjNFlHneednDEff0ND
s/b2nNDL0czwUVUAnPgDqm1wd+PCu3KHrnV7kOgChU6hmzudcjpWHecHzHOmaAZo5J7GPESBy+/S
0WqDFmeXH06MLtMzCU3mUGL3tLfI6azkuSWOtH9YGA4DGjbdaQhsGNpv5P9d1/iF5kwPxhg5g3bE
yXZKn0kM3FpF/ycbehSmrEr5ys6aKeFaYR7dhzUKPxs6q247buZmwOLQrIX3NdJi78ENkRQKupqT
2fh2SIFLoXtR3oOiKBFclE39Q2qypIv18ZK8z/n5riRhgRSweAkRi62nZbZSSBeVap1kX+Ul8S2t
Pu9es+p+K/O5RoTAqYe9laeF2Md4Z76akO3olwOWqDH8lqJNvd91E9vJUY3jBIfOTkmVb15T0/VI
84RD7xAy6xutqlWZYsuGqchn2bg1crklHXUe0kI3c8i6ecabYbmpWe/NxovyTThKz/5u5UWiPWm1
dMs7iLtRu3HatGUFLXei+yzTxDw0hlLUTyAVC+NRgGEabjvECAbfiuVcBbhWTtYWjEmJSUNe6dpG
79252DcIuIxPdIGZVtMZnE9NTvJw7zki/VwUTh32vlwEfYmSqzp8KZFpirhlpxr/HHqTZvpqhwbZ
TsvJUZ67/6PsvHbjRrYo+kUFMIdXsrNaoWXJtvxC2B6bORRjkV9/F31fRi1DwgwGAwMegN3NCufs
s4O0lhuzr1QGP0nG/iGyBj7sXBEcxl0omvZ3muYek7omFfHn99/j26sZpRhluoUeB8DxzWVWlTgT
29QfZ1mn1vCPP07GtzL3vHFf+OQroP9b9IQFFlWGG/i0MiFINpwOStjMJh7UqZgPJvD+lmBiI8an
PE/1eb/Eta02VoYqhvGcn36eRTOldzZuc+5hkFZrfrRP397KDKHw0oPEDscaJeHrfZoWGvzfYdBv
iqZLy9DJW+872HVM5GpnVMVP3csq/J30aNnC15rT7YyEYtqOLjt5M7h6ErdBG82dcYs1Wa7ft66m
JZes7c3nGNbqCtKXDBS+1ak9up/iJOeis7VJmtypS0KmODaayU+ZjO22WnsPf+vLzvJDv8+4e714
UZ98WeopkH9W7pqEUvAD0s9fjkk+E+ocB2dkIknXovhfpQCMI6/wSn++cUTkdSeM94cHU1jmcMvh
YWg3VjtCdfHHIe1usx6V8kfyyrXwuToTUM9TbUL1Y7NcWwnixqiwwR71m8HRuvg277X4trWGfgz1
ItKS7bwaeN3Adlra3fvL+O2TKX9WLIViiIHkdcNjTjiItl2bnfuyhN1VtG3Y5vP8nHVGZ4SF76qN
YEbz8P5T38wI/0DmLo0WJC8Wnnd1N/S21pr9EHk3elyOpBZEHu6zh6jIoSpxI1X110HCHw7J7W3y
EGxU2BztqIl3pdYbXrcpsDmfbuScqT0ZtZ4VaEucjZeqqQoDA0hjKgt4OBWBsu9/8r/8Xmic4ICu
hHr6o3Up/WupaHruZUk6iptCpZ6+Z3RLyKS7oGF6JLq+5Xqzx8/6sIoe33/wugZfLxEIoKvxnk+P
uLrhvX5wOa1Y7LAkZwalhKijRRwOlpZYzh4Vw3Loc6V/ef+Ja9N19UQX/3GNhQGOhILo9RPRLtRK
9FlKIFQ2qKfFhEDyrA0xxL2A4tcezf9crcDJANXjSNXouvSrgyhW4yDxy2ctZn5t7fh2k7UZqZ2j
B8poL733tEhvgq7vkh8Dcqfu8v4X/stPvI4CiAhckTWM9V9/YZotN4Nj6d/IocpOKlocDm431y4D
fuO3RhEt4wff+NpJhRoJ69bVhHmdHQOpX31ly/OLptRil8ZXJ8w6VVkxXtKxbLsbodWt/FrEfdqF
uWpTKEPMd/rQruzEe5iaxo13lO1zm9MJQrf7VI4zvA9Dm0vnI/TvL5edDbUSGjcoIFqOa5sPTUxu
4zttfJZ+RMEdzGLMl59wYIc7MQMlBG2ZLtDoKhNXzyJp7tf42pWchRfH/ZqEXsU72DyiPzs90FTg
GGUi7sjydtKwnWuvwx3EtNewStGmm4GXUO3IyxjjD8acb7cvfoVQ31Fec+K9SSOqBtksnciTc610
/YSnRgvFV0sTcUiTQu87/GQpLbbERVTNR+NJa90wrzcU82L8QqgbiChCDfp6feFVmeW5ytybqZia
BxTu41fbqzoqMemQk4dB/hRzai09kbVW10eRwzafCCRns9TZxnbppcZsruZPM5S3ljJoqMrvi4UH
7XMG4WT5DMd6mLcEK/n1i5SzebCdfIwjZuLJ2tr3MUD11veYH4dqKat8U0OS6rbd5At1lno5VD9b
KZq0vSeKpevabSJGQrCCuclr4YfT6FTuGbPlxn7CAb0/MndprF1XMosKjMLkOyyo7boA5kf1nb06
UNvg3+FgzqnEt8nUYlXsrKZYodz39+5fXixOuMiH0VShcbomneRwwNY2PD57nFXlRvgdvY2XLJrO
NNqa9kvneJscDPGjbNe/PHiVbIB5r6g4r/X1S2XYSzMVw0JHmTTkNCEwqtsxqfkIoqWrLMvszOjx
o87uL90VqaB0V0jCoSu/cd50k5I6fIyWGw9JjuuG0PKcdjcztl89f73xl6Ya4jNHuJz+CfPt5bbt
q6rfRt1kicAZLHhOGJN7N1k2e9uR8s5dsTU92i2E8qXhovklTDxSrRq8xHKg7K4r5+6W0lv3DhEI
wHyT+HPm3IyzPfbfixkm8J1wQW8fF2nl30clASqEnGIntCNIbsTQe3BMnU1n5VE1bsBWP+Lz/Lki
Xm+xlXJEJcsNwozUuLqee6MUrllp/o3NjtGPJpSAdmP2eTU/YgFbfWarUBKUWew/0dnUL/APR09t
JFZJnQt9w05I48XD+x/VFFBx3l+jf/l07H1cMlGLgTmBLb5eK92IA10SecVZFcMS1ZiFN1NytPSU
Lslfcs/dx3rd3U74l0TPRkM8cRvA4U8lBAp9SJ78EjB5A0SbWt/HuWlT6z/vIkBYShsNDxNu4evq
pneBWJVZNufRnrKT5mWR3LQtrU58tHoWyh4rE6wbrGnIqvaDPuTt7bs2xCg6ELwQBWteYcDT3C/5
CLUUenjn/UYYMkEox2YV99AB+oLTpNbug/fxBnZGKw+uSuXtrVzm65kWZosNqZBGebaVk1F8FwTG
Hfxo8vZtWl30elh+56D/AfyX+clpiSoK5OTXF43ZV/MBBv4Gcub2Z6oHWIPsgGrrauW6mdt0RioB
bp1Fm8LcM9AWtYYov8QxvJwQT12mQ5hMFPF8Smu3+p7VuiWGDz7GGx7Q+uZB8ajNfaIN3iDOeaw8
HDW7/pwto5jT0BgbbdxQmnoKMp6tdOvBZkBwP8AyESEMVru4DIsc0duk5SwWAW2CqCNI3VqXep9k
PY2WEyyE1onnrhBWdOEwFMmxW4qlOawcu+RhwUvZ+ahSd94sKO4C4uph5DAsXcvY17utgOZcmjLt
znHl5dm3zDST6tFJRg8WauYbJ9K/UoLAZo5tyAnM+3DsLtLpMxlzBMQ4AkI/V5cu81AAj1dQokDR
Qo529yXS3bL6pBVT9ailM/dNUSzRtygf3TiQNRfcpm5K7zl1hxojGX3m1slMK3L3elUUxNHU2OZY
BWMcy5pOdp2nZiiSSJlmqGWeLvpNjyisPERDVHq7ZTLs+JuD0mrcWCLX7G1e6+RAM2mmtV6MDiWP
bVdDeRfbhelv+prE9Ggi6+fUK8PpHkWhnLU2c3DATtraC6FjGOmht9u0RcgGU/A4sD0wtZ6sHnMv
LU79rb4wYjk6UANIFFgds5FaG5R2MARcM0XxtSzfnRz25x9jkCbGC7ttDScsnNwr8wAqc4FNH7Q9
CJ6J2cI6en/zvrl31zAo3iqlM3k7sC9ev901Rt5GaRKfhVPpw4/EHr1QIxkRSdo0iI0/JFQdBPqa
Hx3ib8ACHswNw8iARCqahKsHEy7GbMRz4vO8JJMb1kQlHjpnMuRvWNppd0ql3riHFpZbHc6caD/s
qXJelkLmbR9oKvfnl9imjfIBeUbm2AF+ndUAbgzX+RRbOiYSAZGcxY+Em+wj0fLbgSve/GREr0oj
4y9JvIbKF7M0quxM/u6S7PVsdjfmbFt3rtlGZ4Y3EF/x44jAAoup2JcAOEloZbpJIlVOrEcBV/UD
9OXtWJrPtEppNaaOkGCvTdhimru+LcryzJrvZ9Qg5DqGjV637rmL41SEqDYoF1AWmDuCC9oflRv5
L/D+0cwLs56Gz+8vrTdHsbvap3GkrZQ6Ps7VTQSk7HR9HxlnDc4Quzoptgtm8EMgFrf7ChOhPbYd
M3y8EQ5Z2keP7z/+D3vlVRHD82mGYKRhZkjPv36+f2EMCt4IhYHwz8YIFZhMHqZiFxblJHdMyap6
g7ivWXlfeYLDSoDQNi7McK7gnbZhZU+1LqH0+7WZgcuZqfFMnpnwjwnmGHkfNoaT6nn4/md+e9aS
JgsCjQ89DjT/1xb96yPXppuYfcYLQ+4jnlEn2Sfui4l6uHX6PX70/Qc+Pm92IVJpn9koaaiM6rk1
X/9GsAaMRgyTfXaVVZ2GvHY/kTw5t4Hh1MMnfDhUHpSDEFjDJ+4HU9m3jRyDQ0LUVqYAFCRuyquH
o25CxuGbZxatR6Ks6PSG5B3CJtxw8mL0E71rJjYzxWZOS2Nrp11mR3h5t2ht3EwfvQCeiD0EFBya
FiSIFH4kvTfXt00x5e3F0rJu3tfGXOgBM8rKCFs4TpdJjop5AQRAEwdI4Q8EQOhdns6fNE1Y3s9c
b4nJy6sUCZqRjjlBROachAa04qe0mV0VzHNqu1sceoZsgwaq928qDf8ldIdj5y9dYMVMOsPaMqSd
bTjlhL6ZNa2KX4yhbs9Tlsh4CgqkmeYQxrD5L8RBFB9l4l2f7EBO/LO2NVSB+ItebT/HVrlXuWV7
iuzcPghfT/6pGQAcUmMW28bQakSHyZf31+9fnglzzwZcw9ffpKd6/UZBBOop6sR0KuSoHVLVjGGk
GVWIP+Z0IEMZQrnpjh+so/WL/Hufs8X/kIZ1yi2A52t3jCZrIMR6cjhUTLmfbGxD8yBhoNIHncaU
4z9u0T9P40hZ9yc8oOsL0+19wVRTGw4NImxwrSrVkMd0brOZdZXw1v3R/IhO8+Zn5RuugAfUBfKt
scp4/bPGxjhJCVH/MGA4/8Wv+3bZNF6cV3eWynoEbqItnsqe4umDRoYRzPWPy7FA9aczeVytia6B
7aFCMeW01XJqJz+7cxTS9o2YKsMJSj/xjCDtK/Nksx+IZZdNoR7QZsa/u8GEblJleeU+t3RKT5Uh
u19O7U/PpkITeBCZ4eDU53RVevbdMklf6nIq1C5iih2dSzMGfhlJQDqbbVLGnxNpJb9Uukpe3MqZ
PpuQ9UYI/EZ7mBfXGwJehvidNJHSb2VnRskcID9r5D2Fx3CuPNEuVdAtKBk3XTcM3dOcIv7aoQ5t
bAQ1xaIZe5phSw9Qetnl97KWOtJlht7f5CLn7g6iCHYrbT+PRkjFZD4Mqhrr57pfExnFrA8IkEqz
s7WDZVb1rwTD4ns9WYZvldLX3BRe4TOUAcLDxJKq3/2kN+KxJOYYq2zHlMbWb+oR8p/FvFzIyLa2
Q+FOuzqyY3e3eHqyM8zEi04+ukigI6hOiPRHfyyeauYR2X2r99p0MAe7vZvASuutdIfEPky4zCZ7
FOkqCrNWuWKbtjIvb0kcjY6WPWIAScCUHC6zI5Ue6rVfJ0lQkJW3i5euizfoARvyvmMIxJtUK6fn
qY/K6t5KCUEO62qJgTawKb2ZLVtGoT0M9tH2Ic3DR+hqQnFrNd70FB8k8s6L962iSXDhY0mCXDPd
r4dNTBX1QjltaWT+9N0c2G6ifgyCcoScNWv65U26Zt+NuQkK1BeG8egPcxvfVZzq823TYoMW1Lhl
YeCyKK0lSaI3bzBGXICtNA9/lRRW+TcHif5lShZouJzaM0oXzNSScKjxXoDHQ0qwiw+CtdcjiyUy
FQxPD8rr8h0JeKMVxKw0A5sKrtGdNFFwHqZypamoYhqIaQKe/WecY/lT0/AT3iKx1YsHy4XUfqZh
s/S9GG2p3/qRNGUoB8f7vAz20hxJVkrP0C+nAZ1BYernHPebn65KkJ8u6GATGJxEerDWgK4+QVVr
xl+DVHFz00BM1hAYmeW3dFFe/LtyoiS/2IixFa2Yk+cQQ32X5K6FMvtgxrKhuRny6ouEyBntJ3AT
/PxRAj4MJsPurWVCcDjOqOLKbRYvDqko7IFmk1uy6zbQkms0ybU3WkfIY8g1Y33Q9Ec2rjA/4UYy
u9jhMUQPC2gQPxMnn4pNPK5cFIZHlhEsQ9H3zyqrjC+YQFXqoZsyFPg1wd5PpJsNcRjpnnA2M/lz
ztdsjqZOD6BeOSTRxIv1D8U468ErLa0N3XwpL8uSOs8ldg35ZnUEfNamXuXPxlhoyEQtV3VBEcNK
OtZxas471JJFK0LPqiddZwWM2bhBAuVX35nodt/93lm+IYrV/tHSErh9TAZffuu7vK0Dre28vb8K
WjckL8IoiPQpwl/CpGrYKHhleeAsI/+j5fdxC3U/JhorKjvtscgVpjO96u3zpJU6NbcabOI30f9W
N7JV5hJaMBU33tKRHZK5mEyEnMTDvepktdxLrV3KF9G1QuHAobHRMnuEm8x+aAlkRDc+bDXprnHB
ynGORLImyYkIO2cITFVO30FqGvjMwqddhYvh3+iDpdrtgqTG3kVVY4Ob6fjAwmVYoq9dynQylAa+
DYHe+/XX0ZobGZLF1H6d/YZNG2Ge+8VMY/8lG0bLunUNWi8GZ/ZwEm0U7Rk1iVXX1A3lQdcs/LiC
AoDs1CxGmu9xN8oyKAyiMfC1Q0YSjnrfZI96Us3WqeYOT44GrgBHadMjXJpU6xsjADKDN+bGXnrr
W/kwn1CVGyex5Ey0K3w7nC2WeONnvyiaZDN0JcV81OkTaRRzbb6gGZDI/v2sK/dMqzJ34812ooWJ
guWHpKkTEZB8qxcawrGxwku65Hr7YqWFUT00Q+d2p9Zr9TkE3mrKe8m5Iw413iu/os4mmz3k3MZ1
oS91S23MqWcCAFMKGwJoVNL76seG/0WKVafLLKl0aezpkjYzqw2gI0bdcsSWwJsYmVim2qx4RY1H
y4Bn0/1M31TfdZlD6hSEJHTtYbm6rGVBnVZd/4LsuUmPuFx058LDQvrM9FedSi0ptMfRVxazd6vS
g1QaYtjMTg9fa9FGeTR1RoMbiYdZeWzGsc/CqTInf2Oj//ik4tZ/tpiQWoe2nt3kS1Rr2fQQd632
wgFS/yADXNwuaWoWpwQtf/sVkNaftjhvcBiJP5pmrwGzfnLMSJck+UXJXjJQTrcabEj9OzJ3ASBi
yBosKSIsZCj1EfG7Q/gUtntYczACxvIIop5LEtseZs/SsJOVlfdEkM6xe7f01dT+GpzEJeq5ruud
pxqrP2hL3/8zd3GRgwk1TMXY5JlYQxvFWG96a+HPuHtAC6HrbH8MfYp/reMV1i8f1muENYFKdBzB
YDlulBPb+s8mcfTq7C++jKZAR2tSfIkk6/RoLYae/AZSMqwgV1H1RRV25R3iFPvz0CvK8aDzDr0j
6mf7cwHnOcPVYNb0+abSu+TGtWdlb9uqFeZhFq60wgn+enEDCDN9x1cU78HMFpq4SaRTxDfW4GL5
68ep5Z5pJLR9isiiIA4AXvOzpjQfiw26tKDA+bXcUTzW1Y+YcyKG4iotRuou4qlQVb3p7JFfWBjR
8jqdUHVwYhgB92JfW8p2gwoRZXnHCRUzJ4vjepuQVTUeSzEvmF/WSdc7m0YXWrOPLa/8LMysjv6h
dbSiXVmZXPgS8H+nx3ABN0ZaGcmelIA521EjQkaP0etnwajHzXxbzXXqh2KK22GrYw8xbJy+t78o
f5rjEOTQqQNIoG62nWq/+CHxeNZ3hT/2xr5PC3fnWclIGePVERWaL/29MoUPEXN2ux9uhn4BS4ZY
G367tZvox7rPRH9gNBn3pxG+TQYfZNGNPiBiPbvNq6awj/AG000RrVoUsSizBQypnBkUz+1sWs/G
xC/backj1AkNg+Q3CDf9RvNWUOsmk7rP4U52oY1SZ9iklTd6d9AwuuQeY5Rs+DSPosId2l8o6dBC
+HvRd25VbTACmXMIsPgp2ypofJyr+2CMdfch6tu8IYuscqfHIuuzz00O6eug/BZDJyoMg3AdsyEr
ph5Bu4PGKUojHBk3NwfRaYTGtmlhiy0jFBnW8O2bzVjZaqSlhlWGj1/VQ4YvZCKmn5iM0Iky7DKt
LYu7cPeeUc7HZTAqAiZNs3S+rf707TaS2ZRzUjE03CjD7ZyDhLN9E6NyikM5md1tajqdc+c2Qxph
gqSk3dzUNIDW1hG1jwMGdRnNrsj0ZbcUlrkE2oRLw21jt007hmMkJEnNFMflGfI8qc2qKoRzdAd7
WCvuWVQXmbA8KR4tKdyN9FLJycwcZcYdv+2eVFvZ+UavvQrTIxcYemuqarh3lkzMP6dF1IyEy2w6
Si1vTTh76INRG0PM70KTm8B4aPypuyxaPORngZEMdPWu84FGgxStm3ZeSj355jB4ao/R4M+cW1FV
G4+w7fF1gUBO7elzdMFdhhmVjEEMcAvvoZaGcyxwPjd33KhDufEyvyg3PeLteEPAcHFwIoi3t4k2
2j8Mho14sPS+m5D7UYyH1PQVytM2z7FjAUfVztMyCTOEwYipJoiKXu7KlHotJMQ4euLRmPn0kqht
8NPWmfYsImnvkiZTWhh1vpnfz0WHmgyBeom8rUkkkwk1+neQsiiXrCSp9M/lUmisEGwE8lMStXPy
TP5ux3xbs5uDExeptsV5gQZPx8zQCuscp/yNXdfalAS1a8C+DmwJ15KTTPpVOGIEUlKK9Pn0wxMU
JEHRe7baxr5fIM7QY5sYsDLp5iP1iNEfFk/qD4uEJxE4jnCjwCCLE7dfOnqfpdCRc4rflh3aOSyi
28rH0WrLr1x4x0RDcBf0zeI8lY5B9UkGmIwRoZQdbmK9Y5/1oVdmgK+rSjmsUJtOhbckT9bYRTuf
Kj+Gijf57Wc3MsbsBNE/fYKD6c7bYtZnCxEffih2YDRDVm9VWhUqHNuhLQ4d0j87oMpwPWamOj45
WKhFvQo6DNuSMFI5eY5l6tgv0TJHBdT0RXhbOfRUzvZcMaMMxn7pbZpIkephknNG1IAldpGfVQrx
+1YQTHzrGaiKD+iyPVSunrNQ50I47QG/E6Xx3kq8Y8exjb463qCKwIGOulkKusIAlNSVYTOpyj3F
CbjRNlfj+G0eLPj3o2mobksFEvHrA4g5n5MOiSNWL9NI4I3Eb02YCm9cnaHIr5YTJI8CrpG+/Umg
UPYiS81Sn8uiHu5wMHZAT6fUxELQl/Ot24EV7SfM674l5jLOJ630PCT+os77Sxe1/am0Wr0m3hsD
tUPeGwbDOXxyCd5OZHoqazeuNTBaDID244LGF1f/ueYiM9OhgAGD84r3hNvv2J4m+q/vcon1303q
yAJCs9Vae3Pg3SousnLrKxslXTWYAiugxkylTAKILKrGtAuNa2B0zZDj/KOYWgLxazuGeMVyqtxR
9TtSUBu1oamxp9AqZP08l3Kw0H+Dys/bUuacpJq9WF+wpyrQk4wQN7Z6igRvI0GPw0GD4/alzvkS
pKgbwvlkGJPonqVAJY13UYn5Xrxg7gr7IPXcwEqRBISGmvXlW9Q5St1xCU/9hpO7tI8j/C86X1tb
aS+5wJBF4ZAEc9lbivwE117l2ONxisUhhD5n2JNayiQuyyzskhbMOjEUk2VeVncTtoITRaKDaTuN
joZIO0YqdTvkbXeJxdhlewdeDf5o3E6nySkajIWKcmbTQs2V+0UHAtslZaU1t+Qu+t/blIMCdx3I
4LtMwrQh+VKmhFlHJmyLO9+RvfuZi1Z3n+NUp9wPSItqv+uR3WUPUvlKP3tdyxUAA1Yut2oodH83
zXOpbeF0+z84WbnHKnxqm0CCJdCkyVlY+KlJfdkWg5DpTmWx9gVvWUsL2yEhKi8qkWkE1jzFv5w4
6zX6OEdgZg5rIBLVB6OYN6AZeB2TIXgTKyPYvUbVlT/6WMfrw6Huu3bjTna97Ly8S9mtPbbuH4B0
10MDDxYkqoxV+r/yp6/dC1ru3ZQqPj2Wlko2KneyrV/2xg7T6h9tw9z9fYz3DwfoFd7K8whq4oFI
ele/0Ndo5FD60+BXi3NokWJSMgxyjochtKq05P1lujWF7rA4y72Tzs2pzUXjnAvcMJoHWbYQYMiS
ib8xkTHSTVsKgRFmbyKnynzmDBvDyewXj57sO24dcxrMxWJXR2eqs6cqy/R8y0Hm+4fUq4zLNHNM
BXllqPpctb4zHfy0KJNnH6jJTnZVH80ga0CDVvQzxc9L/560PsIaGIB1v0yh1Ia++Ekn7s4lEB1w
2Kbkyko2BdKWAi1wGvXgNeXw04ikkd5oYvGLHU4zbvwlh38yHLGnbzYSU7H4iFfbKEPTmm1mCyD+
xnliIryt1vIubKU5OiG2cGMtEf+YtD02DvrWqZqBKdBJcWg/uZmf17/ef1nX8x0PmTHIsU9wEgp/
hryv35VtlkSkWJZ7rFAubBCSzz+bOU72TifL2wakkTRAOOqHHH7wB49+swl4NHgx8hWIr6gRr5gY
C5h8l9qFcxR8sVOPY942xYTxk1vL8ed/+pbIPaGrQaik3STOm8Ct198SXo2GCKM1LjgqLfH9UM3d
MydsMW+UC85wyiNNf9HLOYmPpttZ/23O+efp2JLyGaCdAwFe8RHnfjQbOCnGZQC533ZKt38Cy4yh
qDTrIPDK2yxq8HddAe2+E85yeP/LX23/P48nvdmDa2JhuOldz1wKcLLWX8xL3OCPMNYN3nN2aZCr
ixAibDyrX7bvP/Hqzf55Iv9BOA/BiYpm/ft/TSnJiR18XJatS4RvhMI52xqfRZ0xxbdAHD7guF/N
Pv7/MC4z3N35kX1z/ft/PQyTIo1rubIv/Qzn6065vfht9E3ESWFq6hYbrITRRz8e//t3hLbDvy7+
HHB2Xz+WnzQT2Eg7F/iH+Q8h0DWEsCLckzUZmE+8/7C/fUccjBBuGzihM499/TCjEs6EcZVzgbvE
UClTgsj0MdLujXxGApNoZBnV3aA+YPHq69L410n+57dl5OPDh4elBJH36rlJ6rRGHVmXJl78JZwt
LJTaYXCb0E6BpKqq7P7pNERAWiawfVzseOsOvvHy/rf/+8fANgbHbnN107p6xaIGh1DCtS4jPjwk
XJj5zhET6EUfV+JGJ2f55GRz83NOUu8OAVV0IEPe/ODOvqZPrD8GIgq8tfDE4Jz48yn/tdAcW/a1
5K7lJXSDPCInrPHOGs0YIU2c4j9C0JTzsOTKqYiByBO4htO0rAdKUhwQ38v58v7v8peNTb+A1RdU
a5x1rrm41K5Vkbe5daFOQ6TWpsmurydjm7l+fu6jpv3gF3i7rRlxYGSGFz9Phfr5ejUkmdZg/DRE
9F46kChAdfNFK9Y5HvP2j2IK1yLh9dJj6r+SHSjNIZxcz/595ldgwU1+0VVDm94TpGXuVTeNG9MR
CV59XgqSUSVSvlCZFl99+mPsKN//hd/uO4ieVDMc3lBm8EF5/Y17GDuippu41IDHP/g8Q5hNE+yP
vC69ZR9FsXGTR7hNvP/YNy+Wc5rV7iOahv5gXsuUdC6lMZ468xE9gqqwitaDrpiOuAw13a6BPf7B
13z7vDXeD0EUyxszfutqm4MMguKlRnQh3i+JjjiSJV8xqFMJPslx129zSy3/jYUKTsoj8fVYqQec
oMbViVYtddRMmedfOhu/8WPt2+leFi62nI1dqWmvLY71EXnmmpT156HI+1ERQulm/V6dI8SxO35R
l/FjoRsxjhP467Rf837xlifVKSvbtJ3udyeDaNpb5vb6vJ19DPXCUtNKdZQYP8ntODmJ+GBjvVnr
zDPwCwEbY4qOYuPq9/eT2W7SpvYvpdsPz3mLg4trJUytoXYyiRhlrn2XsJWLSzWWFcU70Sz/dcWt
HQmKPLzNkD5dF0ijXsranOf4ccwgZxhxarxEdVqHXt/GeZjrRfwRBfqq8FzfBaxgFjjpktBBbOv1
1lKRLwqdn+OCn/YibmqzKI9F43nsZoWjLohmY22SFNO+kDYDxub7X/jNWYZvJpRVFh8zCDxBrtZf
oY8ouVKZPiZIZ4jLy91i3zU5lS/g+IcsieuzjN8V4q7F4engXnfdgI1mn1bRJPPHTIj+2HC1PC22
NL/Flv3Vt/0M+LpGK89sESPO97/n27tzfae4CVGHcX9zrrz+nc26c2O3Ejy7S+zPUbUwxJ5r7dhP
on1xErv+VMGLD4mqR+gyVelvZcXGB5v9LxvPwcCRJUZ871pMXBWEzOCY1+OjcTE7DO8wnDb7/lOq
iDK79xA04Mk81VQvqTlMq4ehEtHBElWuAh2T6iqcjcQ4t5NBLMP7v861RSyrkEMdsQAa45Vpdl3F
Ca3E4lZl/gVL4zl+yGKXgO12ipcdxkp1tUtxSY0wyGRgcOM5oIphD+CxTZBoxQevIdJ2r7KJFFKG
n5mzq2tVfulxXW9uYttR8DXi2bowjdSIKnN99dtL0/GhL0ZreVxTIqcQmqdstgVUs8f3v9rbcoWv
5q6XyHq8UjVdvfgsyxfd7Uc2mAO9BYoGpttOuqyNqNs3sGFjZw/LvAmxMUWTPBsMv9w2P7vaWH6w
2d5co3wUPgj6O8fieLne6wO3jutEKrogiLKhWxdm/Dl29NYFMZ4IvQDwQ/wUO2326f0f4S8P5k5b
pXS6tbYi68X375KNgXEdcQJdfLvVtdVsKf6apugf9jCacP/Jl/EpiROxfLDr3p4uFGRQeGy407hE
W+uB/6/ncg7g6Fio+JHBlV4G2qxL5p/A1jgFquwDetvf3rS12vLpQEpw8a8J+B4kl2rU8/hxKIr4
F1KbLt/3Y2b295CxmHPMTqfDkczAs85kxST1JybrotmYei7NTadJ8cG2+tuhwzG33mb/lwRcna4i
jnvrf5Sdx3LjyLZFvwgR8GYKOpGUF1VugiiVgfeZSABf/xb6vkGJrBCjujvu5HYXCCCR5py9124H
N3lOFQKvhsX8XtY6WBPDStZDLlJSEJA/7ClpRpA7tGHEv5aI3cdv/z8g4Ls9JKNtifhZopVQ450r
HGllj0Mv4uBJabJq9nYKhD6so9zMQwkIaN6UaT0UYUBMOv25wXO+xE5fNevGLjJ5M9ZaFb1G1kRv
QbMLSJnKUoilIHQ/mDIpH+EOJGVYDDTOV9E0Vi8T3XkHFcnkiHuIeVSnpF3Gd3OcFL88yb6DWlkF
7zuQ40BWopWlL76eymSFB8IXq9jRiNNp/LzulxyJyD0YJMRsHImdkBaNlk4r2my4oZ2atqws/L4A
wMFx6Wbq9ChYp9D10x/gf1sqb4g5whzYe7bqB8Z9aKZ9DxvNocccLs5EbDiBynQqxFP1iL97mG4p
wVhqjQI7aQ9w4HXrO+0Fezr0YgmAou7qGush8am201ubHwDRWd+aoDKAiORZ+vrxyzunvy1T87L5
Xz7fRSZwrqMcZF3QyXSjJ2FX00/lpu6ndEi7ZA0/3XXX2NpTWkuoAmFZTDB3CAUEBvpmspwtiQJB
WWzzXnRD2A2tuEftEMfh4Nfyh4XTMqWqBYI1j+r+Whbbf2CRs1FHJcI3OPxzcCDj4f3Hn1YjdIY4
0J6SuSqHNfQjACg1EjGdH+AkyXFAhtQ+xKLX/Z2GZ6rb2BG55Zu+jNCSUX4bOF11yhpICRmlTofU
dCXSTnI9w1lZxtsc6YwIq6CbYagsf/FKPbM3TTrr49oQrpw3YL7KB6eBNrwhqRQJ4wDlvkcIN5ot
431AthUGxsiWq+WhhSTBTO1GYAu4MhNcnixwHAAMpYLIVOicnyxcQavWnazqOUd83T0g1py/ZnY3
pPf4ZJ0bOBj928fj5vKKlNUpqbOPRmaMAfD904d9L5o6D8pneCqmHlKXZf9QekNHTAtxDVN9zZj6
twsyx7h4yjipUpx5f0GkieDRor55Ll3l06yVVh5Oskh/Nhh1jJ3eR01/paJ3uawBScKLyrqpQ9L9
z5H1x/JSxBqJnoZsnpFf9XQVQeP2BXEmK1lW2cqSZd6GHbXoK5e9PKawn+CIyP+gYLXPM4NKMAW+
k3rVs0L04t2nHb6JVRaM7U/HLkBoITSfg02qBvTNM4RMFy+TKTt5ZXH9ywPnu+KwhL46cAxv+f//
uPuBXF2zY8fwTHJUvurpJS2xZ8lX14YRVrP3urJ7/cv1oFshV8fKs2BAzffXE2OsNFtW3XONonlX
1tG3oMKW5Mq636VJdS1e+C+LJ7dG54RhY1PQ1M83y8Nc0cyy2ucoz4SxzaYEEIQvjCoKiw6xYsf6
nmzYUxjmcaB8yyIw1EX6bIxkM1w5mf7t3qFSMAn9Z9U5B8DqiZU3fjt0z4QhqF1szs2tlRuIM9wI
ewCeWXXl5f53Fno/ey5oHCZ9vmIa4ed339OABMUncRCmdl+vI8Sbb9SjxuBmbjxK1xnt9AXFHHNp
vayBn3FErR/00oY4zv5SiZWZtb6zckFdk0dWGx4ctXGJTRN2zom2tWzoinGlVytdzpgAJNMIHXhf
Wl+tgfbrNukITAmVT0AV1kGA2FDxvWu82798w4s/gP4YFlx46mejOEB+Zo2uKJ7bThYnhHnuFo4Z
jvrMUoemmfM9q8v+47nxL+cwDycFDNnFuB1cnHp16uR6kwbRE24ZS//OAURx3gF0ksR0HqfG/lJh
FQArrKaKNIZOBPRzNT05TAQCVe4qGmCq1hTjr5UW//LLoERwEFs2jSDyz+tBpVm4CDZn79ku9eqZ
gUZb1Bytb63qzJ2r9dlnM8nENgkkYyCO3ebQoqIwVxFqhDKME2P656+edpEZLC0MemQc299/9agw
U6/HwvtMCzqHDTq5aC9a8M4IFH3ztsnlMF85Jl1+bEtdGXIFnQwM0+dHdYiIKs+G3HsugEFooaxj
ueIhTK9EY+QGnKZuvLLJWm7i/cfGFSmo84lDk6El/f4m1ZjWuLm4Yh7N89ckRaxTLMrpsGurYfPx
4KPWcH41RzcJqV1WZiZU/fxUhM2opeOZBKwf3iy/J7YAoxn6GVbdN+ox/dhjKkiwILa1SE1AuArd
Au9WxvYrc04RfCE/DQVbyLfeTkd0kVr3RCZWVtw4tVvov5gJevcxRb3tr+sch9h3AR89Z5M8Y7fK
5tpFtZ9U8WHUM1BMui/Yb1njOO51FNH2KRZWbN9rrj7kYeOAhOFBINa0vlOpAnRwGM1mYsc/UMcr
1hictOmgydq8M2OyeOTK4puylo2lRMNsTYH5qnHwZ4mixHDitDvMWzLSjHLlkE6+rS2c7iGAJhQl
WhZ5n73BGu6XrX1+09Hk3jpqTMS6xZZRrRUzBaxO4Gvk8mn6mBAQFdiV/ipbC9EfUp08QrzTzU8E
6AXepnCC4S2xtQw9GTz2h1Io/YUII2NyQ6eyh2ifZXUT3bpJjEfHTw3nqfSjvgo9szA+O1WO0aKt
jegxq0fgQCUMv25dW8L8xX7UsT5VfIb1sY4dxOwQatq3OWm6752kjrZD+N8f+Z41WK0A2hC/5fWU
nrqazqsF9PdLV5btU2rH6PNoKEXPZU5lynMaEnnKgXrdum6L/lgVcMhWKZkSz66MrU9RrIZTTozC
jyEPCCqkDF+V+8GM4y8NuYq/qFEa0cYToo1fYP3N1qrMOQyEBUBJa5WhQS7uK2uI1H2mq/oNuizn
KRIIqQO3VpCg6iz6woeQiY54N1E4bNZp0Oti15Kk8jaDgfCPCdlhbehoPmmZ7pgGyZbjYmzf+XMk
gieEB4t/Ry/do0/gyit1zzrb9nZQHdlA+sGqc/22Zb1K4JtO6dQ+uXMlQNZ7SLRQ3rgNxGX25t6z
F2hgMnQAst8cz6u/y8ZU+T03BfJ8Gny5mTGlH3AOl2ZoK12ql8mHQLOeZ3jKmy7K218NkVM9G1Fd
EQMVebJ4RbOpma9tXFsjxoLe8E6R30Vvyuag+4L0CCeOr+dau0KjiTAbW1VaUJqZ0F6jbJ7mVQNC
CYlbMDuCYU7b7Xsn6IusejrfuEI09np8Xkh4UUQKY1xL+u71NkM5zYEsaAYdyAYNplWmt5iIXHMw
vgyg3NVXAwWZ+RAjB5YvFo//C7WcenizEy9QoFWC3qz3SVyoW30wuvobhrNaPsF0mqmwKSy6Gy0e
eu+H7ONM/SZfz3bv+4AK8rYEv4iAwfXFgVCCYAwXGAKGHr0dvzt5Hzw0Nrm8xzzu9BEsBUpcgkET
RHtqwiUVryMzje5nCgvlgX+x2IhRtaO7QkJFnbJgF6eFk2IXc+NHHDs/lU6erGbaZGQkzC1mA1Tn
hP4UKB300InL2VtPs916z7LPY1RJWt77a63U+2ElulY9dPM8G/tU17Qd1mSkwBCdABKJ2LWKMJVT
OmyrQOTl0STKVW0tgJvx3p2Rs5wGuwm6e+43ql+zjDjTTV90tngwED4+2kLExsYuRflLLD7PK0vl
xVaGVTtg5kbdsOQDn1fZLAonTa6r6VmPTecpyv10UdlH0RpujlAHe0ZDtYuKKL+mbLhYvuhY4SIl
GIiDAFyvsz0UK0yM44g12i0q7WdexydB8SJFMorB5srG9GJxdrA30jmiDbicLM/x4botxwX74MPP
HOpt3czlW8KhCwf45DjPpiCP8uP18vIcQNkDvfdyZ/Dv0Oa8X5xnakyguc3kBau5vzEYQ/fpWFc/
IS4Y90bXjwf88xbBUs4wrXpfkpw7DvaXj3/F+ZmPbrfOQWI57vEPRIP3P4IAPVVC4ihfTHIDSR9q
aIcZsk7f0EtnW4JQOOTNhdONd6JT0odPJq/1ps6H1/IT6AUjEgqIisXB+/4nuJmPD8eP6xdkqma8
JuUnWHk4d/KHwMvEbSK77pFeVfnr4ztf7uzPvRGXtTl+0PmFPsE+8KyGm6gGMndnNi8+gI7oIaoq
GiS8qv7zTDDMriGYIF6XFWeFO8uX5eePr34+tJerL3k9vHrGNePt/KadiHy+QrxQwIiKVVnVhD4V
5rB3e+TYV4ba5dhe3P0sT6aL257dy/uLlTU6Pd/VixdIYm201TNz/KUVkvslZLbsDwn9lyu1hMui
tWOalGRBGeACpxt7doMkIsAEZx5+JiISe4pDyHKG9RB3bsvuK2iMBuEpxob11Bf9W1NDMqNeOJE8
bVNY/9edNzMYbANIIz7bfZ7E+wcA9J3qrFmNz77KnNWUGWIFklFAu3SE9xQI7Rof7/z1GsuUSdtz
kWUh4DiHmyCI9ZBdW9Ozg344VC1W3NLK1adJ1LgjPh5K528XPgbFNxPjO90/D3fY+5vzcMMRLJF7
L6YSOlk5dpCEsKlGf0NDzXyz44YklY8vedFX4468pX5hMTWDtzpHjUypUjVayvZUapbJq1sY4cjq
wdoBSs7bMr6RHSjGT7U+sldnPz+jQycF+K0mD4vilR9jqwPl7cHCRYyOW2LMCDmL+ARuHStyWWCt
WOtXSQl2nbP/EGzJWmgbYPtKDT/JRhk/T0hUvxYQ3d2Xj+/uckICHAJZEDsFTxY4zfsHGjj8kaZf
iZMsm+Y3CtXituN8cCLlZ1ppY+8e01llnz6+6DmtBFoXx6b/UHTUoUhDOZuJSxn7BLpX9anUA8jN
uAfKeCW9NKbVKD1nnzgFJkE4dHDXSDf3Dr7RDDdNr3XWzlLa0ISGK6dmx3F2vAkmdjk3gB7E+Pzx
77S5+ffTps/N8xmxu8Uu5iyj8Y/qXOqgjCH8zHyZuqrRtzlVHLGzCmFe+WTPvyAeB4gFHitncIqg
5+dzjAYxWBfLfBlaIoK31ez9dJCepStj0Gl3/PtN8aku94NOk1b++5tyy7yxe7DvL1qlpWtabVWy
J063na7Min+7qT+vc7bmSN/ICqVH5gtngdYHFYEgIYQ6OkVr+j8oyj6+rb9djpBI3UJbyLp63v1u
xs5rRn+2XtLaxCtAHuzRcdLih57k1bWq7eW4oCRvUmVgzlsuebbGpFklvCQ1OWlEufqqtCZyw4F6
6+u/3hL9hgWCwfigXXWecNK2OvmNdJNP8dgaNVsVMTOp03VbpVlnvn18seW1vxvrVCnZkqDtAEF0
STNxif4w/DZPT1ady26NxSF44+BXfnF8aU+3yMXSk5Nmze8ZBIu68gFczELLxdEK2ZyZYJyed32R
DVg4L6fkxKkprUKsvqUFtMYPwiyKyXYSTV7tjcidrxQR/3bTcAMpiKOKA1R7NvshrAez43XZKRFd
RPEwaO0N2Ib4NGdzc6qJ66Q2IXVy/UA+uP+6VeHrW8ooSMegIAG8XYb0H9OLR9a5ZjUtNJOMMq6l
ctgxY6V9t/u22cukv1aTu/hEluuxtWbQovK9wJ8h8oySEn3hyTYQ7R8SZZTNdpRRgYwG2mVwZeG8
+EqAhC8arAUIbfpsPd/fnul2nsnGYDhhFhYEfOal/TOYm/HKh29eDB6LAgZPj22PDv/DO5toMCAW
rLPldPJTyiPfMDta5Nm0fpyts26Qd1iLsXCa0g0ibJL0Wku8Xm3b7ionmA5kZTu4p1zVzzdR6uD8
FU4D3TQfoJ4mnHqnbj60OKy6k+8nzQ32yM4IEWbLcoW9iYxvgIuc6kNRcaIXO3h3sA2ypnJfa9ll
35O0h3n48bd68SKhebNieOw3+Vwuwtw69umegOR3mrEMossYvS/G5OM/d+U1wublpRgnlFOJ/wKY
x+b2/UtUsxnj6Em6kxsk4pQkeWBi4u6fydF25Pbj27rcacHWI3VlEekg84LW9f5iCG9ThPhmd5KL
p2UXjX1x4yk7sFbgS0X3O9AF6cooXWZnl1iyeUH6D5ogmkeKHUbUl5ATqxnyzVrvPe1p0svWXHlt
PyIfGGK72WR2PP/IYp8eSe9K87fDbu2GKsDUbDWxpPRlWtK30A/Av1xRtlxMNRalLwi3i3OCQ9D5
zpVPvMtTt5Qnw+sHGP1dE+Mub+TjaHb1Z1Jxm41tEWCcUXW+MlwuNs3L2zOoang2FXI61+8fqxGU
YFDaSZ6ahFoe8QANjXN7LG256lK97XdlEs/plYtefpV8jbQ1HeKBeWnnygHZsqn0GlOcjNaQ406j
14o6pcmEtWa7pu6rbLG69/k/LyXMApx6qP+zGwDJbr6/2a7D1J9a3XAyrT6DipiTWo0Xc+8TA/t1
YICn7B3NaxWVi8/ENrgkc+qixGUHdzZyh2TsMgGx+FRJapphFaDlgLOhFeU2UmRcbj7+Ui5OnHRT
PZeuCkRg3CL6eT0F1RH6tgqz8oRo/Zi2NMmNRGW3VPru0q7euUCLHpYAlnsKdc6N5Jbv2w7795Xf
sZy33u0abJx/DCuUIZxJ6HW9f9rVWJYM9zx77eN+3thFCo3CTnrcmlHUodpp5qS/Ba7SRGHW4CYI
AVQzfQ5uH1x5JBfjjV9ickCjpo7um4br+1+yQC5oF4zZq8V6na8TlrWdShdcZTN3X4JhsjZs369N
jxe9Po6FTFeoQvA+LjkcZ5ftoZMN6egVryD0CK8EIZiFjV5aexJN5ywk9VEjqSoZ2ia0sb7uOr/x
7nwEVACZmrbd8A5p+378Vs4GIxuKRf9MD9JjR4cx6GzONq1Ot/MgdqFTFcEnTK5xA7osguwuWZU+
vtbZ3PK/a1FJ5DKWDwT47EBe4m1gl4jxransZqtkWkMrqPxQI7d8506onz++3tlr/t/1MPhBUnU4
sZ4LJsBLd04+Gc6+wqJuUW3I+qNfg94zep302YkW2QqP37UYzMvbXBh/IHzcRf6jn1dnUUyANIxG
e++lSfKFyn0JCUmO29Hq9RU8fuPK3sm4uCCzCQU7CqY8U1hbZ3M2SWqOGFu9OozdUDshEymQL2P2
9B0aN/mM9na+y5wOgILX9MfJkeVWRV59ozcweYZE5btcxclR6c54m0lDWSF9pWtHyYsf6RqLioSq
yH9SmvMmqGbYUJizItlPdWzMJ7raRljnpf5Ljd0s74sp/8eTMq+fGZ3HQZ0Nm4FzvqdE7QVo1inS
fQ7K6N7jkNltdaaFb1oq0vrKlHK2ZP//xQhsYWxzLroY23UtIKhP6d7UCFCh4UNiASG3VCao3awZ
ZM2m6n0d5LNWNlfG+eU3zNmSDVeAF5Di039bpT/OBk6q/KhEgYmreozCBc94iI3GuoPIc81QerZP
X26TC6DAYoQv9bvlp/xxqSJyZjDRnXtDm5v+oVlnhIoz42dXFou/XIeNJD5ZqpI++7yzIY0bJcvI
vQIfFDea/RmpqXIOJTA8ec2jcDlJIB5eSpJEMC99nLNVKU3NUXZUam/Yx0UPxE8p2jlwBcOyamZW
n4KUoEANxdPHc9PlOyPLgbMcqg+CULnu+wcJhjtxnAapmldyyN56EwX57WBF/d2gkYvz/O9XY81D
l0wpjUd6NvOSd1PWQRZpNyypmcAbitUDpXKX3E+l/Pav12J4WK7j4qxirvfOVjmwKm1Rs8kjD1Hv
f6ixjDZy7mYLdtWkP/7rtZhjeYSLN48rnp/J4RJrPtaF5OBHDql8w+iQUUkEYrcWjY/C+eOrXU5h
zCiUAFi52S8S4fv+nS35PC7JmxjFisC+KYKpf9SzqV3PMvDXpln2t/98PQ5vaOGo9iHtPC+WGybc
glnOrF+t8yn1gb9wnOwPfOVq1Tlq2H18ueXn/7E/+2+5XNZljlO0c3ig728vF7EkRkN3mC+1eQ2a
3g61hZhpyRw2oK5ByC3FjK43KHZRYJXbjy9/vk/97/rLkYOGG1YJJpf31y9dIkI0Aa1GEaz4NfHb
4hhXo/6VMnf51R/AVTl1YOYrC6zYLcTDaRdhfziUs61f+SmXcwLYCI7MGLU4NKMyfv9Lgjm1XfCu
1n4o7BF3c2quAzsRz1FURU7YUmZ61KRJ9/rjJ3A5J3BZaoW0HNk7OP8VL/6YXBf02zKMbcbXkO6M
uHX2fs9BM4b9eGX6+dsdLswdKtZMBxxF3t8hlbOoH0Rp76e203/3CCI+RxkV55C0cCiWlP/nuwpv
3Lj++BYpVfMnvx9lRID8ceXll/1xk/TczFr14M2Z/RWkVzxS+6ZzwRHjxVNBOEKODELsEZ1zj8q9
0d+AafaYEC1P7PVqGCMiGVPIYONgKpgZ6I3g6pgzUTYkW1JECvsqK+HOOKJ7hppZf/cbx/4aZ4vG
39In/cTHO/Yr8EqTBhAgVigPYqeWj7oFenAzD1HZfjYh7k+3qtQ6/3GoiU3aeEnQODf21FbderKj
yPyC0SUdVrbPYzzMZu0VW2uQer0eumYePiHPNa0XPicDlllJXCvETFLr4ckV0WuNaNPcmRX50psa
2OGnqja0eG2WKaAgq6qoUHDD90PqGs0jhghvr2Uj3KI0dQvy7Ae7fSmYfL97Zum9CDua9RVftHaj
utj6bRKw+6Y7Q6+tMLdCS1rOFZw0CgJWQmE1DGvETGgKYfq0G1I+UnmIZU8W+lya7r3vlqy7HVSI
By/V42cdFvrXisUC+giPL/RgJx2yyBHJyiIAtF7Fle+Xr4ZR4UVQubK/kIrTUb43jLndxFMkrJ0v
K3Qm5aj96Fq7MDdKax1jPVsOhCb+O3ls/NInl6bsghAtatEcU28KwEEluTXceUOAfAhapXDv/Ahl
yIq9nBY9Nm5iundJpnisM3GcL7LtYLiWQ57cdYqgqFD3G/Ujjx34Voi/JNCRWPuReQaJwKggi69x
AVgWSVXXtfqTVjQEdzlFWRSPlEds7S232vnQl7EfvKkASNp2TIABrocBeOJKtc0YHLSm12+pkqPX
6aepRZIpxhHOjIP16aHyiCwOS7Mp7K0B5PkgOt2od05C2/0BKgVq3aEdWsKQkiHOd4pMrHGV+nGq
/2gMGP13ukdU5aalv+n+7oM0TlbOPGTyoS6FNW9iuIy/SfghR8Er4ad7PYFLdBtFbzgPkQOseEFh
1fnWg/q+Zv8dyU960QFOWtnCsm8Fh5dehkjzWkUk6DRqv8o2mJ9svxPzd3pr9VRtykiWb42lZ+Kr
OUXa90YJvp4WXxnWgiaa6oJAZzGDhWnThm5KXHeyFvQjEz1+aRPLq9a5Biby6E1VHVNcc/UJNKyX
5nB60W31IV2XXHvha0RuXZj1cFCYvcgDTPrO+5ELU/Pocg1etwUmJ6Yg5PSWfM4zjRZRjlx1aeoK
54euWDZuCqHgyNd0JELIquaLcIfZglgs+0cE1IZ3cHutgf6XTsWvrk1bm85h02obq0LtzW/rC/GZ
CA0lDjEejRsvFwmHpcmp/WO8MNNuqtkACIGvUgEYJEptOhaEpvY/qQyn/c9Bs5vmMckbmpKAXJEy
3PjCqZ2VXcpuX5FVSiV5GtQUkq1DsKMWKB0QvtCc5pYKmV085GqE1dlb1vSTkKZgXFMmsVziTiZY
TSCnKP3xZM3+kda97a+N1DE+d52qHlNHc/1t3PlAuyazdtKVNPOMD6Of5Uvl6uMTUSt10IVJ08v4
rl9ivuHrCKI6DOwpJsIHSn5IwnRqDjEu9dAd4FHuM8gbr1UyG26oAM4e88BSfSg9N0aRWTNUtuTD
FYfObhtScjmIHUutsMjUqESBRI42bL4pIjlm60m0+qegBDm6VgR3Q8An45pyupeWe9/qLGstsgIM
kD3P5I01/ZL5Dc/Pt2/bNna/VeXoP3AAQAXS21KiQCvgFW+8gefw1qlsjOnkyXhYjUM9kitEFAoB
ge4YWWFHXTfeNk4HT7nOulStYuR9ZthSBvulIVX4rYo4eBsR6Z7czgKht+xva7R+wfhzkBmzD8y2
6ZiJOHme3dp1EOcpJo4iSYJPmjZYxd5M9KzdgUma9xnDlK5zVEefRwhe+BR8mX4bc0+/81r8WGtt
buRdYuZ+vErmSQ4bX2rjPgj6+kuhYRAI1WQ2Ht4HTeAXDazfnWb2RMEAJ2o3UdlQjJWjl/4kRbei
p1B7dWCFA4lWnP6gQybQOWxokkgVoYB2Bbgf0Q2aQea9zkuae5E/JMnopysX1eGTSfxxgmLSkcVD
kOTjJ9TAxVOWRum8BUrY1g921mr2k2VrtM9DKiZRvwdZHf8W00Ky7qy8zZ+KcXaOk1DeDHZyqr41
kRi/6knr5FtoA4G5Jfyou02WtnaoCmHf91PuGqGSbrsQRCjF7qCUubdehbw99BB8nQq6Ib8oVBjt
fpw9BZeq7Xkrdq/lbLwNv1hJECjlyiLTuNi2NUy2MILhiYwxIqjuxhp4uGGepuoOTpVts+DY5d3g
KPeVJHUdx3XrBAckIrGzdns7K/dd1Kp+b7HXFBsAo1LfdDA6yVDPJCLdIuvbWysdCjgYbpr067Qu
oBc6Pf360E2Fo+4cIoQfFDiXdp3pVa/TXCgX6agF0LwI4mDc+nXlWrc2/tyfWReh500IrQPXp0oB
QTW1+mdo3h5acD8tss2oDfKX9Mvmq7DAaW3oYYgb9tBgKIMSBVUYJU7+VKZRIzGB6MUQGlou8R8F
vKwdliT5jB6UFHiKFsbDVBPqSTg8m+ogN735oSpsHy12NpAMYVC0qsKxZwvDilPVpAuRr62Fdm4I
j2koMH54dlopkh2VuBOa333XYl2RRKCr/pdRcp4M55q4yRe9LHDsDV0FF9vp235lqHL4lWnGmO8B
iBvVjWk0UXzk37CCVaP1iRf2ZiIf/BFD09FPevVzYeq1q8RtHfHJqEUOKrfvdJoQRWkZN/i5l1j1
eSLSJLUNELjp7ItnJ5FZyg2CEloTduD7YUppOdrnCNjvJ9ngnki6HOCucOmh/wKwItKdPxOnsAZS
O2yCukeOVaMo/jWwnoht7Y/E6Kl4ROvs5MolSyX24i+B3aODpdFnZmvG8xBA1iW9JjSpUyT7sS6n
bKfpPgjLTuptepTGVNm0EqyouilylWwwbzjRrvB661OatHO9EaRiE+YtQWlug2CeXsgVG9tdOrKN
3JgmFPt9wz4NQps2Ot5NGQT5swZC0drGaIL9VUPYAy5+A/VQhUHkrgmsOj70RouRwJoMO7+Reez/
SoIK2yjBkYO7BeaYQc9OkqhlffXNbp03cP9XJB1U4kAVGw+ng/sqAY1v+B3+YYmrD2yzvnYnNnj4
VFA43RQQVNi1N65R3kUEjkU7Cvgakuc6SrN9DimGD1Hh0QqpOpANVk0p0kmTBIn62bUdQx0SBj1S
/qqNTt6cAKQ2yQmQJJwF9U8yvXMMXg5bQcdjtTkok6wxqRYOa55HoOcKHFlhHlFmwW6uy2LTBzH+
px79/Izkf2ZLV7SkCYI4RB7ebT3JoF+76Tjoy6DOoBcXcbypbD/RQTPUnvGIxzDv8QKVaRvqgVAF
uXRJfsxHEgXW49znD25t1t2xLE0BjZOJA550Lfh++2YexckRMujXNID5BR5g7deqzJV10hsjUgDy
K8EHYOLU3apOq6MytHqAzBxEpZGHY92I8QH+pZ3vTfCxAekCwECYwJNmG4sBRkOI2wQh1MJRZJft
mYQlQlyK+s+1342wSVt/iNfGUGT1lhxYL9j0rdSectpM1jc/4U8OG4yE0Qozs6utG4qj2qNobIOt
ATNXs/a7hsu20izrO3KOerYpZaE9t/WsTn4XFIhlWilyEoJgHGqdYP722ZzCO9NEVd/SZTXzvW0P
eEJIsuDN1Yaa5D3IRC9YIYdp1J3dl2xnKGtk2iM7a7ZeTtxW3gtBxtrXpW0TfZtV290L0hHFTutb
3b9m0L2sMAIBJgrRIZKH2op/dg5VaH5bDWn3nsaZl91aWIStdcluGqJ/MmEDMRO/qOiUda15iEhu
GMJGDeZN7miduSU6nfwjlw3CK1KlONnEzKdeSCkn/Um5j0figvy+1bsEfQxYGfdkBzBRb+GmGj9o
dVRbc0qm5M5zcp6koCGvUSlmQ7TyMTKXz42XpebRHFU5AgAhB28z2cWw1cs+z1YwzasHXw3MUKEG
5nb8lje4b8J69u3f9AAje2+Uif+qU9Gcbut2dD67ApRMWDGf/8a6yYkscCMt3S4A+IKjkI8Cig+m
FWziO5+cplwJgnTrAsuhgOvl71rJwDykntPOe3BjutjiGJ2Pk6vMamtMRmJsEuI1XqfAl8lro0WQ
jzmfUY+2JYZ/pmoRXSn+LTWKs0oCZE/+XhiHCKyWkvwflQTL8pohNj1qGPPQ7xpVBe1aGzX9AOG3
STluZ+M1L9dllZ9BA9AFmgsFKmpE7y/ZB4TG5bUiy0WW5hqCQbxTDnBOrBfJwTSmcdd35Bhbs11e
qeD+pWCDjAydLuonWpbnJLzeGMnHg6C4D4Twt0UUZ9/hzQ7hlATaXrbUbEhqnMsr5Zq/3S9KZciR
FMKWx/z+fi2zjOLlkE2aJvSB70URWMl2MPF2KdNT9ZozV7yycT9B/5zm4FrH9K+Xh5TJXwgqEUO8
v/ykjbPwpMZN53jkKjRZR3+c1GOrhFet+qSLfsRp3d9ULPXl7uNK1WWdCrwSOgg0JEjcLlLCKtxx
Bacgd59LjiNh1poGDbSCuKkw6FWVARRG1TPSbwfnOrh3cFyLf64HAu1CKU6HdhETn7fMajlYQZ/4
zh60n4m4tY33qGtuc48UlI9v9rL2ukCS4CvaDvpemkhn31LvKQiLs+7uJYWfYWtVtLH4cn1O12UC
1Pl2KAvcLR2p4N42aPOsfUJdJZItImv/Vg3GcK15exFd79OiN+iRoBbg1Ih+6f3Lh0NUGXOcAS9v
Wmdndqz0cMS1eOcWwXwcEQBlh4QC+aNXtKI4Sp2kuqNdoZU/llAg1vBjOdbkRtptSILAS/DxI/vL
B+kg00EQTQeCn3rW5nDIkOuliO19PPSHecCxYOI5WkVSs5mmp98LfeTKkPzLhEeaMPV5DARocs8/
B8LrRx2LorsfU5Qpk2BRBJ48rZquxNMWFVfm18tBQara8uHTqVpQSuf0KtRkDS2ByNm7TZDemOmc
PWqz8ud10bnTJ7MjEchj0TiaqYzmcIg8DmdyaOyDDnDm18eP+y9Twf+Rdh67cStRGn4iAsxhy86S
HCV123dDODLnzKefrzQbNdlowjOAF8Y1cKurWOGEP7AXCCnB7NHtnGPPyddUp8mAezfl1B2rolUh
2NmwWFWhHZYSjv1Xt+pPrKE8698vQVYbgjKAVwGGnF36SuHn9PA4GxhmkXBRV9gTw1d7h3YJOaSX
td8slunRwlNlf3/Wtz4BjS31rUivqIozq9NrOtDE1Brxe5AalF2zUrPcrk09IZcjtRsKllEL6rQE
J6M0AAHcGDaxD75Qtz9iiZcMK2HTYtez03mBbIBlDk3ueYsCd/XSy/F1PJkIQHwoVWrDG6yUjKcm
HZUnCa2cTWWb4fH+Miw2vhiVcrnQ4DC5B2dXAcXNtE7bzkYuUbc++1Yz6K6KjOIPXce11U1j3V4Z
cdGKQWuag60zLgqYi1bf4Nu2Zw+qcYqsUd2YHn5Lx3CUPTfg1c1XBlvsbRQo4dyDKuaFX/b5aCrV
vVVowYPkZPrXvtampzgV6KgeNytabb71C35MdQiG9uX+wi6nCSNdEArY3Nwqb1S8dyGUT79Arv08
esB76cG2Uu8PvtOCUtKHa/JAy53DUNRF6cMAyVnApx27Fkj8NnpIio4itxmhN0GCtVV8S/0z6fmu
Qw6xWrmkb6ysAOKAjBEodYC/12/IVOs1TZ04fjBSRQrcyvTVj5UVl4+B7yfTqU5CpaUwNUbB0Zch
Iv/rzSGAXiYEUV4xIeohft675TVkfMN6W8fpvheOZxnMFLem8UbNLlHKYwRlmz48jDeIvGb3fP/b
LueOrMTbA4UYkGNrsweKl7JXJ5TGT55f4RqtFgiyqegtbvza7x/gWOcnvHN7jPfkVv57f+y31vRV
bG6BuSJ8EhKVihDruZ65Rq45FilwGHnMxtfEj6vsICvNQDobAQADLe0UT0NW0rSvA0xMzr1q0HQu
2i7VqM60RbrVm7zL/M2UtWXyQ8HOSn3E8N2XD3FaaUezjYdv93/08pYhuhagTM49gCp1FuwWWS9R
UNULnjsEAqj8fBuLoNmrRvW7Gxw9X0ETLM8ewxmsj6lzx9CavF4ipRtoz5ZmgQkOYvw61eq/DcI+
+wY7rGhlrOXhYyzac0JeB87hXFxGzhWAOtgWnnwdPHbcAgmFha2ZiQtfPQx3vd3JL2E4divPxfL9
YkWBZ3Bxg0InhBA/7N0JEBIzRJKdcqqctBseKFWru0bLug8hz+b3MqAWUGEMgP4C5j/gPnOp/lPl
HVV80IL+Cp5iseIcAgA3iDjRSoFANTsRBV5JE2dOOyloc10g1/efdM3XnFPq6F32b+RwzGgR/cTg
G0grnDlnHjzhu9sbWQ6agoohQOo+birlGLLx7JOEiZSCE2+FdsUIoz1ZkS9fbGSbWxZEJ+xwVh+X
8etFF3LdYUax4jSZQ6K6Kmfng5bR8MvV7pMJpvT+uVkuK8MBWVCwMmB3zU09fKmJBgqV3alCU2Jb
NGP0GX50dBh6/JzuD7XYx8yM5xhMPEgJNvPsPjd0JDTCKetOaihHh1RXvV2EquEmRfMswMpa/Zgq
GJr9+6AWMYAs1hOG3+xeAApiNfAdupPTZr29DTIzwZcrgWvp0g3Wk6M/leWfqEyH5HR/5MUVDhmG
2xMNVQFQX+CUC0pglh07E75jk3fRJ1/9Qg1cxcHL6+T6YQwtq0SRKkUPCHEjpGPuD79c7TcoDtEB
ctxszNnE2zStJCJL/dT5sJ3cRrawwNWT/KHpY3UX1+kfDBOblatquZsAj1lC4Q1Sh+DoXG/ecIil
CDCcccrDIn5IFKPTNhPVhmojkXN5x/tTXBwVB9YRsbvAh1JImpNLeyegy6JY1WNRFn2KIExBW9D3
A5qyZtb/oVzOCv/zkOgKCJAVwHy+76yoEWb4ottJ3zyCssL8MOkTGprY2dEDcoLBfyj8slmZpc6a
Xb3G0H6EnqRAh6JYMU+lsU/JPDZS+yhjwKdgb4bc9qlo6ML+uT+3tzRsNhKAKSjCkNXetMyuv14F
nsKMIkRFohKk9SmUajPbhNTDw99+DSHZNuphdDbT0IfoA8Ha+y6zf9MPNKmiz7S++/BXjr2f6cpm
bq3RPZYf2xJ3P9UsChxktGLrvXuMkJbpBtVv5cciJWF3Vdj/rgo444vdjv0xrceVBHpxfKHwkCVx
I7L8VA1n48VJgBD34NART4bBeqitSf/YlMbfQVGCA8aiSvslKjX5GHV9dLj/IRanCJEzUlZB4NG5
QObEfvgdRpM2lvYYOWpntm6Ki1fzwRiw7n4qkj7Y3B9uucHEVMHPUpyguzZnn06NFtsFtn+Pmp1X
+lmycrw4cTXFFu/+QMslpSCBAZZgs6HaMD88cDBpdptS8ZgQ0YTjDs3LTujZt/ElNUZ7OEkkbhV6
8lLa/cICLf9+f/w51p4zS+sf4RXH4mbGHGR2eiPPUXrZL4rXIs2CxgVv0W5p47V0MGt8fdygbC3c
8GiN+NsiG6sS8EmkAoFIcunFHsrod6lL9q+UVknmagG6BRs1CdpD3Sf9ShgwP4wCZkcGIPgmCH3j
ZiIW891+x3jNqKcyGJ+Ryi4zrPCAIyOCSgPbReKu7t0uJPcjI0kUhFp725AQ1zKSv3onpd94D+vx
ccQT4dxGivqvMnPit5FvikwQlDfNh/lvo86ltc7wjNFf/Ujt2vmq1kYou2VWpCeDFV2LgWen/201
iPtACvOSEUHMoqJMd+ouk9rhOQk9+ltxG3hPDq6OALTwDkYYd9CSNb7p7TFt8Fkg5g1QytezbGPM
vDprGJ5DcA9fLdMesV0o+osyxtGWwFH/e397zo7H2xzJGvjenBA6zrMvLnQ8G77j8KxPBgimrM7J
tJPxFTSJVKIgI2F05zn1Zywwi5US8q2huc6g7rLRTBoG11M1B1CDyEmPz4iX1MfWlgwBITZ+5YVc
7+PW0E9y59uvaaY3r/cnPbvr3iYNLxtfA4QUecTF5fRum5upQvm/ZmQlneIvALPKCtlCHKUlX9VW
YsEbY6FJQ28QuRTotHP+g1+Uzpjq4/Qct0r9TRns5lGAllvQdUiLrNyqN3YPg5FCi3hIcLFnE3O0
LiYGHp/RIkViqMH8T0E6vG2pIsgtGMe4BId+fzFvjkmvxSEkskxzXrLom05yhq5hgr7xC2u0vtjY
te5I+zyudGDQTV002/tDzsJM8f0MA6Q29V2En0xjdqXSUhb5OJgHbk0BSYpwFaioulVtar16qBke
6RMbv+4PeutDvh90nn1j0quhjMDaQhZ+LtT8U1bH2jkZx5/3B1osKJkRbxWpEU0s8dfrjwgZYrKT
0BpejCrEbtQJeqALXuwY5T7MeYopLtLuXvmKulizd3EYVWoRPYurXxExz/xBrku4K4llFa+k/Vrh
NhOCKbvBSSBbhkWUfs5LFGVOvhqpxzJQamlvT6UinzJwCc7BD7S6fJiUi2UW1cUPJuuzXmb1HtTO
9FT26qZsjE1idQAjgCYH7SYdzFE+jKUWS4jaG0iFQKyFE9QiuBg84zI4HBvPL6uNGdSZ6fpFBJKV
opX2WfMDjN4RCa/OHRaFCc4vY/8tcgLN+90TDU8/smgofufdaD8NKv2wDcKtQQ3GRLXjlUWbd5xA
TVGoQOmESwSK0+IisVCl02ymIlx94eRgimNcwIJYzkOJFIm1pzHTdwjpTmh0RpL8iC6NlG9a0EDB
g8GBCh8cOwf5J3dh8yMFI7x2UublFPFZISqJfiQAZGiNs4xMLzoL60azeK0MbJD3gR/RD1CbcfAO
SkVfwC0KA2P7SJu6nwM4grOUGL0FitpQm2M1Zkh0/9vuRq6B0rFJFqNSLNfmP0guiqC2bK95VbLe
0WGO5mjte5mEPFw6TfE2rat+5bp4a7Jf721aX6idEDiQEqMRdn2ifAzRyz7Pu9c+U9reDTFAxZ4K
+GO2KXCB1neWEne/HYwo7E1p1/IHHz+yAThkp2NuoEx5tRktVOHTlbWYXyliLRCKA5BAdQlu3+xK
GUBGg/Dqi1er6dIP/tR6R/QS/Ek8uVi9/vPCI/JCbYcqK3XzeXmpQgwPgXVccnUj0H56Xmv/0n2t
97d1Q3YO1wr40sr5mN/TzI9sgvILMtWKwhNxve611lDossr2Ff+/aVM5WXkmK5D3NR5dvyquz/wx
ATPcr9QQ7flVRpxPeYUXkCCWAzCLFFO8Ms2806UXDRZbfVAb0/qktXb9XbEi+kCQAkGde5mVP0ZT
lK99VH3xVXl9IH0J90GqP1BJr2ddeQDZcDW3XkDOgwozBjsZvk+RPxpbozKt5rXW0Dm1095gy+Xe
K7GuZBzHMQDfrupN/CP1tdA59DrvwAEcWf1sjxGI3FitlXo36R06/c3Y69mWxF2NEPyqEJye6tau
jrpXDlLv6g2Ig+GA6UZI7QdZfcDPSqz07XYo0MsC0iY7r/YoSmKTl1V0F3wl2kl6F8DszdkJ1Brb
st31vqdi6pOEUvNhGAKn/6SgqfUHXr5d/OmjcdSfR6THii8GoDbG7SrRY3ZltG2qD6aHPNTvf9zE
7F+SVNIoofpA1eB6bUO5tUp78p0XUIZgDi2gxS+o/qaPhRoW5g65r3yNw7fYxFiN0JZgO8FKpY08
C1NpyOQAEzGpHjLgb9iWB/qnZsySdpf6Jtx3xcOx/qviK7m3vz/ZmyNzVmlFoay4AJwB+JwgrXTZ
K+9yz0kpZFdu1PaTlSkyChcjok2JR+/230Y1eJ7e2MFEkpp44K6X2MO8MNcQun1tY7PSXQhRxQ/Y
X1W+80Z9+DEYo/dcAtpas3abH5u3cWksivIlSKy5eUBQdcibDJl/lgyveEV4GHBd1dlfwi5Yo14v
BEP/dyxU13gSSMvnvstjr9hFqUjSazXAb2/qpviBR2i6k0IVn1elDLVdik2psanxrIlO5AbmqTGs
2lmJ1+c3lfgdKjKCmkrdnxdx9gDE+igcfQfvdewGWztOaC9/S2qM6/KiBy+s13RfNpnfTupTGvIQ
rXzqG+vwJmQJUItaMd0W8fveJULDlJdlh8/SueWa2QypSEuMYNq3EYhVoPo7NW0HmqCN8ZdkOMPp
GzHd+9ttuQTiJ3BRUv5D3Xdecmi1ElseJ43PemwU2z7t+49pAlLBrTQewriTvN5VzbjeAofsjvfH
XgQGPIWkviw8FSguyzlMIExTC9hiE59LP5EPct3LT3nSevtgSKrPyP9DZsHcbD9wK206owl3rVJa
Oxkv0Q27KlvZDcsTILoFvJikikBH5plUHIye3YxdfPa7sX+UlNw66IOh7AMvrV7vz/zWqrP3SZ5w
Y+GGmd2jNWSq0FPC5DxMRbbvAiP9Xlvw8yVaTAe6b9N3hHBwxGmSVZGF+a0m1hz2Ape3QC9QXbne
c23ZSzBtnPhsTyYlv8qJnuWgLXcl3LSHqXbKiyfhUn9/vuJ/+j4CZFCAODglWQj40TudhQTDkGJm
XxvJ2aJ9SXaTVzjIZ0BMN6ECYmbTqSLB6JokxCXDqZMXRR+UtZrnje8rCgEAQgHoiN7B9cwlBTR/
hfzuuQlg8yVpGX+yRj/eNpPkr2ylG4sM1AxVLVFkRaZ2Nl8IhD6ejUp2ruKuOLSaDOoyBn2UAn3B
h8UMJuIie0iylVD71jrzVtncqhq3yjziiycT/g+e2efc87r/Um9wkGMGqYxdQ3GCoK0+FhSyviPQ
qXwA1rH2mW9NG70JOkECw8H+ul5hVt+XysZMzmhQp8MjOg026Sv/6TQN1BG2AWnttkTny1y5SW/N
G4MIQj4qzFwm84u8K82s1YLsrAQGXB2lcsydVfXFIS/N+oNKIPRdCZIcWeQA+zFZyV7u7+95zUDs
b5IJUV8C+IlY0vXEyeEiHOrS7GyNiiRv+jwb/G1WD388gPYJJlewkFe22I3dTEQvtPdordKBmxVh
+kiIDeFOe3ZU/6efFVKxgeA2fS5p+I67+9O7PRblEHFJc1/N7oza6a0h6K38LA1V/joRfFSu5zT5
xtD9/HR/rEXKTHkJaRRcRdiowltnFgAFWJ8FVqhFl0JSx5Yyd0VrOuybYNcYoCfdPEz6z76vSB+H
jqjlQKhsPFiA2KINOzNKVrKZ5SMtfg/dVIBloNYBGF9/W9UIMBZogvAyevB38RzuO+8Az5sqjaNj
ZYa0bx0OOycuQt6moYmKbYVDQLsJqczZK19isdEBoAhpJHRy1DcprOsfM8qhZ3eq5lPmiJpfY5pb
T+h/e96hjQbA7E0to/iWVUVlbFpTjaJTZkn/p99AZRrNd0IH8JrXv0EbcX1RkjS8VLUxbXvOxFEq
wuRHHHc/enmyXkMthceaecG08cs4WHlLFpcMS4CZPR+C805eO9v4eV/0uQFf7ZLJvrXjui8jF1hW
te2axvmutFL5BBEmXLlZl7EKwyJrQ7AC0RdTs9mVniP2PdVRJZ1hUsXbHJcdeRMWJGyJ6oSvCH9Y
kNXL8cEP5OZJr/Lo2IwxOt2+3H/q2Zgrde1bGwGIjmgb8IsW6LyB1KNCSti/aANYbjfINGU7jPkk
AwXHLFFLR+vJ9+LqmI92vuU+mlZ24iKEYT1En0S0rHAMnovDKYbo+5sTxG4z9F+yJoZXCxryKbH0
5NWU0CDehmGZ/BqmuD/fvyLEibuKJhgaGXgKSXQv6cvPimqTOmJrYbADlKHOj0Bna75ESdmoDMcH
oyvsw/3xbuw4Gm4CXwqJRKQMsw0/hUqnmFJ4IZrrn1s5aagkqjImtYa8nTC2/Bz47Ib7g96YJEQG
BKJEcRP+vLiT3+UGsR2jS9Cr0cWBuv0J2gHXSqmYCFTU2G9I/6iqxFEWBgICg8TaUqESa/BuuBGJ
dLOmAHiBpm/DEJWmjUp9gUZ0AFvS9OV0r6mJs3K5Lh4WRkViWZxiIfE6r7VLRQ8MZrDjS6ahVouZ
GVDWdpIPCsJzawW4W1/RgZUBro4+AjjP6xnqbc2VmhbSubOwixkonD8XyoigwxRZx7ozYhJsOfhy
/yveOCXUFW2Fhgjwp0UxagpMScOmWDpLreQUru9E8UXDanbrJ0a3pU6odZssy9VHKzKtlRN64yUV
qBU8wRyZrhSsuesZgyiT1cgwvbOfIz8MrKzTK7dJKjWArK94/5mkG+h1IqAB39nLmk2BJDoFVwAf
btwk/coxWnxsUQtkRxMQv6VZs58TEJOORaMFZyQd5JM5YkTthjWqndukQTNyJSRcnB8xGvuKZEfs
a312SXhqOTSY6gbn1o/DP5PlYSdrlV2fwpI2f4Z4Zqn/zxFnD1Olqn4MGTs421Lo7LwulQ+lFz+0
GYBYRBxG5/n+3ro1Q8gNJK0UDyhki39/d2TlNCoACuvBOSyLH77UjvuuseIXzFdhPRdZ+O3fhxN9
RgNzVAr5c3AMDWqcuGI/OstNHX5FUyZ9SC2/2kseHXxcCWs7WgkFlxuGVBV7SR440UbRxL+/m2Bo
+j0FtyI6m/gfuqXTKaob4ffrdvg7rX29xfUgnKmBQMGWAPfOC389mA2MXqG6Gp3tiLtOiqBvPGAE
3xTboUrHaWtbHjjUoKmT/b+uKwOLniqJOVfFHOSkjGps1KYRnoMBjupmLJxE2kp6GCu7LrLq1x5Z
nmJlZRfXkpgsisVYmnBAgDFcT1YGRjLZXhufm6bJX72wLaBej47z0ZIG+8WbkvG3p1UpsjNJgAf5
/QkvI2oqbnSPNU4lxUbQD9ej45kX6lKsxWeCG++/tLIRREgDzT9IqWf8hLAZguYrB/WzZgVocdZj
PexA4JYrv+PG9iJTo4koAntQqrPz46Gxnba1FZ1pQU3droqM2N/JcT/SjpOslQxxEa+JOROviggS
G4g5DqHiMa2dQorPvAcwyJ1sqH9qrATKOqNabnQtVHX8LZvivyzzPToCcRGf76+7mM9V2CQKneQO
kGMEgWRe/0jDYLLjifpWpLat+qWYiuAQ+3SBNgjc+Ht5ShLlX6NUMSRvEHAADhZ/u/7SCv2LQdKM
+DyVbVVvcQWk/2raRf4sSU1+tKva+eWPgBsPUav5Dc+BF6yAqm7NmgcffAtTB+E4e3USxIEkA4Wb
c+mRt7qFYiUf8kzOXxpo7PrejPt8f3+dRYI6X2fkzRGjQ7qZ+3L2DsRVTuxWeck51aOo3kVZp47H
EoP1/8P3tLmJUShGIJJ6z/XiAi4x8toe0nOl1+1LkyJ+WaeK/YRbW3ycVG1ced/Ex5rNiz4uSZDw
F4FtMbs0oHJ1RqXa6TnDU2ZwjcZOT8JrYIPZr/Wx11vpwjZew53dHlXYD8H6h8gtDta7R6CVtc4e
sEk71yaWei6qL/VHhCSinmGNCME0JfpEH3Wt+bPM99B95qiS4aL7xsecBf2lMqA050XpGU+Fwf8R
e3qRHKCvt9qmlzT/mWi50rcykUv7U271fqLDV2XVxlO69oQUSDPtpBLf+pUTdePSAoQMAIfmLunf
PO1Cx0LxYVqkZ0XDm3BXDKrlAlywu0d0Kqphc38r3xjtzckMJgp9ST7C9eLnOsiStmDn5kHdll9g
U8OspoRsxb8NT9XDlWfp1nDUNyjkYaLGqs+Go8FX5XIFgNFsmi7eSxpp5MaTjfqvhPbj9/tzu3FM
gS5xRoFNYag1b0L1dWwMRtvl1ErN1AH4oMTIMISDZqycm5uz0oQ6JcwyldjpehGlCNFdbr/8PBZx
8V1xJMtFQIWef650K6+MWKDZEcV9AIoO3hywSeaEY2juAKPNKjub9tQidaiU3eMUpsoxmZAhzDhC
L8g/RPtk0toVrs6Ne5a3lM4hybkwIhGr8O6cZmpaaoE2Zme5TJHd0c2KAxB71qGe/PC5baI1w5Mb
FwMXOhhm0a8ENit+0LsBhxEwrpZQlLRwc/yKInqyrck0IXck8YfAK0p/R/8P6Oz9bXNrnkidchdR
wuAqnOUVSlM24aiVBbfgWG7Q8gl3hRbnW22ssVqFbn34x/HemJBEpZoNpYTZXk8zGf2aslKinHUa
3Y/I2NRAdXRwBG4yyOamxsB0rT+72LAMye1CrCD8icDBXQ8p6Ta0PbSSzj50/n2QjPWnOGjQzEmH
Gq3/+/NbRoM0YGmCgUJFuMUmJr0eLdGa3AIVp54jZayfrazsP9t4eVv7NAVQBQ+rMMpjpyjRHt2b
BOnG0jqBfVjjGiy2k+gDcxdQ5SNEoody/TM02rxI1CraGRlO+ehM+nBBoE9zuVozVF2NA7Ka0Zry
/ALxTTxIJQs0EO1nGBj67JXJkj6nBaWrZxQPk0sUdLCwIN5+bsdaxT58GMqfON6gnSo30yUrqmg7
+BaimujO4oxSmo2LDezw5/4nWWxxfhSFJ1qgMMYhUYmb893JyuO4luXW0M5SloQ/uzpMPPSXekfd
EdD56bEKK6As98dc7jnGpI0BrQesHNHp9ZgNBQkcnE3tXGS29SNCSPZj2cfDttMDdXd/qMXFL6Yn
bC0oAkETm99UahdN4gXVz93Q682m8f0s2Va9tEbpuLWjKM5iWkablfM029i+3cp6OfoGEp5J8QSM
Qv/P79C1qn2l/m0gUJW4raatPQG3Ph78TZBdAEgIEWbxkimNQx7zi85NK8em2xoYbhNXV13n6rX1
bWidKVs5wre+HQ18XIuAzGsLVBCCUrRq/Aqz7bDQnyTf0stDgkvApsw7DI3/9evRFWJihAlcTtwb
1xslR29aSjGKPFehpkofLVRDtV1T1bL56/5Ai7eUzBAwDF+QdhTwzdnngx8E/GcyEPLWZFjfeiNq
Dk7syV8D7rJ9ZiOzs+01TEjgBVvJyiZdbh5GF1oGeKfxxs2lZKiMFlnQmsa5CBVEiqQiOVZ9WR7z
bKq2MLNyCd+Asdzfn/Ny81yNaswfm7gMk0SVGFUeu+dgcrJT3uo6PBjV+BuV43S4P96tNWaPUg0A
kLrU7KkaJerR2TVpLE7JLrHVYEe5NHRL068/KIgObyIPFjxiZWt2VLdmylwpgECDFRZm19so6vB7
H9rJPPuygVZ0osvhJsimutrlTlt/DUYf3bb7k709JCeEziYd+jnhAvo4gsBVYp7LJNaPjqN7O71F
dHkLQNIE7Rub5c/7I97aRDRSgR8TxYNpn50VaQRwGSMmeW4K07501aCme3AJrbqJfLUxdkqaI6zc
1NC312xqbg/NsGROkPfmFaaBGZXGqBtn2A8Bsn5ehcpuRYe0QhH/hJYgKw8nYk0GRNxuVwEwhBJR
UiJ7gDi+kEmPx9HOIiSAL13py0dDHswB0F7+x6Zt2LhJkhqkrL21NZXMd1PH/Nf9/Mb6oNDD9YtC
wByH0HaNbA6DVFza0FfdUa+bixIq7Y7/5m0KpBJelWrUHq20ClZGXqw3I9OjomIG51lAMK73s5YP
Bq5ofXmJ/CjbaLWi78q+yw9aH4YnfSr8hzBNqpVH+8ZqgxsDaoWhMcBhTez4d4FCWRQ2qid1dQkq
OFJV7pdPhhdVh7Cj8Y3uoLLDfqHYIWBdftX7Rtrf397L0BGEgOiACn0b3FTmy11kvuFksVZdzKlV
W7exJOePCcZ4+iRr+NcfLIIlBL5NQ6oJXcIsO0pKgxxTjC72yn29eAP5KUKDVHQdNGVRjC+GWOcD
xPUFhhoS3f6kIYs8hj8iBR+U+9NefmpiVJXuN/k/9fF5O3JKkLVuUCW5qPA1t1Mu5DRNp9qGSHGe
mrb4SOxTrEgGvFWhrw8W7d430K8oA9AHuP7UfhU5tFD06pJEQeFsfELp57G3WmWHJGz9lOilPmFk
VDmxO8WYRgDzqUVBLwgxCtMHCWu/2EzovnDVQuJBxdBH0j2SrM9aYEjePq67/iFrakyP4rY1FLfI
Ay/eyHqEKCt027bZ2CC2rE2Qx9NzUlfRl/ururid+YDYoNCqg8VHk3A2QYCowF8tv7mgjm1tnFb4
Pw10zaapqneyXfx7FVwMKNgHgodB+V985neHB4CWU3lG11yMVtUvRU2blSdA2vuWLD1QGW3KTdeW
0U6JpizdBLbWZm6CvP/9ad/YTMwYzJRoe5B8zaKcrqu9fJCL9gI4LPjEL/3eJqF/6HAQ3MltpR69
Rl1Dxy1efbQg6PaKWxrVAKh51zMf/IhgedDbS1IigrDJudBByxiV5rajrKMmn9oHTUWJ1qX09O3+
fN8wvbONTNGHjIs/KHzOQxyEhWuqqV1yoQ4fvPaxnB7toWqtTZlhXuIWZT3ukb1H071Jg/5pUJzq
v6BRgr9SVXTdqa2VFrZiJ+W/e0Q0PkXIuO1bI8+PsMN9Vys+B/lellTnGMGmPIQt8PWVOGJ56wq4
mdCYEL6ENJWvly8e5a5C3C+54JUWfW+g3j01SMGrrp7HCBMlSrJVWlooGNcFbjlp6un+Et44KbB5
6B4h0QQ43pylh07j1bkv5+mlsLXgc9nLwcdAQvIbcV3HhWptrVSW3mKx2ScDokdeTmUQQ595LNwm
MUaztpJdgAtUT7VqxUeUhjo3NKepQ1BVzz85jh+8lKqVtq7XjbK0yfAY/RJDFv6YqFb9PE7V0Lo9
FqFblJfLMz2JaQufwNkmhtlsQYBKX+gOx62b10kbbwYMJY8VcprPGry8jTVOJt7wGq9cmJb6UxwH
5FP3l/XthplPk0YnKwrKDoHb2VEcJAdZ/0JNL45V50gnIomOOotZ5ZnbGHX/H6gwB0mTGHlyOpKa
v8P0IS5Ogxlm2h5FLLvZpF0R/qynQvrmTIFe7aEDIjM7FFQ+BCRoDN2EY/YAMKkELacG5odCTbI1
B9u5mBQgW9Rs0OkFTcJrsbDrLp2mrXIsLAh+wqra6WqkbawCj4eNSu34OFpOPm6h7BsfadpE6MDQ
lTmlmu+94Osyfql7vf+hybQJtzgqJPE2Sidzr8pSsimD9O/9ZZ+dJvYVRDjaGW9yqfhuit3+7hqW
Eb5pcIb2HoCHlHsgCsoWec98F2oatLO6tLad7WRgeIngog4M+v3hZ4fpbXgqHpQvFdCjZM/Xw0de
UkO1cJwHVYuzQ56hMhYrKXUP/IiJ2IM1J83Z3SvGE1Af0VCn1ILa2PV4CAjIFWWR4HHwpfS7Fqv6
ZoRsuKMnWKcbD9zaj171poMudYm/Ei7O3pr/HVuo04JJIVrU1Oux2XRS7amMnbPoblgF5QM627Qf
rWL61vTAZ4egGi7/vMD08yEfvunxgG66HhR6XGSPSRU+hh4yKG6IcQ6xaFniHjuksRth4rCW6M3j
UjFRICd0FqjBUGGal6YRllAVx5+iRy/ugl1dBN6pL+Pms2aFzdYcTHJ5bHE2bexlyqZq6B1ZLVfR
/Ynf+NJCi5bzB2KUCsJsY0ctGhI1kuiPWuBrFwcx+E9SPqSPoIBwQSJOHx4cMgbOIQab94d+6wu9
u8reFkCUTOgUUmBbyIsAJKuVSWuixwDJ+uQYYzMwILmvI2ySYRD4WiWYBrn6WA1YEBTTdMIenvMV
+xLuDE3f/SJRVsd9O2Lhgy2cth3S3jwWtHEekciOfoDrWatDLzcnDAXaTkJvgr/M90mlTDFnXK4e
FQzHu08RcuCRi2UFCvi4DxWHynK8+muKFkh9vL9ay5FBh9HEBVcDGQqC3fUOhT8PdCbOk0ctl7N9
VWZphCNHi/SHFUbNoc7LpHvAYZpi9P2B5wAxPhPSXHQyyCSEepM1e8mbGBsOX2Vk5P6Qgs17Kuxg
aQsVsTPfl/EvsdKf/hBjd0B7h/ZGpZqblgL1b6Xz05UU4+avQd2JuAxGrkA5X69DbQ1Gr0OTfkxt
dPVcxCGmBxAxSe4aLfot9O/95nGMK9SIaqX8L7KCqNuiS4jpjIJnwf21WZweFE74QyhIVZpAXTwb
754FaRiTwFEb/ynsoK2oyRSdyKlpB+i4D7hdXAxHtbGwIQCz8a9PAiEA1R/eUEoZijWP78pJASyA
vOCDFefpN7WtvL1Ep2tHgtI9YlW0Zt25mCobHyivKFrQf1mQF5Sg9KdMG+OHPijzTdD3xiejzJUP
E7+RLWB6R61vLl7aBGtffLHzGVl4JSqAarmg5txOEbnUle4kD/WA5PwuHm3SOs1oxwG/IvTpJiWX
ycXizIHFHwxZsO3GMQv2Voaj4ShXuGmYYzs6O2g2mQN0dZCnQzy1ub7n9U4ESwErjrXr/davBjQF
KA3Gh8jfrrdGMXm4c0tT8jA65WgC+O5V8yt+O7YsrjGr/pVybyGXkESrmi23hoagxiEhfwLPMktS
i2mMvbzxEzTHUvkj3yYNNxp4zVeJ/na0wTLtry8Ha/SP5cnkOwEMpp8giLDGfNjUw2KuskcAf7I8
aq7Wx/nBHrPoa5D3WY+BhVkczMoiXjMa1f4Ypx30eWxgzV9mxdt3/2Te/DXC+53gRdTH54A5Q0Um
XJDXHppaChBqFIalXZtoL7rEs+yiaq2Ge8V3pjNgroi0qC/qaIOh0BR9omfcrKQnt44PaDpdsPsR
ulogMoq+7eRUTh+atP8TmnW3E77JaBR5Gu0XwBqupWLbLAdq069c4CIjuHpmIZmBACWcopUFhHCW
MSQoR8uVpecPUkCP1AyUfHQJsH/qJGiv91f91lAUnWgKk7XDH5zFbkk5NV0Y4wLZj8r4Upf+ORqr
9oPmmd5K8HBzJAox1PRE9DBXtjdGs7SlzC8efElW95PpWye0IrFjTgu/j/f3p/XGiJsvIaxXAmJo
Y/gKi6/77p4vPf5BZT8/SPgenjQtQQYpS+rwC3oAef5SQ3j6PvaGZD+3ndm8apKW966MHOnBIZ+B
slk0/8PZme22jWxr+IkIcB5uScmSLDuOEztSckN0905znmc+/fnK++JYlCAi+6bRSICUilW1atVa
/6AEZ6mlYXzUaWComOfFeHpHTl39HszeeoeXligPsdJo8vf7P/7GziMEsSS0MAQtQbv87Q46Dpil
KeUjPmSwkWIrG8YDuoTBl0GqFcVTei37jq6Sjj39nNnDysa/sVAw7eiYc09hM70UA4BrNdOhSsrH
tsrily7MzK/N3Aw/FXnQ9n86UwZSKBnxKBQLskgNpKLu9WbK+0eKY8omadGwl3LJOPBCT58lyQyf
6Y+/d2qw1sMVsfxiewC1ItCQn/FA492yiPVV3suWH0TtI76i0VPWWYhSi1r4yqe8ius0TlGxoSHF
9cv0FvNr7ciMVLnuHmcrVbZji6FaHtTzDg9fyWvrutmPQXW6/02vHr5CHARUJGkfxEzwF5e7x6Ra
bZWmUT7WKqwyz27TaltEpv4mj/h4uPiJWV+LsjYi1/cDcuGkTtv/3P8JN6ZNzsF8KbwKQvLibdYU
0hyqkJEPYBqsQxEMGGAq6jwfY3tAbrKgsuCmXb7GO79eVGSywBNyf4pKxVKxVM6T2BhIcB8LDM5C
V+ml5FVrm7Xn7vVFJRBC5JBC9YZCyPLalKISXDXeTo+hg8TmOy6X+CnNAF+LH/XsKKM7RXGkR+7g
BNEhaDSpe6B7kL/Z+BgV7b7ssI34dv+LXy861AuBcUFRA43jj5/8KdzVsBB6vKr6x7SjM0YPsMJc
Sk/GA0Em1yB1jslvP/aHLbKb5UFrqQzc/wHX354fILCxBCxoRrrYEp9+gNRFudoZ6fCoyIH2H22S
tM6VUn3+4wNFi5XUQLRkIIotISypOdRTU1r9Yy9cDVMt/UHDwt6q1Vg+QfIf9gPX5mpiIgLuZbQQ
chLUrEgDDOLy4khFZYsJoKmOjxOb9ita5GXpsRhy5ypVgVEwHI3hLbJa2iMaLk3ki4rwckM5edog
Khao7sirJPpiRFII+YAKILW7dMTd0hhiMr2kaaxNpoy+7OVhYuNWh0lT52Klp+tkYQ3mL5ZVQ+jH
bLUQehLKsRUugfirjHafueHspy+oeoTl98QG7k+ffYLoZfVt9xY4UKjdiMy6/B4Fca3DvAWn/6ab
hdS9cJ7sfR5NifJLqXkK/557paFMKmnIN3VRP5hPgguvuPVo1qbbK/S4qc+GiHqkRdeyyaSiPaEp
Vv7A+dApHyuj0P6ihtJMhZvl1aS6EKuVfIOikGl4ZYWuOnipLt2VY9nmJ1JQ6Xeu5LOzF8YAIebI
o1G4CDbIp6bPxn/DYnSeMGkebJe919obzPxmZ9cDzbW9wFD6J2eM1NqlfFC/01RK3pKe7jjGWRCZ
XaNvoGP5Tp2MuwLfpjfMALFzCAeKve7cjB1VHIRxw9Osjr4KWF2Px99JjBUgrV2aCR62N3hz64ji
/pU2xiB5dm1p0rNpp/33eMi16if4qf6rH4W5v6EmW6pub83B/FLCJMSsVK2t4asKnVRy6ZlE332e
W4kXmH6abPWqrOwD/tKI8VdxhmR3Ew0hlRQjyup/+UgZWR9okdzrYlu4H2aW/ctP065YycyWdV3o
j0QNwWQj3aBesYwes9qPJqlm/Whrg/wDH8wgxLCxtB03zhrtrCqpPHlSjIHmM8jMUfU9RPvEBis7
+SU1nKDyar8VkiYp6scPWcvsD3E4I+znmrxoqs3gaOW8uR9yllDuj59NZwvIBXUOsofFNZPYUUBP
IGoeLYRRNybeQr2bqXGxL8Kug/1ijd94ehbI+tbZlwaNf/jMqvLYJrX9C+rAvAakv0qc+Iz4O6AS
qSCKgVzVZQzEoz7PWtWsHzvkq0G46JRWJmlAfzNQppXM6boWyUIRASm7MhwcjEVqQfsoJgvNm0eO
NwvF9YOzY6FDvAC51n/NlNzHAYays5UW2bdwrMIHPwVkvLJ3bswZ4ShAjgR+kApLPIjDu7Hr/QYN
9GYy0VWp++esbqJtqhXKylBiRhdRWJQ7KSlQueENcaXzoVIzIuMY9MesVqvXNMkzOsjBRGRIi7BS
vL4My/P9LXaVyEBjpWYjhBgoqZHGXa5oWuZWO1Rq9agjQPGKpWxxgEomPatFNv+WpCCgiFEma/ta
/KsXEzV1IUhOCk6OgczgYmnjPldzB0vfY4gTYeDGuEH+go7cV7vZRB0A8yFMlI3IaGoPSsH0N5oR
XbiZ5laKzvHkyyt37tV3NxFYpW9FE4XTCzn/8iPMaduQVFnGsQH9cJjBCz60qS5tFLWTPHXs1xh7
V88foZdL9UiAsKHZLPmPc28C/qtD/Vj3hrHlPhj+iVO1Vh5mJOiLrWw38WsQop75jJ0nQpR/uORi
dJoooF64/KCyXc5Wn5pwVGxfP/oGh7hDEBa/mHo41obRBFx6dvZVdwpJfrg/7I2PDEaaNwkFO3b5
EjBsVKNm952tHgu6aB50n6j+kZIo/pOGQS7/iE10me+PeJUymrx+ALwrZLEfUJ/LiU4h7h+S4ytH
K5rUH3ZpYB85K+qumSztHzT3HTwxsLvdJcCYdzrNsnKFwXVjneFtqwQw4gYyK4vDFcDUoDenKcca
2uI5Gzvtu0Rxb4OUuLRPslE+pGZQPWPzBGTi/tyvohapI+tL64jSKD1N8dM+Zatq12ZUXxzlmEzt
1Lj4Ocxvau0UshtQpVzB9VzPkzxVp/AhhkMbapEa6z3st3mQlWNV+8HJKExiFY60WuBO/jj/pMat
e2UWBDU08jxY87S6vihEmvxp+MVcUaMbCgR7lCOhQhS7pWKboNWjuiEZ9iYnqu6hsOe/qzmVv+NE
oA6HUR3jlcW+9cXhwCJnjAQv/Rjx95+++JThVJGPfPGx88FkJKON5bEKIh9ggBWtLO+NL06jgeq3
+fEGXuq/BZmZyWZlqscQW2zt2Ml2wR2RBQd6kWa0GVW9/ceXkjl6Tv2iWzOcuT7KgBSp2uFDyVPl
2qszDqcC0wTzKM1+LXmBOibTZuqi6cUqrWgDFMBYkfy+OaLAg0JNhJe57EvaxtA5BaXTo5Zn5TbF
ralxZTlXXkunNrf4H6r7Pz4/PO+pMHEjC1z/YjX1TvFldPKtY6WgHaHNg5ZtM1hB8tbI22plsBur
CbWVliM0W1EcXpwfU5INrLks9ZigiPAyaon5PbbpIan9XLmJnA8IjxlJhE+1b608/a52rZBGgi+D
NgyWaeA/L3ft0OutWmcziqZFoDcPcjLK1InA8LSupc25vL3/Wa/WkcI3O5YjKSzgrriJsp50pDZy
xUyTcoOnS3RA4DA5RlCwDikqjn/6ZeELEAaBTaE2gy3UYnpmHaOK2yT10cD/+aGsOJkYTLZeCJJg
qxSJckqkMHpX0l57vT/T6w8riPHMVjQpgQwscgqnl4zeUKf62Mat+iqbs/aSAP/34soyypVq+lUS
xyxB7RpQ51hBuHqXixhmRHYn0usj3Tf7YARt8lhzm3tG1QMDVHgLumpcrVWgb6wl/DX2DyOC310W
cXGazrI8GPFKy1oj8Johkt7qynC+92FmbBGo7FaC3nWgB6UKIoLWiUCPqctDOYeRbUoAYY+Sr6ff
Ki3y639MObYUHnNmTpXPNSM9/uEbQpUwA8974LLyQ8e17ahY1UW+XmGNoi6VKF4pkM2WFVZdTTla
oT0da7WwMGIVMIVg+oe0bS3eXtfjEENBbpJSMnGX19BiGxdt1oW1pczHgBpCdlBnk8d5L/vVTh1y
Crv5SJF8M2rISlUo6dVv8kw6E7lGoU8TkN64jN/vb28x4kUGzy+CvI3CBdQyAqX4OJ9uuxKLcD0M
ovlYjm1gY/2gNKnnRzyRjrORITSM34gdeUGYR+0u5+Vtv93/Add7HndHohaQcXCoV1yoKbOngN7Z
eNTrJPgxCpCpRwcmNfdzhSLBQ4QlzvALqre2WkwQHaNPc+fSQ9MXyBovtY9mnnY5dwJWa/BeCF46
pPXnY2qxBNYx6RrwBa6U6yqSedlQBMlfY5cn3TYI5iJG6DdNnO8K6nedsykNowWkwdQsZSWiLzcL
SyK0rYSINUhH1LMXkWcUQ6CGP7wE7eToDd6HEg9HAM1tY+3tQkKLWdawWqYyPwamsp196rupO1dW
VRykNmzBoxMz5rXju9gyfC22DAkSEYOk4Yrh4M+5gzSpo+A4WveTO1DBbvYhAMl6U5voFPeTMT0b
SmbUD2U/Yat8f8NcfxeCFDJ44hUvnvFLFktDc1Xhu6hPla2Vu4xlMLkM4O/80+dWsFMxC00fnClN
ksxNlSEvcRKM5QkjCn/0EM1b9XUWD63P+0iwHnidIC3EdUjrZLGP8jSR/FCKtac0z6I9PuPV5IbG
2K9dD2LBL8eB8kujBKo4UYRb/nK/pq0zmU0KutVKpVF/1DtrTFxkoyzLS3MAZts+ywvTy6O5zVzw
oiCbq7GBf3B/ARbxkvXnZ4jWBRWHD1jb5c/o6GtXWiHZT4lhTFByJX60W1cIKSEqgmTBynDX243h
0MUB+w/Djwh9OZyTGkhZjKb91Onq+GAnk1IcdMkvD04RJl6VRuPGkhRzIzcIN67cVLfGRqqL9ibF
HFrO4u8/Rceoq7Jy7FP7SeKlj5QhpSvaUP6gHqASBdI+5t3nuGE05d8FtGsNF7OIjeJLAzMAni6A
kjQSRAD7NDwc67ifeJA+SQ3SuDrczQ0Ry3iYJdyX6mmS9k0YraUDN+YMORUrF9qcXA1LZWCFgG8k
cus88RyPq02qxW3h0keaNqYexcegGZrXAF7Vq1YPirpyuG/NmNcu6Cvwb0TnxQcPIrqd8MnQfyv9
cmv1TrqfYl97xtjx1ORhv6WCbj/c38/LDjy8vw+sJOmIaPrD4rn8zCDdgnGep+lZTgIt3kyx3th/
A85X3gpDx2AkMHonc5Hg6823XE6m4DzWJQ1K+jDR18xOje+m36XpN7Dg+uilRjAZljuNVh6cWrPz
69Kd5VnpPEcupx14oHlNEeAqMFD4I59ACPODv37FHAnntNQlsNSdFStYTJZKY73R2FQ62bNiJOfQ
ZgHNTMvGH2kFYebWjrLXdHB/VwBVy80jHpFU3uiUExEhDS7urMIZZzQxHe15ai2n26C2M2PRWyhD
bz5I0jTsysoamv2Ud3L2C8V+Z1yNTiIKfo6Sgu5MW4+chjyajG6xmkiH5f7QVPKTk5t0VDs5KgOE
1cGuuXFXWdLGD+bkGE+yHByoairv9QDJnFao1gTGj6EYIP96mO0M8Zfa54BgFZ8X1uwhbOr4Pm48
0djtc79S85esoofpMaDZvJVBGJrbVAFW6lFeCbXXzB9mYzeO/Xg2SqUbD5bfybIXN3XX7wIjK/pt
oIda6LWqHLw0JMDhA0ydlj9IHVSnbG2GZYSKaa/KFe2rzN70dZeLBx2eww8ayuzIOIXN+FbyHmtL
l3ZbkmwkWGBl7vYQXJqtPgyp8gppZzzUgROML4rWqPVWRShD3wxd1Fk/42Ge3+QQWJerhPii7++f
ruWJRkESZjaXI+kCtcpl2b0oQUmisxI+YTAhKw+G2lcvQaVJXxp/UjdGllXFnlRrrWa4eNQAORaF
d5FtQ14mnC12gTYHQ9YYpfNka9XsFVLSHJpcENXyaTRfE81I/7C/wIikQ8LFTNTCSfAXWz930OxC
M9J56nLD3vh4NLx2rTFsyMfKNWnBqxyIwYDpgnhhcshOL3sqyUjzqKnL8BlQ2KzsEyMC6gVJSNbc
mcbfRMVKLuxNFU9t7ZJNpLFrtZOcbCIjDI/iFKcrJ//6g/OLgAHRZBXfYHnyG9+mOQxl+Tm3a+Pv
KVDSdx6wNKIbgelUWmut+L5MQz4+AWEPhRBaarjnXEZtcqExApEUPBeG1h5Vhn2g4Rc9msNorNxK
V0PRwoHCDAteSObTz78cqgt7n1eIqT7VAP6+dGo0fsHlNvLaCqLl/eNyPRTlXNHaZGlRbPjoJH66
8uvelgq7VZAQx0dxOzmxEnuaUzvPxLFJWhnsKlojMkLnAOgNK851Ltb002Cyms1qTnfjGEh4feEh
DgxeKYZHM+7nXdWXxk6RhtHremOtrL28sXhoUo9T6FOBYhXk8MuR+6kOOkBN5jF1okratk3lbPvW
N0x3MolirlS2zgGfAFwg9HD86eST9fX+h/7ouV7cE9RaaCQDAUHbAF2vxaJWAWz3ZFBqnipwubxm
1qynccBFbFNmvvZ1KtCkc6tJKUMeWGheecGgZtIDH5IyuYskiSm9KR38pmcMGxXy/rQbZA8qmGpA
KzXon7t5azo/Wt7S+HYCNvnhB47WWys56vL1QRUVoAnWjdSNgLUsS6rjUHdlVafdsxxaZrFJG81J
n4Jqyqa/7n+xqxPOQCg1IglL5U+gTS/XDNRFR30WWQRKJO1j11jKC0KJyqMP9ujfrpbWgDo3xuMO
F0h0AqoAii3G6xulVrB/e+76ufBS3c/+4kJWJzfRsq9ZWZgrN9XV0QNFCFpK4JKgzCAZcDleI8VG
T07aPtszKtpNZPpcqWYy/8Xzr3u7/y2vbkUxFrciqD5CGAH8cizAME6MXmn7LFe1+qzEo/Tg2LF/
VIJKfWg6Y/xXDcdpZadcDUpPGnYfeB8VwSPrA1zx6bgPVmAPTiFkqq15hmCM4LAJ8nSndCUYO3A+
eJwkRfLr/lSv9qcYleSUcibNf+psl1P1p0LNDKeVn0tlBlUoGdH0E6RheLg/zNXqEStJ/QRvAWgD
tZPLYUoaZTo2WsqzVdtj4aq5nh2JfOarOljK9v5YVzuTsWjtY/GFohrtm8XO1GXS6EiKlOcx0vNH
zoD6gHXc/GhEKD1icJiXP+4PeGtyonCIqxia4zDGFpOTI4phca8+h2h4ytT1kaCVZ9BWB7TNhrV9
8pGqXIRG3vVceGQyfCCcb8XP+bRRULCA5z4ZyZfZD3R7E9fUiDejE3f0fBXENOaq0hzXiY36R1Ga
yRkUELYIeNqbhls4eIphO+DgZRaM7TcNuFLpZSZMZRltl8Gl2GZJv3BVshoYpvhZ/tOMGVtxqq20
/0V+6mf5Q9qVFuzztMt+DMlgf6tHjVRYziY4AG46ReUJYKyEq+L977wUGWDbQE5kWwg6Jl97mcX4
SFkBagiUZzMx5cbhqVTbM4abvNmmbaCFdnQ0cC18oeAWQPoIAv1rrJVqtYl1njg0Kpuse0TlpFQP
STTa1JtiwxrdLEsaNF7QFnUwg1TV5EcxIDibb2ta6cNTliIE1XgTXgU1UiWRWnTfiobP95OEX4k2
ftOO0kq0WwSDD4asgJsj74N4HV2HyzXu8ddC4rwuT2aqSOepyPov6K43ngYaaRv6TbIvDT9b+b7L
yv9/R6WoQFkTMjVVvMtRRzVREH01ihN9m/Qw8g7Y91rUHYUIz5Os5fOPhGoo7q2y8TgGaeZFUxH/
vL/IN2YuLhUoLECPeCAudjekS7mQURY41cDqXHStEVge7PSn1pXjF02b2g3Xkb/S+FykWmLiAuFM
0KWERdK+qGIpesrbvdKaU1+Y9Xagnw6zuJgOYai+h1M3Hwzcvt08m9aYkCI0fDrLDMyAqAxAMYZA
g0Hq5Rd3CkPulKYYTnzc4dA2WnAgeknbsZT/ykq7WQnD1/MUzFrRSiHUQ89fzBP8O1EpH/uTM4Bx
tUzYLxUm65vCCrVNoKXxawOT73VwurVa3fJNJGZKL4mTa1DTB5e0mClkACUdo3Y6lb7TP3ZzllEY
1B06danyLvty8lCmSQYbpyLNjCV72jQQp/ajpK49zxbh+r+/hCQJnSXyeChLl988HOcqK4Z2PPnj
pP5uSTj2hlbHp6aqDO/+Zl6msR9jQeziQpfhkFCsvBwr6SPJTI1mOjn96FB6iOYZCYEeVWUvmS07
dNMSqCOdszxy3Mgo57+7XlFoRPd0OQ5h4YTvZFlO5nV+XL1oJcp4m6gcNekxyYbsl2GgyezGqpLr
LkvaBt7Q+cb7/Unc+l5I4tGmF9VtqvqXc7DtqaLuYYwnvintvakE+oHH/FTukJysV/IREWIuDwRP
DoI76cIHLGCxQ40ANq+pdcopw6bYUzWp3/A6DSZXnmT7GNahsssr9K/bRJ0DSjHJuPLyuD6RgrNC
SVnMVvTPL2ebohRtwrdVTwMvCmjvZvGUZZPsDqVs/htFRf/t/te9jneMR86OvBkfF5bl5XiqX1dz
SAv/JLW2vzWtJPMaBt2iZuw8SEEZbOwQ75b7g96c5Ee7XiDxyCQuByVtx4MATMKpRH9hB8s8PWRd
1n4x5rbc5iztyjm43kI0rkUPkV2EM9DSW6NtHSmd0aQ4BTR+zrCA2sbVgk55ncYeLZ/7k7u1hWhY
AnykRE1nb7GFEP3Q6jxptJOV10oITcKh+jagplO7xGAK10XL2zHQh7ja4lNkfc0iyVozk7taVoca
EJkKWYqACixFvmkelsjjaeYJIIYSuTqWLLsJfCQs90KeXMQU0GEyVnWYrgI8w+Jpi7Ubwjl46YmF
/5QbZpJhDwakjVM+A/w3eQzTkqQ6s4ljyThZqDwerUaddjZ2yfv7n/1qT4Ewpc+GTySvM4R0xbJ8
GpoTLUmhNhsnrCXiX3jSxo/O5Fuveqnm2yHCx/B/GA84DUK01Em4XC7Hs6fRnkRV6KTHek4ItejH
AMCIoy92X4S7Gp/2lRlerym9JpOeJlQsS4G7czkiunHwMTirp1GShve8LOCLYvzzICk1nZgw799r
cGFraik3RkXIR5AqBbGNQsLlqEk2Dym4XOk0Rda7Ewa+VyhKt8nEYxvjdu13JrfNGnb46sASgnlD
0UZGA4ROsvhRnxaTzkCK27AqnSAoZH+VrcmdpFXle99b1vv9dbzesmIoyrLkfLztlyA7O5F1XjCD
dPLNSD6WQ1jutDHUz7WG9eSg6zw02p4HFZq2a0D7G1sW+BC9WqH3yuCLLVT0ZaeMURicNUR2p29g
/qW/OkfKqt/qMOfqBqddv97dn+6NMWlFU6cEEi4wq4vlnKpYsEDr8KzHZfGvnU/d4zha1Su0Wdkg
+7HXnMluDgh0AybfR6l9sZT66EiDU6rheQyDLHR7FVUrODM/kWrOXUlOjZVTcmProFNMkVlgFk3a
4ZdbJ21rLZsDzTlNZRQ0JC5oGXlSh32sm+nEnZVof2s4DMZQR/6A9i1f+72JxfKkWT4NSC3ZGhVd
RFdWfXmv1kNardybNwYDVsczgUzOwJV3sWHKxCxJ56LgXBodrHIt7KXvdVqMI6Cc6j9/vFFgYPIU
p6iHMaohKjefjiAStl2txGl4TtUiab06yKL+sYlzS93Ucx4nOIslOLn9D4MapMZQWYnjy8MYO3mK
GaslnWpGz1/bsNEhfdmNXHtpOoXpQ5lhareSHYgdcZHzOQpnUKBVuInE8/NypkAFmzBzsvCMNTv9
NToHEjonTift5nisyme0754TXLBW+AjXi6mCz/9Q1UbeDrnEy2GVrI54cGXR2a5V/G3ARhpeUY9c
KMr05xuHsQgx4D+pFLGql2OphZLgc1dF5yAP1QPgVu0BGHP3jAZCsbJHr8+7GAqolsxgkFfF33/a
N3Vr65NW1lA46iH7ynadfqKDUD0qatM8qxOD3t8yNz/jp/EWqycPpS1Vsh2ey3gYKrew+ql1A9WM
pb0d52tl4Ou9wuxorQlLHq7hZZZRSwoBWmN2pdPrk9cFNuprmZ7mLoTH4suMDMUxR+3o7Y8nKRB4
vFtFDZ9+/uVHVaogFP3M6EydL9oraeecAcNBIgmlIlk5gzc+KM9k3gQWBQGh23A5VmnC/RpCNTp3
TOvdKTVQC74lCPxFqq8cvZtjsSGBiwlh3KVnS8V+yOphDs9TpulP+BdKz2k7qN4wNWtvjltDARyh
+UhNnWfHIj9ECyVFxk0Kz3M4Zhw3VLAalHuGJvAIoFa48hVvHAPBQuSmJTsEPLIInzH7ssOYPD7X
MPe/mkPxPoSmBE2gU96ioeu+3d8g11mMUFv8/+HE7D+dusksQgMWfHjOhxnwCWC07CFTh8H5ZTdm
9eIE0E/emqGEBpTwg7b3R1+b7OLMS1FHwacJ4rPZRz0vV7V3fa78r9JQzzjO6NnKtrk1HpFTnD8a
WziJXM429334c90cn53aHo6JE0vfA9vqMbmdjL9qCsZrNZubA8L4gMtF4Zck/HLAolWLnBskOveT
43+XRzV/Lsyg9Fp7Tg/gdLsVmsmt5aROD+GFM4He4uK8O3qnVT1orrNOGVJzGyjM8nM3hdWwzTs1
n/dOV8nWcYjGOfbo6qyp2N+aL6otQjMfsDmQvsv59pLVBj5N7LNd6gMtr5I8Y7KqU4Yz1X/4Gmv1
5luHE+C+gLOKpuuSK5emUqSFjR+d07Luv6WDUNjVAJQdTLSf1rS/bw6GLaEDa0CAEhZHk+5aD29H
Ds+F5DfdS9321UEtyqn8MoJnWyntXhceQcMKlwryC/JuekKXnxLbGWUAFRmfM7oZPp1KxFG9cYwM
kDrO3LooZ6S/bJAunhoODX+aDZHbqUryNFLXO9w/qDeuL8HogbkERJegtJh6nucpimUlB0cpTONF
C5yR1gym4w+Dz85Ga6ILoz1FIDBC90despxFbiVor+AX6BEDhV3EX7/NIi3t2uQc56ofbyq/nd51
0689s0kc3dWJ+/xXmShKNlFRnvKhyovN2BrOl2nu+udWLdcw3mK2l4kfcgiiPPKRHKGzf7k0WplZ
kG38+JxnRjZ5fUzBxtU52Lv7c79xmjCwxSAMHTMQcMvaczBCrjeA4Z1VvRx5Ssp4ecxzg1AbDav5
d1c11uv9EW/ED5o3tJ4RH6emtyx4qQnXOxYe2TkNMv84TTTY8AGf0Qzw1fk/UeVI3xpfadwIlYYV
z9wbkxUIu4+HLa3dq3eDGebJOCOMrPX5uWrkdvIUM6pwlJVyVIvM1dh8YxXRRaJgiuAv+cpyFXu5
p60GFvSsxlk3bIsKFqCLfgPmM/c/6q2jjKgxpQmyImBry/d6F2tGjdJUdq4jX32oLXp6UzOrv3nI
BI+tnkd7U9Naj26gbniitwJScI7RVpKm95WfIm64z1sXECU2DYKSQUbDO2lxAw4KUE05nhScicmN
Obe+soNwHFEitg3XSEOUh/sBMfkHNCOCfZLO+tvUrz7ul/tM/Ay8zuFogBTiASxC7ae0A4WEALRx
rpxgCCY7DRjSz1LOwm3Rk1yNPpwd7GwL+x85d+gM//k3ENRIKroOFAiuj8vBSxP+wIhezCmT7SFz
1a60EZVCKOvBKfq697R0bvcy1s3+oUrj4nvboZ3sRpkW25v7P+WqzyKYdaKXQ10FoS7g0Zc/ZdQn
uUviRD4VETCKo57B+/X8qsiEsUBeBZw7qTNBUplq9lZrcA4fO02ZlNciaSQ8yEBZom/pSF29aYO6
9lGpiLq/Jb03KSqmpjYOHnhPf/CUcdYyd8jMsNrQlc15ftyfyvL4ipnwbBOvYcxeubEuZ9IXkzpU
U6ycitiYdnWNMNeuVSI7fRz0GLhrPreRvXYjL6+lj0E5G2DZTVNoaF0OGvl9F4Rxppw4dU74zUB4
ddz2XM8ZmvJOgSNHHNHlcqsxJ3W/P+FlNsDYYE/ALAkrEIF3uxy7SK2I0oaqnnCLV4K9PUjjvxWI
1Qy/+mxNTvmqxS1Go05NF4f6jcGtcDmaNuMVoHWDdoqbufgaynq2kVGcyVGOrgb+NwSUq8fflH7S
w209DhCP1NpcyUlunFrg4BAIuBlgti13K95hY0VxSTsl/jQ7j7IiVRucGo9YjtbIexlOE7uNZhVP
lWOtETZu7C8Wmtce3xuM6rISgWr+YKXzqJ+6LFaejWaMaw9fHeltciJT81BHLFcO580RefABneTV
d1Woz1O1ImHVdFAFRu3gMxKHO9y2ff08THP8k+J95ezv76mbH5jZUdalVicri0NUJxKNusjXT/0w
BNOuCUrgWi3ITd31NU16amcnVTb9qPvndJjXet23RtdFwxcQEnXtpR69GdZVodNbPjnZ0IcPdgok
/qCMVo+4fNH7v82qsLJNWLdW4dXg1auVEyUyucXdRJuAk4qODNWKpdqI5iMwgiSicurgPYxvVq2l
X3W10D29bNPgwR+76JfU9ln3pbXC4XsDY2iNtXEjoDCywU0twJtIoV4eM/C4RRnWDldDXbe7SKn0
F6uprC/y6CshYCKJThhKPulaMLk5Lq9S7Ado3YLkuBy3y4ZhMrVUOxXT7H+zkYx3A9Q/vlhq70cb
EM/VX8FQI3hyf7/d2uJgG7gKBTQJCdTLYct06Clh6NppmspYyl2965K9okggWCQa9+rXRJX8P9QB
JlpirCMoiNCvKHMsFanlLIraGqDYaa5051WN03yLUVOzUyImPKjNmvnXrW0tBoReSMZxdUnEqLfY
NTqqp9qXrfeuzZ3wS67Wausmetb29DSNYTh0I/WqoeqLlZh56xOjnAb2XaAyr+5F1lySy77VT7GW
4HTipFPfb5AXGfutpUpq5E1+pPwvwRLUCtr7gs6IAPflulp10/VqnGsniR5cjWzZNMqu0URd7LVK
o7/YRbxqo3zrPmSrCDadwLUb2uWYstMI8gx7SUUwpfbqAfuVBwWh0dRTgqltHv586wqpPd7HdPuI
WJfDVQPY/9Go9VNlBPN3NZU6zqwU/2qGoOm2qWWEa7WGW+GJZzgld54L7KVFshH4+MkrZmOeALf7
R7XsimxTjMVzVddnqYzTnaL0iU29elbdzPfLlQnfCBEWxeOP2EjpauloQ3caHyirME/NNI7mTup9
M0D2Sh9OdT7O9R5iN0wMPYumdGXkG1sYniJ1QvzkwEAsuZJw57mpUss8DVKhbVHa0jZZVpjO3lEz
819+hyn94VuQEMGINFWgR/LyXWoPG/DVR7lSzBOMfoQkQyWst9j9zPsRVvt5bv/UZexjPPJHoXQB
Y2EJvYgRUi70TLZOBXypXZ8peElKI+XO0DFmxAdHxC9orvwPOTPFa8oqoMNFm3yxoxSb2j9acdap
GjQ52laGlvRIKjr/SnHQqW5pIgR+/9Tc2MPgBQV0hvc9TIlFMWXSZpldFFmnThqCrvPSMQ7/Lrs4
Czdy3/nSg5ZPjbRz9LnAELu2VB4d+bRGOb4RKoh7MCSoJVGpXJZ0QLAiVBHp5qmdVK3fy02L2XtG
YvulzZBBWUkrbm1fWBmAlKggUfpazDkcMAIp0sQ6zWn8dW4H05UqDDlcI/a/dR3Q45Xxbs0OvK/Q
LxZc02UNpVabcUzzyjrZRFwYUkrdHrOqHyJPD9q1LtatqECgR3QA8UKO6OIGpz44dQGl7lOTSPN7
mPVR6wJ7i+ACxvO4Bx/abMsA6uLKJJfFE3Fi8P4WiLf/cg4uw6+mjiit6r5xwmJB912JSpHu5nY/
roxza/FAEkPW5tnxf6Sdx47cyNK2r4gAvdmyXPvqllrqljaE3NAkyaR3V/8/7G+jYhWK0Plx5mij
wWQxTWRkxGtm8aTTcXAE9XozM603kWaheRs0vRjRkwi94EWJ0+R2TIpm5YyclWs+vg31q7k5yJtj
ScyyC1P2QnGtty4sA4xExjBreL/CiN/ZkeIWm1FOQNeNMk3vvCwZvwkv0xC+rKKmfCiE4o0rOcSF
DIZ8nEcmx5Z6xTIxDsWgYScdWm8QLLXPmVZ1aJzkantTFN7k7Fp1StAfClN8sZD3TNbQoJc2tAGW
G7kakB8AHE/XoI4VTdSVNN80o50RxmObOr4V5IW1TQyE4FeS0kvDgbOdcaeAlfjzdDiaUTXHsjXe
EJszmxvDKIfyUMDV8h7NrFzVcro0uYAjQLxB0gHfthgukaXlpEZrvfWODGG4yuGmqyb1Z55lzhfL
Q+GzDJTkxSm96b/rwfjS3gba4tJJQObPXLJJG1fmWaBUzpvSJtTepppalOMl34FUx4CHsnpFiO08
VlCjIQ6iY0jxGpDfYmJlmaPtHjGxRiBe8zDpxL02Tp3YTG1Y/wwCp27JxydKzf/6oWwaNhDhgurx
mTJPKY2R1U6tt8wzi20i7GTa9iFwu096z6PyBuCNtFdSiPNdxMOdW4b4NKsOLA2okGYd7SIHFVFP
cX+QcRnbvhCudXD0pFmjPJ5HQ0CbSOmho6GjtrRETZZZaNW1yO23VC8q2Mj03fhT69aEDC59FPUV
bm7EShhpcRKNIZtNJVP7DYEW29rqORfMl8prpl3RYu9zc33ZLhSdOO9z6YxIT0t/mZ+4vdvA0gRn
hlZyk0PT4brZBFJa3gZ1YDQ4paLpd16ZWvLWdahF+smYNV+DpGnfrv+U86PCsxhAOuo5Ks/GJYOm
1GvEZcMwfs8tVRzDuomxVSmw+d26LXrA5jg1wcppOY8L80t8Xk7o16BDF6clHkGKyawP3/XA0l7H
yGqCDQmG/Vo1JjCAIU+eycAlotKZsb3+tReWmcDHtUfPZ+YNLUKSUdZ2mpq28jaAALw3FYiDmXCU
zw0QhcP1oS5NLO9xWtPEBEQq5ln4qxCfwiCa8kGE76gpVD46BeGzlwTjtp3SzxTJrdfrw10IQdDK
CULQ6CGDLUvvPDJUTFSE8pbmEX6+6FcM4y5jweOdWUNYDP1qBB4TOsNaPLhwRGmMkyQhMjrrZc0T
8deH1m2I5pgdRO9tUIz2XnR96BwaJ7b+hwnliYSiJ/IfwPEXE9oZBTdKZMXvGr7IBzNGDn/S4Byk
7kSNI7YU6rPX5/TSEpIh0a+hxcQjYvHwrsj5vGQw4vcG9k2/j0FZ5QdvrKzoBgiuU93yVitfro95
aR1nwhFIClRkKEufzmYmAvSVzTF61xsIzv2kDptMQb7dko33YrdWtavNbM2F+tKxAKEJdZC7hDLw
4kQqE9hsvXTD9wg61+AnRKJbPTaylxqszMqVdXEsXgz07QAUYuRw+oEJClUKhQ7Qp2lfPqtCLTYB
2g/eVsLHzlf2zKW9yZngjmR7gj5drGDuoP7lIAHyLvQm+6FqQoaHJo3LfHt91S59FMpaYGpotILi
XSTTdTRVtSEy7y2NnW6PD4wTbIymCY1ba5wQd/n30XiZQManx4qP9eKrXNG0Y9ho7ptnD9bnforL
//JitKaNlpN5rHzapSkEKYzkAF/m0Jk/Xa9CR9Ku6WPvzU3UbD8K3GT3aYDW0O76R126FeaGzwwB
YXssk9OZ+uCKNg3eKMpb2Y0XOvEjUdV9nLTBpcMWu3kHNgPdrB/h4KnVyvDzCp2WyHm7A8hkk1Cs
ODsCqspXIvupvInJczNfMbBlgigq72XdQbAcvHJvNmp8QLtf1Lssr/Mv17//0sGnIkMHGXwacXne
Yn+FUS3EqC1ICOBRWwSPAZyQR2GGyUNuTenWCvEPqqvMWDmMlxIR6m5zXwIaFzpx86/6a1Qz1zDm
DVhdKomVeJSyCvwan1fjgCuBiTdWHmSh6yMwoev3tHOyp8AKavM9h8785/oEfITT5RJQdZwBjjxI
SWhPf0tItaorPBm8ZSleAH7FdN9A/iwCiMVac6d2XngINdHgwDtaBwWUYrYZjFHbBTR1xk3qlGJb
WvkafP0MJzNfN1Dwab2iikP/aNHZp0uU6vHU22/SiXP1szIA+KKDhCzQzkpD55vdtkm6UVGPCSgI
19GApTIYMj8Rxvhq6HGO20ONT8/K2l04MLOqq06HGwwqedTpdMWO9ALDCoM3qRZJ6Xtj1nqb0RQU
xAESQ88onSH5ptZoc9zpZSXS2+vrdeF2RDsGpURIuYCllxnHgLWcW+PK/j4OtfUYx+hH2ZWbb8yE
LFazrXENsHThiFJ0py6C0yF18CXkz6m1RtWpU761IHuyn2ZedO+67IObcixV7xHtnAQ/gjCz7GcN
sWlvU07hWqC/cEqJDVRLZgQpFoSLSc/pbnXBNClvcTIF0bbMPZWUtQRf+bsXoPI2vFXKwKeygf/Y
9fm+OPSHjB8Rgir1Iup3NUpuXQ2vYTRk3d+kBg1i34uNqXqx43j40094jGyypDLX2oeXogShmdtm
LlMz9HxH/BUluBsSvcP88z0Zum7ntmGyKdTA2ssoULwb9Oec/0p4C0+1mVcHNW+iZDfZlbIyAfPc
LuIDHWqMkSivUr9YlhvTIAP/LAzlTR9nXnAxmsZLXWhJ6FOZF4frs33pdDEOj1zXgG+xdObBBEEt
q7CP3jsIkeonVc91xcfbfQy2nSnCe7NuXPEHemx/yIu81leGv3S4SMXoiCAgAUpvkVA4k1WksirD
96Bqkr1X4Jc25XlJQSyvPicAt+yVa/7S5IK8ZG5nwAw8k9MlnkqYT3IqwnfkMIOb3vCCrTHW1ra0
83pzfWovDwU6iVnlpC4zCsVKPVSwrPBdG3rxtdLnxF33BtvXms5ZY3RdGgwyII0AXpXAZue//2vr
jlPIxZ4UwVuv6jgP2cKIxn2v4Dixc6xkWlNMWGybD0EKGgAksTOtlTB1OhyCLXUvCvSfRhGVn83E
LlVfKKp2U2LvjE5GqYbVTeDMSr2QTexp/09TOw9Pj5AMik4arecllwxzJDfkGRY8onYksULTWxBK
3WwtgWQijh/XRzv/WCSZZhDHPCRP+Tli/TW3pebMZjBSfyxknAMrS6OdY0bZ3gMrdWO5Qt563OTb
KhXVSglhGZH4UCp7NKYQSGBoqKSnQ9vtWIdtNOmPdhMm97hCx7d6GtmbJmFv+SB3sm1RNPpjU6rG
jT26jY8BQb12BS9OKb8CjNP8P6qq0KPOwLuRmpht0pkPAQ4Px7pFLiGIeaIFQo4bHdeqNSbz4g6g
D0GrZUasglWifrFUh+g8yDRybMiMMzH9KavkWz+7yIqBEkqWNuYmmRL35voqL04QY1Kxp/xmzmhZ
NAEXkSFuXCUECZ489lKJ78N2sH96rf099rw1Q+ez6WQkWoSUFz3+7y79IUcjMNWqV8XjJCQgpFEL
inJr5AA4EFkJ2+/wIZu1pOLS11GCmlGqpFC8AU43Ult0dUUDWjymSZPfTmGr4EHTywmnMCV8/feZ
nAlmMLFpHAG5Oh2ri9y6jhJbPA4BkkduqGk/DKXPfxp53Indv4/Fa2a2P7HmStviuyQ9B9o6muBs
FijfVJaxDVy1vQX6mqwUhC8tG89rF+waFShjuWxm1JGnBllK0Cnmbd+qj3GfJAcrwXRkl4Ras+Yv
fH4MKM8RcRgT3AD4vdOJNIyE12HNopFbJ1+tOHG/uoFbB5i1JQ2nX07Q+cfCWVNaOg877FCOIGAT
mmbA9Ja3iZqmKcRaVtDroh+5Jcxdl9aAm7Fza/bFODrfbcXTYtIwc/pOq3L4SrISrKztIhH+OJGz
nhXZGOx+WpSnn9+mltWNU8yEt+rwrDLzVlT+FuHQqbeVKyufasdkbDGCCTdoka4pDp+tN7K7ANln
KzKNN9mS6zM5EIjdtB+PZpPK7h4RU7PZlTjclRaqrGoaEvE7K1iD9C7N5OZ62Ad2AQEHxK6sJUyk
aeLSrNCnODoiLnlf5aUiPtPEQpxnU1ZFJzscrSIMQxpn1D7R2JPavQwsyB22ktkaeCA3+Y3ToWz8
rpMQAHwqLE5/52RWOj44AfL1PiXO9uf1k7h8186Qt7moQQIMJourebFbe6dAp7gr26cYC8utHMeW
PmvUAS+OcgPD9BrjPqdWgvvI05TPsZDeIfH0ogE0pZbqRjVl9NoETbiyiz7CzV/5NLVFyB9z8xeA
BL7xS4rPZDVeIJWue+piPNH9IafNuUkbxT6GRdw0u85sqi+IaEX16LsDvpNNYZv1dqgrN9locVEM
L8KC6blRY91LjtqQKNpKxDzb6TQKZmYMDE+efhCETnd6LFtTqk0intRxKNxNZOgoOrZW8pTVGBlv
ZdLX5t4LWhc7cTeo6oONWNUa7OAs2vC45grknY2X5DxTpz/CtWQPR79qnuwMpfgWIuZPKynVeud6
Of0LKbptbjrT2/Vtc/7pQDWArtOeBxWFFNXpqI3VVlWn2M2TBHO2H8qgu7XHhCy5QUXeifWNtLJk
q4yF+1LYTrcS0y+MztMHGAuYaJKbZelbBsiytqrXPoWeijJs06vtnnZKrx+ogqvhDwQ1mmcw6wUC
Q106zKpNSNeu1MLPAs2MEeDLOfWk07xKTqdAhnPnSvOaJ12xg70LZ9lnG4+/3VoLNqWuVN+uT/mF
8WZ7JUCFqBTgl7OIq5VDb8Y2zORYU34L/WGszHjj5aJ41rJU/rGRwVl7Zp4HB25oin2cQTLIGZt8
+o2jm0jkzNv8GJLmuv4ogzFUfJJKxUBfrA2wc7aNqOLYFZmp7rJBsds9qW9VSL/F1eirpVN8eAAC
acS4epplpA4rgWL+CadxAoAaqQT9MoIEE774ibKPPL3s46Nej1n2NNQjINq8aoOvAsGsNVDp+c5D
qodZ5mJh/9EhOB2N4RNr6Mvi6Dn5SH1D6SP+BA4DF+xz2bjf0BA2fIQW7LuxjNVVvYOzRw2JPA9T
2j2zax5Uz9PxqySrEjis0VFiMnoU3WAYG6jrMn4e7KAMHiOoJe1XusR4zzpQTIqnqBNm6pcE9291
JcYAGTXL/UpAq8JNOwVeiEcXz7F9qma8QOpxtECau0Vi+8WQFLpvOVIfDq7QJR1CKycLnSiC+TVi
I+ZTzj5/RN0xeck8uO5+G8eoMLiT7h1Kq4ed4gzxNGzrEj2EXSANwDx+YdTYNkKutt7sOlA+JzLW
k5codJqfHvIY0StGYrA2wtBj50yaNRFHSqG/pooTfLVnd4c7exrGZOekTpD+Ac5WF/eCXpvxJY9V
6GOekVbG1orMMNhCt+rKu6wx034vxPzwAbJUFnt45NZwl/ROZd6X4Lm+IQlZxBtrcKb6VsGK1rjt
kmSsjmwhqe2H7oNGIz2gNo4S1g6cU7WIlP31I35hd/FcpQEMLASY9PJC4TLJqyhP4qPVNP3dWMnh
VcdC7iGg98DpM+vyjyJKa0REU4sztlm61rw5/wUI/KFLyxOOX0BkO91fNLwoF1NUOqKR2X6qlDR6
jaKs2VaOChm1Tim3xIpqPplxEexBw6nbf50BTjFKkurcYaQptigjppUzoS+uBxTyo7jaJ9IDVesh
EpVudFdM1eB71WSb74nblo8tFap0CwB5Eis3+0c/5zSq8OAixvI7Zs7LUlI3texxkp4eH+N8mhwf
Y8xY/exWRv3Q910NgU7PsgfuZecdgpNyh9pH+g5JOHQ/TVz+AEKSokhetYAe7DcrBbN8n6S1Yq0B
UM7vBJfH2qwyTNbJhC2u4bosJ94XiOBD6GPD6An82CjjavKVqCNSQ4WXv66v0BImR2IGYY20cWaE
ghBZjhnDIgM60uXHrp60fqeoff6K5EpeweKbecBpZOFs7QttBqlMkWdkGz1X+sdeS0rMHxUjFNa3
67/pQ+flZLnmNJE5AHxJkQlc1em2taYcKYg+054rWaXeUxFEbfM8gjXTH0I1qfttV0ee7ae56UUv
ozVYyqMjihFPI1V2ka9XSZS+IjAn+43adKik66XSiF1Xjbn4iq9EXxyabOy91wF8UbiT6GE/VSgg
DZ9Q28yGfREYobqS5HygehYfRasPZTTuNf5YXvhG2Qq3zU3jGX/u6VYdw+mX28rc+OzoQXgwmtJL
3uKy5Fx6ES1QMIlWnd6aTdu8GcCr0m2Ek96Dbaam+ValUfng9JQrDjiitcqDlosu++JZcYyQlNPp
yqbKnewtDcCQrpRozt+lLi8VgIyIoFi8w5eZUmT3eeJkaXtUa9TcILkaEjihKmX4qetrJ/azSfGi
myy2+k1d6JX5Iug18q8MdrPG7joLcB+Pck40DUXEZpaVhzhKujbPuuGYZ9LRbpCAC59oUcu7AP8a
+iNp9q0MjBifDqcbXqfeXaP0nR1ZfgBjA7ACZHVeHeiCRCIi7Q1Hs8UI0G9o+/7O7Cq2Nr0GrEht
on4lpl6Y/5mdOet64vDLMVkEVSMCFWJiw3OEg2P8VPvujsJzsp99PvyEt7jnD64Iyo3mBPK55nX7
SL1kjU1w/kB2+RX04ub64NxFXqROw6CXRsNL5IgUJkKubVmazVbJB/1Ogd4Wbjol14ZbtUP/WFpj
l98bg5vEk9+VmTHMKiSwlwdlMpJHy246c6v0NTRxzUuT3u+t2unpa2lrFqPn0Y5fTc6FDTbP5LnC
eRpZtDrA4R279WNdF5hTpnr3k0sjm3ay1aenoJl+OfxIAYy+cnZKraCtlfT5iyJt5R9pAxr8WsiX
UNbndqrG0+f0p5ixGbaFmCewMJ19lLi/TaQ1XlXcc59EWhfevxbQGe9Dvhq+FsIHy4rGFDvqoDfu
eCSGV0jI19NzUbvmwY318HPUTpY/DR7nw2kr6/16QD971IK/IfLRg6GbyfU2p8F/1e6p01fUrjv7
ONVd87ULRA1hKgw1ZwdrSnk26vS/WHrt1+ujnh9NnlcUd+kXMLq5LBViGTl4RW05Rxd9jc5X4kjs
O8eevmVNnTy2Zfzf9fHOni50mUjjZ0DJ3NZaxqLa6aq6VyLrOE2AtsA4D69tU7Wb2Ql9JQach73T
oRYTOtmiUmB/WUcb7HG8cWfO50YFtrWNyqjfI3oXH4CzpzvocMkR4YK1ttp5RgUJjvNDsX5ukp7p
KYVQMbIk8NTjgGiguDWzoqhvqqCahN96ZXWDpDCdNjtxs19500uLRAFh+tu0Kc2njnbRT2PqkpcS
j6d2g91nvM9FNK61TM73HQVixBoIUTaycktYpNJpxUDmqR8LpUe5Wx3arWpX/StqJwiR6cqUHoKw
1uWKJtn5xkPyAeW8WW+KSO0tTrbtGUOVkJYf8dlVN4HrFJs6Mp0XCbbhhupCeHt9430AAU5SC+gp
yK6C/rRomVPGOj1fXh0PZlF0zhGOjK0dBLmE4QcitTW/UAGl3UWN2rRMgD3cam1vj/smrD2FGxk2
2qYzylzZJLEVdAcBWu7I02noH4ypVTCJGk31T6HH7nhwmry5aTV1DEB2ylL4pTs4MtsEdOy3UjdS
bwe2r7cObaPha6XHotMoHpmu8PUsH2c6nTOF21pXLPFitZZ5CPDJRLNKVfrPVAGr/Puo1fpX05gU
IgPNG9fv4qK/jZpuDO4qgKHvGbIwL3Fbt8FDz9tY+hX21Ogz531j/bk+q+fHGc7IzFQH0zf3HBfX
LFBw2cpKc44NTbJoG2RWoOxymAC0Ots20DfXh/uAlC4XkQYDtQ9Kz9A9F5U/8HuK0tWqddRavEQ3
hjRJ+YTm6n4F+/bglE49HbQxbjOfN38nd0ZHuL4FqKrcRLGjN997mZGCJHJCN2Fu+G5bjMg0P/aG
aEKvRGjU8uqMZO3ffzkZrQ6OCm06mjOLmcoKqIthL5pjEILGdcpMj7b6BEHVoUxqvYZmq2z0FC31
/zLRip2gZ+U+a2WTl74NkUHbxcDBDlVBhWCjqK3shK+m1MZ/KJ6U6FG7efqZGQ+ntZ7yeRidRQGA
4UMnAyO6vIJDEbd2iZHEkSOBUlksI1/NHeOulrLwK0/xtvlQfvc65OG5Q/65v8pTlM3lzGgBaHTO
4tRiKuTmom+b48jN+aJ5QfRdjrCT+jg2D9PYVl+ruuvWSMXz1bDYZjPtFFEqCvLg/xbbTGlSZUJG
Vx7rAZeHLUpxwdYpXOOmGOpgO7hV3dwSHrObLJT4hl3fKhciI1kICBPUCS5QoKQpLQRq0uqYoctw
o5aDjDeqG5C3Unt8z0NV/Lg+4IUbAMI2lxRqE+Axlm8VRKmknY1Jd5QlIMvtEMhBm8XGQ3Tso34T
dUXIUyETX64Pe2GSPU4Eoo3oiQJwWdzPjSinyY3a/ujyOkrf+QFYRToOnnowZuqi/l1RbLEe88nK
5WcnGJuV2HVxfBhJ2NsT8OGmnl4IGC7llEFke3QxMBCgPzD6bY0RmPzoVUHKjrMRlVfG2o0PUrHU
tXbPpWmfcSkuAB8a0EtRJqPHVzLVRHdMMPUofbNBwGVvul3wYuSoA8JkUCh5D0r86/q8X9hfc5JJ
6YBgxNQv5p3ultcVo8d3T2V/q/dQDP0IR4+fehATTfvAW0sxLoRtk6ME25i+N9fw0gY2B+RTsnv7
4+A68XCXD0b+HzE+NbbCsUV9j7C9+C3mvuFBS73gV185nbKtyqELNrrS2ea90etCOSh5pWDqFtqi
oCjm2JmPOGsLgtx0E5S9u9jeXZ+rD3T/aSTgl8/VH8rfPGCXaru9nuhSjvl0TLS4f9EhRhvbAlky
GvhGUDwMoUieo5Ca9GZCOTnaKTYJ7nbquqa6r6MolnRA0ZHzJZYhgGGxDS390aMRvIndsvCgNWay
9qnJFsZ9rkldvBetLfqNTAfnP3VqtLfJGjh/McVn72DIHi3TfgpxKb7+oeebAm0MZAxn/0U25bK5
NaSOVhiO0hzZqslNxaX0JeT1+ZglerzlVHQr6dh5r5NLkMM3a+EDUgBQd3r6Gg3TZ0+tuqPmlkhv
+W0+wAyEnp3/jsjFlQNR0BT4abmT+T1q4/6eIxR5Owt53gQ6mIVxqBWXaDBIrY1fNHuyV9rE51PC
cs+5xmxGSe1kPr9/PcgUtMaToTano+5FmuG3eI3it+TFdx3P4z3CzrjVXV+E84jAiBSj6QFzPEnK
T0esBjiuvdJPx8asEr83U/0uHJTXwC2ITxI1s185gehwfdD5P3q6w6mTwLOjmkiNk6f26aBYkmAK
F/TqsRvRHndtr/mOzPI7ZF/9y/WRLk3o3yMt6grS7TK3ahr1KHU5bvNcmL4YkFl3U/WmH5zq9fpw
54nLDFun7MK7lkf9MjcVrgmXuCrUY5GN9d7p+sDZU3qy0p91PduVCL0e6GQZJoqSchKu2MSDGLw1
WveF+cXngp1OQQGnzSXGqI0zzxmjwDo62lhNPv15HexfqO5q3L1WTtWFGZ4TcSI7cDzEJBah3Yzc
Uua95HXSpdMBGMWIXqSVYnlb1fYtT55M21+f5Esjcn+Cwp+bN2d87SioTKyIB+2olUr+KXFEdPAG
cwBgn7XhdurrtWTlwnTOlalZVG8mgi1B7lVYazUQLf2Yd7B3d2Zmde6zmpoe/jO6Hpgrz9R5Ty5O
Bw5EM8oZAyocJebv/ysIYCeme13laUcZE2AyBceDAyXWSl+pfJ8nIzOCkI4GaSf/uIuzoUTFBFBI
6Me+ke1Gq02aP6nV7zPclzc8qtRb0KXJFm9Pasf/vIScEN5Ts60PIK7FpulCwxhKKrNHkZbiLkKU
69YIQJvg3d5u80xfhYrOoX05pwC5Uc4nh9EwNTyd07iktohDno6NcW5uhigZDtKr24c8DaMHLUi8
jYcRMMr2hf6oBKW3iat23CHytupMcCHgol6B+tgMaMHTaHEJ8cYucwPrtCM3cvp5qjTxG4v69MYk
7PZ+rmXmtNUU3VVWzumlTUxxGgj/XHZD8vR0Btq+GGO1LLUjnV7j4PVuF/vKHIFsI3BWrrGLY1lQ
qGZ/U9qci2+k/mQKaMzq0ZJl971MlOoznnqAoDvNClcusItjzdgJnrrg0ZbYbomYS6QPfFdhZMPv
LgjxheVJ25k/ZMtjfuXMXFq92dcUtj3C7wDzT2dRS0xvqoDPH5MGhR4k9VEGTPJ679Xq9I0GPzyQ
aoq/XD8tlz4RVAgYoHkLA605HVQWCIe11aQdY7TmX7RQqHeZXmK0B7yArun/MNjcxEA4lHrp8u5o
arcYA6pnRymmpLhX4crvDFdBjzhWUmtlOi+E8lmigQIFyQ4ti0UiIHu37XuREMptK/G2AgNelXe2
p38vy17ZtuiW/6OtBAVAMk0egKTYSLKxhKeTOUWQ+6WSGkdHccstBCoj96XjJls4JIqvVYazZ0tr
K1j1C0sIdIzClfoBZ1kCSkanavt2Mok/caF/49pOtR+UUuobLjnTfLm+hBdmddbOpAMEOJYbcnHU
XR4H3jTalFfjKr3t8+5PUffWtkkpkLM/YaSt7JkLp2Jmt88JJE49NHBO59Rx82KIKWkdbaNQ219d
3Xn4CMrMag/s6YDqt4415rZBC39akWS/NDS5hzNbohgwzxdnI06tBKWcxDgqjlI8g9jKxMExRuRR
AaqJ7zyQeojwWf+/5D02/HM0E6iZzIH19JvtUDR5RAw/ToottlXtZO1Oi6fgcQrd8qi2MHe215f1
0h4iqePlArPfppZ4OmKIXZFq1IZ+pGqsPMe42zjbUnaJ2At7ysTKxF5oyTEG52RGaIDOWErADVoB
vRNBgeep4jHoRl5mb52soWqQK9MdCVq87zSR+32TNXeK4YTxU1Qo4R3lFO3T9S8/B8i5aN8BOZoL
gnMVcpGquEYaCgQM0uc4tFlr2TWG6cf5EH+S1TTcc6s0t3UyFojx2z1CEtaACmAxVL/BSlKyhisl
NxCE1lTkzzMoSszUNWZBTQB8S0d0rQIA51hN9RzA/xB+HBSkFQC0HkD9UA7We+WzAE8FNQ1r75V7
70K7mc3HY5a2ncmpW0ohgFwTUVybDZu++IO+Mqj7yLIeUKFxDpEmsk95lXe7Ro9N327D6q63km4l
0JwfPlcn/2ZzUOOnyLIINFTGsc3N3eGZhCZpN0MM7m2gOvLSaHbi+aglYZJQQhNfiTfnAc6lbkBp
GMUm4tsSvpQjWNolXtE/j4HR/Zlcr7mFB1QrX4DscwVbZuiE/3xTgSqleEVSPls/LGvp5phhtdRE
7jELtUNUCV336yaRO8vI3E/ZVAY/rm/588M+PyMx58LrljtAXcS1CFmdJmhVBx+ERv7pus6iPGrP
DLZg+Hx9qPPTRSESUA/5ExR/btrFWGYWctnmonrCvmq6bc0hv20RoxU7r8+COxOB62MXteouaoRR
bUqMRL5YRhNJP7O0+D0yRvkrFppsVnb42TsIlgV4UyIP6wxkXj+Nd3oVlA0KldVT1urlH+j+A/wm
Whny5vr3n+0myKQz893U2c1cJIskpPHi3NSCdnyCyQGT08wjTozZ8ES36jD/E062vf//G3ERzoLE
bswR8eGnFnZGvVFcM70JwqZ+iIHDHOJ4jUi63EycT4IEhhdczezi5V1V2rUCkSnOHovcFLdcy8Yj
HnZHLUL3eeVoLkPix1AukrfqrHuLQMXpoqVlNuZhkWWPsRPQ4jLx1AXWl8p3gLPYZLuN/UOTMh83
QguNlTOzDEfz2HDH6OxS36absZjWtrYGvW/d9HEYaEnFaWlD/ctcP7Rhwu+w9jb+5Eggfvu3xfwY
dQ5/bFIUcJaWQiJHZ7dQovRxbCb1Xpfum2bWETib6aHPCrFyWC9+I3c/JBJeA2fCWyJR0FSymuzR
Vnt4cCHNIt0fQQQGu0ILq01dhOYdpu5Gu/2nz5xFOYAxQn2hcQEtb/l+rIVehTLsg7cwLz1ni5K/
PmykMg2J33lK9x1lvnZtMy1O5v+NOUvE0KlgUZf4FL1uhlDOekZWmSGf5OhiK4rCfR6jPvTDYJSH
69845/5/VQnm8SAcEnN4bTHiUnTerPRRVTAue6MdG20YerrTQHDctlNxU4+d95obsbM3hNIL35WY
1K7M8eKcfoxPcYKsnawCA+fFfVpQVwaVUIfvjTYmN3U7NvdtRH8TRD+H5/q3Lg7q/41Fr29WvQUa
s4QgWzx0SNxa5a3VZZU/OaHi/Lb1JjRfAl61MSCCGaeS097utmVd/LNZ1DzXUNeQjJpLzzynTwNF
EA7ZgE01a1to/QFEMu+wLEIXtRia9k7ji/uVL740u7PA2fwAnN9/89//VVcL9czU0jjAkcRKjO+p
20/PUzSZP3L49L+vT+7FoUAMQyklWUUf73Qo2wnb2vCq5L2NIyXYqAjGcFYbijD+oKblSm5yaSkd
ani8R6iqndmymvqQDA3Y2vd0ao3qkyysTH22E7vov1CMcLzN5HVd9ivQtPpQWbwjVtLAC8cU1UMw
h3N8YPPOMeuviS0A7wVh6ibvxJ6Rxh6ivv+RMJmvjlFb3T6zh2gNpHdxguGhwEOgbkAN8XTIDwkD
TSjJu5nb47BBAslJNwXTPB2DZNC+//tyziRvZM6BVLGDTkcLmqEyhrgUGOcMmF9shjKcnGOWuZn+
M+5789+KBR9HkwgAFAAMArWGxccFOpQ8LYyTd6OB4f0yllMV3APEs367TbRGo700k38PtjgVaZvR
cFed5F2aWAP5PREw3za1nG5KR0ZrbdlLo8F3QEuKXuuMxzudSQsQp9kpuGvmhQiaT0OSJi76mHgz
vugwEa2VI3/pZIAVoujC45isQDsdjteqVMZqjN91xegy3yrQo9FzOvB+ZvCSPIS960kDGFRX/1bT
um/+h5MBaQD0F8BspKX00/ELOl0yLBzMzevK+VE7o3PQkl7spFIbL+gIKWtR/eL8Up8EmUKBGW2C
0wEb025jHeDfe69V6rT1BKRXX4+irt9karlax784nIviHzJQhLllObQroq4p0GN+tyMDilZdaZPY
1KqTbRq3r1Z0eudtv7idKZ+hNAREhbC6TC3HoKnzJk3Sd6/t3fJeHePJuO+BJ2+un/YL4YwtqgLi
BkePA83893+FMwBBYVeVRvYeZIOd7rXYtJLBj/tq3FulMk130knNNar+xUF55/0/0s6rR2rk+/uv
yJJzuO00oWeAgYVt9sZid1mXcyrHV/98av7So2mP1Rb8uASJ0+VKp875BnD7mMNDfrsOOljCq3vl
w9aNYYHW1kjjead149AeZJla7smYm2LLaW1l+jiyYQpwdCtFpUXQyId0atZ6etGcRiB3YPCKtxuk
jMIqhtlVgB+//WlX9iOa1gpubMFsget4PUoDeGMyoXNwmfOy+GzPwAKoGsxut3dqjqFnmjDgJEVI
Ufg4ynnyfyc+CE9yu4DS7/LamGE6+HgHZBdqJnl9cipUCby0za3nbJ7Tei9G04q7XVSFur9vtLz3
v93+AGtfnLYwOTQ3NbjOxYEU4Psh47DBgi2qnafYKIqvAFXCcJfo8sftUGvbRXGWqctS2gJLcv2t
NVtyIHVzcSnCyBgP+SS96Ah+/9fl5kEzIeb9qsbAo2tRUC8bF00d6RWXSPjO3zQq/J3bdgW87ALL
xNtjWv18IAJVbwL4wPJ4Q93Exb81yC89FUEieOMFA1DPgxJsbTEpVmPRIQKPRyefOsz194u6fOjg
BWWXOnVS4yFNh/ZOFmylOwP24B+3B7Z41qkrH+tLWGZKSI0q+mJjQPYUQelU+SXtExezCUzffRDC
H9MBVvmuG8efjW2ND7eDro6QHiT4GvJiuvfXIwR5Opdd5mKcl7b2Uyaz7t/Jafrp4EiwZ4fbwdYO
ON5wKJFwhnP/L27+XHXoDZ2VjyNN5t01GMBNu9hoaNfpsxnhEovkene6HXRthOD91KuO1zLvyOsR
BujgarGNNaCvN2W8GwOgTEou+1xF3lYvazWWIuwpkVisLhZfE/Ux1wznML8EzkDPwYUHcCydIT9p
hiW2qr9rXxMMk8K18cB4XxAH2VZV0VBc8hYu+FOcWf1fpsiaeu/Xevd5qCnX3f6UWxEXnzK2vdh3
M7e4WNRZ8hNaFlkO0KzBOiRvhP/Ic/EXy7yvm4KWLqASIHwMdPFFk1r27ZDJ8uLqIgKqH4wfQi02
KDhg+/swGUnx5TfGyIOC/EKpYiyPTGdu58oI8vIiPJHfYR6CZXNZacgq2vkTV8aWcvvqknkTb3HE
DE6UZ3ZUlJfOi4pwP8xNAya/cIsfmVH5Gw2dtfsA3T5at7RAlczn9V6YWiYuwmjg4ul5kx8adzTh
P5R+/RvpE/c2rTgoXUoW7DpONXZBF1FUuDQ0Tv6sB/GpseLwsUT19ElOwa+BZV7XyCvUirqfDURn
eXBKhWgu+vJi0RIwjxlNuR91JjZTpbXlrwSilJYSspPL8tcAhgrATsKofCfNT31eBLuyMLQSPUAz
qg6u1269zLZCLiasiIokiTmyLonXRC95WYdfkrnt7iFxfC7qxtqoIqwtRlKS1+wa1tsSHUl+Gcyd
aRdYo1PkPHiJZ53cMG/qL05jpltCPmurkbc7sjggXJX2xfUqEVpRp5EYWPqh431KtC5GsaiunI0r
bi3hZMGr5hQAincAA3zA0rCdnOLSIUsenrE01Lu7rHKxvCDDf5JO34b7JhSlDui72lLWXZvBt9EX
i1P3WpWu+KRGs6W/RGUatac8N8pgl0JN1Q8BbngbGdLad1UfFFI/KjXv/JyLxkVhIjGKy4iT43Bn
asZQn4pe34KJrMfhhQRPAzk6e3F01TJHQ5Ek/oL6n1b9E8TGUH0KKJP8Ivf+dYMr6r3yY3hVvrte
KKR4yg+mY+PVca7dibx5tEd0NLLC+yDKMix+456jtg6cCD64CcPoOl5TzaFG5lle7DHs6102hOVh
irL5vqll5+6FE2z19ddyP+RkyTHRpED1Xa2iN+/NRhYD1rNpdZnbxD9q4zDdZxpuJWlbiLvZa8o/
gyrUDrevutWN8SboIh0raiut6lYrL5o2NI9+Obf7gkbrfzNQgDse4O1LhaDxw2hy3d6OvDpc8D4K
4wjye3nOoJpQRSJrywsiNwhNaE3o76oBMlpCYnHQOca7vT/YW9fS6oL1cBHB45U25xLoXKVDhVBv
xIHjU9K/07rU848K4LBx/a0O702cxWwGs87LPXFJWob6CIsp/gfHOkPJiqAJfIzbrH5OIymfbn/U
tcMbWBI+VdhPk18vVm2MHA1wDfV+mHNtvEsQE9JPtTVW1hNyeM60cayuhoObwEueJ8s7jjSvhrYb
myC9wHc3tb/7Fv7YM5pcldvvlFht8v328NYmD71lXpcgQBS9/XqLSHvkIhSyALfdUNDC7YaEsG4C
d767HWjtxOYy4jlGlUKpKFwHcg0cyseER5+XlvHfsjSj+b6ELlKcKhDxUDAcq7v/jZBQzgCl0X2m
330dcjaRy5sCmV/KtsrFx8AByPhfXxqyfYxk7w/7DJmcZuOyX/b8X49VZg86LIQoOmzL3Nqfak+P
Pe3PpJkj50c7A9E6zRI23U/D7sv5kNtZZt51PXp2H7MhMzzk3hppOYgc2YPodl4JfP6uqVsRP2GS
1n29/VXWVhjKS0rzS0ktLotwrXSjrkbd8WJX0fylgL/S76Ykmx5wxAq+3I61NumKiMIfqP98jOsZ
QE6r97tpQlqmH9DgLDOr8F98vwqfbPBPJr2+2aPY/xvnIF0bGptsIao0ixngzS2L2NKySwfbpzno
QlTDF1PaSbjTqZPvgzT5y/fn3N0Y7dpe8ihGQ7wGZ4gv7fVoIe1Kch+Oih7b1uAbNDmpxXtDH5st
YMnadwWooxQqFZlpCVgrxkZqSTXllxZBlfBgxuH0nxFnOmqRYfGX0xrTxu5dGxocH9aNT/WWpO96
aF6Gg7KcYraSlsvxRci5ye6a0i+G/e0Vs7Y6VScI5DoYLOrf14G4sZ05LXh+yzSzBIL/Tdzd+/rU
tadWTMPWUln9kKiRcUCQl8Npuw6XVz3G1S4gikKO412MAszZn10sGWIZe94+EeMY/s6nxMVMdaIp
oDnqJ71NStIa2VFTKy5G4nPuzWVIr8IG1fjz9pdcHRr+BSqNpDZkLU72NK+QnJQ8uV1NxjRnOoEP
aIzm3rA35SjcQwJkY8teUT0ulp0ECt9g8Clb+vA6rgeXp1aZTqj0XEYPJwlHT4puF7pze/Bmf4IA
BunkCY+B8D5P0uoTtcHq79ujXksSUFW0UYpBuRU1tesf4GDAlLbU8y96nBbxLpS6UUHvkhFg+QqN
eb11a/TYYs/9djvw2udWavKoK7MtweteB06mhMuZksPFLzX9yBMBuVO3lwF+i63Tfm3tZJw3UpPV
sQJQxIRPaS/4i8WrV5XVe1LLL7LwhuSUBhCiHjWt6pofWjILlLQaidfQDuWi9HdSa0yp4XwAz6Gf
szhj66xyBgU3usxWV3+PnCT3zgHIAtAjflZ8H33RWrveAvq90ataOyDAIkHvgGpI7099lDfbR3en
1p20ljp/gpLZsRRpO559l4PvM9DsBHzF7XldonVf73NaGjhVoVyJssYiYNWi4umnCdX+ZjC+OaN4
sAeTWr/ejdGT8Jr0rybpxWOie803My2iJ7x28i9GNzkvt3/J++lGf4qX9v/15eGEXY/ciMfSm3FK
uGghXuOZpXlnX+aJAHiObNqughsCKDQY20+3475f2cR9rdxx3ShA7HXcHmxE3Hu+uFheX92ZmR0m
RzauI/dZ3M1qqqt0Iwte+egqJi8ZJVAKn2mRLXoezEKn8+JLqFpVumZMP6shnuPHvMYV5RiO7ijv
tMEVPAa0XEnXetj4UPtIDwinZxuwgfWfA2IUPK4qDVuLNRBTDyicnG63l5C2Io1ayn8Kq3N2Vdq6
Ry9GLHpqRIZprqdPl9gd+MssQkCWp0m7KeKw+nM4YcFMsAEUFuZ6RvSZvMpAPY3qh0y9Xe/N2b1J
2Xj4Ovm9bHbU5BOUDPrEnzBOL1FI3kPQ1OoPmutDyBdN71RbF/f7DEFJvIGaZrJgYiwdLjCykmjX
jeIyj74LLdqujPxEFw1xq9vLcTUQpBblTkBKsjRhbszGdeqkFpfaCur7mCoGSprwi6u7/ynO0j28
nHQQTfhGXWoBiwyLwTQeTpmX4Qt/O9Da/qKohESEQlhyyFzPpt/oOgafY3xpU5SFdtTcdP3ORhFm
ONUufE+0sfTaP90OqjbQ9UXNUiZLZWPzQEKt8zpojcqKVkRmfIlgoYszzLXx78DIog9jWYzZHbxm
QYl+mPu7YqrddGMOV1cwI4aLr7g07rJ9ZMZOZ1h1jfdf35XfPEsMT73AKfg0RmAwdlkrEGeNysSd
jwl1Y3tnjP3gFgBefeNnUemyPtz+Hu+vFb4HYDkkkxR8bmkMKG09CcOgSi7J4BTfMn1u6MFgWXZ0
czb37VhrKxgZOaoJlLvYNItvL3DVaY05SS8SJPr4jCaAiSpt04zBVkVoPRJcQVisIC6Wb1HO7TCV
omVUke1Ohwq0p/wPDfJqq7+z9vl4S5JAAz/grbcYUpKZbe1pKXAcM/ugj6L8rvXyn2mevC3k6tqQ
4PAD1FUb4Z2lWhYif5R3TnrhZwzZEW3ADklbOhS/7joMbB9/e3otUIXB8V/vEN3qdRMoQ3KRstXv
ez9DEConjT3IobEfncwxzyAeun7jNHifQV+HXdy2uYsPUYHq8CUWwps+B+WQxT8QT8GRvfJEFX9I
fdGHMGD0urvrNRl9lIMbbilIrOUaSDpAOgPiADVIzcKbLCuhnex0lUgunhi4U6MID3NUGvQ/QEY1
7W7uYDE/wZmatxSE1xYSjxXar0qmARrzdeC4G0Tp1GZyiQ3Zn4E/ktOYHh4lStrY9TZOwdVoqp2m
iiEqd7+OFogJduQwJhfUarJjPY3BlyCuJoqJY/zl9qZfm1faB9DZGBT35GJeyx40u1OlCXB9gZxY
aY6V3JkkyAn2dZFj7lvPAjZbpWkW73C/8/a6IWz/8+1fsTZgqNqU4aFWgdRZfN7G6Lq5h4dx8UO0
N/b6GBvVS5nHg7ez+hJL1Nvh1q42lOjgRrwyGJfPQRNmghwy7uqKktPP3tG/DR2C2wlSXV+BQScb
4VZH9ybcYtVGtT0Zc55jfupaaXPEtsgLXqp5BujBgzfeusXWNonSEgCVgFPou9pp3krfbIwyurj4
KGRPuamHLYJjqGDHd00SaH95YT04R6E1bvUbCxcBY/BOHE84Yi3mkWtwGrGpA8/uuMNn/DaUeL9W
ZQe/QGnsNyZRPWoRjGefvCvJTAMA1oZYojaGPb46zhk7M32XD4k4CG/0frmdDsiDDuYr+hHL7MXB
q9nxhMaQFl1m2y7Gg8jdKDhoWL1vZPVrq4W3hfKVJYVgkV5vfm+Q1MWxsL+0so4/Jk2Tq0KMlub1
XppmZ24Ma20vcJyy+cHM0qBZTFmQ93nY1bwhRjph+IHMtvNDm0rr6PtD8m0erc1DfHWAcC6gO3Al
ozB9PUArpXLgAh65FHnUn7JeBNVeS0uJKB2aEIfbq2Q1GPoqqr/Hhbksa6FYHZXIfYmLMK0mP6K2
VU47E2a7RC4JzZLb0dY+JiaVoDpVnZdq9vXQGtfVuhK9zUuJfcihUFwZD+LwEb3k+L+ZB/jP/y3e
4mQxIK9MScfrBhnIAqEH+Z/ThOlLUXfD0Rh6sfEx14eH7gtVSTb4srrSjZAtcajgYyKp9S8AuWdn
cvE9Kjp32oWV0//GwckbQAH/KCNBkLn+nLUbxrVBw+HSu4Ux7Suc2/9oUxkGd+Td1sbjfu3pwYLE
/BFkHLWrxdyZyIMMAzWFS2bU+tGkKndfAVM/u0IPtJ1vtSXiqnqwm/Fm+PHr04h4BlVGjjFl5nc9
TlyJMh3bl/QySet7po16snOjNj3bxoiZXaRnf96Ot3ZDUI2EvUavhSRykRanad46hTZCb/Dc+ic/
SxaHvEyLY++W1j1ZXnAfhI05H2+HXduLvC4wuFFyi++IczDmaYZ7HQDLbjQfxoFS0b5xtfhjkVRa
vrFWV4OpJgSHNsD45TEqvTJuI11kAOb69hLhnDIcHK/vjo1nd+PpN0ZmQiVFlRX+7lIGKtPjQiZO
RkMpgmqA+F3+4msZLZ3WEb9zvdPCA+oBV0SxEK8XSz5G+dyjInMZta6e7z3sG364lSg+ITTh7OSE
kvXO7CNzyw92ddEgJAgoAzY0tfTruLMfO/7gu7ylcKmGkVcoCZ06eqGdb+8tZXi+Q+FR3N3+smtH
Dovl/0dd5Kfj6HkJzy4epUndfLdL3//AApvv5hi1vvucV6y3sUpXx4lONncTeqBcGtfjxPSnEa7U
s0tR8LjazUbQ/FsIGX/v5zTYTcIYTsWAp/zG1bFy/NDooY4H6ZIW7VKruC8Kapd1nF7cevych1p1
6P20HnfI/Bn5EQde8SeUa6fbTW2WBfvbX1ndE4uyC8GhrcGVw6psWbyazGmIUbVJL5lZi4eaV4B8
LDUv22p9r3xb1QRBhoUOEHz+xRpyGx4ghGGQmpsfNU2ERxyn8npHzVx+GwKQDEXqDN9vj27lKACx
oNR0OO+Y18Ut6XdjAccCxhNvAiwYRSbD6VmLlX82Su+V+PU6CuGA2iADTTd0eRiMZerglVexZBuc
qAOEkP4UYKe2mFUrOwOtDjiyFFvJH5aqYb0xt2Of19kFKVVKvAbmmWjPjdPOS+xJ7KJamOHGMbc6
farLoViOKC+px+Sb57cWaZbTxNBH4sE2489geIZmpxFpOkZDZZd/+XWkI/Be45ixkRWvhQZlzZ5U
lGRzCbb2+3T2jdjJLuiO1PtR1tEX8Pn1savm9D4XsXFIyyj++/bCWdsWb4MulivgWQDzPQTSsJp8
xdERWJOmcbTl5LEaxwaoqxgq79NGoL/zMFno03pBKfuPaVqb/YsrkvbwG+NRBCeTEifvpkV3zEfO
FA6un4EVnCz9MKBhFSGoEszBxkJZHRDsVOAmeNXDvrleKNA/XVnjB3KJ9cy5SwtnjI5OgHTKxrm1
uipUKQzdAUjNS4ZvljlhOAWiuLiZF33NS0Q0j6qOle2MpPXMR67q1ji6HtXTjeN6EZlVwQ1Ii4O4
5Edwqq5HWIswi1N7zJ+TUEyPUVJ+7biNW5iFoXEfpyMvtyob72/P32LLvwYlPQXgzBnNm3ex//Je
r0IHmPBz5PtTvgO3ErSnLLZH3hpOaOHVN7Rb99LaQKHD+MB2yU7fCaD1dRSaCfnNs0rRT1bWBve6
hUlWhFHap3Zysz2q8VtBFyf260DxlYVUQV0KpY7F+olEP8GVrIrnerLaYx/Phn2Mom5+Tsg2tiwU
FouVTh6nKF0rBKIhFr/rorV1zCKKnOAYGQAzleJ5mOyyXB+3qpfL6SMQHWnVsaWcz5JdvDBqywiz
Pm+DowjRWgkn2/6Mc3i/U5ZcH6Uvy43n03LqXuOpNIaOpcPNuji+hsQ0tKHygqMdZ+2u0JLs0BYs
z1TPxqMpBwMQu9wqhC+n7jWokuZy2fi8otS/v7kjDJJfX2hmcMz8qv4r1mR9rKQb39GGrDdKFysT
p3Il0BTAIFUHehnKgYne2Lgd5KVzKCNT7gtT5hvIuUVixvKgf4BYHf0gEl+QyddRnHpIQqsYA/iJ
UbKL7NI92gJHBNMo8pOrocZVBsN8h4iOeby93d+Pj8jQtYBuqYfakv9qRgGQuE4yf2NunAE2uCfh
IuH/v0VZrBJ8DHMzdPvgqCeGc5pdszzSG94igr5f+2osrEKYw2zv5es6HQyrKqwmOKLkqgwSB5ti
s5hOviO7YyzbYON8Xvt2iltHQRlQE9pY17PGL6gbG5s7xuIlp3imEElfxty459ZGpUgirHPUYN7R
E/VQrxqZR/6xmX33PoXFLHaNWXjAp6yJqg+Axl8dFy8ToDWkXwZLkaLW9bh0bw67URrpae798lm6
U/2M4ERyuL0m3m1iTLTwsjBfDyw1YddRotRwpZXiZVXPZr3XXXRmxqZIjoBIi41Qr2f5m7eHoQy7
KFZzp8HXQztjEUtzK01rTSyB2qhOvmaIpdyRKmjzPodY/Jedd/ITt0B8tFpfiJ0snfCjdFv3Z5S3
Hbkm0qn2xo54d27yi+gNADvmG6OquPhF1ZzhFhAO6SkQbf6QW23xOPLAPvB8QxLenY3HCY3ujcNs
7ZO/DaoW9Jtzk6yybCpsw0+o0TYnaTThgUeg3PcJPtu/Prs0X1FRBISKW5r6KW9COQ1fVxOEskUZ
o5uEWSle2nIqaCcmRfUb0VC2eLVwATazpIB3YdppVpfh3NHGyEtQVvJdmkh+656oEdVbMobvtiST
p2p4SmnepX22yHF7HEMmmRfpCSWI+IOO0hd0U+w1E7RmTnnibQFM1uYNjCYjoyzKVbT4mEDMwt42
uQUmuzaRFx3GI5pBxaGOyM1uz9u7mwgVSKXE9IrPJK9enGmmsM2oCPrwaBde5H/tESrI751UlM2D
nfFM3Gc4h5gdBucOvj19PWAldvsXrAyWapriHLB+wHCqnfNm5eiGtCIv6bSjGQ7Ov2HjJsZhzK3q
U+jEZblxMqzMJD0QheKD4UAzZBksmgduP51MIi1H8IpFjGOO9BSFKkFFNkBsrJmrX73tyVgAQFBe
Y3NgCLOYziJLASb5bXaahtzbm/ksD9VgdqcZjuUn1mx3kFEj9nNaRRvDXc4u7ZD/2yUAPiBaLIGx
MnStuQO2eM7xZpjvlCnEX3FgtR+g4ULRxquyDfaumTfnJBWIHv7azCq9OApntEl4toEnXmQBTeJF
Xoi951nPfb/ZYxxZ/4MpiXXsQcRsnK9qnb498V9jwUVQsheI0y17znEctFSgRX+O2t4Ux6ZHpwkp
4Kl+yKzYlIegTpPks+9Gw4NMish7ImUIorvbA14e8vwI6k+UoVUjiqzfvF7KltCyNA2S4QxVrrwP
AzN6CZLJ/5xUbfACkk2enNwMPt8OulzSRIJkwtORxaVe4Isl7ad42aN5PJyHJpnTb8bsZc5hAEXu
/Gm7SDXs6ZAPf/xvMdW6e7NnJV9g9irQqKIG8v+zLVO6DacgMyx51BJjlj8Kji6x0Z1dnhRqpGh+
UEZVkiq8kq+j6lrp9GabTedCa2f/iI5a3x+wNkuNnR+3w7ixfFc+LMhMsr1XnzBQTNfh+op+WzEE
0xkLNfeud2T0NbW5t/vJFNW+m5J4K0V6v34owqt+MMg4RS9bRNSQdat9Ec9nY+ak2DmGBHxbt9J4
0CNdc+97roMPkorPRiFsiVFDJQ6ZTNAESHxAxAQcdj1UPA8aJ4yn4SwjQ/vqN2HX7eI89oxDMxef
TL/2IAyD8/4UtqGbnBpbGF9DDbmsB3DgcstR8v2pRebGyQEHA8QcBdbrXxP0tiyLXoznOumi7yhM
RI9pqf/shlL7wqbyPqJanHzmutpqR7w/RFTKCFiEzaSYhYtlPSdd3tZaPZxDqrsnM7aiQwQt5RsA
YOOpECJ5GQBHPdvh3H7UDBc5wdvbanXgHF5ASznK3slBh5TlG8djGtB+7JH1d4MG6dse4SDEhNx5
L6I4+1ZbdfYTaHj57XbwlcUHwgLcMxk6ZKmlbqFA7rILRwafiVk7YiCTPjfBaCIcMvXyMDiyxcdP
b36xnsDKA91GaxQNbEVgWuzpEbVc1Hy84SxKER8n25vOHoYCB1NPK9C9lizuODO3LLze6R6/hrWV
NjXFe4pMi7CpoQtHYoQIrk2fv0+KRw3SNi73hiuCT3k4xse+HKOTkzofNZX5GTjJ3f3GB0cLmCuL
dyzZ6fUypxTHWY12/ZmWRf8jQE5QCF3QpgWd8TkUcf1ZauIXq6hqpzuYptKVAJoBonoRFL0rORvS
H7nwG/dOQ+m+2hVShP/++thIKz24BMqCaKkeD4xICUdnqGq3Y8Pp5U0Q4HRNr/ajGXvR3mpT4+OE
RXC1kQes3BGqqIgcFQ8/uHiL8dlTNoZpnLOKvao6hbkMPw1180fR5sXGyl3brMRBf4pMXenkX08f
T0S9M9t+PFc4oPzR1tP01SxT/16LMnM4ed7UfYzMJuDthVHTxoG9MkrueuUryFTCGVickOGMRSWV
2+lsIqm+YwMNZ7NPyubRmg1jq5Owcip61PVVZYCyKXn69UAtkflzFLfT2UCulTdIZR2ELc0HntjA
MuP8X5PSzH/umPxhW0n1zy8vJFJYZI0gcaqi42Kjujzi597w5rPdh1N4IqeElLyLqzqM9uPUBeKp
6ONOP3hQJrZEqVYGDvAGDKOheqigi64H3lkJXPp0nM9mXiV/ptDz4j2PlbQHsj7FMFJ8CgxNgnm0
LjX80ZK4L7aUC9558bJhORvp3fK0xql0+fU7Ow2HrNGY6sDviVQEjnaILDQnngsznov9oE1ZKfY1
He1ij6RkpD8Us5FUB6q3rrnPk0TUR1tJyP+lF1lcn9M4Kw+dOXi01W5Pls0HuU7CAfaz88DWgMR4
J307g3PEtdwcz3ozTBffDu29p9dJsRFmJTGDLgMMw2LzcXyb1/PSO5l0DJFPZ+oLiXc0Zj0/2lYX
KP5dnhR3o9PpG0+4taUARpfEDMy3Kpddh5RpVCWJOc3ngNoQ5opN33+YE0//UCBO/RFyp5vtwqzr
qweUOpxPVS/dLV3flfMGjAsSVIDqlEa0+olvcm4bsRhNOol+LgfPkLsJLy7nOZCppJiWONWnJJK2
2Pulnx3ino2xcbCu5YgcqBys4ND4DcuaGu4HcRYiN3n2rWi4E0neXQqbOhayafF4jF1YJDsnmdrw
3h/6Lj4NWJHSOA49fdcF6bTxFlibEHRUSZKBbPOYX5yALMuxNHKhnxNcK/ZtE9iPbUWL2qhMkA2u
QF8V1seL5sfVx9Cqo9Ptlb6SLEEPprhIEV2djIuEWQyegEVhGGfKiN4/eTd7T3R4xGNWGUa5J0cW
5cGdlNvF7bhrS59kgZVPOYEDebEOfc0UUdr0xtmtrCGMUQ+as+5Dw12LKEzoa9Lem5UXh//dDru2
9gKOQADyxGYRXq+90dKL2NTYVUJLrQNSZNYXf9KbvaFBrgVpkxybkS6hlY3ZBgdyLVOjhYYimiLW
c9Mubh8H7nyYDO187ilAxftOT7u45WXfGN4fWZB2yS7poU58l0jtiSegUqDJUxRHEGcNjV+2AFMb
UCkFU8Wh/o/UwvWHsAs7wm6+ms+iQGVrSPEBgwkqdpNeDYdpaORu0PvmDjnf4KFLUMgKS1vftZbY
gk2ubUcERuln4vXK+lvColG/jxLf4ZcUWl//mDq3+jGmo7Zv2yi+j6fROniaWwIy7Brq4HM8lY+B
pBBiDNG4de6v7AbFhObbwFNVgPvrryL4q8QfTOYIgch7h9raEQLYPBwQzK0+mKmOVEpRiHpjE66s
SsSfOJCArCiWzCI3yIRbFnTJp/MUaK2+N5py6vcptZnoWLocw1ABWywF/XCsDoltUPfbuIhW0jCe
p3RpaCqj9bZUobE0KtQdCrJnMen2qQrnetf4EPr93DN+PdsEJq4YWzC3+NCL884ux6anrcYFhLvu
eWoTmMDsyGo3cOA9my1mort2StL8peosq767vf9XdyFYJ7YhaRhd9MUMa0Vpt5puMMNGH+97e3I+
GEYKYM3H2/1x1Mr6gLR39dHJbR7JI9XxnVOXUHVv/461D05a4fJiQwGSA/B6oWV6WRtOqxa9beBz
V0zxIaown0ckVNsYshrRIpehGEM5RPkGkGYsQll4wXRIKehnnkvmS+1m7dGMDePl9oDWlvDbKIvv
ivmLBsLD0M+4B2uPc9XUzU66mfGnHLPwUiBSccrQk30IAL/c3w693LRIMrA8+R94f3OTLcGspHCx
M/rzdE6bMHj2vay+gA1M/tSnPE64Rcyg2HUt3MTbYZcXN/ZS2O1QeedRYCv5i+spzOnYNCZCxWf0
LGcIQXhRBDsrrqe7NJdVd5jcuKJMWtVfaun3zSFLqV1toOmWy0j9BoqIQIl436I6u7jOAmNogyk1
vPPkJz0sNzqe9sFoEpAaWdp6v4iuJWmkF0lJmqIKqSMt0OshZwHa+jWeDOeIVP1rnif1Pm/D/OzO
wfAy4asKrdo3NvK1ZabwGpTKMN+aaX5njh75XVLZwE3PKRiifVD5E0BeKb0vpZ02HxBN9trj7Zl9
v6CoySKQDk2I6aVRdj3MumqZOlH55ylE/0LvZPciRr05O53WxodGa8svRjAU88YtsBqWXjl0bFor
FE+vw6adUzp2JvxzlJjOg2F1eFrHvR28dKIzD3kxefsp9Mato2h5PvB9FWBKNXVp73A2X4ctrczV
+zhgDVVuh+6YJ4LgkLs2VjW3P+vKYiUQxX2YJkjkmWr8b/P+pgtlhDPCOfcon+Az0Z3q0DEfcjQg
/vyNUHTgOBQAZb27z9qytuNgSPyzM3fiuW0cE2JwXe0HMyo3FsvaqJTJH0crWD508q5H1cKu9WC2
B+eqc+pnQ8+GE1Am58+h97YM1lZ2AmUo1b1V6IZ3GSS93WDWcDM+d1rUf2xmj+2HO8J5CCPxqa3G
4OH2V1xbGUgiYQhFbRja2mLCRqNEc9NrjHMSpxLG1Zz+E5qi3/iAa8sea1Ro3JSP0KpY3BwQJgGJ
kNGdfa/E0HvK2xaciCedhwpph/DOcsLirrdifwtcsXKAw7CmFgRahCLbEjDohS1EgC61zpUpjXmH
feH0aOM0dt86mhHuARGad7mrT08dvtzaPnTyTbrC8tZUe49eG/cH2ggW+/B68ZQFayeIXPM8dLUN
Rdf2ykOTldmpycce4T83q8gQkjjbzWZGd+j2/K59eU8p4FLepGy73PkDx0Ft25F19kSLS99YNfd9
wQaJNdF8mWLN37X48B5uB11bVOpkVYNGGmXZpwc5o1GMEsbZws/jENPq+zuWZf39dpR3eR5fFsct
VRh+1ZZfZvJ6UfoChpR5LoogeSxosRxd2eJnpknzSIfcA5imVR/qCMv1TE5zeWjjYEvffuUDg8ZW
2GXWmPo919NrOohIznlgnEfH7u3oiHt1a++bFBfwfT5aYyqPPd2nyNxDNWaPbNycK6sLg26qurSu
EZVdoi9iq+96t9XtczdE0XOc+8YfUSm9k0CxUO6necx/Wl6hHXy/26oprxxV1BNUaZ5TkSt0kZhw
n5TtlNb2OY7hht2jWNo5+xZy48VqR6cSx1oOuhltHCUrZzFQf+YcOXzF2lykZGFUB/pgSvs8otR4
DJ25/QylzUeBwnI3ks6Vw4M3DO8YOLYuU6N+ypvLDPWWqBqqyjxrVlKUJ9mYg3vom6iyHUCyCCLv
BY8J5+Nga0X8pcaH+aEYqqD69d2EmBOTy6dmopcjxnOnITsKTJyJgyzYydjOjr5X2fPGUlqZTzxM
mUke6HhyLDM/fxpMv7Vj6yzjIPqvpBjV7Ganbo9R6w+7TvS/SGlQqSZvcCqV2ExCcVq6PM8+YnWl
WVjnftDnH9mQ0sRr55e4r3wcMbzhaU6CfKMUtzZI9guGGBSIuBYWy8c2+w5PXmGdsxY7a4p/Nmgh
EK2G09lHHsVbQO7VeLRnWUE8vhnk9RpCWJPstUe6Ok7s+OCF9riPEXHYo8Wc3ZHAdA+3D8WV84DC
BvpMhKMEvOxlpdwESTdX7jkLexONMWlEwfhdiMnvjng+G2N0H7YBrVo8QYQ2ngbEk7cgmisHM+V6
FHNgcSm60dI9Cu2jshIyc89+bftVtTdyQ1Rfh7zzSDGauNafnCTp+//H2XcsyY1r234RI+jNlCYz
y5dUUqmkCUMWBEEQhgRhvv6tPKMrdcdRnDfpidRiJhNm77WXSYe9mdf5AygYMHPttlR40y6jY38r
f//5UoB7QvaBFQc4GDXU7z+CaxBI5IUq71ZA48tAxGZu2VwcHcly9o7BEu9dvbHmtc7W/4/rH88G
ORvhK0BD/mH77UyAGhSL684u4XAd7hIY/xIjWNVFsZDHva13enSA3hLSbuCr//zvC+Kf5yUWOxLD
IOzF1BpM4N+/e0h3kdBozO+QLC7yNqzcng8eyrlVcbb85aj654l5fdjVbhjhU1Bn/vGi9znFTZiv
xV21Uj/U87SemJqqS2a3FxQg42uDILqnNZvWczDHvP7lBPvXx6Paghcm+Ahwdv/9u2LkJQvk0OV3
eJ6/B58saqHEGt/bKYHJjh/l42QwBOhttSDoIN/QAf+l3PrXtw3u2vUtoDT5k1nawMaxqkKF67jg
/IOPl/dbasUNde5vG/3fnlTgISDrYWSJlv3376qDmFU51fldpKbLQsrxO6F5fMoPN/2PaB7YHVe+
A/JggFtegZDfn4TrVq1RpgsQTZpNPsMyC7aGJ8z8uXvmkyF26pEO3LyBjRmTuwA54+v/voSvcWa4
/HKQLv8802jG5qWA5dYdCza708vm3seTMu2kEIH33x/1z8r1OqkDHxvzEqQI/cn7Zp5lRhxNcRcR
GFJ2MNgA8ZqU2frpvz/nn9cCvI+B6PxH7I6f8I9rKCCrSOZSVXfol6dTUrt3sOU/ppaNcdaKMfwN
yPq31QL8CsAZAACchX+cAkTiLlQGzxvzw7t22zJ0Q7td10t5rPIvC+afJTG+HPwfriAALqE/HxYp
WSm0OdUdxnvlK1xCrL5rEHnFf/ja5fprahFd0epxF/lfbr9/e604YOCGex2DQxr6+1Ktd2OLmI3l
nY4x627rIqo7KYqii/gyM0hE2bf//XeENwPOV5zsVwuR3x+oM5XWgtTlHRzi5H6pl2zRbb4v5OnQ
vLEDJE9/w8r+7e2CFoPlg7IbzfT1HfyfqvRQR50dPipR8Uv1rI71uEyVKp8KaZZLoCTeuqWm699w
wX+7Q6EkQT0M8fIVaP79sTg3GXxpsYIqnctuB6cRDatmy/0MHXGfFLv3g4UJ2Isz8f+Y/YPtAUQE
zMZrTBTOoj+l4alAmCGdaH23jpHpprBEA4Xk9WRVjKhR5Kj+ZRn9y26B+AGHagMXvutL/uO7prEA
zI3nAdQtbkCvq+9hh8e/2KxO/oLu/suKxeq52rVe3yzq4d8fVTk0sbnyQOYwJB0Q5wmP2hGCjrAk
B7RB1d9kQf/6PCCPKM9g8giqyu/Pm49lLKsRAOS6HwoWFFHzGEouv4XYb4+cHX8jdf/bqwSWDF19
Bj0NhjG/P49WB1KxI1+CHrmu/eZ23MYzaJsu89HfyPn/GDOivLt6z15re8QZgh76+8PmlcttaUhz
hxyL4rRzGn3g9RyGbVX+NBdad3mUMZyylT/6BCbMBCP/IvkEUDb7C+npn9sFH+U67cOZe700/1hC
JUWNnSngeHqB1zikQ9On1RfJMQS6Lzdl4rPXPFdEnGBXs37974fSf26p/zsOur4H7FBw5hCrCPbD
H+8h1TVJbbQ1d0tIY8hk13VrbdVsX7eYHkvrcn7c5A03QzSKyLSFqJCDWjR7vvQ+P+pPK+Lenqqo
/ts+Bg/o+nv/n48GRzcUw2hNrnsLTqF/0mGIkpIJHcEgOEnB7BEFY1kHeGzfu4kRnsFCY4yX/vC+
eqcLNPrtrr3D5NAgQRS+elavfRE15iN844psMBM4AF2TGfRV2SIK3ZcJXABHGCkVQ4A5X9Y5l4+f
YBUKlAuqER9ecXXFl0QuUdTZYpwz38EiGoYP3Tw3cAzreJ4uiekcPASJaW3gyRy6Yzvo+Gg4B+dz
OjKE/bbl6tbkYY0a28StJlUTXfI5zyLfTUBgSOig7PL0XTZKzOLaYz8cKrXRRTlszFGLquljkuyH
fEjtvKAhC2OTkQ9AcVL9s7BTVV/G2GNg2G448pOjbdQxbmcBJR/yBtNAGn4r9XIgl2AmJbkpY5kj
Muyox+S5qBX4qUyC4tNNlLgygOyCigOWqTHeSGAs/DQ09otpkzzM8sbrFEqrxteanjdiFb/3tTzy
p4kgw+XOg19Lz2m+LTU8+lOYLbaQJ/OLkk283KzQh7qPgB4d79Zk0eOQNr7M4ZqqPbvQGtDukCHz
yLcw8imKU6S3sR6QppPwDuMeohDMRdLtnTVJGn7AqS3NHiJbJO4B0t0FgYpN4bl+jByEcO1RY+D4
bMpyCj+KSDN6qhEZNT3sBlE5J8eieH+HZLElnFkJc/we4fRX7VPCITS4Aw3tIO4GZNXQdHpZXP2G
sFrhfsZx6hKEbJToBG8xvOTbd2TirEL2dreeFgOMFmjeCYXc7K1NsqCWpa2nlUy8rTKVmbRzmKld
7ekFFFYfUwP/UMS3j9EuHprFy7FHVORO93bJBIlmWMLBQvA+lCvGaZFwu72kkPjgr4WFCkk7TIDK
iT6MYa/0A40gGEPWc+mzJempWpNwcZhfLQm+BPb5I8muw/Wu2aFInzoUB1R9gu5L8dsEbmbRCfC4
UcvQLNGRnys/p8hpkRk89BGCkDf1btvEI7XMQtEbQIHrucam5O26jbK8XZsK0t8Aoo24QebJ1jwn
kmZz2SUG2eKPx0jI9oOMgdEOtk0z3AamkpttQ7bbBoJP3ig45pTRGOEgaqzFK+4wh5jgdp+ICfO5
3hQhWYdiDi4MawR74daZqKm+RrB9uxIJE/GgDz+LdkzY3rRXcRB/ZVvkzLBLucmHBn0tAG2uJXsF
BlNHSMwYd3kKCsO8tMvSqUwfK4w0Qz8eW57em6JUxY2vK7RO/SJAFjmnfuTqy8gxFLhdeVmHF7sc
yk1d5DeTtLMNjPyQVBtQeOJkpA3q11nFIe7SKC63MyTzKxhOUSWQjxZCiEecTbUh8jLHqjI3EHLN
y4OLt9Q/b4XfNgtuKhmbO6dJEVqOYM/8BxPpRkIbz/aYW5o10ZU8elTx+GPMeeS/ZlJI/QrrYydv
Nfxj2XtCCay6IGIhMDUEypQDZ4fPYquakDfPo45NfDvBwiHczVG5penNJHw1ynYTGBb0KdlhnnTi
RQluBJzjefllylREvlNz6AJsIIwqhyk1szkzKWN1Ss2Rklv8uFp+l7CH0A+IIY9ApStzFmMvwGxu
st8MWVk4QchVz7ChMMVxXIgFUoVrpd6T78DzY0JauOrG/n00avylrKYju+jUw0iUAZ0jT3JT5nhM
JhUdN7HcuHvFAqnKLrNOma7U+SbPR5k4dZnSI54ufpfJcjuv2h3fvIBlUrjTO8GoqTyWZL7Zd2ER
KO6pPHBIyQgDoJRomnw94P+13cy1Ws3J7fHovq4SF0hXg3gEc+lS1Fev4Yzoa0qAlfW2vYZG5PBY
H1UOnUVMpjz+AhGnLG7XyXu/nxYHV783mO3BssHWHCODE64Zbs6NLBu5tUCaoY+eII/Yq06GeRbd
jPhfecGdp9QHiqyv7Q2suNiLoTSwlP/iPJaPOU1ug4dPW4OrJJ9SeMH4G1aDbvZYlROwTMjYkd+A
Oa+DMRU8m0txw2NDoxs8uypfYLBi6ceJYFffwCuochcZpRSE8KIQnrZL3tB7EEHHHZ3oVi9fCzgU
2TuDucfVLn1nvngF4s+WN79IW6YI2saeufAC1ASBS5JtyZmpwhvbemDY5dmA3rO/B6acix4VugAW
qWUhS9mCkobupFEgBT574NjrsM41iAYtL7io28QKinw8iar5Qc088IEddZTtLajFhPYcAumoW6O6
3Ey7O5SdrYEZiLhM3mhcFgo82w6/bQrbDE7z8kJgnRnaa/hVc9essZgGBnvH6XNRisbfZqXTuR1c
xit7C5p63Xw22xHR9+RoUgOX6c3o7KJ1NTat23Z4sLSLKmWq+hj7dH2sEA300cSg9t6bkI/R+Qgr
pdMAai+tJAx5Sxq+ss3K5demVYxPKIBsN89IAlPhVcxTzuZOokMOHSI3EfbZuXzHb4roysY9hb3J
/AnRU5gmfcvAUVV5h3vSjS9jnmQnJF+pHVSyzU3nFSrC9JFQP4k78A4gR+2h0BhhwZZc38gCtuQP
nEqrG3bBlx4uBJBQ+jRo3a4hLOp5VhF+Km8RVtuBToM83kg2xa9lYvSl0no6cHPDxenWmGNDPUac
uWPOj98V3TB1j5DNqgY/VZHs4EZXfC7muqaPUq41Oy9brdezWRkK7hiOFVAlw57tBBkmclWNHFPg
n0jDhp8aLpX10eqxqPA0HddnL7YxaUFRPn7Q2sDZv64J/aKzkbzqzMegMJLqSE6Um+Uly8hYPLkl
2HkA6cOItGV7LJozpCk5OxlfKXPvGNfkkkQGLE1FcY3e8mW1Ly7LRvesVB01n8eVJbSFwrd8nwMw
jt5HMO213xVHMlEikiPrStjuPPsAL6jWZUeR3MUxNz8Y5GqsW3KZv2y7yJ6RDR/ytlnTRt3BrJX1
/irbuYlFDB8NWbl97nmyl6h8YUGM0g6ZwK7zxCfijNOWFBeZbi5HNne2vUig/hSXAl7TTy1ypbsq
gY13X5ejQS50LqeX8cCC7JIq4i9UKPmD1fU+ntPGCP8l8CpbfvgAO+XOV6zEap5kErsePssIaZss
JpVfUGCa5l3ElLCve7oVO1i6xPFLgNUNPIl5NPN71EkSyPXGUMxoXOYK9fmoqne43mh8azGMzPum
9rlp4ZtexyeK5Rp4m5G5+jWCq4VmrEE7eCbgqsizmheUy9aLkYEDcOTmOdUYGd6bRFr7lkcYU7VS
GLsOyP4hzYUJDAlQRAVCzrMpSVb0iqcllk+RuWoAp7xCVqIvUS0nOAbvj8PE9JzkJCopyrumFK2B
2/H7hS3u5xyv/OgLfJIPLIuafcAVlqdtWR+HfwqjTxp0TTnKhBXnm29oH2BFILtiUYr1zMOQ7hbj
ZD71s0o22kU1qeRFQA3efMb1yYthxi0VnTE8c2FsQxzrqLcC8i3Mpmu+nllWb+PjpFlGPrFKV+tg
Zbxl59nmsej8VBT6BI8Zah82rw0mSHLdxFegJGYZoorhiiMZjrPPag4ivbny/SjUBNY1F5LZTHzK
8qM8I9heg+rDM294y5lj09DYktpndBaV7bOd1TNomSoJN6mEzBPdIbzp2XgXi3om2NbZXN3iBAGt
tS10rctuZsqcyOyboy9twyXeaLpj1p06PvaIULNVB2HcpM4Bsqq9zWvC+Ceh4+w48TiToa8M3Ld6
VosRAWfI/IpvHMJCyyFdNIySZ8kgHsxYQfyHYHUVI8h0Eb5bBSIXYmwhlFjkIprdu/1DAGoK4gTY
2I0FjXdLdm7aaC7JQu+K0VWJeq5HkN5RbZb5NOc36eriR5FTrFUXL6Lps9LjzGy3ESqwLs9dU9w7
kP7KljIVps6M+iA4fth6IKnpSO0DhVphfNRgBJDvOlFi7cENBJ/VmKnan9ANovFz2d5AQtYQ8oFV
JUh7+EpV1DNwvL7WYMRj8+koe/N5Rt1NosYF05l0stlNQsyub2WaEeRu1p6tLY235gXmucVHho/6
pUAxG7dOHbDvXY2XNVQkiV8GbONMdwxfpv6KnNB47iKDIQsEpEtAaoNk2U0WlvwdR8MFZGRLGnXj
1wixkCpZs7KFz4eve6nFtrfURTB2HuvG8T5y3tWdkOJ4MiwBLyiZHKgMyzym+x0TuceBAEVXOwOQ
nHufZHpqxTXM/eIoIxk6YZm/AeJo6EnQes86wuWqOgUnHDnMQYK0ldVTlbeuYdParjUvPSJcOe65
wCFr3bY1Lts83etfzbGRz+uUxnFb5VP5K9YN+Yb3GnhnZ/hHZY2WCf4I1oZFdKUiwHntqFB0NHM0
yCYnS5tKUrzZwxS/JjgHHkinMcp3ZXPwL6xaIEiRFOdAD4a4QPsj53W8CXNsEDEuQBdOs4UWoHgC
Qun3nKLcrxqSJ20Ga4RvhYusahmmyq5VMKT4UGp0Jy1NXTkPji1VBEpctbDOQvMIiaw1TPZRtG8R
DtPKvFst1003Ara4jw4Ym7YHN8k2qNwTZFCgyozabPPXSIXcj6YTqea05cGsSUfRnUydFbqpWnjn
Tk9Y4163JUxmwxk5f+SpZNOVXz4W7jhBgW/g5DLS/R4JhxDLutyEN+h20fjZUQXAA8ohSoDA1eOD
SWchOlvl7Dv6MwFRb6S9vrjr5rs/kG+UdImiFBGYRwPhb+O35LnOAoObQdwcz1GeM9NT70vTreBH
3VuYxzxAI7GgW8UJCUNasslf6TaX8TAinE/CCSkS553jkO5Bj5q3rkLKCm5LBx/rdiHoi9vINRiV
hmaFe/VW6vRXRNeMd8kG15MOq2zR3QE37fc5Phm87wCiTMMeexf6ifrM9AyoRdUyavgHuabOtrWT
uB6mDRV9T0qafOdZ7I7eiCSZ+xlIIz4LmUvczWBOPZvMIatwLaPpq0j3lUGFy+KoRUcLanthFtuj
pNzJKaA7eQC3CrAnjMQLdHQO8oaBGFUeODMY9CF1tZefrECXvddQSKHxLfdXDMbXos2KkKU4nkPm
YHAXg1BpZ3ABR7fBWazZdvzA81ajwqnDhKYgyWYz4h1fS7gUWS1TL/byRxVdFaU89bRLWaUQ1eSx
b+LklU1bfW1ti2+SzskXx2rbNxoqrS4e1/nRHEBbcJqM9QdFvKYnnZW4cSdQfFSrQLQBCCJC9gYj
6mSBbqKQ6MsBHlywzdYMQmiV8Hazm8vaOVN51a9p8AT/tuUDvJQkRPkZ7OVaMJUm2yeBiAVvB/dE
u7kkGaFY4znOz9WXKEIrhAhd2fOlbUfFDshGSXKotpJzSuD6Jzjvk7WOH0u67TFu5zhVLTjSTdqR
cm5+5Jmgqp1w8L3RdCpoW47VvraVPsQ7FEA7ggEyJDq3vhTQZKYoB+w7sBVHMAI8PpbCzlVdtmcL
HKJ3H6HqkVLZrqKLy5/KERRevJEkPUGMD4gr4XEx9gVd6TeUDClkNspEP6zYWDG4RZcvK25l3gkz
STTYcT39iudd7APwJ/+Fp8KInhu0be0+QYbWBVifbi9gKhP+hOvFbY8iztRtdZT0hc66Nq2YkvnB
4JZeT6EGr/d22RU+5GqqRGCcYEY5kJWPSDm2+9zNTi4FqvsMo8YchfyFAU2sOkRbBNZCv12OLdZW
EB0HIjGdwF9bxCkH8ORPABDRtQiEbbeIUQ642GEMOuHKjNjekQKS2wHVhZ4hDuCGDjFGKM2H+Ajj
k6SlXdApwvDe24jWg3IWbzaTO2dDauL5XUmjPL5JsWNsBx3rar4vUQwqtFh0bu4TBUz/ZjRQGVxG
GpDR3KAYkD1izvWLzMIM3AWmSmBVrKkCDIw2ee+U3yo06TLNH3wMokzrVlgygFyN/JozcRtSd/xh
JvyVvcrJDYoRF3c1j4Jr4wyGFh0mpBguJSui6y7SAcju4P8MUc4+5fjTxdhDIuvNev4QRWHd+wPF
A0GNwOf4Es9g/VEtS3ZG6MQ8Y+4BklF3VR02HVryg8KMMJu2M4dHKPqvRtvirSrm6jhVGwChbtnN
zFvgofv+XVJXYIIQofnsZlJXvF/rAsaXbahXWmMBxCK54sH/qZpM+BDQ1LB3dUjta4pKT3ZSlnjU
uiNw6GGaAaefV2Kilx0Qb9oqzTXFyOkQleiOECVQXomx/JWnEhfcCuMU3iraoAdeTSqw78HliQaL
tsh1Id3SG9nsSp1X8CxeCUiWvDsI1NcqLUQ4jYXRr5o1DApQrLS5X9DwcViFYIIz4KYHZpiJbaqG
vOLVE0eyFjbwZPf4xOBnqjoc93KoGhqxDtoX/z5VUf0Wk6ieb2sSTPKcKsVR36RiIgN0xJtucauo
7OEK2yrEr/oQbiowsN5TiDQ2+L1O4Igyjk15SsKBYAdsaWO7ZkLzewM6wPis4p1cTXWL5D3u3Ib0
I4/Xt82aQsGJGi4rdxSpz/kAeBW9T2Oz7P0CuJS2Eqnw31iFkCAkheEQgNTZSOARlOAPiZzSrDNl
rm6QdhtMR3JufuG3j34a06yyZagHfglZobtZxRyWNta5w/BBEXq1ecJk5tTMC5mHnR0NGebVirpb
qm35LrIgt0HCoAT3b/DHo9iL7Ft+7XzaLaB/OKMb4AST4UXcroj4TXtfwxm5t/IwnykX5dcSA8Bf
Y0LFV9JEMPAbx0gnbRzy1A24XFBVzRsHGrZx+KfcMwTuDQho3UTPAAjgO6Ota2XB/NNybJp3++yL
d/htK4/NnK+vuaoEg0HJBBM9WIUUrxzdTtLVMpgc5WtZmQ6fjYsTQZUN4HCrcX2N8NRYW5GHyQ0G
J/TDdVd+hM3OqLsa0jI+jJhlhFMJpOdFuepqalDYj7p21PWU8aAuPnXmBcSVdepzvYdnteGGG+pV
mHAH4Tc8m9Fn4eei8FtoOn5EmP2kSCcleO1HPncljAt0t48qs50ERrIOGokQe9sYUMfawi0TejWY
z+M9T2tJu7Dn4ZGbK7+Lo/Z1+FHnRgEr2GjVV1rV/bwc8Mgp4Zd4ApiQklMeb+57gju9HIjn5Oaw
tmH96jAdwSRug4WNHSfAH3MuppPJV7zBFWazohWKTi9GlADVsXbXN5E4h1rJlpZ1HJ6Mst2NWJ+D
okr1yGuYP2K2HtMOY+3wczzQGfVkWXTRSUbrFyeUqs4qqPFLI6Ll1kZ6N/cELdMNLaatRHmf2I9z
Yfe0m0GlcJgt7avvwUqa7Xmn03zDgqqaUz3CfL8rMDqK0Nrt0y3AFru3SLtrblUOUnib6qBtd8Tb
dAfaEdPdUqaj7Bkumlu0wwreAJXO9p5vyPjqtAfDBLHncrrCbo3AnK0CsAkM9RCY3TJyjWNSgXzc
4Kuk4LDsS9RjqMTmnpFof0E9LQ7EnSJNuLUTS4/WZCb8ysYaemCWivCALx6mh6KIJntL/YFeP+UF
+VrDNilq9QEUurtGsT/UAmTUzjSp+AwrbEDoNXUjHLHVYt6C9tHYel6rsTMAJ/yJ6Mq+xg6Czhhj
uc/jVEYfcxKPX5HQstWoexjAah/QJFrgr6yFHFjEtzojAiHAyVTcZahJjw5jxvVj0GT85XAC+xZd
NHvKIRrNWgD/wrRuBumxI3ESfZ5dhPwK1qAF7MCbDvMQIRwTA75MuLTlI7z8O26iKyOPpcCfmGxg
SXSUWIi9PSAZHPI9UJR6XhZlWxoJMx3RkIr20Iubra+zGtNEFaAewGO1xWgkKlbeQvGujt7qAr1A
rCef3RZGRUl3mA0QkcyP9blCXiHktfAsR2So0/zH7JoVJKSRu7fqkJacfNFERw/A6BhvIqLX9DEC
W3Q5kRJoL65rWt3LhNgUGA6nb4mB5SAK31RwwAXoE5Fko/xxSvIlgZarjHFTyiPB3qiUV6g7vaOf
Monld6qmaVetCOv0s1Z1QFBEslP8s6Sa8j7CvBT/P09tfaHoaOqTKSZAaC6h2bnJp2U6RwumC2ct
V3k87pCOVm26WqCAGHwc6JM1KtkBUiFVd6hmZ4r+DWf0CUSv0V7GZDcKdUiafJhdNYUzwGsUshuf
LOsrWM24Jwr1L3bOwoHbXhf6e0ibNFJJFqsTXBJkWhZseARfAgpsgrUtKUsrz3Tf0oFPudpPQppc
dd7UkrVAEJr4UuZL8QlnKhZnDSAAq2+xxLdZaYoIFzyKEmjQtb+TTO+AKG20+zYCZEXbHWM+APVk
djNM//a66WxcUtWl84T6sUGzDB+JtYFHngA0/SnFbh17p1PkQQpnEJqIpYf/KpKwWz5vzUsQEbYz
OG6AH481XBVbuZu/esxwUNWs4CkME/FpcpkT7QOqumL8mvEGHrKZW0zo4yqabiuY5Xzapwm05aTW
6BNAJ2mWYS7tLlHWg2MBYhsi8DA2OGjUYbRQvEKJOx8dvApY6I1J87dVEQcvGpXVD/BTROEeJ1bf
Y4AhyBlTw4Tf1lUxsoeI+418gKxMRRewS3DlJyE/tlbKxH9uqFEYinH4K9whuWLeP2FFbGmri31Z
HmdUDgDnR4z3u7UuD0z8Mp7NA51kheO+okd9InbElCsqsveNHqd0cA4m1ZDNlTSGkzMRKNBjyE8f
row6/2gBwPBXbMOJs3ZsbOofljWZ+YvFnf86kpT7F7j94ZXDwarmA0a84luus42f8LEQkIz4mTF7
2nZI+D4zl+zqYQSP25xtOm1DfaC6v4iV40qUATkZba7z8osT2Q7XZ0Bc80XAJj27xFau8Utua/wi
3vN8G7a61DiU4fDicQzu4V1MOffIgD0wOEKAiJ6K8wrgKmnVionOvZdAHtocJeuOkDuH/zJA3wFN
OVyaipsUI/XqbanAQIFEqTncs3Q7flCn6nQHYDoX4mXepoh34cjUfIeQySY7SaTpNM/hKI/otJfi
kAM8z7m4m2qEhrZZihnqpQhrfGDWnNG9E2tuxf1EF8hcry/J3q1NKMoPFv7y7jHBCiOoZTDNK15C
sSEYaQDXUasZZuJojFFMBs4fmJP+++o57q0D185F1+n4aoE7QWt0OAzDssXUVauM1kc/MqK/mQNz
vwHDMfYlgBE0DYiQXJr+KP0KgfE+LY9HUXp+QyJjOsBBR6fi6R0aao0zjT3hvnkdy3rsmlLrb4s1
+gYnWvGG4PQcHSXCmL8EiOyix8TmaHY3UP6xY+qvCMqWr5WFZlESqIE2NX4lR01bLBHVZtzg4Opz
JtYz1WR5TXaXl6dYLjuggsl9qQCMNrirltH8WLKEPZaxBpjHUIGYNlcqRLfLvG+uq01Wvp81cj/a
/Sian8HsGFUQpemFqKJBdKwDbjWOpPquspzkJ1z+Tf5eVF6mpwnFmuv5TBiMEmNWtsVBy/SCEMZw
xtA8uwPcBVgvF/w9olyKE+CNem0jOh3f8xRe5BuoEThu8nkfdC3n42RXsbtTRps0PM0cBj9TATuQ
ARP/dYiLCQZqkIsVfY2mBIOcai6+zusEFKA219OFED9+wxhbfq1n/wRiebP2rMobIN66WXF3ppDT
tRuyrSckfqTVoMkObHSjozd9sPtxRrh8rjtk6fAd+dy4otoJ2dlxj5XTiBaHq15QR6Kz2F04YEhT
5+gVLJfm3THa7WajUPSiZ2rYF9QH/BHM1hgdWKmLi8aSzNCMmQxcTEkYlPcLnX7BW6u03YRm7nMG
46ME3VntvwsCdUJnR0l/VhN+lKII0/4O+tKqBV2OTRi+mfVxRpDnckJkoc7elK/Xn/+Po/NYkltH
ougXIYIGdFsWy7e3am0YLb0WaEEH2q+fU7ObiDeSuqpJIDPvuTfndimZNVuGwXRgsvWTnFtFd7Dd
5j+ebYm7so766NcKAeQ+FK6efmVbP2oGjfUiTiQMVQVgTh/NnCrQK/HmiTlI6k7w8ofGQS/ssUYc
3XQL0kNnBXl/34lq9pm3Z95PFjbWfyCwaoiZsFvWy0pRhF3Hzefida0srJJ1OIU/7J3lxUmXotxr
vQzZ0ZsDlNeeGuwub3R52dj4S7aJguaQ/K4EOsYy7I1XNu0LjyD9X1svpX2wjDXMu9wvun4/U/t2
CSakxvywIGecYHEc7hrB8W+fbHxLTDQ7ZmyJi1oy3a390tn8c10ELs79rI55EboZs+HZZJTo2hsO
me2peQcgpCO9q0BAyiQNbPYgVNFCBd9vPj+Vn9L8VYFFit8YrZJWm5ajvZmohyHZsrIVO7uw20+/
AqKJ51yOZIl0WxHG06hS4IbIZTjqEmoRUdtI7oJQZMEQ97D9wGCzX+YX1dvREi9t6/0IM+nhYRUT
tZ3cyHQERWHFW0mI6F9XjKbZDbJfDGseFfgM26/IU1u1qUScrkU7XqptW53DrTFg9mXxFPkzA/eY
S1eme7NyecXREuTMZtqt26M6QH5EpohAjuSYUzcK5ii39XkQLwV0EX302qFktGya7i9+k23+KcDj
ZxLj9Wo9V6qU2T7nw3iHaZHhhOjj6QwWr/Dus6Wontts6T/pZ1L6bWHpF5Xa3pmrxlhJtI0djeim
b5P6sRLnvt5UHeOsbop9mvf6ZUXG/VMsa/QgW7edKWP6/J+homTejALb7NSIoM+ce5ucU7C6lF7g
bY+FtU4/lsjLKV6A59y47qL6WjSFOXfMGUlbQeu6FaZ2H1t15fzQs9eAhq5TvzVBXRZJ39lIb+Wg
KjsufWUFOzs0y1eV1cuZ6367sknZQtuUmaoSTqdntVn8L5STGQu1sMOErTYroclzxhcfpBY4m283
bH1B/VijvQllf3GKav6QZLp7uyZladI+n9cKHYwNsxfyQStJfrYYPUyMXfHkqLmcrhN7af/lGmwy
xoVPkqzj164br9LuP1an8Q8Drh5oAhaUhQdNQX0LtcoLOhPRsQ9tm8q0is0WUYs7S96+e2FR/3Ae
AoCUqsqerNDK9rebfku4OsL0JwQJPIRhitDKNoYKWqRL+4+U1AvEWOri8OhFqVclZa05C7jIiRR0
MgAiXppKcp8tK3fEIvt5ZMkCblhgDDUfJhj9u2hbuF8YVlfDDvPQlu9BPJCNRTOZ6qUsbP0lawYU
u1natXtmS4ip7oJG1Yhazti2a5JnToaGBl+5R/ox1XHgc4KYGs+rY4ZNWqPf8xjvvT7L26TyO4m8
4Bb0DMtGZvWxo4vQDyYarflMyLM5+o7pj1m/us/DElrl3mSqqF6rtMS/VPDjUjrUfMRWUI5wI2G/
Opk8NSW/CLIpL+yPaczO20rJeFFAKdwNik4p4f5T9nEjH45m25sFyEKtHcZ9vqisU4kJhtZ/JZ1m
ZxyicWJTVHpMqsCY/5ayVCk/dMjmZab84Lkjvc8fP2gyJ0Ei9rIdJKFr7SorDb49byF8YUG4ThbV
Ya5vyig7BLUf3FVy7v/yrYofq13bdt/Rg1onVwcByhkIJeJUqqhB2W/XjxCGRTP8AammYQcYd+6b
YNveBl6nZpenYrqulOLL3taF9YcU8vluJVsrO87CCl9mzCUydqpq7E/+uFHMerUpnR0vSlFh0iVW
cOfWEyFYBoqUQVaXNhQKDZFM9Adp8LF5K1Mb40xudJJt2qZPQyVVfl4BOvxdIKe5JqEqcEf2tOae
c8hFa3EBjKxtTrqNFFxU8yqyjqvvI/H1djU8bEQDdbvSToeGJxQa34tTK5hRC/ooIpQxXZb0NDs9
xBPBOjQQbUhBUhZh4Z7pgbCujbzt3o6zchYY15n+HbaqcB9I+QQQsZ2WlV/WsDFbZRY7BrHyFqul
FNdL9pnleSh+b/RP6tgwE6t2PKHNZLNVs9XzmQvSmxIYVcZ5C+hRkLDdGwJbkkMVHMaAkedunj1/
Ps12DwXul87GlQ0lp3imW66Txq+t7wio9afwjFPxI6SDd7TpQYLbn+RuLlZex1ek1GLc9SIN+ZOd
4qQGtLFecuXPAMpYnopYCqSVJRjqX0UKW3ZPyK3KDu6sl8+yNH2+YzOf7x4krRkqDVvYx+M49gtH
QBSU9nkQ3NfHMicf9471pK040H4FrPBGzQqO1FgMMQtmeNYJz4oQSTdP/dU1IysYdMo5EIYlX68Q
3X9T5fvjMcxNKqlA8nLjwBGyv/MXfnm7usunZ1NDczIW8no3jvobVi9QdfXBS7dCPW4Vun/ij64c
Dz53RPDPCdrgAwtsuhwWJMzgUkTh8MflvWb8UTsM5FqfhVaxxbyWTLxaQatsva53FE/9vd1axbWw
B3koxTTfR21mEybAlfDQsHfgHURy8PdbhYUBKDAc3PsR9GGmbXbd5zaQm9r1HUmjF7Zdyzev76LH
WnZrmSD116zHnTz9iunPra8K/GNitJxZyGNhKk5j1DFVYVegY+0DFEdaGll8rKMy23tdNH552vjE
D1hAS0LbfICYoyid9g7/D6hLN+GIuHEiRce1jRuNS91XfgLlOatYzkZS624efXHgDtjLhSSKAzJR
1ghJUWoYopFZuuuKVP0b2Tm5HgM8RmtSRFv/FyoWFjhjtG1QNuR2mPFe7+08Sy+E15p2P7lL/r4O
Ps/aTcx8WVdF246mesPHVWasnZny/GsRTH1jn3sY0DX9XdVDcIdOvTyDoqz/3RY44itgys2ABsiV
tJKsrJu7KZdwL3qe5H7MveJjbG2mMDM3YWIB3a5xi7DzAicz/l0myEkagyJ4cv1sSmOdEUd2G+m3
11Et4WXImuiNhZbVA3tcqp8hGmmmhkyaS9GV3lPuTNNj09vjL6t1I4qOaJofO3445vytV30WHUX9
ZrxxiU3by596400F2yLXrVRefa27zaLuwnaXyMha7rvaQknkLqm9gPXd/Vb72197ZO7eTjc433j1
LxPS/axFRV1ToXg5yrd2XSiX/W1uvM9HvzuUi26Pmx3on3ap3LNJPf88jJZ+H+zBvio5CFRUSUvk
6TZLogalzxucewDKcU8bPT+Dnv6XaagaMsqjWBckEYnKprIgiQmQpU63U5VF3/jtiPQobvJT2x2t
oDWPcHD+++2FPpYOip5Y+LHnTeYn7SpzDHV4p1rm345cZUzwLvqy11VfgLzRA9LvIYqqZ12FDuom
d+2uieShmNbhqsh20Nb4G0Dhpx5nSAS9XhsQxZj/ygJr11/uhnZo3tKekMxd3gLizO95K2ivSPYc
dyZspyaBlPPfw9suqb0XDO5O02vee5kfwIi3pv/P9zfHP5R2FdxvQ9Wd58EfFJPfvoOEDxvYkXx6
wKfO083IANo71ONwYP1iM+6zolwJr2ntYOeHpffLOJt43jB8fvQhppCsUf1jI7T6b4YXp7QiteHb
r6X1OdJQ/Ba9kG9a1PYjYnbzZA1VfemUmIfEykr3oLgr7uxmqvcRc+groj5V8rg69b8GzBLOplmy
OJStvx8Bh5DfnehhNd4NNJrMnjFr9dsunXWNq8guLhVy8TGEkUYvIxv9w9dr+G249S8Oaum/qAY4
Ch5sZJIOln9kZE2d0x0AJZZ7Eir1u7INVXzYdVcmZdjUa7W1r05qrG8P58meMgDtduoY10Wb8yV6
CSq6lc5+HHr5HvKunMp5ylEzCHSlJH9V3NtPJMTyV4k+cP7k0c10sXgK3s9bL5y5FeIhW1lB3aPc
PqCtBR9QXPUdJTK70jm7gie7lNUnl3OAcpc6F0sQ8AkDsabNDmuidVzmsLpaGjIbbkho1BW7Xv64
UmTPi48vp8oL8RDocnnZit5ZYnfonMOEMei3mFL3K597Nt1qBKozxZqYsI7I9JWsgPprIb4HaNiW
+U+fpS5/v0pzRiPd5PxmIGBefOBPYJXV55lbmoq/p0Aff4IAJ/KfGltFZ7uWglFk5HS3Y4SQmjVU
2AammfdNNfhjWl3n+7np3HtgyvZqwCOvDvxGbAK9PS7khGU78DxbJN6sASHDjKOuoo/cMylsnqK2
ZLurywDxPVVD/lyieYOWWmJh2qwa9XtcUz3ir4IgMpto/svGQSWDj9c79o0X0TR4OTsk7CJbWUlL
jPh9RBn5sOG4MEx5p+2ns5mboK2AIboy3N7ZXNKMid05/ZQnfkXUwAU2dJi+rW1BDI/Hzcm6E+WI
LZ9dY+XOhT6MGdEWCTH+NHU3WzHDNevDzbrBBxiH5/tKJzD4U9mpuf7bZ60uHgMG7v21LmzHodUL
035Px7J5zLlE+QYD6VVQKaVmQTGAyVwk3VC1G22U9m0yh7a2V9lu2Vjp2/Cx5tK5YPQo1zNdhoHg
u+3QxO2zNOHMnSAbYHr6TFGHL323VuZdsAI1dXZI9/l2yIMuDZ5MmIbOvarBoveep8IzbpjtPxKs
83qXrfWYnTK6gOZJ15QLB4CgZbEOWW/X4fbQCL8L2sNAh1Go4xAwpcvjsJvaCdtdhFfttesgcidu
PLOFXxrNwac5Qn/H1eC264pTwYNVHo5uD8iR45Tb2PjZrMgNe+DYEHLBbGmHM1hAT1h3VQO4yG44
VBg62sYqnKGF60ZPYoMtdN2iEnf2M/tBIy6FJ6ceTMo3iX7T/eVgc5ifzltnT+bspCzV+KyHbRJH
6LPcjHE4we+6FO3pyGIrKxzCdWBZGH2ydQjCfFZvowi4jMORaMkHSJh+ZI4xuFbJEk9sA+++XY36
POGuC9BBqLUvEkogoo1d5nknlZMSTl7BYu5zQL/yLpOBSRM+dz5YCGdOuPzid5GB3vvz8j1iqrXe
1p7T8fcQWDV7iJe1YNwXq0HV1hdZ1Q7pMhvVavnsj8buH1pEXOeMXbpxjqRk9NDxskeP4RkoW8xQ
S1XnD36LjAcHOVjuXqLWBMeqSbX55/u6HBBnoI5fcTKk+rNxRxvpeXYcpiLu0lGjTnlr5w9LjdOV
WTlbYJxdjvkoPW6LvyCs0ZhxXbiWMBS7NcBpokIija4WsEa64fEI3fwgHDd3f2UmD8Q9IufKr7cf
xLA+pKha4RtuFkwFls4a8my3JiqeKnDhAPRRu+mp2KwgjYl+X7dzvWLKexyifEgR+AOXnmIT/KNZ
zLcVqpMIx3UBerIGY5xkcltIZMaNjVc8snCDU3gLLTCK255wBj8sGev7R5FNzD9iJbpSRQTes4Xe
O/IJo+BkW0EJnoz9eKzO+NVHFOOgRz6P/blRivQm2mbvl1WFo/0tCz/FGTIbjCp77MNtisyJA+qW
D5T20XhsFJXPvuVHdOykMoM0R3dlDaZ75kAPKa3HvGdApJ3WdX+3luAZCYZSOGJ3w+SpeAWGrW4i
ICulaMVc4y136cS4NsbOKpok5fcZjBB/twnIzhW6hcFgDJ/aH4XVuN2TByVUPKZ2iBbeMZno/42B
5+kLxWbQY1HK4LVhgmShLraJ7OmIQGHEN6BJ2v/ru8YbztphSruH7M1SHlq1dscxGOf6jjgFETFi
L6L2ZLpFT1eh0zRN7AAIdBfN0pW/sZrKYk/I/Tw/FTBM4jAwBszv+X93XrwGIXMxLMeo1pmmE2cE
qLptL5TT+jylDtE6iVVms5PYRcXDfwgZc6tPCkXTaTRvsbjWxYu6fJwP3CkOqkGfB7m4spF2CjkG
2NaAmF0So86d4WugdiqdZa5o6PTYX6WcohahdTCFTLpAitUwIjGr/SoWNAeUJTrxV3/DHAJwa7vT
PQ+syU7cB/78Pi81S9VwM/Dfb5IwLMHSY/a6zqBB0w1FXosdL7vW//AAmuKgGtv1OOawsjbEz3mF
f1w7Mt4TlbZt4J1Sj7Da16Zr/q8psDb7gt4q3S12lcXYfx8yCu4eTVAUxe/WLhTvqp1qC+dzYDn9
IoljXDZhHYlemVa0UbxFdX+s+ErW9sM3DOm/LAwrzspklvf+qQm9ofLfndTFxBxnrE7wEzsfw5w2
SnVVeNGt0v8mjpJoJ6qpiA6eMpOBvm43azumi1vOd2SQ43/daKOmp2BtuLxzwmeeg3my6YLcsl52
c0V2D2/G4DrDn4ZodRuLooey4B/yhjUfj2PU9GW9YwwqirvAK4X8CraGdZ3sIRr1Qbce6xbili8x
s/Ck47s7d76M0rs68G0GEZWlNnkRYT9Ve5cDk5MWljG6rkz9mzO4woho3Tm6ue+ctiwvAVcsCs6M
wtGwib2fIx6mbbYPvmYce6rchWWImGLcXn26olTNicFkJJzTZK+ta7/3Ewfu3yxwm+xTl8R1uTCo
xeKbGK1xGyCYWC+l42kofYigwsAFLTZzjL03MVRw6B3nwVwGN2I6tZ9ZuNTeaWPjsiEIqQyG3UAQ
av6sQ8RpHVfh0gAaIwNW8Sr6PPruSQYcFBN5keUZCYGEYh9kX8jZ2ZPI77vTY+iNejtjq271H0wR
qBx8Clc8ty2jzjs7BKDOklYomrR6Xsb0Bbe2YaPAzKgijTEIAzU3DkusrxVm7hKdaFOewiGaiuXY
U7b+521+Zy7SpCROiMkfkUmCLmpfNyuL+l+ZACWQnGtl1F5QgYxgDokq1vRYPmRKc1PyPWVJFs5I
nNQ6nb9bVFiWRzr01od58urqb0VaWPbkk2xR/4OU7LJ/7nxbuxkPhvxxqHYAtpUSLbc63Fqdh3ET
46CbCEfVHjPYfFIf+Bqq4jyCpjaPPgxC9lzZmK0OWyEDfZ7XwlADbcQ8VWc3p5Za4gArIb7OcPMs
ZGPwuu9JGy4l8vQMNc80D209HarWiALDuInW6Zh5lq2apJgQCE54NxHi09titas1lr7ed3Vv/6y6
qspn0HxvmOBSefcuNQzXpXCYjlKf4wH+1YxRmP6FTB9nEVcjFHXSQYIFYeKnbdD+sZYy3dbTqlQw
fnia0AodZw7pTbEimoQgF4QcpvfhpEqPvF4vpMlanMUPkq5W03RoozzsvuqeCTuWSMtePsEsJo3B
gvvHfnPBariZhMybPtES5OyhddYQqWu1LXW0SACDgJHtLBgg2WV64PbnYJ2YmCNRhZ1AV5wMkueh
coobLIYu6iKiW8R7287SF8eUgmk8NQE1fkEJWJTia2O+Ac2KuSb6lGNDSsOOmWRqlngMZFH9R12v
gHXJmKVV8RBh07vVNUFHFAcT1hd0n9HdFfDaVFwIp/pJAV2tHwrui2AKwXWdNKHw5V/ul46zEWMZ
eappzhR7ykgByGO389LukEe50z3gtRT5PjRrK/9LAyuYhp20ajkfCiK6CmoSmOWFH1D5/TcTK/b6
SuKtip0tJGOgGLsdBtzVqxzYbpULQgTGEBlDWJMhPW7QU8s26lQP3q1cVu27CKYF0N4b86ImK9IE
2T+TcpxBiaqlmt/wXIfrUTkkEQCom0WRKk6BaN+MY7gZAQRpSRy7dfWfddPpbCVtNVFLjP3EC+Jz
DwRvBNvPxR2ADVbuYroxAX0w5vUpb0YL7oRlGkQ0mKF01zdpWE130yf89oqXmHgHERRrsVBEYt76
TYBI3x87D/PZyURL1Rie5FYsr+RKINsd2nVgGrN6E86io6bqyRIWnzr2ehAzVPGxDBVdLr/q2TvW
3uhDUAIvOS5msmFJgeKbVeGum1On8u743rf1YVwytz1IM03RH4yonFiJFRrD8hOVO+tby4LaLwgw
+dVKe+EWawGK8rti9JgA7kFLiWPwnNHOrrajBa4vnvOihxkxDJ4S1gpV253Jemf4pPwcuk9nxoPN
Wl+uqvmusgSuTwqxoE/WEcd4deZ510OYrFRVWGmngAtU0EJNJnyzSvwV4bET5aggRtNiY3dUpQkG
D9toGQ5dOazm1XFrM88ApXOmJYpDC7F5xuM1OsNpwOxXGLKJtrF5tAPebM1sf9h4hNue5IVXuHuR
PW30zOvvEipFfHtsl1v+lIqdiueGgzXfoEstO/rma23W49r7MFA4JpdCJVbdmgXErgvpo61Jrttf
QsqwN1GsTdLhTQ0iuHAUsCwXbuwZQ9fPc9hNoosJvpAiQnKEzOb25sL1u7uNnOKh3zNjDBoN1DBM
vptIb0GuPklK8eKd5QkNNDmIg7f8F22qX/8yB7DMX9Q633kZsa0G/7KxnJ0fa+mGqYxRQmXl3FfQ
0/OwTy096WNn5QPv9zBHUxBySanZeIm9NMRI7AJATxwtlWXy6lgx5CeLwcHIfmrExE6poK1W57NR
kz1dyTHtzEup29B76DuR6pceXbX41TXgXIds3qL2wUKC82NXyIIlO7T2+bfHxD89eyDT3CPconYy
sec631mZZHuije4j3zeG/v6LtVKzEnni6tvfgLB9t0xr6PY3bHJlnVbPFYLK2biTrK+psrbq0/Mq
L3rBx4Zpnz65dHRit5zIpygtfPvUMdaS+6DhBLoanovuSMKTC93TWiQFhxkLKJJ1wWh+Ib7Dmm/J
Ahs9iJeP08KhtHbSfYLF2eTJt/2IoScZN+Nojn0YAcugdc8b7h1vDfLLxAPm+wnGgaA+o0V1zkbY
tGScM6otF/saxcYz3LkQZF3Ceo4M5KvxQtH/ISSmrsbdrJCGqeo7QSnazrZeRLIhXv2/VVvwIMP4
FpgvYxY9skYphtB0xc/sUo60rH/00+UIOjnnD16H3YZN1JubHVQ1KO9k5M2sTPYEvcVlWDaMXZjT
m/GGpPq4r+/5rVkrXbFdt3AAs+qcM/ZrLQ96E7Wh+Kg3nP8NrrXwnhpM208TTrm13+PBt/AIcLKO
96bofH3IumX0WvCRyPK/KdUzwsOw/tKSDbWvd+ja7LakBx1H8UUD4S080RBLy05KcPYhAbdURHTn
mDem4i5aslxjFXW1Wf/1aZ6X913JgXXOFnSNq4b/xRjInTURT1LadjJoP8wYIBZKF5cRebQgmGjj
MGNPWsdgm4yYLjts/MHoecr8tT8O5FoNbz3UyO18a9zA/6hX2vcf0hLC9n30dYWBK3WWAMudRjf9
wERjEV/iw89+TE3k9ocu11HzBSew0j1T3Fv537m1pvYZ2FFQyGFL5DUGuXCmZ7ESV4x4ZmdbAmJZ
1c9hPd64FbuzKf/7cMQlOfnVLII4arq08++ypgKo7xUsx2EzxTQeV7Jd8r0k6cIjmKEHurgrVcDg
LpLLUr82UrbRY1tuSI6zGfmsc0j1ZiesXBvnX3PG19tS+3icvce6YM50qRiIl3uP7z6KduWiInlU
Qdh/DbcEAHyd0Qo/Mrn2/B2OhsjGC2M+VCaPeZN1pJ5mz99d0OL++52GMmcgD+vXUvM7iA3Fx0Yk
wUzFBjBbUtj7UJzAainmQQCJVnxVBJiaN/Qoo98RihFF42Ycsvke/GDebv8wc9NmjnCbONowxs7t
SK/9o531qgz2a9TYTJ5T47IPBIQVH8ukLRcje+eY9YF7s0GJEgZPB4hlUw4TNuMok/QERekNNcyw
CztQMNjKH9JIdmKHCdT038s6bO0JVrvJdyr3ST0IKXfAi3I1k/rJcpnR88J4YSCPutJF4dLfy8yt
ovelbSJIXtmGlow5vrKO/sMhoCdmNrZ4+F/Cjh85xFma5PjewvdNY6/HXpmnHGv73C5YldR7jcFD
3nSBwFTmKVtvSWOlVSgflO1QeZxL2bHU2e8aZ22fAG/GzHuhsXJZL83i1EC+FZHlzuelr0iZnvl+
B/zAaxQwaCpy90ASnuU8V7XOzbO3MvZ+NwQm2L+sEOXzkJJOUl3xDxPaOllTE6axn3mpT55C0IYP
82jK+lLmQ4MtVOUyHPJjtsqZVYe9S7x+AZa7ZtC1zW2pKIK4U9S09p4GXPzdRGPLl5HZ9mUOI5E/
4oJraQX7hlIm0RhB9FFMLapwDJGIsS/xVYb6j1yXEU5Qg15kGDvKPqBtxUqQ9tse2ZfxaQi3Tx8m
cl/2e4KcpuiRoW6dnzhtkKEY+Akn/Gpaqt5fa985jA359mD9MR8yEsP5a8v3UayUy/Hio6bHZC4y
V0YHCix+ZFqv4jxhOJVJwT3VFbtcaQaaAVuWnJcqBU8yu0AXavsy5F+Q/sYSqAZIAdA75dFypR6n
fdTBlUIDZgy69yQEgcrV1hQOTxtSFEN/XE0R3JkYCbcMVgVgThxFlZ+c3Jg6u79l3fT7qt9W8KWB
Nkw/lgwFrPw83uqynEICI6BOxsk0gEkAm/4Yqos/T/R+D+0cYVGAsvfM+I9OGIfkDqnnhltpv6iW
1362yQE7sDTd1le6/tX62YYu6tx4jPrMEQdHLuXIVqCx4RvdNoSHBI9uuj5XbWbVL6S6hP58DjZX
ttUFp4kpHjDlFIeG5rv8YYDOhAmtCvLOYD0lQcSxxzd79kfa19bMfxdMYdyXaptfmEuEwdFqmvy/
TAGhxtvijW7A2NUaRB1vHF/uQYzR9il5Kf5LJ3KaWBNEplhMS+leS7n08z/Ke/tJSZ2jYo5ZZCfe
iEUJ01PnPC4DM6pDJdKsPAtGToe6WjMXd+YyPE/2jeUAVp6C3zYz1YZ4kZkcGXAhaMoZk3Lx2hMr
qB8ybuHyz4SX07LpyqNsYujkDO78zjkbhG5s+Y2/fvTTSoUR0yrZ1aFhNHdjUZ1xexhaPIm4FLd+
2tm9PdD4yOnWEaBSsGAZDxAIbdZBLDkLvnJYa1D5w8AVTx5GoIbgmYvH+lNVGdQ3Rh/3MntB1hwh
nGnMJ/LAHJ7Rho52N5YOrvcM31fKsCdHT3frdXMShDr9MzmaoPsANuoNWseFbiDr1Pk11CG7NKoG
2OzkjW1XXopQuzYR51Ht7PUwFONdDr7YPXvsPHM/oW6N/FS1HJ3HNGSYcRVsIO2vOaQB0TCVXzv9
JyNM6Z0Jxaou7dAtzNt9HUUAN2S5HqM0Iy2XDyvKc1GlqYFEVY3v/gHP07216wvS4M6AOEFxyNwN
v5ZvW5F4GPJqYtpdr3Q8MTpvuH1kpVfP99BDBEHM/4+EJ0k6e5LwoV0cVibaLlEtfPMluC1DQ7nI
UJOpis74N1hyY49wboRsTXAn6HNoClOneAJ5V55Li1krY8bG5LlmCBvVwbLnF7dENbYIUAk0vaaq
o3Lnya2E+SKDjQkpbG6qp0+XgakEOQuZ39vlIOSVMsq3rgoAb7wKLFASOLRsyvFTel4nLlYEmc/4
3Vsc0LdomPqTwxDf+xZRRwYcWxK8+WzKEqdpGzXlI6Tpoqm43KDc215PwUBdM3OqhDBcBLuQHFPC
ufsR51Ru8zfT1UAlF/Ui231Y6cU/VEyp5atD8iHGwQJTa5sAh5hvmuZlTkK6cEykxby+LqIozGF0
ZpeEJQUf+eB089bcjBn+E9vCp2lf1UrNwA1FVjzN6Ry5icWNnj2s1XozIMzF7xyPzoOCR8SFZ8M8
7/3KW1+6ArD6zhWkcF0XjkhErbJ3LhX+JUpkig5G5VuATeqZIR0OTmKaLPfYObiloc2ZmD/1bpme
K4487EgjaPwjd08+xCEHWXi6MS8yJmKitXkSQsxicvR9TE0EmZhHiNnS/TuTKaFwi0o2/glw1rXH
yDV1A6Qx+WhZRxqxrCBKenIBjfaYibVUvWwhGYp+nffs1mULgbJo9zkZZ0ny7K7oLTORXiFERH3d
2P84TyuIpA7jXK0vKodglUfMYxnKK9OwbT8sq5KMNZ36T7isTjvslrBrvgjuxDycB2Md3pYZGhHx
kDLBwCGGubWFZmyz6cKWxYpfeuoMEXHwng584tqbTPyPo/NachSJgugXEQGFKXgV8q32fl6INjN4
V1BA8fV7tG8bEzG7Kwlz62bmyfa4wmYxj4A7SFBxth7Mq8nwFYOjaQrP3Ldt6f7rXbf9Sw7U9g+R
H6Z3YDbLdVfkmqnKbjijcFTmSIgnfKD/mCRYPn74eFenfcqwdZJpDiZ6TKwK6MSau/y/QVK47qzr
YCz3CcaVJ7zwBYEtksMXuIEtiXGM2s6ez+E+Ee9qvhxHlPmx4Mep95VSPjsFsIz0yDKkWGf+5cu+
sOSaP3f+8n+Mi3HsnNg0vm7BHCD5cmjlxmWvFCBWzNmPWwXTi+QJ92MJLzSXvB+luhtbu3/lEw3e
Z1qXg/72M1ZALLXHsjk6+aTaU1YplNG+7dJkh34MEyWNBsIIjiEAjyrSlrsOwgS+8yyv9aPAx26O
Fqtp8CVOVaYXLq3mm7LiKtivKk+eNKtAd9t5TNc7UJ04Fnt8oZp1gZ+FW7jo+KlT6i6wsKjBtpsv
U45+GnNxMxXlHA37naBzofwumwqSFIutZKgIRTe+KMTWRlXGmR5hpiRl1ldTcIQ/nALdCAvGQiIE
HTeS2VEn1nYxSkxfb5eJHfkfK/e65SR6MCEPtp0m5oqGokEV/3ZXSUANvcOAufa4WDeFPaDAbSKy
dsVOl7mF7QwWnH+XojD+ZV9n+b8anOmHGpy8eEYHxv4hkZvv0Aehw4brTJlhlvCWT3vbWEe2nOEv
q6fqHFlguohieFlHeF3Kx5SzeLEPhhkgC5lPB8AyDOAaaABVz3GlYNcBZyFAjXmWkMa9S7KVNWDS
5wAHyhWFnfdqJ+IJlb9/JS+qDglLb8OIVYLUgEzY2XcJrJzi1EY+ruLETVf/3Efc/ujwTnif2lPT
xuOCvnJmYzhVTFQdbL6pdfA2drxotkQ7xw4AgZnvBJbMKW7hfjl4pUL5PHMc6/aKC+afBUH1Sh9o
gdwmGFLtfVQmdXLIhtA+1V3VexdWlmQqh/KKeuFolb2UrHwA/XFaEDHk1fBgEBhZ7/uVQ+rboqfw
tm9kf2/TgFzFdH41vzMXDprsRMV3wBaPdggEdotmkhrhduPkjROwERm7cVs2sqSoeIoGeWQSQBid
5tLGZ4Z8RIHVvKonngY4eNc8G5Yt/KIVgyXKsxsdzNivd42kc3pMZq86BFdFPEC0kYdg6QYwrRGB
gPympZfLc/cNP1R5RAZJOSRz1nJ2vTX4Up3DjrWL8+Z0lj/2OwKFGV4A4iX1n1kHTnEpByK7B6a2
eqRhNUh+DQrbTaKdsDuMcwHiziVt8JFhBkco5cz8FsDy4OjH+EQRRsB7wjouQo3j11SRnzkwaa7N
Ni18HoWs5YmBp2UguMWYnb2bFHihvVtZdJkv8CeI+t8IkA3xaTupswrKYJfY9J4SxQ1TTBJ9eGPz
N2X9gvLW8aaRPY8MrCE8wfNHR5saOdPJcifFQNRmyWIM5uU0rd+qIVqP7eDo9KOy1wSWogCKNO1z
ZRpFvAJ77lbPARCKQTiOuxHuFN2B1dWoST02kT3eWzQjy7JACYUO9xvWa0VlEinTkoA0r68VT/0y
6o98caoFMlC7lFsXSli0Q/cH1atmATKHK+RsE8FUx4mCyrvQ5HLZytpMtMZkk86dJ/pGpvJ36fse
BSEJO8A9AGYc9x3nFD0HO8HRqD0JJcFLjU0bffYoL9GOlRxb8LzqhD529Ug0PExSfSZ95oc/oQH1
8MEz3mQXQBNqCyLMhKgpejnlfJUsRuqwKd/xZ+S/ogxoluYt6hv0h36+5wy/NC8VoLl/gybzRxa5
q0AOCEoLN/nQDGW97fMZIzGxIJNePPyfrHOKGcyHqPHnnATkeFgneW2qw1xGi783rarMcy5oBUVI
jcLu3AMzzTAIiaQ/hKr2Sdd2rHU3xYqPll0w0NeSlSSKxrGbswUTVghQIsU/X+wx7HDalPNSPQZW
abptPoqy2y+Z0EBQqpJ3ZxpGs75duqI7d1zrBMzkah3q7tqYp5vefkz6wgp3hevry9qvDubvlTv7
psJOSkq67fWpcInfb1OhS1z/JscLmiQOEuiGFpcOd+Eoh8tC8JwT1GqpS5P2BOeaiYHtRSHQZwcx
cZDZSOMX/p96JGa1KVn4//KKTR/CgdT9gbxY8WjNlgf74CoWsXdWi8LMhAZvbWB3oE3NzuL/kcE1
psK1wsmdaCGElZ506dY4ffaggBLw96cpfR9ojJu3hCmc6g97du1ucAOud5CMxjRmeyQxmbK5g8VV
+fjGIyk8nLwjuaK9Qwi7i0MzWX+CwRoXrBUORzhdgHEjaj9+L2YipXVFNOBICihqoyaOQHmdc1Z2
qAJ8XVo5Av5wXLxWoIvnPwGb1fy+KuxUE1OGIc7MN9ZqfGiVEgTdCRsVh8wOmGO1NZFBoL2rQUdY
6RNRy0B2YImgR5Oxq/ODat1O3/ZMuvrYl3P6PRU8hNms2stLaqbZ3WmzgnDKUe96wqKMwxsQ2nYf
V9S+HKGFT2zrs0K/RGnuB/vanWe9n4u5/8kiBu3roXh8agrL72JXWyTsOD+40HTwzs7kh1fvvcLZ
X+3K0rjlZskKLmKv4sW/4SQ/f0RpJ5tt1TRusQX0MKF1dSI8NGubkwLs8kudmup1BDOBM7Jpyj+4
C9PqpgOA++YI2Dk3IIvcR3T+6g2szoqaJ9LhHIaTJlWOEQff22pmEpTJsrrVHf608C+KaipPHqi3
+Yy/ru3vosBvTnroMJICiYheCVtDUp8qotQ4r4rO3Hl1Sqw+L5Hgsmkq3B2igt5hKTSEwnpdsdKh
6am7oroSHL3Ai6K/wTTVZt57nOenfdH5KA+JAMK972glSGLAE9G5TDCybAknlvOxnNzgBBVxPDTV
NJI4mLMIu/bMcHJHoLK2d3lrLJLcHYUVJOBwogs8toec4DhrLrx2nPxWU/LsKaUd7IGRra9OUgjr
NmsRq67cc0UQEToAN3ACI3se80/0V5tL1nRTJO+qoEisJ6Qp1KNw8dV4toPeHU5Ln1Zqn+P+tjaF
FUV/lj4BP1Ex8UHcXQQZrGBYUvtIJJLTb9QgiLz0ZegjuluL9D8ImBchb48Bw4RdgmreDlo6SYtv
3OBjClwj0Q1X2TT1tkvAaUMaT0f96YiI48YmGbLxdaL4i92vM6qtHi2ZP1VXh/BmbCKrvy8VRVGH
saKR8LRyHDeHsbAlaLCpx7iz9iXn2WFgdxGvGO04OFKeqy56CpvmZ4BycD+PnLoviYIT2zYcHNjc
Zh5s8M04FEFzYcMPTAy23dTjmrB5+M+G2OO2XdfisfRk9ZPwGZ+HgsMOuX6+SJaW0/QCE3RULByr
Ff1XGkj7gM6RBzofE7jbNZJVeNqVzTaXa9gdA4Nni8daGTlnJSN5XgbjvvlhXt/RUQxMx8HS9pbZ
AgqXJwV4UpaYy7NhfIL5Qqh8uMU1iWaeLjg4CaJrp906mdXIr3WmEuNMxWCYHfKBMzmnTHbD2w5m
HclhCxIiKBQeN8VIHiMWHkDXjQSB84p2yw9cmCbhuZBNy7gPGxs3P0bAwMZjWefvE4TdbMcT0L+d
ydmXcT9XCNhzjgZxwIvK4AnE0GOq3WQ+a+zD0rB53kXM/eYWTCz5N48vVJ9HaTnpU4ASJU6LRGI5
kiAoPiuKcvw3h/XaSbOLT2j6oNL+lkvLXW+sTk/feY/iuKkzZrx4des8OwOfVjV+h7n87nyrfKgH
u8SEFwiIcfx2nHdKaRb3InybkBCnFrYj5MJm8wk3efxXCMOTUfapDr50wbIsxs849buigHUYW3XZ
lFvKNsd5C8y99neaVcxLTXbJP+ZzVw7IxnlaPbKunuV7L9k6vlV2JsLHeeS22ZacFMdzVyjrc7BE
FRwk04V7dlb2yDGyUZjFNB4kZCZyb32aZs6SMcxEIrPNjOVs04f9MrG3MwN26Q50u9xgfq7MO84j
R1zw3orlBL/E/tuWeeSdhR8K+4P8qn5qxyqZz0NeT5IIhOMM8F3x5T5wLKmSl448QhJP+NSXnQIH
+7TgBGxRG/RwigrW7c8tQF66NFztH8pmgP/NaA9giThCgSniE4da4N+GkHbzzRTi9aQ1jJKFYxlh
uiRpV0TlfrBD/GARykzswYXeARmnclPnnuU+qJkWwUtiBN5QQIB6iRHA2CjWc7Q8ZialtIupfZxi
4+Y+eAvltGncpk49b+ouqXFl+2DusKf0Gcke5gEIiCpx/3ot24JbG9PVO4C9wj4kaBKSn1yMT/7M
+2kbZK1YKQ/pivHXh4WGyhexlIFFy5e9q4E846sZcoetyjq0/jYvUJgvWc9OT/i19j7k2Gv3O2Tw
PA0UIrABpIWm/AHv4w4xM05LrEB6MJaXZIzObBkcTvRr3V3ykZLoLTG4BKxqy4Eqzih2QNEsBvXZ
eE6GVN8q3yc5LPvvqGxgQqjVUzli1IjZH3zv+mslLocHMNDe71qTzrhNZ23Qt8IyYf3fcprpBy04
pXEKbjc0eDCpQd7FMDCpyuLA2kzA6KBuSg7rlVcN93SpsKtBs01l7JezAVw60OOosJwrwEglvSKc
sNorYxAf1BEnRMI+TGOWcHJwe6hOXTDEdNM2PcsbR7wyrAeQ990GkFhZAmJxM19vBG+kf47BUA4M
V7U/FASklFRwmuApnLCi29hTMj6Q8tS8uHk3ZnAiw/llxmHyA+IdOkOUT7Ph1GCDA7PdCZezb/zl
6DAXLzguYQ3HPZimxwHnKjbBCmTKpscs5G5BQOrPrFxBiJYsrahW8eqguM1XCSlDdhYoQMuf2o91
QGu/OoskLKm5fqpWow9cMfB3YBxYjz12mYRZrejPbhTZxCh9SzRsV7X3z41sNhqW61b73JTWN9Z6
DF6+iop7vXSI8gnkro7Fb6XeMFnAg5UFXWOsQcUQl911XewQcbjGQ8CFbiN3EW+dyOznoZ7aZocW
jfe61LXgl5im5ZcdSf3qE/zzIXCh0mxE7WoadliawKACtFdDfQt8Yqn1+tmWffW9BiIDHoo+Qxle
7ZFiS8YxYWlXBgHLc9aqG8cN66dsxre6qWa8tny0KfgxIFSP/GgBbThQO3pyb3lu7e0s6Oj/Nlef
bV1m3UNfdyIl0Jmza8DlNtJfYiK4uzTCrlXscDJ70U3QP/DWrOAR+il8tNo0FNcHGK7fahuiNgNk
u77rOsD/x51ZZ7GcgvA+dyZmBA7ZmiCksEy10Y7AHwpYswWvkxCq2yckXcKYzuba4XBQsPzG99+9
TYNYv2AGFJKAJsbpFK0QmLw/Zf+uR2MQ9au9PEtZ+tDb8FkxwfF9M66lrD1NQ62H12qLXJshl2zT
oHHfC7mA1gXPG26uTssDNTNNRKZWEWYvWITkccH9fAJnF/ZnXpX+sMngWJCPzUKsrTMRl89ZlDP+
d4ivj1MpkJSqJgl/KsKzMEsCgr572QXhm2NqduYV4+sT603+ERPrtbAmH7gxrVF3cre2ErbHAGRv
3YkwqR7z1Mm+On0FDQYlklrTu/CQVTdwdQG/Se4CpyY/zODAG4Uvgre0SSLmaJlGSxsv+fUUUjcN
A1IlgjbdtZM7sO8r8h4fBd1grxhLEdqJv1yj1yZSp8nBFbId8Rj8tVYr/UvzjxKI+KE4JUG9vk88
B3UcDZX8WBZLZehNef5KGHj+qGpfhMS+PH0fwkay49adQe1NNm+tTc4p9jkanITdbaBBBaFec953
C9zq7CBwIJKjKv1zIYf2PTIstM4JX94PDkK4IbDjON2vZSbPEgdrvq9aaAjo/6PeNTqR94FvLL0b
/Dq7iHrhkewuSZHB5vC7+4n548fk3C57whiRtaEzSdQ7WJFoixMKBStohF/qBwKOoGu3oDdpf5nd
re8rmKroUM6vk0kHM5+3+MMx10PyWNYuGIzJxXK5XUAVt3HbjjMQKpXbXrWZXSG4WOzZO5Mws74i
Nk8R4/dS3vFdIlkPVD6eUL34BGR/Ur1vaG/ieDUs3U3LLNFuw8jFZX6ttH52E3S0foO64zAuAuYn
3E5wmmwKu5/aubiZlQBO6EBsvRcYo+Q+HIDzEwNiXaIeKoUrdkODEndvs/ZAJhCY0/Am9fPwG2s7
fm+3Vf2/ecJ0QCVIO48Ue45wPH9WBxKKt6mdToV3VxoARjQuqxa/G9tpFxM/Zo5GHGZQ3vqjwv6v
CB/TqLAAIsK0RJ9Mkh+xVXesEfAvTCNNrzZT7of0Dev5veEA6R+ho6JmIqaBG0bE5pXTZ+FyRGom
atVOyhwLihAK6Jpl9uIRnS1u/Mztv3IVqHAXZk4FU7kPsu+OB9MXsygVXe3YRhmHa8bM7dKMJFQV
q8nfKOqCNYnrrJdje2aEc8MTO+COfG2Eo5avX/lKe5eJF1H9lzoew4F2HERzrYBS11MM1Laa00QX
6eiPdPCKbdnHpj7RMtSYg+ia7OLWOI7j6zAHob9aCKEZ/P8kOCs1FPGas27QVeaQ8XeT+Qs52mOo
drpmuRh45hGkeEF3PF9uW884hkC0Tv2TT8CiD0j1SLo9crwWBJdT1jMnvSr1WtoFf4/6CdPd5wu7
kI2srPArSoBYMZURL9g02K3LhzktBxpYyqT8lmxbo6OWY/hqqXA2WA0DkjRu3ep/vfHIh9XAIvlh
LEi8tEBzoN+B5QvVIRr69gXHovI3Ws8RmIpG1nTjpGqRryMNhi8zqG58BG40mKOzuGCsU0p0zCEi
SN3t/Lax6+0oR/cOuUePPApYudLBhl2nv5kdlY/fKQqr/dfCqi54SwwVfB2C3ofZXYKHdGbZ+t7l
M4pz4drdfGrLsCYADimtrWL2WHn1pZE6x2HbZOSLmSlMSvx245D1sy60yXBzYZCWv5MeIf7xUazq
kjerGwFiGXyU5KTo/ZshxH1JiVKeFJvR8zuqpKA4DeKebnvGwA7e/wp/MwswwbllWeD+mGcTo7hl
sLhwhdTLrrOrRAHpFqU73/Noyeq/Phq3OnrsbCn60Cz0N1CD0uaZPHtrnpwiME8G9ypbqmUKucHb
AFgh12o+A4FfC/G8snjPeI1HU/YKyjla3rOhmNqL7YxC3GZUffO44/wDPIGoQHKjsfFRZ1QThdvJ
gGQSaePyf+2pUPcsEQoIR11Rqm0XugGjqo+4smHNngz3oVbGHPuqVTe83nnVkLWbp1+2YdQZ+ViP
8BuYBG+ZboR6TU3RyNu5pDF0a2v+j98rXbTeBylSRz5KUK5827iR2bhCxsI3RBOWvuch3jJaE+/E
F0rVhb2ftU4PTOO5jKtZoLFz+el2U2PiHb6wg7MDhWuE3TExM3s7ID0wI9NqmfpXglKAL9JQJfoO
NaD1d61mvf6pV+6Rit8MbO8eO0OVP8IXQxzxAl294Zfsg83Ym/k+G2aIRs06rbhDwbfKo1v53XKD
ntuLt3bo1mlr+SqgmQTJmwz3nNhO8Q+dYHFPirjF+DBQeNe9tW7AZcIahY2Hjxmbi/53RtLFSiRr
nBirM0jgoRqbPTWYM04dDiVEjjaw5z1SMyhH3c2gXI5dNSYf75EyChW+usC5yLviwkg+QxFk9hMo
wwncl5vYZyA0St5pzCfDpUKpPbD2aBoM+PgWTqRKgPasDgvJb9ibPkIOnmdhnfLJCooXBkY88nD4
K2VPcV2QYXkJpWq8F/JfLvRAVnCk9/BAWvEAsIKwIBFkG7Q5zICXHBtEcGDct4+4IqrwBd2PDi4H
S2W+7QIjHmYO++boAzu4zHPqvCRRKe8Hi6DArtRNfvYbm7UbckUKTiWvGZaikUuf8o6puiz9NUwS
aGSzx9pCRj+PRG/I8pIUIWYwGWg8OApH67Rih8xIMNqgCO/dIVXTl7sOs7lDQcKlSYN37v4pHQTb
T+6pwt/h8cTtwUnF5xWuK+ybf2iGx3Mp2TTQ3VZJNdWU0hsCoQy5kkDERnq8m8+C/VZ/27QI923X
JeNtH1kRZkDbyyZJGC0imqpQ7gkfQJHOIqTgEZ/UretG/Qv+puaLM6xMviI+5peWA8vMUogSESVf
m39E3PC8Q64UyEfLsmTZaWnT7BED9ppuR3AHQ6yhukIrQTm4ZdGr0OT4lfIq7kVxfRz5BLni3qrF
1i+8vn5KTDc4e2+tOaeOC7ZVcCnzauj7suW9H9Z+uC+jhkWBH2aIEM20gO9I6j7aeuhJXHV5Prfb
ifex9eazzQ0+xtF6TQnbkKNorYMneVV4Dd/whh4IEd5WHOwmNjpuy2tdkS0SjKxRZxV0viwrAeOx
zFEmVY+YFhq5XEZBDTVjGuRyOjeiWncryYWwvW0rW72aXnVXfNvq2A8Fi2LrVkFE9x4A5ZfeQXO3
q0NouOPeWsF4tRkd+HJA5qKpPBSjH31mWSj/hriHGQjWaPot66Cm22HQnbiaAZtnNQY1ZZt07TQ4
cZrljXMtdg6TT87Fa3BJ0eg1ZwwjPSmtY8LyktQ17STZyel8YEKYI0iQrjllC4ec9MWXxLNgnq9M
A3Mf4TeFbNqj5+5qk6d5HGAqLA6V3edUe9b9TxVVdss52+rwTFJk6h5ThrV25+Pvv/QRiv6Wpbo9
s0/sxAxRlaQ3Fueyup9M7yMeQUax3yDgQKEDTs0RcJK1WC/LWsDmddyo08c6GLp+b2z27fhyelHF
tLo61rEkt80B3S1gckEdGIOYKkZb7W1JwGmboIA9+syRAERBHQ8DvlWdcx0aqzHv3v/lMkW/5KRs
BTVvt7jrlxOTkJfdCtF2H5xM6+EgnMAHgjBoeOypyIYtCa2OQA7EtL0bNPPeknSCbOjKNcu+HiKV
n+qcJSPkEydi2clN027GYJbLIUFaqu8cJoT1xveDyd+NiRTXWo98Ktqj8DPvIdGT1336OTXRdIWY
QR8QcuVbQmkY9LUKqZNEdgiEDY487QS5sMaZ45IQr20jmai8oA8Yt6MsDbpHzzjVyQuq3IJq6w7r
3mE51j0E0zr8jbC8ol4YEzr1zdCmZqvFFX3NdmndThZ7+hsWtSgbVku24WGCxk/PDVmLh0qEXb53
GDiuxSVt4X30+OUJni+59eW4NtE2RB6v3mHE024eT8AmqiPKw/q0irSPloMgieQxYBPPF/wcs4so
766WdYObCWtIXSeMmmlgIcHC0CPxqcpiz+PEesC82DlxO5KyjmjzK4N6FwaenOImQ03AWK1cTqa6
0X/MEJY3/oJHK45Yu0eHQLtBDy0Jlk/AKCmZcGNTB4o3OEkAeeIw7SzY+gNeBHMDnRg1ZAU5sCJl
BlmE7bUJltJ6z7Af3ihdySUO4OOYfcieaGb4wDLARMkkDMhoHd9X8kD1HhceRORRgyTCOtw+8oCz
n2kESdZH1UsGPGTNtmFWWoibVd0Vuez7tQUEoRo/KKrDz+FgIcIM2ySvCSa4P+iIouA3XFhg4IsS
7rGtw/re6b32q22utJC1B5HcR5FxL4U18PIfV7HAUSpa+6buHKO/azuPukeb7OKegbnjTG/8oHlx
utpPzxKNuzrbLMoOXu4q3BRLI+zHDuUQu4cTiC/PuV4peShmev5av4V74oYkPA2ww3kX0ESSMJlo
h52446Tddu1SoN4UQ9IVhHzgZs9mmRJvW+OEkNuFX6HcXdmpHo94qjv3nKBMw5t+VMWTMvZkHzxN
4eYG+gVLFiQ18BmTsMnoUL6treSAjhygGQ5pIv1DMrG0RgcZ3PXJy9TyS7FF8LdnJLpAgczwJgja
qQ+DktP6io+cacN3luRX6S4db5VjJQ88cCBi4VkewYi5oFo37siUf/q/EuTDng0vSOzvKhE/1DTT
7Wz3ZEl2gMl5ctZd1lhf1kCoVwhVhvdllvtv5Dxa+xNdtQmf5obnJC5KXoU2xclr58eOb6/jp7tM
toVgdHU9bLOsDxOMIKSWNzMnAMzxddapUw6HV75gz/FAYaGHsuZfPeLesKMUwMDCISkVlRrouPZd
cOk2fwA+1SenA7WqOc+OTOctIf/qgstvSG/5iapP0pwlHRtDJyfaHdrhVg8gPGHadtN0MzoZJXKb
zK1Tbmh+8uYrZS8UfHjdMAgODk1JIxcrV2zqnIn4WTS/LxMeCC2PZ09Nz3YISuBC7g9MzEiG5Q+Y
gyjkGWAn00mpcGmOlcSqu/cAc6pzxoTnH23XT24rTpLrg9et+D0GuS4p/SCZSE+cgjFib2w0yuTc
X7u2H7ATrOvBzv3OvtcuzPEaOBq6Bp06JUHmXjOlNnxaoo9lJPzHxi3V+ZqPXXftVSAAlOE+BICr
/grDLm07YZDCKExv+Jbwn3MmERygv7Vhmg4v5TQP089o1UMz4vlS0jy1YVZZOzUv1wtdiICjA5PU
SypKmqA3MxfSF2KcJT6v5gZ3B/0wcR+cOdfRKeo4rN1SDh6cV5os/AvGSraCIbf4+M4SU1eHqHKt
Jc6GaIQBY9SwBZtSjbuBpQVv0/CagI2rwAuWL5MkAzxiLt9lXONIrvOrBbfbvffBeKE80yfNun/b
GYv8+/XMdouhXfV37BKDYd9yqMCAkVUc3PEylsvXaBrNYlF1808xd4l58GkiJ7c9ThE9OTxvSbX5
sz89sklxHKx3V2sVr5zsDualrNnAsVBDx6dDKxa+mZtHCjqH6pBNaInxTGXI2a7HgHqLeeQpWuZF
1+L4b+X9NY3LcYk+Rm8TLE5tPTRUkJmN7w40q4y9mNy9PZMEh/hF4ft29q30mcoP4Zwx90o+hk6n
eq8gCLwsPTz9GGC6pC5lmTJUuWWSqdzXuWOdKU7CriIKWDw7VFCmqW4MnT4uqPIkgFPgaqKPoyic
2kANTm21XYHnBHuXrdu3HRUmQY6IhjvWQVdfJvTZbUoQe+XbWODzkflgApkzDQ6MhUXd7FnAoK4D
Fb+SzgS9kbEcQYu7fbcoimfcbt6y1G0f0oIodtwnAycFzO2KGoRrI7BxAMzF4WhN9tmB3v4ju1q3
ryOhb3GP2muLuA9SB9cngMJbLIfljYKuuMZrQaaMUrS6mM/06hV/HYBA6T4FdXbjSpWnIA/cfnlt
it7C2TxG1k1BiVJwyW13jc557rcVgCxv+RuJTufvPMqmxzrKZXumf4eY7EYikD0WkbNcycT2zCYx
nLCPupRYUly+dBwuZrxnLKIcxhxHj4RnkTrHXdJm7Qf5w7W659dsmjPxOXrZTA7+7ISGSJ6Ay9w1
vwUjD+8MHQw1gik5pzgUrLC3vGiQ5q0umanlbmggYqBOKp+ykRJLe0f0Ptw4mlhVCCjXxl+bt+cK
eDT4HrZhR9nTOAE7kGXWVmODKnerAyp8xRQoj6iEwfJajZL8yQC04ag8VaYxLvZr5yS9N+3TmGLd
CaK5tp7DhVQljzfEvgfWB96j1bIXeEj5hqhHzxJWPB7Z1YO0CvypHYrXV1tTMbzpZqWxFUhvOVim
zm/Rk4V3KHiCnGd7mTNcIcA37yLP1xSl8AAuXGKvftjck5m1DwElNiAq20YNe5Ph5X9GrkxfKE5t
umNThtZhrkfKR+w+VOcyZN/4uCB3Fl8k5DVcuzBY819VWBSgwgHlwkcgdfv3CbfGWVq9TUfmQmB9
6q20vswrgdzNokoXrrEkUx+HBJ67s9HQsFHBIr/aS20tQHYMbQ38yQxUx+Fzbi0qHdhKTKhp1Kj4
6f0E8m45Q/EBwJ5B9/wH7FBjY0LXe+L3z/h8oczlrnShEGAlGCv9XlVJS5RaohkKOonZQKK3NDte
h8o7jLx1COWMMzZbZSrAo6Qs9KVu0KoebEUAit0F0WEaUPN2N/cFnEEEkJXxF2wvJZbzkKy7ZJ5B
5fqsZOTFg176kE1U1sVdlpXvYx0W7j6kZj6nTX31703j4CAgotT7BBWv0O0VKecR/wwCBztdFydE
4UR/yB/BuoEhMvZ3LUtxucFS0/2BQZexeUquZMOCUQ5hbCI8YwVVQT9fwRFv4xsICY/RbGMjFHbR
PbZMZfaRg4J49wftIA8X4XzM8XWvD4uNMQv7GTZsgtSrfYPhiJ6xRXVh9JRhC1C7VRSKtfAo/rER
nTneceX9MlLPZzyimI9tnsVQUSZl/7v6nimcpEXRPfdBpx9DUEZ+bFkzzh+MaVH7aej5utKweyqJ
dFn9OkOOeT1msgv30Fq85EWHQ3Z2QFpWf4kuufDmSL4KTHxUQAMgnNnMU9DtLvZ00KAnljePw6z9
mzhunx9DrE4sBckug8h3mpcp8bHOrF6eEv1Ne6o/t8hl03gDCyOEJE+SaLdC3yel0HjmeYABwqQV
ZSb6pPpPAtcRgACBmjTZHZ0KhlvauPiOMkuKHEzlklO8mGMjvUnCvPg3yAB7WQD0DKIcvUUO+YRr
tSa5dYYiOan0eVHrdJkNYnHc0tiaxPZYGxoSyZjdC941w4vfhEm7GfqxyQ/NZHnQIKIlvUNS44ML
penSa5xW3EQjDMCNSlbiAjPmVZ5TU6a+mbB1yn/YY+++UZrKw6OsAH0c9WD1h9YjoH+gluA6GVoI
7ae+7svjojD3x6aSK3m+1FE3gGSXb4w9dUVfBJPWncm1l2yzoQ1hFWus71vghz5J1ADOAf56GhuO
tgpNSv2Al1DF5/zH0ZktR4prUfSLiBAgBLxmkrPTdnm2Xwi7ys08IwR8/V153zo6urrsTJDOsPfa
VRH/x7iIIwNMiA4jOmbrG0k03WPaCNCNsZS6eiuWeGXN5OFaf6avB5Vq+bSMWxQSyMYAgzhHEvP0
sldro9qzKVOvuaPUm/kPHcv7D7LeCKxqcPxDHAYBaC9VIb1NcNJ3J+IDMcwtcMZiRul8YG/BmLkv
YNYDNsQKSxVImsQBtZGjEVwxYPRHphvt+JEEre+ri0uZvHzW69xbp5nkzeugKlxITBrlm0LEorbZ
IEnWAl+wAg80VjOg/lNpix6Q6EsYACLsEdgQ9SEPJiwg9uXw7F+GnjSyI8jzFBZdn2vnFmUgIcCK
gYEeizqadmcqaA3tUBcWPodZ3xxDItjJvlseoAg5EmFsONz6LpzUOyd342kP3oBYGMT3cLibSQT9
hixZGKRcuPqO9MobywphLr3JMlvwmdx8jVgj6D4KzdK/T4YIJ2oYtGg7JlgYDwLf0a+wc9EaLbQB
n7pvWCa36Ig51lElCTT8pFRtYtqZkEjlYXyCZkUWBT2phWNNOO25H4zq7wTN8A2sOPrmYIu6u+c1
TdfLUkzyK7cKunZSOYb1rsgX8T2QQ9Ru47X1XwdT1HTl2PgJIuUkTbdYp6uFBT/twA5co3qlOU7I
TchdqyNQRIT3cyHG4DqUhgsaYob9mpouvGdSXWTceWnJnLw25q52GrKgQKZM+36FinYtTJY9zLYJ
km3X9ETrWbmu0zMXT/FQ0baS/Gj7YXCdGbPi0nZH978c8MbB9pcCqX440CkilFRnCJgzh4UTp49c
ZsJsWGQre2fWDPll2sCZc1DC8Dh1nfWBk9/5G5QdaZqYlLsD6T/lb+tYzU89kpWGCAm+jUsnm+c1
lNnEfvSIqwQuJB0LFSZsPZphZ2FKsR3sEQl6bA+sdWN3JKi1YXp7N5Hd5mx5qQFAje2Kkm/j8/Au
UbIunt62EmBPZBur2DcM8txt1Wau/MMWvdC7WRSET/nJ1Me7dQXtjVDVqtorRQMhf9gsw+SZB6Ym
6JDpJV2UG49vqmgoxUROihRu7xDBqD3xUuzqAD16BPgAk/iAwfdXOlPwWlDWEsYMwuwHpiRqEWc2
i762pnG6d5eN387vS+0xMrRYnMBsH9+J8IDNpJAxPog2RbBONDOKHaha7xXRT+EW1wXQiIzT3mNT
NY1nrwpmERUkLN/6UW96XCTD7uOAvm48mSELnqAZMDeQTC1CfnRNwHDGZ068EiSdDYEUdPl1GBOZ
iBk0DY5B5/lIeRwMlyeiwdEhwx9zSPYjMfLNpYewfpAXxyC5TN9fZ88kyR938pFTM7f7QOiD4Mfz
cFTumDylLNmTUtbDu9fE4XqiW9MTVNEmBKUexKs4Yr6iXtSE/4kbMMkrn0jeWB4W7dOmpHjNTtjb
kmrfEpDZ3LPqCi6Qdz0eOoVfB9pCA2d6JaemvFRQ2exD3P+fxz4HAVDSZrosI5FYu3CNZX/IJESP
LwT6zoOZKQojmwgMvXV6oF1UXwucjS0CkJRwktm0ftlv2nGUxQGL4IQH0rNsh8tL2uWh69z1z+S4
PtPfwgx/KtBtTIxHD/vWmyfIAfiuoFOoSwhXFo5Y6Cfabh+DVCKnjvjb6sXiui5sRhfMPF2WoVyI
BvxRUJJ0vIIY4MHOJmb7NuKaZ2gKptkbYLl/KCxlsxvXub60QymmyLMltvVmpSD5oC1KkwNbg4lR
eOEM59AFmBdRbLjhrhzV8FovmvagTYUBOLRk3rHxmTnvnN5R//AHaw5HzfWxaevaec8nJ7gMYZZ/
BA2hFhsiWTTxeL3qvpte0FF3DfEKJN+imNl4LMjocOzRe5zwkBOO5zdDsBv7oW7wOzbFyUVko49L
08zywHiGpCBKSBa3c4HI+kBCQ/O5EtlpfQixEK1uAcQr6Wfi6UhY6fwY4u9FYGF1RfNtWSh0tyHE
A2pY1SAlJHPPYvSR9pX7BcF2LU4jAQLXAbbKvHHiZfwPoEWuolW6OGVXhZn7SO6EUTumZ011nsx6
cy3AXkLNSuhbyHoPDztaN2/469uJ95O2HS7vwBrLFWcdac/pVGOTwKBapqe0tq0/GNt7/GgBkos7
8hhicaE+j1FBL05nvENDZlZyIpO3jGBLItfYAj2Kq2MYwiK5GHeBQAOKACGbZKC9paOp0gub2+VP
nPGQHnFyLtzNKiXgs/e4QpH0gdDZU9kjj1t903nPOOJI6awSnbo7nEc4CBCqGhMB4CN5CaganUs2
MD+HgO7qNNv5Y3lTC4MoWuZbC4G1BEJJv36EkzbeyRLlkP0tigJ3olX1DmEr4PfR8m2oH9EFb/hz
IPb2bFiL3o5yvBzujlgo4vZUI2loK9q5FQYEzkCSovgfR3iqUOvDhhh3VPvhr0ZGOh5vooCRHRzt
wsaj7WeO05fJe+LWjDQfFGuY+Jl4OCyW8BlDPJu8JAhhLks5tO4vVcia7ycuqN+G7JvPdiQz+xQG
HSArw4JmRdjgsDXhCazDM86K/kwKQRKf226wn8dQVbyWbCvsfYmVypzJipj/I4RZ/IVZU5e3F6YM
dvhuFEvQMWjXqBcQudESWsM9pDZjvToTLqh4yZgyMG8sXBrlJEOyxXSs0C8VbBlxjRNm2f/agniA
w4Ikkc8UgpX84AHEd7EdkFzHx5Qv3/np1Sjs05Kh5mO+1c5WefR9VxT4Vh35H010h3Z/5is6x7Mi
ODaybDmij5RM4f5ZXk4BHvDuEY4QD704Ab/CS2wh5Y2P9sJDeY4xuuLmcBCPciI50OdjT8jWJ7iV
qI+tihnl6siZAcVCTQFxwibOtTyuMe1yCYk4tdS1BcdsXbjz0nWXhMDWdxA3lHqy7Y69M06XKduL
iZ/4HnU04iwzeP1JWZZyT6vvlczkpMKlNQHpcullLK/bJ51f3vOcxiSaTUzpAR4XsGf8sVK7DDCW
5CNlmTyfRYoIjxmxF/ivFfYGGHFl77ssiBv9IbLW+e7QzoQvA8ZEQPgsCM+hGTThuir3nzjnLRLN
FsOoFSxBfTe1ktzNbq2Q6QOvCY8DSypi7O3RvWiQwfOBEpNmu7WCgOkilpYq8oJZenskBn757uas
Pk6poSR/CVNU5xs9Jqm6Ei2BCBqatMpQF+SVSp8ZyXo07wWDAnUYO6jdjHarG5Mi9ECzgkr32d1E
a2LRsyKZJ8T0GYGVrO5XEFXZnkla/FM38EmxKyJH21cjkZjbyjYspGiRiO2b/Xb+sNZp/kh9o6xj
67W+vDJTw8aHlLKIevgk/2rdSuSMKnflqxls29pU2LoN2kLFoGlFq1Bslklgl8+1ns2uIugmJMdK
tvVRNmsY7MBzEtAClqvFFD6RhXROdBG8kFbb3jNQY2ES3kT6EQT1oSQMCKU1907rfvo5qe0biugF
SGjsIWAk8YveD/g+oTuBiL0vSgrOmaGmPjs4C2OMTYzMAcFtSajRoQolWfM4PmGfOqNnHlFkB+Wr
zzDvliOsnQu/1uJyXiIiiYo4BLnpukB7w7Jdys8Q5/oCcqDNJutJDTXil0xDXcH2i4rjDYKvgi2I
lQcdvkE0oHa9zofsEhPsjDTXkmlxWVoj689VuVp+80P18XfrOZ1vf9cDG9Uj9vQk3Dfu4N6PAV0N
HvA0sbZTAeXizC20gqOkMOTvtFVtPeXAqxjarG23js+mEU2BJlyDIDhrgGVqrz0GY2f2FXr5Tp1i
+rihTWHPmHViGhnHIoLbkEoGOXaVpCds1b4FErj10YaOySQuVi9UsJ2JIGzvVDlhIQkZzDFWzmRS
GyLQOFHhWoCiS7d20Qf3t10MWqY8q0BNaghfG+S+/iV34oQgcRA3iOGJEKdTRiIF8fXW0zTT6ueH
OahyuSMDh1dKDVBfQCk2anpm+hwAG1pCTnx4JpbZzglKNhSwoeRua8Yk/ps45RT+aXvu47tiXhWf
j+LPhg+50svwQiJen/9RqHZumh1tx9QSpOVgZ2bFeaoBYcHmA9WH2T5fMgXiCpfy3p9DhyYCanGL
2C+L40OjUpD9G3vmc7qJB9dRexHn4Moj40+j/KT9nf8I5dY2ZNoMdwJjM3UWrJcsWntLIpf3C+eZ
CO6VxC5TQvLY4WWseNg5bDdEa7XNQauu819lmNFrsqJc9/iy8T50QIBGxODsb9hJGXb7me/4rxy6
aMSxEivest7XhCKC3voaJt/5l8KXQ23EAQqYNGSIhPhCiPeUcWy/99ARkk8uWu9rzgqiqylQiIen
9yRtMm6J4wF2wiX6iDaIPC/Xrt2HblEeuWrgnKkim8HndNt08ToF+NB7ABBOEWZityB2ukWfKE8c
VoitL6yf2a7UKK2Lg2LQgTgs+X8uMhQ/vCK6d8RZzk6Yw6NXRDT3FfUNa8ORmNKxn+UX2hTwJezR
MB0uAdN60KudV17Cqvf2LqMLwl26Us0RBaXDeUsiHXpzlc+s4rRG/sWp1EJqxzPBSJpLO96C2Uh+
s1F0xC42U/dJxq/7T2dk8SVlnP3QGcG5QJn4L1l6Eh5sTOMnPE347Ekhz60fTmcE/vHAQ7ijdCT/
s7RsH6FZCY7wrmkkgDrp6q4+ZjNaWaRxkMvvU5rwr4oJVh75vZ+/iFY+zHoOy4c+n50739fFvF16
zyUpZvHhOoaLJdxjp2YJ+4MlIZNyOBAZRwQKzme691Ht2biuGYR1TfFTlktOfVoNVF1g/1ZT48es
6CrBFiELhGlfF3/81pmyq3bW4q+9NtLeVRWGB81vZtEMbenq159iQVl4qFa3nbdoVsnfTjSd4tlm
IDhsa9/O241VqAYhRF2J934qzHtnd363rwJjh7s+ty330iRh/MEzMXUHwKZe8j6VLu25bw2MzX1/
UddqodOIAlSAZEXPbULYUxc7C/du7LyEgSGirg3HdXrr8bMRnxt64q4h56SKIJeQD8o4zJ2jxpbp
W70I/FhuATcDAxJbxzCaw5tTTMzDUF1xnDTUuXWNlmexF3ERi0didYsVFVpGkGiBBi6vqAhfBFZA
8TRhzMouxKS19RfD9BFQdJ9ioFp4Eue4fKIfTj7g8TFyw6DFpEv7cSK3XiIszIlJhQa4igaCB5De
NQqw3LZPG2u8W2tft9uFbih7nryu5xCbfS+MQoRnOAsnhn9wznCqzIiP+y4uJYe6FhjpBkvzM96U
J1hVGLvChuIBn+whOdTNgB22LUlVAKIOrKlludElORO1vMXV07WGkWWdKY3811iBjWi8ZcWX35WD
azfikBJrYtYrNuSUNW1n4b/vH5026+w9/VjbvC21WMnvct12DPdFFg8Yy1WKaXlQmJ6fqlZqPlhQ
c1AokB5r7JesuMPl3K+IG/czoTnVtQtqpe7ybOR8vNiJbMhXQb9N7EjUcM5JQAitpw8s67X+YTs1
ex8xe9P8rU8rFM4EoQBP2NoD0bZR3rdrfScY4aMxq5jrwg0L4hF+VOdjl58YrJcHu+aPP6clLiiY
aywwkO+22rPOuWZ6fVhFlWaPXYmCc8MYoOM/qoxJodolBAighJ/6u9Gey/kzTxqHGDZrkQQ3iLLe
hq0cLiTSyPVZAJ5zz+1UQouy7GXysUj2SPAyClNCREmoYPJQq4UiWHZwmQ6GpcJfuiKDY6DwbaRn
lJboq7ika7BACRwh+itwoueeRavextp1VrpmGNuRDfITNIISpo7GBmVxFDrELjyJfGnbftMpInSv
/cLFhQhshOB0ZSmh9FPuuEN9RXCwDG+eoSdm4lkkSeRZM15CF3kuMBPVjH9jqMXJ/ZDG411t6/4F
8beojm7nGJxAWEQEY4SGUJvFpT4sa4cJUWPXgv1Q1o13+awBI5cmnlGgdNMNEdZAjvqsczSzmIOK
4Kfg/TI7SKOqJJ6FQnQzppDFEKiKECQ6X4z0D24XovXOYPOq4xKuA0s4asVyi46LSFTYzXiUwiwk
dJF7kKKNrYxpr3Pj0LzXHXRpAndnFIUFASzhqRilDj5shrnvDXpglDBIc65pmWfrvTVNovqCOdJn
j0QgcBKw9zcrIvG+DP1nTffWRcAXzHczWBTyjUdlckQlH3+gGG5P4MvQ4qOWE7z0NFl3U9WhbRxv
hRrhjsyhXlhDdP4Fwi5uA4Ek096abrbno0Zt4Oy6yh7VY8rDi02sBPlxb2lCHqKZa+8n6BHZQx31
dIovkpHjprcDlUd23ZbhmSe6e/RA/t0CG0z7yb6k7CNP0SGAFhmW88z3LbbGY9x816E2QMsBjHa8
9G2brPro6dWu/q1esFhn/ga/es7sbn4k/3UWd5YjvHcqQ1mVZDjPOfxNcA0oTrZtPgT2+1zJeSkO
fBdFwnoaU6HHvJGg0682dXVMkI2fv2UsWAlbK3j5MPPdiOrPrDHDlKV4WI+vcZ4kPZ57p8daCRuv
tPceFVp5ZSkdx1+8vKsLHZc1P4qGLk1ERN95M/KPlSE0GddT71dwAZw8/x4LCJ63s5K+KPcc5wY/
KTzfiZygZNyny3hAWamzTHbPhn8sT4XHKcwZyjxavjTrOJ/TMIfJ0HG3kHeTNz08M1IYIUyk3u1R
K3L1TXMmh/cKu+mZJ8ygrZ8C/Fqkb9AeEqsuwf4mUIl/cGd58ugHOUH1Kaj79r1kn9KSO8W3jrt/
sZGfdTAH9w7a8XePzPh7BA4EBgK/GsyevDFnRHoRtzMDEr8aGVwF8g1mpCK4rZws9xXlvmwOBjmS
fSpuSCDKKfKMnpSHy0ebcSqPJTT0dJd7dosbFMncxaRtEhKrhPdi59r4ASldrPgk2hnn0bDmxQ8v
ef9l8L2Dl1XC/WCrRDrdAiYxPKTKIbqZ3Vr7UfuxTZDtNCRva1fpR7hTzLMbPBCI3oiXxvfRyKn+
oSoLzW9hudwvrUc4ZpToPpvPWE6qpzrUwX8pPBJDMLtjAiSyAaisPB3rYotgfF7f/Fk6p4GUNHdr
uXR+25E5bctih6vowJo1RiBca7ApWe3J5ybolwIPFoiq3i5vFVNrVy7rjFuuOkr0fGaISNjoKRgn
xDZVO1XVPhtn1UcEtiNFj0G0kyuM/JjU37llmZyGSYNwps+YaMKrROJIbWb3RJZoZ68JK7d2hed5
V6ewNEqQ1c0fuF7Yz0+h4wCX732PdX4zq87fZhan055YlTk4xLN/g4XP+OvH97i44YfKPkh61DwC
e+aQmOG7sDM4bAFEIWzAxCNMuBIGpqmOW73UyHV4zynk5MZgXwEji2naGZ6MDhEJbFDgr851wmD8
35rBDt/2RlrFtlqY8IBIIBynAvOWPNvg21HliXB5Y99HBQ0U0IIQCagdYGlmNwh7fWP9DnmXXWTV
hMW5WZM2PVoqqa91QXw2VsBumpzNnK0uCd6SWU80YTP7nPHNJedMgeh7o3LIL1r0dX4z1obN1RAl
If4unkMWFe7dGAaP5fQfPDaAuhOsC92WqbIH70jlyZtrY7k5dBXk/uoE6buaPyccA4haZy8sD5p5
2hPIwIB40Zw2pZkqW36aeNTzldwfAj1RzUJwBs7fEAg2Ys3fBKnTsn+06794L4IrgbnIGly8H8++
cUghRkkhxUNgMQrrTvYqVraeEFn0fW17owv2rK/sR2+dM/fgcRuFCMQtWfTtXk9FaTqk6cQoaGhi
yAqp4GsvEMuFWGgW4pvS9uW0Ac9QWDQrLPZZInYi+IdXKpD8EKRAH1HpTD6hxwh2N1U2MH7A5Wjg
44hhwUSd2QNk+3pRYKUk3RI+vAoPDJXnfBe25HPvpRHBGdRE/DP5MDYjXdpu+0EdOeUk23NWfDtQ
M97gmmhyQpL61+8nc6jl7L5h1PB/U25ksi9sOgKc42R1EXd+H6I4ALrQAcfDrjI3/9FfT8txFjn8
vpZEkDeU2hz62Oy4jbtYsB/xO4cpTWqUF1/gBq9faFXWb8ya7hecY34ZJ2DZw1wPo93eR1h0y9bB
ipeR7rIeV03JsMVlgqEppBT8ICjaXvnkw3A+Es2hb/5BmvMHpsm5ekRTVQvEL1Rc3dXLHLXegS+0
lggPoY/LnEwVYID2DcTV13RJvNs+pMAetVX107XKDKcWYhPEA9/Ny0sM4MqC0ExOypMn+FP5Jkar
yYgYBT7HZ4vc9grRtcBsOPX+09qOxG4g3s/Isda43XgbyEXOuEJf3VZY/7DH2+7RB1gm/szpGHN7
ozEgRQW3WhP1blXl9zfN+ytvCQEzQ14uW7g4ucOCdimOjt0VMKyLmLyuvzhckISOsSOPmpwU1qa5
nO9UmA/ylBPNCaSNmh+8PUYk4laykGV+82aVeUUjltE1k2iLTX7nThXpO1JPzgiILTXt19w7vR+5
nT2uB9a5xXIOmGuxkQfBXP9DXRzyQeS8381npSALHnAbuGZ/Swta3rzCmsZtXtxgoCAviBdh2dXF
4ZOb855TuUqFkwzTP9QlgtW2fdGSWbvJUbBsRGN14UOSUE6dVVgNHWRelOjx/nadQ4cpidZy5HjT
vLq281KzREvZjS5DvXWJW3e2KzGd03NJJZ/uAWuJpyaBxbkRt2+ZcWc1ZgdMP0XIiKPhRC2T0aAv
MpW4EyKojoRPEl5Bi7R2R0g+yAdySvvPfPGxOISctMcJ7Su/L6K0Rwg1Kv4BRpbhqElUR8kT92QD
snRarmw1iLKIU88Chjl5oLsCjtxX4yxI8bS02aLOyu1BN47WshOO27mP6TKt3Db4+5EIoap+GVNn
wZ+4Zt11ElzPodOacJ9Km8kUa9p6Rf9bSlJvUYL0T/QTPdZe3EW/QdW53YXQAUN4wZzpO977yket
K9oX5BrEf6PyoH/prcLEEAoXne5043kPOdvDFaAmNtKs79afhvc9obvSgI4Z1ns2Xk7Wf3YI03wT
w1LAD0t2gX/EicNmvHYnIHwd7R9CLDd08oPLqVOfBrqwadeDXq71npVK5uz4Xm0s8KkJ2DiV2l13
HfOdcIj6hv2LOqD1GDkfRQaj0n5yipwur+s9yzqMjbv0B88Z+BScjA0Dj2KCaiS3FvGqpWdKmi0L
fUIrmDlFIsti/3deyzYmFooYD+RnHSS9GjA2yiszD7xiTFbLJ+SMy3Kft5iueJbh2jZ6arlMiU64
siLVDEQ1p9sBbIL3zeqDofRMXz0euhoG/QkhJbqrrICzsPXwb7zc7GEp97PVYZ6op+GaWxS4L5pR
87G3ZmdkNpyMVI1j6SAB3Kx1gn8IlcN4NhYXRoQ1hqOTALY6OStScKHXD0HywKwdKJDBvWN2fiDX
+XXKR0JUKBtSeHUJCZUfQSHKa5hANyCXGT8NNm4E4qMrtwxLOc5jqwt+JDITEHkdyt5oYF7OiKFO
9Z81GYg8YfIQnIniII+xLeLkYhdWEL51QutjSShIsVHBhGCCaLAFjVlIbhT9oOlXKeoDEE/H3LGT
Tf0naEggfZnSB/eVLUiuanCs/a4ZXXeErNLIrbiZF46qSmcgR15IF24haDWorVx5bNMFrKv2iB+g
AKqDYE/9os1DS0zSrqRB93cJeA73bgjCvtv1JJvIzaSBFOyL3KHimjLbz08znLTfLpnR3WFShLxJ
UOB//Zpgok2VD+cbjgsRK0dWUtl66iYDoTDLKdh5kyXx6nCz+uQwss9h0et3XNH3LSoT3+XbGNrp
WBTD8DXk8+ihcyL1+Zb1DeSBe7vXQ9be4ajtgumoiOcbzoVwSht1D9fph921eBIqA6AIoVZX8dUY
Z2bf2eFk3CJ/h+jY08Z8g3IqJnQIS7dMyDWBvnzGomwO8MUq8SaRiBdPUD3i/n6GjEU8K9x+kINA
GNUtNDWLMd85LKSZLa7wF1Cx4STedAza8mdV+WgSfNK1A9b5KRVxTu2Oe6lIBnWPk4JgIDYAN3LL
StrQsm2cgS1DUUzDzc1SFYTcZQUDxW51IGsMcW2duoyXlVlQyeycaLuR7Bu0uxz/7MvLhYVtvJNl
UNNG8VTKON87KbGXUFs0/OGnohJ2eMOyWMP8FCLcR3zReW01bgpCLZdkT4NRyi5alyb88qyySKPO
ttbhtSXKrYhKdMr3GNHm58yKc7PBBcugZ6aLD7YDKONrzUDyqeoplNlYDubsBi7aTQ87/1NiJRnd
jCGqfU+MZn7ykVIvhxZ0rfy06NZzQlvQBOXbycoTeH9rVgKqHKZh/VylQZ675eUuIesKxyDakK4K
v9as0vrvWszufFpsknuegwBUNSgIA6cIYE1RxmxSUZsu46aKW6Quws+gtMmUOfG99lGeXALYciwL
qxjpZMSF58k9cd1WQMYFSeXNPadgLNF7Jh6rSTz2AmEn2FEtD5JJW+AdYVbBCI1o4hrtbBx2kfDc
kbhl5d/ARaDGkcnhjESfBC6wagWBjqgVKQZS687qZme56jrx2n9MBGdGOLEtFL72xsnsQw0ZCQFf
idcd7zw86DUYdyjzi+S7sYPQ2ck5nZOLA4VFk3dpz2m8fszcWf9ShHIztdQgyj9WWGBViFrEIzMV
71Da93kW3mxVdMBvfYWF74mVpCs/Wne04Hs4crKzu0asvbebZ0gvO5TEhf6VNBIyZt+ags3oJ25g
756Vrlchc2xi6LYZfV5wj1hBCcROWd7jwyuXqb/H6DkVOw7Dsn6AHSWRGQK+S+4yD1XHY2/TZf/E
8wASamcPco7ZK6P4TLHRs6lRfz1qCuemCo7LD5frDfuHZpR1DgUk5o8F1x7q+GpoRcbyrWFhZAz7
vTZy8HOHOyp9sDj8H8G1fYezXlXyInE+sFlkz5L5h4at8/QzyMDuMe2mrbU3Ta/sQ9CNFM4rsMAU
SJFP8kY0IBYLicQKYgOeza2os7aORbIKK/DUb+4QiIcJkWvZKtm6IHiZktNg954A6dUps/w0pAn7
h0kq9qRwejEtfxY5xTOaTCdNokk27UKK3LAUn4NkCxwZALBm6xY8/chreyB5B8NAakQUwVUQP/Qq
nvozgmc3IBe3I23XXq0s3ONJAK7K4TBN7qHNVRb8SUHv04tjGlV7hezT/bMIr02O8TpSm8SekzhR
IbwKa9kkUtt6sWtTBHuHYMqFIxeB+XVkpwLexPdFOxyWNpVUCkMOCu9gV5lH5dKDoLR8YsRnWjSc
FquTARhEKYRgP6TMgZILrGEPHK+ri2MFAUI2uDM4E0lVm3yb95ZIoVxsFhbn7WcxjqN6UR0qWnKY
ekVckfFJw9w2uUndAZ85jS1rZAZiYRv5Ob4T/iVLi59aL0W9xYo3mM2cxEJ+FkHa5+mFN8d38UwX
iPYxENQcrH952ioa7ZUEmmsi+hiimWKzvgnyTsHV6yUxDizFZuBPsIzwHdA3t/wuPdf3x8wExL1j
a1GIX1Wjuqf1KEqnazYk2Cp3xn6MahYRM450gaQemqMvj26baBf54cJi4Vwp5q1HI4Ps5oQULmc7
CSJEYWGsQZ83Mvnfesg8vkqquekf2geGfyQbOYEmJKWDoCKhtwxcfMZYTyPZGPRW0vDUS7tTCky1
i2yZefUo1GPgQtchhzru4/4icIao9p5pNtS/ZYsXNAPKU2MCLrN7H46Qye+hdzcm2Deg17puhxvY
qWAu1sIXwRaOPu7phTAEg6Y9yNdpX9S5X34y+A6nS7Dm63gwdU9YRZWEmdnTrvokJQHCTPetsInk
swYJxIixBfZXYy8LcUs37OiJcf84IQ5OUXf2Q+UADTNBMOIHhgG2q7SaTyW9FRpRPp4qqlCxQehD
rcDALC+zJ/SzHXN+byqIOupoG8AkjhQGdU3NH1kmHCmNmF/QraU1cXXoqZ3N4C6k6zKw8Zajz+ZP
RKy0BIKKPA2PgpTlHw54hoxVruRd446k2iK2eO9K4eidgKJoMIsPeLokFhJmSl6MigAPAnPRdk6n
E5lR8e/QuOQrt14cDL+IRjzvm9bGbrHsoovbKsQtJPHKtTN/0NSRg6NnF+ZCkw+Vv2euBxS56AZr
25C1xrrPnayJZR6H0RC1OP0M9hPylH+KwDQXFCM5mL1ipYuyqdopiEpvxvqROFjcAhil2Mi7IrsM
Q9+EF1AMU4PHuUTdlhBl7+xYTVGq+UlChomfZzxSvtXkaDqb2Vs5D01IAIsVpB/W2GTrsQLkOPBU
23V84fVHPDVOwfg3Zev4Ikoxs/LFh4Z+3m6oh2uJ/IPZFHUCQ3Eatk1QBI23mTHRgZpYFE+/BQOV
vKWQC98GHeA9Li6FyI7qRiFAoUFJz8TN+NMDAvI8Ow2hN4qLP5eLtyMqIn0dJhkEaILpAa8Azbu3
PEBy+a3qhKlc7QHZitC/uMm+LWzrKwm88nfEZ17zbdjDq7bWBaMVIYDV1qD/+gEhg/GfYF5WCG18
C+SclOieMCpXzmklyu1vmai2AfAEchyVX7tmRAgmxmHNl5sLB7v4HSeUYeBJw3D9Q5BW+tDAgVoO
cVV53ZYN7y3NphF+s/OJdyZ1pvfrI9rjVEZ224QdM1Ckj39Gh13TfuzJqXpYRyb7z2yriOXg80mb
LaNh2JFoXAhv95osPyKthnSPgSt7kZ1OunOuXBAYRO2ARleBJe6XZMIBTLpo9TQJOTX7Si12QMhS
KEnT0watr1TZ8NzVc8E4moNnnyNyrg9B1iQPgWSZfZxc5lsk75Qh9tSJtMidNXQKiJRMY7FxfUbO
D2ldGQVtXEtMDsMYMIJJcmur7AwrgmCs6p+Yqswn37IRMGnjSxqDOsHkQwx0dw+al8QdS/k4T23k
QuTUYpEhiSJU1qHuY4IxCrQBBfNmia4JcyGbZ7JFrccmmIETwrfJ3Q3itAR1Jo6n28mMuW3fKV7c
7zjB0Bb5seU9oTSCW69rk/zpKpH/k1b+P87OpDduJNv3X6XR60s8BhlBBi9uv0VOypQsWZOdkjeE
JFuc55mf/v5YD3iwsxMSumpRi3JVMUkGI845/8n8kjMYZ/T2l1mX4Sno+8k8L1sgGnzIidnUYsPe
xgzPcOTNvyjsKuCJtY0Jaong2yMGCVuzZDEvbK/wHHChnTUzJ4uTZMObEFS9LmEGuG24RXToSSNY
JkuoAKEE9pJ4LmPO2o3plNV0Bcc9KL9AUkMaMcbhMyXe5JDjVQaPHZoPdTmokNArFA7JMTfa8jUm
P/5njNumuFzCnB+NGurlGlwxv6y4pWgTIilnQCOI3HgsRON9D9g579WYlCmML7ZbEy5+bT5muOqW
BwJ5+h1IH09Z+y5ZhHaphrULCb2hkpnc3Yj/s//KoMqGwIFbWXphqti29malo7fZNOefGjiJ0MVu
ji88DG5R5xmpqffUdRPApMfdE1JtBkhW+Vg82lpzcDcZdA/SvQLVfGkxFJTg4awUJiWFwsFTJkzJ
CGGaL4eud/HhgnB/DbmqDQ68QRvfZgEHepObKgHaKD16uNFIfHy6cbIVVy1axmjV2SP6Kk7Z/Gaq
o6FHpjAI3IkskW/sGZedL/NcV987nXRP6B2x1fEMnSRbN6BoXHetWHrCKCh/VIx/8D6JGKs950bf
/KxnEwG+1w7kIUEPiR19lVq507+iwGMgOxWG8xoMEx9lZ8kKfAVG5gWDAExrHUz5doCJPi5iRNGw
iGcfiubKyf3gTUDgSfCumxt7ryOCv1cFJjzspTDkrZ3VlTq/7iqt8l1DU2evbbdS9YPMfGBwpyFZ
3a7DjsgPkl2XD7huH4cAZ5YtIOpiLwiFgrwkCnYC1fCEodfNya+4mGtIL+uhlYgogjC0nh3AYPWl
IRxsfMxRVGN0Y4cZKb5QlhBAGz1WP7ZviIPuvJR0l6SmHnZaX+VXkMqIDMWEoniLjZlZdERF/6AL
mTyhLgtefbzxhm0+cXLD5fDoS9veRe0eyfqrX1IcroOwx0S9aOvgmQIDSRJWTg7AXOFXjIICILyV
y1TNh2czdxvl2kRjkVuVZutEovwvJFw0eldpyHuoP8CNTkQu80hat77NhGP/xESgx/dc1vZLGsIm
2Y9qoB+2C6g+EEQadxuFmFt9tZGSJJzekZncCBPx3s0Q1WpxRsUTAWGVRnG+SZWeD5iwj9gWZiM2
imbmlfYmGgUamHJIGrmxmqrDLhN2Ybuv+mLE7AyHDXEhPPiB/KqMLKMWe5JNiNTYXKH40N3dUNPr
rHSNfPWyaFS8z7tCtFdTFVb4hdf0/6uZzkdtQ6OL3R37+HSglZAQhHu7d4ybQSLNcPemT7ezRXRq
90eGoqH5NStBEd6R2qDd3nZuiQHprodgHQXXaQBHQl1E/Zw27TZ20ZlSa6h2WvwQrPno86vgnIye
35GT0Cn7m1H0MFijLq496rMIJUNPSHCDSbhjt2KNaTbbpG1JO3upwtS56lrUBKhN4BBkxEFBOd4k
k+yqaxh4U7PrhqmASQgXxmBKLwwit0x8wMMaFTszu3vAXQQSCuvcapVMFKBYNrhWfXQSiBoXiHLL
4mZCKGqgovSxf17jyJWHt2SARRYj75lpDXSbCS4xiCk3FfGjyELQgZOuE0POw9XA/hjtZ/ZpCF4E
CAZIkmEXHSCOtDSQ0u2XyAHHY+9AAZeuZ2WO38LZqyXi3yard/CJRLYVUBHvVYDmbONmOIpf2tpI
v8VkBVjXfulQtTKEgGfKSL+W3xjHdb88vl2KZK16wgFHh9MZKZBjAgMSYbtmwSyngFtU2YVTqt7d
l4KZMnAWjjZ7UB0r+EnQFyxI3AulsyvKEN63i9433JOlM9HCKFmb+ZUKu7b7yTlvRdd4RPC8YvR7
i6dOIR+spVC/hwIR+A+YTi1Q4oRFOsFnEyt6FyMgD3fDjPMXR12grb1UAWxLytfu6E7hFF0EAZTl
VdWMaMzowmGw07+bDFNCQb/iUCtiVOOkOlvHmmJ3nUNNEveKRh5QISNUPf4aavSqHAQ4SiUzRs9U
Q5hA4uWgtdJr6ZTTLcWPxdapMYm6xutR/Wrw65i+9Jatm8demMS/MQyvYA65hnvIEjyT7oaImvep
REDh7O2AgRDcqXxAiR7O/WoKlNEdw1Dp4rIYYNKuGamWJmOiqva+2sXYmFsmlCZHBEGVxbslwAJ3
8NYUlqdhHjL7tLH1fIDu3qeHPhyYlTGD8eA8BXA65Z0N8/S5Qx5mX9fkF7c74VNnYKlg8c1MCa9r
15PhvphH1ONQrdH6hWRp1zVskzeQ96pYLyf6NZg4tVnrABDCRzX8MnwsMz29UF5M/V3lEeW8LnsL
bamD3RkKIqOUOltBPc/L64BOOb4it8GNb8oC1Gfj4WcIVo30I2egA7PcRr+JKhArfsvGbJXJt8aW
CSJWWXmEBiBea74UUF7a+g4/hpnyA9wf7qIaTPxSJjhVGSeM5xu3kSPcun6kxRgIIQ1EkAE9GXNL
JEUl/dY5luhVRjwtOiTs/Im2vWOrvan5GXt0znt0UZ3aM50T0ZHTThi3jMoH/14GcdXsqWbIGBxG
10ZCbgtOk0w1Mr8dIWWH2wXsEXtTIYHbkrFbP9JGg2MDMpmkkfgS9bmfKWpUqp2GwFmML4watpHc
MZQeKLQtYo30ZRmgv9k6KmqyN/wJsLkYQzd6qvDPOdRGaTAWcYRlEevh99/ShVPHfTbteMD7Gqd0
GQzOm0/yerOumUiTQ5QYnJ+u11s3DoJDn1h21upmObycZdzqHD0LpyEm3dhGgfwVuNTAD8KLM29E
vZ97s1vMqyr0VaYHzxOsZkpKPAY0zqR1rudL30XZxJxrxEKy6rVZ4Rc4kMzTwPII1kkLMyWbQq/e
MJQj4xREREHThH+NiTPr5TiWHIuoI+vgmxli/8JIfjCuDfQOiJYaPqY1LDwKephqsl+CeKPvkKzb
d+IFoCAZ8O6BkctI8Z9glsEU3YhwL6cG/IkGGzWygkLsAxwj+9sov0MVCecbPjJ1iD4mThIXmwqO
/RNkfhC9yBkH0maRHD5DpLGIDSJR5eAogge2PdPw7+28ADuNlU03NQv0GntDBplpUujuiMNo+jLP
VrO4qw2+sQ7dzr7DNWi4Hyy/fSa5Mn+3Gpm8+pPrX1rW0OHnWMLGX42c4Sje4BO9WHYI3aqeqrrc
EjrlGVsvS+Mnr8txwxOQnp8jJGsPBoT4EE4znJPNgHrxJguJzVp5dQHpCj+3+q1JKFIA163kDlWt
/d0zbes9iaK/Mpu6zl3POquhZHdOZWKCKRICAqEcA9kFudiwzNgTR/imyQboOLvS0DExQSLsuFpB
W8ReecC5NGfDq5AyTrIiwwilJOhF7LOnkY0CWpRpB72QJWP22jme0E5UIYy1lW5MmgIaPiNF3CeL
91qWjbMmU7P+RXlVRFtryN2IuiXHwDPOLfeqhWloIqqSwN+6KLnXioibiM7C9dJLx05bNEa4LnZE
RsFW1SbEFEiKsd9fsBFkv4a+kq/GwF67eINnxmVXOtWbC67nQdzLcvJfPQbw28DABGvbzbK6aW2h
HzhvAmdPHh9JDhNkWXwxcp7TqmNPpYEzIrc+1O2ivhr6IH2oq4ZoSouzmlzfAqR2K8BZ3mXTGY8D
NOD9XJXWV+yVF6MdHJoagLIkhGXCsb4evNjKLiI/QI82ham+qtPZ+5ZjiNGtOywdoDQWBVqRyMK1
AeoHSl8PGPDWgClTHYZMW/d934Z3lS84B2ENTrgmTMF4A86R49EBf9xehfiUXaHvm1/NnqJ8Hdok
Xq+ckUYcWFUgrpX9OH4fzAnLTPpRwE6A6hpKtp3LNVBqdlAwnPp1V6v2DiyteoyDqbiOc0KyVhBl
mJapxm3uUgwgmc0E7vgukhjCCPCXc2EnbVrsWpOU8p1hkEO/hmxOjKWuxvkHSqrqQdd9AHPEXGTC
bS/ybEfNRK45333Rr02DUmqbq2ge1kOkcbqCQWeuGOwlt3Fihq8ooFwGQ0Ohog1yxvjeo7d113xy
2UtnG+6bF7d9vGElkJRV0pXdexj/8DME4p0toEF15S3ahPUcZAbjtblMvtXeBDklMwb1JShFbu08
qqZq5TYxm2dQMz0iPIg9deXhU/ZUj6OLDtnh/VMx+CwNDjNYQewN2LR3ZSRuSURkn8KbS7wEYNYs
qgJwqJna9El1VvqEh0v+3LY2bEphTvILAEP86OcOttBtXqrs0GdxdpGOGP9tRsDsZ7g3NEY+US32
aphhPlE3xJS8rlVgwmlBMQ/3GD6AiDcoXfuDzOmgtQ/LG6enCVyr5mPEqaksKQWIt4FZJZjX7/u+
p/LnuHbfSHSvh3UfqPopo+F8sB2D6GVUHxoNUAUugERo3BrIr36kYdh/HTR6PUprS1Gw9ZmcF/YV
oy/c5dJvhgm9a4WK1IQIGQTesGHg08RbE+YP7M2G4e+q6bzFiR10hYFO4Yrvmu8XFN3JE1zIB/rd
VVAHXbtmPtSXgOHA/1vYElg/k26cHBXxX+ZqTgbCzZO60TjM9SEhEVXj03kFOIjJXcZWeaPdObiC
DVOOG6zw4+A5bkL7PYLf5KwgbjVM09MW5UUWFi+0HOmVGQ1LDsAgMCqm4wg0GStTfsQCWExfmdDW
GIFA07oOx9HKDiIeMTXBvyPjALQqTD7jeSqLfV7HC9sSOwosoKraDLYGLsz9Fa6VgIeyhtbJvEKo
m77KjF8dDOwLtfx0rFuDAb0cuaZvzpQJKO9o9BBe9GrhuSY19oReXFYPyZi5r17dDJyi7IFIVrEF
2U6mJTFYYv75RXYSx036Mlx7NP5pKcA6cMZGkOlKULZlZSMpCHjJrbBEGEwcpC2X2GGYsPRUM9zs
dQechtHSQOlOVxZmxQpHhbYBB6UN3goaIfLerMYilig1g8ucjYhRMcEx70bPobc2sHoB3nDwA0L9
kk8SblNMzpyVYBu6MukOjTUuuuW3FotB3McAzL8ABQv6XrOnszPFkB9TQnJjrPYL/zv8fDSefjCA
X7VAlbwexOWCfMIlO3PUi9g6p3Ozyuy5TrM8vKKEkF9ZARVk8DIOX9EjF9/wqWTqXPoyyC4D7DaY
xxsmo4EI6KjZ1b0uHnziciiek0BdS8RNePGMzvAcBC3nNNCGrDehsAJ32zvk2a9MKyuh8zCo3gwg
W5q2FWEk/Pym/mo7Vo9QXxnVK9864RiO4xfvI2IfcmVhVsBPlV38oj3k1HZHH7nLzRBTKAR57Z1H
9hDzxrjID/DWy54hlEv82FJyMuVwR+uY4jgPDAI6jKVZ4LnwlJsEbmCHTJjEAmBWDqEqhFlr2yOL
k7eY34xYbr8FOBURdzNXUbUO2yT43kAdHfle8/ZGF9loAFjwja6spEOpktp1S8aB5/9iXTO8wWs4
Z5Aemw9siNlDMOd1vlFtM/0QyCzuABdatWaUXmH2jSPWDYjiQlMgsO7outNwIKZWmuu58czFkcrH
PkMEfRJgTTLOTwJa83U2ovTcmB1WGjwzk4Gbq/oSTj5J08O68kJcHnkCNPjTKHDvMsFPqVUSQxWb
1DPsa8ESJK0lyvQV0d/IkniHVrGxaxt8kFwsarCWdElzbQy1RXYsRQmyHzF7w7ZODKfeQsjmkbP7
uN9TGTGtDSHyMOWoSnvfGMutlZmojo6l6diysY8bQmvT4o5mClkUNa3e5Bjsx8tYBwlsRSWLRiiV
dGIdAoF9jcKGyJao77+RaJg/0Gv3r2MYJ0iIGoJyDKYL5TpnWpmtQvLEzXUwZ+ICty5ivhorsEsK
pDz5Dj29/t7gvRdzJi6qhchgxkJ5FYY4MsT0EXYfue/sJdrdoDOJUQmn7fAS4ot1nEtA1pVjM7/d
khUXOftKIyK7CChVvza6o9uCCR7D8xrS6LstUSpgxkkq/WXYGPk9HMIQXk6IzTUe+/n4HJaUWOsw
L2Fm49YoDmxY9PANhJN0Y8AKGPbIBoIbxjsgWDbDDnwZI06b9ZRkKl6jK3Q8VPhRwNYPoI1NelAM
r1kKurNDBdVsBeEBIIIVxBqGm3VtbADr+/CeyXJAlVUWxmZE9WjetCNN7sbLUzhlkwaMPbTEiz6i
3W32WAaaQIEz1EbcrQBSwamtuNvG3exjvsCSsDd48djPndHiHFkTP9keQo2cfbcsF8Xj5SvaAlnj
ukHPiV8lHMGaVC7DdaqdgcSZnoks8Ak3QSLHx6Kiqkq1xB1CS+INICQR+gqK2piYIHrFcKHFUJG7
hjgu3CBJru5d0sqCXSWc8UcTjYvnS20hDgZelRAVYHUQ3NV2xQuTVYlxgYXkZGVALf4WY2mDT4wg
QG9V5RAtNzJJcOMxzQgOSI2nNkZ1USFe2hKb6TV6fOvrjOMQbBg1kB7Vw88ihbWV7NjaW4xlmzAZ
5oMY46jZ5ZmTHvU0hWpV4rMFz4IyId23TekRIY1qz78grYvug1khZqU1Hc173MXoHa0W5tYhM9wG
v0IqGCaNcpD+PmA6grh9JPwax6H0ep56aaBvC/r80XEJQNkgkfC9m5hN+UcXDiEoUVFpsalyf6Bj
Jcz3lVkAbiPd2JTMkcDt7DvcYcp6g7Yyvo2S2h7W9PQlid0kTPFdIBshcFtT22xsZYRPs8xgeAeR
HdymfW63W/Kd5EXvmqQqjSrprinzxujCopOMVpLTx+Tr7/DTaZhZvGHxFL8I8kqXpCEjrx9xatd3
mdmBIg4z+pML1cEChaNc09OBHkQ4eONBxVjHquIXJKb5L4Tkolinpo8+gwA9MW8N6YQG6i2UHCh8
IoMxCu0JXnvUdCGRl/2GU7KmgMHb66lPNFZ9kDKcF+nMukYHYwtIl0G4RFM7Xb/3OyUhPRJil+80
he4vgsXMeGNTEOBkmujqMXDb7NjkDns3lp/GG9B5VVHZATtAwBpD59DmcfFcY3ytISP68IC6sGAG
R3w8nRv5HY+lLhY0zGy96pLsqAKjS7I/ndVgRVa3GVVAQHjA4IpZYLbQI2ZO4X2bCPMiTQsUvtrB
sooqrhmNl5hBc0wGre/awPgOds5MBetfhCX1YsPAc7hNYHT+wpO4nVe2smMBla13H43K0j+GyvJf
nLiPh3llsq2/t/3EYvHqsX0Ofb+PNprp2nbQrQ27WYX2k23k810iYshywm4SUoRzERzy2SKEfnAc
1jumLT1TvKwP090IYfHGikuNXwKg6lBi7E52c/eTuorRKB9eGad3sF9CB86pLnqLKQNb8EaEU8dG
YVqq9x48tGX5rg17x11ZYhoS4J3adH1mYL7Z9B1CVgxn7iQ0gnpTlHZvP+P2n/M6EjBj5tZNZNqH
ADf+DjCmmCpIREyLwc353Qyy1sLIwHcj1uASltHa0UVLKODIHU0mX0MlAi+RnGxwWw+LGYdNrHuF
SUibePZ4a5GIijZCsUtVt77lWsAxeAU4pKzFTtoF3y0H/aVed00xouisYoW9P05YmFU+xKQ+Y4U/
lG53RUCdJ3dET8fqwiG2MH9Do2qRcm9bZTPgtFgWzhajBqwQCZfDf5XSPhAd1vJhKhxUucwyx/Y6
1J3b5HvtkazkXKG/B1IAX9ERD2S0S3x1tk2yDDO3GA6OmKWEpNOtTMb25tIY0Lyj0RupwTxjvk1x
488uoHADzGHUyUaYyZZDnVMIyCEmJdBYjyIvyJaAtUSiKsKpxfFrwI49Jl58xhaH6N91GCJBx0LB
YotBzRMeY4IVu1VcwzOleohygSbWUTatN0XcRpJJeqOgyhPGWUP9ABypaGEA2n/UeZS+O1LW3+Hd
1s06xjqAoikjjmXdRr46AlmT09MVlhBs1aSab6ICQczGDHRqr/veqd8XCjBO/4OMF3OTWqGrh5pO
mDmEH9JqolzSaY3Tu3YQTpN0nY1gPND0qW6QKCRbdFXmHnagpZgulPV1iYhyWs1T7b266TDt8HNn
6E5wRusAJ7YMyFxpQ3AbujZ6HqHc/wiIw4u2Y27njJTow8gVA+lSe34HyLo2pDnvEUBRvmMDTOFV
jhVfdjCrTvJ3Q1/LDJELQ0HlQuqZWxSEo0NFuqZt8estvkYkwBeK7JCoz70nBubQUZC2Zs6lA0AP
O7JJ4DJ6bWbcm45k9MLOUL2HVk7waDYr1V3puLYeqOvgYAUexe9qNskH3Q4SDstKKeyTpGna8YGE
E/QhZQ5OskbMCJsosjQh7bY03OqyXZbIJkYGY1yYwzhHOBZV0GTwV8GRQitivzDRnPU3h2YVeBSW
hEVCXm8h7ILGSWJIlRCXPrAt7ccuA/qwLeY5ZYmgm+2BlDP6WwjbuAvkxIN0Ya2dfVPn7WXsN4Gz
iXpr6Nda+cwZsFPh38Y9h00qL/xXmEHN0YPgSSGKaOKXEpX9ExuwnmXiTKzs0mqxhB9xp11FLRal
G6Rq8uiZDHV3uZPWdxDAGB1xb8m+gzN/h5HS+Kpyu7y2nAnJSAQ0428JpJHeFsaczalIbBUUyBrF
70ZaCInXCqayIIXBqdM12RkMzKCWeeZKSYkHge79Cfgzjn/maQ6YnTe5cYN1U4rDm2vWl3mS46Ls
Orq6yCJiGg+eM8xXZlsnT27YEDDjddgFbvAvgEwIWxk+kmgd6a58eMBHGBwC3R6WW69hlEww+tyZ
1hkuSbNSUxBFK2a+9DeBDwSz4nFwujeMO785oTU8W3Nb3PqKF8XoMGfGkBu40xMUZmOKOw3mS5yp
/BetW3SfiGV4GmX21GOlrllvkmQ55HQjAxnaOEQBFKgQ/N1giF/MAmtWkUQ9GgQDYwZ0THN09Cbh
OpsQVqC3K4GcyxWHPm4aWCcrRHcClAYb8yHE+IEYLZS8yOHIZ3OHNxq8iRzkamyveI+027Hwo6Wz
YtC26tiKsKzEEUgvHgnus/LkIjOeM9xl6K9y6G2F7L7SRo3FBn2A6vYMHetq3TlC3WLLM76gR6w5
iePkzctwzaOpm8enFK3wPbBm+4Q5d/0w4kRerpipYJcjbIc7xuqRB/FfKNngvFPNbytcSMt9Zboh
Rhm1hzfgrivBdy4jePqEUDnoAqztP//xf/7v/7yN/x38Km6LdAqK/B95l90WUd42//qn+uc/AAyW
f3r4+a9/urYyTamkBz/SZZbpmQ5//vZyH+UB/7L4r9APUUs2qdwSJ/pah1Vx6EAPKJeCcfcfXwlX
QNM0lUTH4Aj955UGxQmjSF7aGjqS3ZpwixlfFnMgOa0DOFn9jatJ9GsKwybbMq0/r8Z6QEGoXehs
JoXjFiEV/u6T5XWXNnDC+8cXk//2EIUCPdCu40G4c033z4sleN4DkZPpBaOsRnxEZicblWE/fXyZ
f39XinxVy5SQCqSrhfnnZUqIUzg8eRJLMaRi17huOOFxgF3v7Cepff/h48str/63paFo3QQEapMx
vClcfbo0GkQVPZae+RNesuZX4aZYbUnXFNCM8Yl8bVqano+vuDyn0yvyqnBtgLaIG4335w3iZBIT
KdbkT3EHt8s3o/C6rcfszsTnEh+vgoE2/UPyyVVPHutf92lZUKFM23G45ZOlElVyLocmz59w2Peg
Wppz+Yr5VPnkYuP99vEdnnumv1/L/vMOPSiNpt3H+VOm05prGU6Ub1WvywfRWPK5ylEWffIlfHbJ
ZfH+9oWDKBQjWor8yYns9rtntIuBS0U25ohY7a5H23j/N+7RdlwbAZ+gAjn5GkIixayS5KOnYkjl
BeNT1V7rmJyj9ZxqhW2OGzvV1cfXPLtytJBocSyhyFb+8yZVHlci1mmKfVz4wpR8gnca2neRTpR+
JKlviA4kLbrxJ8/27NL5/5el4Pnzsi3i67B3m/SpxzxEUP5mPnhxxTj2guhgGe0+vsuTfeb/rdTf
Lif+vBw8SNRdBBo9AXs01ZpAc2bMIzDNJ2/w3G3ZJmETDEMtPsflz39bMmGLlnqOogzyhunvEqjx
h35OAvxGs+jx41s69+JQyNqAINrByu3kUrbJSAZ9U/aEC+f4tlBQL3Mb+GmV6uCCsmZPQdZ9cnvn
vgjbwqdJ8ZelLOvP23MypjkqVOnTwGiQUHOGoAfo7e4V0S0BnWZe1V8+vsu/tubTnW05iFxwTMuz
nJPDb8KnqnUMmT6NpF6/uGBPSIEORk8YPDqbbOkjECvROIyMkA1dtjs1LDlrH/+Ms+/VAbjHLM1D
kHmy+8xeW6vM1vGTEaCHXqGb7q6wVUCDp3EFaT75OM6+Wk4pqQTzXR72n49ZxXjzB1MYP/lQ0w4I
wUp4lQjL7sl7NtdlWunj6Jnykx323DdiYyWnWMCS2zzZ7iReOUvbHj8prBbglE59s2loOcfNf/4s
JVs5tTVUeOmd3F2KvA+ssU+eJNkQV93ol91uTOZKgE5V/ifb27kXJy3F16gtFo86WbF9MeB+7k3x
EzZ28gVXUOMSmp6DR5/ZbT++r3MfB0JAk4KQOsOzT55fa0/g7IbNWxOmJlKYKeB6DKvpFvt3mJQo
Q6pP3ti5dULfIxVlIVk33smqrLLCzFwSmp+6tsa7MyzG4XVqHOrxzkZARp5TPdYXFO6i3398r+ce
K58DkkpUYeRAnHyVuvErTmCRPBEwyix9ikqxnXNlA/FR5n1yMXH2asoikdX0lCfE8hx+21U5Ef18
Av1/gt5UY/Uuw0dLuIi73cq+MODUb9gEOlR+zjQ8SNwzsf8KHX3boA65YoissLogcYc5J0OB74lR
OYePH4dYzo/TXYpqz7JNb5GV/fXnv/1CgviKlPy79AnNJEQ9ZLv7zKjnXwmiRDgMIoG0pey73iO+
DNs30eJYH9qhtQsxR//4t5z7jB3X81w+LgeyzcnDaofBFBjaxk9pQaoXTlImivRiMJvwkzP17Fv5
7UInayCKrbFJyiJ5ajOz+THDsEMC2QshDl0B8/CTr2v5v50+YVLRtAuCxclzuuLMRsHT0VVCd9gT
7Q5ZygB/rh2X+SBGP3RxpLxB0otucKBo1h8/0zOfNtW1a5qLoFewtv5cgPlowApJU30kH9VgTDNN
ww7cSiyk+Xp4dgFzwouPL3nmfulXTFdZgi/c0Sd1mczHzqvbUh/xbC2DTTCQ7YdZswwnwLLAZmyV
MvH9PjQCgTt6Rj/99vEPWC5w8sBRV/Nt0zgpJcTyTH5b0kBdIWSjzDvCghieIfYw/HFyHR+mph6P
RUX7KSHMkHObh3O1a+MRvucnB+G537B0vrx1mEEMEv78DbWrYXHiP34M4JaFGLpawZfc1e27iqOi
/eo5xNe8QTEXydqhThJfHbQt0X++y/LqbU3ZQ2OFiPrPH2GNqFqSSnpHAedTbyKfuJiCiVNU/YA4
6pW70kMassUkgfn7x+/g3M5nuZq6h81PW0KfnCk2k2MERZZ/9DDUIH85JgZ4bWJNcYtS20S9Ds5B
IihvEBXQOHcHAyIWPjIGTFJGEa5tXAQVhxLJpV7iXnCI6AuRmvEnVdqZrcDSEMU5Yy2+0X97T0mH
2ov0gSNYQXqZqID5s5x7+d7FTvn142eyfGun65Ir0NAvO63lnnwYCYZngUl86tHueQUbJWdGyGU1
iCujz4MK47hmCOW67IQXfXLpc8tRO3+9CBuAU54UEzh0jxbPwDvCXEQu27WYjA+poK+XObDn16ZW
xTtizvRHU4r0fsRWNt5/fPfntgVqNKk9PBZ5WydHPjnECv2f7x0hNDCyxw1gYcSFBrmpVoqIPkwv
fEAV0hHJez98fO1zuyBljTCZDLnMUk52QSJTO3Qcwj/Cgh6AGDld88UlCHvTYCYxGj/IKP879yvZ
dNn0taI//fPjm2WClr/0/WOCc2Z0WfaMXWMc9T2intA/IV1hobfQogNMdsL++eM7PreuKfeRGHsI
PtXpWsP+JheoAYxjnBnWtEFLkUKfsnRlx/tetvX0ySF3rtvhUriiseHzKVnLD/pt0/Ul+uXJHrwj
Qbverd2mMb7/TV5dkxq9ROE0KU6CHqFH3RJxMINAG0ZnbvqOU+STA0gsS+nkQ8Mwgg7Tsfk1nj45
AIae1Uzir39E+S4agC7tHsISc7qnCgv2y74qpoe4nRZ36KiC2DFa8V4bOW5bGYmWvKa8MBlZ+ub1
xy/lXLFFnWUJhmu2rXhefz4k7PJJPilt46iQeH8P6rm/TnhPTP5xC4s3fdNnOEK1Dv5XeYqqCVTG
u01D7EIuonR5dR//njOfxVL2McbkuGQIdfJJgh87Dib3xjH1h76lFSXV/decRtA1mIXVG9qF0frk
UzxT5C2X4zRCkOTp03ozQmyWdJPvHvsMPsPaMXxcWQN8X+ZPTuBzN7d8eriSgJvYpx2/gL1RwYr1
jmlEbivohDC/6M70E5IMivlbFmIB8fDx8zzz0YHMetZS6GmLqeyfr9f3W9xa/JDCwyB5w5iNctrl
XlhbhzBJMar4G1ezqdiJbQCgcE6+OHIHIyIzNVdDx/QekHQ63AaeBQBYkcLzN+YIts20W9ma1olm
5s97Y7LgM8WdvWOI/ukHBJ9op8qywi45iC4/vrGzb47ekJfHaNZ1Tj7fHuhkQi3tH/HR9C4NQree
UWYtHCKT6JYpH3u5+/iK516cNKXmdFD02ubJkG2siWdXJptX6ibD0YI4Dssyyup9Svmm1h9fbHlS
p7uTpB53QGBo4E5BkTkIRjvo2J2QTDXeJhF5ALIHtV5e1OSx3UZSVu2GaGTSEAkFB1iMS/OzOz63
X3MgKiGF40o8cE5qQ2cUXQSDFDlQX7nBVhA0jlOnBS64JSYxhgRMmE8F64IZ3j5phvQIMbQPt4Mf
tvrvPH4aI45Jziqon3+uLZ33sFRZdMdumrBiId+7f0xQLuX4HhD59cnzP/uywYck4yKXYdPJyzaW
uPdBDfrIsMpAKD1NepMOOIebJEj9nYspQXXJaBVvYffk1nCpMxk5BN5RA8GucxunspWLQd797E4E
lX68ss59OL9fzP7zOfYyEk6b+/qoc9Dd0p3Uyo+m6kJakcdUp9DVJxc88yhBfxjAK+5OKLnUfL8d
+jgioflmwnOcZInjrD/53yFhfSv6oP9kGnZuvcLLY/IGyoDS4BSxSSICCuOxpqusLesia2vzmhyS
wMVhss4vEO0TR6g8lF8YTkbQmLGPIBw3Lt8+fsRnanjJ97Jsua5iVHZyx5PjW05Qj96RESiWj2nq
ovNO2Dj9jUZclt5NYVRV38YK7tknLdWZt8ulKdI9xtcU8yc7cAubgMSTkQlqSyllx474NpB0tsYn
LrsRZAPefXyrZ14uX4iQFO0UzlQtf77cIsSRo/M944ivNH3KrIO7xA8FFg9Aqp8spDNVAaX50hux
C/N6Tz4TL6n8DDqdfzRmaHYrQnAm0iSjZXz88U2deYhg0Q47Hpg07ksnF8LFigieWBhHqeHSrS2C
cCH9Z8po9kRO5c03eG6z9Un3tSyKkx0f1MFjl6X9oe47qQvgvvtB3c4B6BgxLQ9hHuitsEYc+9WA
b/MG834rvC7DICK7dazSXx/f87myk50VqEVg7cG0dXnTv32mpNE5dTX6wdP/knYmy20jwRb9IkRg
HracJVGySNkW7Q3CI8bCDBSAr38Hfotnggwy3G/RG7e7CwRqyMq8eS5ScK3b6EwkD9VsNwG5Ucgc
NCvQH8giRYh0Miwxkj7NvtAVCFyVHklA57ef59o3QP/GpdvjrajObGLZGZabmaMEJwTZtNBoUBSp
MGfs+wmq0tgatY+3B/xz+Zh/ALK9FHu5EbF6pyf66wUgGikgrDh8AHfiYQJ+s06Cv13uBqmFZIJ6
O/OCV4RPhr9q6WBtThaAKCAncevm+yrKLQefPym0Rzow2nzjtp2AItDJIdxiVKL464l7Tye3HO22
eRct4pUmbLT0WZad8kmpi+QFlih5Yhos8j7Yw8Npqu+3f+a1aUYxG2AhO6RH8un8VwawYGoJzvId
r17fSRAwlV7/QWhD9rHvMueAJ5J46FPb2Xf4hKxvD35tt7ANJAoqd07HnteZyhpxZuTFwQkKcv3Z
j6BX4GiU1YuEXO+dsa5EUNYUibKAHZesgXH+Q6NWo5/VGvx3Wqm5PtNvTFu0j69dsQiEfHaagIZP
clpaDRtXqnIBDdmM78ziaz+YBBdFARRCZPlmszhwBLpxp/HffVhDa7umowvLQbok1NAa/8ON1kJJ
wygkcTl7pof5awJnGOdpeLRwnbfdaN/2pvmqF569dQcNTypfyd4c0NzA1G1a+3FW/2ynWNTVlTIi
5IKxssCKOvfu7KVXzkILZb5HMoFNhbzK+UO1HnmEtnP990IXoFFtpHHqLsfGV10A1C60hQoBC6iC
49x59VcHZhsno8k9UrPnJ2Fvm/TTOd47QK9xM5Y5nRqeb6wCXUlfIXmGa0R60c/bE/za6nJtkyoJ
8Q6crNknoJoLHx6kwXvWedaKvjuVegj9+ntExiDbEbbnr6NPpIxXRBuXu9ujX9szXfI5RMEE7Uz+
83dd6TX1zbjx3kfsYgE5gfy3F7SLWbvUlqFchkAYivXtMa8tM4JW1jQVXU6t2a5Zy7pOzKL13x14
k8UCT4xmyeFtq0+1tLSDB/TuKx0RFr0PQKawG9Lb4e32I0w/a75xk8FBsuZYqKDU2c/OkeqTs7e9
9wjw964jSGjQ1js/2zjs8tXtsa4ek7TukQYmxIRmOlvRUYH1Uqyzf5a9G+7zwUJpRfPMjgjTdd4t
jN+95wpoI53qZgazOHe2HtxbQ+8dcWdpXUufczT+37PM4hQDnpKPGR7ZQ2D1DwbMmU+jWwd7w+60
pywXZQRzEVmiHiLOXA0iTh1mo+N/U426pfJSaCvRo4YZG5l8ABJneXfW4LUJ6dGjpNuGQTZgvviH
wEtpPA/9d7jcyUdISxY8yRJx31JoeDOuYEZiQXD7C11ZgjZzwLVJdzgIJo3zRWAi0OzgxQYnz6wB
+pgYcplrO5FsMM3gnwbDpYcCTekGDmWt3lmBVzYdW0U/gqRDRfFmzqciU14kaDjfnWwSoctAM15U
ibkBtpMI+ktjyrOS20bUeftXX3nTDGxMaVxXdfnp57/aDhxS1CINT90kWC+AvG2YCTmagJIe7JEW
DOf0/xtx9lMB/0Msj0RwQt1bZBstICpfqTSzaWsNcyq5KLTG+3R7zOlXzFY6qSzYMRofVkVVef4r
K82paXjk9QIXaz6B//cnnyxQzf/hbWq01qnoJFQbduv5OJHRYtbpD8GJl+09oo+rvrel6URrSDyZ
vnJHz79TYrp2dQXDQq6BlA93qXkOoMMdwzUEdw7Pj/3VQDAOO1/NLIhRcF4jxau+6vQKvGUecDFC
F5ktHTMUzp3nmL7axRv+6zFmv1yhVJgmeKe+q5j5xmxiPZGwa4EUx9E8erj9Oa9NWkpqpENhB7tc
tc5fc9upPVYiUXTqSjc+TOrPxeCL9LnLsG3VlfyehOXKWYUQmkDE5JyySL+ej1e4RUxfXBmdWiMx
aDiNox46cdVU6d4Ohj8Ms8H+rgLgfUSpHYZPvdpiInr7R197wxRrbR7DINM7FzC4XAQSfA+Q7CiT
qoVQPf8omzI4mbVq3Pma2rUF8/dgs1/cdLRvtL0enWCZeT8it+3VrYi1dlsNFs2K8PZoIyBog99Q
eLn20ODQhiF3TwMOanh6JygHGZb9zVXyUV/SKjncq4FffR1k323y/Nzq5+epkZgGxtk84aCaPZSb
KnTNrTCaCC6VUIDY3H77V6ec45DUc6kGc5U6nwJ4klmIaj2Gq1A1bFIdy59NDwAYVh8au3Bv2u33
20Ne/whQPadrpUdSaLam/DAMAgRg7JS6h6hxQUePfcSIZKC/GyRwvutUKCoPDZSXfSY8GzsSz0mI
lVrwmQ8qbbXjElM8dIB4BRU/3daU2p1s+rWvgNTJxRSbTK8xl1pl/H7sLp34FNIAH0NDMiHoA3nf
KRVslDvf4Opgk7SKe+gkApy9DzC7jqhtJTppeCIGH+pRaZrNiMVksx3LMPt9+/VfWwIIaqilEa5R
eJktgbKzBgeue3zCkz1MIbAQuR8BdUHZvj3Qn+zifO+cqhGouIi+0TScz61EVhZUC5GcrFKBfJgY
OubJtqTHR8dstlwiNqT7Xkevvm2iuH/wjbhYIyXPMcGzyh307m5z55Gm2/zFI3kIA6f7PoL9WbRa
m3Vg0MAfnXAa17qHIR5asWmNnnZY1Q6fSq7N/it8/4BOpwaTFO7BtOhS9srDO9vetYVn/fUks1g1
bYo2NKQan9yvcVR1j1amlC+aH0Y+OhuzLv/DHLORfRsGVz8KzrOvPp0l3FfgQ+mZKP8YvMerMeuM
nxaqhuXtt3ztp3F2m2zphAtcv86/O9GzN9LMF58yMC7qoibSx5sPQzvqQ9RNzCUCRfXOZJuef/5h
bfKEZHC449KFcT5mj/GRruUiOgkSKtmz5/dJs0U/1r1YHneSTVRKPOTbAt4gfb19RpXm9o++tqwm
vZqqeo5N0mH2PY2x7q3SLsKTbjW0jOqu4j7gNtfUu9vjXNssqB5pLmVFexK5nv9QRbFbX2UFn4xc
6T7LYsD8NvU4i0QnTreHuhqDcTSQLaJDgSBo9iHVxiHqScPgpNdt8MXt4X8uiyrdGFiqr8qg7HGU
DTXzEe5x8rloh+KBv+N5dz7tdATNPy3pMWpBhLqT1vb8F1N8poKJyv00um5rrPsujPnRWq/VSx2G
y0Rhwy/XNWmnX99+Adcm1d8jz74p1pd+C5A7OKFytPVl0mfA3qEqG/qrnwbKVhnF8IhDmR8uoY9j
dHx7+GvryFWpJuAZQHpwLrPSUK+Sf21CFNpas/FA5z2PSZsc6P/Drwu2SHmvye3aq3apbVo0oyBH
0WfJUFCXVtsHJJlziN9vPqYVbzXOWo++H/W4YrnCiNZBmyrJncVzdaaRqtC8adtg/U6z/q9UnaeQ
Zy4IfN49B1bqB4xYEa0FWanue5zKHzod/siKbT0IgYlk1o+gA6y0CZMBc8n/8NIhhU+dd8z7ufZz
KGRIotTkFQymBMMkbBPtUwMDw+m0dkWtSb0zy66+dCqaU7bGM1HIn/92Eo80j6lpdJqsJ479iPmj
GxX9b11Q2F6MZHNWqgKH6j/8TtMhaWPxWy96O3pSooBjw/AUj9F4oo7Uqq/SK43x6KM6q1ZmrQHe
vj3mtb2LapWmMWGR0Mx/KQgQKJ5WF50AAtRfqriesG+jy6s1BBip24Ndfa2WyVC8U1LO07//a0rl
usiiytWiEy4otLkKzAsOxI8w1/PeYBNDtUCzPlUK4DK3R76WE+PSSgQPPxblh6ufD11YQY5tCkxX
nbpGv8gMDH+haY3tuksr8G2WVsBgDqTSBI85Cr+lBq3jBW0PhkambyqH289zbR+Z9OHkI3ksyrDn
j0PslTfd6LGPlH586JLQ3RcKDrabhp7G70k75ncOjmvfmYIrh8aknqZCeT6gr6Q6rdgGyRercPUl
CLuw2VEbVsQ2S7i531GIXdmmOXbhaZOhMGzTmu9aLoZ1E1HoZIRl7T62CLQgeTrBABBJjPXw0raJ
Xu/wjoeGEmGOWGxuv+Br2xeXQtubGkBJOWmzJexJSCY6znvE1Iq/SgwH3wm63eGt+In325OVsjZG
zX6yTPy7RzfHNQGpXXdnxl957RzSJhINPjUy7tl3dkx4KBjEe+96Vkfu2tEHM1jhmKaXG1cPnf8g
nHAmcSitWtzjyNWcf2Uz1PEtGFJUGoHM9zZ9GpsuLhpA1aa+ajRluPPzrmQrHGAUJNcd2yCCn43X
0kKZtUXnAkP21JdaTiS4oWuk2CZahyOUF76q7aAZEDl8fCC0sYFCfftDX3+EKVPCATGpJM9/stFa
2Owk6CmQSLZHWbppsS1xmwt2utPI9iOyVl+Bv+F5h1ChCXAbl1Fe7W4/xJXljEDVJEXA0uL+PHsP
TtdZcJ3Q5eZpX+0qVB2PYGfwiPfp5tThgtzZzq5spFMQqNGRTgMitavzH41tbmjgVeO/12zp3+tK
Jhg2WY6Ky0GqFBa2grAA5VMP2ya6s3P9OW3/iv0IFilWUq6a9hKkn8Ys9hvgMLa+FduHDOkbNm05
GPjkRQ9a0ImL3qpLuQVojQ2W0LqurJZgZyEZea2ffldIselrBzl/Apk4MLsOeO1YjyU84mDEmsQs
4F7YcVxiQO+CMta17e0PNT8HeHpOcy6ZlIFM1IbzxvChw6vIMUf7UGOE8Uq/lBevB9MEFGHG4fOY
2+Kr0pLSGf0YvRhokPQoikKeClOP6zsZjdlXnJ6FR+Ar8gG5p8xzfe2gWhko1fCYBU6twXwNbHg4
vfZVVqHzBn8SPQGA3DsKpNlcZVTy7+i56VlDE0Oe8XzuZDHS3VZ23cGVmf/Thxj4EVIFSNnJWhu2
XmfK4V6Ob5oT53NmUlaRbmC1OSTG52MKjBjNVlUPA9/Ge8AYacieCjPPoI1nfqq7co2bkb2FeyKg
XHq9nRZfFKBT42rwZFDRQN+onf9vu9f0JlivVOU8jihKorOnKkZcmvqu7g8Y6a4bJx3sJZPjQeqx
aS2BW2eP9EE3k/YszIxdOMA5uRPxXSi8WcBTY6SGGozYCyHW+cdInCZqMFfQDhmkJmhhRRfZWxBj
o3IypK++jk0mM7ioXdUBaRvqkC4DVYpHyNCU7B7ZYzBhrYeI1vTABfRg3tlo/oRkf305EBsgGEix
oA2gYkwp4fwBq7xCgaE29iGQpTbGj3ZrezUCgTIEKiZpflb2ZjV0/cMYuvgaw8MYOdXiioP5oLrS
6zZVBXts6WW9gDItMyPN3kD1BPUTNtvZw0QMlL8rwxhNsGAKFPRlPUhRb5DJSX9RtW2swfTPfN3v
Se5WzZvo6XIoN+i9afZJi0Jxm5UeKNpOE4MlN70G9eWD72GuulGA28HELNxuOLhlZUtUdahZ1ph0
h3Id00mtPOZ+BL8ePxr50eqayFin3OVafRmKIW5eWs5081Akf+DYqRJL+zWr+8FaZaC4xqUd0jq7
03H94OKZqMqRp0pPGrKWCV6KDGpppTLqyFklg3hsy/5lVHRTvGIKguXxnek839umb0U6iaaUqUmT
bzYFI3+F14WSq5lmNtpBlrLbZ54PATYcBihFcaGJZWbGKX5/aYIpG9Q4f6X3krwTNoYbK8K9/uPt
rXYeAqrIqAk2TYeyKtfH+RnV5NIMWoxKj83of5B1H+487LmXkn4A4m8/+e2amb/TOj+/s9tcHZjm
eDJOLHGCz/PXoEiz0PHWrY69Z4Y7NY7Fwslq2IXIO15jd1BOsPb4wwoDpjtxwEXUyY9mc6XfAHWD
My3q87Gx0WAu9EN4LDC/8FbUtGMPniZWp3SHgcK3Se0ZH6NOA+GuFtFRcu19T71Y3NlYLt8B6S4e
BqCEZZH+mt20FB3AWEzh+tg6zHTT1/SFlophLzpcn1WzjL7FJFeXKY39n29/du1PV8r5ljF9buLQ
qV+Iqvns/atR2teY9aRH0spOSYucgZHips8GVYPHh3CwWORuyomL48+kPfHMbHyjuXFqIxqwPwxX
GLrE9PAqnW7vxsqS/kFn0+l/91WKh/0vMhGefB46v9S3MhYy3DaBjkFB70k/3fdkcbnDhvgGL+yi
78NFOFaafqgwrHiCPJ2LVVqzFtZNF6nPwo11sGGqChBXU0eg+PiwBrTRIgOrMIgM8THEey/vNl5Q
YUMPISNp64+ER/mrbQzjV599yD/Qp1Pa254EWLbusJDzNqWpxvW2xu4WKHdjAyEL7VZ1fowY9cJM
GMEePvL2sK0Pm0ry3xphbL+Ccxb7LJatsh24DuJMomOOwKvihTWPVYM8bVXoFNBXTodYdylq3Ybf
Z6ZO+RYqQC9fkU034kn22G6hCtXcJFjkVudrGdBWEUX7uhd9snGq3j3ibu/kuHX4FW1sOPGstToe
+y+WLayvZh5htw5Wt35NcaOzt20EthyPnioUy1B2spquqnLnCswXPktzqHb4GsX44NgQwvBjJdBa
uAW6wrUdawmGuxLz7kpfoqoz458VhFoNDCptZNk2GEqz/ErV0bFfKx2hyKsT1xhGGTmaHGj6Hrr+
mrjEWE6XLFzlS5mpzwCGnbjcjHLETqcSLYcMWnQWVg9HsflS2RpXIFJb6ZOW+4n9Sw7Cfc2kkJ/1
fOhhd1vw5VZBlhfeCsAzejfMWbE0wHFzl/QOJeEl9kxhvQRFPKCvT0f3McQBetiiuc+/5l7eABDH
7/Id1UPqrQbF9jHWSo2sXOrc8Kpha0PMiU+5gdnWthiLYqBddOqirXK39vC0sUJaFQYpAdPit+Ol
D4PRp+oD8M7ue5mKAPKfY03+sCZ3rE+1tEdj3+JM7mwA1SglneVN54hdmcZ6vCSJ1z2hjHTMt4Yr
FxLYgaabaGVSrhs+MBFS8a3Gg9l/8Xs9lw8KVjMWqnMlLrYOGFwcaTWZiCc6YhrrI9fioNuPpYoc
putD/cc4DgmLS8J3e5Lo5KxkWVOqxIo1xBp93edmsRWONDXwnCNF0Y0dhfUD5j8ZKLAptCCuEY76
qVdItKww+kM/uqh9K9/Ebq334kXkQhbK2gIBamB1k9QHvHFjdHBji/6/TYTi35EzX1TDVDrYpjwb
fWxE3xeJRQhjeKljdHSksCiNpRKneBXlbmf96r0uOhCWm0B+Vafm0mhnH+Hk4G6Dbsz5NPiZWDSq
sO7snpf7NskxF3KdR58OvM3Z5Uq4ak0TpWEdmG2jBrXa7VtMcuA8GGDBI9uEzTOI7sUAlUz9q8ZM
LPz3M8xiYJP6E4V9NOyzy6WNJCm2+yg6QiUkgsBkPPlQk2x4MIGDvBmdau4sY8BrHiPJQ+8p9VrB
guvORW2eOJk0LSjNicwtSpUcJOcHKdX9PvWoHkHHExioL7MIBdvjWFWD/wlenn1Pijm7FRE7ISsn
ccIsQHihz+PcVKj4F6djcSStFR5yKOe/Gh+pHp2Z6Qf8+zTj36M1JgoBNTJI9nmEmOe/sCvomS2N
LD+SFsOVTsFjs1+3Tm4uKiBMzkprQ9d9GUr5GePSeNtNXRmcITbaPSs0X2+f2pfzjiVA8Qo5GMc2
M+/8YSBhjF6hacVRVjm9001R7lkT1lLGY/EEs33sMd1lwUpwXHfixOl/fR4uYLRDJwP1DeYcoev5
0KnDAZoC+joaFHZeutZQV7202m89kunJu5bLH96Tx9u/98qgGtpuSs4k+EEEzKcXphdZbUcNmXU8
sOs2d9cxGf/9QCf3p5zk5CNAW/POL714yZy33DWRGWM+A1BhtrgTZ0ilVaj+MUntdiNEGn10Udv+
oKFXaIuco1x7GqXmf8gaD/Dl7V98ZXD6OR2mNk2kbC6zL6zUdo7muovf8PNKxxXmDOUO4Ji11YpO
3TlelNc0dBW0P6lILe6Eo9M3PPvG+kT9Y1vhTHZof5ptKdCHJSTaIn0zrVBuakXlyxJr7NU+LZdZ
1SVYWiTGBwMyPX2SsfZ2+7dffm0OP3I904Wf9/9H/fLXxSjFjrAS2JQfXM3v401qdeGwh54bmysQ
A8OKbrOOD4DV7r0L/uW2YiG2YIkj8kTeMVfppRoGVflQxMeuLYPXIooJhEC8gYzoo2LTcqG919/6
J6V89q7J/5L3pvqJzgPXo9kskzbNjwLs5yGJYCzTbJobpJVsF45/QHClbevBws/GKKSxaUoTZdPC
p9e3eee8UYp94ZZTSNYEefkI/9yIX0gWEZf5vj6+8eS4gXB8iTGkj2QwvJ+DI1okWMnQw4TRfIr5
APOjinD+zgS++Ih0mDosOvIQSHXhgM32iQQFlJKC4IqTKD0awlF2qCJHf62XprWLk87fd2NV3Bn1
4gPCVkInA5qP1DLLZzbq6BklZs6meSx9xXefBuyO9z7Yp7Wel16yo4zQ/rg9WS9Ovqkpboo86Gfn
/JuLgbDozNHABcMRjw/xsS6V/Ojg8rQNMTG+sywvXymLgdlCIxGSLyKg81caAGqnaOsFb/g/Vu+5
1L/IyLWfMi72uAD6bbLGdfYeqeRyI5q+HiWv/xVAzxP2ldRgEDeYDEe1ETxxT3SXqlbmhJa+9WKX
jvNUgppKF0yle82Xl6+WkYFEIXsmFXah6hr1Pu+TtA3fcrIyO8SzaQS6pQo++NX9yioql4tdD27Q
1JlLRIHmZr74cyYz97bIORJRldUB2zpZss2P+D6vPV2Y9S+MlPzu42i4Kp4QgSZIOBL2wwTP275T
F1P0EC7qptGyja0Xyk+3xLl9U4M3fJUu3Xgbox107NmUOBKk3so+fCzdpIZNRNtag2tO24Q16MPQ
L1eNQ5l38nkT1YOUWo71GAFY+wNmvZe+wJosVW52CYjvD1ShXSysFaMwd7iAZ1Cfucl/LkQkPpUx
3oVUwyO0fvRwBCPqA7X8oRErJ6vcRppBma02uoXNtvBSV63rrwjm1XiphVn1y63NATP4ti6aZ6up
lS+xZXbti5b09eeQpoQTLb/1j3TUMCIO+np8tS3hm0s6tq1mr1LtOZq9GH9I8m9voagyjdLOgFd2
0/fwzyOwBe0ChHD4LA0d3ZZU0yF+bEScH1tfa5sHOrlGa5VTk1gisYzcR+zPumwB6Ryun+m5UmBj
1Y/BDq4x1jEuXr2fS8xlvW0b1MVveIMwT7AlrOpt6qoyfMNDoFB+4dxR5q9Dm8QrIuW831geLe9P
PgmWfRBPTsqkdJvf/GPqB+Jm+cOzMXdYmw10U7w91O6TIodSf8+rInusak7SR99qDOxypd/GqyHU
2i8Gh0i+jrEbrhek7mrMa0jGIqXHaIK7AH9ur3Sc3WgB15M8t18GPHppB1dhB7+63ND6javmQ7U3
yZdEn6w6FuXK54bZL2sNoNWuR4ZFniLEZGFpmfTkwBMQoEFtNc8XLdZ81MmBULTP5UC+ZmmPjdZ9
dqwy8R9dtHs6ptm6H43JkjueV3wVuo43koUn4efWGfxkhbK53XaDGxpvfY7b8cLQ0yrexMTYIRJf
LqyLUEfhs1R0f+yB3+fuySa9Zf/AUwa4eiOz5lMZgFZbNnrsxE9QXLIclxQNmzXkCiJ/yEI/+tYG
hoKrbRAppA86A9ulVVfI+EfADe4dckv5VaSZqBaKSleA9ELPeomjwH1uqtHJ1qUvfedE4jsvViTt
Bmcx6oWfrRzmf4jdpTdE7x1mGz/Z/Jv60FoSCzYlieJVEQrKBS2bW0sTaEM9LKLz55TGdqO+Jg1G
wSiZI9s+uj7p/n3aCLJcVeep8BkI3nB/FgmIeXwogBZidYBJ8gf0GX2/8SaXEPrR0XI1CxRZoVzw
qAP2HrageIShoJIZG1oasKXx68kNBMyqgr9dl2BG4zg1T1RHo2E9x2HVnKpMtj9GmhN+poi2cOni
0/b7uvPqr1j79tE+8zENeOiHDD/AcbDthYkaFJl9LfCvU3ufQrmSZ9HJarNa/PQrtzFJQ7S0Aeht
rP8ozab3d6APvGyRCq4UK1RxToQ3BhXBhx4DTBxIUinMQ+iVhY0OtZLND7/Ge+CxQ2g+vsWthSkr
RtUNMZplK8m2THpg9npTWJ975qO1LFxOi10yKD2FxbyaWPthl2ziIoqKpVoEPV5oXDl69gZcUlYq
HX7mAz6xcfDoONi38gZ1GsLdWOg+WcM00laNX5kvOKE4GCzFmBBGG+Ijm+SkmRYnCu4RLZiWL3NM
Jxx0OV9G/v/DWsGXd5NNXcKfGsNv2+fOJ4VH/5CbVdte2OBKzUC3P+OtinOkb1bVc8tbba1VObR9
8mTA3x03ejcpUEyAVWLTW1axjnFew2nazPDjcieUxdGzW+rb+MPRwrLssYkqVhgfKvUiywcUvF2h
l1tgrfmvZIjkLxzFsk+ASep2h+92Y8LeH5x+F5TqCEsIZwnS8I5Vfys68DMvqhE5HbEUfClaHQsj
fBwaFUNW0pNpj69UX+T6VtGGyD2ERV/9zjG8VBZOmiu/lAqixlPbela5Lg1cZe+EKZdZdS7JaKJg
iHI95aI+C8Kc3Mb1LrH8NyvPgNeHtNbz7B5VxEULiyzfSMw9P+EK63w0SbKGNATI/ANmoKZ1p3h6
mTKaHgVJGLEZ2TPwgOchk0ObiVHGnf9mZq3cGMLMXvDFKZaRCuiIHHsWbXQNHKYMVP8LmpsUSXVl
fMUTRjsW7qjf61298kCglSkhTtoHSg/zhsrBIBvpSjP6qFWBtVfJyH1pUw/8WmQNWbiMgzpalZS1
CdH1cXgMAvw8V4k3+u+WXqjfm65It7cD2MuoErbs9KGm2iq5hFlUaRo8TRoMxpFCfLCvQysuVtAS
sFu2hvrY+QqKzSBv5Z2EymWkzrAOCSMu2Y7LXe/8y4xVLfQa78CjpNcff5kQhTEu4C9JOooX287/
9U45bcg0TNPpRXrq4pqF4fgA7Lk2jopr118x47bQu+Cf0LuCPG9rZfWuLNX0X/M0lM9tJGMk52Dq
cq88/5F50aVajD3Rm9VyH8DdpDQ3Ri66D6iLcAxWgGAtGgpbC8sDiHpnHU5v8OxmSaGazjYiZ9A2
U2P++eCRYI5bonOPrSwg/tG8LFa97kXLyrBwo28TM9pBf2yNZaExv6T09XtZsyuPgFTsT+sy0glU
8+ePQLW+6jsMM9+aPlEW+CkN5KQ0cDSLoPQKqtNjtghU6ZwwX/YwZEus7k7v5uU0Q/lLuzbYB/Sh
xL3nT0AOR+2S0qnfuGcYW+p5slngaWU+YjWeHWuwVZ9uL6c/GoDZa3dY3dP1F9oPJdXZiEXRFLHd
Ya4b4EX0UMvMfQhLoJ0r1JJOky6sorZ/BwmwRcoLivIYGMQiWqZWlN2x96GpP4kTa5lGnKNrqzTF
L82pJgqu9HH4tLymVrc0PMi9M0TiXn/t5W6ASHy6PKPDg9sxvwQFtlMXqRZWbwJ1ZkG03nrrPtXc
hWLTUrTGAq1bsV1U6Z3t4HKmcF2nm5/ED3XYCyacV6n0fDZN8WZgg8jFBndtsW1aNy0XI01UxJtN
I3U8hgZ5kklbysl6N+jvPMXlbCFxoFtTCoEbPQnH829XUvpKZa7lb2Otad9Lxo3ADuPpiq+astT7
UX24PVsuBvSgXyNMR07CeQAMbzagWuPE1/v6m4Y97HMp1WElI9N6pPhXPhqx293Jj1y8ZpiME5qW
jCKN5pzS5+NBXfHKSgtTqj5q1SPxVNxvWDrJr2Y4Wnv2qtNg1cYub1X1IQE/8q/acCgSf3DE7v8O
b8yWozfovpW2+BkpZVSEj4kfVemrU2QuHBwP9dvCKazQvrMHzOc0g/KaQXcg+COhOz/hsiCD4pS6
7msi9PFn03Br3tb8qb7VVY6gtd2Lqt0YUpTVnVNnnjxh+6U2QaWCrkxKD3OJB949iNWwaT4gYPG+
+42wn4t81Mx1DLHDW1tjrHzB1Fkxl7WNcdCdyXWhMNEm7jPkUfoQkP4hjjv/2mj18OO0rOCQZ2X/
rdcVez1koyiWRp0mX1L8BbcekteDl9OY22OT+qlou3HhEoDfy11dBIU8C1WDSc087Yk06J4/i1L6
dKOiCDhoIhoe3UIbMAAHgOmX1fhkaEFlL1rPC/zlQGSw9d0x+dxVo2/sbi+4K89B9MkdFPkrr4Wi
xPlzYBVntJL0+mHo1OyhGgbxYla9wz0QcdKPKnG1b47Z12/4pSm/SFAGa1y975wRl9PCJq+lshCh
DVIym616L3GjIE4769BCas2Xdoan8IpbgvqpUhtzWIVmO3nDO1FmL2hraf+1SWXiMRGSkLhE7aOa
zizka9MR+HSp9ofGMAQei73YjE7rLSE05dvUkMoDr+jeyTK92L/PRQaFeMw5h+KZ/W6eKPUVy+gK
EbSHuhnhQNl+5hULIN3KA5mdeHv7M8/31WkY3i2xF2WEaQmcf+UIpUJVCk07uCq+iAvawchViNr/
HU02IwG8rH8Mtv4MiIwErRgies6P8wFr0dcythBzmePo7fpuzJ7tEMuxF6Qe3QPzOPlM9dxak8N1
WGFjGrrrf//J7OrEWTSloqeanV1mPmh5pZbqYdT1wN+Q8+qGl6ANtI2fRTDmU2qT6Z2S/MVE5jWD
3+PtgbCkwW02ZoSmRdTJoB6soMXmzGrGekdqBWcB1e0cY08WCSt04ftiaeZ++PP2L54fZrxz9le2
NdLEpuHO2U85F3bh+IVxoDXDsxalEVbvBU2r2Mi0otlxesXbLCRL1UM1WOKIoNx55RdTenoAKkVA
CFnFFzBLig2FOig6BttUzJqVGRWK+YA9pbKoPPikd6bYH6n22QoiZ63RSwjcgEbfCzJeHWY6OSSU
8VnsUQYry86yx1WTm3JPDbTJt22dYE4tQGUaqz6yEWTmVtIr3xGwGAYZ664zdrh7AL6NvCjZtLj7
4qXXmSGCqWVpFrV4amocTZw1hJ9wQ3UR28o8trikFU7rYstXh+tB4LtXL0YbLSs+gpFAh4tvMynx
qCg6e1n3bmStemu6czSwmj5EXR839y7208yavwtCevT7U0Bjzr1D6i5qcqpJ9oEee1JOXX6IDbM3
aRcR5iqHH9gtwyh1ntoISlbdN3JrFnb2rXXD4eQFWrdFNaree6hpV5k91KRQnhDDcIapm5xvAqGp
dzjXJuNBy0h2bzHYrLw9rqiixXbRzZQtL7wgy9hppbcuGl0Am2cXi44xHEXlznS5iHoMPI7opZnq
txAq5uwu9HZhNfb5eNBp/UtXTh76q2jogR87WmGt6euSgMHBV91elNeG9VQ6Dgg5dK5B05ZxVrwN
nNbUc+3g5JFqPeDcbqNSz7FaWZZl0Sn7GinWpi6b5o6O9Mpi5DxD/8KJ5lIgm46EvwbuK0sP0RKq
BwRwyW+7csdVWCk0sMQs3PLOr/yjsJh9alrTGJDrNQrSOSGKwy7zxrFTD34zVl8CxAntsiXQz0j0
peEKCcQYPyHcl6uwLRx9XQaSgoWWxdWDhrp4j3f50L1GnWqfOsxgcQZXRkyHe7Dlq8pu4mEtC6oR
by3S7HDZhPBOV7nrlLtotPpukSdF5q1MGaUY8lXdpHrXhibCodLwsOK8/Umv7PLkqqbCGH2HBjmb
8zerxYbRVl1vHApM69ZpIuylbZSqu0AHXuxIMaf/w9l59UiNhGv4F1lyDrfuND0JGGDo4cYCdnEq
p7LL6defxxzpHNrTmtasVtq9QEt1lSt84Q0YftLh/a2ViX3z9th/4KfrhQaE8GeRlxBy2W9/fVYb
rF7etpH5yQiA1FA1DfKo2bT+3MvjBETa+txiKn0YvdrSH0ifYa6Tw4kwp+R1FyezP+1ipxucXaJp
TvGA4evwIc9L37yyIy5EHDwyS7GDHi1No1Xab8TOHNUlAYCcPP0ZZ/AM0YsWFeFC00S5lb5MP7+9
NMtt8vfKYJ4D5I2NTpt7YU+vViaaUN3QjQIZdUuA5OQxFouZOV5qb4+zPlh/xoH9iM/VkhSvCxqR
5VWFR6PnWwsJcCcsWYY9SidOSA+NQO79g6GKiJoK4eLCID7/3BWldaNyNPShaTlu8Fou7rjn2j0m
YunX/zIUewuSC9fjGmLjCb2RZcNQk5PHB38xhMckWPuqXKu/Qh26tIRL235BLxIyrDHW2E41QdbH
iDZGGDCltvK3EhzP/ZRF2f79s1qU+uhW88GoZpwvoIk8Irx25X8LpPXk60gDbTGwLZNQj+L6+9tj
re/6ZWfAFkDqnkIj+czqyi1bskcwSto3g7ZxjeO1XVt0R5OIViy6IMe58c3xFiwDuPG3R16Hfv87
MqRJnhqyynVm60eloGWE7CfOu8PPwOjrD8LTfxYAZr/Oc/cZFGtahSJqnzqwMlde1vVRZ3DqF8BQ
EbZh6uvkQoviqUYkDzkFo5XHDCie3JbY0+cI/mQwXrIqM//DkEDBFjFvHTmvdWShd72e9EmenDpz
rv8pFAQFfUIzLPQHpT91RetcYQRf+LQQwGAvL0K5r+vltTMOysEu8VQPtryP2r76UJIsbitbs2+i
pLXQXbTsKwWL1zcaxmwW60pcx7BrletGOL6seh1db7/MniLgVn5YjqP14+3N82pu7Fo+nUm/A8ln
UsTzI2JlOih4J6lPLU7Yn4PS8Luw5wGhyDhZHW7mlp+GtE6vKfBfG3d1t5k0wkcjNqvTwmRKQ1r5
kPqG6lBoJfQmL9VVOEzRlTV9tVmXydIIwF8XqSIK0ueTFQR8tJes+tRHHqgSoTnbDj3tbdl204eg
VtV7rzrGQw0BQgkee0tB93w8A980guO4BgmQOD0uJ7zLYde5tfYhRZ5X7N//LXkBoVJRy4FAtLru
8hT1AW/Im5ODHtI2T4ZqW1lTeZNLRx6qmsYrLXjv03sH5fyTacMhpnhCtfx8jhOUhcJ2xurkO2l2
pKdyRyGzTUJ3gHNRNDRas2SQV3LtV2/IcukAM3Nh8i41tFUUNkQVXA7Tq05GMOjeNkHR5In7hopx
003X2mWvTuIyGJwsPiWiNYTz5zPsU18OJnCCEyxLZ9x1eWyLEJ3s/N3KXecDrf0gcrJEfIFp1zc0
I55VVdWfvBphzbnT9PdW9+G8U3aG8A0Rm9LQui/NzZmhpzXUJ6+u/U90Ecp9Shq7ibzYvM1GX13J
B1+fd58P5iHchQUWDMrV3hxNB7CaFZUnVICCIzT77Ij924SOpcicO69qtU9N2u3e3pvrYH2Z5N+D
rraJgfc5GiRZdQLHMd+zMzS18dCeyXf+JEH2NCL+mQQ0I/vCia5crJe26MJptHkW+Wc9YassKR0P
jK0scFthLOhfjL3muVs0+cZvb0/00hYl1qah8Mddd22eEvmC4mbWVSdHa5pPlDkmYA9VWcbbt8e5
uKBAdHHvJPUB03p+FEzN8rS5VeVpntBVCwoQPXEw/yv16OdYeTrNY2ol6IHVpbhydS9/81mAv3zK
/x/ZX71TzdxTyFOyPEn26/OCnwndudD3uKXUN0L1AVDEeqzD0i9FBHtMaV/envrrt4MfAHYN6vmC
o1gDsW01BHWdWtXJHpw706ztR1P65GACils/muV7w0lUNyibEIkD+1wEoM9Xug64tLlncEev7C6s
dZCDofLR0OGiyr94NEjvhyzyrrwgFyZJO4IMgLGpWKylVnIckMtA+eUJVwvvLtWr6IA11kIml2aC
J4E7X4PXXzgmfFYkopgjr+X6HqrwWx5LA2f2Scmo3wCTlIde9aYX5uANr2zfC8fk78H+9EP+yp+b
epBtVwTlqay7fDcm0mxuJC2/7sq7f2GzUoyj+rgweUl0VptVFSkBQVoVp9aqG2ND31gdDSXbX4vv
wKnJM63oQxrvlDpkLlv/KdNG/ZrQ2cVvCZOX0IOeG7CL8x0kVWOkaBXxLctowhkln4HGR/4NAcl8
mDvsJd4+IBe/JNEV7VTGfMXbVYaGd2JvlSco5w28Km65sEVL7oYmQFm+NwdYjgeMJ+TnQcqz2OeT
M52mi5worriIKDZNSTU/IQaoHyUKco854NErx/Hi5EiwFiFdTsjaSNzw4hFFByZX5b28H5UNcq1W
Q1JutXQMrCvH8MJjyctBNX9RmjJoz53Pzq1NT4o2rUg4aEzDAvfBK3v6J8NXClRxMO8iq/V+v//7
2RDXEP1hopRJzweNXb3MXcQtTpNt+A9QqvTQoo3zvfSKay7Dl7Ym1xoq4ihXwPRe/vyvc2hUVtZA
ry1OXZeV431hZSlqBqMypgdi5DH6rivN1q65RVxc1T8VYJvKKEqs56M6lRyCEpObU1br+hckcH3r
0Olj/tNoTP9LE+UPOGBiR/X2sl54Mum+QR4iM6e2sr7gvM6eC2m1xUmP2vRrkE1N2Cmz9rf+kNIz
iEp0AZE68M3qJtGK/Fq98uKkKQUj04EZPBfB+aSRJqsiQ9OLkxCAzCPoMmEfNBEYlk4aO5XMRhaK
3qqvpMyXzgsQDhaayhXyIKsvTI24S2rQ2MsOLo5A+cVuUnr8NQadcKX8cWmGiwMJbRtuOs7L+Qzx
m7LKpI7LExAe8aLlBpI82pB/nCkUHB2KBeMGDYz6Co7i0mdl+y42sugIAdw7H9XX9MhCXVucRmDj
m2gCN0kEFH8z9BbBAEjwO2XZ3a8cgMXntzfUxfnSyGUzUWF91bQvZwmGv7XFqek77wGXDaDSmdMU
YQ1Le2vKot4GTi2vdBQuPGlcLItwJKOym1dXkux1qNFpzHyJ8yDRusPTEMcxYiKWAAXV1u4Q5qXi
RUuCyHlKZO/9fHveFx5vomjDI0hgL7/Cks15b+hRwy8ozdnPbuH0Jx8QqvDH/dvjXNi6jMPLTSi9
KEGsvqwJ9kA2Hs7kTez5yKuISamjnGVeIWZTlfnNfxkOPwX4/wiguMu0/7oLKb+YI6377ITwHTup
qrrEvHcjOwIOWFQCYNf7LyTm9/8Drr4kogMuqbKbnxSX7LYNPMDUSgvabzXgy43s2+qmHNPyZ94M
88e353rh3ufIAD6EEIGlyR9A8F9z9WQFi8/Dht2KO9+GZqP8fF/OpnpugAD9k2eFc2XTXDgsjAgC
gOoLMrdrId/Bd8fObu38JBuZfNCtxLN3KXSbHylFid+l1gehqNz+Guz70mn5e9jVW6r6ptQMW8tp
r8ofkDO9u9LucrTNqr75UUfyDu3ZD3CI1G0Jmr3Z/ZdlXjDVBKC8Pdb5lmpLkGUmki2nGfP3E3rJ
d00RTz863Z4OducNV6LdiweGuhNSOYitkhueD2cCZUVdKBcnV3UIulUT0UlsnLTecK4hIy/cujC9
ASshg0bff51/GkpFZYBN9SkQ+m3U1MWtJXGnDFstVocUQaoKIkXk39bx+zXcrYVk/n9DrxPQAHJa
OrQNEkky6/PQawJvF2i2860jAryyopd2Lc3UBaaNazXZ0fmKOj2lbzO30d8oVN9ustns+luzEX27
l5qHX6lmNhEtJ8OZ/8NtRNWZMtdC/HtFMyxVHFAWRameszTdjQ7mVT5mBr9s1ar3hwhL4RlpyT8S
wesCSZTAdzMSLTuhVS6PfjO3xx4P2E+iHfuntw/EpR1KhZLyAdW7RWLqfD1h+zr5lCX5KXWL7ODP
OPeMubIfU4+H5L8MBR4FgDXTW3e3vJmNS6ucC2duYJD1+WTv3cRW/T4RkOv+w10OyOn/RluFWd2U
jzr0tfxEux8SkarRa3gwogEKhciDsPHGIgqN1vQONUbgV0KgV/BBymtLv5W2AVcNgddqm9Jy0fS4
Z/RCEQuixoNA1rY1TbTKAGNg16cj13JPBc75XKStqyNyU7S3ItfENd+JSx8YlDnxLXoUwM5W62A2
KHVmTVaciqEd9jSHvDved7lznfyquvTFsRwKz2iG2ktF6HwzuXlXe42hCZ4U6K5pgcrbpoYQDNih
a9r3f2AQbGA0qdSSda4Ley6mBgC4/BRuaetv3FwGD/6YinvhZLtc9fY/KpD2c7fw8rdvb+QLdxCZ
IF1TdBfAgK+Vqx2zIjer2+w0pG7zWEyJzLfQyfEk/jU6om1ghSbXcqVLYy7SZ4B18PNAg+t8aTsv
nea005NT1KrpAXptMh5qXKz8zWjlUntIg8hEdGFIvOHKbC9EJrT2DGTd+dcSHp2PPGOrjWfWlJ6i
Ovdv9N6QWoix63iTdbJ+zFBUvqbwf2lEcl/AHLxlPCyrbSQKs1atHucnXNS8XZzZwYfWrGPMLeP5
WZTleHz7e17YtnxFviZpN+T8daN2yt1sFL2fncbEM8JAH+ttbc1Gvpsw0rwGfLo4GHQbsCoEerxk
58vp43g8ApLDCohEH/S8wun1tgRpUn9DPMOa3hvlcUDoQSHN7VIPekUkS1NgEaaBCUk5BGTQvbMI
xFWxVQugZnmMP685CQldpPT+eXtVX+3YZcPwiNHSgN6E2s/5RONh0jWzC9QpNmiEgybLchW6mptg
95i6o7UxyrnbTz3uAm8P/GqFGXgpD0FoctDsWxfAstL302oshpNXdfKhqvrbWHWzHU5IUb239sVZ
5KrjnbYBEr8q7AHclVEbJN4pt9sJX1V7fEpjTAqCHn7xe2fFUPR+uXBsRA7WDKVGDgC6jMw7KXqc
w67SoObsrMQZ74oSjv7bg706gcu0OAjEyABscHU8/3Z1BjZlzmzx4vtJsovbeP5tD+70LWn16iv7
7Gr0+nqzMDmEZIFGA19gjucDzrUlWtnl5cuQOMXOli1G63MRFHciqOfvgzWMxzLLg/8wTbJ2aJaA
CIBkrkaNos4tx0AWLxhlutuy1DU9RFFDhDUywjfc8KjZvX9hgffBL+QrLZvnfJ41JzGj6y1einoe
whEXsofCU/EDAojlvq78a5f3q6yAIYiSkamA07KQW87HQyuuHjTIiy8jbibUmVJt1+nO+BUgqNrL
JEZTscjHjDQhiK4h+W3+7r/6UlAHqKzzUlGNph8GnP987KLMEhMcbfa5NhCzKOdNp66E5GvmCgHN
QlkBfLLQZDGRWO3Txpk05baW8cMYm2mPykL3Qk3vuznNOhZqVvJSj622z/28+wporb3PVPtphsP/
5e2v+gc0//dUuWfQmlsaKItcOf3386mWVQckRJ+b744pEFcJLQ0J4rvYSlS3MKgrYBzV7NrpDp9c
fdoHeRZbCDNFbTZ8mIU92zcxTs7qV9cB3NkWXeA/e+gS//RyAFz5gjoZ+6OWViAWWOegf0Rbsv23
h7TzDY0/HYqyvcjH1a5Kf12Z2nIGzqfmLOJW8EJ5HGFGr84IGpcDUphG+n0c/DF7BNLQfUeZwhkR
+ozwfJg8Pd7lHbKHN6nV2NaucUddWLsyLcV8B0rcMD56qZYIuLvekGynMkOa3yzSuT5oU5VHj8Zs
G9UxiylxHK0R6+ljXZiF8SnP+UPP7S3nCkRidbvxyvOFOPCYGPHsE0Oef625bfXI85rpB0jR6gko
XKrCwMix6TQDFA7L/kqBkDLOehEXz5GlObpsWLbp6hjW6VBqAh+h745Ia+egtRNpV4hBQuPeGtpg
2vceyBfjAV2Vdhvg9j3tnKgyynCpyhR7mcX+dz1JNGMbBbiphkE59f6mSbFB2mdaIssn+BV6Hg7V
HH9wFG4k947fWR6IGiwTDonfGOW31o6i+E5GtT03H2BL1k330BVTcbAt2ihPcxbgCJdXCj0G3Hy1
Gi1dKE/9gYaLvNWzsmhRDRyN9ONsxMNDiSKVH3qYCf902yTFtc2W8xe7hGa7bbWe0yg80eyzaRr7
m67Q8uhQZb3ZbkYRV/eVEE2W7VUdjOp29GdJpW2w0OJ+rNCd/JVT/upDD8fNZufhfJn+mGw0CsI2
F162EUXuxOFoCM3O9q4YovQzziTiJZhYsruSXri3aYAbZw91g76Boihg030PO6dxtDukn7zvHoFR
srOaQHyAWKY67B+jzD04yPSgShpMwj7CTzDqbWe2xbQDRTzUO58t3YUIJwRPyAKYdagPThscsNvJ
o3ByuinYjHFryW1eW1O3x2VGpUepUY/BdXHWnlqeseimwhUR6dd0HpMvQTPU/q403MTftgoA632p
6zU46cgtgn4Hq19PN2BuR+8O2UxUUGOzjUoQ8lGG0AV6p89470bunYcWTPOFNMlWj3AySps2/5zf
mgqPQ2SgOK33spTjo+5IhZKOk6QBYt+zjI9Nb44BT59snJ1tVUZx0FTgZQ96bubuY512rtjYmpzn
G7joqB53ftJsnWIuMQ+0R+0uVfTcNr2eDeX3uE4WqjwP/E/Y8960adyq/sjFuaxaZsfjzq7wv76z
8L0Uj141zP/Ec5eoY9RVXp2HGbIqKJwKHXVyM0Q0ffA3vFbudIiTCC3RedA1Q4RWzrVab7UCe8MH
SCl69MXIfEMdmyYOjAdbl1p5jIpKjtUGVZiy+BIXhRajo4KS0g+jd5vyQ6t7oqu2bScicwejvVY1
Onmpnj1HaIkkSMAaOCibmwKctPNZB13o3hUVKKqj11QxkNFe9/oNR091X3RfM8t4b87A3OPNkGpe
Hw64GUW3w+CONacmxcoCo7te+Bl2po2fBt9kZObJ1nSniAp629DPnJJY/5oA7H+a6f/FoewBAh5T
LmVj3xW6+W/kB/LONnAx3GKcNyHr0Uvd+kKuOQ0/DMQ9QJz0usq+DnXvPNoaJi33juJVCkE6QQTy
/ViXt+jgBOMmdsxObvvABX8zmFWhP2VNkf2rqPkjGqJH2WmigueGI5LaM9yezDnMhp8YoS4996c7
l9a3BqU9g+2dGHLrTjMUIDhWIOoDzWvbsBJ+Em9MRF8yai0tMoT8/9he2kU9gimaUwNF+Fn98o1k
KjZtrhUf4VIHPlqYlT/elDRVprBv42jEAQNH6VuEYpp2ryddcpwtYRlb2XWTFgZTN3VNSJlV6TvC
KZL9eBh8OPMzUrqt7ZYGTj9OlRwsOzPtfJc4AhUhOetNfuwR6WyBGwgROC865pC/ot7mXEM9bnHB
kkFvf8AhqlO3QpqRfQ8jP+uLfabPtnubyij55ohsarcCCZ5k70jTxhu3iZ0vWORlw1abJ6/3Q2dw
+ioOGx+azcbM8upDbOdRdxIB4KQN7SATyYdGX2aHEoSGXI1j1nvef3Pe1Yor6lPVm/2NPpQm6ZqM
DERooKrNd+0gIvVhbhPMHAUOAicJJPk3D5tNN7GcJlTz8bz/1XlubIJZn0FzOUks2oNTz+VHPcgD
aFuuzJydNdqq3k88Xf2mdhskpTT6l9Cs89KtwylHt+9G0A0BDxrZ3rcSGMd0N3R+L7a+cGxFGzOY
PoI1AE09zF1X3sscWNeudtPRPZbGwH42isp0Q2DSlXyyU5RfD8CVencX6SWw87b2NOO+76kyG1sM
3GPj51QokT7qCA97ZeiMyNzf44YA+2UG3RCHAW+G2kTkMfU3lQ11lR4wprc1byvqZL4mvb5Ekmdh
0KJ5AkwVfjI00VdMUfrjkQqmfP6RxU7b31RxJ740yD2pD5EVccYxIpiNkNfGHfdV16GJUJTKv6aW
uEptaTPSC3PRpwBqjY2su0Q2f3WJLAQtXT1xjR+RJVKMJYLmhNc1vrmDK/59O/B7FSQxFCVRKt2I
PABAWkXv0BOyJO5q8we3Ynlqpy6+85JUfu/qeeoPteHlyf7tEVe5CpOj0wdmHi/xJYNfw7rzLOlz
QtrkZyDsxAlxiR8ejb4w7jsNx7+4brLQq2qLl78z6is1gz+lybPv65vMk5yFzgl6O68aQzL2HXpD
2Y846bSnDKuh7oH7vKq2hiUKf+vEFFEPpdM7wQc0Xmc0kfSu6XcyngmUcisT310E2Ztj1PT1FxsQ
bk+JtQv639GQ+BVa5oZQ6fOgJbq+x6Wr0I9pINt/mtJ1BXeZX1R3M9jC/ob4q7SuQExffUyfFhRV
d/rD6HGQ2Z/vmz4b3RY9OefHDGNULi+sEX/MzUTeIccv2UiNquTu7c/5aq8yJsS+pehEJQG5kPMx
pSr9CQV278fykqgwp4+Z3iqNQkZYBbFSV77gq+ECqv3AyZcI28eDbZUKls5ADw8t/59dV4/NJp/c
9KXQk3HrjkJcyff+QEP+3i18CEQiAK6bAJ6Iv1Zzi4e5RCs11X+MWTCN+7o2SvVx1NphvnNIYYad
I41Zv8eTV2AqYgr/OyiM3tzQhPHEZtJEOoowKzJHfE4aiyz9gPLhLB/NulTGDUqHbvA0N4ToaZhp
RHxlWFtWUv+bTjXs8FDvISCMIfxVPf1a85LFuyif2+Ix8EVRbEzQifnOVKbxoifOYISu3TTAI2u6
ZaQ3NZZHVZHMyRdb1o78iMJFpRZq3qiqLfhqPd5Ax9Q0fyNxq8mOqGEJKMJpZCqi3MjUdp6ZO1m/
6dze8PYm/fg524x261H6/qOYle2K3unHaquqrqRZFmV13z7ZM08YLvNxUf70Eum076xacVfRcOHe
4L+Aiay1RUiq6iwd5DC91NoU79K51JCxT32k36yf1SC0K/2s9ZPgwnIjNV5AjEhEvIIvdTIZjSHp
9BetIlfYu1Me7yctNz/qwhHxQYd7uDV9tHbDPLGaOESrObevHLL1weY3YHfFFU1zZ2mrrTYiemRa
LILSfIldtDg8ZCy/lEOFVFql24QcfXENUvSq5PJnxOUSWUQMFoWG82Od14Zymqw1X3DBQ2inw05S
QDtFrC2KEEF250MbVwbK7t2zhiHLHYo18cZvhHHltbgwc1Z+EVDisMMDWrXWCycpuEyE9RJ1aXrU
UVbY2b2ckLFL9DvVqeFarWldCGHiPtWdhdTFcr/SroevqQZncO2XKQvaf1Boch9RJMvcOxgznh6m
CgLxtuvyWRwqEhVSXKnJnUK/b97iQ2D6ezAV18wOVnVT+iP8KLiWUBWo1L6SFY7RyVMK/skLcJ9k
Y+IDvfOrRiGU1pfD96IaZ28/SyvSv719ua8bnH8GplMJo4Y7l/d6tQ1QcwDCxpX8kiR+9AyWRBZb
abf1TYOqQLBLqmSat3mUJS85Ko7f6JJmu6COdOOdL9uyAFD7uIUXQi0CxOfb0UbhPEOq03lRbe9/
zKSJgkOQuB1BYOMRdPpVrg5vz/3CmuPGRM3fIwhCAmuJY/4Kwtpa07V51N0XJCl/Z4Nd3el2hTxq
Aa1qS6GuexYUf9+HD1rWG+0nxJxt9PCWiZ4P2huUJPRCuS/9OOg3tp6YVHsQ8H+itG2H+HZcFbm6
cL2BTlwWFaUSxl8O4F/TDIixRV+Xzksp21nuygkBHtcdkCXJPSN6BIfV5Rsrc/phAxOn2ujSmq60
0dcR4TJpnDMoXSMUQLy7mrSymk4XLZPWy04cOkAet8ToWAKRZG11VM/DIrXK7TQ65ZXT/mc9z154
hgaGBe0XiGqAjcH57JVFgS2PYv8lHaN8eMhKdsRTImwH1EfumGq3iOrKR9warc3kKt/a9WTwwyYb
jOSxckYzORbZoN302MfMvyVvrEpDHNdQkmxbzxh/jfbQIelbdonxNMOg8FFSnuNP+oDg5fbtDfv6
qoTpsyifLOEYPhCrq7KRldK8SrCMNU945qguCxPET0FFBHn+aIAcuhKMvd47jIglAB0kVA/ojp2v
nhvjTdVRnX7pB3hFs611p1Hrpn2XFMVtIEzjprX06VDztB0ED+mVS2EdC4I5peuJoh9BGuflzxv2
19bVKyD25MbuS4Cr5cH0q24bJ8GIP9o4X3mGLryHDMaRxPYDQhVE+/OpJlRTp2is3Rd3kAiPK0eN
xw4FboivjWt3295XgiqWMh48XHOCm47jtjPpaAGvQ3QkfvflxM/hmcJCFAkYRGDOf07eRXYvJsN9
aSaz/5S4UbNL6knsvaQ2kMbF0s4Ttgzf3mAX1vvPgi80IEQN11DCEVI86ryd+0KI6KFVqw8/M88D
/NFC0Xlfy5WLaPm4WOFSundeU7opEVutzHL3xajM7HmY0PrFizQ7tlVVXvm2r6+fZSzctJYXn7xw
fW4C4FcaXx7ttb4DF2B7YY8D1GbKq2PqxBp+X6rYm06cXtm/lwdGvh80MdQ1a3X1JhY1IRvVnhdt
aAMkevryxgsKLyxRxw3h4u76Qf6IHKO4ct/+OZfntx4sVQblQSemhIdwvnucXqUgSxrx3R4dr/4C
jjgwQsuPDZq+ShfoBNHn2U8FYrD7prAbbMsmkRvbjDZjcWcnRseGH7AlPLQ9Uu+W1vXXFOKWn/DX
T6TuQbgNsXXp1wIjW4MNG8ycpnLI7a9T72qPRMVUonoy92/Sx5p2z8pVAL7f3t+rF58xCTUXZVYg
cpBc1qQTCW8z8d3C/0rwm21oZEOoR03slsaEdYxmt3mwK685vj2osdoFy6hY1IITAVRO2r7OaGsN
EpsUdgyGiepmtony1isP3N59/KmYYywVZFfaxhaXatluYkqdQajbQh8/SwuV6H8h4qgp2kCPsSmd
WCN0MtAtAgnB28JscUAvPaPri80U0566mewWtfD3vQPLFBaIFP1ZUPngQFb7yRx5Q/Osir7WZj+7
O6xZWgFUvLWcmzKILX+RWjbEIS0Q2du7RFXxgTK67175fhdWEitYbIGQ7VzuxNVB7u0u0mwv1r6y
Y8v5adC6wAohvLnWEdPRoNnOckCDv9Ip2O6qpnaiT29/y9UFyTr4i6CwZ5GnAPpZ61DoWW1jxmlW
z/Oi4U1ZPEP9HZP4KQlL5cbF/p3DLSYjVLIgBCAmTNZyfoz9WHo0mL38WcxCcGmhYkm3MavhpOY0
u65UQ16tLjff8vBxVxGhIhh4PtqQj2hUJ0pDlTyYPgllYcKAX94Ba68BCTtXbSeRjVsUz/0r33Wd
hYBNQQWC2PDPPzzBqwBxLHUHbXchn9F00x5lEQT3Nt6cjxUy7Bsmbd9ZiHl+MiI7ebSN5LdpdMX7
HtzlJ9BFdmiR/0GbrhX9AqfIbS1uuueERmcWarXod5Fasv5hcMpbu4lfUl7sK3n/es153BdNM4iU
UCGxulqFp1Tlm7z3h/HZrTz/PhJpqX62tRkgTG5lUg8rHfO9w2QjaFZNos2uLPzr4aFj+EsziCb6
8kadf3Lc/woovsqhnpnnH1scYT9hwWj3n6jZz78HPNrdLSTptnv0TdgEV0Z/9dlJSlBqpZO+MCr5
9qvzjD/J6KZuOj0PCV3zTZKZPhA6H38vqwd4EVadmB5LOrSfs6Z1b8t+Sn9aVTQ6V67o9Vu0/A7S
70XFbWFXrUGZmmMMwaQa/blpO0wgKNjX8jCYnZCEgHEsQl0V9fvAC6w1jzMcRIYFReisrxI1FvQ3
aVI9B4ACtp3dBx/mJvjlF7m27SFeXbnB10/fIrOycH3oAQBWhId8/qVztBrNtq3lczan3ibpu+Fh
xnICE+YgRo2sNuE2oZj5z9sX2HJl/P3Io5VIsw+1Kpt9BhJ09YHj3LEAtzbOs4XCqbUkeNk3x57w
THz/OFBBiJcZjLO05DF/JQqFGvxUpoHFRdlr6e0caQL3VVPKd+pX8NXYI/RT2LB4tYHtPx8IEZXA
EkIZzzGWOGFuRNVuoDweJnqUv/dqWIZaHKaWEihiUqu1CxS5KsAi45k2QnVvzRJ1w8GOQpwWkB/I
MRfp4AT/FH1wrUf2+jjQtVmwl7q78OTXV6EBYYps3dSfAQx6+xKBPf22IWzywyZ33S8WaptXkoEL
I1IyRyiWLUo5ch0oD3mp522vx89ekrf7yPW6fWCUARoWCUg+r5mvlHxfjUf+DMGE7ANlWiSBlnvx
r/0Sl3pfTKWan7PKFIegbfFCBVZwExe6u6srdXrn9kTLSScIxOGPtIpc+nw4PehnAJPl/FzmSfo4
9pa186Rdbv/DKETVwK0RcuJiOR8limnlKRCyz4ExdtupETY4GyTp3x4FXBV/z9mhht/G3oRqQigI
2HK1MZ2+nBWZR/o10rDYuYvkpNVb16qa/OfoNmmrh0muo+oWYu2DDloI9RmW7Cx7p1jaINAY/pmi
rJ1u3EH4YAs6kUDhgCVdtxuhFWbw0xtzb8rDYJy76ITqR9Q3Gy0hMQ9CW41Ky8JidN15Y81DVHxo
LbyPIpSj2g4X2zpRwRc3W7Q2NsMkEwdMP6yFaaTahEfQXVxHNObCeraGtDq0LfsDH45utjBVc31w
MkfgDE3ShlHlIGiygW3azwBQhA0a40bBcKEzPVVmY7hhQtcv90IipRR5vMGSxX2QAct4FBTj5LDN
C3SX853TtH5+53VRUp3SzKyqz2VDDzY7gme0s3IzuHoElGgqR6yxwtowwa6EiZJFo4XIcODGExlW
hWdXonVuGhaD0zTHFtR29m3OTAibIUb3sGnDeaixsSZ5AA58U+jONH/o2qiTByMt/fy3TrGCjqsd
N732IXImtRhakYTvJWiw9FeUumW5S4FIGDcZcF2Pv2nkG94OPB7RfqYpkP2uxi7X900iBuTzmrl3
n/EmlU1oObmJM05azfpHP7aT7t6MhZMC3bBqhcu1sJKy29GNNRDbwoxMicfOiAQ0mVFBXLrB9x7L
wDimNf5kY2pbULDjqt8FYyCcj7kEmPCi64LKzwYLHqOZN/hL25Zkk5RVfDRMrfqXUjGiXlVjjukO
I/fB2TsxsIZDEJSavp3MFp1vYLRteZgIc5NDPWXpdExcQr1tPVpRtu3LJG63nq/F9maIBjHcYVYl
7QPYhGDYyMYCa2RHfS1vQVa7/ufc15R/mqIpkPPmf5g7k+W4kTRbv0pb7ZGNeWjrKrMGAhEcJZKi
REobmERRmAGHO+ZHu9v7Yv1BmVUlBjPJK63uJs3SJAUCCIcP/3/Od4oRVEU8a1WbRrkcCO/MCW3L
0OiQ7LlnC0Zt2dnSlCPig+VIzBpRELvR0Oe0jGBiZ2ke2lk7eUtoupNfSgY7urF47NwOLSrC3n65
0uBarmekHab922kczPwjWjzbOUyJ7/Xv17GysEKm1TyFdQXO4XNaICmNEQAMdcNuknRJ0kfqQOm3
GadJeOOuRfpkbHvgQthvtba1d138lJcauiVny60edXysqXKU3oR2tVBLD33SC5LQwqMtb/kK/nQ6
c+quTopuDPQYsdpc37S9torHjpNviaqktZ2rxTc6R49yGvQGYqXJo1/N8ENp0q320kai9AjFIXnK
kIrmjAAGueOnI/koJJOtFW+EnXn9QrktGZNPHV8JNYqGnjBxyIy38+DL1DXJ/Nke5xkGQIoDd9nX
DRPBJeDbOj1VBqArN2pFX/RzNC4gXR91zTNaI8ybtCBvu+pV56KGRIU9IWJJZfO1sZ02709Kk5AP
fWd2nIO+rgAQ87jJvDT48vLsenzApEJPwRXDPT3JjcRxNIc7ni4Er0N1J1DQ3QWZlX3F/qauTbtD
WfnT10LSTU3cRze2dV+erheWQlO69F5xN1SFd9LCADR3Pm2fMczqzn+NgnN81ODOKLugzoCgyzWP
8ZumTQL7zFRwR/A7wrUAvwVZQE5/hTKvPqANNT+y7yrNnSC16u7lO3223GMe+d0fwMnWQl3w9E4Z
HAU60Uq7NSrV+KGl16TVV1LOl26VM4Hrjch/coeBLZKy1gaN3GrX+GeeXpKU9GXqpFZ/NBasQTvf
7DsyJ/TUW+/NJR2SN51TyJ89TdrbRpt+OacYlPrm8TG6KeixBuB2PsKjC4JoSITMHsuZbIPzUoIc
OjPLwiNPsYeZqQ6Z6czGx5ef9HEZndMMVS72BJgUUBigxHl637ntUJRhg3hHEyW5FS5pxhX5eB1M
QsJuqfruqxTfZoRk3Hxo5ZLONeJoUQ9eZK72bFyPXqLNr9Rhv9s0f9yycN5BS8DAo++7PZijAaCg
FdEGk/qHfCpHKz9kTqPTLGl8diZXzFnzXO37hfLCfkyKgfJKM9KM/5AChmmjTo2VaqmB68g9oqBr
/PQEbE/jpjt0h8wxliDI8pXx82wisA2603xfxg+lmOOfMsDQu7HkzPtZGa17IF23NE8mEbATYoeU
vXbYeHYU39qR7BzZEFOMpQRytEUlmKzu8sXR7+tita03tQGzYZf4lhJ7QjZrow6nlOF8ME2tL4zQ
45VJr1LhEFMsHQ/J9cvj6NlsAeKdzTKcHjJwt6/0dBiRVmGmPYkY97CgvdioyhnFcjsenMJQO3PN
xn2yOl00a2Xzisj/eK7gbLw5bDkYUAnbmLpPr7wSY5wLv87u6dOz3+wLGE2HrSyGG73WrI8jrc76
J2sBXJO9NP/h18ZgcGx/qftJrTX733tv9cpTLLn5qasC7QZ9WXHqDuZrOWXb03vyOvA+IORijvre
c/ePni7gBtkn1awQHbYJIh93rD8AC0rkru9I0ggJYSWAyiLa9ZXGxPNRzTlo6/xsLyH2t6Nz+rTW
apuZ5nsHFHpx1hWB1lxmebMWO68p8Dy8PIr+ZFRzj8yDGNLBotL9efpjNkWr1dM4yXsNdIZ+mxeK
zbvq/IZe/5LaxRkVApB+LY3nelfXfT/vMrR+eeS3eflakeL5yGLZ28oHFGAoIx93H+qy9rOStN97
zojGbnHc5FRZb6RnRSk1rZOXb/35k+aIAQOW0rFNaes4+YmMKfQcagnuwUB271sxGVeFcGlh6tWa
3rx8re9VyqfjybGpodHFoVeMQfVo0k/cpg/cQWr3dd+kHK48B+14HqlKBTXSZFHVy3XLBr++cMpB
1/A9DEH1QXTg/y6EpaVpT1Nka++GSUHIvLEXnEX0i3IRWXVWO8Jc7gckcc77bPandy9/+WcPisoj
e65N/rfF5BzvgvoU/4TX6MYdHSgvO2M8dB99ToPZuYFzQnvljP78auhcEOQCt6CBQf3h6YC0aqkr
N6vdO8gpzh32jQShvObEHRrqVwb/Nraf/ChIjH2AJTDBt4SK4+Lq4iw2BgzXuesRbW3HsHSXQ6A4
qatu3a2pssMCa9Up6y1Zzqv9k2Bg2l1bexeE9VbpZHY7mkcHx9JMInL9u4SDSH5CBlBTsvajHDhP
Uz14zVf/7OXC2casxq5rE5vQpXr6YAdalAAcdO3Bd4Y+ssfVioohxWuOsTfuyqZ4Be1xfD1GDYmy
oA9JWqRReKyqKXMMXIB5zS+j6V75/pieydIdboEU3HEUes159uxqBtowyCzwv4j48o9VzUJNfQlu
fn7wet1tD6vUcX14bZAfTE/kIl5wnL5WBdyOGj+OH2JWgNCgRfPYOfFcj3aw1djLaShX/SEIkuYK
tUNzPhQwpV9+/f7kzihVQcpgotpShY5maMwFeWP7rf6gDcn4AVk29GFS53ftFvYQmlr3+PL1jl9A
qvu6gWOXICEsBux5jsYJ7rhZiKR8wLKnh10AtW0cyTwfi279yZ0El0JyQFLQtvzQ1Dp6gFSgeLay
6h+a2ZUHHaPwgXPfpWDneLnMzRj+5J2ZoO8QGbB48MmoSJ/eGbvXolvcdfkyT1MZEsvT71M7rSK3
dV9TVT17iOzuqUlv7wBT57O+5FyUdsnDnR+UN7S4Euv1NNfM9CLDFPTh5bt6Nj74oTYEy/cMJB7Z
0VYlEVirrNUZHpY+qO79QZ35KQEHqJz77ESm7itL2fHOiGHOwkxZE70ai+dxh9nR6bLLIJ8fUk94
906B0e5gzPqEjWvw5iYeqFlh26RZnv7khp/jIg5WNPa8cjpl96P50p4EhH8Srh6CllUuZOeWhCsH
tWge8UC9MlaeP1XmE8SA7HEZmRgJno4V6XYjIntnYT5xg5MU4uc3bxjWO79KnPdD2r42fx3L8NjT
8g5sKWU8X7r3x2pjaltZZSSJ9gXGlD/jNK2a9RQIE47kyK9k0qjIW5dSmPEqyac8FXM+i6jp8jY7
XcCgEhk85gxGVDN+X+/6MS+aHgnc1JA1xRbdMENDz3VtQFtjJbURDrZdeFFVVHmgobOXA00Tu8vE
ePtz4xMTDyQBJLuMGZAux5G3ujJqErGa9NtCIs8N3tnqpAqWLp5Nt/zoGNC/X77e8avnbvlr2yaa
3iHCqeMivz4IDUAMmdVJi1gfQcsc4uosDxCHvNdOzccrAJx9DvCIVWnxMqMcd6DanHfA5gz8Bc/c
6D4KHbTnEKaUL7RqN6TUafbp2lE/NguH1TAac2jPc5h3LNWwM/pxbirycPLCKnZKap19sQa2HEKm
X796bUg/qzyAotp4Gpzw4aSgztju5oeeDitnNlaJqB4GIgCmR5O0mgR241hOuNIo4mpQNpRePo6p
hsMSZl6fXqd4f6g4lmxb00PDcl+/ti85mlA2NxJ7S7QzKOogcx0DMZzE1pJEGP1Nq2nzzrTGYL9U
fXU6t0Q+lir3KMNkQfzyIDk+9/x+1W1cshOi63qsFK1TWSRu5fQ3puc3e7+YspMKTvxZS+RjJJ1p
PGcDMe5tZu3IJaPjLaL/5fDylziaY7bvgMqKjSfAPDag39tIP/weA2bwNrGD7kZMpSii3k8MP6qH
xT948KDf9GmeVdHLl/yTh03hFG01KqFNWHG0CdQE6btqMLobcjXKCymthjSw1XunOVq5F7LTd/BL
l1d2MH96UYxutNwMbve4W6phNhZ9PcmbuiibU2xh1UE3uvxSy5sk8rdCv9YW0yu/8NE08P3h0oum
SIyeGgLt9uc/PNzO8QVll17dtGUD9Yeud4RNZd3ZXa29cpL8s8G0LUrb5LY1vY+VsVWhSdobprwh
FNnFka31Tb8v7CVto5VYkTpUGJiBkvjdoNGJMmUR2lip+9DAndb93DKJSoVpj+ImLk6qVeiKn974
ahXpTCOkvZmGwjoFWFKd9IFO/ySZy1dG09H09/ultm0AV9xg39sA/+EZ63iCzElv2pu8ytNLjdSh
eGiz17bZR8e071fZ+OX8pJv76Lgq0Bs5004nmpu5XbLLoVUPa63N73o9zXZpAOAN63t/EFnRnSAk
/PTyC3M8jLanSVEeWTwzMwLFo01HoaUeOVV2fqOtQXHN+qxFQbuOZ07Ovu7lS/3J02QZ/m7s4sxE
+enp06TnNBNGU7c32jhY9JPm/q1J1tvnl6/yJ09z04BQidjwe9TDn14FokSiq1wTN8Ry0k3OdBkV
SeLuLOBO8TjY3cm42A5dVaWwbHujE798/eNJD7IKRGiEIZRTOeQfCwvQkNUVfoH+pjbW5EpPBI1p
3cr1ardYpviUWEJ/5SD6nSj7wzmNAcSLyVGD0wTmDl7Up7eMhkOUWWcON2j0tfNsSuc0nlZNfUXk
QzpGRbf0TZP0wwOu6Om0blLtYQiy+sHI1fyl4jby37co//kw/1f62F79fm31j//m/x9asUA9yPqj
//3HW/HYvOvl42N/+Vn89/ZP//VXn/7Df1zmD7JV7bf++G89+Ud8/h/X333uPz/5n7gBerpcD49y
uXlUQ9V/vwDfdPub/69/+B+P3z/ldhGPf//bAzbJfvu0NG+bv/3xR6df//43ypY/DIft8//4wzef
a/7d1aP8v//n2d9//Kz6v/9Nc/3fOAkGFH/YJtLH27R20+P3P/KN3za5Db7lrUSBUJzXtGlln/HP
9N+ok/LesI3ggEyJeJvxVAtOnD80/N/gbG1SFoY8QgV0T/+8+Sc/079/tv/A0n/V5k2v/v63p2+o
S99oE4xTZ6D8zxbqeL7LCBsgwRRuSqevyBBaZz24Rpm8Ml639/zfw/WPq1D+4rTPisLM+nS4SgGm
AqNrGi9S3GiFfyAO+nM2e0ivs2CXl+OVZrXffvgZ/rjTH+/s6RL9+zWBdREJT72bveHR0RgmH2CU
TGm7KVmcWNcS7Sb1h+QClsJnjlfW5dyYr0W4PZ1af78mIhl+bRBhmP23p/3D6kHBJl1aBQZCaPmd
EWT9WQV+LSS2/bVMrD97opQZ8DJvZ6tnJh2UNrmX+r2GvE5NH1roZzsr1as3E+BSRCWJcWLpE4S+
+tXEmmf3uJ3laDcCTEfI+ky2FawFsg+bKIyx8GmOE+NivKtb1K44Bs3sNQnjs/HJuwOulwhqCmFs
9I8mOkd1MiVRRMbUkpyNRzrua8PLXtnu/OlVuBK7dbrjXOrp79Yv3lJVhYvjs5qTS6J2sp2WmSJ+
eUQeX2UDSFEr500DzUfLdHuyP4wOqxEWioVExlXfLFfBaGp7aoyv2beOf5/tKhtHmd7Slnh5XAIW
RmarpkpVjCrMCtvamN61VuKeic5Ifmp5p0lJBY/LwE/cMv0oOj+9odJyekerGxUvS+BGeAKQddTj
a/DEP3lsMFO/C/con1Nce3oVucwVyguhYvoZ3k7TAT5Ny5r+/I/DboyzAuI2SEXHXaNKqrY0Rafi
ScPCoOrCCmuIND95lU1xbW2qbwqsm072aKAtTsFmXRZz3CGSOykSMRuHpOeUvH95qG2f8+OEu9Xe
cT4xOdByQ7F3NOHyI9D6Dzo99nQ1x7U+qxNT08uPqQ2MHxOk3Vy9fMGjkzjtH6xHVCagszFmmReO
VOUZMa7DOPp6nKsCxFJn6Tuic8o9h4vizHbF59SugwPEKCNeMkedm3aVX3hTurxy52yBtgHx481D
a9scUHwNuBl0lI8KXcr21tEb6zGeUjRxERuRUYbaSMfnVBQ1WpudI5hqyHIvbHM/AR+uP1BDSP1r
AsPT5aBVU/q46Nhdzsyqm9VlR3V1vQcdbPdXdKp8bJBKy0RLtxSESEgCtJdjHuW0pM1lkRNW4U4p
wbb2Kk8q6DbQkcpp3DcT8RU6jDQVztZW7wtMUd5uOuD6JHOVZx7ytB/yaIaWlu22/N0+LvrB9XY6
mSN0NMY82Pg60/JVJbJY47FPVhtEa6dICMvcOj/X084ubyYHSN25wlZM9d7BrKh7fT1GKbHwcpct
Yl3eGOXaltq5aZW9f+HZS+ns0lQbLoAArVoIlQAtkHL09j1xpbmKcl2JOGicZIgLdDXnBY7iYlem
IAtEUAPdbAZdXTbOYInrdRWlTWBZjenNJ5tdxS5tQMhvYyJhZQ9Gq/ZOlSmkZxVWhLCfXc2MrWnw
7hQKWbEzzV76Mcoh3Q5bI7MojNoKPaBduW3kIaA/t1nvkPSsQ1nsdKe3962mIFY1qWVmuzroUuB7
OZRMGFJaC8TDMNc5Rgro3ei1Rw1Rzdun6OXsy1jj7r9pqwyynQ7aaHPcJOqh6ImJiPI6G9LYQaz3
KUMhfeMD6vqkZRNMI6NY4KDPdlnhyrUnfTpAXTNEmBfGNF8rIaaPKhXzt9VuWJ/hKNwPnS0/5zrh
Y7s6n7AeJ206KCQms3tvF4sP8iEJqKEJYBwXrgyCklaIr72l4yYeylFY2UlBEWzd965cKjqsrtfF
ZgEQJAUGSvwOGMJ2U7BiFkUVrPbW0uZONJpOG3Lm09/IzpUfVAN592CNbjqGjcyFHs1FEhxGRKRW
qJsi6XYJ64UTinnMy91I7+6goSD6RO1G3GvUPe8mEumq+gr+U+G31wEBQOvlEBjtMMS9ZzYHMkAn
I8ozM7jhJzPtneVMWh6XbI6mEBdk8MEtBzHFtaZGeMLTbBbnPm7D6gCfbG32pSwHN4ROQZkOWEkH
OHFAwhVNqeO9hb6FqqiSlLFCe1nM9SLN0DtejtLAP/uxpAL1Nk1JquG3Sd2vq1mJW9HPDvXAtZ/1
0A+mWQsbuxs/acTfanEDDul6aclyDxPp5XaYjFPzjpDRrqKwkYi3bWv2bI17A0q4maVNERlGNt56
Q4EuV8LVuyWStHJOkc2WbzJZg+FK0Jp1+6pquvLSmnz7o7aOJBsY/Wzo54GWzUWkSU51MXWVwo2G
FTvALmsy5xLqjPFIrwMf+WB7UOioH1QRB1mIYA4KDi2aAtzgkVZKV6WXXWEYVIHydVhDIzG8aW+2
fkJ4lwkkEGXvWIV9pmUq0nPHOvdKZq1YUWLp4iAjyR1ltr84Ya1DsImGRuu/TTY4lGhhqilinQyn
8SxzvBFZpOwW/PtBy6CcNNK7kIykX5fA7yYZG1K3Lx0hsi8tCxqeXkCDM7iZ2XkcbGQmFGJVepCD
CX/Dt7NPpaPnH1ajtz5W69x5B1KrHQMrY+0WOzCE87sqGI0pJGS1OtVX1RoHH26Hy020VRM7S6o5
4eJ59sdqgrk9LV17g8qiKHaWnsCTa6cZih+58E7+XcdlxxY10FvO0rl5AXt5gZOWlXThecL6Q2ur
rouHtOblqXgrpjBJHQddOGj/bxzTUGI3cuyqk8ResjGsnRS3qEM942SsPDY7+Gy7u0p5BdHC3lTP
0SLs9lHmg3a+lpWPBXcJjI/OigiwluUcRAX7DAH0zqzKaMC+2TJ/LLyNnlXa2akvRvvAWPbsiECr
+TPcHWVEldk3KkS9ParzAff9jY9l6huxX8JmQmYvQNkjX7VdOlbiC/RR56tWlGS5WbbmXptd78A2
tEsCndMgQEk/shLFKAjUEOftmF2RBkXiezJ7qwzbsgUVOY1W9mXolZZHNshDkoyBT06xVgSGjMH0
lu9QSgPyTApTGw854m2BJB7+6Lkw7PJtOZq5c+gteICk2IHki5NMdt+MLLfGnWOn7d6Dio+vZc47
mDtob68tB2RY1ej1Qz+P4ooCpE8ciVj8JVwXKT9PjQ7sigqgdjvN6wLvfej7qMO1voZA562v6ZR7
y2mlL2iWi6QWYyiWesHxbAtDRo2lN0NogE9QZyXSBxl6fVZcjVVT6lFdDMa1vopMhPTPtG5vod2c
Ip6EuGnnrFOhCYzJJtVsrr4F3RogSFYtwMDM15YLNVgjKCWOftdmP5Z0sJPAQMw/uYtz4tqZuPPJ
5oEYLY16Djutzz9UbWNSv/RaYnCzxVq+2Upazg7DVCsvMFsm5onmVkGKZQEX2c6Veo4VoPXK7lxh
NrnxK/oe4SJd78yYNTB/Hgl3b42epkYIFba6DqzBcaO6ryz3EtCOB01p1YskAr82ntdDoPX8Llly
PbPE9cy1g34p0SjbuH0S9Z45p7RClvfgTTEh+0R3Ty8Ifd50qIRUj+6m/w8rrKHgPdtkeDcO1eqF
WUUsGKiEDJtUK5M2CBc1aZ+kXa/3g+6tIloIXLlJrNx+a3dz6cTrLFlZ/KzCgDGyTjW4xzXeMUN+
WtxFHwCA4f/lgfb2nWuiHl31pMWQYQ8N0nHT/ICf3M2jVebaW9EuLlxm2LCPNhv5t2wD9C+2VZpg
svnsLLRMhsNOJLb+xVC2cQUgtXtkh0cQaZo6/Xst6aC3wuVSlwSrKRn39GPXHXlkax0iV7euDbzI
txrCSOM0IA7kYpDeWkXkJY5f1tqfut1gTrxkylpKWHK9X+xmr2f7V/p2EfZ9gNy+6oCdNumIDV03
k/KGY+a6hm4h7Hdwp10ZJcnarvEkdTTKvqsta7jpGpqdEMB1QzA13RS6E3RRMOs6InZFlSOE7sx4
9RLfvwL1GBBYi4BUxKsdlLcFOPgqKg27+lKbRk0bLFHGVYYAX4vK1UrAdsoJxL5fFHkRmiRr67t1
Uup939X+JQ7dpTt0WpdUsV0ro7sd1gQScFHryXCisW/IY34qRae1TkZ3h9Eds0AyalXGdlY0G9kp
wAPUZz62rpTuV71zWkXWo21rgxPLwcW/4TRtBhWyl3bHxkPz+2jO1PwBH7TozTmEhIGnAqot+aJt
MLkpUgDgNr3f62/7tQ1AOE4FGzHCVnkBePraF1C8nR1q81S/x1QTXFe9gZ51hqWsdnR1xiuvTo0k
dig+EWfTlO1eLgOoHJnkVbFvsjlr93q5pkNodaXQOHeWJEdOwdhewmpBNQ9jSD6QvgUt0jXhr7Jd
XrDwFEB2TFb3AMSjz974a+eNA5BdYdtf2zxdXYRwSDRDxDsWazFMHi90PW1sQ3s2S2Nv99aAb2VV
ZD5ZaSGWfdl13g37uUGPkq7J34+cEbq49ZV1arc1jFUznZcmbNayeZCKGE+NqkC7Kxx0KKHjttmj
O83N2xHbz71uyfk9T61+7HLRmSTsJasIbQAjX0CRyps0oHAeJeChvDCne/ipbSndhWqRygnJxMOd
bfd6HwVu22S7CWPTGPnLvLlX7LlWu8TqdYgSumrebwqbW92j+gZ9o/M+JLVffUWiWLvh0KbdaTD6
TMKl1TvVaeosLtNmNXEf9O77S3OQuoMxpvTeiS4DXSu0zhpDR8srHGB50nwypD2tu2qYO8xNErdN
qIwq+FLBVhmioILBEbbFML/n/YKtXWjN/C0jENI5lMGqPrtWBZ8YDTosUlGOVb7vuqm4sCTN4DAp
Z7z9i1YsnwUmU4DAazF8XDtf3oO+I+5sXc3lazrroo+yxjcuG1DP55plLrdOISY71LE0tOd9rxVe
3Iyp/9UvOyK97HVVrEbm8GnA80JDIkmTCw0s9tt0caxbOxDT28x1BzcyvKK7guDJAmcRTs2+mtPo
SWY79bcg1WYVacTZJaEj2/kua4PEwsuy2lNI8zOj1T4q6wGkFnLePKeHiXDbTD/DMdbeam01fpUZ
m4CwHxo2tGNd8IMpkhbjGjUwe7dJTrfYJL3bETBIFtZwkr+hwq7fzcZQZWcKJUDGVnyyOboEfp/v
lr6tzd1i1I3c1P7NdQHsKok9n1BgmNrTVEBiboNTMkpJ3/OXkRgl1+0MlBwthr9SX+QSGqI1RpIW
k2aJMs1rHhCNlkZkutJnx+T2pF3WhHjloaPk8jnxoBqHmp8G95YGkoKFc13sWDq1R15kadr8iLkI
zpYJql6IDwT6ld+MeWglif8AXUiXIQJJyandgPDtCNnrOy9ZCBqvJiDXhUCOEbJKDmZcjgHuCTka
DASXHOkiFPSh3ou1cq+LtlhgQfKdyl0rLe2j8Cb1SDIUBCGiFuHLdtUsyGrQ67dZJ5ePK+LY957V
Ij4z6zn/BiNdihjNRP9g9X36OIxzicW4WZueaGMtxw/pTt23hUdK/svoei3rl8uSKU373WRwrIkk
VrgTs7aMLPK9ZfzkuUF2N8ASAUwsU2rtqgkyI9L93jWZdeD+790BD8MuKQLrAggJtQtYkJzYNDCW
C4uXFUxnvTDEHIGB9lgecoc9QtC4FC4kri4RuyzuS1y6dcZRrG0NDgXV4MmdqZrZ28lFje+odpJM
QaAUy/M0GxzirE6oNhwT5fAiMxjKE6gv6bT3ZlWtH0oUwWq3urVeRelUej0nDN979DjhXOuE2z9q
GuzLqHLmKQ/B1qxq82/pgivb84pQqO6qqBtdu4gcuRafkk73PtuF6qzQdge4qcr0C3ens/FHey3q
sYpbINtZNHCC4WvBBKx35PcSd3ORB8q6dGuRvLeLZGqsW2KSIDq/x/ihr7tpGAMJEGyYAcvcrr2T
y2tqEJC9A/RJRezxp3fYl/XTrMyIEtV02X1ZS3wuO9CXKr0Yc7wpoY8m1yHPDJ+Z3k5i3s2ZMWc4
1HwKnEK29nxmo97OY9ftNcwpKZqRsPbm4sE1i6piAXb9JcrXAnIMjhb+G4yo1UKEbPolTpLug6Z3
Ogu6WNoP+rza7wpV+07Uu9uLqs9JfjeXmQyoDrbLxVjI+ZsZaOZX4rFY6AgW4gxk+7OSoVAc9cOs
KKqS/YwDbrQyJhCiZoGkO6rdcrrqreyqJxqSPXedyasKKmoZpgM9x0NN8+J+HjSnjPXZw/tZoc9v
opTlBu+dXDI7ZhoIWGfzoWpOURi5gJGLwdcvgrVx8ri164UZUNHDihfP4JfCQlgRYbCtrytzh22i
AttTNZmYWojwKCzOhIlfXNRFk4xyt/r1iOZZz0Z0SI6Pw+HgD9k8LyzZU2WGyZL638CkZoQrtRaC
9K7I/LNJTIG8nfNsaN8UuPHBCFdzRW0Taqfqz5IV0fGtzKZZNJTz5qLereVmbwTUYg/XRNOsybmY
PUyxcqnh9O7QUfjqLWUjpeMD7XoKzhGKV6u4kr23qmurF2AffQVT+E0qpn5M9pOZWN7BzmAD74yB
xxcPySQpbPLSosGYmzL1Nd6DLFhk6CKvy6+F6n39YFS9F+wHZNocL+EXBN/R5NnMMqnZQu/qC0Os
o1wi3UVEMe5Gt/M41PSNbDFCpFk+c6MySIvZY8vJqe3rPPC/+p62k+SR6dmkrL1vrwK67GDNgRcS
SSezfbduRxC9qtzHzNTlpTWCA38E5N+ssTFMmvOQmYW9HhZUFXk8twkPoZ4sqpNObnscvrmLhmJN
jjGp16Ox5ZTwnumw8ADb4hjty0NfDhlkKmm2BpvjmbiR4dGfxtyj+rng9KMp0daP5oiRSe6KuXa9
c6PxgupcB92zKVfSlgYSrhBbPOSeMqwIMkBumIxtXE8Xs5920y3UdwdXddLSCLgaAAh61MzMykmi
1jBSywj9ttAGMI6a3eTvWLdUiZuGKTYqM3fNAOYAWn2/aIHZHhILZyVmPMfJb+ZixghruLMVcDgf
Ev8cCcg6c54cBlWX0ZLQDNjSjFpzCZnkW9faDWznmiTsut7wTqzW1azTkl4LWHhClsx7LDzJDT2f
1jLjWVlBlR9SB8rafLoYajbWuB/dOfUP+QDWbwRlm6cWxePSQh9JUZkDE1hjS1e93oULtnTGMGrp
Sl5MnrRYlMF6d24ZI90a1Bq7Xk1bOvrePfgp9cBfagKe6Ahe1Bj8/6geoA/yn//szz8TD/yPTDcN
QoPg5XctwnfBAf/kD/2AY/1Gew1PMMAchK5IMv+lH/Cs3+DYbr0dWuqw8V3z3/oB0/jN21BwMA0p
CNOS4Z/9Uz7gOL/Rp2ETQL8Ufwjom1+XD8DPQ3LJtY9VojbI8aRN0NGn1XBHOeRLMnz44UH8Sfv+
adfvX5987BajpqQzf/LJW1hAkZNUJF8jT/3VRx+1K/N16ak6WEQDBt6VbmlXlWFpr0h1/+qzjxpu
YqDwncBLi/XJWi9bB8N/slTu7tceytbu+6FznKAWU1XulzGQPL11ojR/Dfj+V9/7qCdNKgoTkk9c
4oo54WxtKLlU5RK8+7XvvV31h+9NBNA6NdBLYzER65PbxbpzNfvu1z78qC/sLZk3cRIv46Eu3ZO0
6T9Peun/VMP238OQt+vHb776Krc7T69iCy56kq4XuUxPfu17H3VKebxCBDbbIZUq841ymuEBWgoH
nF/7+CPdi9dNHYESTRUX/jCfcwY2LhNfe8XT+RfD5di06vSePUhwEnFmPnQE5rip82svkH30ciau
S/m5MKu4KhrOWX4V2hr1rl96JscsgHxUpYLyWMYUPd4m5pieOGLWX+k8/9UzOXo5gU23QhmiiuWy
VA+r3KAThRmc/tpXP3pB7cou53aEvOjcUz+l2PRrH3v0Zia+Yy44Y6t4UuxfpdFB/ViNX3t57KM3
s8FwCauRUZLOxUGmk0kBlg71r31z8+mbOZZGLzoaDvFI/k9YzXkSTf7wGsDzr37Mo5cz4xiwpnBY
Yj/YGFH0wrAgvMbA+6sPP3o11/p/mTuz7Th1rl1fkf5BI9GcUlVUldvYsRMnJ4y0CIlGAiEBV7/f
ytjf+GLW8vb4OdrHKwtTQu3UnM/TLK6EyucQl4iCIjW3xTWWMdt6yhouFwXj2CB0jMlW4EriqVPv
ZGG/8dbrBHvkvqJKm8xgfwb2trmUQvXte2C8t569WjZxj8C9dKHigCT7cyeb5hvvWPhOwvNbD18N
TB3Bzjs5oGxFFMmvfeQh5SAd+vdIw289fjUyl8bDIYVG4lAMVb64jp5mn0zHTb18rTmsAcH0Sw8N
E9R1ty9YK082MvG2NWKdVQc8kIdAVlPse8QIPQqoqf257b1XoxMFgjg8V4iCDCPFheVIf4bFe0WP
bzX4amy2ZsGFMAeEJ1HevpkUcjLEe6VWbz17NTT9giFiE2pxAL2YZggpnhBKVPtNjbL2LRiELHCD
iReXrrxqQiayWsiHbc9erZs24W0T4Kx5EHisF7bPQ9O8k9v1Rpuss3bbCVn3SYtH97isPRswk71+
iretmmu6sKwR+OkHPLzhMJuxfU83vvVqWE4DrlLBChOHuXY7HmDyjkAz37b4/DFR/bWhRWpbP0PC
jW6iCd0N3KOHKJ2ft33K1bJZF0S1cmzEAQAdWh8LEHnZl7hzoGBt+wOrwQnRg1Hc1OLAF7NLyGfe
hxu/5mpozjEZJ2jNBNTW85UpkYHUDMvTtrdeDU3FuBhtvPCDaNx3ghy1gqn3QFVvdPE1Q7Tz4nGa
ANw62HCKHoU3PVNWBu/UhL/18NXQLFDJWoXpWEEFym+RXINDBJI5tq3Kf/Acf/XEoKTIQNM1P3hV
Mu3Dtv2CAxHf1s3XaaqFgo82MYwfKmi9DwkZUiQS9++wKt5qltUABZYvDSsfD1fVlxT5SJx723ZA
a3MFgfkW6GwK6bmP7MoeSZ44bvrdxs+5Gp4gIyBBEmLOw1R+w1ohs2KUWxt8NTIBRPDd2Fy+Zh10
h6Q0n4YyTbYdOP+k7v7VVRAabQKAGfkhNgyXVccAWMlNQ/NPFeFfTx4Z0tWWGZ/SCbMD9tllYyTF
tk3Kul4dteXUINDLD02iPQjXEPAsU+K29ZVLiOzvA74QsKPOJOCHYLZNhmJ/sUP9ud22fVsTDJgF
eG1K8HToNO7AZPyFZIv3wPhvjB9vta0VCPfagDf80BNAGlNKD9DHFRsbfTU4aYlIuuYRP0Q6EPvE
x12/32i+bQh5l5/0V39ByuBYejNePSFqt6gPkXrZ1BHXdcd9kyymLGNYoaEtQw5Gah+sS5KNT1+N
zrJzkFboDiuQFvsZOd3I2Nn23qt1s5+L1GnAH5ALiwQlHn6fQIDe+OzVuonS9LmGZI1j19n7SPtm
7Q4A8ncqu/69EyLb/vWXVDoJcfE7oIOP0JpY2PLsBUa7pVXYmuvDhxo3y0Tj4eammo+N3bRmsnVV
RAxVorHLyA8GN56qrm8Xe9j2xqsx6fXJMiWpwRvXmY8rlk1L5T8qvlvqxoEjz+uANf4c+eY6LPh+
2xuvhmKqTZtwbjFiluiqcbfh/J4I562usVoncffruYliUdC4Mn7k4fDcjq3cNIOgKuh1v5tQcCHj
CZ+wq+nHPoEkvtg0yNm6gGUCaArpZ1hu6PxUjgC9bux0q2Ho1zCwA2/CD0Dz/Zj9BdlD4baAEmD4
r1sDADbkCDXodpMqxmMhkcUN3HO5bRiuq7cbMDsHb7p06g4yxCVA4UIyvsfKeKOXrHGEYROjPEG3
eHjZqm9xovwbzlDBvPHdVwOyTqMeLhE8ftRLklk+HQ0QIJsWSRSlvW52hTSQRHfYZzLZ689L0Y1R
HsYjew9h+lbbrMZm6XlQopcKK3wtHqQ/Ado2nzYN+2Q1ODsbIwtuwPhBncGJ10AvV43cFppFXfPr
doEzDXVn7jI4myOqau7nSW1bbpLVOjmj5rSiAQYnsLYnpEfpo4eUi02H139AtGQjxRCFmGVng2SZ
PC6XGXnESB7c2BnXBWm918w47+APoOpouUbF0E+hA/q46Yuu/W2jWlQIZAXmLf+JxUPmT9tuHXFp
/PpzjkUdOEDVsEXm6Y6HxbCL0nedtG/08XXheay7ikwogzvUrjvx6nYh1aa9NyrAX792jdR9xMEw
bclk+FAnxM8jPsf7ba29GprxvIDUj+zIgwXq6Gb0vPZG4yJi2zZi7X6KPFXKxixRXom+3APG3p5n
p9/jVbzV5KvhKVsfRRW9ifLSquaY9mY5Fwb1jttaZjVE4VlAdZOpMBMWzu5CMHcOPEKl67anr1ZR
SZJlRj5WlMt0GMGAW/wcOWUbJ/Q1qcwrGpL2rY7yZFQQcbMSmcWzMNvefc0HQdmy0l2JljEjPD8x
snh3s++/V/L7xlddU5PT0hJv8UWUo8oSuKugiM59mMgPm9p9jfZWhWiRhAJvYIFMuEPtJeV1VSL1
btvTV0MV8JtgcnMX5U0atQ+aamQ2gQ+z8emrsYokVd8rCjzd0yiZiWiM3ZFto40ts1pJK6ARQMBr
o9yN8AsIa5KXho7jtgXvkt3z90m5h6F+gi8jyts5ECcCCfkHq4152Nbu67HaNKkJUHmYo+YdRTee
bG5dwMg7LLm3euRqrJKWhEi+RcugrCrpMhXp5dYDKWDby68zhLwBeLWZ4PHQi3e5Jom/b5JyW5IQ
UqxeN3zsz8CJVAqfVfMH+BeaGwVX27bz3FpMnFTDglxVfFWEJssDkb6fycAm29qdrfa8YKA2aVti
FmN00k8MJWa/OXh+20YTW43VcRgL4MoxA6dwAKNGOEXFYlrV2+ZIthqrxEiUKxi8e8gluWmQI7zz
QeDab+rva87mJCAmgPQ1yuEW8g9Id4oycHa2XWUB7vG6y4jG6DBRBcsbzyAD1uFgIOuIbTs/stVY
pcjGEj3Fqm1QOJoPNjSHgb5rY3xjrLLVWEVCsF/0HcdY7el8nBavPsVlaL9vavd1upBNWtQvdg5P
h0MpkzWrdxOsRtu+6jplKEJh1CDiBv2d2eCEDWSyQ2GO3HYqWOcMpUE/tNx6Ue7PZLybjEeysWTk
cVvLrMaqxqag8wXWps4E7F608nswLWRTbJutQTO69NN2qGN26e7tPnSBPTDa1ds2enQ1VNmIuV2P
FptURj8EcV/dsshF23r7OnWIWFT3MTtEOR+ieV+rajkoVIBvfPX1SEUZCoF+FZO735Y3XuWTk7d0
4bY0M5DoXk8E88AToy26exIZgBcKFCACF2KybV1mNVStPwajCQgKmsFw+ZXSjh47xGD1tsev04dK
T2rkFCOSgRCpD9YIm8/Ot+qdRXvFiflPQiW0xq/bpjUuvRQVR/kwuvTgdzLJROiNp7igI6qXGQqJ
GIx8qOC8Tv0mOPZSBE8SW/yNC/tahulwXFAof4sgERnFSzfHw++aumbbkFsTpEbqeDM2PsvHdpBX
MNCVSL1UyTszXYxG+i/Z5r+Nt1p7a1RwDxB+sVxY0p6NNwIgIbymrbJh1PVe2rnf18aV2zaf/0g+
Qu0dTlmYWDnwAQc6BCjxVeo9WNobS846+cgCT9Cg2ITlfoI6Yo8N0K7BILQtNrcm2EPGAZTOgsNW
WqjiHvvbdoeS/3DbBLJ256IQBxyyqo5zmBYinOJIcoqTZNtt0D9U16gud1UpsE3xTKN+Qo0YXbuy
nZ82zR//yEJisrD+ZZtiwLM9BMSlp96gambb01fj23oaPZlgAyeMnes9Sl/7X6rsgm05VGydjDTF
Ue8Y+P35AOgLitWXGNwQS98VpL3RK9f5SBNRssVRFwfdUpnPCYCiN0vd2XfCrm8M4Avs8e/jHPIQ
bRVdeuUQSlvuasyxO8BU0vsmrMJLzTwoUrivK7cNgnWakkWYXgSxjHPwR4Hhpr2665wvtp181/BR
ZCaAWV8gSlXWWmco5+Ig4uAaeltHWq3R0eQAflLYd824O39uq6nPkGRAP257+mqJZugwM52wvxg8
ALFxtWbypTfbEqwgIXr9mUFFA+EF6sdciTqJUUBnvAHwGco3zszrfCUfN8/1pVg+102wfBqTgv7u
02Ta9mH91RimyPhRNsDTkQAND2+gXipWv4fOfmOArROWZBs6C1kmHg5V40fbUv8eVKD6nQH21tNX
++kGbBAZg9yXD4FvPlgIZ3cxTpHbzgJ/VHN/5S1AYgwFZzvEOSDzXXEuEr/7aDAKyLY+/4/EJVSy
AGPepDnrxzQrUOyTo5A+3ran9leRKqHpmFDVpfkwCFje6gaVtYOMXzaNqD+o4r/ahkqWtJwnaZ4M
KB4iY5w+lwC+btuKrHOXBg/lX/4YpnkMc+lZzbzJQFWzGzv8ary28CmMCYlS7Alh/oKwvfnBUVn5
a1PLrBOYZqSEp3YM0O7AuHxCYhSKT0Hebh63PX41WiNos1MQj9KcAHFj9oC8RBckejpvC1atc5h6
qOEnIOyKvOsFCsbbJvoQI5Vp20X+OoupCYtJ2L4t8tnvg30VDRapTGrYb2ub1XrbeZEAULErEC9h
yJFC4D1zIdBT255+mYT+6vKg6qUdnGhpDnoiogKNR07K1OnG77oarqVEPSgyYAoExdv+UYmY342G
bCvJA1H/9bs3NeqVStkXOVfY1oMvHN6ZFnjCbFvTrNbXihcpjHcoXded5x1ISMS3pm3M921PX43X
PrzQR4KW5JVD0l5kRZAzi/vDLU+n65ymeEohRqQDyXna+M+Qm9d75fjwc9vTV8MVUEyA+U1D8qKZ
p8OIuNvRAZmwaY6n69SmpiW9GNK6yMsBbAjSz/IDeHLhj23vvlpd56mT0+WSLK/DOrjlPtFPvAFU
atvTV4N18XhjonEmudV2eglgxr4qwLncdDKn6Wqw0lioALjJIm+B7cmdEndV0WwLKMHD+3o0FY0D
fLVzRQ77oTr481Rk08L5pm0BsNurp9uoVURaklPL1MEQTxwBmd12+Qax3eunAy2BeObCSG6Ai17O
Gib1jwBFq3Dj268Ga9mYcKjLkOR+LEMkbDinAPQZK2/bgFonPwl4QHyNwMEl7B7taZgUn0Naved0
vnSPf4ZccMX5unUkMCfTwDHVjHBpXvN5FmdaTu+dB996+uWc+NcKAkY3+JuKFbnFGn4FDiP9lCTu
3RThy7j8t5dfjVcgji1ohI7kCR+BfizGCUiQgo1giXFZASQYxcu2wbvOhUIKWlI3dCL5DP5K1oHA
i+qSbtj49NXgrboI/uVywZQcTuGVR0sKEtNcb9pcws/6+itA/VmnpIEFanDM0auLDuu5Q0yn33Rs
oOt8KJ52s5kSTx8NFHI5uLvuJNSwcXZY50QZAjpIE3fDsZMl1FyQXrXZ0lXL702z8lotSEfGKx+V
zcc4neAIBrN73wCyum1yWKdECQ4zfBU05EhH7F15V7ujFpA7b3r3dU5UwVPoHkJWHMFZsxwhChL9
orYvN8W66DoxykNqP/DVpjxJQNVBZmxxwR3JHly2ba+/Gr520F1XJAAOxAoYMhvY8cYoWW7rlev8
qAWCyop6QX8aRkOhqgC6FVgG3myriwUg5PWokmMbNnJM9MlJ1u9Ugq/agvywseOsxiwkWJFXyJKd
EGJJj8gEUA9gCG47lcD2/frdgWzDJFxN5FRp9Xl2rP1Vg+j2ZdtnXS24fWKFa6pGnW1I66/MF+on
eHLvJV9eOse/zPnRqtlBIp0NeE3unMZEu9wi+DSdhsJ3vzvP+HIvUcfxzkY5+nPp/y9/LF6t7RA6
BxeQoTrz2YTlNbTDU+EfYxOGrL2ZoQEhKSp2BuFdq6SL6a100CocAz+ci18OLswQwKNW9BXPvKFT
o8g4WYB9JDRubQu49RzGeRwRLr7r1gGWB//fNIcZmQHFv+LdKFWzC5ci9XJR2VB+J1OouiBbaOT8
L/Hlf5mwV4X6+DGa5r6+aou0am5jHov2ipWJKr8AtasBcVMdWPAfPcipa7WTszEAteJHFOV3Eji/
BKHYCzrxkzhiwIOf0nEqnwtkE2ibgV/K0b+7ucc9g0/FdNOYaQHBdfBtYvag+sviUVnAEG47b0lA
ZxZILxWPsQbZEFDJqQTQaz+rmfWf6r4HLxXlCa06p8mYsKw0MBh0ewuUVoPfz8dFn5eepqgv8AjX
L4Gqw/Yu6fxUA7DX08jcICUDINKdc1OS/GxAPdZ3uFjTHgzd4GF6e+s3FQ563TQlMYDIYJmX+LEm
kfN4tnim1hdNOvW/L7XHuM5cokUFZm84FV6TIb05iLuMJ6gcAD1xFp46lIUrQEebW8Me+hKyFr1P
GCEBwG4sSNl8KBOsevdiaKW4S4PF1qcUxyCFH1TQbs4vULf6ekmSqn4AqUu5YI+9RLccOZvZcAuw
Mq6+sorggv/jAs2YqXcGRivA7tm0lOoEAC4jX5rQzAPAoUhAjEFJnJCmAkob6OPOZSZRbhhhABBh
73aosZvD8HoWtUV80PNns4B63cZMHIECgjRlB1k2YZCwtkkBcCE8IVR9syGcC88jUJr8WRdM2x4V
6OCqAI0dBROK8klYhvwcjUCGfa2GoBa/jReTReTIOV+CNrMRwf+2i7gV00lM+FX+cW6KoSaZQBU+
cHsAlOHvHtq0KguMCdeNyW+gAnkoIBTQBYoNdQI++wtZzMjErudLuPzwwfAgP4EmA7kQBRdG77gA
cfYQKqen9rqd5WWAxdpw4GL7uUshum87m07XtOpCv8+hE4hMeyAQFYHxDHkDR7pAnFQNTJoIbYyP
xkNq9BetF+X96voqqPOgUGGRGSc06JJk+DwKbC0tod0ZuM9+H8kpUlnP7ASDTkAxzL0e5Ml9D8yY
+eEPaMmfWgyBAsG3bfz5qkVcKb5BSfUQPCYA3aJyGAfZ+qGJourKgav6IQ3Smv7UoxqueuRk3ITB
GO5CHYtcRWBRQKWH/UNVFeIjlb4rf5YwU9JjCQp1vGRlCHp3cTvVnZE30DPN1I27iRaphI+Bow/K
W7rwNKiuILRoMHiiruwgScBkQrsDRC1xxfdIqXTdVS3K2eo9kJ+l0HtQkSP3OSLesPwiYVH2z4ON
VQrKM0dkHuzQkJrlgfsFNgr7GmuW3+5qF0uxZJhsyKSzDrmUlcotlU0fnGLPgmIEWKKOhiJrAMPR
v1F2pmBMKAEKMdB9G/BCkszQOQmQejUKob/A+QXKXT5hm1mnO4BtJDjC4H2ClJothGoQ3bwZGKMX
KJbm9LEPWhd9CWdiygC0SKT84N2cdfR3bfqwe6j4kOiXqWs6oJLpRNV4V3gimL7BKiWQwCNmT1VH
6IJtD3qRVgA2Zt7Im8rPXRnFk8UM2gO4fSOt71k/q2kLau++T0D8nsCwJ4MPEqSboaWBS5r+HgmO
h/V56Eo4DfJY4vYk971g6O+0FWPbZbKa7ALvATBkHzmAAd53fNbRFeBdJ6wCQxWlRumHSVWUTfnA
oZD4uYhJAzluOJidWRnolrawX7RTMB6lVlDtgHOjovI+4iHR+8AwcDq9ihqsLnFkIeHA4ln8nGVt
+YOMazdCk6pZcETTlPRHndDGR4FhwpLyGTuQUYDoncgG+H4+NK07J5ouekKifOJA18Wdm8I0Yaht
A+C5x3osn3EQ74D87IPBvQy1oy3ZaVZx6aCFmjQo3spNnn0YNWal20Hw+oKLQaoKoMCJJ/dlvaQJ
IIagrj7EnBrIj+u5CkClpW6qP5NijJbuAYcOgZubnqUgi1/PsVrig/MHNV3j9hR8aMgQ22E8Ig/c
p3NWIGhXJ9BAgEv7HZRLWgH2nHLnij2otVSJbOTg1EgwA0p+L+LxQu4siol+A7eqbkG+tMJA2ICi
nl5FWRvgGZ8vmonhvpFSdO2Re4LLBLZd20MR5Jc+qa4DWMuG+R6A5cslfTrMQbnchsuCbwVurKn7
ClHV2SvgGAtIA75mG8m4bXdaXU79GexWRD0ok0C9AITnMkNJtjhEH9vM9Kxsk/tau/JLAQEMNhBT
D474L8Dl2VLAtBAI+5M6lyJ3bBr81mU1AYP3RIPEgQ5LvMJpWAeMSx690Ud2bJkOlU0z3IYh1vC7
KhY761zhNi59xnzpBVVmKcDVuRdE4xgd+0hZKaCl5sH8HVRd1V8XgZy9K6HjxT219TLYW+rNHRCX
RsuKhdiJLJgDJODNDjPS8+QGdJBdMJgY8oKQhabqdvMEaPAnrAGCfB3jOQ7KTARNER9LoHz5L5HW
bf/UJ/AwlEcKum3i7zRoqukN83RSwjMyQvoNmQ9gy9VpbqfKS/cwbbRQJWiCyenRkdhiaqZU0/ZD
iKyu8Vykk4keFk96QEdGccVgoA6AKoa8u0ebgCcKHGZ8OUG3I4wJvOxQrwQ1d1h/TNsOC3/WMc7M
V5DYbfkLakw6KGQcN26cM4sMB/EllQr8koy4WoSffZsKEPR13+FklRXJuJAug+qhQU7SsLQK9G18
gxDSElvTWVyzyPbRIy68w/RjtTBdG3yJwNeIDke6ahGXgymLZ9FSSnWV0IKJT/UysvZHHFQKiE3a
hoATQ3jU+9EPpIh2Fjz1Kqqrz1BeF32ZAbCKnRKImKzQ52bgAv4srGs8+DTUugJavAJYlqABI2PQ
tYoZXr4jq7DrDWBN8hKgR2rLiI+CEZBJQLk1Pc7rWdXUqjhzPg5oQTlP/g12KDT5FNaYGnO1+Be4
VbsAXPYyd6GU+aQD18uMDrg5+dIsaTc84FVYyYEhqJvh2nndEHyIGlh4wYyeIjiAGtgkdiSVxgct
GES44hFu5qk/+1NdBzncAG2H7bnt0mcT86lHLeVQzl+KJYZ/J5s5CeEK8LnX0VuyYEw8eLNQ0KIp
nS6yy1AGwOoKdVK1QSqwnjswxLFo2LYB/9XRispDmA5l/GuQYHapTHkMaFLwxHFpfWINFqnPy1zE
8dUEixCDxQrzyY+lQ4M9yN4we8+7JrR3E8H+5aqo2xh1fDjXu+QKKpTe/AbAtrUHD3YkeJ7s6PPu
VNhQjC9SgYzxMdS05hc9ajh2MML0/vxJVoPUJ1xDcwd+qweY9qfew1XxT7gb/NY/hL2dIpcFuBt1
TzLVAbb/tnSKnWctIBc5NaWoUdFacTI20O2okf3yoaBiWF5l2XxymETQPggVVgxtMJECXwHjWevr
aWnq5ZunlHiYcQZkN/F4kehYeDc+TN2Iapaw6qv0uaoqYZsdzlM9uyUylfJLAOaRuJeIjgR5LzAO
v5WDxpjcSVakDOVeUJmhONOnv2wBuc3DDEDAhKOWIx47gSPrujPu3hPz1EEiw7/PaZ/g52Oql/N9
7Nq6wWirZ9PelmQGsTsouWtfwgmbzkwpiDXPQpVK3/Qen8KjHSsovxhTvJGZlXPQnGrobjRmgSH8
NKY2UvdjYa08DsIQojPrtQl54kqXwS+JFLXxiJVPTxmUXODgYlmM0St9EUDKYKzwbnowcdNPrWpr
ijk7YWrvV2OinqeWjjWwt82CQTAssUHdwhhhR/ZABmcQEx9l0YqDZZpAWpVYEz8C0zwFVz1Ux/FJ
LK6uUe0wpfVdWC/wOmTNgtnnaUrnie26th87rDZlMWRLJIbx2vMcjx5Bl2ushPYlrk2JvPFkpI/S
eFFj946CLJbTBVrVowJYOz54arBAmKPqmboDCA28vcGuM7ZXcVL60aEZxrLMRYixedUsbQT3BF2A
Zw/iytc3hZXehTQ5dpW8rhrqamTW+E6aszebMdkHOBfXd3ZhajiPfMGlcsTrrimzEe8WneIW9UV3
08WeeAOCeljvGTjYKhcTKspiiCSSxbsu+kh2P8qoSYaXMUYu7L1fh3TGQQ9VT9E9lCcS/ovB9PYm
ckGkzhQOE8z2/mi9c0V7f7pBUSrQE9CVGJp+lV2lphzyKds+SYxf8BzE4utjD93Mch/ZgSpsqhJc
YAIiDDlsc1vLNljubIQmbuFNIZMXiDN8TpQsQFAXVVvtCjKD1XyoA2CON91J0nV1F2uQ9dsJWp5R
RQN8fyphrcoaXJR/3RTXWdd36aDAiLI9P9eTp2Eyi7w72XZy2/3Vur4raMwYY4e0nKGwGTLIoPTT
jGqDh23vvgo1xmzpNeDm7qyjyr8KeC0+X/bK77z7n/y2f4kTRex1PE2wUHYl4fLc8YJF5YFGy+XM
RvvizJDZ5cHs14pyD242Qbefm4XlHoDJv6pU4pAlupLdVehI8K8F2HQt046qFMR3QvsZstEqQUXj
no5Ngn8wKFoWx0B3qcqEVEGcFfAol3dJPFb2qgThm6NbD7imE2M1v0vAeeMmZ21Tn7QMIeOYB/Dl
+4lc1VWXErYH4Mjr9tCqI4aSMVgaoVdEhCsZd7j5wakYWYA+JGaw+3hwX6ShGw4+M6TPp7oY+lPa
QPlzE9mCyJ1qUSM3HqiRBJD8WAN9P9zhKB5hf2SMGhMDPu0wqP4eOZEOlQqq4NjLIxddX11S6DqU
HBYSZ9xDdSGWs0M9dSKGo5LPMHM4TAbBUUZlMB1t2fvuqYEv04cCMrINJG5FXdSexNkSp+n5qEPm
I4qiF9D7d14B8do+cGAAHZqLlcRewReQ2rsmiUqo8KQbXFvt//TT/xUp/P/JAH9FC3+TKf7/ISn8
knH6NikcLszKVt/+5oRf/of/cMLj/4GROYXz1EfaghdcMrb/r2c8Si8I8SiGQi2ilEE0/l9OOP5T
hDLFFGQmimoF78L5+g8nPAj+JwGxJYKfPAwDSGuD/w0nHO64S+j8v1PARUbsM7haMf0yFEZC6vx6
KgBXqA9cGHsHO/aw1Rc4pjaomwz60d5i9QrcE/lzRMKZGzO/x7to2feIq87fGbjd30tkIsF74hu4
yoeUwF8GO/YMkmJESxh/1LxIlpmOtI+mS3mVY68FT0BmBKp5cScPylvWLXPr3+s6MelumZRbINAJ
mb6BkpMmateEMcfZzFfs1gmnW2wne9aFByvZMtHdYjTswMbqWULfprU8U931TU772P12jTJfRdkH
cZ7gOj2r5jg6ABok9gg8302AFTz1I6wXBe9ijMPungCPeZDN6PBPq084NHY/CEow97D2dHvUTn8H
1i28XjCjlF5Z7HhsvYwbnCmXVkKRVQHaezm7H4HEvPb8RF1LyYZdXEqT+xFOFrNNr9nA6vtQtmW0
53G4i0P6MMxLtZe90vtqduXBIhH5bpEogLlYhPfwIjwgpSGCCqy/Y+PEz4bP/cfRquiQwGN0xvE2
2PkzMznUz78QwJv2vo7vcRLoz9qSKwT7f/tkfgiZXHYMM3/eT9VzPdrxiNPfksez6B78OvieCkF3
PQJ7e1oo/awaAM1l0LQHbHC/kzL5ihBuCGGb1x0jb/kRRhwe1HBUhwDh0Iz2y7SXuE7Jgq6yHyEP
eZkxCB6Vwk/tEzLicqEsniWKwb6CRZqeUM+pDmSIpp3B7nfnl3CvZAlmy+mpgnTF++kWLT8F1oMA
Tbt4jD5CtDWfgTsowqvBWhP+LCwyetEhO0J2Q9gwF9yJKqRpripmzBE3jN6NChaaHNK61PyKj0n8
kUymhYoDLilbC9wIaGDe9iFUQvN4m0AZg4y62aSwTCcIQrDkt/JKM883ZTwOafCB05K4ElEkOLWq
q6Fnqt1jw2mhY2MNyAm0XMZHKHC6+TrpPL/HEtP7H3FeCb7FS5zsQBycTqPg+sGH0x1ALKwssOLG
OyAiIPqBPZjvIjgrXtBtw91CRljJwoghaO415sTBNrntC6F+I7p98c+0HULYMApcubac70bsK4fh
0KmiJsOnoSpmBLiELHYSm/pdCRnjnT+FH8q4C/c6CpudSQgETGkTcQpTvEAvTrDvhIwQ80VyFfj1
rBBGQGh0OQ0IWO2QbUGuHfRMJ4CVpgxH93BHCZlhLg1gO64KPdwMOFfgHlPhXLSHegiVjNBXzun3
FEHfU82sGneOF8ZktCyL01iQEuKV4Zn3HftKHIhbMMNwVCg74vJ5VPwDfBvzMSY4rqfET/MuaSGW
0T2M42mpdkkBNXjQUIhhuwo4bkShCtPqs+8Y2fdCLxmEOgVMSZV8qMSyXF0KNSlEOJC8JPcDpKzX
faFgoUaC7DUuRyecQnuXI7DYv3TNTK4748K960xymyxOfCvLqoUiE92+nBc0RoiwLmWXf7LwNnMO
kNBEOhieBh/2PAl77XXS2+TodX1yTBBuPWMb7e3EyBZYP1R6IxE7vOtaGu67VHgn+I7FteOOXCc0
pM8VA+0Nlw5DNgzga88LHIN80h89jBM40PAnpZn1Rwq3Tualf94q/VT2mLEyZ9Mq2uNz4O9Wpn/5
8wW7QXmnblrCfRJcnkAi96uf+hanf/5NdggBTo6SK5SfunPJ2+kpmdEkmHuLe4PcIQQ8h3rHe1Wd
W2tMPtAIv087lyPWkR7ZKBf4Qf8PZ2fWWzeSpum/0qirmQs2uAcJdDUwXM6qo92S7RtCspTcgzuD
5K+f52T2TFd5cpluJJBAwk5JhwpGfPGuvnXk5lxDp63mHV17KvYqVk9ObCiBfu43L1mLt1+/f+O7
2asSbrUvB/6G3qX+7a/PEMh/edaXejx6vZ0tl7RysledV+8jHRzvIq2M+pti1B/wVBZvg6hkNFAx
9VZOVv9V4oR4X+q5jmqBNjHw5pWtD4fBt9LQliMMkP8ssH889ZvUXvI2A2xC8xMUuJ+4eEvvRhno
dmvTU7/kSksvJcApFrjND41e+q33ajmOr4kjUQwL+C/PmErg6zRJlduJ1NK2oBkR73dKg6BpmBkA
WTuNJ1s3BqqbhFMeNS4jz0PuWCeK+ghCUu5d0uhPAI+PqysPi7S2iDrCOHPU3qyGoxTTzpzWw2RZ
73SdNaFepDZ1ZIM86eLaitx6d8qiz9j3jHsv3V7pJW9Cq+xgQ13Qq602hj10LqP5PLGYwGZ3eT/2
gZ8O5c6enDZOGs8CzgTS8bQ8pVvG1wN0o/Z5sBC06Jmc6CTLrdCVAiArddJD77LEB+XWFAUP45vo
DDOkk2gOErW+EFSc8/yb59JMvk998sMhVC8ypPZk9Kq75Szxaelc5cEwzJr5X7G6BVvxBPcTz5sH
LTmW7pelcZbIzLbh65rBuNDuq537fNb2Q4OmT3IB3rtDdoRyXdm4be+XRR922yoOOnxuTd4wR1a+
PQ7UyJ+Bd/ZDYkXYQa2oXY3yziw1cWkdmDFPjWk4iNw7rxTehmU5Esfk+uAt2ZdEQspq19ZE1Q0n
7t+v3bjtW4hGqpFmdz961gY8Xv7I7XyFsrjySnQxwzgSBqnZgx75A4nbfW4IarrWwzZptBs7oo51
f4Hdo7tHs5W3S6Hs7HWmuK9wq5u0AoMNaC+OGqm8WFYZ26AjtNOsbwsc3nTkfS32mGfceDLaIyws
e3WTheTHyLdihd4ZrNF6oJDD2qdqTkLgUv++hpR8NAZXkQdT6ZH0Ku+p6Sm6x9VmHUrKK6kmr/Il
SushjwbdEASvCFuSdW74D0lqHZkGaVHNfWWSDAJiz+LL8tttqKs7vzLqHXs1Ah8s2voDNFP/2q+2
26ERy6ejlws/YiD1KMJrOEbc1RxPwk8+QK3X2wR05cJdkyL10jYir23rh1zvmnDruvRocEjHSd0n
FUeeO0aYVK19LzCtevacwYrJbtfrRf9c03Xfs7U1TTSRc/Fd+lLbEwXWR4vTD+FGmcBxnmv3tFrF
vKNfSgPd8cqjIwfjbLmFOCj2K9q1Ghg+UWh3JEzPLNO0vDH8ftuxLxpHWu1WMOxFLRRXaz58i80m
gxnRWmGwID44DoW5BcXYrlGaawoM2838m3yj5k+0gkrIumkvTd5QiFWWAGGQQIFc9P5JqpzSKYuJ
kTa5lE5dsX6fTfrmisrM0zDtRfrI7UBFwpm3WC4KmsFpnFjJqdh3XVZRDIdsLp6Q8Qe4Fp1AZ1KP
kk2t99D5/kObDNcRGnrOLbVbhVb2B1+4vPfVWMVjx/4/6+P2ZV7WvZvYI7XbWnGExzlZarXhk9f1
MzVr98Nrhb7XXAH9k5ZRXlr2IS+A65wkUfuFIHgOROgJpGQJ9Xk5Z5JXJL/4dY3IvaJjlTP561iq
4ULrY/Ngl9IPlWxeaJIo4zbTl5PE8PDsMzJGwnTyowttFNJm2uzHdXLjYuULeUL+won+uP3als1R
RrOpdzv702Oi21mgTBKZOZZNAop6TpPEz+oH6NocdmVhV+sW8Vr543PBaH9CLfEh/OmHXrnMXo5m
RbJsbThig8MsNTeXxsVU9rvZLN5dVfjRlBZvoto4/ba6oci6u+t5xwKqhW2q1idO2hYjHqPGEKae
awZuSZMi7NkWA4ZeainNm6sIZi8XGJxFr7IX3baNa19d5Z1Ti/24IdiOUdkM/auAYsoatVsk+2jP
3S5INdnuYLrePFjPAwOXfMPEyKboV6e1JXlao4iUjvS8fUBQoSggrrozgkHJr8mkaIBK9xMNdhuk
yPpETZt7sDtifXNLmME8qCpKKvtWOu6bVw1fCmmbO12UG6z35ITkdWi7gQrGlGa5kpd+ax81wUxJ
7Mv1l/pp5bjt8s6d7slqXeKx7D5Behh0u74mBxoSaiD558nMxPSAg5pqXTge87RpZhs6nVew2Kbk
BUZbayMGLDxqTEvB2qK5KfPe3vv0voZQ7D+w85Rh6dI+bdv8nobeTI4zR92hsrTnsrGOlgbskthK
P4xW7t7NZYeoydj2WlanJ8O304jqb59dJPMpooN/bLXeDCua1faKxxhwbFsy5pKeUoprs5yZwKMx
3/THBML6VV37R+dkeaCh9c2gfe8Lfa2BPdrt46BZxXNqm+Z+tnvrG/eqYYf49KPTffcEwsReKLo7
WIm7TW9uayH3ymPSkilRvPAS8kid53o0GsIpWbjvNLPf6DzX18RwSY2GOMkLKF5qqPxTCSQX9Am9
9BTLr/Qi0iNDOV65d0bT1AMfSuBG2aN8VLY3ktBTdPTaISmgwFnfzf42HspqS2Jbpv55TlLGM+27
oLmW6vCZLPNamz+TwutfQNHqyKtzf2dryjmwf6Uclm3yYgEb3lakqe8310kuytA4whJPj5A+VYBv
zDwJD9Ml1vleCUtGJPo5d3mTlS0KD9TJCCfUxRnJ75aG5VwcqsHDrJ7G24LNmQJai96xte7A2dZ6
37cLWJvBLT7M9O1D2v5Gr2A2PywE7O6X6z2UYcUNVgyUXLy76d3O7IXxzSTBwqAbm1tPJsNFG9+z
GRrXEkiLSAQ0927uTDcQZ28K0uqbsymoHwiwU+50NusfEyPQx9dVVWnYFUsZwNnqr1IT/V51iXiu
BqE/pPNo3xR+C7iwKI3B3KdtGvLynMvyYSZ3GimZa+2kWb16eeYePLulBH32BC7kbj6q2aM9O+sU
24abdzsXD8M9ny6PMTbc2ts1HXKylPO0Ffa33rVpXHRLSoan1vbv5bXWMffN4b2BeQxl4fHQayMp
A0dnEpkmCaUBixzQe1MdADj1s3SLa4wodyimDf/Btqr5afBMerarojCjtrHWx6xJjZi7cHlorl2Q
Ii2mG66oY9yIVBznzKDwt1flc+PXzaMlV44Bm3320kHtHGq0LGerccpb2hXnj3Up2cfrDolNWaVP
Na77oMK/TPekrX0doWMOjT+RPnEttam1svumd3Z7ElNjf8+ljk9K1Go3colkZKJovDAdfZdBnxwo
25mijv543JRKwqK1orqpVqe4MU2AD3MGaa6SdY9aYruxkZLqcO3nVGXbTaJMBQo+LQerXEamhEkg
rONV8ot0ONjSSGNHs6kyTtIfzWINcVIk73OHYqPq60vPtWogFOWup+/1Qbir+0uCCh+WJ0UozCT3
oNFivhf5tOUBtH37nUrN6oZHkkcCBcterKYf6Xo2PAiG7PuJS9TBaxLEmoAJ4cRQZARON7lUlvIS
BKONIk74vgmbmWw0g69oWGjSdZ1oy7o1D1ZysR9xSi2HOZcCW5NBQ7hTq70vhRb6fad99dvEDnWH
ZsymS+on6LiFmtG05cFk3allzNkB4DMDF6Yauc84JovLWuA3y46Q4no1531jFeS5jkl3WxZTcrv4
JX3A2YowBHbwe7PyQ8HAFQP4RecezLarHzfGZaJ8De2LO3LtyPpljCac8Xt5vf3r6aTvtIJTdC31
o9/p44GfKzv6CyARGEJ1seeq36f2mP9SbXn1JtGn7SDlCElq6mE/d/X6bWjZVPTUp2ydDc2mnbez
UIVu3pvnNGVctHI6bM7oHVwqOncrcMzXSp/WuECLSc/pNBof/qTLl9FrB8Sd+eQ/Gq2n33Vbof+Q
/ghPOHt9OI7C/pyAiaK0XNOoKbwlmNZC7vwJ5MVMKgdgZGlfgJaS90kWzW1SUB8uR9HA2qENTAkx
/5HDulupXd6qNO8O0zgwsDj+0nxfl8V+NBcS/G0qSr95iCnZGmzvfc637Nxq+nwoOZDrkLw+93Fw
tOJpHhI214b+dVVfL9By1U4NfaOISDOkkS2HS5NxGw7SWuq0MDeGdylLLz+jnczfrVJVlDLj7nAh
B+vifuw3EdHQXrSBO+Rk9g69uLVcxBFntfl5u89ci87n2o01cywjuxWDhTyB+uSyMOYziuMOwtIz
uIOlnX8nl0I8gqKVFwPp/FtlIldD5UPxcq+2Ppwzb36tqViKqGn0f/Rgac926iZn3500wh81c2f6
qTo1OQrYiVp1ZjhN+5zaBtWZnt8PXTrfm9Qxn5qkBheDC6WwpWPPK7eLT7rbfgZHvClEmTxo/NoY
Nlf/3lxqA+DS9cIVvfGlTfTkxJ5Z32alYcW10y13vB5jINZ0/PAZcOinf7dM/x3J1pMNaHqjSfk6
GslTbm3MObM+Rwhdl0iwTLzM/KjraQpNy//uTkVcVWhVeqtOz4CG1fNo2CbTjRnppfjiqjYPyXUU
ob6mO8MYrUDZuhUZvA2xtZqRw4AaaG2WhlllmgFNbjuYunWP/JWtu1UMjmt7mpt0fKKHgGUzlJc5
S022u2rbzYWkfMcwzVNnmTPZNOtLKqevTecjUnWmeJDzruGWiYpCny+GATKYJPWBF3wLSGVKLu04
mhElG/IsdCkOi1EhGjYVYxj21ShF3En99FgcXdcdD+syrPu1J3ZE98tT0yfjhetPkXJm2++zKIoI
V/fCu2Y+WE2nDh1KLXu28tDMrXTf9pv9SfRq/+SWgxbT1A3kanFB2taqCC2EQQeV0SeiEcCGhtcx
Y+5MBOKKqbwo6YOpoq9WQeegzvSK4utEnGKENE+/L9BAXPJOuyoGt8mOvan371wBdOvn83OdV0Zk
DCKBBlR1QLojci3Hqnadm2QP8wgqoCuhRYhmL1vKpD5UwLLT1KdHf3CbiwQj2olecT+yuDz3Dc/e
052wdw3tRKwIn4zl8LzI9dGXjMD5XNoB8yTTXNf1lCTIwPSzOe4cnW5OZzklk7lEg5DtrSqaI7L3
13ZIL3OrfbQzPKtG/1usryK/1dMBMRD6xmuxVZjqiTigznYjPfWY6hzv3XOHnluI/Ap004WEqLG6
UE8fV4QIYZtc5/Ha3DULuO421bFGtPPD3FosAIXmSCJGHrgmhNTOdWGlzVpAaXvjBYvy7jJe7tA2
2zyei7I+eqiHx3Eg9qH5irDUCVbCeSg/98LSzl+HIm9irgVJ4EL77NBmDjundDtYi40Ksby/2EXz
vDgF51sP1iot90b6ZR9YPUwAsQYq7iyxxFu95PRptju3skHtsnYImgSZotmX1rPQhm+TD/xmWoDu
qSYWTkzUFphJwmL1FLYpbzjbnvoyrH4OaNXou7rVvxaelbK1lPPBnfznxmWU6kZruZgZOiWS7Pq9
b7XWqXWmR+G2sB5LNd9i0kwtbvfQ2H6z5DtHrjvfnL/Pmf/k0HkeoE/es9NPUTmaCXtv6x2npdSf
GQuLfe7/oLbcApeTgLm6/8x8+Jrmyx0XiAaxdJM95ZP8WOFpbktD6LuJrLeLrRkfIkHg4reRnm+B
QWDK3u82eVDWlJ0sb9lzYlbsaSwJYeRqv17He9SIu8puP+axPmaN+SXpEjtqSv1xQ3d9KtK6uOlr
bqy+UUSmL99cfONBX3OfMfIZygql4LEk9ztYE44PTXryZiuKE7ef9KSE3u5NzfhRGe1zWuZvc458
IW0141CqojrUfgVDxCB6TsfU2VuMaYjMyz7jvqwOA06JeHU3/261zA/Kx6snbB7LsdG6NSQDpX2w
PAwe5Fo0UZpNWcilvH9ICRfcSzl9wx9U5zcqVVGePbOlq2NVqzawqmndm9gJ0fs36fd2aY1oaiRL
XB+KkLnriGy+4NNoRPI4896S9bFS27d6Mm6GdNpt1rIE3TKdqhLR8cQCzJ0EQXRVfFsb+4HnfVws
O3ZwX1isu8BaOz0GTd0PZf60DEm0FFB63SST+zzjL81Tfe67YY20oX2EQXu0ln43mdmxdbyIRiCU
mV0SG1RzBhvK6LOdjJGcsvvJN160lFe9XY5liXhy66aPslrKKNGM96HWjw5vw8zS2KupuLS6d9RM
78lwrSqc7fpEaMTJoWVZ2Faw+aV5T5e8EcCbTSQ8KC9ydf1UNVRK+VXnvmS9/OoUI+OvbL91i3bv
lFloG8OT3WVrOGzGUcEwZtwCY/jb9qu+FbdZsgRaPUYcUdFStV/0DCcPU+xOutatZbSIKZA5Hyc/
WW/TpDk0IyWh9O/ZcV7XCYwrHJap5ZFKl/fNptdO673yNGt4A8Yx+UqKuhU4GhOUW00Rtg4VtFM6
xNW6fKszXcXLllxMriPOTMZB3yXsDbxHlS9gZsl0SiEGdl4nTqmX+eduMHJubpYUrwBdDhbZIg9k
Mqo7T+hn2gkAdrlCxrU75jsghPYr4pbxfhF2cdKKPL/4GsWv1SQKUFKSlyvL3YOf5Mds0AjrMysk
/xCG7QsBKerd7hjYab2sIha5rN5y1+EWzlyNlgs6AO1/rA99Gy+MckRefbjubId1nmYQLcS3LP6G
lN0d4GprfYCnA1LKZlvEFr8ZV/gFFhWL05vRxE6MSAx97EwgxCkoRT6LpxyJ+mHGCUBq3PTDLksQ
BcgnsIhgmvIjv8GQabABLJ9k1KmmZ9NwnJOp6kejdmeoCqy+0/piJ/LUiXIMJl2/d6etjE3RVmGd
dC9VNt2r2fwCxVlSFAyvr7l2EXVG2h/l1q8RFsEffdoZXLh1JO6F2zxPzSxQ/xaP4+YevcS3dlNn
JSHS3zWY7O3BbLc2rvu5QS6IF7JaK3h24xuZzgNql7YIHUD3wdbLB4ffqBDkxyLiZHBNxX6F8Aw8
gFcr84ewrpIyWrzkFk/Ao5CAEYPAG4AdIeD0OcxZpSPXIVNlcr4PnvF9mpcq7OEK47nNr96X8SVt
ph++PkZd4kORuE4822nOOrbusT60u6aixrSq9B/kfdcHzcUMYAt4N1FmgtHBjGdv66Kpqs79OEfp
pNxjI4pvWgPJUJLcK8bxtteUtbezzthtQ/foJQZXaedxdEV/ly5iifpkcW/6xp6iZAS2nmtOZbZP
6+RJEQqVNhHccnYa59zeofhrcHUxtkOLA5InXEKF29Rhn3ovhl8Mt6i2nUs25ucBz0GMVPGA1veu
IJWMcYKDJuGC0RdljPIohpFES19aPcgOzGxpFndKF3nQDLoZFIK+CpXn5W6CiI8zm0GhpGWLt27N
j5UHGK27pog0rgUol+Ybh5KYeZvdGC/YA+Il8EOhvxCDhPAsbW3+1WTHfDbfrAV4oqkv6NrreDVl
ddFTu2IA9avQsLmoiNXidlNrQoLOcrHDWKUK8EzrZbbaparvm7Q1rM/NbJMuSjpYeTTn5McdrWYS
5XnBGLiinB4q6wLXiqTfcOayPw7UExg3XduTBgAE0cEw9ammFTtn8BWu687u34o2q8Dfx2F7zYDg
locBiKgNckBGtecPlXMZuX82MTajNbvnfE/6u15r1l+2cvH6GAq9BYevKYQ61LWDxyZP5IwDaIEC
acI67Ro9KpxeM25QdTAQuqvIvpFQmxIN49iifTQhu5imWfdlfrM4eTM9zn3iM7hisCmiCe2RPMk0
86edD40NKO/4kxu2Vjfreyz8PRxyuTWldk7BVNdbtSR8OKLZgaocyx7GqPAKbgt4kmYjX4J+pEDo
q+zUpp98KnNwwRWLbYwxc4/r3eWIIljHqiYvAbf+GmGzyefAqD3/HpWEd2sL433pnHuvR4dtz7Mb
Vq7M92M5qEfPwuHZFW2HNzZJEMDlU/q9LlR7r5Ua/ouemlkzNHXO0lCXhndEwPG4zcJ5rtPya9qL
nVtkANtGEpr1NO/S0rr3VE3NLeFXKGuIeFp7+wFCvDmlmtd6IbvhtL3YyJi9X+a+N6/ff3bPRPR+
US06btVlOy1NfmT2ZOzrSuzJe963MzNwX92sTm5ESUGIbF00ORRHtkGu5KCJwtxBSuCemvlDWVDm
YNQk1vSdj5xHjMtLt2GS7pfmnIwmlzfG3rOqVxnU/mKeayfLInF9SNKRFpB2v+81qzkOCKL3ymrf
pebdZmh2uSN1J9Uy43E7wuFeY2/itaTeSUvZR12z7UM94w1ROFW+JAMOTG0x3Utl63YEKrkiUSiS
ozb39uu6TPir1PbajuVHw9ARjUu/L4YtOYiWBvJ09Omj2Rw0qK3/Ya5ecZya6bbBkLBvZvWcLfly
nkG+HrrOoxFdCTyMuf5djjILMa9xylgaOHO/tSituaDJIJuLhnYhLrT+tu3sBf57yQZ6L7IllmjS
uFR1EAzdeoKMsw7C5xD0V7ONbUOt+yqtXKYEgVew4KYsh+UBnbMbuE6dhq7p09VmJCk+UeFf8NQ+
2tJrn4WPXbOYNvcBrZ5/UF0qIkiT7keiKmKocpLf/Y6uoNQajMMwo93q+4G7RAEDm/V4eiw+Pf4r
i2gpxLlH3nbwVM8754hkPjoIAUD7jSYcpbY7z1z1UJYYARJHMwOVlN9Kl/vnkHO0NWbxVBbzEtb4
5WLo1adtqeuLXybQtX7HNCim0Y+culheGtuqGWbQPp0gsqcVBQXPPsD+gdeGrKvtDdmX+V75ldM8
jD6XQxO03tjJCgfCvbc2xbAb9Uw/OUXdvm/kOKMjmfmgN3YFUhpqlf1a5kYOc9i0X1CsOWfEjBPe
WYjLaetP23XLCsYhwZLptRKaS95UyADDTgdzaX2ywdR1uDEGbTswcxQvqHxJnlwyRYBKspzYwBis
vaQqw75lHcQy6VUW9pPB1DVI1eonw6RSO7DGafE+uPThYZonh6TDJZE3vV9Gjd2p05I29qPmuMPJ
m2ozWjLNvffrZd3BNRS345rJx6yVPygzNC+8xDIs60p7oLz8waTG6thT8vME3YGwv/p0+sKLiGZC
y4tPoNls+6Gd0NNHuZFo0eamRYK2J9vGM5rZ71TqfYFRnKKV2Oup07VjkXBFNvP8cSkh6OwVbIpz
+OB1lvYpO7QDjS/CYW32hSmbcOk2dWSH2DkOYh2PlySuabmcWOSlHRlOYnAyu+UlFfrT7MPZ6RiR
YbTawLTVubVH82ha2hAmum+Gc652m1fy7JUa8nuh2zPjvIRnHDOB36dOIwfi/4vZjuI2dWtB9RDm
gbApej0UlPAcjaxcgyEz+y9bUb5YHi4/NXUfXIDGR6R1qBca9ZSx7W7oqZbl0xX2MwBRvpvgUWDg
H9Naz8Kk9wXzt3pmBC3wKLJPYKBXOzKdXje/9oFnK3VKBp1fjTHCdSsX35kfqF7pSGzWxR+Lm9Rx
HHzkSnyxMJ5eKuVUOwQK+X5BF12g71n9eou5LAd8b/Atr9jAwSe3iWt0s+ONyDCS7kxDe590z43B
ibyjiX/u1ptWm7eOFZYY6E8U7rsQnZYeDIXjHixYfxW440qL5lYat1szfi+dTl1IACj3VTGsMZZQ
+wzJONziubGvfpkPyXqMWpw2565HjhrUMv10sxwFUBercdmB6JOxwJvmd08K+9auSTOO9m6+EZqI
DH/ODrWFUMMaN4NhHFNFY+k5S90cmH98JBcuvRkQDQOKHij1kz8ZhwmqzVzHKsKnEuLv9fgExpOf
jrf0oN/UJnpWXF/zrq1ThLPYk7AO22KK081vb4qi15DlFFngoECKqNKBJU2VQaxI0gRd7iWHAR/p
YQJ44/Mi6Mr99aU2xiasiLcrC55SOeQpct2CpIGleNQG7YVSiBXeCj2/7xCsNap146h37hs8OedK
OnBVMOGkeQ1nrVQSP3h7gILD5W4wkjcNQKWFbRFRg/etwoEKgqL9sIz1aWsnE1NuSk8DXhelCm2n
zc7WBOvG9dDxsFIBPh/VJj4NnC5eaLjzSI1mzuIytu0oeVgXWqAkN5D/urz9D0Xr/yRtv2s/5dPY
f36Ol7f23/5Jz/7v//yfw2//nX420dv49k//EeOlGNeH6bNfHz+HqRr//d/4Jv/xN/9///BfPn/9
Ks9r+/n3v/1oJjlev1qaN/If1erGtez1j/XtMHnpv5yv//ofj/8r/p//z//5m9CdE+FfbdvlHzSh
joDM/j86d8Ow/tWDHLc9HwWrZ1wdKLLpx+zvf0PJzryp274Lzmhaps3/BIH+H39kOIjjOYdNFz2T
Z/xXRO5XM8t/Ktx/S2cXOt/+n5XteprVANOzfgaPCMvtxL07NLXfjA+/Pe77377Mv8iJiwLc8/D3
v/3RF//JoDOv2Mqxfupn5TaBOw0vbZ4eZ3atf3jav/Pl+WX87s9+/bb/EER2BXCZ6gf9jMQBiiNI
9Py3Jf2HP/g1KO33nsr1O/7DV/b0tjCnbALiYFipkK/NC+zp1uxXIE7i3vP587/3EX5KBJKWgQNr
4xv1HuKeG2H/VSPCHz161s0/foJmMjczN4FyJ8iAxbT5pfph423/jcjG67L5yRCRWx6IU3d9QEvk
tl9Ei/vj/75Av/Mr/clx8Z/r8adwHkCjhKCG1jgbNiOvlZ6u4PRMeiNs3cEp57upXAhQWcA/0oNm
dvei70JMEWyz7c3iO3fMuLGGKsjrxkvBJMFZ47pNCf7e/kWC0O/lofPZfy6GaYAgZ9Ho+hns/Sv4
boCKNdrKX3zwQ27G+z9/En+wuH8uiDFIeRkp59TPhvxu9UWw/FV62R+sjJ+7YVLSNodq4I0HTVix
pLvLrvb+IpTuD94b+6cXPl2gRVydH7qerJgwRsHwXBg/RHaHc/aQNPGfPxtxXcW/837+XBKTjg1x
PtWmnx3r012Gc1floTbQ9FCRr+Ek9b7SvJPVMFA01anRnV1qTF/qUsYr5FfqDTF0CzJkBViU7CfE
YZrY7jqX0z8vI/ovdnjC4tyWlyJRkefheefSf1h0P0QqBNql7Uw0C5utgXj4oTVXaJ1elvUV8fIu
W5xz0l7kynURwZWD5HLV5d1EFoDXbbvGrMJyWsARSn4SJ7CcU9OYu6oriZYYY1H2ezaeKDfd46A3
4VCqW236Pvtz5PYfDQqlOV9ju3dJ2v5ADYc/rgg3UaPKeiw2Kxit/uHPH/IfrZOf9kCpCifz4PHP
q3zq+u92cWM02l/sr+Z1f/u9X+BP+15BfDK1SrxDblfiZgYGHK/+eiXCbSgOy3pcxyFO7fscDBfY
f9dKB2bXi1QO3oaYyMGH6FXas0XQnDdOp9KXp5WzLNLSAlj2r6qx/T/4MX/aReWQkt3Ts55nBDHK
/FpqWdCv3418DZv+64YEvLT/qqPs173z957JT3sqr+WyGdqon69poGth7Abv/spFXhmkzdeOa8VE
J3i1nLvRJY571I2I5JqzlaPxvTI3CLOrSX9NqyrlUpIFKQu+N5wzJXaBhzSurFoqa0BFfJsb0hY2
phdCSvlWFwj7G40AAdlnN8Zghk77i8EX6Wf8Ri5lNxheShhBSfYsVU/hiAgg1Z+U8dI0l+QaUZE8
e+VnYwxBTQjMn6+/P9oAfzoJEgynRF7x7E0ERoW+hPAgf/6Vf62S+J0n/XNdUEMVwVJrBr/W1Amz
DDe3NMk8QGLD5zTiBZuU0XPuy1A3vnvrQWzojA07wlhAfJUPOvpKuNJVBsfxYtwU+YN0oUMxyksT
N++f/5R/8Pn/N2fntdu6ki3aLyLAHF5JKlkOcg4vhJeXzZwzv/4OrnMfvNmWBQg43ejeOF0uFSvX
nGMspUN6HgGK0q1xzy54SxjPVSR8/F7ykQVsaROyQiKQyMxlaQkuNZ5EBNUJlb8Q9qT0FNL5yOSx
VApx/xoR984i0wis2E9d/86h//faH2uX+U9+25vFBSeomufavWVxF7kdtRML7rFWWcx3RVJkAI8o
F5yk67UtlzU8aVY78rO3anX/e+WPtYvy38rr5D93Us0f6b1Drl9H5YcenYG8Z1uylAflEG+m3B/F
fVC5mbJtNPf3Kv8zgP00WhbzErcaPPZ1AxF2UuCk3O/yAMg9e+JmIlShyNwZ4WsFGIe7kpCsKy6X
o1x96JvGNQrfCYWa5EGw3qHHtQYPbF24tmrtIlRTV5OrNW9D6w4ntpD2ThlL3CLqu7A91OFw2xnX
3NUSbvFeq5Dexh1isqIpdiTdAE8s/GfVj07s6Y51qsVkI/DslwJ0YVNUCWuF/AhLOK/kpblIL8a6
CsN0PqTcReMlYPYT88OR/irPe7Bv46AIPNjFkj7t05oUvz5ei8QaBvrtQIbbnLBy4uv/vAIu1UXk
7xBo7sVMlcFGkHfVKZfNsdovdoptGkaMODYAcQj60ic6AqLOF4R8O06lEy105KP+Azt8ayFVzRuN
PItpn/gfrbT3yuzEAnKs4Pmffyu4iHCEwLbg1BasIEuVpzCoR2aHf7ulb+X2QyAZhidPe70mXIcc
rzELbgT/vDPbvyPXt9JJxatqBRLFPm1Ct+nWSm6daI9j9V7MEFgfyMmLrWmfe/d1LfBezy68z098
xmNdZTE2xZmcXY0Vm30Aokb8MIhkF4dOxJot939/7+ZHfsHSTRSOStoaw/w3qm2jPhox0ZqNfuIH
HOkuSzVRmCdVO4K24woJws6KLMrfK32s3LnBvn3QYOrSxkwpt30n2E89tT06VuxiaEKlE8LS0iaw
XNtgXHmTe15157b/Vt3BqvyhSqguyePcRd7X+omV79jHm3/It4JJhCHObC7Y92868VbiDKZcn1fn
xXpNVFTYdz1tAdtW6EjQujuvXPm/VZatOhKi+dNZnGumraadGInHvt1yJAJX85tirm+wMe7ydnVe
dRdDULY4h5QlxcbhFZmt3bQ5q9ylZSgu2SRWNeWm/u2gvJX953nlLtbGJi5CTydqcJ8Y70N8FUTV
ee279AqJQw+aLWcONQeXfKggPrMhFmMu8YOJmA912qv6vTzdN6cOsEfmTnEx5oKwHzOjoSGi4laP
m9u2BifZ+65YmTtS3c5slcUA9JvAgwvCXwnEAF4EkfTnKHnY1IqL8VeAk+fNvBD3U7Bqxt0wnLcW
/o9JKAhj/k+hQyfbXHMi67yBIi7GXyuQH1CqlDtyaCAizz9vFykuBqBCoJLA6x9zcnrBYx7P6OcM
FGmpDeqbVALODVU57V0t246nTKY/X5xI1mIAmrCazTKnHSbrva++4N9txrZ2FK92rYpkhXIdNofz
fsJiFQS8KwG7MSbOyVwltQ9S9uf3gucx8r/nHslajMm07AujKRiTgIM554sbeWQZ0Na/l/7zTC1Z
i5FJ/riViOTK7gk4QRevOsEZRDdDJC3zv0tLpIhKkRk0Pahv3dh67ZkVXgzFJtPLzBtMNqeGaU/y
TXhuhRdrIWHMusRGhrmvOCjprm3PMF3MDbEYi5XSpuD7+H5ZsE/AKQVjdGK+O9YzFqORhJtagQXP
6k3+vMHBtiXjyz81m/7bF/7Q8ZZyINGQe9+cN2BS9FYTFRcQyBe065GHYUkyVpaG6KW0SzLISGy2
SWqwfeluxrKra4WEWGkUtyH577/3U2n+UT/VZjGUwzbMBYU0wD2QcMcDnakWrT1IFwg4bIuR0USh
0xp3Q3eO7JrvZi4GdJeH/IU0GfdeEhww895UJyb9I5/NXAzoASRWUCT8EqPdzHFJuXcTEL39ezsd
K3wxnpuap6t27m2NMpOL47Up3ofCKe+0PHfan77CYlQnhq5UZGwPe7niLoWw97b0CRmHyZe/efAn
BCsj8164kMd2rxONmGqRW5Ba05MQ1BSGrcnkrEghAB0yxCLdjg3xohm7E53kyGS2lBFNOpyMtGcI
ByI5edFuGE8d/o6VvJgchskoEzYrzDqjI+W7zDgxmx37XIvJQZ1yr25jyiX1YoABqxLiKhK0/3tn
+Hc98tPnWswQZVSNmT7PaT15kWGUrEnkFYG1xvDIoV1sYO1+WdGz2FmrqPuTGQ+qvCEk0NYy3c3K
v6DV9526HotnkphXNRh+PY03hay70aQ5VqLsivpJE+5+r+3c/3+o7NJnBAukJgs4HUmhhcQU3tYk
hBDfQibDORRThvTSacRzT1vWijjuczWHzvE1NufN8UubUaJpIFXI3tyLvO1xMDnvaC0Zi6likuBc
jwW3dj3vJADc7ZEg099b+0iPXiqMwqQYpCGitcd8r8VO1p34isfKnf/5t1OwQq5CNccL7htD52Wx
d0wyoc+rsvLfossExjTAwHGv8+gJrvj5vGIXY9vCgF7riTbup9qVD361Oq/YxdAWePMdgcaRepu5
2vXZxS6GtBXFDUQMjyDehyns/hRJ/fF7fY9MRUvEb6GBLqkaHlq7ahsJr4MZrjzlHLc0I2/J920j
EH8BfLG9gH6G6OLzNplLsG8H764hPWzcD6HNBe4pOdORPqwvht3ggRyTcopVLrW7aDiv+y5Bvr0o
hEUFZIGN4EEzjLdEICX6xLc7sjv6H3OVrvz/UefVuSN1r0BAbK1xSvS9+rQTQBX6tX8LbckWKs3W
cng3jbUKzM/ay5wGcFLs3QsCmTH53jJv6bjOyAOH/BBXz3rJYbohyjsa7THHEQTRhfz2VRZ99JWw
0wBkEZtIhmXTX+jmtrB2gEfgNUL8IbPQtirVGUtopOC7G9DgiF1SEepPIDlC8FiJL7+3wLFPtpgb
GuhcyMH6ca8SzKsT8er+Xq40F/DDqqQvZgeoaGE5opna+8TV6MY9xAUnlkg/7V884VYM/ybJp5De
l/2z1r35bH9+/7vHfs9i9ggGsfGykpM2gvQs26rjGc7oeSAupo847EXgKwI3Du9dvh3PXE20+QD+
bdbHbxj7RM9T7JeWX5DT8XsrHNkSaItNPyueNCbzV/WiZ53NXIKMTCcJ4LzHfWkZdqikk6+bCtXO
AeLo5AOduM+Yzwg/dBptMYHoapHpMoRVnrZRV4k4EAieIHdOy1679NRm/EgX0RZbfStpwGYPXAJK
3cYH4lec6PJHFgJt/nvfviWuIwi64OT3cQo5VrQjOF+qf+px6VitFwM1HskI0GNqnRPAke/6Yvd7
V1GODFRtMVC9pCCmrGnZ3HmX+FRu5fHC71XYFA9i8BgQjDWpvSt22jrJo0MoSbYgXUsEU4cE8Ud1
udWCaqup6LR4uFT8eFUWrSvmxq0Ei1wQOKUUdp59tsW2Ch9EKcCHRmIjD0CTX7lJPDi//wzp353o
T31nMfLVDvWdrHCqT2vdhX23AhPkmrw59+XfyJMchAi27ys8D8NbEklPIOdlgogYDzv4urbWGruB
3T4GqK7oCUnLXFNt14KebGMW9kpfyeJEMI9PlJrqKoRuFXJ2qWckpalOnjNhx8nKkh4H9S+KH2Ju
XoxCuFelbq3J6U0e/xGbJ6OVVzV8s8DXbNLJ1kpWrTL4E6P6UYSXQSAQ0UJebX4IguckWptqeSWR
FDoMxIdpO3xldjfddgmVBCMGRtWuNGwi5qNSpG41vCcJ4fPiawIEtxZJa65EzpSVI5AmMBg1yA14
TOnjpB2MXHa82NhosyjI9FyYlJOIW9AkI09dxaJ2rZtP6Bzi3EIpgqhntFZGvxE8E82beDAj3Rl0
YVXJkp2nXyJ5okH0pjTxoQaHrQDH/f2bHunyM1n8+4CaVM/PS21+ZVEcXsi6/FRfmbvED13l31D4
NlJ5VAZ8SDj9vigecvPS/JtfotsxQxLA1oW09eOdl58YXkcmhWVYx2zJIaKQk6SXXHTAIOpgo5cn
XyaPzJfKos93ktDmkFC54xQkW6/eDbYZ41eiXBbJQ5LvLBxKym0DwssyPmr/Pi/6i6S+F+I1EGlY
EobT4YzUypLs+CsOTVszIV2ybbeBxNWDEThmUSBCuqv8nGT5dYLeXa/1dSoj0yaiWrBWMCg3xKD1
hNe1KzkrCU7rXVW+CKKn0LjN/E1jbITiVNzhsQ6xWIQb1Rg8cJt0CORHJDE13e1ZPW0Z5eEh/Kp6
gXZMLSccD1X38Hu5R76+tqjwFOhSWM4XK2Z9GVXohrbCcCJW98gV/TKMmfDwErkYS+WMVvHjv6U/
E5ckyCHRumPGHnVyJ83/70A4GlF/ZEOxDGfGApmPgGGHfewdtPqhIlFOB3bVnfgxx4qf+/e3AWlK
YTF1OWuQN6fgCuGqGN9qgCXQJ0/sC4+MlGVoc41HBjQCi7OY7VUSqS1z59UXdF1y0n7/1kc65zKo
Wc4agSwXFmiOakq7TvrVeeUuZkEpCRMF8CDbCm09BOu0OTELHqvvvB/41uZghlpNAaq31+PdIDq+
tv29vse+5WI/kRVFJWWVP+65UHWNKiN8OnVq9QBV5FTs1LG+v5j2KqEFDzY/t/YwGco3VbiuYhSA
Ys07D3n24xxwfGpjcayZFkM41+NWyCKuqODpO3Jrbgg0O2/WWcaxtjhMMjWox70JmiLcR6deG4/0
9WXoqRQnSOLmV8Gwqa/IJd7leUjiokTrJBeioLq/f+h/a9hPy+hi1Op5iPVSZnYzlMtMIE9FuYRD
4kzigWRDZ0zyTWH9acaDQCy9GW4VFZxzfaN1PXzpCZElEplx7VWSLUKN6IVwg4bMGYrpAS1Dpjab
CQ6NmX3iQBTM2BbCag3mG4LZ+vf6H7vlXUa5Djr4cbNiZGXNSwIqs8QiGrWcsdMOcN+fKI3Z5sh2
ziNDie7Ru0n0W8P8U5F2XrLURSlRx1PsynG5n7hXEyzL7WbxLoip4FaKn9IRMPipGfjIUqLM//zb
cB0GwUSrzYMj4tS+cWH4ROddwi4jEc0Ak1E7L1J+9acdWjeq2hOT7pGxs4w+9Bry4oJy7iDmR5Yf
hP719y8nHQkBl2YfzffWmEj3bieLA27FY4kMcdmv7uL+LZVugCik9ui/+bwIJMXbrWZXreYa6kVS
PEnkOYNZamXyeLnsMCZxo8qh449f/UjfjF6SHmF8DW4ifoVP4eI/rctN5ENyIP+3Nzr0kzBRDNXW
fckefBJLhvHTEy6Tah9ElyIkmeJKS/dFdiVOV4m2b8bPptoW6loSXvX4PpwOQl2H66R5ICMeXrUw
XpkSsJYKepZZSc+xGnO+u6j017GH5RO5mvnWVJeV7vrdc4b0EYuLtcIet0qnL6O5UxvI18HVhDow
UDmgwLmUNAdumKuoFnTsGvYJoOPmwRgfwuIg9w9lfze1LUTng5jdk+ZeejtRwBm29dPLorwZy/tI
3evKxRSabjCB8A72EDZtq7+JwQNM1WOs7gvlbw1EVQcWO3obrIGuWf9FsLcSVePGLOvnkaSnQH8O
+s6pBSixz2r79/cvf6xHLUZB5ys9yBA2aiSWRM11KJw5Bua/9210qSDwAUlSbi+TjALz7sRi+G8Q
/TBHLmNCS5JBAj8YKBieK8+ittBa8MVu/VSwA+0RDJ8Sv0TPr94aUqtgvArah4dcYjJxsT/r4ac2
pHdFldxqwhZqyzYw7qWoWmucTnOfBLvzAqOAI/7393tiA5QRBD6pT6mtGXvRPzFU5xunn37/Yqku
p1CJIjJj9lMCywGodLnphkdlAL3uDszv53WLxSIdlkrcAgBg/17yfu7K0nl7pGVcqalnGRCaOVIg
hqcJItT9vb7/DgA/NMsypjQGCvN/ATYd2alVlK0s4z3o1jJLSoZFspXuBv9DMT6AgxQhrzZ45PGA
pxD3qmprAJ4qSZU3oK2EnWdL059qvOZKIwHo1UA2h7gApFogr18ng2jVgCkSvWQVyl9wQ7ZZ+gkc
Ztdm2XWBMiaRLuJBcDwT4j8om6l4rKubxFs1MLH9G0251rS1BcLg919+ZABLiz2DpQujlCLg2pfl
XQwTgguM8wperAigRiTomfRgSV7pH214YpNwrL6LCQe/gCKk8x2EKFR2oL9AmT+zby2mnNFMCqEV
PB5LPgRfuh6M6kTQ65Gdwr8b+W9zWdYOvthjPtnXZo7uOKbaD91wyjr470v91HUXU0WQBYoYaCpH
QQHbRWDs1Z5kqgRGVj2DqpVPkwdML4PXg+LMhvvFdkVM7bAEYFIAxfBn4Hr4aQHkPu/LL6YY/NBW
SpLDuAdj91d5DhT173kFL2YVH6KNinRwInLdNjxXPrWVO9KnlmGzvon/WQEFvG/ZzgZu8HlWdcXF
pX8o8FwVIYzby/pzBaLjvKBkaRk0myupXgo51U11ezDhn21O1Hduxx96krgYsp0YtUWAIGrfeIRV
GBPy6Eczxf2bXcaQ6/zuKxs5WIDoKgVHDW65yHQilczR4S4zP4II8Ek/ku8r3+QRWSjJSzF297Pf
pkk8l1XGA9icSVDyJVts8m1N0Fv3MsmgUA5+uUkSwCObqeO03tz09QvklN2JH3bkdy3mjEhORAWG
GZuUN6W4KPvzpqIZavF9j1KPQzRBqOKCIb7xu41Ynxg/R46LyyDdAO611EgK7/jqTa+NsT2Dd6wA
BqhqYjEMzhtNy5hdv1dGhKEB05KcuZ2BVMt4OK+9FxNAXk+aWBjzeMI5V0NnO2+GXkbtCrnnIwWn
XEm8bF9QV/1e3Z/bGynCf7/joCitDxWb6PbqQSe3FxW6rz62/iqv73//Cz9PMOIyfFfJ5UIHMM/d
YJNetTVXsO2J7dzPawuC8//WXStHQmFl6q4rr2U2wR2+rEzrrCUcN8h/C1e0TMUIS+GThtRnXYsn
yj1W6cV4lLHzNmXIHlSLXnXrK+E5pTKC1XltvRiVoYe4C6UCGxqysT1HPVXpY99Q+W9jGCL7ZiMn
6qEBHbfNilOTLv/z/51zgWn9t1gQe4mot1TX8N596VL1z3qrEZfRupNQVVjrW+Y8yEciBLEz67tY
g80Jv0IDwXEvSK4M3TE5EUx6pHmXQbpYHsdaMSJunDfeoXs8qy+YyxW41Spx0im0u6xWp4Afx2q6
GHK9hfMlUf+vplz7/F5T81ipi7Hm1UAWC2kY9r1WOFFsEmGS6n96qXVytb5I0trJvH2jS+soAdEI
hCZMef3MfF4RDwUwJBsM/CbnhBHdguB3suyqzJ7S4iVR/S2STjfUJjf0+w+C5VYIa0lpBb3gtY4G
S9RJFPmiBnmghY9meIjIOKl2WnetyFyh3OToNtpCc4zqOenKXapwPR29EiHiZOKkIFLXCH/VEwkm
otFgkzJAgRY7DyB7l9cXARJCbRiLq7q57uXswmw2jXc3DFyo7AN/WyfyRq5beHGDTKir5rtcXLqF
Fx6mPt+HAmjufiuzotj1iFggnXYWgnLLyjaqL21M8paz3nqwQBvb+An0bQ54+vcvcuSDLGOncn8K
Da/PeSoCdo0XVD1v8ltGT5UivRz34pxfcVnLLzrcsEY8LyhBXIZPWX4bFpnC6Cy0v618P6YPvzfG
kRl7aTbHayJGTTKRXTGuO1MCNf5S0al+L/xYSy+mwDqt+lGTfZaZGaTrhuqJu55jlV5sQ6p0rIpO
oqWDbsNO3E7T9byL+r3Ssxf7p4l7GYBUhUnVAFBinRnQQyiS2+DyUsSnClTxlHWwJge7lnw3hRvZ
ml+C/lIQ9xrX3gYK7a16knNypPWWEUuR6UtNBBZ7L5ovQv6UnrlnWYYshWKIuYRoh71cPNXmjdKe
97XN+Wt9Ow1LbT2A2GX6VNb+4/jn969xpBH+zarfCs1FSwS5HRJyvfPW44n+c+QLL6Pw1bqwyrYL
xr0xWa7KnfbUECEDaHg6la85Lxk/LP7moudrjaeUfUlqhuLp6wwMkgixMGG3H9YPyfhyXtsshkFI
WCkeHxo82ZVX571RiOZiG4BOAbvrHAMK6OGx5F/+eVvlZfC8UIuarnIPv49UIOXKXUFyxe/tcGQ6
WAbNl21foTrkTbup0GCoPCERlh+dSlE40gOXkfPE98mD1FLvrCYo5x47+ol16Fi1FxsD2ZjGwB+Y
HSPjrRSmWzNpgfkm6YlWOVbvxXCEoo+wLKR3lNNNPV7j/Pq9tefD0w9d25j/3rcRKYz5EAseb6me
6TkFUWo8CuHyitzUix1BFN1KDlfVqfzvI9GtoqH898/5bT4hIuRVWAk2U2G5Tf6GIRn13LDpk3qj
pp0DSnJVVCWXsrzKtIfYc3//pcdacDGIFT2fobjMPfEdTzYn9oP/3jx/ar/FqK0igsysgsknM/19
0OKxRMNpajcZN+peErrlWG0zVVsV7J1An65EEYursAPcy94v24ymSc7JKyVgm9rE5lMq3kz5ReyT
r9w9RWa788lK8Ygg9KTuT9+9x/V9XG/FadeW3XpAXlNZfwXjFFpSOtZIi/kiAkKbKVo17RWJu54L
lYjxvEhXPQg0sc32ROGo8W6Mb8heSDFk1dJtKN/9/n2OTLLLfIAowFZbR5w20+Cq9ZEBTLtaxtCx
783z3lXFZVbAqJk69kD2ivHTdBevf6/3kSZb5gRUVVQnCUKdfQKANzVW3XhqzMvykfw3cRkwrPbE
3GAfZXerdXaDJyzHLHvpiy9m/dETXZgqW7+7iQvLyYx3XF48ul8QQwITtHLa2LC7bhv4l2aBsMRD
pP5solGRXuixtpgKG1PK3VoglxHcmiUepPrSUHYK/5P2kHlE1Gu4jrA65O1GIMAv17fwXTHxbKB9
XVj8K9HvBtW7APS9l6oP2OJ2WODbUiTbG2CtqJ+5Vu9k4wFXy3XeEEWpXnPFvjI1czPMMqAQCkQe
ul0+3k2D7MbFRYOfTsq4etRdL/NcUUACI2w9g6OVXpD/DexZya5yq3T9vl7x5OyQKu9W0V3KxUSK
dGWAXtb5Pbhvca0JT1nxWRgSD9r8N2vTQ95GObGSvfvMv/ASee/14XpQDtN0SWCzk5WoY2rbEK7y
/KJTJSfoFafpvkbhEsOTk0tbnArrSk1pzR5aMaIq71Ps33tUY6pBzKcUfRU0kd61DhaPlSBeW+lW
7KNVhXAjltCEj9VgFyJsz1HcDVO9GUWQhsInYs0DGkq3zL5K8SJu6q1ivvVz5C3yUTVYIzPZR/Jz
Wuyt/jMUd3X4hOzLEdOCi8bAHYVrnKYbANZPtXcXE8OPzfhOS0n+ZQAjaudIuYaH4Pax7mrtV58X
btYU5CzKG1E7WFFrh8p1mUy2wLRk9+Na8q11gmpPM9C3MRsJHj5Dq6HeH3F0pRaw0qGbF2Q/SEPh
muHkqsY9t2bcGOGyMTce/Ow2TByLdzpZBpcfowj5NMoQPyn4LLI5e+V6goBo1hpEdEKgrfdk2BB/
7PaVvpkCHPKzZmy6JRoEL2lprdRVpN4jmaytB3946KLLLjl043rgvzbzf9aEGSfplCVkyccivubf
M/69e7A27Woq17ycVtbKiQM34t487XH2YUSXK1vmnN11SKHnF+ZVo1+n1b6UX5qxJKqGiTj7MuXX
Ov5Q6jfT3HTe6+i9Su3XrLczpE0M+i40UidJhKskwh965U1vnryNNOKEUwfn4JDcFMm1nOzYTjsC
DSrh4fAlojFdr7+C7l+B2BfvrFBEK0TMjHDtEUsRBbNr5YZ7nLUvlNsSh16dvmDpY30hU4rdRYUE
A7B1deUlI6DCYS3K2bopCa4g6QXp+NbMhm2q3hAQ7DTCtdZd9XqDLmnVp6RUp8guH7IxxwiUuGPV
Pgygy2TuJKDkXbFPWjXSTepT4fqimgQnjZ+nfKf9Y5nv21x2db/EdnVRZZ2t0kmF2LKxkzvTZO0L
nuaFV4M0v8jAwYPPsaO1+yi229riVoTYkmlwTLl2keAoqGdDhlOQtFdWeNDUG0M8pDDZO5dYdJ7D
pDYAm/BuVLeSPFz6qnw3JASgKKotxE8RV6oTQU4Zz7oc0c3sPm7CrVUJLuSIFWzUDMVCRgBu0t6l
xd9qiA+6qV1ESW57SrRRlDsPG08SV9iu4IPwNjJgktKF3pZTjaMoaokeERsimFpdGeWrjoslnv2p
he82/vCYcI/Szo526R4kr62pvV1Zjy1yiHnYmT5CjWCArX8d0wJW+h5qxNyUhhMV6ZbnfYROsIrJ
Y1a0S50g/7x6xGJhK3W4HZKdRsq50aHZLoixit1KebL0e09+asPqWoY66ZPqaBHRISvFmqj6VVG/
+R1XLln9UonDH4lgPsMSroaa+T+bkhmb6WD9tb2q3Uaoxn2l2VUclrqY9AOxeM2Jfk+G0haJj2gT
lMPmjG2K12r9MJaZbbXeehhbt5qQ0sJyj8ZdnTT7IlkH/roRuB3WUZXfTx0ZqVin2n1Sv/TqTVs+
6TK5+7dC9sztqVBcaOx1+P8YrBT5x1sW3PZ0HtxJnNxmWiw+FqLpY+VGosfI7b2f8xwv+2u92wTV
ysxvop47qqcovFcZJ0GG6Mi78GRrz7uYk1kRCvq3IS8umKct0s0EJeByTiT0ejYU33WSvIlY9Drl
UTHuppo4y8RNepLOyufcI83TivlLu96/yrN8pZYqN2rBypCHh1B5y6oLxNW2EhRuKnARR2YZAVrA
Z4X+rS7+avJOqdnvFbtcuy38D2lCJE2A09Bvo3LbJH+k5gKHhZMjFu/zHYh6NoP7TpNtL3pAXiJ0
iCS8J4KHpFxyLcSFRbEWDcKuwo+B/Dqrv8Wf5tf3VvlSmet0uBFQtMvhrmnuuOdh9UzG/mNSJbur
opUsCJtkohe96tl7zTEqkNC3jsYFOmYbnQ5OnZ0ckVB9lWUSQIWcfVe19VF6pPk6Ga/zFu1NxsQV
uLV0kOJ8kwGCLetp7RmRLfn+KtQO5AHuEv964vI6qbe9gBLiWiZeR8wZ/RJ3npXDDSGHIg04n09u
X5aNTpFa9jzVTHi9vbp5aFnf69s0Xo/+jaq4Q3yJN4awl42obFiHCRtz4hB/ErZQ6V0Ut9hwNPVx
am8k9UlKDmj8eBm7LQVit8hdblXbk28601xLPD+BwIhYCfvgufHRHGx5RYLncBd2jwLLXmUCUW9w
z6RTxb0tf4OsDyvzb3wcMXokYOR69zuBgYkzoqt2cuu5ETFlubjqLPZiHVrh9spMkKs3CNZMtgRT
eSNXXkKHvk5SniDYsKRx7EIWxpazY2a+Nop9y+yUF4UT+tharXqDLN2RjZ5dFkTVrFvJZMW3xb0l
+Ou4u4r6emPhWdMlhHzhmhSyQ8C9VVBzM8uLbxh8ieNVjCIo/4QSKUiHBNNXe++lra2Vrw1mR78+
hCVz8HBVhE9TCA13qlxEyw031mr4WqfPkbzG78uqu25JrTFjZjCflb2N1gaYlrwXmcC/qmhLjhIu
9pBOZKBugYnCDDA8W9ZDglK0uS613C1DbZO0e1zf11LRX8c+IVowgQYhvCzBiTWE2gshS4s+IKZO
P0la3gx5fVeUJaZRzw2nZBN0xUczlNsB+xg/2rMqJ/fKy7TvgeLesi9kKjDXBNroybs8KyXC0B0b
zKt5vZbkBwJ/7MxHyWledtofWdql3tyuyqH2ZLtjDNVNvG9oAp3DRShs9Ah3pLrJxALr0sfE0pay
cZnYzism1w90YoXNdakEqKQ1pBt/BDbZOiDgtroe/fecfbQInMIIthOtnJU1ytzpptXEVaaq8wCw
gnbr19ZVQ46Tov01qnodG+YKcdis9to1o4gh0nJK+k1U5NtEehuyAq0dQlkIEFcSsl9Pk1cVwkEp
1Fddva2qEpMieYRYEQXrIm6vYr29j/QvXT14+l2cYsDZNnW9qfIeD8je8okskUpkL1v4MI7eYjyY
WuZ3ElHSq0TSXBUZSKprV2oeu3XJtjCXt2mBD2ZKNzm63KpMNnVJJpgmMTRybL7ciau0WiuTUaVu
Ou1vj4LbHnlz6IziWUEGPTwW4wvbhW0n9m94IPjzyt6XYhRbHpNbT+jWx1hsRF9bRdzCTvr10Bm2
JLOTb+mM7MiLsjuEaeLU8m3W166pIbcvGgdJjtPqA/HZPWeBYSMZz0GqrKc2u+wynLLBANmpvK0A
VQaVdEDmvul6tDplvJeVjGOAsfKjfYj5jWsIK7EctE5OmcIH01Uug3PbmtjYVCZaW/x54q6s2CjG
FJDSKFXtavF6MgaA0sVhbG9K7EdFXF+FRoa5KdgSQe4IgC9MCjUIzYjwXMG9433P3CpFfNnB+lZo
5kmYLq2M0DFVe02YUCvIOhKbokn+asjx0z3DtvJ0V/c7DelgSfLQYLG5h0Eja8lKSYe7eOoxo7PV
yDv4K63dsYkfYpxy0nA1NXA3FE10muyvbuQ3criv8vda8Va6KbN49a4+1lsDH5IcXNc56U0mezcc
Vmm7AqLHsZYUt3wD1dj2vjovRC341OrWViyzNeTyvWJd8DsS6TnQgk2A1XZYKcqw8iAOdcpmTM3P
qIOSY2WrGENh4LvFnCx92fYNvt91Y9wYChUnoS/riVFv2+uyMFZ6fydjbW24/slFE9+xvh5C+RZN
22XZEAtZEb1qcmYsXFkPeBd7bDgd+vqTP3uniItn5xj5qLX9fBVOBpmq/a4zyy8DLLjdoz9khquv
iuIecIuty7dtHv5J1eCA6GxFAmRWbsIJO5h4maYgkYfLTOrY3EECl5i1w3rIdnhY142SX1vmXiNF
DLbO7C8iXSsnMNncesVdXV31vs7s+BJaf2DyFbiwEhAjAUsah5+wIXqfWRwcsNJK173JFc9U+SjN
hrUk5m5cKVc9eAFDUrC7yptiekTARUY9lqj+HoLiqjChlHu4izQk7qC7WwRavPeQ07ippQ0GX7uY
MDAP46Ul9Cu05ms0EcQIOG3vrcqgtfXoQfIT15DxVSKbyjlD9viT+v/H2XksN45EWfSHBhHwZksA
9KREUn6DUKlK8N4kgK+fw171cFqlCK06qlQNkUAi8737ruEVJFjLJ/zOaikJcoJGTXPtJAoHuiOt
yErb5GyVaYftfjPeO4QJY85E8KURPM1N6pJRd5x1x1PljZym9079aZOQpKPdbLXRm1Emz9DMCa53
SURfTHZ71KeHWbsrRLCbO9VXK95HY+cEp5l+PIq6VeDQAIe1p3a6S8TMqoiIlkqGfVXqnzqG9Bj0
1+V9py2t4hgqW+ygF47yqsZPA4HcTrRwuj37FkT2Jj7UCYhG3UOCJofommo7PUhR4gaB6qZlds+E
i/qhWjDhXZmTcyLafB1MzqZLw4Oei6URqr9TKlRziPbCepqGmkEVFQOJewUsrLjRyFKM3QJVbJGy
eZjSSnOirQwLqx0menGwBSzb8IVWFxru83oekshO3jtmZWYg7QLzqNFptBZzZPHQWzPRNHT81qyt
Qu0wmGhvrzb25bjIzMZXSYUy7MpN2e1UXbmLpeggmBYL2dNRgUlUOiTehYTHSyoZA5P5NtqfThaR
bpsS1/yrK+JHBjJ3ACL4NihborPDBZm1R1tvHtouWMG0o1u4t8vyropOyXi+9qRuTjEcd5qbiENW
MFu21IMpJtfWO8qzmb5oF5rNkdwrkpnecUR0rYLw64KQdvstAU4UvEVARlBxs4jp+DAvMobDxVuZ
oVi/gjjRuSNAE6TG1HUqs8yrw0+CL4C0QrflXWvxqJ+09xFOpMrA13Q+Aiu62AMrmKj73iaam1al
1vZRqnmVSZbNVUXT+FFurHLHb/hklvgsLXMhtdbaqI6Aja7Co8dFfBXa66iwFmY2uI4UL01QN520
3SzjnSARoLORZ4/XjWejEcaFUZHRPQck/GoGyZ0SWAzphkF4zKVhHVK0ZsQP9EoK+TghlDH7HKvW
hZVO7sDpiogonGNC7y6JSjzckXkbAhhczYo/cf3utMEulruVUnPuKNN9HeW+lX1K88rIjaUakJ2q
kYtIqP3crGRWbXIN+B0NMlHXGb2xos1+NM3sebK2qS2S2NvSS/JwnWfDfeG8FQopjQBRhqEt+oFa
PZSPMx+tQ9naksIQWy/5vJWt5wF2Tij9Kad7EI3Jvhhe6ov4d6PaewdAKLWOU+ssU2qqQqQIvN9U
4z0PtgKQvVmLrli1+rJFhiylh5RKbmhfkmJTgl/ovW/IhyDuFh2MWBH9KvBQTiJzUfEyNdeY2vlz
pGCZ6S5HfLi1dp8qpLuDDSf4KRkonYDWYGyLu1xIzw2eln1aHBP26TojN4GgzahGzOIQf57ARKtO
xUDCeKyRTPsi5tHL6bShfe/DwSYtTlvnlHC5GS6c8S3v+p0c3FUxMbbFXRnanlT3Xue8662OYVZ8
SJhayHzeUDa5+8Om09M7yaipjD9ze3C7YPAHsr6JtfPSYfCGMCbSJwCpfAyIznTslc14yyTQJ7ay
Xd48VUXgOjO1VWnsehs1jQyI2137SONAqvaWnGIkAW5jQUs3yYHOYJW0uTtBUXdSfV+NbOJOszCj
1i/LEZRJQfcg3JyqgIw6wDo4qGSt1AMLsFaQvCBSpnJqSjLGiicrvLrSJ3fhRGS8wa5hEjFZB15e
Cf5p70VJ7Uaq2AubhZKn+3A6jmp2TurxvhmJLSTxvSGRTVfi1VAG4ADI+guxTtmqGuvNMtNFDfVF
Z7moMmWIFHM19g3zuUOSpUjKqdadJwNDF9CJRwS6Ljbvh3p2HtNCbPRWOXT6cJiCcdXCopUBtVVp
Q2yzm4A9Xv95oktU44VvjckiG6QNx6E6NRE9JuVYOBy66dd4tjtt13Xdqypgoah0oX0glqEagOaW
BlJg6RL1oGsNVDQFcMSI1Hu5IVNvbmYOeOwYrCFei6n5kJ1qlauzV8uo9XJ9myuS35WGtBL52xzo
OwOmwWSQWkIEdpyGiJ/Q/cuhN5Wv18x3tZ6OKkncxbAv8ecYXzWLeNbgwQjJqnW2fZXusLV7jWZ2
bkesmpmA+4QXxHy2B5JulM96eK6J5tAjy58l8nO6wI9SwrBVcUf+7LiwCI6nKYEY4A0FjbrzEnX2
VkTFOyHjLgOQw1ST1pg2mEnIEsGnVsc0ihEUjZBgI0oTKPCC9TX5Qpdcq95LithrDfd4uoTT3pbu
xoRHtm6jPHLl8DGx/NKkzHc6Egqu+dtqaXq60ZDjMstu3ZwM7Nt6iTxixTLcOTie63j+rPRV1VSk
qJDBu2jpM5ymWwr6/sh5lJuzlZQnqa594ui3RUticFovWxx9Qg0i1HhxKFfb2tk2lUpvxgqzBwev
IDKc4zfRXnKAi8BRt3JnAWrW5aJriJJuZmKw9WOSbkJbx5dIZwE05VpVT/p8jKDh20J4JfkMvpbV
GUzqsxGiYBmKd/sqakz7ZeSozL/65fXP5MQsNcZUNf/tmA9c/3yViQbl7JNMKAvFXlQo1Lq4uPY9
GCVx4ZzgxoBjTK/0KxV7I+PUotX7joKhnaOTpfYLyYhcSTE+x6DEWAgXmja3XbNDzmLeo2T0UiY6
6U7kgDANpfSoNZe2tFajINGXgXMwysuwB38i1j7WPBm+Sy/Xbjf1F1Jc3isH6UFTuH3+FjBtHT+N
5sEKPmZyfm3JWnZGtap1kGBsPobqt1U91NY2dwbO3NZvxGGMimXbx77W35m2tLT459X8h+7YH4xq
27f9qnV0D59X5BPOggJg1/VESB3qJlmF01sxbSJjl6s5EZl7x3yq5davhLIIZ9mTQA0S2bcJUgek
c2PTQpX/3rL2KyBehfGa6lCHlwDGEzIKBcKXEq1iqXkhD/ypIiCU11GsgL7Oub2VqnVqhaRvbiZj
fpcpO5uxw2MK7WO4CcQ6qOt1L+HpWcjLKAal6vtloBhLmReBUM1FH/0e0+I9bnPesMyTTMFR+9ue
Rrcc7adYw2HSsdILUb+uksKjl6CezYl6wAuGhGmF2no7iB3HxoYFvuoaedMo7APp8GmyS5VttZ6V
h5DUEpPPX3P3p7gHYgwsb7L1964bIMnFJyc0F9rAGW0UGGmVAEjzXKyLwc49i7TmcT6REaS4DnDf
OE5+ocV7DFtOxMXsRZvubXNeR7G6CSR5LRc2XZ2+j+LipMDh6rp2FdATDLm+rNNhrQ+EjjCxULJD
qD2m03OZfDjJRyLeQ44ABVuTdN9p76UAau/uQuMozNNAz1ZgExyCRAKYSFLmp/NH0j4703Paf44o
rYrpqA9rMHwYgrK9BEHVIsM3UxQKh+vkulFI7QaxMs9KU3CF+1A92aAyjryRuu0oTmlzCKujnh2U
6BArB3n6GNWrlfeFZegNFcnyknTCD7Rga5rlxM0CNMmpmF4iNJ2tdRyMu+x6Aj7UUXqeTBrSOvez
enC5Gb/L8qMxlpUGs7HlxB39MXD8MXbZiWzMW6KLSb1rAMIXEfaeoVdrlTvDSsEbcEv2rbjKZLWt
lh2v7eXk3KfSXdODHhUHKdDOs9bsDY60UGcKuMaRnKnbqjVQDFP9z/eG2AT5J/6kMC32vfyhSOFa
03ihxCFJfOJUx/ixGV1V2QIVFBhGpeJqUdPuVGNVaY6Xl9OW9j+zr89711vaUYqPbXdn6LiWMOhl
jhaCXu5Eui16W3tNZnWFsGiXlW/q6Oy1/qy3IzbMhYwRjfPel/2dQcig5wzvhvzURcqSTmsZOjFh
hyRddcSP/mLPP82hs9Yl7XB1xsn6kx095z2c9v5Rip9yRkXdxa68pLK3erS1Kc3XuvVbEhfjtUg2
UtP67aSvCP9V8jtU/Iw13HZlDzBNQz8M8OpptYcpV9yM/VgENev2qGXDKU6PVhv5eKOvMjV4NaNT
xI4gG3j7UCMyMKDxs+NFYa2aDe1Mbupub196KdtIGv2PzC+qCGV6gCTpyz2opHSpwt95mH84denP
g7OXtXBnqvNerZg6t63m1ha0XrxXM+pwJ7Z9g+07rpcmc0dCUGJQgEtKS6oXyVJ0pOd0du83EZSl
SPPU4ZFIQCyCW8bNO7n7UBuxhDK1UIE+MoAMI5e9TpEuY/Ub5VXdgmVU/KRIHntRXuz+osiS/yOK
wq09mB6FbdMLOIJZ60kFo/tvFBlfUB+MG1JSMuYl5x/Xtdtl7Rwq62ek+FtHMDmO5dKYuG7CDLNf
yz/lSt6wjwrSy9TKhvw1NfhI84i+IVF9oe2TjRtuUZjX2tjlEoeSZm6S+G2QBl8xFc5YhrGqvhrT
2g0zdZk7f+xgvGRRu6jAX0On8ULU7sUvM02/+SxfPZMbQhICfyNLrt+xNhhNeekPH/UNMWhIhUmw
OI9Ezo8Toyxm3z9am7d+PPZsOkOc54iFFK9PfPKa/37dL1iht847sdbYaaAibeawKYx8pdlH2vZF
kM3f8H6+4uboVyLTx/s5LkKygJX/ieWwkwYCyjEwBa6r3X7uVmFFjc1cfFA2ViIvRon4QU3b0DHu
YsPwdfU5mDLK0LvCYbYysA+DjChBeZSb4a7LvxFpfPnRbsiI2ZDOchRCNs5BvUmKRaa+xnYgrKp9
2v9mBr2p+3XRPUL00c1DhXu6iYGFVFs4OKSLjB6CTohAwH2QP6jGz5S78q3TD4+jBExwcKjNPTBn
QlL//qi/WPL69e//9SBqO+/bVobk2jGandQ//c8s2WX9Zr8QZVNazcyF9ZXULYjv+dnnvdktLJEq
uuSYuDWqrqzRhno/u+7Nq281elqLuOHjTqoXQjw0gEF+dumb158wPLWYe0SIRbeTs2U8/mynv7Xy
iUgSKMJhmnbKx/xc/v77h9W+oBL+PyOfWJUsY7LYjnWIWdA8BuNqRAt8Ms4xg+vsLs41SsDg5EjX
mTWeIA3zRZHtK/2VEYQk7fVkG1NNVAmJWKpOJq2Nro4cq/l3MeAoK8bjdTofy85qUF7k4H2oz44q
r0zpIQoHuFBbZTZxHuZlypXz37/WVQ31H1TTf77tv5a5pSaRooL47zJxmbApEc1ADEMrXrWqfo8r
vmIUjD9bov/QXf/1u6bUyM2sZilZyd3cLC376e/f4YtX9daNRyv0vlD0mN0+3JfJtVf4+3W/2O1v
LQ9Nva+w2eTeDFLJRkwAoxQALNmEf3/nDfsPRfy/7v/NbjAksibXBu9AokbuXJyKci/rD+Xw1mUO
KGPAAHkzaPu23FvZW9HecayXxXMtSXDc0gUoJtB15pb1Rz68OdIlsJ5j9ZVkdXMCsCVMgxD09jq1
lHDYCYF2ymxZ1n805qSEYJtqxXH+GKdPRuxBY17YjGwSZ6Xgu2TVkdtZB7VfWeJeBkeUf8XJyVA+
nPkV9NkdojtlvJ/Nawzbfd44R6nZjckxLqEdlDVDxrcKfMesm/uw0KBEwuAJzzgZ2s1MvG55GXXZ
q/KnIdjWULOdbdh/I/j+ig7+j0PWv5aZiR6sS3rsiK62HDSDEJ8Y1WCrOY0A/Sa8R8c1QoWwjdKr
6IR1wHcnjH7kPCffukC2o1NKAo3XbqwPYbAW37Gov1rkN5ulWoZ6JMEf2PWf9kP1zZn+1aZ267U4
xVJpDzVM/WJ4NkgWhQUKPOZiuKWHiH5b4Li+WY6h4imTuZDlmXBpJhKh5VXtJko3dPuiWxnZBGjI
zWaqYRnqISznFzlu7xy9gG1gnuwi8jAVXCmAy2NsbsJ5nYeaG+XxfgJPTrV9TixLrH0n6v7iXt2a
aHV6Joo5VagJtpgPiJ8Z0Mi3DlpDyzS7ibhsfGQaF39nlvKFyOPWPuuaM5DmOSsmMBjL/UYzsTab
H56Ft7mdcSv6psZ2bhfP2C/4efJNofrVh77e+n+9ZIqUI7auuG4U5q4zgHRAJhE/i00kgPf/Xl0m
qSOXe/zKlQ+moz/rNm5tlVpJLdpsRCZivQQP5q+/nxFfLbWb8ig1w1YaoOlcbUnaxGt/2HGpN6+7
KdoyENc7ML/Mx+9MPr440G4dlPLedhw9yKnlnHrVOFDR4SBZMjQJu/N+dD9uvZT0hA1FZNq4K996
r/jzs4veNEUJRsxybLPYmpfa8kFxfnbZ62361xrOm9hy5JI6ERYjYy7nG1uGr+7yDYChGmEjCVWl
hdP6tQUBOA8r12q1lZZ957371a+4eftSFVtNGyYulvIMJf4M5ikho95JvzEt+qLUvTUt6uUk0iSl
Y/+cxH4Mh4WTiZ0NnDmp9+h4flamKzcdS5LpwhxTTHPVHIb52unC5c+e6807qdb60E+tgpz+KXyQ
friwb19IvWRgKzMiMJRgA6iPnP3vn/aLnfTWgMgMQlw3r91KnK5TSE7UV2VU+H+/+Bfb060NkeqQ
JpwjdLyitWLYTNrP7satDVE1JQbIOLe4bZfTlS/+TYvwxcq7dSHCvaBWsQ6bSIODFNzhWZ/CmTvV
U+IH+vzNL/ni7bkN8lTN1A67hF8CLHrldTBf0GF9ae3PDppbbyDNICokbLFzMOs2Xpi64pXQDX/2
QG9OxtCwlbS3eaBGgBEcpg/fVM1fLZSbl9HGSjyfJj6zanjiQ0pWf/+4/4Q8/Ud/I9+8i3onDCd1
xLiTkYNN2AEmcNLGcJ9gzCqNv+dwgPGIpKhFqzHVnjTKqLc2JpxLWV2YjLOyEjbXnanaEICRedTR
Kqk0hp75SsyPejFdJ/27yFZdyJJXY1Ctih6dXPftyVyVM6istlLMwQMwc3XcM4Li11UdIaUyVIW3
mSaLIIe9iVffOGc7Xe6gal5aqN2xyfwcI9ncemdE7yt0WSFQn8nIJcqK1ZyNG7Vr/A5rP7vwpNnc
Z+G0cRJ+3P8xGKZ2j7MSLiNESUN+32LlH+hnW4WZkKtIUR/xroNd8Ovvt9mwrvfzv+7zzfaESlhR
qE0Fpt0dMtunYHw04BtJEChL+1JO3J/gTSTSSnW0zeR0yy5ttlNrMsPYWt3EXF6sc+tQBJiWw0/V
MS0fHUbl1WKwf19RibTcNhY6IrVcXd1HRs1PoQGE8haq4CrU0erw02m+q9PfifqO9AGFw0PB4LDQ
1zOz57Ffjjo8ljnE2dATde7F8Lxj8VEi+cK9yNXbdpFBFrbGEQnQWleSZcp0Y4aUlDGoN34TGG2K
nda/Dpmzym2xMiJAEhja069S/ZUQUjKKTQIvQ7nrsqXkwLthZlsrblNtRvUTmN4VZv+YtsVdJXW7
KWWoNDCpRJ/caqXbQCkL4JikGvav4mlqYUoP9xOU+TDnTiRHi5kc2jQ4UhigxTjuS/25jWo4YPo6
i3R3nKRz2cH5fFeUadHTbFZRuUzn9Gkk+juLn8p59Mtmp5nLUmZWj5VjrzSexQ9F/jSTgiwMcZIQ
j9c6/7MaDzBkJdnTIIz3k7rgNajMIxZYi7Fam1W3aNoT2RluEfe+pn9k9d6YDC8xC1cTynPR1igU
4aTzqYZY+2Xi4E7K1Dp2MFwXQ7+UZ0Kt0aTkUXse6+rK/tKM9jwNnWejpOhVyYO3sRrje3jTVl74
Gd7klqS4Ih42Ayz80MpcEiXnisSJaN5ICKz0I9l6XgYd3TFSMjJsV+EjGPzqGibLEELFug4YfVUP
PD1oNkrQLgdhYnLqbBVUnk4woqnK/cjq1j2zti6O/AyyQtqMq9r87IZgGcfOuqiZeEXaRxFCnUag
FTKgtXPZN2PVK7LL1GhXdxjXlHD1bbJjpv6OrfsJKQMgqQscAjXVITovd22r33SR4U5XyeEcQCZ6
yZzqZM/YMTFBMRYSegRJOjhJd6gY/Najn+svE8m7c7y3cL7r1zRC9+Bld/Ys9opzVqI/Y4hQU4GS
UMFsN0p31B9kIbZOugJRYi4arAz4FvzqxRgumdJZjuk6cNChBTkt6Q0HocjQxQpImLUvsvmhtxEE
1dBGZX1R8MT04rkZn2VWItSokSFBMARuHpRQpfJFG0puM2E/QuLL7FgLTTxjedzGkZuOSExymKlz
vhTaVobmYHYRdDamlhVs3wwRwHuZaigKN3WiLSJLIyIRh78cUWOzj6dxiQEUroN+kl7S3IY48GfQ
7AXhNEq7lQp06eBE48ADH0xXwypIk88GgmuEOziHqzhntcZbW+bLiGmGnTzk07mVIZiHjsvDgGO1
UxELOwV8e4d1DBjZpc9S3mBKpKHFUNeZsE+h4VwGawd9K4f2XMVbgZl5NS7Nxjz0bNBW+yJlaAJT
ZKJx68kVPs0JpRVmW4xNYM9mUepn3cto8H720HQIGxm0P5g1uqqMAGvSvcp4r2G3duNTNxYrObaY
vZ5SG8dMew05SOlSt4+IjbzqHod0W853CkeYEj+3Paz45N0x9XVVmdANm7VjyaBzw6JExZlB/JRk
XjoEP3dmfipTlvFoLGx4/bKznpxDYJHU1lqYRZfu0D3aCuxNOPZemUZ/5CTbhtElZ77Ou3Q9EIUB
Acp61kXBFln4cxc+B0y7OmjBuZMfzPDNDqHCs+A6+HOCaJjFBGmo4hWV7acEpkdBek6ZzvdmLT/m
cOKnHGXxWLAvJ85bLrEjRmParLLR9MxudBsD7NloytdmMDeDvIeUGmEUg70DqmHMR81iqcW7bvil
NIc4O6jyqy3GZVJyKo8MJdurW67YqTrH/u+pqzdtpa3S5AzX0J+C4kAH4Oo8N4JgmvRiVNgxIwPs
HPi1HcOjIF8rlnNo1MPQ/KqZyIfC7fCtNzssDMPKn+yN0YyL2nrs7DewJS+JB682n4z8UzMvQ/JK
ZJinIyUJKTr64peFjmEmdEdtrVOT3FctSSnhJWme8njJG7USAVczsvgQptO9IA4slrapsODSsQPD
wcVW1WXighAPVlOatMiB7W1byK7IIQ/kbeL3yTkou91QoNOAi2NC867hbppUJjRTpuO8BtNZTgt4
uBBYwughnC98DE+GdCTbwy9tCPaNfJL0RxGvOjBhpFRjLDaZtLUCMGHnkDJCqiCxX51S8sn66EtO
nOFPiTYvnrJl3o/7zkLq5vD+1i+Bo2zGiClrC7NTYrFmsoxeJlgYDOmuabZSPFIKCwq1s9F/Z573
D75/W5vwpW7t3SJyEwMEMWLnTMeuVbyYvbltEIXXn7pIVgWlVQfRJW4K8p9QsqMfIPjXD03JFRHa
t/hzVvNzGnC4BZcmz73cCKnzVK/k9UxKcEd70/UDpCu07nHnNpG0bvoSVriDVvPiZDBDi3JpdpCq
IAb/veRCDvAfJRdf69Y6suyiPq2iAaR3gK+YIXjHt6Y+RWq/bqXai9mMURqvhbaqq3lvK6+N/RsO
7ELNTM8qh0U0o71EiFXB8hgTAzH2HeEiixlZhJgRkEp+rfc7aIXxeEqqzK9wmzfT+75AtJqou/bK
JawoUBn1dTqCeKtys+IhVU4dngdzJzy71Hw5mDx61d85IlQnnZdxiCEVQ4PpRFb6skTIGW8EOrG4
uzdgMWkT8UPy44Aro4WYJAkOWfQBldaohq0wzwnnVCIKP6SXtHvrkKQw0kDzAyorBGzMGcqUhESB
dLrdYhKkLPI6Rk2+bFDbC6bTDaQgtoO5eZvrHXY/VELIla3yWZZwvQZKvDrQ9tLeqMNzx8Y1oQQY
26VTHxzj2DReF5/Ucl7LyWbiubeouYIQVrFUrjU1dCGnURdsg2oVZBtVtK5pRt7MdmZY8DkRW9g6
5Gyl8nX7rmBTlut+oXYluziUT4RE2rven0V+jtCfgcKWV6g6PlUQ5TDLcBpnGacUoPZKMtGpafI+
zo6z9MaRASNTeBqVUzWcp4Q5abiUg8PM4dnUF3u2vVBdSeNCnK32UI/zIrjOWuRdOJ/U4sFS7o20
8ck5XugMyeP+0FsvLbrMbDOyrZmUy4bCSr7y4rESSHnuc/xm4zORovhvL4F4kuVTFP4aml2cPAdo
q2PWQs7604xjFf5yGrRUXDh5KJv4GnZNrcGGa6PaZ6RFtEIQ2vcRKpzRgrdMBprfI0RscvlhzE4l
c3WL0AGItr6dqxtHVZa2GZzJ4/ZTZ0cGhp02y6qCfq+q+66MNgXdTwBFvMxMmFM8HmdiXFA/le1b
Hlza+FHJnS0iIbwAtYdg7F8kudplvNKl9TGb42kg9pPQBRLevILMsxb8qS8f9I4dQkbIEJXbAPan
FnMDUEvHUniB4OW2yEQHmUNgOpV5QErZuBiC40RwZwXTrX4PlPOglosGIYZjYV2gPxp40+Yxalk5
3evV45Ct+vElSSev7Lc4lV0zQilbYWHpbIyKdih4FbXqRODwgpcMDTw6ZlIbeNnfleTcU17IPH3n
EX0XkSOdeG+CncZUWL0HLqHc91WIxN18MPR9PIwr23Y8zD86eTdxfuT6W4LSYXSedPuPQpqfGZd+
OJRnSw8fC8TaMQ4j2J90OMB7fQA1PuIESuk/Q2y9V/ylkuHnMEWrXPkIusm3R8oAWOFuo6/1aDWJ
GiX7TmGImZn0vu1zmpQIolN4cz2i9nE5DO2jLbU7uSQvpo46emYzWM+U12XfvkR4Y5tOjwYrWukO
RgZMiUw0iEMHzzPv/BDVQavXD2bvbLDTPwpU/dYEqzXzchPnNAXhneK4gnSd5NqKC0oh1P+9eW8g
/o+C41VFg29KYC+70WE2xzYeolbGWCCfoyWCppoeQFyLORL1HGlcRtB9i3D0bEQTVruN5b1aPo0A
aFo2IRSZ3TSgIkfLoZj2uZqJCLk+T2daFcO6HTbXQ0jN6s9Yz9ZJoLlIzl27QRChXyYghBy0SUKS
NWehh+ADt4pN3EODNtfjuG0T+87Sc4S18UHT8MfNIBXWnR+FqwS/FbvNz4GirzqUMGHTHwNd22KZ
ttKDq2zKPs+6vbF6eddmrEV2Ixv/ZWG8Skh+goLNqT2HkPub5m1ogqWVw21+IKqnmoL9VFiXLBVr
xYZ1iP/NN0fZFwfZlRvwLxwc1RI3Ar30bkJUiCY6ar7B7f8ZLPzHyX/rUCyUwRS6Wo87u+8e2ciO
Ae48o0kNqmEKQTTURO1v5xA+7T9YNVB/mC7Cst0sKXfpaG/kdn6K7M/ECY9O8Pn3b/tfeOv12L6i
gv/6ts3s1HDnTdzCMn2RUgBd6cmiKr9BRpWvrn/9+39dX0/tYagzxnmVrHndLD+KcFuoJBSJz1i6
hL3CUH6jCFjG3VZwHvZTcsysY/1t6u4/s5b/uutXjO9fnwBf8tJk/fENwVBm1PXqlKMFqX1YZNtA
OCguCJcs70biE2JUzi3nVK5ywhT7rtpBcx1xVLBV+Qc4//WG30CWESKwOGUovouklSIe5/gbbJGT
lS/0X1/0BrS0zALtBmfVDuH9oiZaFyQOTeIaWsSFxhlhSLGj+CHBI3MLJv5F/FFn+NMrnjy3l5LT
ZI50r0agxjng68ikRzQLWUHrexqqVy3Ul4bZL/VZ30bV4EfSqw47vNTsO6d8EdXgTmHs5/lTPVuu
SFHCVZu23QfTU9HVHqZGDmpYpbtrksTNMRRpAJnr4F6ztzY7KfuZW5l7VH91/ZzKPdAavjZkCI2I
ydjZ2xIxUDq7VvWKTUgWoGTbdgOEIdmDAdLnFoUjEnmpe47YJEfURmOZX1EEN5DaxdVhoO4rKor3
NKJQTCHpYp6RdahCI/vQmeNG0mHzX106fDvbO7KPgFWfkSrWx6jctFPgGsCDKhjEqOXrBP+tlJag
7BDSKxu9Shf4uKFPLafHpCu9po82lmNjsPVqaZTs8SattxXwGglLcfg+j59FGe4qRD51BHcaBSPu
LKq2MsTewaW6JM6A8dh+nuNjE8ecxNTsnKhCSXhXci8cUX8LpIzhKliGhoLJlMWjRvY6via6eijK
T62s15k9eVl/VfZvq+ghbubXVFD4mGgGTcWn3XSrmNMGiV5bPAzpQU0PkETxdAqSpTP90nLFn+Tk
bHV/nOhDVyOvEnjG5RagR0KflS4aVXbHYi1V586qvFmrPkVbrDtppl97tfQdJHKkrt0+1zQfLxOa
eN3FTGkxmPn9jJBcoDVqhnEpygDwKNsjdvsnWDyMslcbUkGUlUTlvqSAw/1VWol/ojUnQEjWLleO
0XzoqBybKXw0pOcpaXZO8ceKUNQauTdqtT+hKeiFc9QjbduF2q9YA32AtOHIf6RBQ3dMmlZr4FZb
ka/+nKDZwlSsr5YO3hpFrt8nlvzNDOS/BjnXnu/mTKnTZGDJBIKKYwAxvIzh/3J2Zst148jWfpWO
umcfggQIMuJ0X+xBs1WyLMvDDUOeOM8zn/7/qKrTLVG79v67L6oiHLIFEgQSiZUr1wp3hgt9JKQz
bj7FbviLWOsuo7+IdIi05hYCQsN1m3zMcBdWzY1HS+vxg+JQSWR5hdVB4c05FxSyqOvCvIgDfPLG
6dTd8XDccldHhA5EJEF1h+uxedf1HzgBTvziQ5Wt5ZFXkd/x7GLINSh5hzRE788IgqEdh8dxbp46
3g4VGpYhVtFc6TxtklnxYeniKJMW60AHqOwqRq4kij+G5vmUu8SZaOtJd3v8S/zVZ17F+XzGB2Va
XqsOn2y9ZIX089H+f/y3/9WkrUpUbhKG2dzxnQNlYkB+PVotzadozw0/jg/wzOQ5cE6tBXNjv4VF
q2xOQGdaIvVlVEe3SSm/iQCAHkfeiMjaiu+6H7napreZ/9mtuY4sBng026GwtOtKRMOC6SIpuc2a
xTfPyS5bei0p3J3VvdjHcXqdk0mfeOK/+Mreak5MZwpMvxwpM9Jd6ISUFJziZkg/JOGXofwcjC0K
a8GXGTkuieCHl6Dnow3kzNqNMcDoKmnrbGhEcguTctJTbnyP0X4//mzLWj4wmd6q0tX4sUBUzgVH
hHPIITKBDR7/zX+F6Kz1hyvuwKKTrIQ2j+8yNZ1XWbD32uHScqbzgpY0Q5Sbpkh36NWj8IMSR148
ejQHCQDtIL9w42EbO19FDIuysK+oNG38ED5qvC30tyAmcicfqkWkBEhTCNIMrEBNuoMHdKCCBikt
Ezk3P7lo3HZvh18S/ylR5Z7euItySh6LabxIoBqn0Z1NIT/HXbXzvvq+3DbeeR4h+zCP3+Qo7zGL
BiGwT8zKX2yPtXTylHhhUKHEfy3SAgAk3Y7oBOPxRhX3T+76/7xyNG7++b/8+XtRTnUUhO3qj/98
F32vi6b41f7v8s/+9dde/6N/3j71NL0X67/z6p/wm/8ceffUPr36Az1lUTu9737W0z296Gn7/OuD
n8XyN/9/f/i3n8+/5WEqf/7jt+9Fl7fLb0M7M//tzx9d/vjHb4t3wP+8/PV//uz2KeOf7b93Tz+K
ev0Pfj417T9+g0/+d4GjhCOU1K4SyrF++9vw8/lHnvV3E2MPbSobZVfn+Ud5UbchXSJ/d1xhk2hL
IaW0l0tXU3TLTwz1d1PYSnquKR1Xq9/+77nu/thYf3wLpuHPP/8t77K7IsrbpffkNWNcCVdrk6fy
pG25ngte8/rsNcaiCxNrRoMjKc46nTzY7bCts1+5ohw6epdFft6lT3n+mOobVy+tS9hjjjSJGN35
WFnnIZHFROnnxfQdeKzXq3R5KtTebVtw9kktrTX3Ii1G3608zNA7ExmTnmZbUMHW2zeh3e0jB9Dm
+HjPicy/wxADujRTaw5CZsKxrDVjxZ9l3MMCdtAFSpFuqBz6gm5bZ3b8TU8DvU1ruUTlacgNDR5p
dlS46eo0PjQipjuZAmhPSS2o0ttuniLQ3MCn+9DsVIPHKVoQ7wVQzKcqGf16nycx1ru2YxKFqlFa
n8txpv096MP5Uxi36qvR6ZEE2ZumcodS3RB/yBtvhvVpKZgMcRFVkEZ4E2ffpB1SPIEh0VhyBoqk
iAnVkXtlowGATF+8SM2o2Wrv/UZosS0mOpzKUfQKISM3AACFAIQcfpfKs9QK6WDP0KzYFKXtXFVF
mg/nCCjQKzZ2efwpUGTDqMmEAiWkOI8RZ0E060uFlA3iL02FQbQPxW9TCItWwrDUDplEImvgHTV6
FMA8HykBLwiqFrHBjOb/uC9ynHhCCZIg/Wn+7voV2i+ev/TuJ0GJi0qUabRzYxvK7i4Phun3xnY7
wFRrYnrp3kAiYDbSwtn0rl7gq9obfBrDly55On/VwnVO1cdupl1hOxau8zgCVyG6lg6ivQjMMr4V
Bu5Ip1bTqzPteTG5LqQsqRyBbcE6uZrtUWKNPth7N9Tme5olkGApDBp7kP0ey8t4Drur0KgR0eD2
ORkn0qs3O5qwYdFvIPmPaLOO9I0VlG5KhyEkBQ1wmKI3lm6NrjIm1IqM/KEt8gCweDQr2DLa9Zqz
43vpmVf4Yi+BwkvpCj6MMi2i15r2O8NVqLs5MZGCGeyHLqmauxhm0G7qsvqm67v80kuDnIZ6mECz
H7k3MO0H3AAz+r5SlMDCvtUn5uR1lqGUVoIwwhN5yB3xRMvPX9wwtOGUEVdCQRLmp+/oLOp+95RT
fzz+5gdHcTzh4QGlhfPccvdilGAMrDjuIlyV7DG/nqI83af+bJ+4yIjXOMnyMrYjPOHyHo7tmeth
qths/YL8aVcWiXvn9a6675B9+ykkVaHZlbfe5H0mJlMClwj7tVUSngjPy6Hw6guvnoAD7eV0IuJW
yCjKxK4Pu+FqLh3jKq7k1ypctAraEhpKGQfTjyl3ICxkkHPvjk/0aom/mYHV7QVtcnOOR4QUhlH8
0hI1xKJpMRqP5k3hoKA7BP60iaspP3ENXh1Lz+NaHBXCc2zBabAa18iNuAwkZB4WdXDmy8xHh0x1
d3ps0is92afo6OJ14v7Hp7al5WEAJ1hSzzyxFysqKozMt2bH3FlenewN4glikqX1MVzQfwtJm0uV
Jh4ol9HfzkKNPycn0x+QnhtPFkjffnKa1IS2FNkI+2i1gyxpl13Obt/VQ6q/ycKofw+FmZ3Yp69x
huf3ZYdaHow4WxCjVkjA4BbCLspe7GJpxg+tN82XeTLqB1qruCIUrHAqR6n/HzX5LKNKMilLW9qV
tmk7q3frDG9K0pLlpEqAu5iCMD3/0akO8NfX3j9GUZIan7DE8v/VjQfisZr4nEiwoVVwNmZjdV70
RMRMxOmX4/vj7TqVpuPBAXQ5fqw3loKzG5JcwZ3azWE/vMu9oXg0xrzbJKUhkZYN4hOY8KFX02Rp
lmJzACmvYCJjHFWO7giQZlRU56qHijsn1Gy6MQtPDLUqQijCMkFvOVwxMySjXrfChNqpSzMJnH1b
Nf28rxpyKoTYVPSNjEneT7KKASIdC+Eg4Vboaw2xHC5KdEGoEJMefeuHMf2GDRrttZkuzXbfBmhV
DUHrd/ukbE35bow0RL1gMKDMHf8wzw0fLyInT69tcgLiBym/1GuauJg7VEiTyUIyrjO/ojQWl/Tb
qOZjnXfUbBpQF2xXwXrt82gcbbSNUSO6EjpedPQ8aaKG1CLnvnOi2XvKYg6AM5n4brvNRls+NE1q
wqQpGkvuZq0QzPDFlIoT0X/1tZd3UHg0W9K1uS84azeOLmilrrGH3UepP+7sFp34pI2RmLepYh6f
rwNDOaQTjkm/mae5q7w+aJLEG4UCPNmLyXZvLLw0rmZraT3tk+7++FCr0LO8FcGNHF8oi5vXGt2B
mdcktcNpLdsQD1shZ6Sp/IYEM0aWBB0UVLiquHt/fNRVyvA8KmHO4w0tbTveMgEvAnzutkMzmCT3
ENjad16H4Kwe53B3fJTVef3HKJbLezmSwLMu4GFAP2Qlnr0w5vL0xuk750fhxA4i3a0bXtl+ViHS
N8w3eSe9h66akhMB9sD4HmtGEFqV7cp1gM04shpacIk9QX5T1/Z1aVGL0dVt5UQ/s04iyOzqR46Y
78ffexUHl/dmq0mkYl3yYHedCpeV1wcNznT7eW6bS8EFZa9LMe9UBmXQVq068Z6vl6tjc08n+RZc
JbFj0XqdHwxFUMghc6hpzKDNdA847yzPSm7RxU4/Hn+11wvn/4ZagIHlWirWChOzKKuCd2eoBuV+
BNTxow8gjB4f5XWi9ecoJJusHIuC3XpTQL2tS7noToWjTuMzKxbqi90E+TWClGre9MD2vzvPHjS9
35yKlfbrlIOv55JsKYblCbgErtDLonPNoCrpxs/yqLmPqwp+SAT/8zGb5w4vCgcmR0vTDRx1LUcu
N6OASphZ6ELGfgiemNhN7ly0cy0g0PqzcxU58VycZ3Xm7qOgEUhRN16Uo7dvpep6DFKdn2NAU1H7
b3sXVV4RQwg6PqNvt4JL5LTYh8AtwltndJmsHC8wClg3Y1ffeJhdfpBZmF+GTRbACMqEu/cMy4Cd
MQ1bHdHRcuKTrq8Py7RKaWopuZ6xJ9aHNaQlGVm6Unt7SqjqNJJm/n3ptZAzCqF7oB1HwFDM2mry
oaNFE2L3dp9/rOjI/s9soJfDHEBMa7GsYeZl3TxWh9xwEF+Qe36KIjYWN/aM5uzxKX++cP770GUV
CyE9Yg/XYpAdd+3XqZXRNnlJbdRMYqopVuCo72UTClgnfq4l/MqZamMu6BdJW+1a9H9K1zofzDxE
kK1Mv2jhFYv8/Qj1x8iUB0Zi6uY69OaoObPjKLfAxQqByGo4p5+aJJmziyBxF6g49jC0mJt2+nn8
pcSbAEB+DPznEmWWbHI9dSiGFmUeSWvfp9lZE1jcEWJn2Iguc77P4zyiMEPIv08gySNn21cd9OEY
To6YYYc2M9KIEu3B99I1khOh6U0UtIHtmG9zeTjO7iUqvzjTPINvPSWIGbs6ooDeupC4LGCx9/hc
qsfj0/BmFiQn9RL+wC7xb15HXMMK/BS3er0bp8ze9QPK0Mqa0hOb9s0bLVcwx7SANrTNllml7l4o
22meOncHPIfW3Thoeh+wJFU61Seutiv0ZAm5jAUgTLzzlA1q8Xr2Upv+xLlkLDMvb2eeat8aXY9c
lNDfPRv80LWB5JBbovejQ8UyJAyiaQwJ3e7iErW+QJ649b59ey5F5EZaiuUuupZhoj8qt0WjeXtD
oiYgECir0NK+dOupPxGcTgylVhONEjc+RSlDRWEBuRGsiJbbNL9M2jk4ERVe53vPR5tm23BYk3cp
sQ6Dlhtnnt9hJjbnZo9oWz09Fjow7udxct/3DVoJSZrbJxKEt7tWgjKTibFoTcElbfWC9ZRPodfD
epiCQX/AktegR0TGl97cWBdBCpuTQi+8j3Aq6INpwhsCeXEXOlH9oxe1haKdp/r7Oa2s//wjc1l0
CJKg7vLNSY/dbZzkCYqogzt6Z2XVzrsRYbizOvLN/fE9u0I1/sgqrOcsCYTUVGpZBS8CRBMkM7pz
ncbSwe6uwNI7VDErSTOFX+7SLPTQ2lbqEXwD7ruu0kty/ugp0ENVnVhvr0/jP58EsNTmKgOsZq+e
xMwDGO1jrkGqp/RdM/vJ98apxttsdJsLG6HlM11Y5Uc9mN1DiRry9fGZOLAGXcBIrsyADwSwJbq9
mIgkQpMSTNbZeQqBuMww7cdR4qQUd+0Df7s7U0kXfj4+5uHZV8ICn5QWG2AVnlNT+H2aNpBuSmf4
fXYojhI8rd9D2CqlU8V7ty68bVppH2ONyO7f1cNwlqZwsI8/yMG5f/Ecq7udA3nPcMeM0F2gWJ14
6PsX3L8vy9A1vnEqTdeYFWWPQzON53HmjA/Hhz8QalzALIcsTAALr+WlOjRiY2+s9M53RXUWunZ3
N2aJjwuL1f34b4biZsCXXm6xq00/ySnoIhgdO3Oqhl1bsenNoPjFoT2e2FqHX+rfI61S5tkI8hyM
X9MS5NENCtaGXAgSJ2lvVic+38GhllQSVFBwcZav127nkHARMjSE+anezYqT1xrwWhhF5J4Y6jmX
eZXAca+ybdJVD6SOLG41gWZZDLWbznrXK8T4ASDUVREjxRBQ1rienJCOpETTFZzO/XulB//WDMbk
S24XNJMlU/hfTLJtA/ALuWDB6/BlOFXv9AXhiw2EEyIe4meQY+2dqJDYP75yXl9g/4hPrBrlaekI
lusKWPPSEguUkVRqyCkwytDJv3pm3V07Xl6fAcadUi9YPtqbieZ2YNvSBmh77v9+EZCCqSOb7Qpe
rRJ6i9lTu6Uf4JRS3KGwB/jF3gPE4xay2vmj3Whd90vUVSDoaRO6Z2niZOfhoMxtQo61BaM51bt+
KNy8HHQ1lTqTmVUJXm2e6XOshtm4tUNAQsOsbfoJ0GL32sh+l0kbTdlhaE6cNAdnVgHHAoAAvq7T
OtUHZmEQVPmSMt6lMk8vJw7c8+Pr5dCmhBnAjccGQve8VfJoRGlGbzMzG6cmPgL5qLBPwihQ++q/
eR9NJQDcd4GYV5HGDKd8pOCtd0nolduqDbAdymzvxCgH1/+LUVbvU0qa1euGUeKem4451BVuK7b3
rontCopke0pt7ODKBPyzPK4Urn4+O1+s/16kqMtqsqBagzFwg3LLvT1Y1XlaTu1Fm2TDu0naFLyP
f7ZDi0NSVAJSdchH1yqVbT5kAn16tp0zh+ddUOizppyjE3Hr1CjL4nnxcn6GAJ5tcvA3qZGhqB0H
O2MIzcvj73Jon5FE2gszRUnYLq9HaUYAmNxgn0XgCleTDiLchqp4+NJPFMw2CJdXII7UEuhGrgSO
RFbfnXjRQ+cFtQ/wRgysXDLNVYBJakCxhBvjLvFSopdRATeybMrzGEvjXe5H0360+uJslnxTiLqV
0vMTXA9zAghBm/f4jBzYlJAkJXggK5kvvMzYi3lPvdj2+yx3d+MQdNdd2GGSiN74NnexKDw+1IH1
65FSAS9xUAp3ndQ4pl+bI9pNUNsC/CNSWl9ngBUkz8qvNSf5WVr45tnxMQ8sK8ZU3IoVNxqiz+vX
axBMMNKJMYOomrEDicUVKsinqmcHR7HYHZTolLLWy0r3Dn14deruuibPd64FU7xCQf74qxzKjSm1
epQ4OZlsvSYL4+EVtCkKQZhBjsljO0e1v50tQ+abuXHorwhaUzwUVi6fcFkJsd3OZnQQylkFJjd0
fZLDePB7vnie1UJOG7ubMC/hPgzR2OeschNs1JT+MuvOwkoySN4PsTjFETw41/DBXJOzitvRagtz
JbGdsGdUtF2Td3TyyOskPFnbPjiKMrkDW8pirldJXWPNtGIZgk06jAlKLHZ0W/myuXXh8d4g7dE+
xLM9n1c5zsFc389zOhK3UzjjmlNa2MtaaYKyQ1WdgpQOBDCP+pYHI8/k6Z5ppS+2axiF2iCf0zs1
4SNulb3/czZQfk1ar0IErIqnjcaPcTO4atq2I0qwJxbhwQfQJtkX2REMwFWm0iLnYI8CaJ90GgZJ
59AaZ7Wpcctt2b2NUkN8HjtJLGvTbWz51EBVN+E14GCXNkj5s6n9L1pjgWPEkbysvCA+Q3ct/j1y
IvogQtfvT6Aah74khD1KLIQQj/rv6wgwqdRwM6ncHbQXe+sEOrw0fd85EUYP7QV+OUkNnwd+0WqU
Kswr2zRj9maK100ZDbTi0gM6nAk7GM9bO4G353ZxUJ8Y9234lqyDBc4EZHTtZ0jnxXrI8yCONRL/
O3dpu0SiBytGHaZnMdawu+Offvmyr9NvhrKpkRHfuGGsq8NDXBqdB+VtZw45akMDCq2beOhHDBIJ
9tk+sc34pmtNnX3VCT6RJ1be2+8oEWmkhLVQ16gmrxIEj/KqlcfcNhIVDXQu6fi+Bpf6j5EmRln4
CZTBCVVrNL7sVKQCL6GmVHcg8Pnsnam5/5lY2al+kkPTafE2nIfPFdbV+7iQ7bymYyRImyWi67b1
0ewWI62ypnhljF31y5qwPDeUfXf8Qx7A+XhJaleKagOQ7hu6TJvILFu6m7heCDQMcHfbE02jc9uc
EK4cgupcOwgWBq5GOyciANYUoa7Z0zQBZJCXjMR/r0p/OFFvPpAaLbc7UvaFwWRDEXm9V1v4/PDS
emCPqaEjnruQ9cGBD/kAaC9vR1UGGfwDkX6fAtvocS524RDOLmtwO45GgCKG003/MQzGM0kuEs93
XLFWm4x8hxrF0l7Oqixu07hF8bjr5x8Ctb7dWM0zhslZcIpJcmhfO9xxKUBRrbDXXKPaCseyl4pE
dc6GbWAplMdq/UOM4lTDyzOk9mpfKxNygcNSIDez2EWvJ732RUPff4LxvOmmVy6E3U1pj8E9Qi3d
DVriMToe4WB9TdsmO+ti1dGm4Eqg0Cq+t+as/I5TZvgDDot55xgjjlVpI6MTsefN5l+ekYUBLYii
AnSE1TMOuRsqiXpI12G3GGC0NffhKejkzdG2GmS1+vwgMGjBLJkI9OfvOlUb3/3a95+axJlbuvki
Go9KrFV/dbz/58mam/PjG/NNSFgegGsJ6Z1gf64R17jVKm4Js/TkGTfaca6SFMff0bBvatVft1Ld
Kxxaj4+5pEtvvr5DSsnpAfy/VrIeKlmGjhEZO9eh0rsZggzphpx2emPAUTYPjM/Hx1tVeEGNlpek
cr5kL8KSavUplQGTTxvaxwYKVZGgC5BcaTzEyKZY1r/GPqu+IckAK6LPeqzt4dM5SIUdf4hnEOfN
W794iNWnzmq4A/SGI7rQLRZa6RDbKGtNwV2cA/NuMC8rryeWGc34k33VT+18YVRpf0Eb/XCnZndx
sI78D5FTGJe4cc4XXhfo+2z2FAdH5F/ndY9RTo+ZcEFnCEbVEmG4nGZgSPHdrp6x8I2TBq+1svp4
/NUO7hRSgYVUYnHJXdbYi4SAKlgA1YadkuejvMIw+56yfXpxfJA30Wn5hi8GWV0aR/ZpGKjCQF+P
8yPkwKDmZ6rbrsT6/fhQh9anS8GR/xYO3zoQTlr2Y2DExs6yUpRJ8rmc3Y1buea5nzXmJ/rL7V/H
R3y7CwWLU8MSh+KxVF5ez6BhtFVVxJWH1YcRXoSJaD4YQSrO8jlDpooupc1cVg+yMuNPxwd+G38Y
GMKBS4gjBOjVosRQomgbnXk7H0jg5+BxGu7gAckPxdiau5RupYcwt9PPVjcLfOeV9Xh8/LdflfHh
8nLgSMsW66Uzm3nipjHqedC+sk8Zt6Jm48JSOWcDniRXHByMk80VpCJwIFaznPht0KdTjdOj56En
VYZI9qe0XNwZU+OfSHjeJOcgANyY/zXWssZe7AmjmZDTC/miue8318JNp3e60en7dAxodZ67OOXj
0t58YjpXivd/hDrXA32gsZeKw/quNIhsot2hD/ah3brXAYwHsQ3GAvN6vF5NE/M0UqhCl+r3OBAj
XduqHcutGQ0pkmqV5aB96Ro09iSqcmie7koa7mLbTD/xBcNPQEt3hW973aakjCL3YRPWaoN5MO7G
nl+grwCoO0V7Pyrk57DrvPB8tAu0Vryiqe/Q0bOR+sMg871Uvfl7Z9dJtInNrO62CTdffOQbRO52
VeP2zoaKBeTjLrNhoZQmlJlNVvf2D1oXaLqHQn/jzUnj4ZZex5/GFsu/TU6lFKh8ROvELqfisR61
yfuUU/WoEo19bq8R+qtSD5fHylb8P/dnykLIj6QoKcAe/z63Iy6xymkRIKObxoloGinkeKUxUsV7
16+ncCuKoRwBlCPEnbMUR1U9uxn3SKfsghsDtoXY+WZd0cvqBsHOqWbzEoZC92mEcYyMXWnT++qU
bhG+R0+72WZunLgPiT3VSb+vhgq7SWAI1Da2yjUuTGQEKb3TbA9NryQcaOujaCZR4s3O+2UVclg6
rYatykr/YxTYIPaRaxYPIgxcV5x3uk0zSmwDcpO5HeJ+gVI6phEiTDx7a/o6cXaIQYh6E6QhwL9R
mfqpHcPkK2J4Mt7Gplfhg5pK5J207ypS9y4Z2k2mRu7Os4iSZit0NP7s4a29Lynq/gyHBM1U08kw
hk2NgF5gl3aA+bFxswBbt7xaWkEdiVDVPJtticM5xZVdKQyEumpEgJGMmJr+g2jwIEP+p9M1rgyK
m5+VVNra4BPdztg7d818RQLuouKoJV7epTtZ1s4L7cCAzIahLKJEo/FrImhuRtULYCkZ1HcgVDUA
YKL9BpvYLDTO4tRvWep2jwqpmmccrDuztrZhgZRiXVKGQfGpWVRPjekH0LuOd5Otg/vKjvNxI0Jf
3/VQ15pNi25bxTXCxhrZQFLw84SOT7rpaytFHqJw37dTVX6gsF8Wm7kqSqA7Kxd3U7lIZDXWWA/L
qhz6m8ovGudsQJSU309BHrdTs0ADjC/nhHtPjeYX3LyrjyYKwMNeWaAi2zlwavqvTbPfxKqQ9Y4k
a/xGra9/sr2GX0RFjU49I0tmPJ3Lfv6g/MD8QC3T+qqAlMJN3CfFtJm6GX3btFHjHkS5R0rG9h1E
0DosvDZdOeGFCeQQ/Wxtf7qKe2Bb8osovPOlNbZXtsiyK2Q3CeAN5ytamipEItEMjQGi2FBha2oE
sLUrbWJq4zZyvDdqQ3+d+0TdqUa34YUTYxNPCpYo9H5dK9mEXHXeIYE8Y+Wea/196LzAZv0NPaYe
Bh6EmPaKGImQic6fbUZNcAbjDXG97ky76XZTbsufVZvMOBEaNv7lQRgbWHyZE5azKAVa9kZbYxFd
hnWSf6msMv8i/MB+bBAZDtBSq/tFiEl5X13UEgq04v2y2nllgF9Ulg0+mGeU5O0WSAwxhaJVJCa1
HZ6T3g0PzphYF40KDZohPXumlfkKBc/o2zjBIcKlNY0/h8qMpk1YJjUBWKn6W4bo40MAp11sW9dp
P2Oo6ogLRyEVsASGztkmXRJ+NAPH+WjFXdKcSRd1zd00RNn4BeTJHnf9KFWyn6LQej9GPqpcbAqf
p45ss/se1VVqbbMJgjVSwlGjr6NgMtpLX9LgQ/kWdAeDz5H6Nb7qaDtak6+NbWnA3t1PQZpEZ3Q5
FUg5tqN5tYB26cYBeTXOeS7zaymTubuYZJGJTZ8aLdY4glvMJnZ6bCV1IyGjjV1ZoN4YWXQj5KbC
jdItW/21H5vgUaoAvs/chL6/LfuOfq1pNA0wzthJzcsilMiPlFBz1UWC1MS5Gzuxu6W3IukuROrY
j5bRd/55WTh1dtnoHq0YEy6wt4Gi7PP/IQj0WWf6WXRtOaNxHoaN+cuql+48OZpJd5OqDG9gNyat
3HaNHPyPSWs0+Z2eiyS5SB0N0hm1UsBJghc/grDBFKWxbEYDwc1z+1MiS4q4A/cp9DVEUkQfbVpJ
sx9tEg/DrnTHKEecuymvRYdjdYCvz0ez8ubPkszA3hNBkejC2jb65Cy2fMBd9DDcJi19QPtE5nn8
zTc4dTbCoikZkgGSO7nZpeCdtkDwMJnLzttqHRpPvdF4GWAO+MYuTeJ63M1WGH2F5jXezhmybPcs
bWTywqAUPGlkfK+l7LpLu/OLJxOYHT1Y1cz5pkXMn9jhtZiuX0VdyiGAqmYrCLzeIM8GuCkKm1CP
inxS122yV5MzfYqyVjwaNhKZ2yBKiBMGeciTG3nBjYyS2trkScbRbspWPgSOb3yuGtlz77dHMm+j
6W2c4UEa221cJ+EnO9d43xZoD3zMYMBYu6roxS+j6tufgz1P2LWaiBXUlYyvtV+jW1vmk8bhYZaa
3bVI8c01aOxZ7hdTcJ7qKL1UCAGhW5Hn8g40Jv1q6dC6rVVujWhvoxb30a7j6F2bY0y784q5um34
W1g1e2Xp7E0rTL6FNpJ22yjOM7SW8eCkqdeN+5+WGDisUZpwbuLSLL92Rd0Zm9EUuMJyr6ON1y3G
xcrSazBZRo+vPUd4yEBVOs0tqCPdqOut7EPipzfPqj6jQ0a+l2E+fvBzd6rPdRm55W0/y8HdOQOK
BKRxHaLItOyQiMASx6mq7oap3ZB8Y1I00X/loxvdT09Jm+clqU1mNHhdGSa2wsXobXRB5zUN2ykC
h1U8XvlWPWwHO/tp9yGaRWUljXepHSKMCaVmowaHHuGIJcRpAxDVn4dtkVynblm5Z6Y3xF8K9mO7
7XGUpbxYlx025K00PruNYBOqNmyeamT51bYHBsDg2MD/Ni/sAjEpw6RFUkBBe8pH99y005ZOcJ53
k2WWhSxqbTbfslEH5h45JCvaSjfzwf7RQaa909Gu2mZVg5BgO+v5yo6HwkTtGZWummv3Lbz+HJXg
Vsv7NMIG3VEYKzpK8tZZEpMey8riKBmsEgX9qUfmb1P4c9FCfTSGxfK4RDfKLgKU32LX9M9jg27U
vR4C0W2I/GOy44qj91VWVO3WCaPqBxKEOFuZFRlRHjjZOw8ivkI+b1GxSafYQaetdY1s20fe4rln
zTUWZqP0kGzxQfs2olLobtP3mJRbMl/CmUfFuj2j1ufInQURtdrQFmgV++M3ibd3eq6iQDOLRgP9
gOtiFApdaFaGFnrmcYQHupk7NwIzwMvjoxy495IF2JS70HOg6rXcol7ckgYQNne2en+XemjLeyGz
gHkPLM9omJHf8aYswIR5mjhYybdPIApvmcWKd3wx+vJ0L0ZPDBK4tFD+bvKs+LZJ3UZvezTOHhy7
ubEqDHnytCovpybUH8oszX4kera2Dvzfq1p44bVqqlOVxgNXVOlRAuD+JkCs1sivHr0BHa3U20kr
bbeDGXf3xCLS9XyqTsy9vdztXwNSXLvpByKPo3mabtrXrz+UHXCrG/i7pPM7uU2iKvmZGB1EEkpw
8jZOLQ8d0s50bhQTNe+ddvhgmBkdYI3dcP+IRN1/NfjzQxpkyZVndpm7k/UcI0PWqvqzpYfc3vm4
1gXnZtXLp2gGYN6Os++3Z5TjrVt3Chahah3Vwz7AsOke+pP1fiEMPyGPivqYwCejOMvyppZoqVXj
73kbN//FUqf5ZGmDgB8gqWu9ngcnk/VAiRe9Xae29mmSVHsDgY0TG+rgl6WEDroD4RHs8/UoXpTQ
ZR8BPsh4RFeuoFZJ8nrvTVy9jm+qA9CD5KP+a6QVUlZkdQhvGeiBTzdehNovLtxpnKEkagi0QUmn
UJiED8cHfYuZLQgWtWswJNo4nzWiXuwl1Q0+xgAI3E9zLXaTpZNdZN6G5Y3w/VMdO4eiBhU5xGAo
my09Q6+nsowUmtqLWkRcey5bo0AGH077o1+L1t9Kq1DvqtxBXi+3OJKPv+cBLJmeb9LLpelTamfN
Fq6w8B781vR3S8MHHiyoXkoxC9TdpXqHlGy8TYUf33JPX7wz6J+8bdDvP2GqdCA6L0irhbCEkEvh
6v9Rd17bkRtre74hYy/k4MOOaHLIyfEES5oZIedCvHo/Rck2G8Tf+Ckf+Wgv7ZGmugoVvvCG6xUY
0MFMefyUg6EPzpc6y7u9Y8T9343Jf9SD3v19FyyEihb/+N/ULXpb/S4+iub3b/HwR/X/gXqRyfb9
r9WL9lGc/X6uXST/9X+0i2z7P/T0oarRuOCI/yNbBIX0PzQ1Af/y0aEfSTTOP7JFADb+w59QuZQy
FWDMZRP7/wgX2f/hX5bAGrBCvLOu9hrtosUVA74J9K3KqXA8A1br0qPTcDIjoWYw34MQV8k2h8Cc
Olyz81L7HIVJ+eezRflndzyXSpL3yLP3A5CjiQCDRDzygIMaX9xo5lTl9eylMJBPb996+/MjUuwb
9cyFGhNImMUYi7ss0NFUSMrMvUP1GHmPs5NDjUU42cbi1dGbfWDkB8/FjuKjhgyoSvtGIaoMEHgh
4d8Z5l0qPV8Qmft/mvoS4FGjttMHGT8r3/2I9p/E7pF0Zn97jGV4spz7UtZksv/3+rbH998ePr1L
Du/m/XdSvI0rbeM7Lg0kvak3K9viO6a7bz8+hbs3wW7julrCyF5MZXFfxaMV5kHIejm7t+Huw9c3
jx/fb01jeTO/GERems+eoNqkvWZNzOMeUt/hU3RgIrwBG59lcfWy5XUwYOxMIjRO81KnrwqDecw9
R5xLxxyOyVi7lzpUtlhvi6P8NApwelixDkAWjvX1XCol0IkCSQwNgG3fxykWXwaPsqtI6y3/isXL
beq6Zqh0dom+kciiLX89VDqZyZzaVu7XrdbiTzbgW9R3zYF0q7jLCc7Ot/f1k7bQs3vjaUC5ijTV
qQkjnXI9YKAktd7oOgPmXbTTG9M+mkVjo/YKMsVASv3Q9511FgnGEJGonXuqYpXfagN1Hi+soUYh
Ql9ValPthaZ1+6ACmZfF8Yi4bEyco4xB8kGxcfJprdx7cILQpo0Ql37YVO65GntxjNveuaAMkN8r
CeGeyRV9MLq6PpHSWo92amj7ycnxpuhz63R7+sv9g3iDSdxgkXnThXohBlWK3AHk4GGRVEXqycvw
JyrLYct4+8Uo4Igg3sMnhqpIPLbYPxMIniBV5/qE/g1tYCvoTyTAzcZclrsUVLjKXGBOSXgoYJXr
Lzk3SqpbU26ehPCaL5VbKHf0Q4aPne1o/u1lWxmKHAVWNPxWntMl2E1PkSuO0sBEWt3BT4WRP0+5
6I7ubG4JX6wNxVNO2g+uDhjMYlZlPrklhVLzhNGddawbpO/NuYhQ5o+8V14mwI34SigIGXwuiDOL
o5Do9JaDOLJPMic8zm4FGypTtuLlRUIA+NxDFIEIQ24FD97q9WcK2i5uxeDh2hpo+l8Fgg/RvsnM
+K8s8LjD5tapPnpt722xhOVCPT/oBEoMDeQBPBEAuqWWByUytRYmlkNhiA7EzgZ+/S2z0iE9AUuI
vwrLab7HxFQ4uoG62oodlvca9wwhF8I4hGrccct7jXIRyBqzzXwtpYlGg6TULH8ExIeMQJOqH/Se
xtrGU7pcaaDYIBXhmtB5haq8jMDcfGxyUSj2ua/L2OfCDb/BKcyxBXKM+9md8b6IS7FxNF4MCnzH
1TWoqsAvJFn6+vMmlO6cOSoqHxlK0q5A9E50Uvt+do9K2IDeR9NW+R7WyNy9cvsCqoekgcgVipxw
7JYYdLL1mfasW/p5QaskUq3yoS6jeAMutDyPT6OAD0BhR57+5fygnYUTR7/0a9Bg9xqOcDs7s8Qp
bcctqcCXQznsU3jdngobGUDL9VJ2bhnQsRGjP6hSvd0yIvyB8xit8yF7lSsFbwCnglfAfUolUX1Y
fLW5UzCVsezJBxncPFpB1pxVqLcbkdfyHZCjSOVLF0EvqB/GYkIK4LbQydvJBxegnMSAdRuCjxuJ
wMoggHPAkUhNCaAkiwLKgPhI4Er/DhFjJ0bJdSp2vaWJX7efgJf7nDFIMzyuTF7RJRi4dMexNrVs
8BVO4dsW7fqj0hf9qVbj5EM1uTNqUeP08/ag8jNc3WEUP9FRcMHkO6AplgRAzcqqsJvK0bcLM3xv
0ws6agYsuSSn9V57eNuISuhHLKXsizDicuP7rWxIkA2EZdzg8vWTl9yzmDalQEtXoh9oIsbKMahi
Jd5BUaIVWtv959tTXfmMqMwxCBM14LDKP382FklNnhW9NvhhgR7ybso8HGkwuXhljVPufEcW2sAd
EQO94FQGVWskieFNPoqMBQ0JxWl9t2hj7Yx1BS65t2e1zD1M4i0peoT8m0yJ2ULX02rjTsQOJgx+
Hw6Ge0IpsHbfqUpYfgFpqDzOc5G332mKuZ/Yxe6HosEI41hHdApxCIKrtHGbLbGv/B7K3QChAXxL
BaqlGmg42omZDKrqh6xDjx/q2HtnBY5idtLx7aBzLyarPcY6kemBraFqJ8gmfbU3E71yzmkwiuKU
WQ5o/1yZkwyGkVC+aGE8vdOhGySHV68fmQG8eN41HlTKbdfrN9pOAghnnvwEPcZfBdatwz4GmLbX
LSt8GHTYFF7utg8Ix9ZvxkBE78t4qB7RRNsic7+4AJ5yFBQZpNoke2fxSxzRVZaZ15M/GTVKPKgv
7rWhB0Ke5823oDfjNwXLsLF/1gaF94PiEhcc5OZFetTWTYXOArvVszoSDBKJYpdMced7TPNYAh04
itEMt+ikLw4+c30+rHG96sjigUQqlMlv9UR8aevEHfe4nWB42WtFO2885KujadRIidfYkUsYXjWk
I3Afa/JxSeshBjgYfIdgXfZ6pKtbB2B1MKJrmzIx5JVlfB1pRjQ7sOR8GmvNrp6jrDuDYcFBJnYH
E8RR4WcTJgyVk35Vw6F6a472MSyQZjckQikb+/hBI9eggJ6FQt+Ipl6EjSw8wYZGO4C7ieLW9cIr
saNk9F1UIAzwrqOinT5lXajg/ScEJsdqtpVurG0wQijVcgl0GFcu17NrN3AS8FpDrvpWZmfg4Arv
oTba8nNl1uGxawzzXA628jqGwdMlBHeI6BjkN7nb4lJUM6NHE1qf/TobMntXgIM+Wr1ef8y9SXmH
4PD0V1KVhrMRH698emoN1E34+tRr3MWuRh+dREjEqh/jmkjLKQLwhyQwXtw23/br7ZtrZWGlYLpj
UUWBhrUkESujF2Sp40zgaVWFTSSybGfFdvc4RG1x5Hd02GJ07WvjOkgNiL+a6CpLjdplS9PujRKE
mo2ZI1W1atdoJpZy6pA44fH29F48108D0bYCoiXJSYuLyY3QNM2o9vp5onYHkiDQKaPabXyxtVFs
3ikmRagBdeh6d6p14IyakIZ+c1P2BysAUn7glc3zjYGW5U65JRFV4n9UU4Z4y9ypsDNPCVJF83Wj
c7D+RmGyPQw1mmJ7+vm5cnDyIf5cevGERfAsYoDsjd7i9BjBPtvjIas6O7Wy0tiHQGJtNdXW1oHc
gEIZJCGWYRFIBx4WdnEugTKgHHA4TFKrPdnIm22VBNaOyPOBFo8c+WUGhJCBrGJEPnQuagUz27HO
IKjXFPVvbyL5s6/CW+5hykOqjcInAtpLWlZdi64c0oLLR1EckHGG8tVOhH5pxzH/mIPIexs3QFI8
pO63aJ1yIsuhmQ0AewNq6YsraAoGJIYc7oIp94pP4ACEum9qb/zAs4CscSY89Q2otenO8EDMTH1W
bfXyVr6pidgSsSF4aWLexVI7etnVnt2qvp0nGfBYtW0H8E1t5W1o9K4MJNlOKIXBCHe5/a4PUYHN
wJOWlK+GFiymDPhwO4n89S8XuQpVOC5YekFLnm5roP/gjYHjB5b0XPTyYQTqDirwJxcR9HrUnMxv
t7fPymaF50o1nMcc7b2lsp2OmF5VR5nj44OHRgQosaMxTeqdEG2wkQlpTzzIxYbhiUSZiOuVIGUp
YkDd2MqRObf9XBXpL90rla8pljnNSWiifq+ooWk/aoiXSM3KSiTnGAFhgOyjbv3ENMxTT3oq7ISd
VPRAjmI3/ZKEUV0eWm7S8hInOjgqkTWRe8TjS3wpihhcehwH+JOGvZkAeCzm4GOpa9lXTYnzRzUa
2/qbMaeN4XupNr5F6HQA29VSKDmA78ntM9C6oDopWYI36ARtHquktBYubpyNOey9fsIB1XJz7VfT
9OKvTCg15qW6BTYrG/T0S61EmEh6uXActIXbEvfq3nQwl1AwP6vaFvuRUhfmz95zkUOO1UDkmLdq
LMkwKd43SZ0d95aJ1zkM1l5xTyM7ZNgrfTI2AJ6M4C2NDMxYE7QjIEcZvQcLlCqOhYZjDeTZJC2S
XseuHhznwhx/aCJSxNsk7pqHfrBwdbYjq/mRVASM+8zRlD/aoFTdy5THw3RoPGv6IvoKpTBAZ5il
t7P2yYgT5ffU6ObPiDSoOWuZMr+30fXR9ynazxAwA93D2zkl1yHOHi3jPd4NuBj3AG/fN7GqgBMy
Q/tDUFmJutMQLPsZFWJ0dn0SkHWogPx95tR/LrvOCt7aXcgtatmJWh+zsskfu0KrAN1T5sH43RiU
5jhYRf5jUHmSzkbrZp/HAbD5MaiH7pep9lPod/wd6S7XUMjcW/iY/ES3EdM+o66K4j7KhYoo3yzN
JcMypZxvm52OvV7HDzohYurWJ9KlJHuvzkPZ7fKi1nRqoWPb7d0MUOpFyZMJrKOuDvouMnoA9WEe
6X7aVKV6HtnnAZpDeWscwnqA+T72qfGztELLQ49VG5w9DIg+v3OVKvtjxBn9J6HUfJkc5DZ3BSjR
cmfpdWOcGncM/kRLsfzTNESunQAlZureCVSlOJaTq3xT8DoBZ9tmzfuK55TXtFP5GewzLJJVMag7
SzHQAVJU4O6HIRtz8xjyWPz1P3oUIMc2qQ2ekVb+1ZMNSjac4mpLunQlOidjQPCCXgAgqWVRlzzF
1TKhmfSOhPiRp2HxzvACpT94dV4Vu6Z0mi0JnJUnkqcBIg9C5bKUtri8E6PyaiVosRsejCbaNWpW
p4jVjtG3JhyHbhdaTeE3IMsJJ3sRbObfMhRfXHvSgoeSMpxtqlGLCMwqm2oCemf6uT7X6OBMsw6i
tc7Td40W1ffzUFQfwjrs/jKFMUgXwlh7X/YZbjO37/qVRwwpEOJoEHP0YJ7ar8/ylNxQgmJQK90X
2DY9NhQCD3mWRRujrATtNJLojDFd2exZNK7GqRNGaeS6r7dKDx+BGEHiZcGWzTuVVzTbdwZ+C5Ez
YbZ1e4Jre8um6At6gkIprOTrV9rsypBwwdH9KUtqXHpinNJaQ50/WJXrnMfW/n57vJdTReuRfgzR
Nbx/1A2uxwuqACpUNFj+HOR4cEY90Nd9PWi28iY2Taw7lNaaMYQGcbuV778cWmqXAusk7USgZsm/
RlJOi2sFt4wqRcZl32saVrpJ1+PknJdO0R07AB+4YUeRt5V5Ltv0BPjU4IhSwJRSU4Llfj1tMUW2
OdlJfgH5HoV+b7uR9AMsynpnhITZR0jHtgYQOG4Nf3I7/AVHgYXQDhBqkb668EHApBMAU1+lI7ss
fKRKXBvQatNL3bQ0jL228e6nVrPuemyj/rj9vV/uL8bic1NdYI+90NKqQng2pZqllwJtRfh5cXqk
P9w9ROaA4oOLbPft8VY+suwqykoj1esX7Td01+s8oD3mx6lkVhVN4A/B0B2hWkAISSbtHLfpVgfs
ZUToOASCKkvK1qa9ef114T4Bm0DExeetyh4JXeByTPZ8DDvQ1bfn9/JCQlKe2bEdbEo1S9JsE0a2
I6zW80ur0k+K2aV3Ipm2etwrX42/GpUCS4KcXhgSaMFMmoD8sO+hTcujGeBxFg39MR7UgbOpRRv1
gye4zfV9D0IU1ROa6yhZv9BATcbZGEbyNerDOiwbI3K59KhkGPU9RtfG+7Iu0BoeRNri7w26EhR6
pEVv26Fx3sWKWRo7F0tXLMiCRvkUTE4bHrTWyLOHRDcLaxcY8dyd28oS7xNV9MGjU0zmdxFM6BuE
BH+n2x9pbT94dLmA1oL3AGJ7vR8gkKQeKrKur1dGA7i7NM3i5JI4v6tnQ1jHV4/mkh0gViTp/sYT
5PnZGxVPOqG7JQJ/VHXJn9KCOjqClcNcdQot4Pn/YjhILgjwYAjwgj2ttK5XzQiT+FXduU/0n1w5
UpxuPplZXm558q3sd9R22BX45SCBtfTsqkEKKw5+Xb7IW8L3sLe/d3bevLs9p9VR2O0SeMShWpb7
vUY6gmVT4Je2EhHspUbSfVZHLvSNgV7GVQ7bAtVjV/ZbKTtf74wUln1tm1Xgz07szAfSEZ3o2m33
Tdvl1q4J7OEIWwouwDTDark9y5VtyY6kkYjgibwg5al/tlGgGyDm0uqBr8JQ+0SFQejf0sQoPutK
Y1afXj8YCAiQTsAgwIHKJX82WNi64eCNveIrjVB2fZ3g/lfWtXrpNS/eOG8r1xU6f9QzaPyyM5eY
C4Tu4Qppk4J2tpdD4BfioIb6cBLN9OfE8di4g1feGOkQCehUk6XW5R1sqUKMXq4pvgk65q0OW/KA
R2T2pkUrfFdUvXJptNze2DkvK0cg1SRfVTLsQaDKH/VsPUWPlwVBgsKdkkOgCXM1CvZprbUWLkLt
GB3sfLC9nREXwx+KHrhnvW0n89UVdNTwZDyIRyii9MuFTovRzi27U3wKpLnmR9DitX0fWmhDG1k/
YTWFtWO7d4Op+Xh7O62dUFIB3naqPfoLKSWOYtR3ba74WT3b9znspn1IuWBjfmujEAvTpQSDyFiL
i7tVEPFr3JIvC4nYwegzUDDn7Tzoorens7ZjAY/QAqEzDFZpETHYvYeJdBAxHYeqVeKJau/F/S+c
+sJ9A7HkX5x8MCQAIgBwSlHYxebx4iSrYMSAWWnNg2mU7XF0hI0UDIz72zNbORyya0+EDWSNg78Y
yrVoqetdFvhdKoCOSWr7ezXC8eSQ5l0OYhimKATP2vNefwk8qc9JXTg06NzFhTOjKVqImTl2WIz6
tG0xUtFm+3PWU/+iqPtKbosM6WXF3nQBGvJ0LMezMor3SP24fobl3k4PNCjykWtQ5GxfKRv891Dy
ppFWniDn5G56dvYBD0B5y2rPrxIrfsz0Irrr7H5LG3ktSSFSJ+uW+BywgMb1MFAlh6ywhOcjXCDm
XS50I993UDrm44S4g3KKlDyuLyPmqf0lD9u+PKKTEtcU68YpO9/eRyuPFag98GRgXqjXLxPTEGjE
gIssEWGajfdum2DsWmvhby+0isPtoVbQEoQzFHM5IpDCXsTviuHFZYJJiw99ubozqaadxknH3bf3
8uo+E1gOZWEHlLDt+10FYuZrY8zh2UnqeaPguxIfEFjxiTE0oYm3JNpkVLDyZpSBSFthz526ZYWy
UdPfhRRM9zH6OMe4wdCdgpjySi33p11Gn4f0Qh5c3rbrzx+DNHO6nLFpLjXJm8EegYO5fGvngt7Y
+EqXj3+Gw5iLZgzIpqXndGzEeEkaFmGr4lWXyB4NiHSmPbwbqsna0lZ+ki9aJBj0IQglUXCEPLVk
oiWD2ZqJawZ+mwy5ufeoudTYC3fBVzNN+xL+8JDqxwam7byLssQNjrHhVurFnuzuW4RwidjVXWaH
O6jsicYdjejDWRWdczfR6xl2XTDUwUZgv/JIyCyCCIrTCC9yUSvBxsYb3J5tOTvg07VxREPZQLkh
ACyDAIW6pda1Nh4+4ITZwE3QgFi8figih6M6R4HvJU3zu/KM+LuapuV3IHrZhN1zb+kbJ+/ldgdj
BhzchVjANboUnXI4Wlak5a5PzZZyE1Si+FNgBbV6MFwhqgOZdVUcgQCZH+e29fSNZ/Hlcw/a5G+A
JY8xQ1zv+AigbidC1/HrMHTPSoTHTCfMLfu0lzcZowBIpJVM3k6N7XqUNgOPmpYto+DoeNLm3jzk
DdBqEIrjxqW5OiHZGydSQrd2abGHX0wXASt2/CwAx4KYYu5Xet9tPPGrE4LOSS2NGh7GbNcTApmq
zu1kO9Asm+LQelitNb1qXByleX3gwtoRkRFzQrXU7cWdpBuhFY/VQHeDB2jv4sWCNnc07mdsYP/N
rCjxunQryaOXsV+RE/NSAHb8ORq/amYwgJse2rObVsPGJf/ynMF8k3BpAj/qRksEcYyXZQrR3AHS
VaKFgLLzSc3TYT96hQ53y9gqEKyMB2MNUVmwgOzzpX9mEBl6Aa6IU1ba6l2pBilaM3N7LIy232v2
8Pp7xJUwELmMyEdTVr3eH0VaRLyewvXp9KnoO7rze1Kpun2D+Lz1Uw1wDd1IjlZ2pMaK0iWV34g7
5XrEcBBN2qGn4EcKIshxiWQNzXv8laqp2riy1oaiRE8iRvQHJHfZPxelECjou/5czO5dZIn2QNdr
PBRm0W8MtXKaKRvCyJDBAImf/PNnYV/q1QYq0MzK6CnTYoGQ4sakbLnvre2O56PICT8bxdCQMBZT
6/o4iYDA9PSJNufUf5pctL7G3LaPt6Ot1fFoZdtcH7C9lsHsQCAz0cDmW5XIrJhoUL6fbFSMEUpB
e9VMEG+8PeDqF6OJhKEa0Du25vUEFbd3KPKVru/0QXh0Wq872UDxaOyNW+SPl0m6lKSmxM8TysO9
BGt2VtISFxSsJRZme4HV6CE12ZFpPqf7eTBUH8Eu4H+Uuw5W0ui/bs90qevLYjI+9CT8hWHrUg25
nqooMQ02bNZ2cBKz8mMtTH979dyZhzR2nWyf63ZbvpvqtEFEqMH/kUDIaD/mtt7eVXQMaLAPEVog
t3/WyisPS5fMQsZeRMdyRzzbYUUzJV0zGg6lIGuqdnTptIekCZw/uq5uhz2ddk8KIPbdXwh/0PW+
Pbqc83XkR8AnQVaUvWDeLYnzuXSdrD2iKLtBUWnMaAvAv1Uut0dZ22TEaRKeJqPMZZ0yCh1zjJWZ
TZbW02PTFckx6QFtueOWne1Kmoa4Os4a5Ne8wRR8r5dToPw6U3NxfVAe/Vs0wnU0I6zQtfdjkdnf
zaJNyh2KQ8NFVcl/PW2gwS2UrS7SyrpCVJboOIByVE0XP6ND0Q9WyuT5hReljx0uort+Kl6Nz0cb
VALmCf+kIeLyVW5sM9UHhEf8oEji4KlgMeyjyRVbrg8v6xYMhFQO4QxL+4KaEuWhhJKEtIsitUSb
pVXQBGmyJv2SZYEd3w1JVj8YmlC36ukr9yENZvosZEIgb93Fg4ICIul9mbE/s1R7I1jtu9GJUH8L
G7EvJtfeiBFX9w9mXXAYcXegyLU4jnjZESOmGoUL0+i/p25QPdi4L9EkoZwfDcF4tGJiVIip3rlN
k/w0aGJr86xNmuIp5REdd1BoTtd7eDTFPLcxbayusdLvY1K23tl28sRDwgr55CP/x5xuPDwrR5QQ
nHItwgTcBcvLmdx/MHKPh84VTrdv5ijeGaVXnZIGm8Xbt8HKjQdyFJgdr7e0CpVn59mNp6rDWFgT
iYXdRaq5VwiMv3dz1l5GYBzFDg1W7R2QE9fZleB1R//26GsTfT66/PNnoxvW1BWdFfHCAuP4nMUe
bhA8DWiW5lKo7/Zga9cAGSPYFNC41OAXOZRO8xGXYsX1FX0oH2MzHd4A1tc3Qua1KZFDUdqTPBKu
vespqSlWAlU3cb1OVnM0jTjcj5ONFmtdBf9iQjTTyIC53DBlX8SSeFKi0Inlmh90SX1JgxkxP0zk
/sUoUhdDferk/o37e/aNhEgG1SxS24+wujzPaV4e5riuNvbhCu9Gsm1kuR7EO53pxTmjpjxWmDva
fllnFaw7rf0wGQpifr0Z8gym9r4Kpuhc6WN8aKtARcNTdd6Al6OPaHbKQVUGqXhXN495Epa7YE6s
jS+7du/aVPgIcqlwUBG//rJBb/NpI1iqXqJ3e7XMM3QMjpguq8eR3bax7KuX3/PhFmcDxmiOqGdo
+1Xfa38EwjR+QeJLYPCNTo19D0jMM4Hr/M0xauzAB5d+CN6USCNudADWdjQ5OvtM9m1JA6/nXZo6
Whd2b/sKOkzfvEiL90DWwrcp2nUbu2DtiBJ4IQXPOgMhXexovjyWge7kQPBUjH3Squj0YbuxkT+v
Xek4M2LPyKeUIIXrCYGgHmKXO82PosnByRwHbQOwGGWOsnhXo+y3sYArG8egGUSxg+9B1L3YODDf
KlF5gU1YP3f3QY9wQjPnyiMvLS4VFkYOVOK3LvaVrwZsm7UEqyA7qIvUVk+9AKloBjUEqohpUemH
AecQX8fPZAM/vToUEAyKf3RRsA27Xs8Mk5KkR5bURy0TJEus64+YAo9E7HWy8WCsfDqYDv93qMVe
jKK5R2MjYoPElbcnaYsPfVWG58ht0z2kQXG4/WasTk2KBtFkg3W0LP1WI0LGQIwBNVdoHIagfN8O
tTJ8Lu1gY6S1mbFLCOzIi7Ahl7/k2TWLVnlbA+oKL0MZ97sgHupj07rifh5cZJ6BwGwEVysJIM5b
FLOlAAAHe3EIeigbBhCP8GI0mC9dRNAXn5NC08p9WhrDD9cevewoCd/hjs67fi/SPtnIRFZOuywr
Se9C4EiAxq+nLCI0NwvdDS9d1WpHqyL54w2qN0673BKLrIo4jGYJZWLCV2NRm7b0DGe/2giJaET1
BlmP/sF2Z+fBaWz7TYiCrndghUS4c4QXfri9fdbGRqOCzIdgAJLiYpE7sOdGZXm0+5EIiJBEUpxT
0EXRuyyeBZJ8AH7ctFWPzpS7x9tDr+1coIOSMkx3igro9eIGThlkrhiRKM/V4eB1s449gjUe0nIc
Nr7jU2qzXGKeKkkaAz1IbHU9lqBqkStjEV0ip/Rq4h0A9XR/ctd807UD2HGtLqmCjhU5M+o1iAff
WVlPi7VX8qo86OgbnpvRNueTFKGYd7WbON15UFw3PVhu1SAPoUkIujOY9RZHYu0cUEOl3QzHhaB7
8YkQ4nPVvJjjS4HsnneuAWHg7txUmfhhB4b+w+0N7fuomIBC4sh036QaGdDrLKZkMYTYm/Iq+Rzi
ZUuumJF5ojHjLrq42hgfPbcJjhhR/mxxj9u4ZZ5K+ItPhT+vlCyiOUvZR57JZ9dM6s4xMYLFp2pE
lP+qw1SL7yPRwrYzUwPvy9jQQ+9uEl4xnjvVmZVL2Q0W4Gna5ckl1I0s+VqbZpTspsZohvug6LvH
aIhtsRdGX6G0Oydo+hYw+aY7HVeD5kNMMGb/VjhkYjfk1cjnrKZwi4u/8sqCUaB6hgQztMklXjdJ
k1A1pxgYj1d19i6KQ8hfcac08z7KSfB2ve2J4RjXAyKAt8/ayt1NEE6WSLImacGLV0kf5A3Qt4pv
UJrvHvLeTRA77kvKGSV/9qE1o65+/aPLrYatA5kblUJr8V6MUaxXXpIqPqjvz1ktis9qln/OhfuP
zODP8X+Gv8t3f++N5zpya+sKGgOoCceEduTils4cq1M0vQz8DHtO5OWVnKwQgupdPTh9s0PHxCvA
aJT5Vrlh5QYzGRFQIp/Tgnp4vVUnVROdyAY6zJmIXFwUlULd0XhJUIQfm9f3syXBl+hM5txomMpv
/PxgKD12IK4bgMfQFbmOlPe0Ad33XUtcMb7p+M9LHy33srnU89ArX27voZV7iPvTRhkUpAat7cUe
ohZZalOTRJck753+F/QUEd2VbLgeXfABHgko96SATZKiyoVFUlPtNK+ttpoGTzXm5QVBKkmPgrgU
F+/FvsLIK0tnxVH8praV8MGrjFA9wQjACaqfDPNSOiUWGbsOj6PsFNkIzn718jAZ96oeZs6p7vMm
OWPkEd5Zo6J094OiTI9jR0NnIx1b2x5YUxNu2lLdZOnoDEKvntIKnJWCLj3i1l2yc7MOjpgT5v/i
rKFACxKdiqUUirzeG1Y+VKqHhL7vxkNnIViYhj+Uvm/MfZDiP7K7vRPWbhNZ/KfjAFoWsu31aHka
IKeVgkeMCpuky6pLa2e60WxcQqMK/4jRdJpOt4dcicRkqYIQjFuMu2QxQeIn5AzQErmYk5af2srB
a3iw9ePrR+GllZxW7kNYidcTszWlVQfDji+aE1SXuLarfZSBJ7s9ygpGBiMGYMYcZAl5WgomDqY2
YjypxZdKT9rgYkB6k44fYDt29TR54UOXqFWz1wPUU/Yd8lpIGFtmq59MnBd+6HWCwv/tn7SyVaVU
GW0JaqdACBYTr2vd7RvbjS85dm53KvHou1TM1dmJC+377aHWviRhH1Ro2ZBjz16vMcYBqBjj+3LR
w3A8jwAS9hqUx40JrbwJ7BLqIIS0UhxhMaFMrVOVwl18ER1YZ8Vh4XZDQze/rOCoVaYuHkItqs7/
Ym4sJAVLDZbpU0/p2RWdzb1R1IJdqocato9IyivJoazdbGMNVw4goqlPGsIUuemdXq9hWM/VaKZI
lZhTQ16CzPG+zuvqsWjUwC8ELii357U6HiJzwCCAqgKiuR4PvYOwoqQYXXLEuE8zUFXfnCvjEE/R
9FUdcdy5Pd7KUwMA2UXlGiQ+GIzFFR8MblvaYZZcuGoa/RSFGERhFzBj5hAjrlzt8rQIxrMXuHH1
SHOh/4ysS/J6KDRUa6nQSS0NOPRSwh7IngM8vw75FW11zKLE2g1JXJxRURp9FYXojfdiZZUZj4tH
wncIaBZ7FitFBe3pILw45tx0x74NjGY3e24XnQiFRwwNFEgqW+J+K0efDjLWzC74ctV15Ul6tmcd
Y0BXNajCy9Q3gEFEVp0m7toTdNktasr6UNSDCQp1qn+LCILAPhmiOmWCBY3RuRnLt7VaaZcKWbHL
7R20OhQ4DQajFgrA4HpW85hoWamT1/YD7No5abP7oA7dOyXvhg3CzdpQpEZgQiSF/cVVk8K1AaTR
e/6A1cI+hIPm03/L7oh2t+Tl1kquZGJPVXtwL/qyBqOYdPfpUXoSKKs/YsRjEnuVw7HXwxLfCuxF
h7wdj3UQx4e6idR9jaTa4fbSyq+0iL+Qg6MKTr9JxhpyPZ5tmLZ1hyZRG9lGrPq/ynLs71B7MA8B
Upr7yYyHD66V/w6Suv96e+CVl4MInwFhwdGUX8JF5sgqEWmlf5n2gfARubDfOeOwpZ+xvsZ0LyV5
1HVhC1/Pb3KjsmyJYXwkOuoQmrxi4vAQC46hnhvNd1Adydd8NPDuyUNgRxdljlL7bKYmDbDbM15d
asrNqkwwdKLu65/iYH9CcAmMtBkrPTx7wominTv1rvDLxGpKNIRd+3fkZOHHAnulaSNQWbuQJNLd
kC1O7KUXQVemZW1E8xsQc9OkD7ETzn/ZXjijJzRhlzYF1bdXT5ckDmVktJMIm5cVoWhwQmCLtIuG
htaFZ//laPHbqLEf6tD+2mjGH2UB4uP2mPJrLnazzKg4uwaNE66m6yVuB6DuTToCDA2N8nsb5NNe
dRHkC7GIuQxz9UtNbfP1NwbIEuJnKW8KWnPxWW0jjwTlBSgEHk431Fb2LapNyNHMzcZZXXlIqa8R
asoQCETXYnZ2Y9moIpv0hmOzj/eK0CmjtHZSjbu6hqm9K21h9Ycy0uo/w2Zug72Hz+zrEWXov5En
APSSh2ox3bLJlD6u2cVapej5zklV+7F1rAC6iy3qcmPTrlzH3E3kh3JMWHyLR6aPlT4c8z7w4zYp
znWnfDeqZDhNWjpsnM6tkRZvjNWOc29i8EWpv8uAjZThl8aKkn1s9PXGEq6cRIe4C0yMRgr04k7K
UZTQk6CDCZKPCmlDpL4hRIhO7lSKvTu25vn2qVidGpAY7j/4dRD5rk9FZRgUbbI68A01RcoNSWO1
O+qtwM9Jm/UtkOPaGaSQwlGgt8CxWISzcaHWaitsblzbasOdGOM8efR4CNKDPk0VdYRE13DVBMC6
1dVdmyiAecAbRMnSwOV6ot7/4uy8duQ2unZ9RQSYwyk7ckYaaazsE8KybOZijlf/PzXfxoaaQzQx
PrENCFY1K67wBmOyxxitk+uC8dZJOiQ8ibJQD0Zp1qe3zynIOY1KLjgpCrm3QylTYvO2wOapy2g5
97QqD60ZqVetd/eKqFtfRWGd3hqRD3Up+ee/PdFdPKjVRPf5mpVj/rHAK5Gzh/3fsFS8aPc/a+ON
koBz5J9owZKjrz4rMjNlGQuLzArHPTXQ61D054Xk/B81j8J/a0SU22M05sY3AoR8D5G29aWSXobc
gy3RTavRPbpQsKA95+oUc/GhK+zpXLktCvSgoL/d/9DNochbZfyBXtpa3hSHszjB89K9lugcnJvU
WI71kGQPaqv/B5Qx/rtEiXIgWdK5XT9Dn8F8Yk16bT13eVfZ0soOmNYhxlrNH7Jmb79sPBO0RcG/
UV6Eh7yG8yCdYIUA7kAZJ7rVgl6yli81OLyGYnsZ/bCF3sYHRy/SfykelA9e2M+/7k+ufIhWzzDX
DEqCkJOZ4nW8Pkddsxgl0Be9spxD03b5cUCw/XR/lI0lpORCp42P5D0yVxeN4aLhp8cAjvvJdc74
yMfg4PXpgkOgvXMsNm5sAPAkIIRtNDLWNOi5wc2vl0tIlUE5jGNaBYqRIoYkrCUYdGG//dljPKrf
FIdhXa0dRRICitAaodBZo+o8l1gTPHQVSJRB9f55+yQSmyF4RbQEEGL1nHdY7tWIbkZBbJlZeXZ6
gaOmlkVue9axMtwDRckTvN4ZMhrX6U/K9HTVHZ1rur/cdcq1BylxJpONPlszxtMporbH1DRNjJTM
cWf1tjYKuQZIf4JRzvtqo9R2U7dIn9C7GMY2YPHCJ3SU7A+QMbudPbn5fSTDNGakmO/a+Kp1JnMe
2wYy8gKkH5vSFkle12oS20+7flE/1C2yYcc0BkVzvb+SL+CA9dxKoQOuGPBMcIFv75kiaRyjQ/33
2vDAzp96T5R/0s9wKt9sMm86UvDHHKfXQ5E/LomSvos6qtoIvWT291ITFhbTC8D6Q+g68XhEw8qm
/WIBgYAeoZjpcxLZnjjg3uIkvhL3zZc6x6/9MLadihhUl+FbKLQ5+YuOa/qVGEAoZ6g42gP+KBgy
j9ihPjZRiNHi/e/eWl3uV1kYINpgC99+NlzhApg8pbIqHqMvYCXFgYqL+7VQsNO+P9RWt4IQihSO
/ikdTW8VYGhWVusW4PGgXNBjvoDtRudpcr3yVxt3+mOGA3V57pc6NI5g2md8h2CM2WdHxOLJNZqh
eq773nnX20ZlnmwrTZ4i1TLjr/d/5saMgD6QxS7o8ERBq40wca0oqK4qiJQUX7LM8C7VbCOVq07G
zp7buOiJK8HR0XHUyEtW4Xk3pLoH453jnHU5guQFOm9llexNu1zC1c6GwfwyAiHXqxJ7iZua1xQm
Ozsxp3d1iQWrbUnxY09j06XCNH9WkJlPk519H4c4QV9G++f+nG68APwESZagNwgoeb3yPZUn4Snc
IdCpr4qZ5bhQJtVyAtahnbVMRG9v0nMn06F3oPrKBsbttm4XOxvzFumGDDAy1vRDfjA9Jbn0Suge
73/b5ioSxnInI+cFaOV2qHqZjNTqDeVq4aZyRYdpvo5eY+3A0rZmUJIVuZ2kKdor2Ut6xoOEbgRj
Hok/cKcen/AVT/7SzTD7XOCMuqchu/VZ7H+J90FvkyLl7WclosbzYwyVaxuZ86HF1fmkd0A870/e
xo2PYoxEVFDlkKL8t6Ng0Vlg0pJQcc2m+DrD/jvgl5SeCLgQ4/Wm/mIY9A3ePqhsl0phYV61Nayi
pmFRmNFIhzCOUMNWlRCz9Va8zxGURNle1H/ofd2d7w+6EVdKugjRFrAogACrbdK0dWJPExoQUZxU
X/E6Nk5RVwMeW4zkOClN8ThBJD7EEw+4Jv4LMh7lPVoWEBFgxa4JD/ii61I0ixNIy+a96Cpx1Lzq
n9ClfCXJkDtT/Hr3cNNLmSdZu2eFV7sn1Tqt0vU2vMaLo392jDmWNMR555S/yrcoBKB/xQjI5NEl
lL/it9xu1uuu7sYB/fiqdZ+boak+gLRtj33eO091YTiQoyrAYoAv3hw+MzSVOUoQBA0AAVYfiOtU
mKL1318nDNxVf7Hj+s82XJbZd4QV7jGKNz5UJlp4VMooTF3DOnDuttUoFQOjCXRFMyDMxSli/G8p
aknfXbXuzXPUGs7oz7Hl7b3cG8NTGCQmog9FrW5dR+qX2BhGur9XoiTjUHbUB/CEtltsx5PhXStA
flV57jzofbGTaG6NjDwtBXYEeNA4Wt0PHi4yA2pcI5dr2KBbUOWPqjBrBOwKMV60JXIfm6buj4Ba
w+D+gX3ZPTfvJmI0uORQcSYwIiVcnVjkk/BB8Kzxmi7O8JA1nZkdZ4Gsnz7Ey2XSWuVdlfbGD2/u
sbyuk/acqkbo13a7wKVHfwVhsPjvPhR7kiSvy/Lyl0kddjY9Iau1CsmjGV97qLC4twwDV0jdl0qO
RGi6RB8GZ6rto1YxmYdFVNns11qV636uj2Lx+bvSdAdv8eoKl5o99Hr4ByQ8aE63h7A0IKzGqT5c
+1Gxv7oCtSBRLc4FbPjyufFi40tv5uOX+4sj/9LV2vBiyL6LS0mD0vHtoLVCdRCUdH8d0x7lXiX0
0mBW5/TzZIrRODVovIqdp+rVlSZt9iSiBHIFscxaVAA3O6Y8qoarJ6oOUH0yn1Qqnqf7H7Y9CsBX
KcqE19jqSsOOXEtKt+Wke7n30/AIfTt9iXYeo9ewCz6GvhElaJ4/+ilyUX+7Oas6gdcIb/pqjo57
6fUyao4itLWPueHwn046dqo/tsJ6WpKy/Ii7YOkeidgMWI64z4/Ht381lSuAr1JdAFje7c+pzdwV
TZIN12Z0rUs7TCX+Ld5eOXxrbj2ppgjkUL7/q53azhVOhugDX0VVKodKpPZhdhtnJ95+tTUp3VBv
xwVSOr1AXrr9ltKBW+1o9SJJ45nuG6KDEdblahn7tlfqChnP9OaSkRyTxpgjeW9IJK2yuK4q46EF
uXnFclz52Jtd+1RU4bizNze/jP1PnUPyftYCAzj5WdaQmAshDCqqpYkLXton9R/0IfWLlsTeHsX6
1e1PYxdtIoBO3HUUqVaPbDQhB42Aw3xdcjM9eeBQ3zmiST9NRlz5kxY5F10r62vUJdFb21JyZJkt
8eAxreuExU7oMNCgV6+KUldnszCSZ3OmQG17Svdm1IEci9cVUDFxNhfM7YYhs3WdrlIWjLdL89SE
3vyua+z409iYxR4L7fXTwWASTczNQh/z1U6ZaDs5nY1ZyZgr9Tdj1ONH4lE3ORdjM3j+YCKQ5Het
1f09Rp755A7e9CFNJ6/deTVenUVqcy/oaX6IFJ9b3XOKkoJjNgfjKpQsPpox/Xmzb/d4GhZTd/NM
yFFgEr/wwFC7WZ0LWU0CH4SWNgao9UGf8/EwGlP1KelNsRMuvD4cNDJIOWmgArOC9HK7iryMxgQb
0qBB3GeXeWndU1cUydGcY+/B6CzvzYdRykTIGjEay1KF4HY8HgV0qfvYvOp23ll+WaboPkZVlJzS
HGdXH8iXupODbs0mTCxCB0J6jUbx7ZBlX+IOUqCeDeAqPoIqGfBnpyVVKoa68yDIX79aOBwQyNwl
xINW6eoSHR1PZIsKdagye+djjWpz0Iem+px7pSj80pm19zDG2gDhyfHHCE9kTyB08wd4EnvPQ8yS
rr7VQogxqWJoUqOeNH+hauzUD7AUAdYaVVGirommtnXJmwJfJyqygQCu9Pf9R/GFUvNqEtg4gAMR
EIWucTvfceH2pdV73nXoVd5Ga0wk9qsjXP2JUcTofSOyo5yR933e/BMpnfVumczkSatCo/q6mAjP
n8yhcsanEW3+6Tx29Zx/VcbBaYKsmx0N84IyKt4XWlx8KisqDH7aNMuTPbS9cpjHJlveDZWmfpoA
dzcnBWfM/rLM4fzLSysUlpOw1Y2zPs71sUcMQBzGmacuKHOsXiX8WKOcRegYP8xj6DeEM981Z5yn
ZwVNrtSvu7hW/bgtBu0okjb/pC0t5sItMp7DUW+98t/W7HM0LqqWcCsthI67iZ10fyllrYf4Y/Q0
8d26jf+wM3ee/MrOONORZyXJoyyH/G3koaL5ap8SyaAGXo8nragsYuDKNZ9Sb06zb5ijGOrOuVyF
wzR96MGBGqVuQumJt+t20aDfgq5IuipY+kw5tv0wB7jc9KexNIsjSoWcz6kzdk7m6jaVg0ooFJB0
XGCAIq+PS1pGuEIMZTBGqnE2wr70vWl8IzL2ZRSgBLKqxumnkHH7aQYSpNS/QhHEWm76WVJVl8rQ
EfdQlGFnFrc+iDqFLfnSEsktr6Lf4tOpiKN+0WaGGibxd62PHYweNAd2YrXNYejcMGMwPdGcuh2m
n1pkNeKiDLK6bZ6jMXMCDLSUncts494kf1QBt7wETusuUaiPbV4lAgmoUFP83nPwH8xC7eS66ZuV
uqikkRMCcQETQIYkP/i3eZv5GKFHELPRrYwvcMrs40I9YWd1Nt46pox3FZQk7oFr0LbR4Fk1UOcl
Lqsd7ggLMYfK6o/A/6sLZhYYa96/CjfWiR0nYQko/lIDXR0qh6tf0NLLA2pI7jsrRMO4M+O9vHpj
FBRQuPApGMs25eq+zZseJ802z2F1ZOIJ+8PmuJTuHs1w44LQ8W2TBHp42jCNb5fIMessq+huBKYm
ej/vM+2EhsNPZ9AWek0z6id+xPO3M4Or90yeXQnEBhUg6+K0AW9H7btOgwjW5MFoJeIzZjDtwxDi
HYoYbVp6fpnVksjaJwCKEX0xPmYuDcz/8hsQGZYnASbUOoNWDHOeTHPKAyR93T8o7E0fsFhy/DoK
04OdLM17RfFq357T4ntuNtWX+5toa+LRxgZpxuQje7W6JKucN2gomzLgvUNqcR6NH6Fj135XDd1B
V3TxHs8lwpk3j4ptvLygabKDWlot9zI2U+vNdRksUJKeo07VL7U9tV9bdXLfp1X2TwKG4vv9MTc2
MhxWQgYHoQmqZquMQitF3i3NIAKvrI0PdanUfqyo+fX+KBtbijK2NLmkDAVgYnVHoxUE6qtWRADI
wP3TrdM0O431mFVXATYxOhZ6JEqshKLU9rPSQ2CjasMmeb7/K1aXq9zYwMBoylEHkjiG1fyOnev1
OAuXgQjD9ntoDn/PYrZ8Jen1z/dH2ppVhuNjsXoEyrA6QrFWLVjl8VjUYdidvTyyzlhpZJf7o2x+
D7APngow9a8g1HGbxI3ZLCJoU5JsOs2NXxqhQ06m7MW4q/T6Zeoko5vjCLPAWFMnWssqU4H7TeA4
k/51NHKIe73C2X2PMKvVBoleDnYQpXGKZCYeVXstprWu2P9+AJZxtJ1ReqLOe3spwWcIWytSRWB1
SVf7rYpf1yMuIsXHfKR+c65AOb9ra6wHjk24uMOjDh1WOeHmOWXncdKm+FA01S4NYGOhKYrJZE4S
n17RcjyMrCKlXRokiW3js2KV44Pm9fpO7LGuwcmvJ8EAkkpOpYKMWT1qVNVHLOiLJogUU/3iKU34
oWpU56I0WnuoMpMSFRZhB8znuzM+Td5Bz6b6s6UU2U4uvrHlUNgAG0aqBQRgDSZPpr7RuzhqArr/
4gnvWvGNIkSNdlo07OzuramVXWBOECwBNt3tiqdVskxaatdBT8fkNAhUBAi63tjg4yaAp0LSRm2T
OdbXvCo4j6FCGpsFqiPQbMy5l/ma0RtaP+HKUqVpRvsx0sPxjUaiLyNz7xKp0GYDLroKKHNBlS6t
YetQDYv+MDp4jrDV+h12zJrD/zIMzzmlMS5fFD9XkUpYiVZ34jYNRDUbE7mFyrs1m1FB+2kC73dS
i3AOqqZcHD92U+9vg2c39MFeqOljGCeyc9Flma82uO/5k220P7QZIsMZ+6T4c9tUmUCgI0v2EOav
lp+FgdaDyaF8nugL3i5/6DWdcLUsDVrb6X0BScwXc70X1b8+WXIY8CVouAA1odh1O0yRRwnhTJgE
0VATzc8FgG/fagqvehqyYgy/6HG3qA/jqLfGeVCHBOBwYQnlRCF6yVwf/YBUD954r/ObCHlk7EHl
hP+8/U1mP4gYQ5UsQBVhekxtkQRTmWPDlxfeTjb46jzLoYj+zRdpfpD8t0MpHi3IwluywECE+rq0
se5PZeZckyX/8vaPerm+KXQDsF3bSEZFWaVD1KUctML2O6PpgjycDCjPuXK6P9Tay+dlzyNYAdqO
WjDY79XRGtApjfANygLed/1XadKFgeFjeF8UiC8zHqd58WfNxPyZpmqWPtiQ4FxfwyvpB1ygJj/U
TW8a9MoypX9vVYP13FE3U05OnjjlYdJd8VMNQ1Pzh3YyvpYuppO+nhcUGcbImPe+ZmuJZOcYGQsq
XNiT3y6RXgM+poGXBs6ILxG4SwoialMfBsr2OwHo1pnjhZV0LKBXoLZvh8JXLxZgPdPATPD6W/o5
eQcEaK+jtDUKjFkclGlIAj5e7TnqMJ2XO04a2KnngtBDBqRMZvt4fxNsjSILgiARCY1gmd1+S4sm
E0okfRJYxWwdgR8YZ9d03+iLIHca9VtYVRKW8rqakgCxj0uM6wK026OPk4sWL+4kxc4lvvEtjCIF
MKj58+/VjM2KPQqjjxhFnZsTLI3sjDq0sRNlbGw0alFSqOgl+ViP0iheOadknAFs3Nk5OdL33g8n
1xU+ynduer6/QHIz/VayfJk6Sl+yG4zZCQIztwuUFTHCa92SBrSb52s/uFRrtRwikYcf6rdJi5EC
VlPjLzVP96JZ+Vevh+bCI2xG+x0qmJyJ30ofOW0/Awn7LIjVobgYU8sVJHnnf3RaKj7FWZroD7XZ
vrFSLb+YEhXBDPVmia1Z3et2aGVCNF4WDKIo5zPBntuAS8x7N7C9LIuwCqub5xYwVX+a58UwzjMF
jj3U+sYyA5cllGaV6QSuQ3lkiEc0Jy2MAEfLmAGhitryEwR9QZVSQ377AwNpFdgi5VtemXV3DC/7
1oktIYISZzrd17Dg/aN26+jXZMz2Xki1sa43g8lz9Nu6ZmZYW1YTkqX0WfGouGl0RB1b9dv0i5Kq
38vQKnc2sTx5q51EdidDR2I4TAtWS9on3Vh7lZkFFjqtg5/l6fi5FWh8YnWbqK7UGCmm9/cPzutc
iH1EBC5F2cDiom90+5lli4jegLV0ULj18oy6coQqzjRf0V7CrdYW43nALPU4pbaGm105HNKobk4A
BZuf7Sz2IPuvcnv5a+i7UKICnYcIxO2vaWPHlhWhNCi9xjg2RlQrMJ802lsTrrfvtXgavwrggP8i
AOz8qlXr1/3p2Fp0XixieLQ10LlY5Ubs3mRqdZfAwkqZcHXoHybPrd71UZweQ/Kmc49h9vz2p5Ly
lMxNyFEA/KyeSktVM2ErZRZg/rw8dyVgp1pV3J/3v21re6EaR64FeI363+qiavQF6+iOQGaJXeUs
8MM9A3SuPzX0tv/I8IM+3h9v626gYC8lajmvyK/crqXdEeW2nsJcGtT4hmUqT1bUY0xhF3uS3JtD
AdyXRplsvbVRhDrZE3L5RRbYjW75Vj39rExtOcx4qOy8a3IDrs8obyb3newew2K5/ai0TRQlBw4f
xH0q3qmOMj6E1DOu96du4zkzXrDxINC44l/p/KhN2zsj+Qru3cvwQYRtNPmTlyz1KUGLu8F3NTL0
oxdOtfMg4jL+9/74LwnR6jNNwl3plill7deQ+cVsHaddCOUz4aI/N6jxHJS4yjrH3Iy7Z46DMmN6
3XvVo6ElTv5N1CXGri41zdFPlBn5ab/znPLLnKQojuIu3rSHxUpNcRK429lnr/K0PQuejbXhR0sN
Rrk8yBberg2AVmHEDceobUlwsjwpHqlz7JyirUFYespXGCsSQK82gCs0RwEWEgUuvqiXMM56v0uM
aKc0snFWZTNAspMJZtjRt5/igGTDN36IAqUs62OXIMzXTdH83lWWHwZN/tPOesuK13q9qYzrkrkE
9lpdVcSobiWgg9DZUMPGCTwMZK5iMswPg41UhOVNy78IPqm2n+B99pQbSG4d0Uu031pTBaOMxCMC
7IQSspN0+9WlLkw3slKIGrM5n0YXExEpmnYMu3beuZy2JhhNKOCdSKlQhVw9ezm2YSPdOZQPJ025
9HYXfqrbQfzp9EjBJZmi7wmybw8Ij5+rl+7+GqcRMltmEeE1OGq9c4xK4ynSTLIvsx0elkWpdr5v
a5uS50GolyQxAv3bqVyKTO0HFXZAqKrtMTGs6FhhULFzT22NAjALNCRPNl3TVcQCOwjZUBeJj9bI
u4OpZMXFKZFnub87Nx5lqdH0/0dZnWtc4vLFnFAbMxSzOlTRqP+0hlp7bIsG/ee5JeCv272wfvPT
qONRVGO1yGRuJ9C2lyke5ImI8qbxM47ohY7CnkndxkVPvMepQ4eJEGAt45Un8ZQjoR4FoWMgj59p
yglqaXIGZaA/FHYTXyI3V49RPic7GPat/fiSOACDInhf+/31aqdDs+Cs9dOcwLOIsguO85rvZXzu
OBTWzsP5Qn1ZXTE0F1DQemkQAzm7ndAqxKFjLIc46Iq6fDbsJTZ9QByxdQQ9JD5pYziU791QtUGJ
8HOvY78M9FPMcX6w50W3zkafuelRIBJr/ZWmhVGArkrj+Wh3xWD46pxF4aFLxWQe+knXACZrRhyd
bC8xMtoIrkERFu6c4osi1ZRDyRejmSuFd865WpRnz0mV5qEOXaPzmylPjWOROk32JRq90jk32lQm
O2d0Y1+/aIpSM5ZOr2solQeulZTVQdLJnJVns9Xcc0aR9DxHWFChEJEDvZn3iHebg9KRJU/mLuL6
vF2Gjl5YnlpuHIyaHp6ycRkOfRNbAYIbznEore7qUcX075/gjfiMaJqSE0VY4HdriVuntetQUVpY
RLyfT1Vmd4TyTv9VGTzj/B+GoniCxiNhACH87fehw2EPrnyfRZK4594Oc79QiujJrYdf/2EkivwS
2Ctht6sNnQqvsIoK1SbXquv+oCW5WflJXRY/Cuzz9kCwGzcFrBZiAhjp9BjW0gVRVTt1mSOfm2g1
WzOLOxyHYuVDMdUDw2qle0Dzh5s47Jv/EB2A7yE35OHakL6YpyiuuiyOg7br+3emq2RnB3dsXMrd
yP7UjkiAnaxiWYqDGbbmn/iX1+/qpSj2Gncbd5YMisiSQByb5Ii3awuLQIzWhEpzm/UwOFPnV2Ho
LSo1mUWuaDv/YdfS46V4zgOAttRqgfNyNPWwlJ7Psv53LKc+gZXWxT870Ll7ankb7w0vAA3ll7Bb
WxfMpnLB+6GslGtSjOMBXljzMGeqGrx9z9L/e7EuAtu8zjTnorZ7K4dkOlVJOxwtMDTXOYNU5A9E
sT/uD7Z11UCSAGMMgZu9I//8twpKPKp2Werw3YYGnrEflSK6NGU3HdpQmwONDPsY9TB5dpZta1gg
xrR7YHRbECRvh61MZwIFApubxMaoHwBWOUEx9PFfTqnVaChUtWcdrLxw1J0nbmsJaYFQvEEPkLR3
9b11pfDU530UpEnKUShMD7C6vTfK1ufhHUQ0RI0CZNfqggvhuJCVkBo0Qulpk9tY1l4aaFxndzC6
x45+BVbBRmxd7q/mxh2OGiegB2CGSLWsV9MbKYPFQmWDWqn2EMdlcsqM0fFDkoedFVz7fMjipmR9
0auj3EddUc70bzsHHa1l9tIhCYYYZ/CLXoRdfSxEHi6HftQb5Ws4WrV9Ngq9SK7CtpT6EIoW3IK+
hAAX1FR1P6kuQM8zsoXlNeuL4UtetKl9Tq3QUndCqa2Z+f3Xyj//7dc2ypzmXVsAQQUBCfB6QJlr
7HQfmMUb7aj/NzHwjmCJS/2adQU0b1M2IN1sKkXL8FmdlvJQCprMhtLWH8q+Mo9t1/U7Ky/vuVXk
RoUQNPJLavhKyA/t7qYuG0IGR3jpczdqs28rWnzosW89uHauHCnNmD9YHvU49F6xkxVu3PqcZq5f
WRU1+A230zuUsd2NaRQHti4McYyanO6ya3WFfokmhPv9WXX6vfxw47mVAmgkNTKeBN9zO2iB2hIw
OdTWPUVPHrW+bM/Ywmf+ouQam4hisIZFGECu+I0UkJclprrAkNzTIO1XAdoUVWmmg5ALlCq0P5SO
WtEajLWDnjbOzsJuzSyHyyZx42biuN1+pDPbIKkK2TVJQ5nk1IZ2KexMv9gVNc5IrZedk7I1q1RX
SQMkOoLE+3bAtC9SA/xWGsTREH0b26wCOVynp8bSZuchaXuv9LkyvTOhvlLsDP7yOet9jJOh9v8E
Tdc3mNVrIf3vmpnt47SHTqlg454LilsPRota+ClKy4HO6BDFR6PruvJED1PV/cZwxQclbscvUaMA
WswivRUfIGI2FtmoFj44FESy5zBMuue6ysW3umkX1a8qt1rOjWuVYudEbDw0VLmozbFPpLimXNff
LpypiWsTbcc4qKt0+oAJoRb5PRY15/s3/tYwiLhRU+MV5TTI1fxtGOg3GUpueRyIQZnfuT3Ye2E6
8c4oG7cnqQ+EQLYgCh1rSqXdWktvj3YRVJY5LEcjqjxke5UKqLdJAfnP+9+0sQNBQfB0wrLi+lwX
1uok15vJq4F+DV5m+ILnxz4aRZ9q5y6KxwdoM5Pip4OSXkodb8/T/eFfGuyrPShhOnyuFG145Z48
4HmDXDxdpdBo3egcthVO5Iyjf0oKc+wPdlyJyOeUdJxCbfTMYwSxNMC1d4AxoVvpcmYWk/w4p3P/
y0DPazmYk97kV6d0+P+nQsFAoffcsL2USzQ9j/Bxxg+mGkfjp862o+xgCiT5D30dRsoDAqU17+XQ
549m1ItnbNaW+u0LjGGFLMoiXgxHaXXoEf4oeqc3imDQ0ryhLxgW1zCa8gZAbGvuxg4yvFvPsFQA
IFEBYkjX/nbXLrnoBrzHmOFk0NwDPIxcO/SF2hS+sPC9p7qnZvTyFuyJfTtyEvUA0LB1fWVotJ7m
gYHO3bgU1RsN6eXFTtDGnQ6vACrouiQnVK1YpgEAtkhd1lyt+rMyza1v5fkbtQNfhpISJMiIg/cG
JHM7B51ZxjFODHmA8KR2hqbT/R0WoTj0+iL+vb+jN44vnQr4YEBTibXXleNItt4rdE4CtSvd85wZ
9rGjmHywM/H5/khbR5dX0QAySLXNW+fbY5j12dIWeUBJ7M+8SNyTh5qfr1KZfja9cTigx5odR61K
f9wfeOMelFpzjIhoGTDy1WyGHVjRwmI2y7KrTsY8O+9nAF5vb24TYBFwAJkBnuOuosi8NXPRNi3b
Awep65Ip1SmesCBSem1P5XojhWAowinKjlKfc3Uik04NC01N+SA3ih/iYhSHxiYdTPpZ481T4kNe
qeWX+7O4sVE8Yik6WnwiMKpVWhZ29G2sAS5FMjctSK02fEw1PKRKJ9lBuKzJpnL7s17ozsu4hrbG
asG6RPcaTdMAnyxxqgbmsuBSOfSu+t3L0qqE/TXN1aE2JqD/S1pO09MAJtb+FEWuHu4khVu5jJSa
oZXD+0aaIBfjt1e0m5tCjUoVdodqJn+HCvVFrG7j9LNm5zngY8cuPsOepjhWp33a/KHMFSyMhoDb
9nvLTD7oHRbDlwFWzCNgNEw2qzGKTD8Ph+KNQmj/mzgHdDAIYdqO66g3ccyhTzPafrgihJdCn2y/
VLPlWlrGcsgL0oswmYYdzvPGuSbclaq05C4klqsL263KUQ2dIQt6Jzd+oJtpfp6jeTmistFdwtxq
Hgt6cbxvqhXc35JbI6NoQSYlN6WzfipirZ4FPpNZoDtzXPpzOauBhlWAd8wR1q6P3Od5TkbVo6g3
xG7f7OyNrSMhq/4UxSVLY91jYEfmA0c0D4rIURwfk1f9exKZtX4ewkbZM4zduMYkD4TskTSem8y+
3Yjk9UVcVrw/wBKdY9u3KCEiK3e8P6db30Q1GyCUpDNxU9+OEhGjUC7sGSXXnGeAJ4Yfq7M4RTyL
p/tDyR+8eulRi0aEgzov0L81Kg+nsKxWOhtGkxVml7YonORgTLHzbcrG2KBn04sv90d8/XGSPE4/
DfARlbq1DxjMYOjqXloEArizOEyxQicBjieNioa4cme0jauDUq8OpIEUDb7bWoVGmJQglZCrwx1c
RJr7MpXSvGKMP0QgqKeLWbRufeggjFXPXjnGkR+GHtD2ubGU+WLzDs9+4vRLeBorr0xPdm2O4lQL
vQv9wjJq880LQk1CisDSwaWRvD7JeouChkBnM7BAZp0Sb7IerKzCqNXVsw+d1y07420sB7wBrnl6
qtD+1gVasH4VlZ4yDcImNQ5EHc0hdVHmF8bgXO+v/AYigvuJtFViQIngX+3rrsZlSevygAmY26NC
cK0f6C2JS9WAVDt4vVpkfpi3dXlZnCYhlI+aDtRGmWcoMoq6yuAeF7H9GKMhlPlFTav7qEfjGB2p
99vjcUhH3uCdny1T+NszImuEqDqjbMlTvwZyTChajk3FU1ioKZjIMeQ2hO2nL/ahCS3zH7JTD85w
4XHpZI6ZfiqyrJjf2SKXMrfkwHslgNeHFg0UDhA4Hap7WJ3e3g9MYY8lFT9o1Mrqs5Yotm+Mnnca
IGR/qfrp2/0J2BgOQAGUGhlV0aZetQwSRR3HfEhyyFPDeInRfX7q0wV8lWdTOTKXdC/De/2mcFrJ
P2hR0o9AXfH2+1KzE4aSWUCRki75Y4yBiGvZHB6hVXmntMINd7Hr5Auq0elO2PP6fgdnzbWO2Jq8
3de3BeSMEtp3NgRVptanxW3zQyN0Z+fNJEWWD/JqT8l2NakcVyBw/9Wc2kUSqkOWe0EbNUZ8tmHW
RE9idqyTp81K7BcjNsuHEbuUH1o3lu0ptqbWOaKJMcx+4SrDL/wzSL5gctvfu8mKPlRhDq7Eqlts
/xqtGOp3yFB17WEU01yCK2jiCGyRHgG4mUPExuqom4aP7ShyICkL9uCHKQtzfFA5hA3C4Y73V6Pm
yneztoqPRdbZEQVDPfzuRlG8+HZOBHUEiqn8u6AsNh/FMpRPWhF1f83zlBfvvGWa/ra0YUhhqliD
OBgZlI0DnxLnPhpzqOQBYmu/Nt6kxv5EAdY6150Vz4fFc+bsI0ph+WdVFNl3J9XL79q0pM0l1vP2
a+xSQT9pybIsft6MY1f4fZhl/yCKEpdBTxVK8V0vj0e/snCX/DSGosOHAY5cZl7G0aZd4yn9XP0V
JQbVyHmurT8UtXR/JqNXW6cEhaDxouOalaGTkXXNu0yhJ/uugMIVHXtryrPHvlBm9REgu2H8HHIP
N0cYP+Py96BWGfpSda4DodcWER4Sb86pOdgKjb6GS+RjLsL6U2EpYTRA3pk89dcy1Z74P47OrDtO
XQvCv4i1mIdXoLs923HiIX5h5cQxYhACBEjw6+/n+3qGpN2Wtvauql1FVvpkgvs2UMC4xHVa16ck
J87AiE/kLmLdTz8Va1wgCBssrW0QfcJhDPEtw/p+6fZj0sWKGjS5smBb21Wfbv2nqPz1HWaaDkWi
9HhZXTwhroANxJajPDVD2S67b3M8BRMyX9gDGInrEmYqkE7VX+kwBmGBRUB75Osg+w+114YlX1kb
6JEpTZ9xFPZ6pGlSvOG9PU6svc397wW30r7wU037vQfMF+juEBOeyHCQU47IwDtyefS8+/08ZF0e
sTn9WdUYjhWeh+SGFYF6r0u0c1lf0ijZVxLJvQco5OU32oZlOIlRd/Np62sz0zWk25rH2Lb3RZrh
7FvM0aG/IGGickNP82PX2dDkzb7Ed86wpsj/EshOqbzOKyBquqKtxngttkw0Pxw9Y/IbYWS85qx7
r7ddm/aKwDs1v9ZT19+2Ec+VM8jxvz2IZXbxu90bS80+WV9keA7/aBYVt7kz+JstOP5dS6InCHU+
H1Hyz9uC6v0gMuxGtbaxJzZ9CCoa3D7oy8U9quBOTJPPwks3hjcCZFzl7mj07drgfZV3SV398A63
ec9WpkB8Ppr6p+qq9pcbTceHcFp9FFEjvL1o/ar+S4iNIGjU3/qm6LBKqHOHTKS9rLpkSK9Gb7Gv
gT8FT9mIHC1vVN292u6IXrI6XE1xTHv8sErUrqVoUvNXhc7u5+umQErnNFWC5aw1YAVcjy3O2Qkp
6qVQ277mmTo2h3++Uq3p+CsM+1X7iPit9vjJmmRqy1WraCqDXTf7X1YJuco6ayJRqiMN+ytnmcI7
CTn3eFQiKyWbyljVkI+65+gfw6PAf3dTpQJLkbnEra6QvTbPThDPpKKtafjo2q79jS991ZZZP/QT
eY5L5eQbManvyZR0X7g80+vV32t1RNHUycIpHEgl3wm9LqK9Wd9E3eu6mGwtj5wYCS7INtsFH+ho
mP7rIvKK8opiJks9ARWeFxHHr7Hbmi8dp/1rMKydPS3xtkRFpmPxFOFgVl/Q2LOctA/TWpein6Nv
KI3+vKTRzzyam7rSuakd/xLqTtbnQEFX5Vut53vb+W5HpZPmpfJ9MK8hVHxtKmmDv43b1OK0z9Ou
z123pyA68Dy/g2NoRZmCkJEjyVb0i3ZEtRayiaM3sLx5ObVOPaucXdHjyxkW9b1VaNMjPzxnfyO/
eJiLrHbk1RwyPxdm6jxMB3Ai7cqYM5PlnjMOT6wctu8oOVDibXrZbJ5l7vJR19VEBs2g3D8xSOxb
j6iDVXbtdx99tMfTqcY4Ls4zs+C7mDT8XUXbNN9SdTbgorytmvHLNMi3yjmKW3naNpskxZS6/aPP
isQPj30RWyxWiKWIWxG8YskH9Og2azq+VIsbL+gCt+HP8a1k4Tp6znw66oF0NT8h8i305OKWmFov
c4Hrt30d2RzSJa+sExGaM5Ao29Ge44uBrY6XH7OPcSUbR7jaxsNxJKfUMQlin8RBMoFgFtvQMBwR
+LpVVF20Gr8XMJOw4UvxLdxCEXWd7xT4Hnry1BrHfwUJUFOOgAyZ5KpU8Klllt2zEcX2Z7Kzd5NP
Uq0DIX/9/iOw23gXdUIneVjPCMt4IrvH3Z/3l1B1x4vqJ85qTTbHV1rRzJ3UQRdN7ej8G9t2uJz2
c51O59Di0J1n47rsqL2w48ydVob9XTBt4XVTQ/DXirJAQJwQXbG32/Siw0B053ZjV2CDUFA3eCsd
E0RTqK8teeJ/SELD6n0b+RNWnMcbyvzq1qdhTszXuB0BdtFeyAL6IDVl0NUqu2fxo6rLfd2Ti+cP
eiqCKoqHAs/N5V80gFfkx+gKcW73JZHcsjr7gnWYSTummjj5oXgtCxKtD0HeZEMmImy3/FqbeDvo
LYQCglZ9SNeIimEpvHqu+9wzQ/YoaoF5hrtHtth7MoLyMJja961fxT81+mYrq0SmO2C2E/+oA1dx
/yMnHOC2+ogGA1dRlFA8rN3E7zkP10E/Hqm/6mKHq3smfGLdz5raf73GtspKKys65JGXyAci3NcU
XXeDuyfrg7y6cVzNb36o/IPllLr7Ne8HUfCDQpeXk/+TPo5Y9GxlYivOpPIXq686Nuj+BYMzPHXO
EMg8wj7aFHWajl1h2myz5d59Vy0Yi/2HrVUTX7V+29zjQ4aVkiZpLSqGaN6eOqIb9suucOo5UyXc
p5QAZ0tT4O0ntcoxe8Bdr/2B1VIrTnM4JbIcoh1N3e58CzN4b3Yq8lH348ltsJXMx9rl2SH4SiQY
o/Ruc+c4NTjhMqt+LAwLILyPmx25olT7f8OxtE+H3rE/80JBeCY2WYd/dSyD/cy8tb7oeIgy7sti
f6l4V7diD5Zfrit5BjHYb00+THqqcuVTYQuCHKTJZejy+Dtdh11GmqBwiGcT/+7TlhvmHnNwU7Uy
XfgJADzzaqYoF15vxiEPHbGpvPZVfM9A19g8wUB2LMM2WN3T0SnfB6aYqItzYKOoRBKNdKnH68Dn
imTpI8IjIjGSSlRd7pi9Gjh+wrnT+DjJfEQTzb9stuxR9SB4vDOJdPLKZMZctgV2Eqaup/FqyQj4
N/rR2uAWQBOLlFWS1dhrn7NS7Wv3SRCorbCDFd5PKcf6xYnW7D3BegFhUE9NX1sbuRcjRDWf52OR
WNQgzZoBpkdHFbO2scOBHxyYk3hQ71vmbmPRwwlcEcAphqveNsEvOa99wPzhNUE+zj7iyWydveHs
Tk6IzjRCDVJi/7/wVpihegzTI7G5COGkmXUjzB2ZsPo5H3dfmLOAoVkwmXOm7243cdcc99fuv9Uf
jvlqCIXzLKWLWY1Gov/ifUtRimjGHS9vY1StOToM/2og8h6uDo9REpysWX9mzTi5RUcC94d2vfpO
JFw7ouSDfrrCwt5rC9Y8eEkchp2O9lCGD3NYDW3epcK7MbvjmYtEZKfzPjXrL+wyIj61G/XkJe2x
+9GNbXtj4sp0xZBgz1ks02jfJiR6Sy48HRsSUQNrC7HO25LjHFWN5BObTpy8lUa8yAYmm5Kj6g0F
DNL8V3ThhmtN1iRtzivjuPeeg+TkluEg6XO/9Wl2g82Xz1PTKJ1jAeP/xQUgogXJBsyik2mUJ9MO
HLKQhBSTu9kwPdVoJ1WOG0L1X7B6y+sxytmWluZj4Hv6ngRmvNTmctu7b4OO1HZzXkFQovOZpuan
bo/sEVkD7/8R77M56yOVYd5OWf13mYLqDxSnJ4sondytiKtw5K/FOPdBQR99zmFEhy3c+FniBjnn
gzN3D/XojqTVD5H9g8MdXuiZZ/20CNWoTbln6/Afu+Hz27fTlHM29CPvzuGtX8zI36iPBcmlSMt9
yTu6lz+y3/jxfL1vbdEjT36oWGM3Z9/pm7+MaParH3uhwf57jmgox7ljmtgmk7cipAhXNuIDG+Ph
c9YzY0jt/66qYLlHOxGFRTeM/V9CgOa/YZ3xavQhRl/5JPTRlEvrhO/hymxWIJk37wy0FDIKFiLR
lPJ819UybIrdazZR0uaN39+PhANfjn7/iGw8jTm5OcyWkX8EH+zb0fk4zbbYsosy6Ns929R7UzXm
M1olopFWMjrlyGCcRzr2iPF1nfrqsk3SM/m6LpZfcx9NzYlYao1wFW3nwqto99+ywYwsX5LZdQoe
+PamIvuEajN3+3+OqZtb5Vvd/hg8REfKkfGrYHm9O49mz1gJUWMW3GJA3oxlqmV9SStEhiV954hU
xtu38SI3nBdyO+9BTZ9dqQGBi78yOcvQ51pL2xduFX8DxbLmGSeIZf5HPkja5WY/GmbAepn60/ej
/XE4oV3yGBFSV1Kjqwc7Bc1XHC9hW0ba6Z83322G8vtQ3yqSU2ba/tidCrY7/LsAHTlom17Q6Rm6
x5/pHkMlaGOsWyA+cXj+nG797KoDLWTmHER5M+Taq6HNJi+ntZpf6nRPbZG0mEvkzjw7f3oejf8q
G6uPLqiPLDd9tlL7IxUxEcd0XV5ovZTyNzpZ0fajftv7JGry2bFzcubd33+2rmr+IMiZfuDDIz/m
+PCSi928aSlg1xiUdLyPvBhyWFUhDplQ/iXi31wy4TAcdyL8s67z8hA0/L15Q9rFpx072TN1H6bC
26ANeGp4q6PCnax56vl3z33jZM4llt7+u5Iye662pc3KykHixU2YZl7mEOA+R5RFxyWQMFxvbXWI
wunXAOFZekR+aczQvHT0vpdMptmHOeKQOp4NbUS9wyYe7U2V/cO4b+pymsF5PmVzFfZnvBrStghS
QUHdKyPf6Bq9O4Nj+JqHY+QxgCWe1mflTukfW7X7R2j85Sbyvr3KSMDcPynXnJV0ifgLM7kOVEm0
iXXuAQF8LnuUPq7JMR1FELfNf/RHWZjvqTPcsK+yJKAUK0ID8ICpuhbjAY6kJ/cwlzYzLVC92/J6
xMecZAy0gby0TOb2asb00mFRP3K8k9C9vkchs+9Fs6SN4mGagKBIHuW3jyf/3OfaH3qes2A36a0z
GvdlFfP6yOYszdARSnFH08y4tgsCPVBE6E3m++YD2DWHE9AXoinsczHif3+SkV//cEnKuBp8Xz2b
Q2uH+AYiVfLKS60qTSWSMcchyQyYVqRpUwixcztW1lmAyzZ/P6Wh6P87Ni/7cJ1lbslPyzy41+nI
1nxLd5901xRsvFjXMfgVuJv6aJfMkuA4p8bkwurRvWZuXA0dq5mbgpQy1ysE6HKdR6kdf9bhyLwR
b5N4cJ2MaZmOTjhnliVhOdjNjJ5bEXtD2ftE/HCsJsw9Qy/Gf6ZNrPqM+23Reb0lB299lurXrrXV
s7FBReATxMU/zU/z0GU+i42J16c/bLNYPqNsvze0/eSjQvwl865lKMt1BbKdh3NW/1mw9asLqaaR
F6YW6XQaRyf45wcmFSXG2YpnZdmCI4/GgFVVlfnZQxVI3tQJgEafvX1M+5vlmLZHp2+lQHm4ZE9j
PK8UaMc9ADaSOVhKB7R1OB2RcjgM5Hx6uSsP/0atKg75wFX8jrUOSzZQjfKHE3rinkAMeN10tuot
2VcdFm7c2F+m9Wu+r3qPb5xZOckNq4mpB6G01hYH4zqJb8jCtl8jHl3ELqDU+xrDHVimDl0MnGWU
UTjnpV8/hy3tGN8qqe/pzPb1Ir+XHPOsAeMp7DDax5k29mPI4hXbIHj3l4ycNsFArluFL+CafoxD
1v/ayDbgqbD43qK4TJnFukNtTxlMlmDSVr53CuUhYxbbEvcnRKAzXw94dk15VvnxQx9VwU3CxfXz
dKvXD1tH8j86OP8rkDuEgCCOlVS4McCjZ6wSSJplObz5Ug2Ne8sy6zgj4a6ULVNTj3+aYN1TqLOs
1hhLZLE+LUc9v25gbT7Ne92NJ3oBoEXotkbnQorpq3fJ04L6qeTfba4pnz2YbVqaVDncvMPKJ915
4gthDjO2P63br8PT9nEPhfnN+QieWUMO/yOn1u9yq9GhYpFYTR8SD4v7ula1fzm6rf6z0zGmxdzu
YEJZwjCWH52v3mqzDb+PznPft8Ebf85YN707Us/xxaBUfMTDIPnTNHU1nka9d205gcAN5eHAKyJB
c32SMbX/70Bv/lvjT/TeD1baAhcjBlc6Vf9T7uD8Je5WMWdu5ZKsadDhNet63a84rHCc7fwKLUnI
++/mGb7bWb7LPpuLyLXWXrIZhIW2RS2vENb+jzbJ1M81EurWm5qku1qk64qyw68kLAyPic0XEbik
kPjeofPdhPWvypn2OreJ376ZTDiUTWvc4KTUHP0bnGQHToX3eT+aFedF0TdjCLTdueMJ4sfcjLGx
CQKHZHn1al9MFLU6SC4D/uBpzrlEXM1Ph/3Cvrp3FCLKW1OpCsZ19LYvRItUFXcXGBrDMCnnzPf1
TfJxzH/tY2KZFxamnOtgtCZCXAB/mI9ZZ9Oc1mP7mFhSGHKye1KwuJZeNu9hBYZ8GpuQYJGFCpNL
pN4NlMnKwQpqv/+nARjAsz0X2eesg+EcIiP0inBZA8ZnMbfACQjY6nxyekbiY8TpJY+GEU9kFi/4
rvqq75/WbiL5VxgZK95clWVF3U7zjfGxnOMjtltbSnKg7/tJZnFBPJH7Wtk5/tLQFz+HeqPHWDrO
54of8QxOGKmQ8qSdrAx65K/+YjBKtU3SvGxrsAUvBKmEzxMKsnE4pyNk9xtctf63Tr5DjdfpSsLl
RfPWRRcc8Mf7zodNLYJJzndeg3bjih2sTZ72TVUfK7Xjms7QynM7JlFf9PGiPsOmao+Tqvp0xscz
Bnom2C5jdFbb+jJpI0BZqdnisiXLep8tC0vphGlvX2Iy3xMbA+KPaO/Gp73xkgH3hTkwNP+tvDej
5z91m3Wb08QmWJOnSu9frYyDWyWS/VcEufomOaURjreTedptMP9R7RS/DhDsIGhNzLg5BO360iPs
VncJuTUzE1FvGCsnn+Z5k14LJLRtEbMEhbSZHkbQ1dm76lUabB0gTLRHAdC+u6uFQHl06zIGLJh1
fYIVGBK6nHanc3eRIHcnMXsVM5cXNDcjaX/844GIsNxJreeWM/X1pXW64CkFOaXdQHXzz7i+/7Z2
2nmf+SxePrhZtcMLaY/VUKb1z2QJWL31GZFhupVpbxYwrbEUevzGAakyDxiM9ooVNN9Mp7bi48Bq
2PiGJYwhPLsiyLzP3mOJMg/beV3OaVxtdDIZDSUuYUz0FAfUZ0uy5lXcVA+RDV1bbLvMfg5mstOV
j2Xrftkkbp/f4II7XvmGIe4U+dJupz4Y6rfBQRMLfDED6fSHEXHhYv/ZlmIXx3LrxnVbnWxwJFk5
DHG65I3GpLxU30b+tCXL8MxuyN7mMx6EiL4TwxfRZbP5CRChdNFmvZt+CrePYAVTMbs3evWOKE94
PUWhx4D2bEmrvuMy0aZfIIaOK1+vDA5TPE6ynKScdvBTlkROgTe4DIANOg6gpR1hxxn/cus9sYax
odjkjXvz9ypN8dGJvmXIYxhI90SMiH3dknXJSCpMFvbIY6isnOwZczzy65v8Yolh3MplS8dbHm35
vs0muMrafvrb8YKJq013Q3dOzS7bczxN2aPctOxKLgsQQusn3xtSbdxlJ+Wxlpo3a0SD2ACwj+fv
59G7rk2jkvuWQeFv1YcYA0xb8FstYldl23vDkFsca1SR9WzFYAJ4eF/RENLZ5MBhS3zxktFfnvao
WY93QA+r7w8g8PgU0sYI9BOm/scKY71fPKg7eSsJ+WEkWEUiXxVLUf7Zm3AxKAEFw+k6qMO2Pm/J
LNRDuI+VzWtzJMO1AU6fmURDApe5FzTBoNHNfiODUHvvlC0mmmxk36HJGzOvcd43vMEP1u2b6MnJ
MGMJcifb7XJiS7X/RVdVxdc+MH79GE8bg12XRrtfSlcdn6oBCvyzfm+JXhYO2sKVdyHuRON6p4CS
156aGrFusS0kT1N1B+mdEX+szKacH6hUz2As12Ahu/Bfqiq8wSErXm7RJ/vqhaSM1P5te2fV3GCK
T94xPvJ96Ubbhz5MV0qbctsZz9Y+CO4Ta+PmhmlXdoXLw0gnZoxA6l7x4sd/VRyN2QUoX9ZFn2r4
ERHV2XaCm8hexZ45yP6mw/8b7KG2z30V6/WkTNdlsKrDou9NuLFOLbJwci+98H3vHk92x7s4bQOp
58yU3jN1bvqygTO75PtWGFYscKHn/vDM51i34CBdtVtD85J5Xxt/+HYHBDd15wAQc3nB+2zo844s
AHsnonYLipE1CJpbXImCgh962t6xLFrvPBwq5k8ektQUME2D9+RUUxoUIh0z5ymkYRvPwXqs20NW
mRRKkvtufnhqnc092HQSvns4kSQnbXUIs6J239y0e2qWe868txRMlSNeoQsXoAxVmvj5tunI/evB
a89l2gDFXwem78drYFw8HdDW82gsUepr6hSPw9UcLaMoo7gx+uKvyIZyEmt2/1cPHKRz2RkXMMcF
Oi+mXdnhfkg0tb9nbtWlmQd06Bb/HJn3OAD3OcII99b1thaQqQnmvfDHMFsYhTBpvckA2j6PcYdT
ZjlRLycG1So411OFGyErBGa7G7KJcwOlfdhyodVRP1t8AXzepgZrHrva1SkVaQYdH3Ot2uyEBiC2
RaWW7cPvji0sWK4Jj5wDtsRXdZ+0y1l3R8zUkJEzfvKHbViKOSSattRk8O2nCscRvxRLOO1vXSp9
F3IyXONfkR695CaDS2UoxFuxCJyBD07S3PIyT7byi5GIBFVsXsAH0IQoH2XTbxvRtsu+LPbm2895
L+0RNu2JfR2fHys+2NQRzmzUQ2aG6Jk/nAdR8cO96sVorzyWNcNUBB7/k8lJE27v1/vVzGV/jRt8
onOiLVL3zhXWNecxM3QSkaG/hKFzaOtEXMvxpq0X3sFOOEdcovg4YLvRNY97AWw6BTek9IQ/Q8ZZ
VHbtgsleDjjZDYwJ1Xq8Ii+dZI52KK2gEwbjP6psraqzi+R1fIF40PxitlbWtwAXsP66WRYwZfis
+NRb4XGHe62hruve216B3UV9PmyFcSh2afFUjinLyTciShf7MKyJcx8hp0ivgQ/iMXdGt/FuI7CO
F16jaisXcAXqOxjST59vASQu7EIigJIBis7t1nQtal9P5mZJ6ljmbcPYeDMeEYbExO95z0CwzBL+
nrHAomOHtUt+B+2HCD11lMocTVXI+BiJMp9U2JTtgFDn9yglLW4AD9XmSQC5fTWrRruPWcda5llu
MnXvXRK7KNUb2ADkJYQI7Q3S/yA6YZja4pkJzdWfUjuwqLbOmm0h0faguR5yXuchqJCX/4i+DVDe
ukUIAeu7QcuexrZiwA1RU0c/x7hxt3LdcDf+bJcqnWAFKJg9jThADSisywnHXayaLuEMNvlw+F7b
lA7K1uC0RCZbroY61Os5Q64sfq6znekbkGQNZ+uQsjH2266ujNHLL4l88Xae23Qu/WY5oA8RdJSB
8KLhLglaNV7znMnqKrYNWEizaBjBuQk2clOCRr4DbFVx0UxpJfK0itYveSxxg+VAv4bXYz3jCLWx
6vE5jp5+NLBc73jC2P8DJC6I/7LswRlM2PGv68b3hp98bQuUlg6TqfTH1qny6KD3tTgww24hIwjO
w4DV2i+8M5ChJ8Ts/WtXbY+bgepnTo5pUuQe1DqMz0f4GcM9858RWijlFrID5/6netO3F8xAOlnM
ENZJ6Q9JvJ2nED6eTTXrrJPKE8KYCdh23W0b72tnGza8ksFi7hC1Nts5btX0wRmll8MGxbLdgaMo
eS5eTdS59g8fBmQ75jcGBrk9zlEm7lhRnuuLmPctOCtwYICArYOa1dnhDShphqAqR7/r4nzGvh0B
TzyD++nJDZM8YsVN5tYJzH0DLZ9dGkP9KDwNK1hE0vr7lT/NDGyro5v1PHTTeFnQU9VF0LNlcOfD
i8myWlk/vkrx5UJguw/dXrJHvY6F8nfvKJc6UmsBjcCjzEveBFDX4XfkTZTU95a4KJzHB5MC3mWd
eFiQaiIWEmvED9Z4xyluvCW47Nkw/26HuX7YWIFG7tLwuT0smOX5YFR6FWKKH3Y+91BkFUE+wJaN
ejO29//grdA9h1E/ftSVJxFXbEd4PH2La9J7L9jAVZEnadyCwLXHAvxJHbnBuPYj6PykO889YUC9
i6bwclhn+Oc13OVzb6tlOJOiF0UX7t+SnnyRbP0ZDwgEUIva9/HiO3FnLzFqAV3opk6iMzs+uvq1
rQzC5RyG38V/WNw3/jBvvltoRr0/JKhm0UUpx/NLJcwhzmMa6+y8twRWPK/V1ryEbchtbdRc/e5I
ZQKdsGHwAZWDRqudO/Nz2QEDT7Y20cdcsxSSTwxv8MA0JNxyatGrBk8TRSXm6Qs/KFeWDbzPA2hf
h2QmXpInXAZmhAtptLVnmHO7gwyIys3dQDVoidTqDpgj1jGot3SHF6Fs9tLu8fiFEDjs78PdbRAk
SxYY/E31skiUAD+LXMLP2MHjk/1cokmJK2RZJPXZDVT615p8ExJ00euP2Ez7fx46G4m5Zso8mpJD
9An51jZ3RPzxuFdxrMPbYF+0fjdoIZNz1fk6vMyCknKzD2pqLt0gidqddLChh/GNZJG1YmhpgYvs
9doky0+sgDmbjhOPH5L1tP8MauofToZzdDHUONWACJONfNVaTAfKODGjeQnqYUM7FazNfiV2Mp0u
zjbZ580a2B6AfJxlFtj3rPTTHV6odnp24lPRbHs5joyuCDXMrq8QKa2m5H91n/CsBwlTrCRiaMos
K84opeU/taUW4mlPIJonpA7T7eH7iypigtue5bocn1W12ekaUR9fBI3DmGuiIOQ57fah1TnQ2C5f
YbFRR+i0m7nEqYKrzlnvUDgxj74WpxVotb3vVNu8CtP1XTkpjFhOQzKl6r3vA/HOksGAbm2OsxZ9
oFy9Yq+8ilqOhcVy5XpLaDBvku5/S2XQ56C1jw6UU2b7Ty/OgT3D1KwLphQtOQNJFJGglRrCV8rE
76JHNxGz+eyJVA3zNYCFK4yrWUnuB0eoYgJ9ac4i/JZwZ9i+YAwYjOOr8THZPs9mJqiWutQFpy7o
dzRFh5v1hY49jrae5EI6bxWPy10/eGuMgNNHJjBYVXucdp+QVjdz4htvqJW9p359t524feKRkUSo
Pmr21EFIa7dCVgSLMlwPpKFN5TakNeDo4s+inDw/lvgW6e8I2jEF4ttVNqEEBg5CT4ibdZSvI/tf
cPMQuKXdBEQPakkXGQMFmHDK2h5+eax9Ml810ON/Dt0AgCWgvxudWd3RQTRi+rVtTbZdW2G9f7EW
cXWaQbB/tIdGJsQbKK5hU5P4m2CU6wn5eswyiBVhCSMY/ZoQxMQnlhGqfzgcoq5h/d57OmJftpe1
qeLkWpDLiYo30IHPCzBOzLTR4aICYiIX55pGML1E/E6/3GRieatul6S59EiN+z96xn8/p5eAVWbr
YvCvAPbrG7bonfU69KOs+1ayHGMRS8uE7gMiTs8qBg/P/SEFptNt6tlbqmNriigb01P6veiVL3AC
3lWEHa28MOoI1vTqTvQ3aI87i6wy0iyxJ2BlZ07z0N17SEQl9wyc4sRyf3UzzPt8L5a4oluMV/cn
9Nf2zPJG9jGjoZi/iTyhXBBmV4S5PYz71cyZ0+UL1KQooXK84NxlFnoCHL1H02WBstepmZ8TE7qm
JP/Esov5P87OpDlOZVvb/+UbXyIgE0iYVhXVqZdlW/aEsOVt+p6k+/X3wZPPLiuk8D2DPdnnHFSQ
zVrvehtd1t6mh/o2Qj3uRhGAm2eM7axEwAAHZU+uMoK82H2t1UeM4kGmnlUpK+M6kbVOdn7DIHdr
mxm2fyIWxvIA6wLsrG9C392Nuenc5LC44se54i9OSYIuOr2FV5Lc5P1klXdyGVvGdN0c+wdpJMka
TdBZjyYCSly/jERMD41fRePGNev+v6nq0/FqAsWt7qg15tX/wAspdEuzMg8MT6k2bLdvxD3YUgUS
ACOBAC0xNddVN2b2RoaY4D4tILjUSVkEuhtSKBifraYxhuuZOLoStpdvOLcAWPmwx+rfsT8aVb7I
HcSsCfDXTaS39h0jEgxoR/Guo2JNNtmY9gavqfbvU1ouAGhGm+YRSrL/RcLfTve9tlk3vp9PkBGl
nF/04M/cdFnD8DiCC8OiCvvop4E4ZXiMpMG0zQuzQt7bsTfDAwXuGe8XqYevUGKzFlIq3LtNMyxu
cbB76EykxPtGt5PL3HXbalLD/aJTMVChhtWXnjonQkZSGV8It6UKzB2Bl4Mvi2F8IvDC719cYF3I
4PbYo2+plnr6sODWZd73QD6QHoS27eaYjAPXUASn7UGo2bZBMhz/c2nl5rfGb9UnCdder51b86WI
8tT/IMIU+jeiltS/Hs06yu+nRa6Yk5d4zUFEEq03qA7ct1owrn1YErCh67ZtGv/aqhUTArsfsg8O
+lD31ui1SA8UOKEIRMYohMwZfzBAqoywpVd1o2S6Th0QpWDU7vDic6EO2y6ua07hrjJLwksbmvfQ
sjrQe9zz7lJYhcXGTWoNgaKkt72fgYCqHbZgZbihnij6vV0v+bCB2Nri7Em4GOj7tDof0FAN1Cb1
QlZv23uQ73p7CfutaucKMKsSWm4j3juGV7oZK2oI16u36NXatUJF0bmrCFfsgOZhQZ5DtqC/nRNQ
yG3WFF5FlVI35RZzZ/5Cz6/N9ucypVLEK8NZzwEqJkdsLYDtL0k25uMGBa0UgVaxsm86fJuind1h
SX2DBwYk6NoXdfeUg7Iu+5nkk3U1+sBqaCvSfLu4XZnvbcgmM2RK2pYU1w9YTRIwgHPfdZ6tGqho
SyFrFYfM6Or2ahyy5Mlq66LbDl06Gzs9wbNlpiphHdsg0HcL8RjGnvi5QgZlHUX1ebSaNL6yvXqg
HpUDLEteDVVmmYzzbYnFAcZgTV5Nh25Kq5Rusis7Kmt/PqPoSPNnpMrqiBWhfmzI9k0B5Ov62+io
/CfTRO+JzBtAbS1CCPSLWG5QIWZ3OZLl+7GsyKacmDXA0dSzeMwpd5laM7B+tAcuIaaS2CVRAY1t
vw1zAYHZ1N2wH8tO+tcAjZbaaS/uvrIbmmlX0NQz3LZGsiIqas0vhTcMyB3mFkLbHDnez2jyRRSk
SZdNW6htXX3040b+LAwIqoGbQ4ugQyQ9DRfeJq1dJsrZ9F1D4v88ddwR61Ta7fb20mTmnTVzzm8Z
RIj2JBMdLofMjuQXeE7IGMRceE8Wab3tXQ3NrgeEUtYIcuKF1Z32Zg7pzhtwvBsmz/kWJ1mqDoAX
zLuqqEvOUs0+sgSsvPMjl3oPeVRFZqAc1RYBrFTob13eWldLvTBjSPEujc8FzpgPVd9Vx7CsoCSJ
JuRHzckY9kFYmfbZUwWnrGyr7stQGMLcqzjlfKch55Dlj6QHypLcbb5ZXCgfp9jt2m2MlY4MTCeW
3rFIKOMD9Ex2DdekdPCRCqNKoVyp4Yal7li8TLmnP8+z0eizocyRqNJosB9ry6lnexMWWvyIlGI+
ZpcCMH/EfOzLsAhwvAZHaGO/cHzhiUuyFapaLMb2i3ZossBgp7jYW8ZkJUgRRn0fG0b5A5cO2t3Z
NNuvVZKn1R7KFbzjdBiA6Ctywh1q8dL8TBRWFz+hpxk/0o0gkJu82d/NC7cn7AdpopJpuY1nyvLv
RNeNE8JEzXFGtDM0K1N60JgL+sjbFO7kR2woGZvZTdy8oCXI+o2XYeCsZEX+sxdqsJpuyZIrkA1W
EYaaU7f1iMb6SuR1+mlOvERtOgYf8aadoWtskiJZho2dxwl8qnUIeO0R6TMFVtjBsVC9BeN7YBDZ
bEdpCACSbsYvrMcI48leioj5A3yHF6VRK5/UMC75KTMXt90rAeF7G5qTbA6SYi1c5/N+sh0YSASN
EVOD4c5fvSRsx/jcl8jPAAmFyHfGKDlmtVHZoFH8oPS6KBhNwMhv4IjADIQIXwo9LEHeeUYX1H40
3eK1NLrfF94k3ijUjeZVrewCtVOqxbCPE1/LwB3lnB1zNdkN78vhpMiXvEe5M8RTsqOFwZt/M1FO
shxMZhqA7XX1FbcuxFt8CpnsmHGuxKHa9L+bNQyqDQzwPLldzC5vAsP14GhRl9g2L9cuOaHLZgj1
vkX00h09A/CckewC+7XtLdZcB4e126H3rHyYMzNU3aSWgFx+hH9NgFu4gKIS97cZndqNUn0X7VTc
R+ralbP1XU5YozIhHUb7AG40zYcu8cf6W9apTmyTAa77eWV91TsLCmV9AMHzhp1rRKi1KDA879hZ
Y5reLI1VvdAIz4+callyQBGT3Bidq0njnKLEuYLs7T9haJW8qLGH2d8xoB5vKFOTmLYdN/BNoQau
ZnhRZRJMMcTRLXIBBEUMYCPQo4pmcI+7Ghm2TSK5mqHSOcthTIfevkcaZSX7UPTpNf6uSx90lLrZ
bUeHsS+1xKPLN5qW05Iwu59EA9npGerg8OzbYXIrBkZ7u65w9AsMX/9rrGAlXBs6HYdzMcFw/pYX
fdHBHfAaF+GmDy9ZCSQgO1rCweeKyid1Imir/I9jz/o4WbgFM6wrQ3vLNb9kG+4+jfkozVKHi69V
2gdj1LaxQ2dQPgJGJz8rYzBeaih45Yb+Be5WG+vim1GU1IbYBjTLkXmPmwROnGcUTukUB6RjruMq
TyaQi6hjr1sQg3LXmFBsN54tMzvILGU4IPCL+l5OMYM3a0DlQ93SZMtuKlGIBrlK4AIOmLXJo2vA
/jikehFflIYNtbMgVecH01Xhd5d45cdWhxo1M7O0OxQf0KT0BKVlNbCBh9MX5dyfHHDsfebOUwNb
gfVTIGYr289xOhjiCAURn8JWOuN0aIAzGw6CwvuGCFg+QI0Q3znPB3flQWXRHvywiT9YsalrePnc
zv1DnI0V0xgYomGQFtM8cvE4SXa0RCSosN2ZtpLmvqx2BlD3c9XEtj7ImSaLeVRUFTexIEcCXV5Y
6XszdupuNzTzcJ0NWQlXFGIjTZNkineDaKIyobQmC4P7QtYEKdt9oqejYYFYbwBNraOoc9eEozWh
zEFw0aU7PHzKKyctG/uODI243bvGCrN0g5/c8weVX+EI8342CzMuKrXZisEJSMutP8hwYoCBz3EP
RRdffBQtYzV351RVfhFgo6a+Zmjl4NHjf+wdONfM4WjEkE8hNvgdJyL49xPk8pnK2WlEdBO1uuxv
R39ZNBiFYhWiN41ohFqCtw+dRh5/KNowVI/8USWQLLKbcDuGpvwYVgxlt7WV0OiqOPZDiHQlB7Af
Q/ebTY1ufGD0fx0Kw1H7EsHCVZax6B+USXDSkQ4dcj3dFQQ4t7GM8DnPJg3QWVbjTwcSwXKi4Wqn
g8GIVp6hulNiumUm99DUcxZSmmQ3urJGmKXw25/sdUNsl5Kz6IGy03+Brpih+VWRbrbIsQS9al9F
8ZPbxNE3OEJq3te4fjr0EGT9obayldg3xa+GEz89yb4DRn8RY92OG7iw6c2wAFueSY4ohu1UZN3P
ScQA15kCluRMX/kMRlPytRNK9mVvOrpezhVbOSIFIUnuk6hIUVcotvInbuQSHj9T/egmhunsnSGF
J3KnM6SkEB0Zwe7CuW+uilym4RaEzvvc4JaTHdD9UcPoAmeak2qtLD5bIqnGLaB9jriGcREemxF4
3yYKmVlv29zu6s9jlbHLhEixvsSLlCwFpzT7PgDG9vI7SLZkBLjTjLJkFnV0RwpfxU075FMArm+H
QZGOYNe1Ib2PZQQ3iV9KXPoNmwx6xNrGfTAj29LHfPGoVkLlcUS4DiIjF6Gut+usjuvel3XlXutJ
IRlQAAAcu9aobsbMXZ6T1oHr1oG2+9tChkzQ/MykmxHpMN8XPIe3gsogYQPX9CAgzGWyNRn9O4Ek
yWMMCommLygt2zApLHXFudPCksJWQdjZASpN5u1F4hX2YTIYfGKjVbYH00ugxjbdLJOj7YaJvR+S
WK7cLye96/sxrOCnZW59txRtUj6wfyv3FFrGOJ0QQQAH57a+ixUq2G1VxwNkT14iVTiOU8KsLX2D
kc/knf26LW8jIunDkz/jFAJ1JVvoHpLZg7kSpj8XVKrtiVEljRNglJ+Y94XhePUGK7TMZrWlS74r
+tipdi0j0e9dwRg+UJ1RtdtGgR5RVi3RQwenf/rW9JL0jIQqLQtCiB3uoR4YYB3roVVUi5hY/pRc
jugzFMFPO9MVaXkYtD2M971VZS7CvHz+pEaSEHiEW3iIDWR75VVTZB7MHs7qRi8Rcwc8GzjYywit
IQhUw81TZNBYNlPmWvyhYcpAA1guh2psGu4PP1ZRy5BwipOt186NFRT4Xp8mn+NzC1MSM1SHCrnl
/pra7mM3RIu7GTvSoioKJRt5VaTnj10Weg8RsxuLcgE6/s60e3KZLUhFcJWrGMlyid0ziozc6caN
E6rmGzMORvB+6Uu6VzuGJsjLSUArqAWzI0RwKwuEVAsgjavthMEWguAAy5tI7a0WcP80Q4MBriqh
jlJ2ZWYHDAg1bteoMTG2adZxt4X4Q9qnaYEMfnSmwvvBTAEhlREiBAjk1EwyWKpi/sguZkKIkHLe
eNZcWQdZ4liLGcJgPzVwB6vryh/n/hw1zvCJDb4m/g06Cgq/qn7IXs4/odomqL8aY4bP5VEwA20L
hNKIRfdcs0USmH7VM71GEOcfjKlb2u0UheEStMTrPlQs9/sKftNPBuL+Dv7eqiMCbm6fl3lYUv44
l/p3pMVAFjJEzR3Tp4aScIKvcqJaHz1q8bb1NlW4cOpJH3uGLbKZsgqIHnHgrqxNzm6K8Y7fUMjO
nwff6T/Ixuq+TIWajznWQsm56XJxpYiJXwWoI8KZnDQWOLiK3ATQrDC9buCvPYu49UrKycqqoVBz
cLPkVTMFWE+FYJlktqijNxpetptljKzHH23vEHsQFw41JD3sGIzGg13gReU98WvNF0xx48dkzowv
li4Z3BSK2+QaC6tcBkCUg7OFtO5dq3RCBEKCjw2JySQkUGYKskMRivG4zjWZ2UGYHzf4m8ubzp7q
7yZBwGOgJxsTAcwQ0Hsrr4rcw0QkgM88BbrQYz+7Pk0dd8+GBsn/1MGjS9C8hNrd+WhDnxyYyOkB
/GB6oi5sPrt2RoyWtKr4W8+pNwV5YarvjQFbawNBOJoOWNeb31gS+IvSmpj0Qmqc7jCHsFeTu8Wx
iSZosyzofN1192XTtxCi5WK9uA0X5gYRPkzeSuG+vYsWVX9IyLGRQVPr6D7B9ukHl7lyd4bO0cTT
mOKTgGwr/14yiZugjzeKXmYZbRhyMmNk1Q4VVKBFzpDQa/Sm8Fq9zDkqQUO2jeHMAxsJnJoZ1OIt
sRVWzJjCniIff4kEC6Ie8pY+ZFE1hFzzo/uMQ+eINkUWzl2kIvofK/Xl8xAqwUS/UtNDmuRRfuVC
QvnpqiF57oyavVywt36Bo4veYVJXqC12RvEnVVXpcGySBa2FipR/NHwpxlu0XeSWDf6k4UKKRM5n
z4UxSvE4gINUGZmom6yf3C/zODH5n7Tfh4dM07VYCO6SfU3+jElp1K2AMWJG+7AYy3ytm37UJ4F8
zt+5GY0qasHRV1dMQbuCTdjwVxi6AoJGY5lmzDjxg9g5Vp/Wt2UUYk/B6jU/ZpwW5QG6FdlRhszm
7jFzdXqfdfPyYqFUOE0WikimbnpGSjhUTUTy9+wsCIs8oGo/dH2xtWuqgFPpNrYJrcTAGs5O4iw6
OPgqMGd37CraTTb15QEsPra+Tt00PlX2YHR7BInuzdJHRXtwsXP4kmg6C4DVuniEjFmOm9HhxbEM
/BKMkfM/R+zhLo9Vrp15A3gww7xtDY+qxHJhpmhjBmOiw5+jYwQ6GQhzSli+SWHZFC5D86MXHk1C
D1ug3/SjO9l0O0v4UOhCGnsJ+f/FZMzmnuxRyP/0UjsFcIpr3odLVkCXrzz9vEZSd3C92ppSwS59
57xAkkyCFMePuxK/KRuRfsTSWg1N7hof+n0wE7m67NGMlxBeEcVsHCLLvo3o4EHOPaf75rtFbJw0
GNuHBplBukHZnNz2kIHTnSVr+94CD2fBzZKBgJirJLxBRpgg18xa/66z8nw6IK8k2lisYxn4Mc0H
w+pBp8xS+HHg9HnDTjLaXt/5YzRFwTzmpJR1WMVXR04qii+/sIhJZmXmBJNMXpaztBSWIEkJMySO
GJFxKPWePNTCdtBD/gKIilXgCbTBjbWdkWlfOdU0sPgKyEnUUDHjGKxYNAw/i8HV96yN/buUmw6T
F+6Ury4qrfacxGEkAmNSwA/gEaMMFFYhyQ4FrXoU4WLBXJd1XBBv0ar7Pm448DtNvWcUDSJXnG1q
jnKcDX1GA2TTy92ShTUgm6jV3mQ4BXWpjKWz1QxgACFNs3qkXqOmGyvTQrHWcWIdFkfOd7nFcboZ
ZmZpo5MmazXdAjovg5sCjFVJvE0m6LybISSq5UrWZt6tqhKqyu+0N0ph7OGIO94z14rjmCSQMSue
H2x8tT6HVdPhoRBL6PRLwmGyn0y/b88mzcxjNCrkpbZTJxCA0EUNmyqFVX4D9gAOFlWd/Sn0svC+
j5bwxmRcE17ZlbuoLdYZxhj4/mgVm2W23Pmqjmzsz6beLH4SrFh/MWIdfprhgC6n1V3rJxOQhIC0
ErbDxuuXARvxJgYas0K/uO7aVVUm7SH+ji1RrA7EBpEDOc/57NLh4m5wMlTd3IVxYwHDu/RggdMy
7+MzxCVyJMcN5VEZcOGR1aMj23lt066nnCs2PQKjs10WcFdJb3PIUkoYWkCDScOdvSgPYhqsZUJE
slyXj+gX9P2c6uFBFlXHsQ05vYNZH0+fW3vtV9CCDGd8FWCGeVmhxivOvND8wJJEFOHOshygo2HN
GUShh1+DauGmbWhUV7t+sx+vQm+CB+kYDiaXjPGKretFlhltMkKr/msYo698NFTDG+D74Yu2PNjc
9C3tY9zX0O9xtrmqIEI5QTgzjMODKUJbFsoo+RE12pp20L+xcVn9L8RmgeIR7h1wmB7xv/Q/O6GI
P2HwXn3IpoTdk9hlf5zdyjQZyMT2FWKbSGxSVg6BAdQ/aeBkEoeIOTH9Q+Wn8pr5bF8SdA7gfVfq
HPINkLXz1Pve0G1qLVt2AzyfEHgh4ga1KSe72yVMGn8TYTzlbDurXBXZEXVOYERW+ux2abPsG0Yu
+p4/dXpsuayw8webAkV1HdkHC9IBuJLcZS6vy2HWWdhL9wn7JuZAee7VL50/qHZjRa7H1ZFrVBiQ
NuCI2G1v9JtojVTYpjIskkNrTjXzAt0S/QE6JLtbsfjJE6C/69yyGnOsPoWrw8BqHO44xgAM0SMN
cxrg0mmiwMxG3F34nw5NgIMxHgSpWlr+rQ/AseXdop8CTgJ8xaZBpbt2GPt03znKj2m44uFWiMFc
DQG8+GZZpOF9iEJ7firWHQlckdL11pXvPpktYCYUqTq7ilovl7jl+N3zwPhzOhTo5W8LLggSm0rC
dyMGUBVXhR6/9kY6/of7gX1tG4WNTZHyQm8b2RCiz6jSTEyY62o64TTknNuWSMcNIpWo3y5UWqxX
+n7nqwUo+tmCfUkZBccIUBPKpPrgilzWwdAOLq41XNDbDsHQCVOJoTnw7+Js040Tg4JcuLW5k6iE
YKLYev6aqxF0exliP9oJOuLiK8CsFyDXXSEeCfPgSLtnyCOcQX0e5ACuZHiNww5Wjv+NOZrIEdRb
8XpJYPCM9iEf5ROuauaHqRP5i8E6+dIVU3UT29G8SkBCjlEnnMsXRPfmqja2gM98XOn+iwuDvCwm
Me60mbnErnxW+nyV20V+b2Rp5mwXOL/pxlGQDp5xuYhQrhHNitIMh2Ww+4XOkcuGsfOun+rxcUrT
pX+sGNyhgfLb/lMBRgn707GdZ7gWo3eALiYbWD8lxyVGpcrZNA2N6HE0K6P7yojcLLdiTJr6Gpyj
OlfUW8uhhfsigtiMDOQJULYw3Cmm+GF17/5qRSHVaLlAIIGP3UN2W8y06bHGIS9i0zBhqgCYZZ0e
lsWfUYeVOcV07Zo+ay4ubcpmDsBpP/tQe7baiuf+3i/t7BZhTJtej3XuBJkyC0hWWSRLmMCpHQUO
qHJNSTmsE9EmVPYDjmbI0B0r8coTZBlXbuFhhd9w04rS+1o7bbonQEOUQSv8Ed6lJ5pbMm2bZmMl
Jn81ohkhzsKD2g0D28sPuVXk8RnAtKKOI94IEnzZzeZz79XGD7rzkrc7VuphdgsbduWctu4GB0id
fGiipdvLaJp1kIsJBGARQwfHVYbVHhZdem/hWoTtU1XVy23SNJJYW2QzpPdBsI2K2/+BAugafdKP
J9cb4jMWm7W6GUQS+ptFzZO1+x8RytaG91qclnAgXssqyrrEPscu82DEzHfawzA3K/6vFugJVVrP
x7qdSxXkmmtr1nw4RBDZ+I5D5ytmoK6rcIPFSldYtrzwl2YMOjPsqfXJGBZzazmVhCECRVfQd77j
22u94qqJ4YdJ8sJqdopQ7//94emcTpgRo87RJ43lwS7EwChIXOHdzhi9bEGM1FcjXOgvfIpBpttQ
niuqc0R9qXzHNfw100clCTRgNKQIabhwlzZY0sBnpj51aun3GoPLc9wlw+FtF831/+XS8REzeX4s
+St4118YhhsRsO5MW3LSYfuBDxh9ljG9oyk94wSeQFPV5Iir337o62/ZXq8v6eIxb1/8thI54xgC
Qp7GYbDuITR4B/7bxtZWOWssNHAhgmkTFJ277OoRzXGvFn9bj9V7ob+vLS312x+yen7+ZuGNc1Kr
WpeXPBQFTnoQrjzPSq6Qfg7v5L6++jkh1BGDjUkqMto/n6Tcyc2V3eqTywz5IFl6t269eI9vv9lX
PyfgMj9JkqemLraK7CMXptSkTzXS4xOZD1HgMcf5jN9VeU5beIxUY8P/ZaX+9tALm+8Beoy2Oknv
TLAtEJntHKuxdYK3f9ornwr/cm+1njaVZcqLp/hUuQCPtj4pvA0DZvf9rc7GECM2JHxvP+qVb4XP
PBkTLsQlX9gXftoa4ySYIak+kbgn0MIy4NzDmGSA/q/PEaY0PRfzYcuy1eU2iEuOc+gsrL60k7fV
IuCDLlP0zpr42yiXp6BQkOQ7kR8mL3x5MV6EAO6w8kKsE/de1YiPoT8Z03lJUnECFwzFO9Hzfzvl
kmJl4tu8finoHxdPFESUKLyFuhMlgv4UO7QZRppnwVS6kd60q0V/5lY4uYVCvGNi+8ut+c8DjbmJ
9HihCE9NVsyf+wwbIInIK1lO/WC41ikLSyQyjBp8uuC6FNVpUDAQT62mHjsyJXAb2hTLOWuNDGGf
mX5DcxWiD2ZOjweLk6u52KJ6CJ1jiTQWIkGBpyeTV8+PzoVymMTXHdZuOfL6IiBEqsdFFP8SOINk
2z6pdpH1O8fn38sTp2q2tw13Bi9/uf773w4ty8+rJEnEDKc1c58wfYLLsMTmw9uL8+/9tj6FWAxc
sXGZvrwJ28zIbGYcM6MrLANiY+y3xhCL01gv3TuX0Ks/yAeq9O01RvkyIdFEdrp4keJRQ8iU2wap
XUmE7+zq136QbzqOz20Kt1JeXjpG67etb8+nlfu0nTsHG4OFpg6Nwr8HFWKsZ1pc3Mg/CZq8OKtA
N9NC2810ArMwgPQK5qfVCGGOtv+qacx058qqfueGeWXXeZYFyGWRzOx6l9kYUKtLhJDedIroyqpN
XowYTOlx9UTCAVHE1/i0xt9GX8P6Fbkxx++cZq+8X8/CDIQMJOHhf3uxLOuwTlLVt/MpNZL8HLtj
HqhWj4HEwubfP6WHNzwnjG0KW1wGxkRuihF8xtpM7ekZ4q5GwMXslyOweOdJf1+ofMn//6RLl/G+
MbCD0cV86ilCH+FvubelX81IYcRwanAsYUbruft/3noeG1uQ3rzmR1yGb0NXE9JNcgZuwm1waSiM
XQxrZk+SzP/l97HDOU2gnVjUYn+eJajr6NU9tCIdvJHvEubFS1HTJ8VJ2j/0vWd9nhn6fv/33+fR
BsLK8y2hfqUj/HaA4SNNizrW02m0Mfge7QaxUTL8p6fRf+cmeuXzET3iAQ9yiPGfi6qrme2qHCx3
PKXd0N/jCCr3s16qj4x6m2svjCAyJubL27/u1WfaYk28NzGM/xUU9tuvS2ZgRWsdlw4QhAumwF1+
leMZv0smTJDQ+5tY+czwyu3j2w/++6KX1totkGMBh4cS6c9vCR+uzPA4arj0nBhpNMP33B7yH1Wh
q/8khiPRO5vj73ObB0rqdw8ZKo5JFydqy8YbY5Sk+NIbHT0jvnBFlnTvfMNXn0K6jjCZfKi/Mn+s
rsSpceqbU1FN0El8CPwPfuqKd37M38cXP4bq3KP0Fi6BlH++PQvo1B7Cvj21I95ksHm65eCCJ467
GCfin29/qlcetiYYUTRzVJL0d1GnM+2aVZPE/QnzHOOqJ7RwH09hcTub9XuZSX9fC9JdM0VdFyYR
8bIXnv7+6DhMFcLu5IKhzdiCmBNe7hgNwp0eGEQO5xJrzntCh3K6XItr/u2f+srnw8yI3CGsE6mq
f/WCv20HnByXMANOPTlhrK/NXkN9QXL06e2nvPZC2d8c1tyBSG7WvfHbU7xkqQiHqvQpLkS8D5fi
G8LcIlA2nOO3n/TKLmNfc6DwONOxvYvilunCGFuTak9uupgHPXlRCn6NqTPz50EfsE7t/z2umn6Q
W850TYvveJkmVFeEIkgsB05ma0z3HM+4A7mLfyXQ3e7f/nXWuhz+rJ8l6L3iOSwX9tzFiYmqL4YT
g7mRjc6zOK95cy3Tc0Q6G7QV9rlz2uo/9K/jN0IFRMAZaD4J7LrfOcte+Z4sGNPhHJOUuJehLDCb
J9GIlcMAp/cJD1pGll7SGce5gGT/9m9+5Yv63NKSYtrkl9vyz7WjVJG7Okn0KYHpdWWMtfMxbHSB
oq8DN8HOkYiX3b8+0oZGzjqy+afPvvjzkbB2yjJP0u5EVAQODY4bMIftdib25dtyRJD+9uP+3oM8
zqWKxx4Z0pJ1ccsvI8Bk3HvtKbZifcLIAkUnv/Wdp/z9zXiKIv0SRQpBsJdPyeEV2+EYtqek95db
bHO8Qx75kKtXy5a3f9Dlo/hSoMgsVChPLuDg+oN/2+5GY+PArw2G6ZirnrtKdrBWVbWPnORfo7x+
PYpqRXrgKfzz4qhm+AKjrM3NE4kg5ZGC5Rn54Lhqs6J33t/lV7p80sU6tGbpZ1lfETQR1+N+1KG7
sw1sOd5+desG/n2Dr0/hzkFwC8DxN7gxpLNlQemzThaVCM6pjvsJ6FWdqNdVgG9CGuDu6N+QfdIF
E16F7222y/uI59OXYwVm8hcI3714n9CaZNKpWBJ0HUXzfqrbRDw4mpCrK4yBMYjBtklfCVOZP0rc
DdDGYQMCIbXLnrC4M598m/tq2xZpAzUSe/wy3kIJVoiK8NpCqN/1VrtLw977BHuReaYVi/LnQr/8
Yajp+fYh9onGFVaQ4Yubg49vDCeOPoI+VsW1B+PW26RaCYtkDHyftt4Qui+5zhx5IE8me1EOQ3w0
mIbzH06u8qXF2O0O303ve492i0SbePXeyAZRY4zXqO4Q+7VWT+CXmKFkUBOGx27K0/IqQ97/sJTO
mO3DoV5+4LDXkp5aIQDfzSNLDZlGI55GJq6sbdyOqy0nRmntpzHDKYRIyVFuIubPL3kWxkNQzWkP
G4XU25uMTAdziyIVtoHhZNOA4LP3v2eIYR7gT7TxPxZov74orR9LynV9KrQ/N2NGXjbZUrh5Cjg1
59Lw9DFZ9SNvr9vLU3p9ikX7zvHisQsvI8jwWXPthMviVGYO1gIFAuPEXEYifhJ/65DU84+hS+vz
kJlwogmC2vxfWUm/HTF6MShuQ8M8Mec1hy28//S5bRVWgW//rleOMkLU1+aLBzGkvtj1A2Su2Shd
gSxJQ+kPsbvD/qoHl0c8hS/FO4975ZABIBPWmle7Nl8XJ6dTNcgCkJSAgjioy5o0vSYZT70Dw/2a
yVycMhzMWNazUckmvIwGFr2bgo1AsuQY6PxPSVXG4FV21T01tQHFzyNwLwEii+J9aXczwSSNEFRQ
Cwam0JMHsTVIQYn3vadVso98sz1yXFndtqXGDYFJY3au5qbEVYDx7EPVlr2xw/vIvV+gYoHE5Ya0
9+6YJf4XPLPn7mtciwF6PUIRwYyTDJrzFOKGg6/TwhlCgJKJNABC7/xOSfXaB/bYFSxe01eeuf77
3xbSFAksgjCUPcWml54WhKSb1MgrYBo2+dtr6ZU9AgruSJc8O9sEgvrzUWmKAQlW/8vJnOLhsyJc
6ITOcNxpW9f/TfPwj5HbbBEJtExVKiD2SfuirPDaUZeLyeNITsQCaomKn8R9/i9pZ7IbN9K06ysi
wHnYFlmlomRNtiy3vSFk+zPnOTle/f9QiwMXRRTRfXploAFlZTIzMjLiHeyvISYiLrrE6iOaLNh/
51jJXJ+ospyK1f4iOyRro3DOLbKOBnkWJm1dg6ajVB8ad1Whx/8Ab3E+95JtLO63NnKDURc+0oev
Xwa0+m+hbZgvdVCq3wbR5489FeDj9V+18aVpTlBuoO7Hy25de85HRQnjVJ951bXGGZPA9ha9lvIr
AMlkZwG2hyLkkgZxzNa3qKPPyE9IJl9ayMh5lg0ILCMu7ksJ0NB/mJVKhqwaFimrvdpUea/WCa6B
Mu6iNXQ09MuFl0lR9BkpAfF0fSxtc14UgXkT895BLOZyB5shc5JhqfulNKoVBPFYf2sczBh8YdV2
c4NpqGWfMMxJ4+PQpBEU5RokOzip0fhngPtcPAIgT1UUnmOYCUGpD7ZXYZyEzRwc4fTUQt2Uz2Xd
J19zdIoWtYtg8esGRtYCjVdREQdUO39NUAMEZDAZJkAw4Cf6DxHCqXQhGYhfs5hnqN82PX4POHz9
Mg2JhVKqXY/AbDtUqe4QwNAw8bi+POvSEgdu0ZMglXWWU6csq/dXKHFQ+4OIkI++Du83gmssKxLA
yBznOXT3UiSbo3n+lLRT8nZ94I3AoilsNNJgKufc8ZcD1xNv+6S1Zx8Yzpy+hoYlfx3B7Nx3GfJa
v1R1kvbyxI0Drli6TIFXQxF+XUKPpDwOlbSYfWWoLEQtUGEFbIo5UhfS7sjCPQ/3jaXlFqYhTeQ0
KNmuNl7bS5VVp2Ly0yhUvVGFZtxXoBZBQeUAtMNfsqOZ//KRu8RPuou4j5o8Lljby1V1IuDTeWhw
MRZW+RkMFgRqkPc35ZDF/59Dra59UQITCZHJ8Wd2eHws8Ot4zlMgeAcpk9VpZ59uvDF4smtUIWk3
2lTTLieGAkBX2DWLOSHvewssaDrpBV2zeLY6l4ZJ/rqwV87hXFWvHFb1y/XduhVEVIuXLsxO4vE6
+VigsNVAscs3YP09jKhz3gieGTdLHWUnS9x4zWgqLCyFEg8iHfLqChTo9ybSVDAUqFy3zi1Af86E
Lu5YOGd9VLrffdQCpWnMsthJu/eGXlVqkrZB3aFwRsQ5VBqSYVmfoSUr0KNThPwGUmPs7MJDAfh+
Z+T3l/z69tW48jl2JvHWWRV+a6PqQbykk+/0TVOSa4mgB0c8xb2HxnZiu3EX6LU35AA00dgGtndA
kc5WDjK8m8i1Cz1EFR45AoH8g268GoiAY0jeGVBDIacoX9FcdML7bkBY6/jv9wb9Ka5nlTBG2+Ny
a+ZRHigTEoJ+ndnZaXAky0O1IyO/l+2dU7AVNI2leEWmjaLSuvIq9+ij68M8+31TT6ewjNozXlOl
J4fT/Allnunm+tS2QtjScscRlwGpT66mRmUrDFFO9nsncNST3mndPWCyIHzqtVK1/TxYBF2UtBWf
rw+8sRN1LiOd4rL5fgouB67wAIl6IQ0+aNH2J8fdeoN+l/6mUQ95PtKQ9wNnqaBM3kY9Za7roy+h
a7UZdUq+KDywHXVsoy9HRwFS6wPk/P0wxwUDBWdmf4CdG+3dvhvfkxIQ/XbdcDQygVUMbUKaDmPD
NCfdCkgNFMDyghNwMqRx/NLLzs6yboQxhOkQDNPpBgJHWcWWeUhaUzZoqKrotOOvYcaTc8TzSOuP
vWqoO+3brdnpaCuTcxHIiNqXy6ijgTTVsNn8Wswd0lICZVU9ltTRs8SMXIyJAvzOWdzaN4YMI0nl
iUkldDWkXUah0KJ6BgaGTum9SBeOthmlJjjT/A3l0XursLTRLWwR7MTtrdkCE8FMxNZNi4z9crZj
UrQmEgYjz2DCk4vWe0ZRKI2GH9APkuzUdl1cn65v1I1bUceVRJMViz45d9PlmMjcFXLLw9UnA63P
BJ3smAuQmI2tJz42wPrZxGvMK5pEmg9VXzc7X3hrP5mOCTyAHI6K72rOHKGctF1hzqJ4tvF/8nGp
+DljnbMTiN6hBusjyVuBJyjBj87FKhKlRQ2Zpq4nioqQlCE0YsD5GZqJVHgIM9H6QrTLpoqHR0/x
o27r4gwQz36V80IDaQqb9SeZbm3exmCThA97Iah2ChTvRf31T+QWoNRJixYczSr3klQFL0bUN32F
KyC7Cfq8q+4AvYe3HU5L0Mb7odFgOSnJnYWlKapbYTF/p5Je4vM6prCLoC8UN7IVQ7mwrEb53crg
6tGoVjXsYmbVEi7KblJxg24SLB9ehJimBfkE4yZxnMT6aUotcsGIa8vqHc+5bDrbbY19NW7v6YBS
bG6hv1yJqfLiOK2wMhAEz0/9NCU/R8qMz3ochn/UysyFFwyLYWzPVgcaC74V/kDfN7daiD+sl0vm
VOA1NKi3mtzmxffru3oj/ALtp5Skq0vr2VkdYhBdwnLycfb1COaz2gk08Fs4/NdHMZY/s/peKBMC
n+S9b1lAyy8PDxEkCcqM4jhNgbS5ET3sHURMOmxwKaXKEzKjpvow4533xUkiBEFL3Z6+QXLHyQQY
QgD30rYD8xjOs23DeK7woEIVboAYMog2OlRzPcaHyRkaxQPlXDXHdkDi0G1xBjNv7LQcF7WAGeZb
qAXKn9xBXQnCUjhZWCxW1helwi3sMIPRfwg6xfiTWooUnYwRSq2vUbd9KUPc2A49Lg1s7rb74gwA
q04OFSvoLcKQcK5vJkRWewtrEtgsZuojpAHV1qDj5ptIkw5/ygjihk9DCscplI2MwmsgUgWugs71
iHlLDrnYDevINHbC5Ts8dbX873A6Ng/rz4G5XH5UTkta1rbpDwjcSy4EZuNBA/unu3qtOi9drCZ/
eDdjqKrUzlQdlsOBE1ozFCakNsqMh8EMreoE0lEqb7CIGBTMWcMkPfV2B58JAbPG9kLHrJqnIRdq
5ymLYcdTgeSI9DjNM40IHuEL5ZyuOpwe+j+Da82m7aMVjBlAlaTaL8rrnfrr+s5TNnbeckFYy9t3
6cOu8uwMxWmkWUKDqg7T/KXrTjX8r0NU7BtqDlH7JOutrt3XeeSMZyhFyEt3I+rDBbXqyKW4O/2x
4KHk3vWftRHMgXNyIEAqOAD0VvHLVtDMzWpF97USYs0hNJSvVJ70J6xKx53n1MZdyVALqou3OP3R
1QmXnaYYysrAileiw4hupKjR7UosLMlDAVX9M93MaKcQtJHLUtqjp0DIIqtcg1bDOVZjnEI0BGhy
0zxzHTvxaVCxrPrHHOwKElaMaSHJQjj+vr6wmyMvaQFlcmBs6wJ51E7AGWZF83MNBQkNjtRNY2Ie
gmdD/g2yyHDK5er5+pgbiZCtQDYgf4WlRiy7PF02Vb5eFJEOhsYC7Y7Amtq6g50PTw2nCa3/nipq
OKd3CDCEe/SKjQBuG2CDgVRzDQIWuRycRxqKHzi1goFH6x92JbJ9ODLsXbj8lVUAYTUpddB6pK+y
RkUNMa5LiPaaftoZA662VuYlkZLsxKmNUwH+kEIllXYw8OvyYSIMJ9DJ0/0R4wzPQUMQk0YhHbUS
rML1b7Yc+/WE6HCAk6AhRQ6xLOtftTgLGSzUoVuTl385OScEGJz+JCHIFz+2je5IBwKYdVZMJASR
BLDQJ0OXMAn2Uq1la6x/hsNmZWkd+NjrNhXcI9QLsJj3m95CYcPMjU+6LeJjLBnz2ZosLkY9F//o
Xa95kWQn3qz12s633QgQC8qOU8rNsID6LpfChHeFol5i+QZUy29ZYghMGpTgVNqD8W1qcbDYyQbe
D8Rq1uxXopEBTEWjE3A5ot1mXBRQ5ZenWPEiFwYUwbmApu4YlUcPHd/RCXuvdBhRmg7jAXPZ2dqJ
wJuz5tX5HoZlHt6XvyGd5GmMMtlCmNjRTynKBC5uX+j0AaXySs1K9qouGwcVABUYC0qxumav6wmI
f2RmEnSWD88zsRFJctJjjaacJ2ysmaxK71za1/FnwF40fm25dR2LpthkJM2hpy/i0Ui3b2J0uF6v
H4WNkMmZ43QTu9BeWlOVDITb8liOTV9OlfDINfnDdoT6bRz0tx758dt2ENrOQd9ai7+HXL2NlRIX
j0GWDIKWrX8mD8HCtOvDnSXXtr4x72/eSxQ2AOqtblmsNiA52Nz9VZN30qGypK45lcVYYeeEo/lB
YEMFNzEjy3ss2qiFn1khsnavJl2hfUpl0X9Hqno649IV9N/jTNLxr1ELRMgm1KIQSgKdisAsOgWh
2wxD+jkwB9zYUrU3XS6MRTFEysZXGp0SDq5h2Bq4ixqt5QU16bCn4VoOwRpHEtyumkQJPEyVjOCz
HYzAMEttqe+GMI9Crx2Qtjm0pqHvoVY2Qi7dRpWugAakl+9/eQycuFMWjyjTn2l+HRMzxEwxUbEC
dHJ558RtXJMMRWWLI4/vibV8rb9CbmqkEBkpN/t9GEe/U1iUBxtHzWMeNtM91Nrx3KF8cksmZ+wE
nK3tBlyZ3JJ70gEguho5r2snmWbTb2ckJgtD7V19jPfat1tLCQeCFrEMzAGA6OUoSL1Oaczs/WEe
sVYNlZw4kmjfEMX+ev3Ebo3kqDx8qWLRZlsX6PHawVFKy7mNIcge0jQu35ai6X0sAG1dH2orOBC0
KI0D36UgsEovpAId06pif+Sjpd2GhlS/mHmufoqpMH1SRwwcLLPZyac2p0eXDHwdDbMPkTJMRi1N
YhbS0sLOOkrQonLaen11RNEp+X59gtuD6aAHKYWDnVr+/1+7Um+cOsfsy/DjQlsOY7k4IijJGVE5
fecAfBxKAb1FW4N8g8b3+1Plr6Emkl5M2wm0jprNd7wXkcYPjPlLNUd7xeuPO56hgKVwqJeb1lzt
RRRmUkKYavgGch7oL3Cl5kirnq6v3QcmKJgNGuVL05a3BX3fVfSIhSzj2ZFqPvywOHirlirkQa4j
ghXW54p+31faAAwkTbBKjUwnQ6WfWi9y/AiXovhhV06zc5ttVK+AEMvQxxSmvnTzLz/oiGFDKsAW
+U2ZPJtVOiNDkyCYh0n12NzbkyWOSoRqEUH9f/Q5HC/SowRFLE2j9yOlnpqI8WVnnZYAc5nwgLTX
ccFb0jwSnlWKNecleqdZqfp6NnUpUjZYT3+KCzRiAKo54TdewrpzHotYlw8tivyJmzvyLN1CFRPZ
bc66Jic9zrE/3flhH29ImqawCxVbJhuGrXK5WBj3AX2eStTUorLsEc0LquSYTUPt3E+O3L3NkpNO
h75N7dJFbVQWLjZgGKkddCzqXtVcjPJZQopM83h6ZhUqJUK8AS+YHqtY6X9f/7Ubm5qnB6kaIH+Y
ifZqtxn4xuK222g0lXP5S4oZ7uhOGjqjO6uyfI3V11IpVvGA5X3Ay26VNvQdvEA7kjVfHgrne9aH
mIaAK37UyCKQXsIgKUd7fEAfa2wzNLm4zAtlp4H+Me5iwbbclctlAmBgNVcJKQJUrGoOMP/4wq+3
ETDOVSRwsDIIUVuenHMGUncnZdpa4mU3aDxJ6P2uo2FcITLWiplqydyruDvnyS1cMXXnjG4EQjIO
Hl7UongEGKvjEGQIS8Bb0n36I3jSUAt0fnVOFT7rgPaTvSC1sZS8WeHywOeBk7XmK8ltnDQBrB5f
G3D/8DjoZvFlSKumu7MLaYTCNEZO7mZj1b30CBu3yMjJCMUDKYjF9whO6eAJCYm6M70V9ANl+Jv1
XZ0MlnacpAHRMgV92b3+8MaX4FeTTJC9UiBSV+8T8sR+LBCZ98sqN/yJOPc8iyTcaSpsjkJXAyQ7
JSLojpfnvx7sIkGLWvNJncLbgEfwgb1YP1w/uFtfgPNElRkSBMDv1fcuZmEF2lAPhD+qf88Fmkcj
aieqmXpwdHSUZVuix31BO3pn5I34Rm/T4mXNNUjEWOb/15VbzOZoW2U9+pFk1Tc2boYIcBbJJ1Uq
Qn8qMbe8PtP3fGgVO5b3BsguaFxA9VcL2mo4ucej1vt9iv3Pfa7WYBTxuqAbBoyseWJ98HzDfVcs
uswhnWuE9IxjaLRRtbguQHEbqggrnjjPE8ULESoNH0ekAL4O8QxcqNOz7N7K6gIjkDSqlJco5F4/
jBDhsSFPuSjeNIyI0u8VRYw3SURKeU4JdO2pRSzEOg1Ziv5yTgoZfs7sPjcPUbnPcd444JgBEkDg
e1ECXFPLIuySKs1JhI/QKiRL1GRwARmLKfyOjn6rPl5f9I3txbuVBMSmfoG5xrIJ/vrIVgT6Ta+F
8JNEm74EEhr8MYjtGnCMUE8j1x7ORko9fL4+7NbeAs5MO5D+Lu/IVYiOihoVRh3iiQLz8SkLMS8w
sCN14anbzwALxM619PH9pPCKpXhPD5I+/ToVh7LfkZPCAInHyHgeCqX9hfpe5CJ1gnpwI+ZfJvtq
kWYudnb1RpRYSPnAt2HwwXpb5chGpbZVgM2O3+lYB9AyEDdGaIw319fzPRCvzg71Rfg0SzBS5XWg
rmc7GerKhFgad+gMCSOQ27OZKKpvVvQfOB5lOtP2sSXJy9AOm++Mlj3xpcMFOD30nRaI32OmmOWp
wwG4eQrURgU7VErDVxU/eH3n925sO4PoTNkOZRuAlatVwR0I8/AmoSELwwVMn1k9TVmGd0YvtLQ7
xE2Q+eUoMse7vk5b49qQxKk4w9qktHG53atEQ+0Jjw5fKq3qnHUiftabElPuPlUeSSZaVJWb+PX6
oBubnQ4KliXENjAYxipR7PsRK4SF9KvZc4XMqYwRm93bx7ErXwOM4Pzrw23sOGI2fUKyEFD866ZF
U6Sy3uMl67dth16P1Tu4qOhVtgcK2XrBAIKii8wNwX/rq2k2arrIuMr6Boj32RtCLX6zaohIyEDo
hjiNUaP7CiLcPaCCNP4iS5Gu3vR6bXxC2kuf3q7Pe+PbWrxeMFfhulKw4b38tmNQSIhCy63PG7Qe
b229rSkIqnRMO7W8S9EGVI9KFpX/vnaxhDEIBRBo6aprq2xjTlM5prIPDbhHzT8IcDXN0rA992Qh
x+tT3MiuF+KsBUSY3JaH2uUUJ2cCyBtXrV/OkeIaoakc6kZ2XDmJWW6tCm6UQBanmLN0irC6fLk+
/NbVpOmkVfQDKbtrq408Qh1CIxWa24jvumc6wMoPOllg47V92cg7+3ij1A0MFoT7AhJdctBVPpDM
8CVitRI+Gj5z4KlWh2pZgZvJUxlwvt3KyoP4VFvcUUctznSKkokSfpMjxMJ37o+NI0yuDbASVib5
3loXJ68FWHzRQsocSlB/IurOPEa7g4MFlofPRbFT5N24r2hs0t6k7QrqYQ1JAplRoUjaCIiZnXA7
ScHrwlBKv0sU6WSNCG+PlGOea0TVdiLkx5EpVcEGBfBM0ReNqsstZiaTo/K/Jh9N9Er/sgh6OH8w
TOuiG3TvwTlEeQPJxOjR/HZ1sDvlzg/4eIyXHwD4mfe+zLtjVTWrwwiTPkua/CC0c/kFpoNa34dU
qm8otCcPIETaxwli8D/X9/bHL0xdiYuTDgOVOme9t+OW1sGcajMy2kQI2UIvVsYV8DCgg3OaBi7J
6+N9PEs0zhbsHnj/pY6wOspZakX1sgxQg9riGCNKfzQa+X+i7wb3+kgbC/r3SOvmyaiqRYwRiewL
fOmPYnQ63LR6fA3KDIv4CCcnY5zqm+uDfryEmN5yeAnERIt1Y0QkE5ICEdNTA9BOQ6zZt/2YNjsh
YmMUVm5pHdtU0gApXG7WuuznCU46njV1kZwXpZC7WS66nR25EYgWgR4+BjeLQfBdfStRWAkIFoNh
zHlEZbOJn7qpSb/jmYMvq6YKRaPNlNH8SFtuXLWpy5tWdMPObDfKczwCSfK0JZP4CIu008qIkyy2
IZDGYQ0oJ7JPeq7qb5jRm19wOtd+VIaR3TeV1tzHcWif2lA1h4PVGNGPsC/G4Ih1oW0dUEVXdm7f
jfPDG5UeBbxkyprrPoFkxqo9dhJs2iCo3cpQq9PoOONdITfTndwXxs6u3vj0aGIQkBVSHF6Lq29i
ZlVulhp2RVhMLoarSno35Wq4E4eXv3KZVr83CoiHSE4R95ez9dfzqAPoL5yADSZlGqALKP/BiN3H
oD0UGE+/NnVU3Olgwj+hChl+QS44+HX9HG0cXgesHq9BdFxMihqXP0CEWIuJik+ecNE/NxYusQeh
a9k5iBbsVhGbzstUBt3r9WE3ohPDcudicquicLLKaagHJapoGBavC+G1+Bzhlgu8ZsTM53x9qK2N
Q1qM/gD5OJogy0/5a4llKFby2KksMc+AQ4BpMFedpByQwnYeFADjO6d5c2rv1DkqDKQWq/vFDqua
KqBu+VY/YUkSmvWt3evl59JB/Pb61Lb2KCeB1iA8NVguq6lBt1ZTlWefD+gfkFs2KA9GP0yfr4/y
cYssKaFGr5lCFljiVRAMJlOte2W0faOV5LskCSUcESOLVRTVmVJL6Q4qu/b6oB9XEf4jhfkFmcgj
YM3HMmc7j9Oet4uKywuCcSjPkxsbwDZ7ZWcVt4cCbLAQCfQPJQpMBupAHhrbLyfcs9Gq0w6Rbkw3
eRJEp+uzeheQuzzvy7R4GRJiub3WQGV4nK3V1J3tI5gm7kEKW/Srce98blWJ3+YG7SSRGMhCrQ+l
KBEryOW00Py0kLQB/okcKjitmvMbSFZ48IAkQ+3QlolSHiAfiRw997lAwZpsOTvaadLcVoJOu4uP
V3xfU4fC8yftmu9mTzDC7iCyu94DRV7LR7DCzi9bEYg+4NamPTg5jjMHoOVS6cI5xhZSmwt0z9At
dnaC0Md9TCxgFHoHoPLBF10eUbyZ4gjjWNuvI5C5NSC/+0rP6p1S1MdAwCgkvST7YP5BVF6OYuEU
NHU9BzPLjV4+AtoKs4MG4Q4NqcRGZGZapAyvf/CtveWg1KJQWl2Kxas415gRrida4vjqiGcIbodJ
q7gWzu+uERv1TsH442WysDuXLiYNLeoBq1gugXGuYQoZvphF+QMhjzA6DxhsA94ZgIV546jZ+EOP
uI5OaDIFntJXSr6zxTe+JbghZIkQD1nquqtvmc2WVIEg0skGlfkYJ0oOSB1x+evrSmeJr7U6STyW
kCxdAgTjrVa2yKdB0Axa0FlJMbxqPX4SP+auzsY3C63t/E7WI3W4gfpvIeQfN3j5BHjKYMmUoV9+
1FvVqX0qCin9NfgCyaEyJzF7Epd8elOW+WwcNEVU9SHDfncRp66q5C5xMtrBoZlWHdqWkF89wM5d
7bds1/6JEsCs4rVl978rPUB5Joprgc9LFMwSVluKUhzEYk57wriiSG9CfKJ7aMyT1j1JkUWBCPZW
NL4AgpW+mnGC1nyYhV14Z/Q2ds1OMIR/8FtPLU+vsIDw6i4G1aKbUXuYB5S83Tkp4uRGls3qAbRU
nB2X9tiMImFsPuogAyJk/ETxq6R+c9KNQHm2YdU9NfzgO3VwlMgLo1DmimyGpvXmmaYEfjdJUn9C
JMhAdANPpVdFKHbqRrj7jkxJqA+DUObkn3bm/B5QBRGojAST5fByzZvqh510dvNTZGUAQLvPnOjO
QIl7ephlKXkV0xQFXl23Q3nCQsC56dVCE78crY+/IMSfpzemifvK2cYSt3ySS94vvwr8uhrmK1Uh
hudmi8+ZmNUveGWhwNsOXZIdK5pF5VNSow3gyqNhx29qS3/3trUbIO0SC6O5St6oqIQbRe+cCXNB
7EMqwSBqxs4OZaZKYO6UNsp029d0PF0YT0J6zERvDtCUC0zabDz1gu9mlZi3Qqg45CIMgrSJRr/6
H8lo2v6QmUo6vmRzpTqeDc1VewziRK+OMAvz1LUwRbFfh9Dqhk9z3Q3mq4nHTfkWpim5iWo14qw1
KtsPQxZrPOgJqvufJBFgrMP5JXTPwKH0u2aO9eQc5mVDqbOF3n3AaUNSPLCLZnwwUEVpTwiQg7bP
7Ab9EzkxtOpb38bW8I0sqFUPGeoQb2GtRe1dGRd464VthEDoyGNYPk+11I0uRicM6AitfKToypuV
9qwln7B8kxFIN7v+ecwhTXt8iKLxBFiCGEMHU9GTo2gCnHcSMWe3cpnnszuTuf/AtDrApQJraohQ
mZiesabFtdoG6PnTwQtF45/meF/m6QSfBQ2Jzk0BSv0Mgsas8Y3Pk+qusJ3xt9NacX6k9slnp1k1
andVZBmSbwmYiIcsiaP4NJsUO44Zvmsmt5mB0TWUADVz294WiqthC/qzMQC8HVG9AT0W4DwnuznZ
b+6FaiPHXjFKcX5W8k7JwWYH2GHFlZO8lmPZ3Zk4JeP6ZQfZs2xAWT3aCYSnW0DB/XRbOUrcnqzZ
CnwexOnwSEYQ3+PlJ5c32WCKxs2ngoPFfQCUZoymPPwkK2LQzlkmD18yREV/ISgl8E/OEPR3Z8Ps
Im8Y+sWcspISVNTNpktJGhDdv8HPa76fGru+Y9VYdPBayPjUyO/kh8mWC+U4Jw726QAdze51lEVj
/dZkuTOPdtthocsjPWgo96kUQiajWOyoebTA16Z+8LuoelP5Napy/zrGonhSMlX5asC/DW/iKIv9
YWxzxZtK7ILv6q5umhv+hOb3NkXRQ9kYgE5Qw9xrLm3c6Dz9Sdt18JEf+QPBLHBMglwPQQafDCOb
h5M8YG8HN2Q8Nji+PF2/dTbuNipW9Fqo31D5XjMDcrkZe30YLD+l8fswYwLsAkiwd96EG/k2MiNo
tMGgwiV8LfrjZNriGYFuFEHd+Y7Dd+jgMqi43QxIyI575YzRTf8fMhXKRRRykARAYVZeP1uImlkD
DcTPRtwI4kqiBzuF2Fs5kb2TcG98tkXJFpTcMjtEZi8TMUqgYDcK2QHIMJTOYZDS9I+kSeMDnCLZ
rzrb2AFsbBRYqN28q5otLFZKj5cjjmHNImp54HOhQn7GafI34BntG0feeRnBxHhFKgghOrQxHLvq
f5IJP/idzOidHL9KWSwQZtrC9DE1JFYuf0WCxmI4O7VEwtEavyLDLjiNEtIPvYKb3SEdKL8fLLuV
/ydLVvqUwDTDpMWZ4kcZM703VZmN+SWP0iQ4mIAdItJJYx4fyjgvc7yOpqR1QYTHi4VzL3AaCKVY
OQmhWAH+I4mMH0YXOgQazJPnYw9d4lMLeh8Rjy5DX7Q1M/xuInOyMQvGRj791Gfc84cezSzjXIWh
8gIcxxnOipTAHc/CXvvcDm3wDQJ+/Fk0RaZ6aYxk/JFUJhI3E0yL5xmhCQxDhsXhVvDWmw/ZVOvY
KqaLg2Yf6+MXM4Wr6KaVLo/YAnfKIwrqJvY7Rp597osoNz1cAYuXvossHMzsiqtIBBIOLEYMLsVt
xrwBGFELq/Xy3qlyV2CrZB5EqOCeZJCTfe5kpUdZrIqw2om6sSaXKsfi2SgjHEjQFscc1y6yUX0q
ErQEwJxpGAImqT3dFqao/+SGULHCBiFWTU6YHIewy3+gypU6h5HrpHVlCGs/YbNoL00e5z+p7wbf
uyZsftkZWuK3SZfMX0HyYvJkM9UGKZHO/gRZAwZBYknZCfsb2F3BwqXEGW4hJGag0PWvuWSZ0U6N
byOEAX5Aoht9Z23pKF3uQZwC7UxqIscP2z4/akg5nJSyLHZO+Mazh9MNTgndUPhN74XGv2ouQp6D
PG8by0eirXtJh4TsW9Xa8UCaWof//o1FqFzqICAdCc+rcDLglO00sWP4RUGbX6RZjA1SDEdurjN1
T+NvWZ/VGaZ6D/7VIkzZnOTL9UswKxOhDKVHItd1O2ec/unn5RVvg9R+0qmW1nBvLflTrIldvaCN
jwde1FyQFHRFkZa+HFyT+1BLTbgZtaW2XjiZqSsmY69IsTUKRXVecSr2JVBfLkfJ+zwAPJPYvt21
2XFKR+3MbbgHb9zYInwyen3Lk5VWzPIr/toipSMHZjhSz43RjXBHYREgqC88JvU07FyomxNaoEaU
T5nTGvwdj1ZRAtu3fTNro2OqJ71HK3XcgTNtTuivUVYFY16hSa3rKcumxjO4uSo/hWPQvyTYzO0c
4uULrDch9SPKtUC/ZBLpy7Wb0kjRZiO0/Ulq0nvCdE0er7T9T6cGAwL3vvOuJz4blYUF7Qi0gFoG
4KFV1ID4XiLQV4a3pVlZpZdbyXA3J9OIKAlSDa8RbRIHR7gojVxHLUJkEZWiinfO+cbRQ4BjUepd
2vBw0C5nrRvo5UajI2EXNcf+COrhqcQb0u3jqTnHETQwHjEtuwgXxevT31hvRl4CJhZxYN5Xn9aK
cujzCGH6QpHn6eDIUj4Bp5WmP8UccDIiMyp3SmLv33D1jd/VBMhuwSPRpb2crSxiKh+yLvnGrFOv
oRd96EyjukkVLGXltL2fJxl3QCV8dVoefJZAgU/pE8kNmuAZWNWPwEj+PUieChalGJTXec0iR3v5
m6bObjWl6ySYsfG3ro3RL5aMTD7qehHvpNobpwkQDYRoajus+RqlVuP+DGRb5TTVTfdMyUZ6sPq5
8mPMb4/Xv+5GeEAFxDQoJBGNkG+4nFU60n3DUc/2Bc/dc4rt6cOU4B7270eBoLkUtel3kPhejkJy
FiaUSiBVT+hESFbf32cqDLPro2zsVJvEEuwRDQEHgsHlKCZeXkU5WDYOU4r0T5Vr8j2dFnxKFwuz
yBtLu+x3htz6UpwNQHZ05bjwV1mtHQ1KHVsMObTK7KV9Pnp6N/zS5CHdCXvbI9FTWdTOly91OTkJ
7laRFTI9Ab3N3BSZiBve47ErIMedr6/j1p6gCfr/hlrtdN2UMtOM+FoWtuCL7yfuslXw75vYXLAc
Yu4lGFDgny8n1BW1neJs6PAA6IxjSxH5dytZyc/rc9lYNnB7nJUFbUGLY7W/1aAHTy24mID8BB4U
UhB6bT8iB4Xj+fWhNkI0NGTcBHhIAuldYytCsyA+qxMldkq3kothJwW6ILUT1EEh8xfHglsNowGs
OR8U2hjP14ff2P3kRQDXVTpfXPWrrRhpiAflM50q7KnzgzRJeHwOUaXDaqumF7QEwp1tsvFU58PR
pIU8ykN2XXGfM8rwCSVhP4JFIh86w2z0YziK4lHKAGeBDJcf2r4J/kPyRA6oU+vnSUqNYJWFzgjs
xN1SiAD3N98uk7ZPi+XTIwVnXd054BtngWoEnA6wMsAt1tzAlnMWzFZpAQ4KzWOjOfmDnavZzigf
dymafazgUs3ny61zml7rsEps28B3KLaeqau2h66NysfR2nXz2LhbqW8o6D+xdugxrU8EWY5CjSwK
/KKmZ+bxXJ8ib+nAxWQPmv2VFKYZXGxgzcFrRd6ObpnjaQ7IUS8wuR2yro4PdYUQpidFdfRNNmY8
VK/v5Y9ba/mNXH+gw+lJrnkYVl5KqVnHkp8P4wSOJrF4vdYVyCk3kVuhu+oUNjHFk0aLj9eH/niK
GVpHVteGyUNFdxUwRrvERUNWAj/uOiN3scKeelRzgIgfpLAt7/pB1r6VqpYFHsWp3Ztya+YLHma5
wnh/rDtIKnJuU59QrIkgoiDgYvdeLFrd6xNd8mYpDl/0atyjdGyUiMjvFiIYSg3Meb3eTVPXgBLK
wJc1nNJ7XeTyAWKveTN1uJh2ipCPhpIorlrZwxPOxBhH6kP1+frKbx0CsKWYcXK8Uf9bnWu+St+2
TiP50Tho7uSMSJhnojiqhWXsnLePp3rJZ3njAR0Ah7HG01hpa4blUEp0JjGg0BNyeUvNtf+wlbgJ
2Md0XjlHqysbf82uKgp7WdVkOslKhkGjKJLjmKLg0mGM4mXpoHmxhbrr9aXc2kWUMXkjoUK2OBte
3q1RB6AhmPXAR2rU5G1iOm6HUtNNmI0zjgYSIRqC0V4tYmtVYaqya6lJs4dXb5QEuZYc31sHo6DY
Vo5lhKz5uZDrrt25eTZkmnUEOMkbQAYDJVjvVxzk/o+z8+qRGvnD9Sey5Bxu7Q7TPcMAAyzhxgKW
v3OO5U9/nuIc6dAeqy1We4NgpeoqV/iFN5iaZfXeZUHCQtbLikz/htZV1LxY42IXp7IYys9O3xuf
lhbT7YCDWiXHBaXv+LgkRXQZIS+9N6qu3MNubOj68NsM8MOUeYEUrYG1VuYuudrWgIpyKytO45Rl
H1Q71V3fHozmH6ONq+mEZUD5TVW8yPTRZC/fG4mjt4dpcNIlaJRay3Y2/OscluQcXTpKzhYZ7Fps
qMukwkDrOJc0UV/EUDxVgHjOiddZVxFp+bGM638HV18OUd7kX/56M5I0AUGSMCv4MKttYZd6jDQr
Jf1Is98MZXbI4jagAZM/51VMu2/0xM7+2LhJUDEwLR5swGtUc263fzWgBhVljUc535oPtLRQNrS8
6EcqJnMnLN/Y8wwloelcnoAHV7HyUAsoKGhTXRKnQJBFaYcDLJR+5/NtTgipiP/3MKxVyrLEoHZI
6ftCezKi0+tkGNPrFWbNk0E2cP97bQ0Gd5IMlyKbjQjb7eqh66Kb4Uz2Gdnk1vTcywMyE5Zv6+Fe
xrb18AAJBn4k31pC/NXeMKMkcTuFg9wU6lAgv8av8sMZUwYf96q5ClQ70UL2iBt96MVg/8JmO/os
vCH9dH/Sr6NnbgyXrFoWbUEJrCoOVHFdwjx+iOoqy8FFku24GH1zqJwxD2DU7EkZb+0bBFWBx8iT
Ad70dpGh4umakLnq0FnTGwkXRNg92UOKbM3KdgH8APYGWK6vDoIYFdp2ZEaXSHh2crUirfpQJAY3
v1o74XCkMPj30GuIR0DlwNfztqLccjuxCb/ITo94BJzJ+KWrXftUF0v4hl5Ivsc729qouByRRlK9
IEZfvXJCKQZvYrde5lqdjqOODHtLVyhQY8S17m+PjaEAe4GGRkRLMutW20NdAGcZwjYusQOo+7hM
NCppWljK/+q4y4rj/dE2yD+0ImUTgfoXRO91fDIm2A4qNEkvGY+8GYRFlH/FJTW3ECFJ2+q90U4L
kuJRixTE6E3qeMgyvU2DuoNkd6TMUdg7l8LGfnUlo1Aqw0mc9Oqew/imyYoI/nVuKu3nRY0+z1ap
vNyf98YgFB14N4lFeUDX4plqHBoaDtP2Rav1CKGaKrkoAnmy+6O8PhQSRg03EgwPVa81gbkLG20w
M/L0wa3q94o9eAIPsMT2tWZJvyciMnfWTqYMt9VMBkRYn2o1rQJjfQozJO2cTkPHCnpR+L63zQLO
Q9p9Bo9BITMevyDvWAZeanU7tf/NmaIvI4tusgMgw8Q/2gydFvZGqo6gccE3nAF41jR9DTvQoQGC
GDD2GO2vv9/vMjlRD6GGlNS5HU9kng1SswFCH47zuZpD7aEdJ+evX3eKsNIwQleZFTvldpRBR0XP
oO10aSPK7EI1oqeyXX54+lj9/foxF6nXwaaHIiU/7B/rZzrDmOkT6GkkoPVnffBAhPQdIqqtop0W
FbDh/Z35OmyXRVLUzqgzgOtYG/K1zpjGdmpQ2ZDiwamdtMcZun0wKuF8hSfsIRDSp/9hOVGsJcvG
wJji7OolAmDr6UtXg31oPfuQVFgggFuoj9KL4tP9+W3sD+kJy+fj7MFtXA0FNnKgFzaHD7OdxO/H
bmovbq1Ne5ZOcgOszhvD8LZCtaLltc4OhNHbtY2c6kPlmkodKJpWHZBCpDGk6tleAX1zMLJJ4O60
oyi/3e4R9H5NbsYifBCqnZ+7oabaZzfhQ6w1e6yM3wDpm4kZmCgCoNYAUlC/WXNCNbzT3MJu46si
XLDCMeoEzlEdMjRsWmH2P0VRT/OhwsTD9tU2R6V/sPrye7l4aXmMHKvES2Sem8+lVRW/ppIk7jQs
g6iob+TVj5ggiFoLONowMK3ByQMso+AmzIarOG+NiG+m+1GE9a2fL6np+NIUJg+qskJJs9CRQTos
QxaFB5q44rPRhM2vSWQpoq3gYPFnKGgFcrELNEwl2T4w8GHjH5dyojQ60MMJ6ils3lrKQn2tWCKE
1rvFKD7zP+CNtrTl+L8ljdoH8OGWdohLT8P0fRpysG7qkr3MiwsC8C83rFxwGLgcCyDFJHO3H7eh
0IqBlBZhO905QZ8s3sPYxHst2ldbCOA3J5A6hBQhptd2OwqMp85q81m5INWpvPDqgQUhp/gno22x
8xS9OoG/h3IYRipZ8gTeDuXGkNMtawIk2HbJ0Rhb/XEpi/n0t8vGhMi+aNFC7CI2ux1lyYfBRnWA
VtmUe2cEK5VjCXR3Zy6vbkskK/5v7Cxp+cgX3Y5SL16bjq4VXmjN6cfQ6XMQr4oUES4ps6eunh6a
2Vv+uT+3jY/FToBbT5mdG2zNEqaB1dkLnsdXjMKRg+xU5xwSf/txPO5mR6/eb2ZIeYPuBS0MYq/V
Olaa0JtYpekb6iKOGaKdwqBvIvv9XHNLHJN8yCeQ3cvEUYnt/opdXfSS6un8opez+mG2jD7GDW1W
Br+q9NQ9cnDLH6B+2r1uzuaycEgwtpNcozW3A1vTPlIcQ7lMtjK8V4ANfYlVNK/bOWmO97/A75z6
9hokV4M8hbAtvTC0H24/vBZlSt7YHsBSV0kAQcXR5PEwGyQYogUr/JCNs7v4XZggfyiw91EeIkBT
/YOu9e73IvGM+L1RRsqIhvlofcFiBcRojNaP8ZCVWSt8Wni9c5xUbtDHEemSLLBiq43fa+GcWehY
FHaKRKPeW2fiqq7kskonjEeixf3gmaJLjxhmd8bRcoamOcUGymKU2VVQbqq+AHbSo6wdf95flI2D
jUsitVvsWGF4rO8QxUo1K2pEiHGZGXPNNuJqhA0o+vvDbH1myQlF3I+hXumqjZ0+WeVQhpfGVMqf
g2XEb2otn03fTkb7r1GZbH8HJgoXI6AtEOSr7zwiOqBOeXjJ0zEDa73ovqXnxRNY13FnT70uRMix
DJJ/idyynXUdx5vnMelIQC4uYuH+ZENEL7LcPQp1GZ86FPDPSomr1+KCsJ3s3ANKP+yFmzL8We9r
ShDMmDI88l7yOvgj3CzbAv/xbKaWRP6W+LXIrIek4DXAt7MJcDYYj7qda8E42dZTN+4ay2ztIZJK
LjYKhC7f93b8SVvw2R4672KVYXydYnsJYKXvcWS2rm26dlQdJA4Uzf3bUTI4AXGrh96FgCD/NDf4
oedWnH+V3NsHRZm+t5PT7TwVW9sW0hNcVsqgVIzXgWflxQu+3eHFmhbjXLeGep7Bl0ISq8vz358Q
5DpYPt2SO2l1OXXmiDib3LSh22ZPJQHEY9kMzqmtx728cuN7sV2h8mP/Qei+DqeFLNIhzRBd0ent
/mmMSGLdi3FHee1V9iol18hLkEalHkEadPu97CqKxWwiwmWMbva/SB+n85g7+BsZTmdAxdAKw/EN
q4zPRVaHp/uruTVF0JpE1lKugbvtdnAnU1y3p/d2rXFxOkM3MiaUAyBHHu6Ps3X+Ce+QEqX6AJZj
bS1i4yUUdT2zrMquG49a43R1ECWdkQeNM8FZ8Qotsc4arLE+6ERj5XABy+LFzNqy2LlkN559XnwZ
3AA1lGiv20l7/ZKVtDGi6wIt+Ah58WEpxqOX9PMDbiF7nuEb35e7VZKRJW2O0PB2NGGIxNTjKLnG
Rt0c89zxTvUgbDxk7PST0ejNRXeL9ksPi27nqGzcBBR64O7KVgnd79XIc1Z5qBm2yTW3wXrP2mid
+zzPPkK1Nx7zpf0fPKVwp/izOabLfkIIDYrBWoSz8UptmHJ4TpSX6RkVi9ZrfqF7k+V3RVTb50ng
vxjMadMaO3tZTmd1vWMFiKY7Dyht/nXsvXRKgthvEV9TZ8j7cz5mEdjrLjKtlyrr2jeaaU8/FD2z
3hJKDvoTgpb0hHb2uQyK1z9CsiM51Kij0mO+/dr4pst6fJFczaYblH9yy4Dnm4PxQ8W5aifPH5CR
XAIFy9sfmL9Yn4a+RlyT/dMhBNA44wfIPKXhYyNTXe7/tt/F/vVvYx/QJ6I2AJBLfrs/3r/FSGrW
jXDXc9tZXBMkNDS/siun98Eblu0joDmYbzgoWdp7q65MJTAyzqPfWbKNq5MhFn6mp4USiDSbP4TR
YgLtB1o0+/Og9tdB68zhMCEPVfk6pifFyRvIk4M0KvM2iGbhvknigWxa2LW6QHbLkp9Zbw5sxMX+
UQyL8WJVYgJr2EOL8tUuTtJjps+ufYgGxeoOXe4m1VEbGls/TCOH+wQnYv6nao3C5NkW0UNVWVPv
F4mmfmvqJPxV1KH9rNkCDxcswuyP+PYYP2iUYInSl17tPYYlFCq/nuouPIlsGb+2S1woftYkgNny
SEmnYzGgZPnkRHUk/GoCFHHwsA74NMe9kp0WdP8uIsvVf92wdCZfMdv+R9GMoggqyggRjAi4iT77
NdHepGYz/6O1aOufXHq41mFKhZHs7MGtc0DojvmJ3ID48N1+ZnMARkKdIrrq2BUdZAv2mNYifM5z
msZhYWOOqZTlIZnn9pDRPv/7SJmGHRGILAFzD6xu11CM1dR6RXQtzbbxXUVYTyGB/sf7m3kj4kDi
GFAPvSSe6HUsJVxSU0DyjBKRAoMEg6fKKKepWfau0e2hpHI5WjCYF6/CZIqXnRN6Gc9FpnvHfpjN
90aqTQd4hXup1/ZQGAMzLWKcdceljgbiqzSKrmkx9fhHqeahKJfFH8Zhr2O99SKjzsT7RyUPY7w1
mrOd8rissP+75GVmP8IFLo9KaFgfDaXsnuekQr5JLUn5EVQ89bOGlIAR5v/c/4qvm/k0IdikMAKo
29OhXF2XDf5dSawRYg2acL7Sgk0iv27a+m2n5insUqwyi/OcmWTnfcbz8UZoU7UcqsiYvlampni+
bmMxv3OCth4x9GCoPkgVYBbp9gSpWbE43NLRlVt0/BHX4wy9KY/UT07Yd48oEOKnpE+TvROX/NYV
Wl3QxIIUVal80AZba+3htDiik6EkV7pBTYHOntf/qOAqfa9moX4t9aF5GYWTly96OlawSRt1UH2Y
Gimc57xVMI7oe+dlttz004LGae4XzqJ8x4pvLINyGbSPRu0B8E7Kphl91ZgUM4BZrA0H1wYVdUiU
uj2NlakjkOB1vd9wKSL3MKTOB1TZaY4ZDSBtQI8tVqHxEnff6KuU+WOBx+C/0FnGbyD3nPqI79pv
+tLSDAGs7Bgqk8jTF2hvzb9KmlRTUMENgzQFB9WCLR2nxjGDRQHDTIjqe+dqleYnnmjw6EqN4p0H
Yrb60rlW9TiFXmd8iJY5OxZmt3SPTTenPxs6d7+SKJ7+vb89N47jzfdYBVDc967IDHbnZGXf9TFx
jqJ1mqA0s+Xhr0eSwRK9KxurAhpZtztuECRzU5+kV2ECBbRG3ILKaXQOZTJb7+4PJe/f1SajYy1r
6bJvBTL4dqiyaxDGVfrkOlZe9dgvqKvYVbsnhLaxdJRcaR2TFAI/WLd2HHDBtjDm9Eqtfvhshlny
XHoI3pW4ZeyEnL/169Yz4slh+cgwpC7O7YxEYcNwdPL8CnupDo/AKxSk9twq6nxncof52FiU9wCI
OaN+Dme4LNcCMh2MuTGOPudNms6+QLv1JyR+3fJHMynrI8gXHLJ0b7D8vKs4DcZInuZ3phKdNWXG
sa/1Wsslg7fUt3UnuvERdGe3PHZxG/Y+QZWrBwnK3f+6hUATRfESQFFDq/t15SXPTYoInL2E05cw
Uqf/JZGKNWnUwBTwY1SSf4J0zr+WeOBER7sb1PjZskT3rc8s86VHEPjZIWEjOVxUWwSYCjQf72+S
1x1yyYygmA3OGhArye/tmsJZQFLWitLrpHjNdxVbx28IYC5frMpZ3g11P72d2rr4rjVjUj8kajzh
VTMZQ32coLl+u/9jNq5jYhnsuyTqjb61jLn/iFtjC6Lf2CTgK0yrfXb7Ba49hhvEfrZztKpU/+JZ
ub1zTLY2MEQUeROrSAmuKcsThpB9mSzxVfSFfoWKik5kFNbXRVuMw3+Yn2y40gkk8FzH5WhPDEvE
BK9pklBRlNLcHyKtdPhjnoRfgXeAKjSpORo7D87WVUCuBoQRwXc4X6uEoFdHrdcdFrbETeyXok1v
aMc4O/HgazAhW0m6idJ9oYbCDG8/n8DcuncosF91Qxgf3MiR+lhmjjx1H5roetRR/k6BEf+zKcP5
0o11jpZIh7PscSqmJuh7NdVOzTI2/+ELSyAwwQ+7nK1++7siHTpJO8SkqrqWPU+KM52n0PWesiXb
65huLDSgJ65Cjg0w4PX1XuHd5OborV1n3Su+O61unKp0UHZIghvnBDliOqUUcyUacHVmQYw33uKZ
0bXRua9mYzng5x0INRVBmJGjDZhB7mzdjVOCvyT/Ud2VEvsriNA0s3PAiRKGW3l+MO1IPdvalPk2
ylp//0Qi/UFnFlcEfOjWemQE9jH+30NynWynfr8kqSKCPDe1/rQsyHkF98+k3JSrNwVMgtTFpWJF
EXA1sazHe0MrUo5GU1bvGzKYD53jikesOtVrTBb7aNmdqwRZWGt7EPmtRaVcLimywMUpU602plqJ
3mns+FqnjXf0XL7alHoUx4T7XzYmQ0BR43zyAK62jMhAkI3ybFbIzr61Vfe7CqJkB+axtftlgROc
NMIEXMq388HyZTIW3tqr1qXl44xYaXyMDbNVz/e/2db+l8pn1DOpEL+qfHc6fohpNHHKSmPy0Xhd
rgrOjzUSAWodeFk/JgHM4OY/nAFSF/IFKcBgaavp2SWWplipcY8oZviuracicDV8W/AQ3bOC1raW
kiAHPhNtbA7c6imEDmR0kV3nV7ihc3jSh65J3+Z06MTRmfvIPBiUkikX22b3y9MRfqJBGLefOpBf
P9UoGj6UeY98UFFaqP9MXu3s5TCvfyB6i1KjXKX9TaVrtXe1JDE7UYj8WhMM+dUQakfseuud07k1
CukiO9YAos7NerujXG8gR3AiIr6pTA4psmBH0WT18f5+en0OZbDh0I5D6oti5urD1kNMiadvUBda
7PzE7s7PbavVl6yFunN/qK0JQbmGGSIpIhQZbifUtG6qd9OUXin8W4c67+pjWxV7InWvDwgsPF4f
F5C4zLZXrYZC9EMR9Wl6VXvky3y9b5Y+KAw7fzP0kUEuXc9aexyBEO1BazaqDWD0ZK4PeQ4Ixro4
23Ztj4JCmV41t7LyQ5LF5s+0tUPNF3CRMl/1BDqkqNv/GLucYql0AfqpRw2eyvdXeuujSrq1IxG0
tD9XNx48AWClhp5c67JPzzkO3ke9qrOgcjJv597bWm7p2S5Rzyz6usJShyKeFGNOrjNKVz7AXfsH
7Qzgzs7YfoASpAXu3P01JBlsAOVLbiOKYhIGdruTxqHXjIbq5VVfdO2hE/CN1MrTfJC7yqGq5r3b
7/VDKTkARDeg+Lji1x+2SeNM6cIxuap1WobBGIroI8X9/LETU/Fk92pzMfV2UA8kbnsNuq1vyeKy
rZiyDEBu59oCCRP6xNhlnnsw10bUw8LJRJosV3a2zdYBdckDODvsDshrt0NlSkMQXvAtQ5TcjrNb
1g+VV/Q7N47cfLdRB889SGsAHhJCtNYFzoWxJPliZ1ddoXycF8U5pKHhqw1iUPauqIS5MSkpxSG5
6YwIk+p2UjaFIZTLkuIKCNOgQSU63Q1GfWjnQ43/DCAfbTG9yY9zgnCAcF72iP4fNuGRPS7/Ouz6
HyUadCPhyQDbfCEtNoMJ6++fTdFrpq80UYQtMrYV0ZNXJTFEAzg5v0h457cWIn12AN/NfGt6cfLS
aDYKo43utYXvVoUxH5Zey3FS7Dk3RwTxDPg7caSLM2CGUgSsE1r6Vji6OTI9ndkiQ6QVfeC2Usw0
7wozCapaNf9ZjApNoNGzgDeklaCiZeatiwOUxV/fv1t+8+zX3499TOWb9pcKG/92QSPc8BQLesw1
0gfdhIqs2VBnS+ddUk5mfpLDzwcr6iBkuyP1ML9tMuVpLACMtUmSB6UyNNWDZRSFGziV1zymalTs
6FXpG6eG2rwMoiVNlXfg9kfOEUsMuoJnLUIT67yAbALkZCQJrkM9QpdPWm5E6rEZ6uFtFM5mH7B7
xuqYDHX+URNL/itrk15/tNWkugD/7qVYY2tiHpukztFOhJceVCD2EFtzta4uORVE5epB9BgD15V2
R6G7ZPOxCO0uuyppOu7BEbb2NfEsmTT5JsDsVXhgU7dIxMBn0Eov/2gWpucbqCPuSL5uvWlUrgEW
wl6m17IuEQg7xhIF5cNL2826b8ZqcSjyJLmAwVWfvS6taPP15ZtC6YdDT/4SOM6wZ2f9uxa93nI2
TtaSN0EOvxaeRSPdKLJJuBfUoQzz6EVjXB+atGvaZzupvMFXKNRmj5nnTem56Hn9kPJUsuShS+fW
8vvem7wzeKxQnAxjQmyzcNCwypDutnyLerf7RC9CDL9UjY8e6IVNLbmgI/dJHawuf+jcJUYbM2qh
8czKqFYv9eCO9anqs+lHkTtonyLwqFVvXHfx3tiLsM1DG9vtu9RS0i9urVjcMrmZoTGWzx2/vC+E
CJTOmVJfQdXpK7LElvOwxGYxvcBnpg8pUH0sr6MAHzR1yYBDKPtsPuSe0N6qxoIpluPxAO48ABun
RlqkoNbP40pGuHpXzTB05jwq5UEV/ZNVDP1H6R980e0xe7h/jWwOBUWXmFOSNNZdIEQaKdUMmXKp
6bv+spzuO83PLKGDn+U7N9bGg0OfHhC+JGXLzsPtXYAFjmpWaYGEcEeiENhAmA+TBqFTybrmQDCp
vL8/t43CIleCpPrDxZcegKuzGVYSY9wqqBqg5eCnNoCTKSuqQ1IP9LmGKg/cogOF2XGvq/QxHxH0
a89GJ/Sd6GwjcAEKRkURKBa4tHXIjS5mkdIU4YfAhztMTbY8K/rcH9kA1nM/qDMapIVzsqy9cubG
52Vg8lPEAejEryUYHUq9nlHLE6t65SnsUjUgzzdPUoDrvLPam2N58iWCK0ufZBXttpZwgHOP4UVn
1Dco6eB7krrAxv3OWOgO20W2vE+TEYFUp1HpcUJeG5KPw6Qs3xAHjyPeqXASn4wQepbPe2oLVAlE
sidIsHFj8yRBqCaGJG+05Tz+KPGKGeOSSSrHuUqbH7OkWK7GPBWX+8uxEZBLmC89NIqRULdXz7Nj
WEUhiO3A++Yo9M66qP4HqaaVgIPBu85D5rh+asXJXvT4O3Bb3dKEdAYijPSRSTtW54xC46ShPcCR
XrjHQJPSOrZSlBqRuy3MpwWt0/e5Tu+srjT1cQ4jvfWBh1oBdDDzmeoPkrLKqLz1jFk5Le6gfohE
Nz0AqVG+GGY3n+Nc2VPE+Y3/XP9oerMSR0AOTFP69qOkOb7nHg6GF9dKx5e+KszqaCMin9Gz8yx6
Ju7kmDAj+hrpfGsUP2YrmX/xKvQvqIjTOy4zoWF0Gxu9d7S10GoIbTAVOIROPX4WIPzoVTqpcuqF
o194lOLowa1FNOzcpxuXHAqdvNOE7wQF63ra4C1O58Vgp7ld8ku6FPF5qs3iVzrP2cekULSX+9ts
49BRYCHhk2UDEAqrdYuzBnJMz3jwwPKfOVSZJqjGoX0XUU/Yo1BsDiZlP+mMIGixHqzHSgNfMFu5
iHlID9ReUNpO9PQBOU/rdH9eG4eUcWTFnJIhIiqrdKtCQ7RSauZF43kOtEUfDpWw9rohm18LMCJb
xOZmXisEupYKGCeWD20OVKVulvxoUhs5R8BoDnGl7+HzthaQnqGs8dJxh9J0u8sVODUtEs/hZS7s
4WCByzkqo06O01X6zmu7OdQfD/vq/kFaW4vnKGUjIgJzoiPUByG84U9RmPy17wT5nIeYJPcppHYa
sLezcmh7Trpqh5cUAfLYH4TRBnqTzA+Ij4w752vjWqWoBKuUerVsp8hp/3F5K22vp6A1vEuRDdGx
M5f0OS7G9OBYy7dmiH+ZnTbtPGwbK3kz5Opdm8rFymZr8S6ancAIK219/lAhazwSoXZ7zXm5r1f3
IARPkNsIJ6NFtm6TNRrRv4pPzaV27fJZQY/7MWs687HQUqBmUGQgXCkfnbEQn2eEhnbilK2pAnHC
yUamGoh/3K4uf7n03RC6uD6q2dWOB+p01aKfIhzed/bnxtGTHrZQoz2wcNDRbocSOEpqXU9sVo1K
f1hQwz1MRh8G8NaSgFxuz2JmazxQd1iQI5X02oQYYnA4jCXiDtkwpqekn5Z/p876aiJ6f03s0dtJ
2DZWEgQjYnyoLwCJXT//iZaUSt5KOEcc50/cp/jhojd+RtF3zxdocyiEu34/OaTZ65NeJXAWa+Ip
7qvpySgt8UxZwH43uMaedsUGhgrSM58NPQB51tfTsuwcswc75Fom8jghkw41J8my80yb/qxojiCi
XyDVQk57bo26/6eYsjLQtVp5jCJqMPcfia2Z07uCuEWARZ13NXOjEYVS0Xq4LIhNHwXktwf47sox
oi65A/zYuHek/AyIVl4KspjVHTe2hKbOCK8PCwjxVHdV9KAlinpqlyg/tp31blaq9Nv96W28gYzp
0eAgoiaMXL0Walfk6P4K5ZJ2ZXT0RJm9p0TW7tRoNhfxj1FWi1irRWWPLlqYo50mZOc6pbPUk7pg
yQg+6P6UtuoYNGqoFbtAkF5jPYYwX8we14uLBmzoO3ok6bFxFu9gYkIqgt6r86OjJctbrclMJ0gW
A6BWE/41uR0Ij8yuKctLOMLazcZoyehTg0CmFmp+7W0nv3qRtyc2u7my8vgDt0ATZV3yVNTUidKi
jq7YgmGzmjfYQVhx/+x5xX/o6bCcHALaLQZF6lUYOIHXS5sGiKo7xwAcda98yMfiw/2Pt3kGiFo4
91Kqb02HQX/Aa91QWrjjH+gLR7RHy87wVkkRHh/zpAuGLP5+f8ytNaSRpAMthmpMH/L2mQCros0O
kuRXU0TdYRr1yq8XVjML4Qr/h6FoYuhcbSSxaxhZxc2Zo5NGCgL9LhAiK4K8U4tLiFbc6f5QG/UA
9AGpFqI/Qgl+DfokD2ortSFFQ0g1Pw8DbgHONGSnCWmJQzFM6VfyLutTH83/oVz5G2kkVRAdSYe+
Xc9ppkaBPD8XeFx75wqxrYOTDGIHHbJ1c9HAl3V+CWpd90yzKNYmy+WUA+tFAaRV1Eum63u4ia29
wWX8O1wimV/rpev6Es+QS+Faj6q4Lm6b//RK3Tjazqz9h61P8ABWml4g9aTVsmlCbenr58olqgr3
IBEqfmKrw7nuy/GUZfjjFVWV7rC1ts4bzS5g2DKK4B24/VZSFTduVZA8SjiNKDdq2OegwX3MLOW9
7Qpg9dCI/sMhQPhApq7cWiCDV2NSrIh1zIGvjhaZH7KqTQJcBNqfwlm+/vUZoFgEdAjFXbKhdbmo
SBet7lIQREqJxhAkCLN9NJJIe4Yj52FNY0XFB7s36+UMv3LaSSM2NigkcykdI8us7rpG4qR9M+Ee
FV2tGZCor7UqYDjE/dWd5dwch/oPzWiJJlpLQJpVaMdNZ8Ewb7ManIg1OacJZ+gff7+WpJRweakA
AB5YZctxgRTDYo6U1HKrudIjRQ5KFIlPmzK8YpnRB14Ezy7J6700c2uCzI5DTvpHurLao3qtCLsL
p/DSDsX4Ag2ngRbR7j1vv6+lVVokWfMcAnjpAH1XwziDRpfPQwRRaa0l8pGhayjOO2ZsHdMhSkIJ
vtVfOLv079pFm+tD24mxPRf5Yskq74zNDP2g3juwesDSda3UkpMdcj1D4Cn0vebqVumZGwmtLleH
WuGuK74hGvqOaKT2ZywVYIu2G7qDpsRsAqUWC6W/qaydY5F6RejD+ZgQfQ/jiYbJYgxOYLSlUe+E
sFufCjwgdz6+0WTO8t//SJ0rd46stIJqX5iqeO4UbwZqP+/F5FspAgdUI0WgWUIeuboqqz6K8i63
vQtaIHXQLFYZzHpbX91yrg6RDYHCyBUdgGARPdMPnn0vHsaL2nsNFk3pntjX5ocgAAOjiPwskJfV
hTZZgzJy1biXXEHA5FDE4AVgfVtJcyht4dgPKA8NyDeqDb56OjnKsUabpT0Z9PVdP1PsKb3cP6wb
z5a87lgfGDEArFbfgau3aIWVhZdMJPmppWX8ZKSzdqJg3v+HTy69QBlEcvzXpe5iqUIkxRJOp6PG
R6tv0qMyN3v0HvlF14fTIWCSCClEq9dlwVmUodE12AHZGT39uKmjh1HVMrAubXiol/Tn368fxW1J
J5IBzDrf9cijq7ySXmT2bAZqixhEXY4YPI1Z/vcvMGaqpO98Kxx317BdShMNklSRgnRZEp47o0sV
37Tb+mnsFssgEo01w8+seE+YZOPl5xKH18qFhd7mWmO/Qnu1x8OaLIm799wOSnt1HRE9hqmL2RCK
B9e5M/burN/ksvV3lFGh1I9SEbFendy4htauQR++UtZIjVNXUYsPkhiBRsrvJekYNNThOuBiaPip
Ebc/h9bFadVpgG2MRhoSnqgZ0sZQPBzx0APaz/wBvnEVNG0rhqMb59N7sXgKuIQ2mydfS4Y5BeAx
lDUGR0mI5WIBvvbUI3v0BYPcLAra0W6/qj3EjnedN46YcYLjekjr1nWCkYssCu5vLvmQrNdAhiVU
FQiRkdK6vSQdbuikqWsqtEpcYfMzO9lTI2rv1DgphVqNnva5b3Pz+2zVyfn+2FsXNBVb+vzI83FB
rMbOLfjapdagHK7ryXFojP5cJOEejHrrtFKtpS34+11aVzKqgk67OvFiK02aP1hqq4JnxOcurC1c
pSoj26kpbqX8xAb/f8DVfdfWcT7EmOZdOqfC5TTpisColuhtNAOF40+ebwqMy3Iwe74eou/lJDQW
7i/t5qRlAMZ7RP95TdvBTBEVFWhfXFEOfuuEpGfp/Bqoo9m9ibyq3LnjXx9gcLOMRRhNFA3I6nYb
VSmQEC8lXoHUtwQVzo1vlmKZAg99o4BumvGsLtX4cn+Srx+W20FXTx2kNeBc9JAvca1NAYcZWifM
nWAc8ux0fygZUN4eE4by5DPG24JvwKpoZLshAIWObxorbfR+Dr0kwEW2P2Ut4mF+bnfV+yyi8ucp
HXpt9rSn8bI1Vckm5f1Ep/eVvjirC8ajH4CtL631IZ6X8skdmnq59GOWqTuv6OZgkNdQ1XOQzVhr
FFn6BOUKUYxrXXv11Vms6kFxwvkdFQJ9Z99sDaXLhxQsBoWcNfRvNiNhpm0OjNP26kOfuvi6QdE6
dpn519LA5OUMgo+869LMW6vWqm1Zq1EP8RSnZeVRaEr+b2eM/cERxvzx/m55ffrgMsvYneIClf61
RRYWuIqg5wHqj5RZ6XguLGOKTlk4ZQdPd5fj/eE2Yj7Gk8ecxA65E1eu8h+RbtulIokmRHLRtXU/
jm0Z+vMSgrtVCu04DoOA7m8bp//D2XnsyG20bfuICDCHLZsdhqORZAVL9oaQ5NfFnPPRf1fpX/xq
DtGE7IUFWICrq1jhCXfABmIJ8BbM3tQ4B57mTDMO6iCvXxM0X0GoAzegovSK8mDnUzxiOAqSc+rT
915leSfDJqU2UsU5mfNi+UmDq2lTjtYfB2sgb5jtCf11aHlD/bIGKBzl1jgsWdisqtoBd+nq3jqr
Vpa9rC7afH6N5e7o04+Hn1torREOpF11OOSReul4mXtWrzGOtMV2XoOfNlCcJTju6JhuHrkZQbdu
pKwQ4uyLW2XZ2ddeWZNLOs5kqUVePxtjlwb9OLp8tDa+ptWkHjzye6eMsI65UV5HPl/ebr+sTWdq
eGSwR8Kst5xTVLbqX9ow9CcbQ8mD77C39ZFv4/UjHdTZlPdDjapoSC/h12T1+gWlglI9uQi/BEpX
Ox9LCiAHd9Xu+hLAMBI60xBgNk0DIzbHhsgxDqN0yC96rJH4Jkth+IMW2UFlRObZavv0udK1+J3V
ULTFuKf1H+++vVkTyUg8AgEsMeX9rJGod8tOTAlCp6n7t9r29rtxycoLojzds0kEdyQvtjsgxTnM
CkDWsM73Azpamka5x72puWwtq1DzD4uCd7ozKTFgF9c+CNX23neaeryAMpN+pQxVxUNm1C6UrWJA
CMKZJtzbSjBzfjmkC7ntGAVtahoHD/zuLDmFEgRKnX9bBYkFoX86Iu/TeuP811zHvV8qcfp2siIa
tSgcXR5/xr1X3iND5eYCug02535V9aYt1L504xCGGIanE0o3WjH+tdiR9eRFeJCDs85OWD+3fpkv
/zwefG8ny3NDfRckjWptPUSssZJCrXj1RfSoMHQVGuKWmgbL+qr09nopMJsK9VZ3LgJP6hd6B8aH
clxj5+BNlkd0c5NKhzqpsYm+O1i6+1WwG2uO83kQYU7Nw8/RL/iIsb16ECbvjoIMB9BeHmXURu5H
cVlhN3dpFi1JY/wDjfRzU87ml8dr+pNKuJ0LUC5EvzVZkNzamBgUPpqhTEhoE6pkvt2m6/d68rK/
NU9SKZM16V8Gta4prlEsCFU3dr5yhvMMR9uZbiAElNak9N3zQZQ4Wlt/8diWPi6JBJqrPWM7m0Hm
7oOhHKWxb4UN/NHzLrfdq0mAedIpdxIebEHluezxJ4XGJGyz8U7KFK9v0jnu3GvVF+l8adt1ioLc
1vuv3VA3TqCoY/qsRVn9TfRD9MaucrcIiAqqI8OQnQOKhjVJxs9iwauYaoLgnpeWAhpLEdNlbnrj
Ei9T9I+eV+ofc7keqebvbRrE1GDB8ZACn91sTTaNo4zIPIc6nOXQ0iOz9Acolu8fb5sd1QOwebwp
Ui2ESGabFSOso8QUxERY5Gnu+jA44m9xZJufu1VvMl8pIqQM4VmJb/rgaPOLshjFDXGgdjytDcWh
t8ZSZc5ZL2QOBCFw/it2bHAChl66ImhA++EXbeVui4bPuHxFYsn53o5pr161mRsgsN20wVh4LYqP
lRvh6ez34+L2twllBe9cDRWOvBZURddfVRigl2k2rfa29O6y+otZVc+A4zzhT6OWfYyipldCLYUS
2neF/pcap0NNmXYQ7VUHQfG3w/8u+7eP4TKDXG2Fc+5qgqczNItGfDxY2Z2tLP3yTJpLEiu6fbf0
NavWpYfPqS5GqDae/XbquvL2eJSd14qWIttD3mPwp+S2/SXeGb2kgixOI6lOK/W5rafm2S6TLszX
rHgLS+azV0Xa18dj7sRYUAxBTMAM413evsj9WHc61l9gBVPMrefCLJ4a2sMBQl5HHOa9U4eqOyJU
EMOkmM399MAPpnmzAiVamupH7bnjixpny0d8P7x3kfDK4SB83BkPQbOfKQaoNxq49+MtkSuAmhSg
ByJj0X3NWGoMxUp3onLVepAeoAWp6efH67k3KEBFWu/Qjblg5Hr/8g2xTM+bZQBd3SeKdl4n/bsT
r51vLzVijfV6BNbf+XxSFEjKZSMUaW11MBon6eC10L8Y2moiEhfyNqduaJmnKjHS8+PJ7dxjpuwB
8u2QoiKOu5+cMI1aqI1EhVQNagIqHn1ACo2DJ1Yeps27AWHbkCAJSGi0Ee9HMUxovLVNv7hVabJc
5g49gT+d2syevVE1Y/QS7f558dq1OtdtJezg8SR3lhQ+KlB86eWFNv/mhceK1epQWlGemslsAt3p
0uvgicmfVlH8/lCobJlQT1HoN5CYu59p3i1pjG4YqJZmrC4OKe5LnhE/naZySQ6uMH3n44EGAxNG
9R9s2FZYHVKmreirkYcOcszleYw0CJL2qlqjb1lja/sJqeaPdnCSv5OiGArkRcY5o+2Wm//LsrR5
4e6t18Bo4dqd60xH+nkWsfSBTNrKh3RNGRmCN0gFD463znvfd9+1UVf/MVxhZxDt0umji9vWkU/z
3sToT2PgQIDP5SlT7F+OnDkPlBFmJQvrxGtRwl/qIMJm5OBy3hsFiVn2I00z6hXy738dhefJmgWJ
umWu+a2e3PXkGcsaPN58e6OAzaUaQRTLOy7Pxi+jYAwmEtcY8xCoYP8mgcZ16qp+/v1zDGz1/4+y
uYmHhmEmvcvDxAImYcx2fNHtRj0YZecgcU2AHiOSRQFgCx0F8g75Eu5GWBeqcpoMikp06aqLCXr1
t68McBB00Og5o5JNLel+2eg4z123plmoRSJpT6Qc7TmyC/fDiF24CIzJci7oAt8MJ4sPMvnXs2RY
5FSlKoAJb3azLzxCRludzSxcS7PE7ilRfcMclzBWhuUgw3l9McqhkDLFsUCCdjZDxQjAlaTmeWjE
cOKucZd2w6V1Zlec8hI++Q/dGaHYmoURhf28QOF8vDl3x0dcgRIh9TpkFu5XOWmziaY1q9zXVvls
rpN4G3W96rudFd+KeE7fFo2nXuBudQcj7y4yqjK02OQR3Aa2ve700EvlyKuqracaL4Tv8O0s4bt6
fbRvX59B0mheIPJpohXeyvtpllOdDx0y/2FCtu3DgozfIKAxXB8v5utgDyYfxXko0WDxX0FOUqOc
6AaXUG6RtStR0JutIoCW31X+GDVcrk3cRy821ZmjztJO3ZWh5Y5FAPinEPD9BFtVlENnZEVYwZr+
HFXt/JLnqa2eCySmfsS9Nf7Rd6UToLw/PGcGvn6nrMyr3LddvMb+w6eV6QrOs66sX2xuPAHkOoUG
nlMArT81ceE8xVasB+jAxp9+f8WpOxFUYJQBo2yzfYEh6/1gx0UIdD1HeM1T/1ggPfteXnefWiws
Lg5YyYPW9E55RDb2aYJIEjjB7+Z16saGAm8hirAcq/qy2ALJBc2a308ujiqDo/+zNIN3zdoeYcQc
x2oKI0cd470NDcWMIh/FFel4fP+9E2WKoMY7WdhSRb8OjWucUoC/58fLuztTqUCD+yfZJ7iJ+2EU
0xWaGllZOHtt/ge2q6Pnq/rspX6u1bF2mZdpeQPuJD67dlJUflnb0+cVh8Mj9PLrGJynjRoQK47s
Mvn2/Q+J9Kk3B4ixIYYr2erXhjN9rzMIln6DBu651LKjw7y3wtQ00fHCrxq5rc37Q6Vaa6wuzUO3
Uta35tTYIa7G7UGRevfg/jrMZi+1A/5BA+FHaBq58S4lxw/RGjS+zeh7Pnvt1P7j8qw/Tx2ghFM2
RXbjD1kyZqdWHyF2P/7eu3OGXU6Rk9j11caeqayKoon43J1nlSHkrQj90UQMXvB4oN3PSXOWGAKw
4ytQZ6xOXJ8ez15k6s3FMv4xreQ7zmD6qfRQjH882M61DO3ElbGkRJxvqTVDr87CyYw0zCZdTz9l
ygg9r+4h9b/JbCe6YptQPanqMN8ej7szSTh0SInIywKlJPn3vwR+vbmY9LcthNm7AfD0uJIznKKU
klmiZ92zXg7jQbVo77zykDMW0QQduO3NRJ4+1klLmdouJwrz/tRMevPGVXqlOxcYGn5YVX00LqJe
Bfr0hVCdsEP6qL8Uk+jNT4/n/xPPcJ/1wSglekOIRxpMblvVXWP24O66NGzG0vljrsz0h+IZ8NwB
EY030pTEuuaxkrxQn6ubm9c7yZmUeAjsuUs+dWtMbwp9koPobu+z0BeEnM7lDRVBHoJfPgu6JXrG
uiShC9L7BYpuFdR6OwICrMSb2BkORZHkEX61DDAEwCJAhgfPtBmQO5yWD/o1rjFg+hVHdTAmi/mm
pY9+bR27CZo4Q9hk0buTjfftCXff50wR2l9Eor/P4gNmSfcPGoH8LFtUP9r5g2lSlgqrOButIB9M
pbhYnbf82bRuEoyD2T15tSaGg6tlJ9AEz4V0EHIdyAd5m+tUTFhDZAXdOCGiIjDXMg9a96IVZwvP
mzdj7703UufIkV2u7HblqRYBusQflvLNJhkHAVW7zujRAlQjNEvq3nnrrdURv20nkiV6J/+mQsR+
2tbbYk8vPHI7hD0tRYIxRHtZtSUKlgIX3sdHam8oYK2U3iHpgJLZRFYlQB2UWdHX8tYJTlfTt+uI
5JQHfqsYMcR8PNreSWFG0rYE8D152P3GbRTIxl2spGGhzjjPJUJHpjN1b96afF/BiwX/Ybif/SaM
yPAu2G6RdK3MpNXTUO+K5on2vRuUk4H2Rpdn5zSyuoNwfW8x+XDootLSwzFhcy5LZFIGXWG8ceri
MJ6i9dwjJRNUIHkPAqndoSR5jchFcmk2GzHX5kVJUFcPlYI4ql5L/ZzNnfalx13qYBVf73maErw3
FLy432Cy3n+0rhOel9ZzFiJmT0hMsnzWeyiej7/VzkvDMCb2pOB7ZZ3LuB8GRoTNxtcZpkW1ANfc
7EoGZp5rT7jIFBjue0TdmquDgqevaLMZ2GbbHjzsMsi9P97yN8CAJvD3ZEHi/jfMaY8fxUIQbFkD
G4Zb/DaPyvIm5XufptqbLZ/7vPIxMMOgYUmdg9P4+k6T49OchSUF4Hx7PtRe2CjsuYRL6Kqkvm23
z5nbtWdB3/I0gGjyx3pd/uidLDk4mbsfGSQuZT8DYZNtfazXugF19oLVL+L+vKK2fu1K0/jtXSvL
+pK4y7YlApa7+peXEpxsmTQZ6k1zrERA6TT1NLWaE4iuVf7DUkpeG31ewk6gxfdDMVFU/vuaoaK+
uk2O0196a659R109CGGzegEdOl2svsP57fFWfn02mSUMPgqAQOpe7SJhjGOpGBbhobCbBeRXGn1Y
ETnrAqVtQR0/Hm3vy1HxoGcoZQ9wsLmf6Czq3MFlOg0jTKYMHzMT91Pj9t2RAOLe3gTMigzG/+N8
bsZJHBr3a1KlFASGdkSTrM4+u6O+jshjuPMz7VrSfn5eLvzcNKKDtGZvTXlxKa7SpnlN+bacJCqq
MkvDVtWLsMjmOehdK7/1q3G0oD99n7e3AIEcUAVN4jO2NUnHHPO694o0XNe1yT7oRT/jZWOIVQSa
lCT8wndQhpsdjdoYwj3BeGZKJ30JDJB3BnwUlMz8xDXrGMwkDgALkbx+nq3O7W75unZf+1mv8R0Z
6hGhxSWyCZyXObmp6mhE/rqYsXFwr+0QObBlJqlHmJjiBkt4v0mwddOabhzTMAaQ9a4RdXPBm2Q6
KaUaX2qliE/I2bSnBKWHF9eaEFiCSfM/t4+B92loz//+lqXbj3o2NAbKcPr9r0n7ZBCWhWopoMX+
7byOyskpCufgstk7GPISBdgqw41tiQ7N27jsXZAPRdaMT5bTKjekyNyjQsLezoQtZaPe5xGwbRGl
6+iOlWYjhVy3mh3EamKfuh7+p5cL54De/Tp8otoPMQzRLXAf8DPu142bcoLmglBxvNb9CxrsGrbv
lDZnNmKwGu7yX95kmtn8w7PMUm6ijCGbUflD4Y/usqF+R1JoGc+9U47mc645JS6iFM0bP8cXKve9
MqsQLBxK952a9bCiHu+ZvWWm1yaVQolCXoP5+0Qo7oJieAzlKHDNNgrj1HMuKTZ3B9PeHQq6E/09
RkQi736ZTYAoEM7ACFcQwcdAy9VOe5lQ3jphtEKr+PHE9j4qOHZKbqBgeDg2hyHGxkR10DAKRS/p
VeCjnkUKXMFLIvMHiM4jrPBuoMXUqF3LJAOJ/fvp6TWa3ZTmcKmJJj33cSvJn43eNOsbOp5rdpoq
CgpILYlPSxmnzbmOWnHL5to4qtnsrDNoNIt97NEvsLf3bGe79mQgm0UZZZ1Phbbi/gIKIb2N5dT8
/vtBpV7W0qn1IbK02cl6PvCp8Y0JwUrrN9tL27PnQNHLNCgtjz/ozr1DT5gkAFKGBapwM5SYWjOG
qsj2qVb1WhRdfYnU6IjcsgP/gk6EQojLsZSyR5vPaCwz1GXYGKGNLqjpYyU2/8ADSvsbbJT71tDK
Ch+IKdLL56Eaa+QSjUafv9krp+aMHHj9uWptO/s81emUQUQq9BGhUX2qbynox9FPSXRbH7uMTKJ/
XOdsLjX2qo+Xam8HoE8ja6KSorFVOsaynOsOHedQsQ3MfBtX8xFxzm6ZnVsHh3rnmCHdxkoR3bO9
t1+lGBNj1KckDyvkrF80ZejdE8XQ+q9kUOaLYUaLdnCwdydHZk3DgvIn6cT9OYv7FcGPgmBXt9Tl
ZehM99oooodmMXgH0ftObCZ18rGyIeYEe7F5GOqlWkfogfSJXJG8V0ovfVrbzK6uMkt9gXpHVW5N
m0sNU/MIH7y33elrIlwLJIli+mZsdKnAeRSMnSAFcsZnyz33VtIfzHBvMaWtDI85FyXQi/vFrIxR
i3rZb/OaorF9MFAW6sNK+q+9mun18a7c2yokJ6BX4I7ZREv3Y2lIy6Kq3ue4qdnpOdHj+nlWxIda
H6ugdNzpQF5obziTfJcuhOQWbJVYJ/SL6gksXliCnQs63pk/xVDrOAKO2bUwrKMW195SkmcTfaHq
QBF7U/Kh0cM7hMxeKGLnwxp1wxP/5bOnV0f6eXs7QxZ7JIkd3YgtDJacDEUWAF2hGo3Rs1aPzTkV
xVHDeXc6ZIo0VSjIcdjuvxYY7WEwXWpK/SKcE3bRSCbVnumvOCp+frwx5CbbJAayVwRWgccC2O7m
ys3GCiBVnWeh2/brReFWpEcWu+9KZS2uXddlT3kTqQfNwd1V9Hi7KP1zS27PdgnYr2lExjXSECJb
gpxDbet/Hs9sbw8Ci+aJpGUgNRvvF3GG8NXqEG9DQ4zAdOrWR0V6uYhlbAJFKw/W8WC0bRPQbMoO
YAs6y2OVWG/qvPiWNln2vufgnWp0Is+PJ7e3Q6in0MaWUkXkQPeT8/QFckYpsnAZISsMQBJOSgyH
VVS9FjweandmGJYAMNLxgNre+fjmrugjsxlNRfEuiaHnN70T/SlJE/XcxvN4eTze3uaAmU/9ECQo
xfDNdzP01XNKlyoH/rH5BZ2mOoykSPPjUfYWkHI07xQCSNIT+H4Ba7OrCm+oUJFzR+9sweU9L5QF
b2LQ2//wrehqUG/k39qrjMOlPptPNpehSPXkUkVJbATKvM5ntKTH4mCwva+FbA/bAmgkHN3NRV+J
1WmFUeShEqsjDeh4OiUOGtHqSuvOqbojhMre/UGFBggDlmSEIXKdfyl/gUqBvlLyiC1eUX5ui77z
0a9NLkndqZ9VDDvPeqIcIVx3BiVMlGhaGu6yc3Y/KPuwaDNZlKa40oVVjn6xn/d2f1rsXpxspcAJ
bmi7r4+3zO6o9KGkvhQ1sC35UXF0bEicNQ27EjvChMz5mtOPueA54zwjAVLivlRpv79PAf/AhqBy
wz/bp6AevXWs05ZBly57O5Rr/CHVkiwo9Nk8AJPtHAnyfV4C0kTenp9d+F8+pe7EpjdG+NzNTqy5
l8jOm3ci4xA9VTYpzUFKsbNRuU8QzYJ6BlNiyyafMTTJjTgiD89y5+8mbqLrODTd1UompfPpt04H
j87e5yPTJjVD8BAt0M2jyiKu5Thiwwi3TjklCXYquonMrhHr46UESX8yVXwEH+8ZGXhsnlfiUSoo
0rCPjvNmUL1xh9HGVj1sSq1+72jzW9JX+5I4eGc6cZNcF1HO1xkbqE+PB977mPIOlep8BJnbvo1W
tkMGMIXiIvJg6QkLCvr5xQQVarTt6D98S3TYMTmGjEVUJFfhl50DTCCKbcpE4eCIYrgsgzA/1EYd
UwOroGW9j0E2uwfP0s4zQWMa8CPS6T/1XO7HxBYWtx7XhVIn+xq2V+YvrjgE4O2NArdEKgKCiKaT
cD9KajdQq3rq3k1h1UG2yHJjPZYHl/YOwAUaGyUgZLSwzmJGm2FEPtXIP2fhaHSV5/coh3z3mlp5
33IK01OG9EXpd/ivIfEwJGYghGnFwZqAOVEdoz8oLOz/HPSn8VIgtKAqd/9zuHirAoAj0YUB6kOM
VXEqMTx/o62l/aXWqvpriUo4lihKccvpcQVD1vQvYkZ18vEu3ivywtAgjabgSSVpG57G3pxzcDWy
6TyzWtzTi+LWR6N9WqfKqFio3AtFtqyfx3YSt6WylncoJqsvcbskLuY3/e8TZmVFyyEop+FLZLmJ
TrDwtdeyos7bZvGPHPUa8ra081Fu1a9TqjQH98fPksf2ApG9HkpJ3JOAQO8/Rcc7X4mcDajiFjCf
V+HQ8LFXuyjOa1NhTzEmeTyFs5FVGlTHyf6QWn0Ma9iiln+anVr7omkChXXXnf5VpzjHyqDTx/6E
YXv3ktWRyKGGIofst1jjOddxncUfiTb3Jm7zff0cVdmq+lWfihT2SFd9NdtKW65Ebhgw0F/rv1GU
buILJfX2T3wWE9Mv6Z3EwZJ7iXsrLXtJgkIT1fu2KODmLTFyu18owhFKQj9fz2s/mOI2N5XQvuh6
v3zCRLE7aoLuHWP2MqBWwj06v5uvhuITuB7LJjrX0vWD5TTZuxiIxcE1uHPnoiOC1SqlXPofW1Et
xFDsRSwGKpd2Mp07w/2xdHF/IeuoD57qnWeF6pgUwXNwwHsFUBFZNTpIWcA9LXKEasy4Suenwu3y
typiF7XfxUUJWKfBj2TR0sQ4CNH3hpftOcDYiEMSad5vSrG6dZdT+AkV6td0rsEJpU1XXTSMM24o
5dnXFjeFsx6DnX18IewtMaoa8ibg9OHXdD/yIIS2LHlBu0DNlnPqKG4QO1F2rdq+OriU5Z7YnDzQ
3pQNYBSiFbbNH5HWydWkm0SYrV0fqmrf3jq3KE5FJ+ZP0GhKNrq5XJ0YR0ef7vDvkzUpZVDc5Zqh
mEXQeT9VzDAmzMpVGLdjdoYYtF7WfoXe1HdJwJc9WNid6IjuIMI+MpkkzduMhsd7hSpmGz2VqYc+
lmKNb1x8QU6t2i5BRsP5HE+q+PT4a+7sI6l9hnQkNSnEDjZfk0JLhql4Cr0QUZG3a7J2V9B25SVX
6vR/aU03BseomEtPEwcfd2e61AYoulHEIWnZ6kjGkda05USHS6/jKmw1tO70OR7+oPSB0sYoWrRV
syOA/c6OIoj/ucj0e14RdpocS57Bg01ZDKI+e2uuBhmi218a3cgvyZrX11mU46lzQHyNczX89Xi1
d84OcaiDniRUKKn7cb+hKmdMM2ikuMY6mUoIWuIKtgppsj0d3U879y2gTpVmKJcTSdpmqLqYF9db
MtlkGyvh4xY7BlVezgdlxv1hqKuwY3kat2Idabe6RB+ABq1pLQu/WETxrYyrI18J+Ws3NwGz4UjT
cIZCtoXQCCl7w6uET2LsWS+123jXpDN0v7M9K6im9ahbvzutn98JaALVU/khfwmnjQkLKq8knC57
pQ5Tt88/zvl41G3ZH4UpkdBSM90KbTVCHdQMy4Ww6ywcCsSiWrAxaND8/qtIf8KV0hdSGXM7GyeF
Cw8AKA6NyeyFP2oVmVfldLCeJwU4/ONNvjcrwOgyZAIlB6Lxfu3iStPTogGqlpeF4rc1OO24PRQu
3Lu4pAwauGw6BM4WP2b3A8R9gD+hKQzlLWfKCVLE4t6sbtb5nTM7AddKedK0+fdFu+ldU1oANobH
GQfsfn6r4sEqy0BraistzKVS81O6KsMf8Au/Pl7JvevCIuvhdMl6x1a+mK1gzMRsSYjJ7vhXZZUN
M0u6TzPg6YOPtnfAuC04W7y07Eb5UX/Z8Kk3Gm7SYxuMIyr9iNYLez3PT3a5/tnH/ZfH89odjJIK
Vp2k2jzs94PB13cVIzPjcBpE/+JZSewXg+peahygzzNr8fR4vJ0dKSMWCqcU83GLka/CL5NLVlPP
J6NC8aZIlwvIx+VphXYaPB5l52uxeJAwuKZgE22NR5I+n+ZFm+Nw0JGnnzu8aGy6gm+GbjoCT+5s
foSJbarqnDBY+/r9hGwV5x5MVeLQLHLPDFM1y9PAXof2VrmKZ/kVxc5ryyb902tW++DK35sne5FT
R9cCOvcmUy6NSosdXH7CecrbLIimQvsYpVNaB2qsL5fHi7qXCJM1wGGi20k/f1vYUHIRlXZjl2HO
9z1rixEFmTrnfur0ymV09OiWaN4nqXzsK1bpnRoKroE7ZAdHcWfL8lVJv2Stgy202bJo1zdRm45F
mOuVeCoR1jnNQMQvVuGRQI3pUaCy84XBSyIoCuNdFpE3W1ZXK8VsCBDCyZjVNnDcJP6qzoreBY4W
LYQvif2uy+IkWHSIXI/XfOe4SMyfTLCJDNFRvd9djTvxmEdmEXYFiD8+cGS9JyjsjySZdiJA6HAO
olcgm3kAt3Ms1t5S4HOG+TQK5I5HSLSA489lB+avQdj81LVdcfsPkyMcIpvnISU0up+cSGvk1Vqt
DM1I7Z4Lsy2e2iltDrLDvalJ/UOubbhvvFD3owD/NOtMWcqQHpH1oxtX/RZpTvaXV8uayShQhgqG
KTuCiu99OSSMiS1BVjH85mjCuwZiGMUl9fFsOGetk6DhqU8HgLGdCwDEJkG7LKpS3NwsYUQJHD5S
XoWqUVeqD5DH+KtNu2rE+1JQ43z8wXZOAiI+nDyq1EQUhlzqXy7vpidCG5WoDN1o1EXgjEaMF6hq
j187T4vLwDHANp4wdR008JHLXFnXxz9gZ7oesSc6HmCpDPLQ+x+gd0CnEfKknyPQP1WFu1wcIzdv
JHLqwVB7tx07BsEeQNPAfLZ4EjPSMnaoy1jrDP9kHcxM9UGltd+62EvxsGuser2NXFFobaRZL7kV
uptSyO6F5isQv6OD5d+5+MBRWTxnSLWBr95cfAqIeZvSTU4M19SBhSbpG9wJBwzJpFc5pOyDy2eH
jYVtEPxgSXeg8vnqwrdyAf8Y5MfgRf3bLrWt98T8jXvBvnUhRoj1efWphXrupUM62g6N3G4/2nWD
hv3UO3r6tHiN+QzkHVXM398JILCBYUPR48/NTij00intystDu3LLczwriLRqSJ3k3awc6ELubTpU
VXAtko1zOHL3m07R3XwmzkDBwEj+tSLTe+O2w3gxKAh+/v1JUWj+ibLhJt7eGTMEnSjRrTykEFAF
i5okZFXo1BX64hzkIXsgQfAv8CDwZZN8+k1qkCqjtcRJU4R9HqV/T2W7/tFP+Rr5U+ZlT9rkmVe7
bQrbN9MCoR63ss5TT0n1YE+/XlzSBvjvaDbwxPGu3y9uqpWKl1ZGETaGNpmnMsmHLADlJuFsi94e
qY3uDadxmn+meVLl8364KhtGV41BfjvyuqyyJf9zse1vaxkbv/24odvGtU8cKi0Rt4neyG8oI0Ts
Qx0TLi7JaH1qqvyI1C2X5z4ZZxQsvmSvBODbli8J8HIyRjehN4GM72f2iXqrkGD4G/0IU5zU2B7O
o4pW/cFXe30T0cCnDURPCcQKkK37Zcx4q9MmxfQ+Ue3m7eqU6bupq7q39mI24joaiaZfHh+N188p
I9pkztQ66eNvTTOcqiUxs0zKNYmwAmoCRaDUjnZw6e8tJwQoCJeyNE5N+X5eRsVl19GwD7smF7e2
qrTzUgzu2wR7tgul0f6jVAX9/aNI456N8jPhY0k3RzFOSFC0lSw2SUvdzyKO3uoNmC6jRPCxRSD3
34l+6ZM2tPkFLUPh13C7y4NP+lNiYbuVCKdRRjCJI+gL389dAl7BofJN0yzJ21MGrftNU0zF4q9G
09GgzQROS8JB9OeScno+4UVWiO+tqGIg43r3ZbTxhVf7vmiD3m5G4+o6nZBZeb/a/hpXpuYj+mbQ
EpmpsV3c3rPOOG/U3VVBxfBcd66Z30SMxM5Fm1fwGp6WVA4KVnVq+gKBWOXga+/tKS52kqef7ast
g6h2zYltQPeKkndxjWIveiZOO6r4yNB5u64SjM17zQqSN92vK6CWRcM1Iw1rRVmG65KY3k0hdvgk
9NT2Lno/qirU/Dj/ANo4GU46xl3vf//wIIlNZVk3IIFuy9nIHIq+0GOIEtEongxD0YIJmeGDd3Lv
UpAcAuisktm2bc4NLPLQ40gU6q5YT0sxD++zVkdJXojvaQ7C5/Gk9q5y6iOyXPdTslee5V+C0RJp
G1JiuBKqxn2utIaBDVHsPvW2Zh+cjb1rATSgPBe8za/oLECnDU6cA449zutg8Czw9Ki4rufEsWOp
T92L21ouw5+PZ7jT72WC7E+oLQRgFLjupzgsSj2pFbUFYTVzdHJBF53mOVLfCFC+/1pF19K5NBft
atH19XzSYjM6N+vqvsOuTKEPUwr3x+PftHdmZEIjK+ckHNsmRYFipNsuYxx2U2J8z4RbvjfH2DlY
8J1vCwGGNBRcKQrB28dTcRVoKW0Sh67VR6EzoU3j6ePyYrfqkdnAzoRQ8pKYSASqJDDlfo0RrCbA
U0BOzJX3SRty+yVH1P0gB92bD2hS8kCY2DQC9PtBhJHrfdYbSQiXqA8IAWkA6GvzbI2TevBQ7pxC
DcUDl2YOoSrJwv1QepzVSyOhLuakaujRr9O7qdfjF2dd9W+lCvD/8YbYH4/sWn4p6vNy6r8cw9Ep
dWV1eJiVHBnFJLG/lvAIbiOlyneo/7oHj+Xe50K0jGI2OR002s3nUmpvRB8jRr+uVQca5dp8Funa
H4yy971gk8vikjT42KI8G7FqXQXrMpyXHDHawa6DStG1E0yw+iCDf51Tw1ZgLhRF+ZPq2v36VSg2
4mBCMz5ureVHhhrlaeCtu81DPpxqxU3fOHhNvacneOTTtTNJSN/sekSbpb7D5naxFneFAI1mGbZ/
o+HPAAbQ5/Pq7K0pSu/onO3sE7p8FHlk4ZD4YnNd262xIMwsWQTqklwwgaj602AC3yizTmn9tjT1
A9WOna2iU5QlZaO/J+2Z71c2M4y1nJO6CNdYqU72WBpX6Vhzfrz/91aR+wPOmlxDmAv3o9iKBQlx
TYqw7UwK2iImKEa14gRA/0gQY28ogHOEiuh20UjcLCGCWIOHT2kRItC1fhvVRUQn+m/21wRS3j+P
p7Xz5OkWCF0LMTtZnNvEpCOBmZla+K1W+pS/aPO0tKeo6PSPSaQnpT/rWoWiapVf/8uwxPkwhkBf
bhOLQXKT6wUAbevO5eAPXCy1P8a5RYpvKtapRWk6XNACOvIY3FtbLhUpFSWd+bb0kwXyxviTPTTN
gx0kmCp+Kg2MU4tZ1T88nuPeUJAPZRld0g+3BUkls/Q5Kxweg7600HVBnt53ajM/F5MB8ujxYHvX
CyVWHjY4fxLseb89px7B28LGzUOdLPtLl8+ajh1U5zzZeWs9pWtt3DRIQy9pmZpHLOC9iWKOLnUy
KDRQr7sf2wQyu5g9GYXlwnapGnM9q03SXJLEFQdnfe92+WWobQsyH6Zc1LNGk9gt0kuZut1l4v34
dzUSHIuaOPr9ziqVUMkeApaCiuq2FmcoXVMn5f9xdh47biPtGr4iAsxhS1JSS+12O9vjDTEe2wzF
HIu8+vPQiwOLEpro3/DOmClVYNUX3oCHwaBNv1NzjN7kXbqXoPB/Y4k2ycMqpEIyCpaKy3qzfciN
pHQVQPhEdWKZnwqw50vlQ2BXIOIOunrMl7Rz/CjSRR8gWWMNGAh52iVuojzzLaMsi8DRBmU+2Y1r
18EcW+r7buyMr05XxI4PpSZrcSMopBWqZt7Z7+ZFtL8FzKQMD8bW+xQLqywfPBtRh5PhNmBPuqSs
Ol9BzvuSaxp+8F4hIjVISjn9ttXSxb+lctVvml16ehiDj3w/jlP0QYz20h0mKnd1aOtSq3wvi8c3
ivS6/th4mfHNLRU5hqYY4iYoc2MpwhyhHi/srGYcfDx4FQV31WV5K3Wjts/1NABynxSw9oEHr/U/
qyO5+hBBo+POiGyhnfS67TQKSQtV3BEtumBOK5EHfaQ40p+tng78AlYRX8W5KLu3MI0wKm5yN8c5
qK3kjwIlQlSwKfSARilj+UXGUnzmlnKW585zaEP5gPxz6ycqlBIhiE5L/umyJp3ORW16p2KELHJW
sCSKD0S0WhYYQnXzQ6Tmwj6oRWziQWHGusG9lhpKUBlZ+nYBHpCHmFJ1v7g9pP2o5zLVD7GitMob
MWXl+DmbCfTDxTWL8t1SNd3HOmvsJ3T34sJf7Em272a7Tmo/b+3lm2sJ77/JXuajJ8HQ+UMKqP9B
0ezWOZVqUyB9OI3j20GUuniaummcfAinIJTJrSZS+8IScbgU49ghITCZy4OKtV7sxyqv3gFpfycP
tXkw26CebIwRa0pS3YNQR63w47xuzLDtvfSxnKdu8CGBet8oB05u0MvS+tx4Vlf6a+DsPunKNF2s
WptyNIcpAQUqD418GJNqbvxScwszxRylKzS/p7DZwPCppz7MwUQ1Z00kdhPUPBaN745x/7Mx0f/z
o1xB/G40aDAHHf7z6iPgbOvLoEQJWEwrK4N8KFFbtAUtaX/G2y9+N5JQYQHq2o3ypZStbgcxfOqL
UnfLRyNDGP9dibfw4hO1ZSOH0pvHs0yb9vM4d1bvm3VvfK0bfdGOKLDa1W8cLfUi0LHi2K0b3dyv
1L5t3aUhwouFudYmdNRtxa6QU6TFlOXZFK55/ePcet2PxSzdX3ZicqTUwhW6X1K5/aHULg9ahGJS
9DibtYH3nxJjWzeMDahJNSpV+hsTQejLL9DdX4nuJSkWrH5KhtevAJKaTdQkA9KXeHpeuHu0s5Kp
WgCYOn99msUDjqIpEDpQbNuCjsxkt+RTgwZ041XvZSLns6ZHE7lWu+epdjMrWEVr74FAlvgScuz1
rKBQl7GnQtqLpqEMizJefOpf1lFXoj1fqjtxLMuHlRlFegRvtnTONFmqbnBLOrLN1Pxc7bn+0wYa
Ta/cppUmxZdGxxLxM1K56wnFKaJnWQz1URojX1q7yMwLXDez/l2lYJfXhyXGKlW/KqDhU7Edzexr
Y/ZKsh4Bm/6NlxrTaQT6Lk+2IYk0Gy+VZ3MstUOlanLvw7m3d6SQ1IFISFAI3Xw3ZQM8DlRFdrE6
vCKL3mxVX2fcc6n0/euVbb0/PhyrfxY9na02f2mnap8slP90DV6+0LlV3F6eOjxHdtb0Tsi+1krW
OhEtWhqk1ztYCxkLp4WRZQ2F8Q40fvTJazz3v4J61cem0362sp53xrxZypWJZdAhZTUdSpybEK8T
7uQ0UIkw55rToFth8HWqZIdZsX68fD5vyqh8bJwVIDZ8eLRzN4l/letqP0u3uCRxPvISSK94z+1l
gzn0sv5bPdbeaRBdxVM8yy95Ps5G+PIvuInF+AVgMVzawSube3tm8RidTQxW+QVRWwZ41/N0dctk
hHnt/TvGjnFwXZkHUVTukbVuotv1ooEvRSkC6DQrfr2zlZYmU9xwhc5qJA+KURaHvK7HkyWc5Y2e
WvNeUedPQeoq7lxHpJtPR45W2Q2ACsucGXiuQydSX6LR1yeo5DhDT1Ycmkbf8kBGjVv5hC4rr7Ip
m/wyzVn7XRdZ9V7FC+qTbqXmHC4zzMWHcUBO2y9Tq0seDK9xPhddZ0+4RtTiOyiB/J9cj8AszZKH
4jDqlbYcpsZY/iulgrZmPUaAGvR01HIc+NpW/8KXNPQ+gFc5vm8TinYHp4NWSpcNhr1P/GNTXwOd
908Tx5b0yQucNMCoNPN8voGx9+MKq5i3dGDFxxZ5psjXZnf6+vJxubm2WUKEIcCrr8VSOnTXmxap
SoM/KvL6NeCvwCQUeXCRYNw5lHdHWQmuq6UDat6bD1B1Mky01Ly4qHmvc3umylNbNHsikrdgCCZD
awZxFgpv1k2VNEVl2M7Bkl4WJ0pPeR5NBwIfNZRpNrD/WhQkuW4+J2mfYlZnLd+T1jGekczak+65
ueTWH0JRghAQBa8bQJQ9RauSIaiMVJjzAScjnhClozetGjIUrsKZ5MrdiSvufflU6WBY8BcG4eZm
rWbVW1YQCMWQuPwVW8V4zpTYdXwSTecYmZX5HYpY9hQh271HKb5zw64rzqS5c7h8NseIo1XzkdXl
xR7m6bFV8xGcWYTD2uiNO22iu0MB6EZFh9HoSV6f2EypyftWyBKi0S61TiWGX4FcgBSLe3z547iz
jQSEKvp5PFaQDtZj/VfVmHQiNmaUei5z51Wn2RT1pRaOfdDoNwZ1k1SPqhOVO4PemR9oLJ1zQ0sF
BJF+PWhrNDYh+lJckMTuvxsYW57SdoC6l+qLs4eo+wO92lyh6H0Qnq/NMFDRm0ubChqpxMihackf
/Xa0tLPdtoXPlYBmcTqreMmU2aEVg/t7om8W1ilYO2Gr3UMGse2klIt1phzWr+KQix816p6O0Z0n
1aUaS9jH001zcrPfI5pBmpQ8K6nlAGVKhg4Pb72Ys0es0apPOAd13xZww0cpUIdCbyOfH14+Bnce
Nhwncb/km4KJsQ2OGhe4S0vOfVl0YT+qg/UOCwuEMKcCfg8eKDvRyr3hVsoCbzdlVF7x6wNQ2025
0HYuLrWrKZ/dqkN6wCoQ+qzH/LA4cy93BrxF2azOdyuserXqWCXdrkfsxrr08qIHqxrZ9VtwRPGh
6OsE3SVLZP9gXzQd86avncAovflT1GfjGf5h9d/Ly3zv4LPJhLwIi8N/3jwSulTytjAB2RR2lz4W
MBKRyR0bv1eKdOc9urvEKyONeiMJyxa8XuTq0rhiKi4u/kwHJ069E4op+YNXx85jv7TOP6+fGkV+
QAv4grDMm+tRT2Q9TfYAJTZOuu+MZC2wYTPzszWOECxfHuze5NZaBKCpVQpwe1xXz+oYvyuy2KVo
TkITy0lr9OZUAZEJBkcm/8PkVngC2LsVf7blKOVaKZxowUuh5ks5LVH5YfSkPKSmbX55eWb3Tsjf
I22WEVSJFi+EQ5eejmsILExQAKMAhw3tXuX07lCISeGXvX4bW40MHYJN4mkkmnNXV36VTNVT3vUY
T8k0+fw/zMpEUpCyKCX9belhpjWEpy/oqEwt+0vq8LGHlSsktWGd2sjLg92JxP7Is9I+IAnjOF5/
6oKamUq5KLsMSTwEk2vMj0ntLjuhyL3VA+vL4kHxWs0Ir0eZOjs1e6CpyEIvxudsScRB9tZyrJdu
L7e7hX9yefFuUbYhdeWK3swoGpBkLBPQtqbX6/Eh0yNbUh3NzOOYwSgHIuQWUK4ViL5+VXrtcKqq
AoVaIfDtxCWpKHzaw8OZ4OnVNZH1p62hw3qLU/xav9S/4ocx90hyG7qJXZyjmZQ4zQWUzR667k7c
xyGF5Ua6Sea+1RXCY9zOZINZGgRvlGjVLvFNd+7O1mgnh8Slhpw2Y3fCLGnvGr23zSvsHwQh/Gku
7ev5FXYOAooHF8mwLIVDos4PEF1EkEtRHV9/bhFQBh8EA4BHarOUnS2xyFp3mdAf/vDco/Q5OnvA
y7svIdnrCveHR6xuVYzpNCeyc/ABSyNvOGRdtlDNVZOPs7FkR0qctCtQb+oPhlgoH0xDhyezU+3w
Ze5tKM0agh1yGHZ18xy3Y5yVkU43oAQu/TjZDd0M21HeFWn1Y4qk+q+HWNv3kd7Dzstx73JAbG4N
OlYE1tbQQY9cWzG8Or9IdbSfnH5Kv6484J3H99701neJ54aKzI36Pt4PeinqAkyv3Q6fmjh6Xugj
IIDYqag/aMsJTI30PSn2jOLvHdcVw2tgfbN2xTbr2psY7bg9ok5WYalPhTYXtR95Tm/6YJT0Hy8f
2PVAbgNrWDh/rJdJBbdG13bbuYtaMBg/BjqtkU71iawmIkZuE/NURqDxd7bv7pDI5ODgRL0C+97r
zzGp8xglTq4bmkrmh0ZTfgqZe7/x6UpIf4ex3Wln3jsuGBL//3ibgK1NIn301jZ4n2tj7pd6P//w
Fv1/KB4AdYVqDpKew7nlrlFCh9GYGCBAqkp5UhooyqRqrw9iIGrw+oJIWrkLm7mojmj5nInQcA7+
blgCq193sAMAj9Xr30YcxChTcPJXnUr9epfUyGyNrEfWcRiK6ktfudSIygoOXj7b/8M7jDQA+CM8
c12GWnfw7weInrox5JS9XLQIPtaOsJ6TrI5CR47Ow8vn/d7VyVj4wK0VjxUFfT0Wmv4qzV/0HMdE
H8cHZJoow81KZod2mttaqNh2qvlWOdi6n7R9W/ophk95WODmttfTv1cJQoRhrUeuNVCqW9c/BsON
UrE7JNWszhygncz68LsQdfWjVZv6jcy06KjlXQN5H4O1A3ix8awb5aD5Ewi8nfvuzrXjkcACFKEG
vQbm179l7traVTTiY91O4q9DO2uBNVXtJc/j+fDyJuwNtTnFFXbI4+IBlkpwOg2qYWhCFKuKt4pR
7CWNd2ojUAYcpCdIswHfbLa7MzAN7tZYPBEauCUHaoJMsvTsyV6cGkBrD3Oyh5+4vXBAL4H+Xsvr
9ES2QYDU06bPypbatoywZ4ti6xMpo7onB7xuyPXVzTDgOkmh+GZ4DK83TJg0XOYESJat9NnPPmuG
KHB61Tq5kaS+jAjm2bIo36cu7oSvvsMZG+mktRFJGLItORlJ7FiLRwlzHN35kMap8dRNShlGSmm/
SbtuT7fg9s1YUWG0mCAr4Bu1ZbbooqkM3lyqK0mt+V2tRU/6lIi3ujHa4Kewx3n5hN7bQnBaq88q
MkiwRa/XtrSl13cNtNguGp2Pg6KJt72qNTuj3H4HYGWRjFv7q2uCv7ljU5MSgo0Gw2Ui4/gPqd7o
KIZEPhmq2FGouzsSZW1oHSQ75B/X8zGjJClmvWS/rF59F+uzgHA2z0fRJHs4m3tLh4DO/w+1mRSw
EbjMBhi+Cq+kcyel9iaV9R509d6BgCyztspWk7ctqDQbiHmJ+VE4nus+KCfFyXzsJOLH1B66U8d/
8/7lE3F7kVDusQFAIodN8LnFtNmdoUUT/MhLqzXStxMHiA2SCQ9RL9rEd/oV7VB33t799Wci26/c
XNVBYLDRG9yaJEsyt4E8pbhM2dyDC3GInPwet3AtGGVSfqoboXF7qqBQjGi4CDkob0CtYxWFQ+RX
qNT2v+iqipYmX5EVKCpF487ZukXWw7+F5kNSRwS5hj/Xh8vVhYWzn0lzBhzIBxSkxHFqx+gTUmLj
G4yklwfgXVhb52XlN4Wr+sg0G0E8du5TXjnJzkf1R/Vgu2L8DjSpqYPeFiYtFSRU2o9QzOHul/5g
FxHybsIwL1Mxua0/JFaZhrgfFvNRmaq6Cl2J7KefakbuBkCazMJ3o9Z2A+jb2FFPWEdFz9OiJW1Q
6bacfadYwF2liUtRX/atru5MYb1dtjPgmgMsiivwqql9vaBJ4yZV6tnFxaNKcDCpGx0HFIUCZ3Db
Jz1CzYdezb9jgkoIXK49/do7n5ZFHYB20IqNBbZ6PTrGvB4m6jrE5LFVnid17I+alVuntpppvbnu
nsTjH9LOZroWiTl1cxoJ9BQ254fvSinjGKOaEgu7c0FN8BDF5huEQQ+SAsnJE+7yCDe7OQ7zMj2W
navhTDRCswzURs/eDbXafkwidw+4frMNFJnB7YIJWnk+NxycqrSxk6ejecZv9lvTmsU7qO/22nq1
Htq6LZ6NpQUSpi75Cs6yzq+8cKgeUPuiSw62dQV7X29DXY02RiHSPnsKpLAKENkz/aPxiWWUx0LH
jpQC6h4r+k9yebUXVJmpkcA9WCXPgSNcjypdb3EzNfPOnonw4Btuedhq3SRM8Wha0vuC6LR7MZZ8
SH27dZt3I4tv+5jbZ0kokNt75lypykPkzXQPl0jEH0tO81vVRh11Mbvlkadc34ujb04sPxrF7z/0
HjCMW3Y5xWop80pxz2OTfM3wdDuZTiyOHZdV0HdmsxO+3hmO8icwXNIImvpbQW58+LooATZ9Rq9R
foicrgvoEuMSPsfKD7dpP732IMCWomq9aopRLN/2vl0nVkcTR9hzZZQGTS0RDW+MUf+m5JH5rkC7
8gFYaH96edCbgAFBAgBFa7gF6Bg55M05KOpmXA0izsCY5rNrNm5gzujiTROyfC8PtR7kzZEjAeLK
QdoQCvVW8m8cKhlHneTI2SjQhS6qj/GDCTrj58vj3G6bSUQOxJgnfFWE28RAo8XXRL3KOTdT7oYZ
IIKzMwAcipY0PfZ1o+0ck9vrY2XUr5xwqgKAiDb3aK9PblPonXu2hrh974mqf2gAVTzEVl1dNOmN
vuJU1VtXong+G8VeCf0mYMErityD64B+B6nuusN/JdWNmXvq0mvOuTDU6BmphfwfWpcDo1ql9R1J
Pl5pz2ni8OVVvj04f5RB6M7BaaMKuv6sv4Yd2h7teAgX58RRlhNeUoCogZgcySWynYNzZ0Oha1My
UFc6LZiC66HiIkYN1BgVPnv1M2ht/TylqnMkiCrDsZb5l5dndmc4SgZ886teLLihzYKiIlpU9M34
JOx2KnzYX90/kyvSt7IqkOOf5lcjldg2kyIPQCWsh4g7r+c3d/DpKAl4Z3cq3Y9KU6t+hhbrNzDo
dHi09vfL87tzYJBlQM+ZVBnMwvYZHrACJmnVvHO0plcT5NO3sxi0Z0NxGr/1tOG8qMZwfHnQmyR2
nSPXGwdlZWxvE0k4KUBUltY794XpxacYn7Pa94oV+rGANBLnCg2K71Zeav9WRdvvmQPf3j0Mv5Zg
0JsilbbXf//rtKIiOky2zVXeMunj7BriIWKSO7W0e6OsooUrmBbUj7k5OW5mGEPUu965aRvza4P6
5aVK470C5J0vb+0rcYOCk6KTsx2lNc2YKjxSZ7PXHRqvBs0XGapPcr734N6Z0NVQ66fy17IVcSdj
T4G46qQlVX+l0w9DLfYi+bujmJx98i52Z1uCjCuOvRmjBev0SxNqw6yfjcGNwpdP4N1RVu4JTFLk
dbblaJnU3qRoSGcie7ucNSkAzsfLnqfgvc0BsKqCKF0jlG0PSos1rWhahB6NrPyy9FF+KlotDRrH
nnaSB54YVv/6QSVy17k1IHTTFr7Vn2omXaa4FHeT6zw7VRN/Gw3FftYWNcn8wRCoC6Vlakp/qgoE
1sCG6PmXcrTgmEfjYF+qOUlADJtT+oCoB74LJtXJ50TJs99CjyGE8EkDJF5pZeIptVEOC5NsUP9T
q8QefHgb+gend4BvltT3EoBdo/mUuEU++4VJHdUXhLT4Jiu4fDjgedPA69NRP+Za3+ifuHgLOizo
8IwHVMgdAs28ULOwavAIDPBapU06O5X9zl5EqfpzrTj5QZlMXjZv0NyfpivUGipDzHsjWmm+c+cB
Ge0uXrzFT6Zmmd8S5FqPVteiFjlKV/23kl72O0kM5z2M3zgi48OoxrfxP/lltnn5Ic+RmzuV3P7P
aBZFVTjZDhhMdVCEEYx4v3zNlLL63o1D4QWTZRVumI91NPnL7CSfhAvNJuzh4h2MyJ2Gh2iQ9hMO
8eX43l5c42NteZLMvIuMb1kPK4O6s7GCdxKhHKbBkLFvI8SoHIWWNm8KOXVpMAlFfE9RrEofSnS/
pO90Wusd8aNOysD1lAYgKR6kFowYid7YoFvNMxZnWhNGstdrEJRFY56XLi5+LjjEf63QiG8wYUwg
vSjpMjS+1fWu7dsiGZUQjpkzBFnFH99VrPoZq2FFhE0EgTi0id1UdspWqEv0vMJv5xYwVDg5s/Ho
FI5snxRwUN37LjbUX2W1aEYgGsRs/bFpluadHglxyuwKo40Y8JfiA3pp/6vZ7DGYFhFlQdOVsEhM
V1bvF0dOjm9lXtM+KLre/IafnyfnliHZDx16jW+lbua9s7NaV5/H0aZYQ3bSveHCRVgASFwNhtXJ
nX/xSUkEtKmxyD5EME2rHQWHm6+Q5wyXMSI/HhhcnTbhX2QmxZiY+Ogouduhq65F77toGD688vb6
M8oa/AAe587f3MSe0S6KLVy+9UGvQwWJqbd2kY0/XzkKFxYRCBH6Sq6+cdSw00ZToc6ll7mPp0fN
6CJ848t2J+O9d0cSd+APomP5wDN2/arMPF4S8xWkW4YpDeEuLTSwhyxso2nPCejeUB4SgNhVQlpA
oOV6KBwHEQVNc2TGFwWTI1IpkB+pOJHWdTuc9DtDAW6iAYHS2NqB2PRVVL2rJitrlHOU9UaQNW1x
rBs7fmP0o7cHB1p3e3PzcwzWUiHUW/i3m4i4t2ys3sBp41xhDgd7VsXBqqz8X6WI8zeTZk7tTgh+
c8iJ5OERkAMzIjCudfJ/BQI5tF69GsvovDidDAt8JMKGK2Ovwnh3GKDzIA1Xwdht+b8HAJ3j5UoA
RWgY5s3gBRjwtoGLmIVvT7r5nzW24sGeCyMs7Lh6HJv5B3YteRgvdvkw1foQ9G01Prz8WdyJmHlf
6S2T8vD9bQP0VcfMSNC5Pnd2jSZ+7CWA7xsVBR+3+m7OtnUiwNyDmNw5TyQ7ABL+iJtzwVwvecTl
uuRgpc8DVeEwSrXmOC4xXftBcXausNvjxEla26R0s1j5LQVsXty2wpxEP2txnA9+Esso/dKq0Jyn
MunSf6sp2lNwuJ0dbVQ4k9T1USBGEet6dnEJb1Z2o3ZO5eSGLZKWh0gHkp6VzRi+vHu3h4qoEgoI
8eWKydrOLnJBr5pYUJxJv6x/xjjqvxD7741ys4ZMBBsDwEA4dK2AlesJ2WidDuWqVoLIOJDkWM3G
g2tRcUib0vQ93qqdT/JmBXkRaGzT9Vyzb7Cc1wNOaoKbag/DLc5glvaKajwiMbYEMUybnbzmztzW
GhhQBE4I27W52pwxUuB+YOZSxE3x0IhSHNq8709NpdYBfNzd6uR6f13db+vc1joxdPGVNKRfz42m
gmX36SQuZp/mc9gg6aOEAo3794WSLe0vXa+bX64ih0/znMHttkrpPAzO6j/48tm5t8hg2aiL8UvA
9W2eqnForKEukacwrQr732b+mTtzGZapsWfHh2nVzaTX7VzRMuvGQiq8nnSNHvjsNnQJM3N0mwOm
4/ZRV+PIDvoEGRB/lrXzW5S9RoSY95nrq2bhuEejiuoswKrF+azToI1DKshpFMoJHyWfrEESp1VO
5QtD75owGRyxmhlX+nOKYIPEmrsiTUBf2hRHpZusd16LZ/VJdGgQhA4E4DeWN8f6yaPf453VGJuY
NwaPqhkUwBoIxjyp/7T71uqOmIdM35xKk/NDjc6Sc4goJf9T4iGVwoLPu+XYG3l+XLRppLfbVpZz
XjUI6qPmZbMb2iPNg0dl6AhzY2dqzdAy89QLVGUakD3pejU6JJUEb66RXnwvoKBXGIQUTebTVTOs
MHWVXvdb02s/dh30ecJUF1wHCpGOFlTRQHUKTwEDdTRnpJenyL6KfMWzZ90381ho/8iisiuYFF3O
B4yrxA8rbdMoIIIU/8U0O81jmXreNzjBEKG8uMwfO82L2lNLlFwFuWl3yXFAveGHKLQoP0Jv7z9o
oh4yfD7SSvolfMncr4zBeDMty7Q8GrWXxE+eUNwxiABrfLOm1CYRShy0ywtPLI+JOk956CIP1Aej
2hqKbw5R9bPHzhhXyAqdyVBLI6HA+jfqN66XizFAsGg2/UzGxq8lL4rvou+NR3xlqumg57HsfMfJ
4uYhE536gHOr2vuDVwCGmUrlp26jn+lqrfV9njzlQYx6/mNou+ZbW3a9B4HmA1pM1RCl5kMeGd7H
YamH9DBJbUZGlPcaHjxxaeknSzb+YtObp8wYFu2dmi+2fXD1ccjfY6KGE+4IMbcNG12ZP42phLJW
5ON4UrI5NQ5mVPSofNSp94xwltKgZjClTtDbS38oXD1LzuVgRFUAtq7+nudQ7H0zba3+2HmLKh4c
OzJ/VbL2mpCykAKiNulMEebDAv1RCis6Nmpcl4EOBi8Ny26IOQKqItvZnzTZfYgQhVit4yujeaPG
ZJ5+X3aWE05qZAgf10okDOSi9A/2mC/eA90u1D8lLsLPjZKYfA329GGpIu+pq0z145zQi3+o4z5P
/WK08890dfOZ3TTj9tD0rhufOsfovsONgh1Yw7Qd/431ZdLCwms0UlcxW80pSWGXFGnXCn/pmyoJ
Es2tp9Ctx+JBplrdhoQJ+odeS6zlrafI7p+2sr0fDmYWyqNcRrV/TJKY/FSJ0+pxSuzEPcR9NoF7
kkau+TBq+udWGDk0W0QJlNOsoFEGOzXyPuPdJ6ePCBOylHrGCef7JAx5rghy+4+aJJd9v+hlFwdD
juD6hV3R4WUs/dcI7TfrZJZL/amu2mbZedpv0dYItFDK5PWDNgQpZn25/opLx9GxqqqO8I7snUae
ijK1Pd9oVK8+OHVURr5BRdF53+Jo9Mvta02EvUddBC+yCEJlLlyot31iO36sKdYeC229sK9fMX4c
Ce4K3oXuvrU/6JH+RTsVDVxsT60DnEk6ZVNjnwzuxVNPEe8zApZLIKbkpCV73gu3b/aa72BozHMN
ZWzr4ukYE6ZaNajdRrGqzxizKn6cKb0fFYYQPhL46mvzH7aCnjFWawQjK/r9eivMbFo6RO0EesYw
7caS6gWED8XHKHqvk3xvYYlDuNNZVMDRm3ikBwWhopkKKKRCzyweIMh40LIw/dHdr1Vl2595s8dz
ncYw1BQl3kv5b6MC2iycNup7ZGGYi19PFfEVz+gsm/AkzrRLvdjmiZqQcqqwmtsJQG5SD1aVpjl/
4RQjq7YJClAamSmWMFUsIOXRLbT8rV0iOTZNdCH9JKIQVXXLXlfw3qgcW5ouEJ9WBdnrCWLypkZK
D3hSWlb0ZUxiJcDCIPJFPxVPQ50taxxR7xQ0763qX4Nu5YhgTTqOmuFFv6Ahe7IQbn2cmpXi1+xK
1t6kBOu1QYcQWiOtSHMrLQiirhlcKFeXUeoEGGT0z2ok2tcC5/+MgoABxQCAvFsPRCMZILBFTIiq
pf4BE8Li2I1WGaBuYmp+JQv7lCXTN0XrvMPLYeu9+cFOWIXqEG6mQnC9f3VCsQgvN3HBUlq8zdAd
/+6k1v80Ci0dtgV16Bs71GIUSuRQlbqMVOshWLUDYbKXvzb5ZhX/KLhTbKSGszU8cAsALFDRgeg1
aSAjmaPaPpiHPG1R81k6+zBWrybarkPygbOCMGbgkl0vn1OBKAJ1CB+vmKZjn2KmVXdtEgKmac/O
4qThaGbzzvG/t2fUjVhLngwQVpuaTllXf1wrUA+QXfRl0IX5nuLvnqLgvY8MgAGdMO5ISDrb5rhm
pEuLTPEll00RAKHSAkR7mg+DWY2nlw/hegtvnz8yYu7oVUmQ8a5XkWwbQCs+CxdSB8QnpqHGEq0V
8BuQZYr8Hts7kNBVfhRGGn97eex7Fximo4g/cC6pMm52sErp9XUDgGs8Np2gq3uHJrwpD7nTkyzL
VCgBwb76/eVR7ywuTIc/7+2qOqOuv+qvaKQoEhS6Jt5cpU7dN7mC3kLjKNl3lNL3uv73hiIrRQmG
iiMU980TmChuT87L4i6LKYJxxopDM4oyHPCs2sn+7xxMTuRKdFqfO57261kZbtSZMscFSy+155T6
22OLVNNO6e/ufHhR0QO3jbWSfj0IhoycIUtnEOH+xkIh+UQW1p2gbpavv08oYIIZBHQH6m6LfKoV
K41zXcEcPhrapwQP04DCOumniH4JHXcqR3Gj8+sPBrgewEQ4casobV3PLhL40QhoaJeo17OnWebW
+6hYJun3Qk7pTmHozn5xfa3VWlrEdLzXpf7rFKJ2YHjxhLyzbgs1mIwkPRpau0fzu7NhOi1Jom4u
Epgjm7M+22Kp6NRmeKcr30VXFqFUCv2M8PL04eXFW++JzT2i05ZYO7d4fQNYu54PWMGKnsQcX7ra
Hn7FFE4WHs9WAzmgAw/21y5U/Mkj9OxCdOAWGZIR2ntsrXurSvUbUMhqzQqz5PpXaKPRwNAuY8zG
7RmFviQ+mkq1R2G8Mwp2SSt2icNOZ3ezd/1SScqM9CsyhBAevUkmVuBktbsXa90dBzrYWmZaOzGb
NQX0IXsbLT1I2amG2WweP+fwVXeetPVYb3YOTCVFLfoUBJNb5oLmClufCkU560NRBrSBPfzDtYWq
QqO/detMDxJ03N/FgNN2Qq87p5O3hXQEbCVk1G3opVuJOqbIKV/SOEIaz1KiAyphbjjES7KT99xZ
yhVQwLXFliF3sqlVxsY46QTn+Mmij/CunRztXwts8s4odx40EFDAFpA7Rsf2jxHBXx/1kjbpoAxR
fKlc7CoPWhPrvyxhe4gKybx1j5SJa3muYgrNr7+ZAfmv6DYKwNzMm+s/L8e2cnXgJv1EPcVLRBum
81KHslSS11+T8DBtC7YEVzRKQNff2KR1aQ5UDun2OsVSlXJuCQwyTo/YJ+n/w7TYLMTpV+suSLbX
Y4lRYKsQOTHqifGAgUue2A8zVFea1mk57XEh751H8lXgVoiGrJfm9WhTa3mtknbpRTQkbw4yUOHU
RFbopspes+reeSQ5BhSCc9pqxnQ9lKtrvZvrC42IMoqfKEDNJ8WYfr98J9/S61Z1XAri8OvWjdp+
YJXXWpNNuQXR1KQ+ZIZo3yNMhcl7OxkHmfVNSG6AyWmm2IconSyUQOdXY234Dav+ApJbvHPGtjif
pM6QqRHF+UktmnNuNNrJmNBvb+Ju3jkt9xaVhGC9zYgYuCquFxVqgKdmJeKtIk/6B1dm80kKN91h
sN5dVdToVpQjamEczuthSEfo4sJauKi1pv8fZ+exGzfSruErIsActiQ7yrJsy7I93hD2jM2ci/Hq
z0NtjpsimvC/msEAo+oqVvjCG/yoVK1jOeeza8Fo9zq5y/wBAUivROvGbaYu/1gH+l+TlZZV1SjT
LRLgOrLxt78hnqY+C+UqhraLqUhM9wlMZzm44GqynVXdOhVErzTn0PgH+LV6hSIsoquubXA7H0Mc
wrrJQmpsbL5P7W57bnOoJd8HpLu0llazqi0t0g2o7Ff488lBRXzN18YYqnWs7SFj37I90efg0VkM
16ieaOuAuUD+QXMyJb/iZjb7RTpG7pjLhVdrxeBbxahRODVk16It8T6IOwig9BVP5owKy/1TumyX
1ftLZxDgI5cp19zad8I2wlASGkI6kWZHbhtM5VVtEunEI2w/50Y4+ffH21hkxqMUAIyEvG9dc5Sl
LglVmfG6as4xeLNV8U6jyvoBvFiws3eWD7aeG5AbwDALcp225O027fVqgDSxkC8BAiS+QSjoI4Xg
FCgkpDn/QU+TE3K71vP9OW7ENGCe4R1hpEAivS4dyUapVUjZwiuuRHKIgijwE03OnrQevYBCSVoa
G538VGT58PcxzdIs5xLA+huk0eoNGfNcgh9hoMMghtE3wijyMWbMDmO+a068dRFRgwCqv+g2AsVY
rW5rTsiJZfia0x3Ua9eKzfFQqcp4TArTRD5AUyHpmKV1VSVAX3451p35UDta9/X+am/cuxSUsSom
NVyKy6tjW6azNlUmhbooV51HtCn0R1El8eF/GGVxGlIBuHAfLfv6j+AKE8/eGmntXMVYmb6jzJlv
ybBs74+ycToIgv9/lNXlXoRZzXNFF12lwvNZkbvhqIbTIvqyK9a6cfCpQizzWZiTPCi3E1K1qW9k
KppXPc2LAzJZFlWeKPAWbr4bM/JOyrlxKG7GW30mkLVR1S714nQY8h9wd8MXFdrQqSIQuehJESeu
UIyCdp/ZFS/3l3XruoW5C+GDJgbQ67VgUVkn7dRKCEwBAA0jesFhdklEan+lNYQj4NAhbeW2YIt8
eQpCfomTae+MsJwfIcbkeziQra9MSwJ3C8pPYI1XeynRZ3IF7PmuvM8I+Fs0xx5Rom4qV9eG7vP9
uW99ZyBCZIp0CLBgWz2g9DtGzaE7jY5P9b2gjHaMEqSbYT/GfqaMfw1JQrcBxRLuXIq9TG51A5Fi
1wBUJ0SVY6e6RrreeomlS34UmsYOJGlrRwHcg5ut0PfmXK92cFQHQ6ThqKs1NMlBjAbRx0EqEVKP
OlALgxUC+2hiMxh9IE3pzp7aWFdiSgo11C9hLK1R3LSVp9FAWvAqx7MJ2qL+JU/I3hhq1X1MrCTb
OT4bewbJWMJYnrLXO+h2ssqg2VMGAvnaN734gEqT/rsOh/qfqpe6PSTf5lj0BLlQEd1CcON2LNuY
0whrHlRSLGN8VwSmcQHOZFw6Awnp+7tzayjdYqtAoqGevq7pFcHS2VK48CLRR+9naZiPZpj3nxOp
Vk/3h9p4JwhE2SscOOp6a3mbtBhMuQxQmshGI/kwgg0+07f/H74TsaO1YJOQY3pDCFQC6sq1LS8g
3Dr6Z2pF7QlwF49912o7E3rrLAjiCMEyxCUAAXLWVkdbQk4uCZBeuA72bEnglyurOeCLrjvHEaRE
7GlNnnQenDPgMhi7mj+DQkfsN2k0+buYMWcmfygngKGGkn5u85H/JRKDiWOK1Ldo+mYh/y6MyYDW
ORCsWnluJweNp9/xZatNLM+JHCn2sSBiw4dlrv3C03pIjrIRtMh/ChsAxv2vuNHOh5MKIxGpNnYm
B2K1OSdDa+IB3W+9rNJvtMkywx3ieQbQj0rvAXYP1KGkSeHxCUca3Jhg9EvQtuX7Gq8E1W3ZBarX
9lm0FyJs7OUFikZS/YrPWn8O8EId4H24Fqi91gdIZ9PBQRfzKWqHD/cXYePmA4NEDXARi6Hivrpk
JTsN2gYtd7RiVASYyfBP9mimJzwlSvwk89zTunB05Rbbuvsjb9x6NEO5FxRSeoW39Hb1O0s0Qa6W
rH6f5IeE9XDrNB1OiQiFmxfynnTuxqGlqsRx1XksQdetK2dRMGEyBQ68M/XwUJbB/A3cv/N8f1Zb
Xw6cKa8Ipjpc6atZYeEYzSDk4mswQyFMenX4JA3I7qEPvJcbbA1FokX6A8+Nfv0qDJKoM5JyyRQk
GrP06zhsjtBYMjdFYGDnW23tkiX7UKlHcxOts3RMMYdJVgPcZPREGk6m0IBodV37tdZlcUjrCSpM
Pib5R+iwVbhzTjfnyU4BCU6ACSD8dqPUg2LNYWIzeAT+DGHN8Z88GN93gVV/+vuPB/KansmCgUBT
/XYkegsggw0D/QMpTBBTDHUPZVTdm5Ry74Rv7X4e/dfRqH2sNaPF8IoImGLEiqbcM+H0/siCTPYM
J5zeWTVVmPtTe31pVxnsYl0H0h3e94JPvp0bBmgmEEIki6whMr5pU6F+rQFnfpQBT341qjz6PGY1
jkKx1UQ9qvGB+rsE/fqMA10he3JnSZNHPIa5ptXXxWV06Me4dovN34BzqTh2idX/6I3WrgA91SN0
rNGoc79RS+NBnwv9r2UUeLGoBC48GKpH+DHezgcafa8jSZRci87uQQJI+X+VWsU/Sytpek+fdZsi
UqOO/kx08qINdjvvPJpbFwrmlwAF0Ctcunu3v6A17NFqagsFgtkov2omze0yDcedfujyV9bfDWjF
AkV49f1YzRMek+iNhYojNVMBHi5uT2OcvzjOWJ/BpDae48Tq+f5m2Tpx0NnhSMLVpyi3usRmS9Hb
QKeB2FvST1hRymOVJtFZzUS3U1fZOgZcXihDLD37N2s4h9QxCAihM82y9N2WdOWH1mZpiCrcXL4b
2mJPqW3rJqNJz/di88A8Wk0tcnAsMY3FXTxqqieOxOQ5MQZZlWTrrlwN4ovWStMhy9i79xf17Ydc
FDCW5ImqIJfZsuh/pP2tBmOnLLmuhTNkB9yiB7C59niw8YT1xg4bzjo3or/ePQyKgi9VTzIpZy0F
R1sPA7Se592pzRp9t1T3sjlUcWbKjCdDbkPfkUMsh+5P9a12D7ELhpU046ALUZ1cHY2wRiePtJCM
xkisL2Ali9A1EFUPfEPpi19SmckjVhBp8nkm0PhhAXDHu5Cuf+wJNSfSo8OXZzvvyNvzyo+CTwAB
hMSSp+z2AyjlWEpZRzwt5504az0iuWYDM/H+3N/uaKoaqJeiVLAINq6JNPisA7gqCWucIDeuhjZX
34ouDz8MqUYHvtOdfM++5u2WZkRgXwxGWgfF5XZenZLHdidxE6ZRLD3kGcVeR87GAzmlfMplbTp2
Yak/6Mj/7IQFb++JZeSFFkYEzWla3U0QCOBAdnTlwQcC7u7BSDU1r4WkoMl0f1m3JqlScYNbQy0S
NZnbSdZam+RwKomrwii/RMD5Y68IHEn37UwqcIqbAvtLHbTVQzKj4rqzdbY+KjUIvin7ZnF6uh09
TEIz0SusBGttar0pi9OPVmhF7lwOyUlX0+h0f7avKh63tz6Ue6QueLAtJHPWduDgiqe4LhcP515L
HmNVDCWU4KoQwOYbFOGhS+QNHxecvDeXdoWRHN3FH1bqtPZBUho1+0FnbvqWjZHzYEe1qL7Omg2X
Nhri4X2vzcL+2seDJA7VQBHtbKZx8C20gNh5CP7BdyPfM6RzY6ZjcMKgOE6Xgr7i+JGOR95xrJ1W
O+Q9rCAkXoOidSlddJo7i75+HMw+EbhTBSbyYKoSPORpD4K8tGfzKy1kO3TlqC4WFkSpPwZVF8ke
TKK+QlJAlJ8yK0Y1cxglrTw4ZZ3Hh2YG9u5aWUMNLeQdwu1Cz/oF06whSNZTHZOYfVzCpQA3h8lX
N2mjZ0xm/9OAp6T6gzFatCWbPuPEx/ZkeUU74zerGqKBYNdKNEpmHMIB2499arrVbPSqn7WBaR/V
Lo4UN6vkfLz2wO2rq5Rgm37sEMqvz8RN2kteVHL3mIPir/x67OUPMm352O0Cs4/8WQyK9un+7tg6
dovHCc0eov437d0OzQdeCnrkUxJqPmUerAsJx071IMTOo7U5FIkurEYQFehG3W58QWuijs2MHrkz
58de4ppGhyV4aEv58/1JbR0xSsiLbSCda/pHtyMZkNrnPO5pRiIxobldYyafCPrNkxht8dOo5T1M
2/IH10cMU4LFV3mpeqyDfWHN/VDWNezj3CoMVwrCGttHiTO1c3VtzYzHF2olLr0c5dXMZLMzaStg
vz3LSeMN9FD9TqmFi2xqTzA9jTuX1dY3AwW5LCLlf3yHbldyDHR0vG0cdjR5rk5YLdV+mfbtp46G
5OH+R9scik4JORNSYnRvbocKeXF6uYiSqyl3/UOI4vxVqbT2ME2m7v8PQy11MBRdWMc1LquYIC1k
ycgqFoV+kNpUd+swag6RDv/x74daiNWkZUucsG59CdMctahCaXnKR/T6pGFMzsiLBQH5Dtr59wfb
eNgWHuzSUSBgoi19u4SxroBGlBebPc1OPW127M6FyNC5koCtAdlI8wQy0+/Jq/cQDcufXp0AAKt0
vKAVLDK2qze1ykq0QWUCh3zU45+0VepDqiu17TbGiAk31f6A/oUJ+hhmn2O+hFLn7OXBb2X6Fg0i
Dj4yw7ywbzjzltxwL/O+XAFeW9RJilp6LzkD2rJVVGfvEGmx808hK9ggPg/i0ZsoOfJ4oGbxpAoj
fao1O1QPrejK77kkop3OwMYOB3hIAE0tDgDb+loalVztzbhk29nouOB+huFP1KQHUwR77M+N1hJi
CMQ4NHyXgrm8CuScegABaRFlRGqiumJyxnPdzbabVJHlp0adnk2rrI56OIeHdJ4TyrRdwA/DT/D+
nty4GumF0NtCthkE2LrrrPSGHOc2SVKSZd3ZCoz4o5PrwfH+KBttX54w01kqLYsH03ptGxp3LQh+
vD9s0R87Cf1M24HuhSWH8dD2dnHRhr53KVA2x1TMX3SK0juB1tbnJc5aRIdBwhBe3p4+tO7K0kJI
4TpOY+gvLl9ubaSzhx33XgVm4xkA18Ymer3EYGjdDjVWuJ6pFYuaVjXIRIAL3sQXf58Qbfxnhlb/
+f7ybo3Hvn1NCogUjNXpzpVyFlIdU56Q4jBCwMCC1RuQ7f3XF3L7Ke/tamfbbH5QEmtjcUGkdrBG
1OVtHMQ5+PqrHtRa78plaxvQGNXmPyLF6gnqRPJSxp1xthppfJnnULtkk7WnNLos5Opa494GNoEb
Je/tWsBtVE3mOld8U6OVIE1GWf9Av6v7YHZxdyIFbr6Q5497D9TGsBR+NYNwfUEPr/tPoRDUxKhh
XpRixK6wnO0IB10UT48NBYnCg6KMsFBb2Qg73v/SGyOD/6HYTKpAcXYdpFVW2Jq9SJ2LbgjrqFZF
cXEGazxJOtzLBAEgrGeKv5bR4tkAGLKIjwD4wUDxdjtrSJ1YUcGgMQ4PR8Ar2cHsqSzcn9rG+URX
esFiINzyFqIGS8qmc4jicwLi1JfqJPQbXTu2cGN3Nu/GncdNZOEEi52OTi/2dj7hPEcgDEs8y0FI
uKPWqB9EmKg7o2zMB3gyVzv7kyKBuRzaP4pACL0GViCL8BqQqh1LGOAvQ2oZbmTNezp/G88JsEyy
A7p6VPHgINyORTydAQ4DD20WeJAWTjBPnm6Y6leT/5q7dGWlp0RxanLAag6ecz1B2NSOrOBd2JFl
7sQ5G5cDP4c4A0Q53gT0YW5/jl33Ud9x5V9hvQd4PJWx1zSgCFwabgFyC61ybKNq8tRYnfw8HlVX
DXTz19/uJ34EFwOFTcJxsBG3P2KqS6PCh1a6dHI1+yG/B9km2/Rq5LV2tu7mhBFbpoeH+RGZ/GpH
VWWuR31oSJcUjCdXQVgnmhuXGmatGUCGM0RtVZzKSJYS1wp6IzoCkmuudWOjuXR/2pt7AYgnFxPP
LIpxq9CC4ZxUGEZIr6iNgDmXlfmcIL32Pg+r/t9E0uIzXRb905Q106UrkaI+4Nmpa24xRyhm3f81
b+NOgIp//Bj19iNUiswLOEOxUAu5+BTxnMAwVSbrXZ1Ug5dNio3IEFxpxw4/VKh07ZzBzQ9D+gxc
cpE05NK8Hb9uK63rEaO7JqSAPnW8FK13kMQ/MVbIW2Luynk/9WVwRF5v0ZyTnCtrIRWH+8vw9sbB
2BF8KLVvkifgzbc/I9HZjKHZhdfUsMQ5N8xJ8uYsbrudcd4GAowDZmlB8tFFsJc76Y87pxSWE0mD
AvtCH6FlWwlIRaPsjrNhRi4SZdLH+/Na/t7t+8t4wBao8dI6AFx/O14EWXvWnZE7Lq8kvx2r8dTM
fedOqebs8BS2hqL1SfvsFVu/fuoLuw8Le+BOSQwpdkP6V35oz2jmFcgd7Fxgm2OxjnwwsIoIid1O
y0qMIi+KNLyKJGpdI4PTZbTyCMzL2OssbQ5FT5zi39KaX4cSRUpOOkYmErSZHH1EnkN/yc2hf491
m/Pt/sfa2oTGIofKjEjD1mqYbSBhtW4m4bXW++GgV4F0tNIsP94f5W2EQoK2PEYgWZHZ0ZYJ/7kF
E20g8EFzM3ZUBujG56LJyu8AvExvpr3lGsM0RTsf7LUqu96ICIqAn4LbZANxuB1Vy0OjDIYpuDhx
N8ZHK6ZZ/ThFE6YKwlC6r3GTZoqXWzPd3b6qxY8Yek1yQrOpSL2odErD41WaYjB8TvI5n8Y2OYa9
SaOoFpP839jwartVMJYtGi9NnGIEIzL91BBHzH4/T1Qq28gMf8d6AiCPBxBbmkiLx8Qrm8zqfdFK
SCTMlhFHHh4l9u8CKSLV5/4eP2BTNgYuZa9sfKqDkjMko4spvMFRC9VTksayzqEt17rXR5FZeAmi
YUdotXmNhl5nNn4vxtE5UMhIe0wawBI9yupsvyRKOubvsPQVCFajjHmY9ATLxRbTrHNmFTkgDKuK
kvOcmtp3M8MlwA2KLgwO6djn88nKBqk9KKJEubOSq8x+R2A/ncMQzU53kfB4r0kl0ORpkLovjZ3l
wSXSmuY/Wc6d6CDJVfqo1qJGLGfI0T+BgS+6gwDKjXwP4HQUgRF9Kt2WztQzbSMoplEYq43bqti+
uUWhTGgAtQ3FwFjSyx8U/eNk53XaOHxIIhEdgIhBqd5YCjZ/7NUgZj+qyJhcEn3IHthXOPtmIbiK
mery7h7lj622KKaA6GkTdC5AmFWMEDRNqYVFQ3/ODOMDjYTRRTd89vMZXAXSNn6RZ4gWWtHewBsn
UuVkLJUXQIf883aWnVp2WmPZ0VWX0/RLgifD10EZEvTYVVtcxjwlABBVaO6cyY2nn0yFW5TrYCEd
rhbX1qKgq1Od0nVUtk+Az50z6vNPg44XQ+Lo/9qTIZ2asafwXnb1zmuxAfiClcC0X6EDpBXLZfjH
p3Uw2NNz0cVXOJyFg0xSX50waqLY1gmIgm2j9+UVGUq1deEc598B83QfOs0hdUS2NcWlvtFOcdQN
5/vX48aWA1rDhqPy8yoScfu7rDzM57iRgSaVuFbyXpMtJt3oj3TDdnb31nenPuYsCTJaDevYJ0ZF
S52TJkJsIDbhfc6dlzn5L1kLSzfpHOcA4G2v8701PRq2S9sOzyNUK2+nFyVTng02bEJ0cdQjF4hy
CdCWepdIyp7w99ZQwIWRxV5ycTLT26FSAcaLqI5trdBnNej1+H2j9NhjF9Pp/kdbTsjq6EI15ezC
PiHrXuczweDYgD90Xs5kCjS3zJzw3dCVvQAzmIhTDH9L3jk9G0Mu8RTJ9CL5xza+nV2IfQsOcnaI
7VgVHfAaMD7TbwqPToS2VWqM0s6B2dgsC9dlSWAWWPK6QJeBzLbM0SGDjOvOa3rVfJKmYvCGsc08
pJCFN1bVXxsrLsKJGICztos311oOY46GpmxraFpTNQQIDFLjxHfMjoI9waSt1VycKHRUDSlfr3us
StiWJhpf0kXDK9qlYRJ5WlLa/qLMdSrjTDrc3zAboRZE04VOs4DZwZ3efr0gDfLEEqN0adKm+m7Z
RefZqbH3zTZOwFJQB4BBO4E0d7VHpLifEyu1pUvWFuppmLrCK+fC9tqyMf7+BCyTAfxEWAe4ZPWG
JOB7TXqlJNORE7tRZCinSSuEb0SZegAZ9df2cOyMP8dbLeA0Tk6XOUxNV8PycZDgmeSa8y1JavuA
z+ffS15CDyZs5J1iGVH8uv1eQovayQpG5zLp8+AiA1Ne0SrVva6XxA4Kd+ujAd+A4bpgKaie3g41
VTAqlEZ3Lu2ULktXVme9GplVB/v6/i58pRet7i2KQbz61KEp1q7TzrYxqzC1IkzUCrU4mwh/d/Tz
k+EyFlZSerj6aU9D2jjpAQfn5L9G75rBHRYTZhfOJEKQujbZ81kUGtraGcmz+SzHziw+W+2oi4OO
tYvsqXSWaj8vZ9n4gKmZerKL1Pia6KIcPAOMzEOUFeazVc7GV7QlCaNNc86096KWrODIi1v+V2Va
jkxhb4vHgFwo/GkTA04uFAzct+IRDJU3qkqEaiRwctkdpMB23EoHre6ivC/snyi9C/kA6zP8HuMf
MrmZMcj6xW4KefCCWO6/pWoydCdYqcYXqnK8FyQLCNdrEVIxuqSEqdtb7UTbf7KS3/kQqDSl7n+M
5buuvgWtNzKiJX/lMV8FJLNpJmZcoeIcqan5kA1p4E8KuueIkpvkASTNEiCNXxmU2J2zu7Hj6LvA
LqDTzru8tsdpFWIZGZdcLCqM8jiAzPOzqKXeMxnjp/uT3Kq3QLKHOs1wC61Zu93dopKEWZSadJEw
1ztP5LYwxaR0ItRlB0rZJLmkf4PXRKb+pBfaD1Ts6r8uSuCvQn8R6wKQhtTBbn9DjnVgZxSg73JR
OZ4JYtULGmv+rIl03nk1397zoKSXV5o7EVDWmt+X53phhSat8AFBjDOBpnTO0rr7fX9Vt0YBzMZT
QvGI+H11zxsz8JmqIJLGBVF5V06DfkEXVN3DXb3GxLdbdFHHBboAZHgBLi4b6Y+YuaDDAvyI1D2E
7/qjp1aWuyX1pPQUaN3ww0QVuPIkIA6h6zR9+wyOgp4dsBHxwySVFO9EiCbAqLe9DuyGDNsfZ0f9
WQGjwY/XhgXgom41j8colAU1HKmsU7futfYzVnrxV7vJh8jVaBCeJ3VMMj8JA2VJd8vxO6CoWiM1
bOCkVPRUHV8zZySzW0lBbSrPR6QXldCoDBgrsvZDUHOn0JeVRuP23Ba/x6GMbFcgm25Sep6S2lP7
0Q6oO5bxcx3Nzm4N/G3IsUjKqMvuMAHWrt3qxVgj0QhwDAii3X1UaPr9SPtxNj0khbPeA5rd4j5n
oY1Jli5eME6YT1MM6zaeFfMH3Nj432RonJ9SY84P8SwXGOrI5sv9nbXRkifsAsGIqtSCU5VXTVEQ
lJlqF0N0RQG8vZYUviZcKaL8dy/Z4Zl0CYlpFcrju6kIe/L5fP6cz+lwqBLJ8o3eko+91ZlPfWTO
l/s/7e2tRc8JYTZoV0urTVv9sqib4xHfG5To7bY/YanYnI0A+57CVDL/74eCVA6ZDMGaJdC93fe2
ZNPMy9B0EVIn+3LWYSdR1MEh09I9CaWNWXH1O4sQGzEvlODboSR6TWkbIUSS23HvqeNcHFQgyh9H
rdzDBr3NvxeKIWL3BBoKl//qNHdOZmiBQyo2F8l3pdOi0ywZwrNzrfFVu5U/OCD/fRziZTcuxB5j
f1mz1V2CqiTpxKsvEq5ptxNVwDDYXUZluNFS2c8bR/hQdGsvdBycd+FAACms97RstqYMaYU7Enon
F/JqdcPBylMJxeXrKCf2oaEBcxFmq0qe3g3BpyIIJgAvQR6coqokx6+7RlJ3nvnX12U9cSo8dDHJ
uuEGrdJStGWGyQnUACFhkXIdOVl+oQ8UOL8n7BqUfx2KPp3b0/m4CO6P+IwLEq/iTANbOjSFrgIf
Tuwv6lwYv/WhHHIf1LiKdLKc64f7+37jijKQjaHuvAjjWK+P+R/3fR5ptVCShMBAArbhG5ITfRpD
SjpeOZUNdjpTYX25P+TWF1oi36UoRDi0PmpOrYNMs5rgkmNcU3uVDUYOqeGYuLNCrd10RRyrFtSY
eWzOlRlG8osSt7q985U2XlQOPLExPRmYset0pohlsrG0YeaaM3nILGUf9EJUf814wPHAoPdI5Q0p
oHUxJMwIMpE7Dy5aihOn30iVeWrzfnIOIH+cZ5u2+sv95d24XoC3UDOA9YOc07rn2SoB+O82DC4w
tj7URNUHoVFyH7M036ljOW/jWao8S6seHSyAZWuUtpHWQPgnQYY25sozVebYgLONG4IXV+P4k68/
o8UOugkAV1Xk0yVNlPjnQB2l8KWian4ge67VLvQy51dgItfo6pKpPBopSvGYgoyD2yp1onizIo9o
7eaS3B6bXiqM66RWVLCslmr2L6WVS8tTw2Hk3Qqq0DlXxth8wv4Ff1F1GoPqJFK1ejHilgIn2Jko
x0GF1PXQ93VP8z/oxE/6LWgLqaOkf+4VIDQIvznFB4lW6cWhtkTGIiTd+bQAMx4wFFMUX+91s3zk
+h7FR+quIJztLslnP1AygNe9Xs8fdWJuybMLJ4USmxdSc47TAmlwu6iVyJfURsdYDafDU4Q49/gp
LwMFuflyQiKisZ3R8GStsoQXd6rcYU9ddU+1LJqcSqZF9zTK5JcOUupzhw5S40qR1D/GWV2F7pxz
JXvzCHyyzB37WdPIqABN99Z7DXTZF1tpSxvIChqPflxatX6M6OIANp+TEU2ZeR5rN296ul0YToYN
JI1R6t05xCDJrYsgsn07MhF9mfMg63w8aJLOh5IgZ2iUzI4BF6zMYICooYQQTVoV/0BXwCYJFedk
5y7ZSDYWDRpMoy0qLBBuVll7m2SGEGqIve4kRkpVpJSfEsIFkLdDGEtubigsSy+6NEOosKorpOvt
3D5MMtXunU7z2/cOFpVB5waK2VLLWr13fSMMm06kcZGpMh+EpMbfMowtjnLeo248GuMR+fm9wGWD
fLNYkdL4Iqs0eGtWkUskSK0MozEvE7pdaBzptY5KlV5OBh1SlDpcU2vCX6GdFeMBcvSUPg/oXv02
9L74qkbNlD3YCWr9Ox/m7S10+6tWa8HPZMtIODEraR76BcaFh9Ks1cMo73rvbSw77AmCbEWDHQtG
/jbMsMyc4z6o+kXh8fIA/MvXziijHJ/L2TnOHN9HoSES9rfXLJntElotZTcobatlhxsn4i7vtUvP
ZX4KTLn2ET+AtjHsyc1uLOVSL6AP+BpOrC01Y2Hi9JLgZtMBWfdrYSSfhBzJD3VnRN/uT+pNNLCI
4716GC6wNntNkafbF1e9GjqXSpU+zSzrVRnaz04bIwU4a+HeU7U13FJpg6nKDN/QDZRCL01l8Ykm
yzMPcyR0b8ZG0XOSQPP0fN4z6nyzkkwPnDz8SkJhoGyrb4YlRGQE8gxmL7Dyl6AXARbgEmaoVTFL
ewIVb8KcZTAyadBl4Hwpmd5uS70DDJQRElyMNI6DcwG8yfCyQs0PtWq2nTdP9Ri6PTYMIXd3lD21
3VzsaL5tLfDCVQXCQARCPn/7G2aVhgUGqNbFprH9GE66lZ36VlFrMo6seKi42D/f30Fvm25MGwog
7U0UoOGQLz/pj4BS503JwRs5lyi1zfZcK202+xpdNpy9wqBWfK1LmtrrnK7QfDpFjulNdi8aFC7T
8KWKowG0RdWmLcT2TOxV4N4Effw6oL9ASFD34susdoBkz7yFEk6xNWjGzyqa+r+sXvtr+dplFOI+
Cq4gQBG1uV0DR4W/hsY2hrBFPX6vcvzerWCi+R8iZfRyf8G3ZkTYjkAPj99SHLodq9Qc2iZ4eF6Q
QRkPRMvdQ1zFqn9/lK2Tw/nkslsQ6yTIt6MQauY5mRObORlSL8Xr5ES1t3IDhwrv/aG2zg2QWirM
APYW/NrtUObQ4saIe+ClVQo5dC2j175VBBEfuy4PvmbAFSLsbMKGODoYwROaNHGmndxg69zwhi/0
P/jzUFpvf4OCYREmSJN9mUArLn6h1LZghbV9Qlm5kOQLbqV7817mdZM0Wui7IoYGKwSJB1pHt2NO
eImQJ6jmhWTH9osir88aUtWX+6v7mnCsh1lCJrYEteA3MFG9UWwpkRe7OdpkVQIerpnaE1D45DmH
yS8OCRQB21fauhVYA5kIcOKplDUfdMsGWzPHRll7qJ9LxvcG45sPXYAIukt1NAw9WZnF9N5BLyd6
H1hR+U2UhpAe5g7FLG9yrPC/XtdzAn6pmI+I5TqtJxvYP+mBhIlSh/UXZkatomWXaiiDL4IOxX92
l6bP2GRrto/kz2SfVR0fGG9o6v67bE2AT7B+sTEnTOISme3O+uu+EA6nS0eUWoIKlNJYHeZudCAy
F4VzyXIFdXkli/weF/hrldR71/WyrVbfZolfwFhzaXPOVkFTkU1RY0p4dU+E/x5YEcdt9SjxFQks
jqHmZHGojB3u74i39T8mCFzVov8KYcFY1+spK6eVgbjhBQUf6UiLrCBDoTX3XII2vsYElKFX0Gd8
HPvaeJrbNH+UqLE8CTNNLmbvTLMreAe+O0jqRuf7P27jUBj8JC5rHi+Dq/T2UPBqGXNSUStQJbP8
N5CM+eMUjvXx/iib6448B4BZlRbZWsoy0VpLxLXtXKQSSbkEkZ4SenqkN+8smA3dJZHa8t86SVEF
/x8G5sRjhILWLVfN7fSC0gmQw+mDS+8Ix59HJ/AmMykOQ1LKVzFm4DPUIvx6f9DXqt96m+EfTuED
mNmCT78dtRLOZAdFFlz0hcTqCgOokx+JBI+iwpJb2NVpJX4l8xCx2Kn1T21E+gMgh0FB7HfWxrOg
ofg9CHSe50KPww8jBOFqZ2k2ngGD+hlRL6Q16qWrs4Cr8JTiKeQQ9Rrdhd8ce1KS5ees6SqEuJTs
XePk3aHtBvVYZYa609XZGp4kjjePQi3v0Cp6mxQzyZQ6JjS17eYLiaf2ZGilzLawEDlU2sKvlax1
ybcHb7TkPTT5xntLbgGxZoHuQEFfD9+kOF/3RKpF3NTfRzWxgCwkE8WAQQsH//6G2DhkVIuA6VOV
XgRjVkttheMoNSFRvwq2ln6tMH6bo9z9c3+UjTeVYB74M1ka4IF1S66IlEyWpNK+hOlsntG7Ul6i
SYijHOiS7In6r1ltHGg0sWFgLXEot/ftLk810VRDEzmXIS2CU4v8d3Kw8q7JT/fntfGpgK8gBQ+Y
ayE7rFYPV0QLr8Daxm6wmY5oqQcfVUyBD7UMnOX+UFtX9c1Yq5M7q2iYBQmxEdBPOXcnJw8/dVkH
jJCGa/hUUOL/jnmHVD47wdT/bFUdpVzK1OKHmsU6dlmOTtXdKuLqmlhV3O+c2bfVGNZ8yTOWCBsQ
xdqVBQ1iqykr2b6MetCdhghIVAwZ2bVKpzrnnGYP4ofmcnWg/BGN1My6Ikt3tvPmB7H4ATRXQDiv
Mc68y//H3Hlsx62kef5V+tw9quFNn65aAGkIOlGWkjY4lIO3EQH3TvMU82Lzg25Vl5jKYU7Vao42
lzfJDJgwn/mbtdQ6QYyPev+d7WqQ0oY2uUZX95KXz7mhKOyCqESXCC779vkvyU6j1mFxauZYa8v0
h5Cj2mNkLj94bvvu5Vd/Zo1CFEVfZCPMo9Wzff7LSIZDYS8HVhcLR9j7OknbN6vIvAsqwGfWKAuU
14fuJ6npac66+vT+nIG4FxWo9YPOmXA1YffxkPOo06gMlPvl5ds6s80S57DJb4qmG07z+W3JopZe
qjd+3AoQzOHmGfhZ0JpePmZGHXih3QbZ0zpU6s1cwUaORuRVL83ac9cAfApSO55dbBYn14CqMk6k
zeTFaIJOn63OrubQH62mCBPC/yyEz9estCmG4Qa0wnq9+FhuXVjZ2yZxciRzysGf4P1Slzj1QVjW
hJaW0p04yKjDpsq3QsOZyn1hZLCjukq+XtSqRY5I2gsH3e9cIdpkNAgpW5LuEBKc7CkeNn7elPZu
7Hudt+7tWdiHHv9LPzRH0xpvUb7sqC4D+jlOk9M8ZtJL3hWBt94vokwuLd7tYZ8+CBCWpM6kJujp
neymCelVVlWJE5v1ILCg49WEExSMnZu7wcHohm7v18P69PI0PLO6IDVuuC8UNjgKT6YAqSDI+b52
41q5n/uVwB5WRHahGHNmswA3ygHhsoI3habnc52UstJrwa3JHDOzWp97NL0XtXxZjcTt9y/f0dnB
6LChgQQOhwD/+WBJkW7+3gu16KJu4wb9luvN/HMXiMm+enmocw+PHfBnlx5s0+kEGvTaTSp3dmIq
OEAb6k4eFt0pL6yQs/MUTPHmGUhk9FuzadZra0qWwolXe+7Lva83NZFqXRVvqCoVMupXo7hVeVuU
Eb2C7B6BZMRdmnnC7bbRa2SaX77tc0+YAJrdi5IIzLCTdRN4rRDVUjJTzTa7GSkqteEEA7Dc6aNv
q93Lo517yBs5CIahR+x0SlOgPGnPqy/cWCO3jyRNrc3jtbqQCJ29Jyq/ZEEgpyDqP581Nv5AY9My
Cu1baIOWM0Wl3S8HoCvq33l8iDCDbgahBV3t+VDoB3ZO1zAUJIEyrHAjioNiDnZJOhgXhjr37FBY
gPe0IantU8J0lg/a2pmuG+ueVl+PjAfmcr5kpnkm+NmE7YD8Evew4k71NQLKJD6UcJZcXgffJDbJ
SZSsUk7h6i7oHxuAVr8RHbkIHdVrhRFz25Q7y54oaL08WX4/xrmSbSsDqA7/9dS9XaT00f3ccGIP
BNLdWJaoLU3STUcMgL361lykeSmHODckG7aNug6IE+qrz1+nC3Y2TwkOYxPO3BVkpk37Bh7WIcWK
8nq21KVK7u9TFf4MaHxe6laaOSXNUTcfa8vPvRhWwbgr6iFFOzh19s0AtvHlx3l2KJ4YuEls/zgi
n9+bNesWWE3HjSuML2Fx63iHohN66EWhX2gh/h6LcFfogBFHU2zFj+H5UMRedLwx9oytbvD2ejKP
h0WOT0Y+2/uy8CiHZn6CflaPecJSXIT/nZvDGzkQM7TND5bF8nx8vbC0DBySF894CoGMSIe3eF0Z
N/qY4AHYG9NxtYZWhSWeSXloNdl0j0BP9+7feOAEQuAlNgj96VWM8OcKx069WBdGfTBhXESgkKsr
wwQ48PJQZ1IqKA+bJQ1l3m1CnWzjSLr5HuxzNwb+jWopKmDm16rIFtIVX3tXAaU4ak4dvB2G2Y3n
ucHKXEEYvV0rfboZfKs/qnws3niqnH+8fGn0injaz4OhDa67qRSgvgCU6WTi1ZqpryO+Myg9ZNpT
h85Egmhljrqiuw5WBaFe6WUkm3EcIyxZ9TUshRC3fWLp1MUblN72SwoIG/lWrLViBfb6yRQIrIQF
cWYR2qk+9rtBn9SyS0arRYi514OnxRpW2PobYXlXeWWKHZBtykc7HbX5cWp6s4w6u3E+jnppc0Bo
eYln3tq5yIQlqGkDUloL/Otq4FXrILs+hAqZ5DswG7m2L81AJtd8S7LedDa7RZgnqTHsso7+bonk
0uS/Sqj4LW9E7/n5Xhvrzj/OfZU9DJ2+2J8Hw5otFMZNBOsMWRjp5lTvQNXLJPabu6oLUDvQQbEm
x1ZqGCrB4x2ug0C0m5rZJmN+X9SGmq8oJJkwr/JmJtTta82NdF0mamfnFpomfqFrxpGjfC53o5Y6
7iEPZqPZtdXYKBh0bt9e9bOXyUNqmkV3P7oGDCugLX3x3kN1QAt9JHzyG1Ds/eYXbnewQTFZQzPd
Agv03s5N/dU6A7iICldaKupUscJ/sdD0C11BlY11t+gPc+2P1R1ddOft6gQg9rMADPMe22SMY40g
bTFLQ4EvDel4OfZVN7br0zyvxocEyqW9H+quS281wxNNSI5R4ldXtzWEt7zOhyN9lP5BBXa7hlDF
6iCs8O7bfhFBjL2JBjAgVQKOLFwSbfXJwdJO28txyGXkQSDOw1E5hYiaLhCvNcuvsTqvNOI/TfY8
g6hsF+td07mVSsM6cCeJJaWq+vs6yfvhR7EOzaOr5y4IF8de/Jvc8NNb1FzwEimKrlTIV5gJAgll
l6OHrvkIgehVK27ryRTO1aK5JGcA9+sPQVP1Lpge02EdUCF5HCflXncd/stHsRgFUPs6Xa5l5Qxt
2OVOMh6xsDTwq3f96qPKQQYjSzHaWYiNpvVWOV3wSSVZ8XYOevMmJRnUIpU5dXXb+XQpw6FttOAK
voS6q+wFvOhUrl5xhW6hSCJREqwdZFWYU1jTA253mJOoLmSp6hBhe9O/LzPIpvSCG5jlok+bDuva
vL73Edp/7QejNYTOYCf6zk7rbGL1rJ29B2yrkxmmKYgluCrGGplgoxyUNNrxjdIbu7zVK9TNQDwv
yaNd12uNKKKff4SE5FWRWznru4AA5ce49vq6x+B8fleuc6eOGhQEiRSetX1ngX3toRxG9026yg3E
o3sSfeXGae67sepbUlDH+laN/ardLVOg3k4NMjs4sgeavq/8vC9Bdi2ed0x8lVehqJEMPbRUGr5r
ldstgJ5mewpHq7ZqNB6d5Q0yCH0TZez2Zoh9sKrjoGuGYy7qIIgkKnBwVJYg1eGEQbS+mXMaBdCi
9ZxXpiQ4nzVQVhtmmoVLdNklQahrbl8eOlFZcLtx5OLVas7BmjJFnGkk840yR1VEhIBzDbC5o6zg
tXJ6N+aDT7IZmOJdMbSeuaO047qR4bR5TA5QqXBFM/tjKlLbPDp9Ou+SYuxghwPhzCKZCj0uB2se
9/UwaCoqF6rs8WymiEMaY1I8oPrtfq5NlQ0XErAzx8QmOwKj30Auj1jo+aE9jltnKiuNuPZqOy61
Qk07qZdAf6yFoCFM9SS9EUiq3hbKM/oLIcuZ6IiT2kE3eiO2/NYfg3SpV0nK6EEVLPvZT/MHpy3q
sHOLS7oCZ4ZCjQGWNjLDBLan7RK8KupKk7kdI/w67dK5TCIvScTVIrt/Wa1jU7TAOoD+s+FsZ+/z
Z9paetpmE/JvjbCcfYI+8SFlE3n98hF/JmreVIhIazn8txLYySiyVrpqJyeuEZjg5HRU92Gexuyt
lUzDwUW+6+vLA/4ZrP4WU9Bh3HjZtBdOYwq78AmnYLTESZkG41MbUPB6PTmVoUWWZnn9wV5dpFE9
1FDNW+jDEh7Yoi1LuEm3Goc5U4PXhY3TIyqWl8Dz3dccdo3obp3SdsoH6oci3/c1Xx+Ow9xyRnhl
/wMCh99+XxpXpofegJ9zK/WmMG/7AJDYO4fDMA2VM0/+NftZChZ60dv1U1YFoolcYSNIqznBgrke
zJPiicZ2P+1Ga1HWUfOs2riSviGtKOgS144wElHJDw/TzXoMzRmV14i5mxZ3YpwGtMYR35l3I+Y0
pLh2q54qNyvKg5xcAOpZjeJtlGpOtkSNr2q5gw8JxkGgk7+8ygpzBAigBYKtbSj6a7XkU8LZ2fhz
iF8QyriISZoPft6CyBhEj1ZfWS5GHZlWLqhnQf7ywTTP45fBaUc3ys1MZTu9V/zlkCfZg2e2vbou
895IroDL6OYeT1tYaSINJvGhVFZtujuPZrv3tE6DkR4aW3jJvrOgrbH48gUPKhhCa/UI9tTH/a/I
jeZmKpylPQwVZcYvU1vPegR5zx2jZjbtdp83CnnNFnOU4bVedVqFaPi6fB56p7F38FirtxK7G+0L
HuDtfdqWlr5DM6hxpliswuhkqNxUt++qpVd61NvWfLuRsIGKjtL54inTSR4MV6TigHRu/+i4/Vju
8AkAGW/IDLw3ujGmHqIzi3w/cmb6eMSnDhjQEoj0vUSY1wkbc55v6x5ZiKPbMX/eIPVRP4GZ8PrQ
nqYyC5GcMz4uiamJV9DCZyMcjEZatwBHrHtndNcJsU27+KYcN+0+ZGlVLUda19Ot9FFuelgJxLN9
njpmERZjuQi6ou58jSvemBymtR0/IDFnBsSw2vTGSBznRtdL7UOw8A/3gWUhsc+9OlJLlnxqqRU7
oT4k5bib5LIi+BQYDcAElXvZGsFqbZ9qMGFpZNud9TDQMxlvXCQCkUpeuMfQqpW1RJ3V48SZkbS8
96ZGPknhK3MX1AVQCB00sropk6G2jgTglrrKR9V89wyPjbGRTfmlDlTZh2XgDFbYUd4+rNLNn3LQ
sp9rz9Cc0NUrFEhTbQre5yLDus2lwa3CdFTza63TKDARhOUiJMqBL616NzcONrSV4ICAMkZ2Gn2g
3ZwkgLay0TMoHOd1E8uCxu1VadVdwkXa+V0xLMk3OflGvzOMbn6v0sXNdrRt/AcX+d1m3LnDbHmv
ZyOp7cjKE+UcQOnBxhzsjuja6JShP1oCXeK4qty0vRkgfCZaNLjSW3YWAi1wCDIHHHnTbWyLwfaI
CyeRBQmKX5NDOUlZlvbGs7vauyH4lu9rCXDoyV/KqggXQaR3ZwyF4X6Yi6W8ogIGWzBvMwE/ra/m
Sd7MZWolrzwzz4e7wum8NkK7OrhxXPKPfaoFy10X6POXsVhp+SEmVIww1nr7dZeVUn9YvQCTsXFA
c46ttLK/GqApyghljGC+tnxhj0eQTeJ2prvghpXegOBuSQjJjCBXyYccxHIsk7HHIHmFAxsmljGC
qx+K5nHCuhk+p63WiWCHVuSDIvC519oEyOGYdOW4VzSoUiZdvTio5+btm65tDNh2C0+sd9b+rejL
dvpgZCqp9in7yyviqsKDzavpn93O719ZWiHt0BJCN1CRaSX6GXS5lhCfitULfSm9Bw9JWRs6s+2p
W6NDROw1Ej/y4zporA8r9Ye7wWVuHzIOBKgwQ+lHugsNOcLXo18i18Juc9c4LKRH/C7L5ZBagPVv
2tXIcZxL57x9zDQhjaONFs7bTMFKOfBu/eCeCsKiIjdzx1dd0qZzBONhmu66xQNoL8zakzsrH9YS
JSwElMMqX0Qd2r2eVUR9xLGHqjTd9NA11Og44wxV7S0TaxuqHEZ7cGo8TaM8HcG2j6XpfFX2LI2w
UWaFlQul4ZC+IJN3wSc09JaqfTODoP1iaCr/7nmD9VDVCOmjd9QU33IxTN/00nOLXTemwoMFC6dv
R/Jtv6UFX0CCMVYdDjDz75ETWdS7QLXLp8Dok7ejO4ubdm6WH8TBMzC0alHvR4r57BPNLGWIGXL/
OJlrVV1rxBLDgaCwee9ZovvUJUb+ls5xhrVeWXV7hMMNrLfy0f/slPSFMbxv8nLXoE/4w/UBHFwn
eja2saGaNtsRjuivWl8r+xgbrPx+Vf7kRlhNp0kox8DNIiLS7D0WGp1HpZNZHRW6V3exhNxS7ADS
ucutbF3nMQNanOD1pDw9xI5j/jH5ACxQ6MQN0ydNuRt0KozkPg5GBpXrpLd21XRlCGk3w3FlkQNV
CsF+5pTeSmeZfJ9XBvnhdT2LBsCUTMmmtabIv65dstp7KpW4FtrSFp/HtDW6xxns/wdgSpMG07pF
c7BxMnZaPBw1L1ZLl8V+miUt+4YVfJ7Gpftq45dHFs3eoX9axrl3DsmQGFgvZYtu72XfNfemVw+f
LASDOeUnU94pbTA/0qSQa+SAA51Da9zKHK3J9x27dsndXS9m4LOhrNbOv/ZQZbGgvotxCMuhyhGg
QiYXexK3bV5Pazo7dNLrSkWJ0JOY+pT30aWCXEb07ZJ3foNEfuQvvRgeqEuZnC9V3qEPEhRBu1s0
bf3aeKPuhK3Czm03wP6lIO25i3U9S9MvdqgCLcZ+1qpZP5og266EIT1np7XFmN1Wpre+Gca2t4/g
t5njwKfnDxRfLBkpaXoqyvyAogJUIKr4JVIeG6TZwR2XgKG7x7l1Xa6QKeX4LdNkfS/TjLsMYA3B
dsknI7LdCdXpebFqLUNyJFndb41ED+Tx5bj3XOawKattaCKIZ6dCMaM9tPVUBaD1CRb2xijN26nx
UJ+syksy22eyMYwjQPFB8ATBdKr5OY+Q2034asyn1uj3KxYE+6RbkuZKJpo4It3qY5Mnp4YNrzOy
S0ZJv6cUUEoBTm2tKZDf9klfpS4F9cG2hS0gU/vg6XlyY1YQL+xg1HeU05cLyedWEX6eT6AySF2B
gjVYKRCsz1OYyoD2jlKMFa9b0ENHWOzMMQ0ulWm3y/5tGHDlMD0owQMteT6M4TVsI31hx4BjVRFO
jhCvgqZAt1SWU/OdCmrzahGNcywzzTDCwC06d+O0mmg5WsWnl2fT768Yng+aGjr/qFHr22z7BYzh
r3hAe0QtMfZC7W2QcKJopqmuCdW910TlBcKOgQp9uy6PL4987u1u8tU8ALR4qAw/H1lWvTA9IaxY
DKb/elazwa6w1Adb+c39ZCRa+PJ4Z+90g7HjJcRB5p3cqZ0htzh1vRVv+WvYBrKFimrlhyppPydB
7X5kU6tJL4bx8PLAvy9YVG0AfgKOZCHBS3p+o1oxQpKEYxW7Vboij+Wo3WyWPnGovlwYauu7n04t
6AqAgYDtW3Q2nw9FMFIWhYM4NaiHdVfVIr2TVNJepZv1SWnR+Rxdz73QojuzbICR0i2DuEbV5HSZ
ju4iWrUWeiztvo8DlXx1Fv2SX8OZ2QJshEVJex4A8ymypRuzNsdMQI9nQ7p95Kup/gJlVN6hZh/0
e+HnzgW665nXhq66TXGGEgJIopNnmbtKYGlnrfFSUr7TnSy/np0mR+3dry8AV7apfvLa4PIAVgog
f7Gnn8Ap8D40x9ZRRowZyrpfB9f8ssmOHWGz2dcDqgYRyP4BAr/iXEbP9cKOdObZbrpVrAl6ZQR6
JwWiPCsrr6LCEo8oxO2HceT4c4uEzshaRGqy/40FgcUkUNCfJA+gOs9naV3SEKulvsajOehRt5bt
kR7vGDvOWF1AgZ3h8EDcofRFQ9cAPGltk/eX/W1w3KlxlKvHeHOxsnXNE0+bQH8fGlM2fA0qfHPC
tLAa2JRFoBURdaxZwlwdjHsl+xK2o6ePWCjPQfP65X3hzGNHnAkpCBI1VK9Op7TdS+Eqyv9opebO
mwEv5S/GOBflbvI7+2tnEOpcWKlntodNTIAmIZu+Dzvu+cPoK/h9rlfCywB0EY+6mHfLamGG6HTq
ejMejBQ02pfv8kwf1qRbwwpCiQftt9PjDianaY9wAmPibG+D/Q/UkKrBXx9hvIIo6KfBSXaCk/fQ
5TPyTIas613ZCO+SY8eZFb0hoxCMhQvjUQp9fvuaBHNv1D0H77KWh4TIOzZ14eyNXlxCUJwZiq4z
2wcjMc1PbeQaT8q83vJIu+/uk9yX96UhEY5oNHP/8vM9s/v6wLzAOnJLHhiU5zdlCClagWBGbJLA
9DstcUjcnbY2LuxRv98ROSXhmLkFYxygJ+O0QTMbzrpasZO0cm9MDeW8iQJPgPDjhSlzZiifii66
kuzzYCJOtsNN9DdPKiIDo3ESCpuTqo5lr9xlXyoEKC4sit8fIBq7NhNwO7+QNN2W6S87BEr5WP1p
vhmvI6QIsjb3bpW2c+Hx/b70ACUClUNDEoob+iXPRyls3emrPtXRy9Lzu8GhXZabtXvrLNDUR13v
osWqjKd/dW78REL+ZJ0AoHG3W//l1tAKTTw71/UYCF99I+y+jNtAeRcCq3O3BlYOng/MPR+hpeej
+DCiTBvnzRh3Wv+VCWqF8qYUD2WZ2u/6PtCTcMmYUP/GsD4aTuhIcWICKH4+rOQIyddc6bFhdfpr
LS8Q76mc/DBSfrQjo2wQMW6DYuwvjPv7fPlzULYSVMjoUz0f15yzKq+xromduWhvgf03u2U09Qtr
YLv6k5CAYADSIIQJQrLToJEGTaM5na3H7sxBAJ9mKNACXYrCPKA8bPZh7pvUwubSbVN4sE156a3+
5EqdXgGeVQTKG+eX7OD5fULUsFXqLgZhHUlmKNBShh9SNvSdKRZWXejoy6SHgNLNN5xuAXoUvWV/
RbUu+Bi4nfVVL+fpY4Jn+opKjVbfq54sO5qzTeB8ouD42c+G2r6figyCu1tPHYIRhhJvgoHye6gr
vBhiC/WFVxbZ0VOZ+c4nLUWPbI9qxooCs/DU58Ep1htLlFJDWQ/ux65bQBBceONnDmoCT8DMUGho
gJ6y8p3Cb0XJJhxb2C5QN5+RTtdSyrY0fSMYZ+rq5WV7uv8R3gLQgurMDECv6DRmKcCHGgKeQTzO
bv8mgKV5rBZ+NFpvvnBrv2kqblrtsDTZaiEGgUA72f1Q6Kp9QDIzp3NBwU4khrivNG8279cSvZso
GGZ5gwIDVgpammefdMvV2tAZA/sVoYt/O6/0rEJYZWj/SSrYZlRM7dB+LOxk8e57YMLRAF75Cf+p
IP82OFVwq09SYKLq95nrAmSYHOQWR8cod6hsONkrkc0ORe+hU200LziMRWnlJimsc0//tC7Bis0h
GqfyMFc6Oq5m1w/zThNuJSJt4zqFuK1BudbXoU+v1KzPj45mZiBpa5cblLXvp7usmLrmYZomcXBm
OS73dlLTUhdIuQdX9hTk1kNvpgV7dDqWCLIQsXYxkJM8PbZ06t0r+mwL3oU+MKT3L7/8092UF4Ji
LZhHjnNO9VMhGvRfKo01ouLc7/x4bGZBGQsjyf5W4NzTH0DBmB+DNpvTS0zh3yI1hv7JAKGoBG4O
VefnKx6DF9PWNHeMLX9ISwxVOqyksqlNP+tt6Y1Rhr+Jdu1KpKhjQ2rGBx89zCXUcPTSL5iXnXkK
25QkKaJ5DeX/5FI8VYCUBw0WIx0/RAXAobAthfk9sGlIuF3dRbYn0gtn9G+4bB4AJkQQ9cDRBYhh
bAvzl/MSViMQlK5V8QR2jrGt1LpHohOVeUlpvo4SdyqfsiVp9bt6TuEY9mkv3Z1WdIKOm5EWlzQM
T3cC0hbCOjR3Nx4trJKTC8qavMiR1lxiu2mDV6nSitjXJ2u39qK8sBOcHmsMxcPe2ApkB1vU+vze
K/YJEuFppdaniitb1tCC6Z4fX57d50bZgiCa1OxvpAPPR6nLYE00c9TjtVL1LlvL4WgM1SUKypmZ
DKoCAXzsg7bq1inFyEGQavJLduwcWuSmSK6ju+eLvdcrY2eWm2U83Js2728CrXfvjaa5JIz++wTm
ChifSiK6dWD8n99oOwm6bvaix2qqkisa5vlVDzP3kHuJF5fWsEStm64Xgobfst3tJUIy3tDLZHne
KbTeGhHjqybEC5HQoLtmJh72tRpk5+ygmlmPx67sbSB04I4McwE8Odo6z6BwHUwC2Ng/jY4lf4we
4ikXLu0n2+XXcOLnpZFAbKqM1PVPNcqqNEDAI5NrXBmVedMWk7tBG/3+i7fiqENHaqxnhOyAEe7E
BqGjoResTayPg51FgLDTJgLTgXoV4tpNHgpP1ObVIIk7Ik1iGxq66JENkSUJdaMkm9xHyxLuHA6d
aRk7ZfbiwSXfniOdDswnPIhFhwZ4PwLnA2H2NLH2X811VgxhsgU24SD7ugn1VJ9+4H6RUxaVXpGH
jgS2FlYg7x9sxO8/6Up2xf7lRXIa+22PimIsCRBvCSSU+Xzu2G6X5IEUazw4RnKvO413Wxcp5hv2
WgbfGlrqP7A6VsPBawf33ctjn9kDN5VPav4UJJAXOa1FBdQPBMtnjcnM8nbvLabzo0xRrgjtsib+
oFOavOoLVVSRqAGQ7rYQ4rGSM5YPhi0pnL98Qae1MR6GCWmJsu0WDiGw8/xh4PyEsl0v9dhznEkD
7LcUI8pdmLYZFiLXocxKkIoG7dp6t9hWTmypa9aFROrMPsxeBVsFcDXZ1Kld+GxrTZoswxR37VAA
2dKXva6VyVvCwO7CDnlm46DMiQYddX6K1T8Dtl/OIFskCXH/OscrWMFXvSwBPtd9F01pp183bPy7
uiyqPx/yf36d/yv93j78uQ7F3/6bn7+23TJgmyhPfvzbq+5781YO37/Lu6fuv7c//Z9fff6Hf7vL
v9L9an/I09969kd8/9/H3z3Jp2c/7BuZy+W1+j4sb74LVcmfA3Cl22/+v374H99/fsu7pfv+1z++
tqqR27eledv88feP4m9//QO1+l/m2/b9f//w/qnm7+6ellbK77/9xfcnIf/6h+38BaMEh/YE2kfI
7W+1gen73z9BooYjEWopwDPIdn/8R9MOMvvrH5ph/oVUGOIpKpM/8fh8RgX8H5+h9wJNiH7LtkXT
b/nHvT97S/98a//RqPqhpb0j/vrHFgX9c0/dBsYlmYrapmTDxnq6VrXegNYIcC1EXiM7FpwLt8rN
yoNTWl+RKbskkridWc+Hoz4MYJEzE4IwVaDnSxFUzOQkCgCIxGgEUKiLaI6TXxKbOjm8t7timC0I
I6lnEdgnw2S0/HutkkFo9IG798YenzHMfiNdy/Nr8NfTVSIEIDNHae79nBs/2tm+JBL0M+85vVfY
K2hHo6RhBPZJk26A0ajmbsLutBvaL0Wlp6/X8rgWSfGjbVvnm1CjHWptJa5r12zC1cjGQ6E1wwBr
p+weqHSan1FpNEKq6dhKm3bRvR1B4lzX6Wx/7Gksv5FjSXetleVtLjSUs/S2Mm4MjRpc5BHe+aB+
/IOaBztGl3q2ooE+dtRnOrj7Qq+B+8tK/+YDzbJhlHpcxOSCT05N9TkjnvkMn/vBBkV4j12iEflV
1h4Cv57eeRpUAUMbCrIunIEjw0Na4M+a2r+0n/xfd4lnO8uLu87/j/vJJgTwn/9Ys7/tJ1eqSYf/
/b84Xv7cnX5uQduf/LmhmOZfKFiBjqWyCdkFot4/NhTD/Qu9Qf4/NTST/9gqxn/fUGz/L4iu0pXE
aBs2EwnR/+wnbFAerR+EAdCohyTnG//KdgIfaZvW/5z2m24O8TJa8xtB3yXx2E6nX06fti2EaoIA
WSRf+5zM8KSqtxnMvyvRVs6VZVZNtMhaP/i0DnQzucf7Ub/Cc7HfFV5mEZAYTlQ2WJEUJap05uIe
vAn0ivJAUWsT5aIEdYfDjCDLXhmpdddZpkTj1H2C/1Y8eDApr10AL6FsIW07lftpmZxvo3esVfI0
CLPaA0hUNynknAdqKP21PyKvZw5NdmPmCA4D8jNQYvfn4JrIBjUXKHtbSGhuKzeW3UxMbDgPSAN/
LpYmC7EPvc2nmYh4BpWLWPwR77punyhDO4yaZt3NrmZx1PdDHyIj0O4SP/EOkLrrY6aL8s0MWnSO
VFD479Ks7fe6FCWAYd3/gBFUcmU5BQKWlshH4kk3t0wWqtLfgRGtqUS02rvOR90/wue+wb0qHR9L
gTgsGk20RXLOpStfDT6346VVCP6EjlnnBdo7xW9sj7OT055aibVXOlHvvplXquW1PSU3uZYhnOkm
BjLymzY9qv7pbgHgW+9SousZlb6m/Rhk47HxWm2ftUv3eS3n9KAZS0rVo7A14L+gnd/ClLITNrpV
ib3ya/N60Ys02GvcaBGuSa7dErmJMAG4v0QeYtD7RPLq7NwtEUwd0qSKFBDefEPyYhutPPNxXGZ0
iLKljrEPW670pPlqLdb3tlrvqOi6+6q1lx8VlJQQAAQa2y02KXfTut4YHcLzVwX9od1cOnjR0dCK
wCXC8lEK2pAHmO7jYmTiZiY5etKUfmM4Ne5nswTlKKzj2tsh5S777ZK2TSxG52vfd0dN0z7NWy/I
S760ZfqqHNYjydJVDTZ3CCCcEMDwVgF7PtB+ML7jjGfDm1mH68Hh7aFTZ+9muVW0KpLLtOz2wIJv
zMKvjgrlB/IE1MfY32dn2C/JVZADLEw7qz76htaDFBy+UOm8WhtLf8KxCDmRIgNgGYIrJV0c9QbG
hhncu2szz2GlzOXDYiq+zgK1e8BTr7qFsT7s9bJ/Lfqqi4A5+O/AUNVA+ZQbNaPjh8Y4aVfSLsf7
YEB+xybu36e2lyE/ny03iJV54ZweA28wYwhE6b4wcygwRTW/p4hWhoUj81vVVR5kY3BbrqjS2Ewq
/+OotdbdNLZahgVXN0a67N4DZPnkqUCGcyfcNJIIYoYK2MGu0V0t6jEyKOziYzfVbWgNvXEMNhBw
bXt5VDvt+5Gy3b3epGmsTHxYyiqtolbiozdbTn7r9ePXpdoatAsVKgBzSwZO+f9wdx7LsSNpln4i
pEGL5UCEYgSDDOq7gfGKhEM64NB4+v6ismeme2x60csZq0WVVd7MJCMA91+c8x2do4L9oR9JOxWh
wXsNlsAOAyIoEb8aemxW0r2kMJNvtaPNZ9jk+qEiVONcisD9QqTzoglG070sXnLRnLTWAmYMICdi
8uxzfkziNleOHntG2xwZpl5lExB/y2+NPjtMSzNqh8tmEeliLZ77gDihuw+IeIdfpKoD8q7cPlIp
Xke7/BsKmBma2tzEJWuDneNn8oo6/jzqs7tnV7ocrc3zbjnr8/B+TJ9azn6eQTtLHDqwC6uVCoE+
5ywj6LUpWcOhb578gyvNS2Dk+85v9lUuOSHuM6zGuqQD71s//wItBIs0cHbrXEBFHrMtjbZ0ihtP
nJ32WaDDDoNeJdtIhE6W1wzr/dI9p8qJrdX40/loDfl1TtOq6gg0XhaTUN6+qSbriDZ0b3Vb589B
szm7yigZH6X+tltcS/52luzOHCznJ6fOi4M+YbN1dIVaf4nz0sVNqCySOOr31W5YFqAILh3n1ExV
sjXG12ro9bHzvYeh0uxIl7nCIAgTZ8H1G1qOm7+KeqlSMhZ1oiEdLNp+EzoNyHxzZq+mw0zC4+fb
K2ou720hijEsfeybjED5DspiieTYCz7/5mL2cx6VJRMb2yHbwlp/I5yZ9/rY1nteuuWQW9vHNI0m
t4OTxTM2gQ8nqLFvyMkJp7mfeYiD6Ykkum8nG7Md3UebFNOQJwMIWDXNy0mkiA+86o48autw2MzH
dcX0YWXak7H261PakcfZGs2VJdOLn4qH0oDN3etl7PX5E2L2r9la8qQdxJq4Zpd/OpnECpmj9MZM
cZ9ztxE6TlyUIw+P1Q/T1UVvHIq1i+1NJiUf9iP8OGu/ztZ2CQpjeZ+YYx6qirnRXJR7R9Bg1qM+
xsJEGGAJPQF4FZbjeQXbEBImwZRE+K2xT9fADEXXY0XkCmb+eRBohMKibj+nfjWZmbQvda/8Ez46
Rsno4veZWtLjrPKeSXqdcoarOa6K5rnpmwTR43DKrAYgZ18dpraHHLdu9utgPE4kHsXjNrmxU20D
6u9CTySu83NffG1+o8WrnnpeWMjhZrHnP6Qrz5YatA/RlxBXLGkcPAzBT2N5T0XNhxauk09wKEdI
RM0c7NCqE6PGr+Du3XlOu0hTOuZFLSv4uwkixRIab7gk2c00V4xDb1aR7y13SDq798Oa3BbCZa5B
Vv9WpocqFlTHKFL81zV+SX/4wm/Kny0Ae0O/TnfulqefnTbNN3DW2yUtdAff82rst0AsGIqwougY
c38IVCsIjTeVJh6FWJ4UHDfx5ueHesusSKBpYwXP07Rk445j/WPuYJagLl9zaJVtcV7Kzww9xVJ8
BkP1yKDv2q19Yi9y75ChGCph3VxiaXrrY5HrS1M4z1n5M6gRyQfVjniLH7XSYqO8BNiePetYyvHT
HLlcpz6eBnm1R+vQ1VPclv7Mk0DyF2Z+zkVruM3pop+Y1MSZsagw99SRtN4PW9emONfdG6nqw0HM
oEZ8xOVygcw4STzSFoukaeqTvN1bM0nzbnWy888VufKoBwq3a/NdLtVV700M0uaLFsyfLQGUjj0+
9oN9VbJ7GnhgtjnHogrJJO6trU9Qk6gkJYAiZGJ8xBOlR0Sy5qiwsVk6hpE9EllzwBjTxr3Gd+RP
OFnr5odf2mUocv+HVs5m0vc8Lv7A9TBJnxEl79oSlkjEd9xkkiFmnyaplTnHonPNA7S2fdmwtEJa
HQUOntR0SZ86T8sPttswlNTSLewW+2Ws+CpLfR0Tz8q7W6v4Z7nQ73/lmvohxIRXzKy4sVXpPDij
bPbBOPih1+A2ECrd5Upc6lX7IwIPZcHMw6U1sdWp32yzLiu74mDBpjKIHQlI0cqSNsFG0EfW/cfy
OgXa1OefwZ6t7eLcp2JiAbV+VjiawhLx4icPGnlpWvtRlfPj6Lu/mlF/qWljHjW9+kN11p4kc7NP
S1nPWH/4qSoTfoxgJPti18azP/U8SuaUXo1+vnXCuI1psye5ZN/L9f4hkv/rLM1+5V900HErfq9T
VrwEVbYc8+LPKG1S2fxdug7Nhd2ehvvLjUa7X3/otqgvPm4GxrxtcK2rsuRdqbsb79STX1e/Z6NI
SMPRQqnVjL/XckmIl7uHGjBxjGEeuGcr7ecQZbwD5i57gIQDAqCyvZdB8wV2B7yvb37eej+Zw/hk
K8/lOe2AOBEcnIXdiqLJ7XzMdlhtKOm7MTZmPP2OZ5Hm5qnmLhDPmfW7V33d1gQrISUGKNxJmu1Z
ytJ8pFMiSFiW2LTTG0u5/CtV4uxx0w/tFCSipQp3RdU9sBRud9zIKrJLfkZDWiKS82h/W7I1D/Xs
algdTe2IwYGjlxkzxyGcg9Ar5u4ho2/QmEJ0LO/tGit/NT3AsysSw5OICpUznuTcqpdFbP2Vgbcb
stuoX9molrHrdUTMYeAG8uTBVuS27B50FWRsM0BIGqsWJPB98zEJyuAH8SfZbshMGTGkafbbbEOS
r7HWc05OYKOlRNAvx1NbYarubPPbYMzye+X9mEIwmTcM8HoCeqCIFm8gHk8XX9CYrJ3mZgZ7Db85
1chNDUwwozpSWxtvNgFc8ciK7G5nVL9M/EW7sl8fcB8pchxKI3hTjOmTCaNXZOuDd7I2U8TSr9fE
9+9SAgS6MHsD+a4xkJURZlnvurBixQVheIfS6+3D6M51OLXokg8YUtMIN9zHjDkvzgAiQMAxqvFa
BPdE6XL5EltdgdUM0MaETbd2F2d10yvqXCISK28lurdbEtLltks59kFsbG23X/vN+hHM0tyN7jCf
jIJiAAcWJzGad51FfJazapUkfbl4ordmYqXTd6c+CLRTMNEVm/325hml/jEjt4ucfpzfN8rt92XN
jGjeRhVyutd7w2/qg5eR4SlFXt30xZlYqmSd/pB2Yx+zC1sS5aU9JkiQaMtYGNcuYPHLc6T+BjA+
R11QmhdlkRRrNLcl+KgaQfDQUL97npTfhqjJ3PY6jZs8NQ+mVjEea7pfQdPb+3nNwKuma0pATiba
vacv1hm2V4oz1rCf8tz5wkbrvMnJUBFxUlWIESb7WM2WxsZxm3OasSZKBRi3DBripRQdDndnCtUM
rQjBTs3TWn8h4qT8RBewqqI/AW2oQrOnlF+V7j+Y9zdyKYP30mjL59HSl53elUbc2vmTlfV/40Gi
tLPq5iw9Z7nQnS9P3WQEyTA2nxPcuv3EJuvcTuUQN+a8cRxl84Onc28XOEAwzeP/zMGIFG86ASiP
1Vro3LPU+r3WzntuEHDRS+RPJuIXQ6Wf/ii7w+QMbpJPqbMDvFSG+kxMOlsCL/I8YTDaC0KG1MNJ
w9VFt+0Op4kF6DGdSvfZyoL10Bgy3QdaWWoRcDTn0+yC9VkahXmjUHN+stIfHhcdwAFFoDVfO850
TiJh/2ZoGblWPR0zq+2SLk3r59r9JbpDlrdP3WD8yuYgrruj2d2EJHDLPVhD83PlTj/V2yiiQLb1
IQButwu8LqDsxIF0DjpHe65wxoYZyKZ3y+aqZcbZ/OKJXBgkKO3ATh+ax5jHNrnHt6K2sk8++OIB
B2X5x07tJVo15ez9MqheEdpwsN4hQQAfXs2hoV2o0uVd1Ebw2cwDfctsdl/LlDdHIo2LH8oefUop
1CyRjXVbRZpXy8PK9reUoIemsat+Iw7jQRgcW+85loytjBS7bz3RhPTYAvrWJr5qq3CROGXDwyCs
zExcn/nsflC9XUY2a6HbQlFLX4cl8tO2WVVR/1fjF1xnlodCX+StIUDyqeR33FeSsjFygAGfV8ue
vcQhOwenH8r53Kq7Klz9DsYpgBzjYi6t9eHmRf243DEmEcsJ7Y40sYUiPSedX8almQkj4F8pEskK
W8+N6l1rkdnWhrbd6r6nMzW8qoV85MsgXkSXvgrSMjlRO+k9sUp0/qTgVmPy4VYuMZ/h8tyXbh9O
TuE9gMjL99LESBZ1HSk5NKLmT6eCbMEuVtuVSBkPnEtt4nQa4Qe4RWgWJC1TQfbgDISCxFkNXMSd
a14+uOUstYgWPviZBdtTnXbmm0Q4daqbrn8wVcrIhtYq5JoLPIZkDgwU5KhtnHcrXbVRbf3eTP1v
R8jjNAZwNEapc9o3dWQzCDiJUZ8ii1jJS9YWy9EZp9NdSO0V2kMjrFelcGd15hr2WbcbaEfGrE+f
SWduDxDYs6gDFBeNvaJz3whRCpSKCYrdK/uCV66M8oobMjWf+S2OpjN82q4X5isck9EX8eh292TW
qJD3x+CzmzHMesa+DuZoTN3Iz8lpnB8zStfb6nt97DhaiGgtCHO4giXXuuysInLyiitmzhsz1kVT
I8IvWHq/lxVIgnWLzXre5av/aut1ApV3Isf6MFd/yp4LbbLnEKLkzdl6+UpnOO2FkzGNaCR3nTtH
k+9geR2tnNEIrJMH/KXuCUc1jv2i2PlwGeZM/EHfsp5hExycFVIe+2kZreY6hbldvTO9KMOWwSK8
AcAygb/unSVv9nhWHxrdp1cUzoNvOb/8/l7T4SKIGwQ2VPB6VN1bT5s74bkUmxUVjf5nNSm+PZnX
N25gcELrEhlFtx682YeM0DLvgMflCdvcUURd6/uB51SgENOgWMH4G3boutR5KNy/rbaMcySRTPeS
OgCchJ8pXFRVYVHsWO+n8VjSaGfOzcGdjQAhIZOTCN3+t7l41803LgFtfN7MJDqV1oORF1cT48eL
og3c8ZB+S2Vb4f2ZBCCPpsxZH2W20p/4WWjrK09Gg6XWYsf5rJnrzgY6TQ2jU/n6C3YNmTCBf7Ed
mfgCcWPvPCxB9sPzD11OaEqHjsALXjftPh/zH4yZ/E5c8WVNNeu1D5s/FQRS+29p69w6Qn1DpXLK
Du3KAn8/yuVbF+WF0HvGXSY7QM9N7HX54SJVoHZAHedxwdePRXpWAnlEn4OqqtSNavWxtBkUy8ot
kib1v7rcmeNtvZ/r2W1qxi7Ey4rTPjWP6ypFKIk5YvOH1M7GU9Rp+wbKPAZJFL0BbQy0BST13Pzv
BUb7lOljPC39udDbG9LmrDKPBr0/fWIsdUeGNHlBlLPlCJ2FcOrctngi6ySbvBPjGju0lccRpFhq
a015GLLhhEO0YXiYOlRMErIHHg3gSKsvD7PXnF29PqzWE9NHSv952bWSGyUleXWdG5jufDTMwYZT
VdLjuj2I+B4DVDU3QLPWFjGJzhRr8ZyIAeDT7Fc7tKS8b44XYQhGIsSsjWHZccoQrcJL2Cx973Za
nLnfMw6dBActF3rwG//13irKIazKPxC/GNrb23DRG1N/Vv06xZ5oOV6hRURL4WfvQW3asbSJS2xT
cILEu7QhvdB3ZY68OoInXGoXt+bQqzBI+9MUqyxJN8ZsY3MSuOfXwP5S6h3KFBzh4KoHZgThfUf+
GTDNsdzdY9eMLrTslzQ/B7kfS0hX4WynsduegtmI5+6jNf5AVoS9wYvdG51KtN5/KhsrPWbO8iAr
0mxbTK8Py2THXqo/1UMHMoCxKwf9z0ZfrnQhx3qeP/pFnfX1A9rQrWFlGzJl8pK5pyzorfKjyIu9
oFVxW76UVvRRlapTjooyzBbtTTMvuday11gipY8Peu2ELCXjDXmJqRPIXp/XsjlquX9o1JY9KP7c
4k4HGFg7Oe01dQZPKiiB7JMfNPu0emPqANLvrZvBmHGeeNuLYY7M+QegZ/uJqWg7eBSgLh0jI2rd
i9Lav7BQCUmbKboPDiJIE/SHE0sNoVhh3HLq0cWe49XFZLtZT67z5o89AqovZ/1Z9m8sW2j1aAa5
DXqLF2tbHhRxvV676/3PXteioTUi7LGsOrgjhuZx0Ji4oTctkU/GdJMfiwapxZfVA6Z5D6xXsLwi
HrNi4g/LxGRXE5Fr+zqJwN7BObnZ3rheul7RhZipjLbhj714J7KKEtscrxUN3i7IVXmyWzYNVC+x
JnzjQabza9v2j909IrNDKMMMmi9LBDUt49BHglDzs52qmHgsK4avdBA6TaiZcvCt/nOx2W7iauvc
8jvQ3a1u9oBe+0fjILphWjZ6F6seXvXZzg7+4Kxnhll29WxVwx8uIGYfHnWMLcYzKQE6gWb3c3xY
IeQVw7Kf+6CNMILx4Ls79hmfKTKrll6+f571N09r8M+AvJot3mJhudd8C9wjQhcGuOOLXTIbdmlq
uo6LA2BcvKXZ5zDY69mbnR2VNdu66bNtVwggrrfrpTyb5tOmuGfNfZmX66Gfl2AHsnZOjMV7FRsX
TWA96IV+bdv3WU3Mt+vXUvNC2N6xOVR+2OjGaS7s3YwNIWy2f41MzTU75TMCBafy0x2D8OLQbJkL
0qt3H20d6mI5tJdcdxjltrHQxa1ljMuQBUlZ0ATPoFQLOhnS9ZqNQkxj3q5b7YEYKiZKwZxFkgYp
1Eu2HH1PnbUGRXXJ0ofCdMYD5q6MLiTtDqAW1LMReJ8FRP9j33cos1QeXBsIU6fcKyPBp0A4Qutd
gq4+1rm8CgEou2ZXavg/JX9b6JiVvteRHceOOd8a5TWJ0rTqtqRC37eeeLD9MrGEr8foYJMJ8BvE
iaaIpbSPk10dp25MWhv8XWv370yyX4dhLUI5i+1doyQE52VU0RJMy67zqZbmIQEB/O6Pw2NGFf26
uo3H3V1QmHr1bSmC73q294Y5nWewDvvNbj7WSntktvBWOuVBc5aD0frPW5HZ8MJGRljBxLjfOW3C
f7ao88ae5W01WqAVrTzBn/JWd+huTN8DpjPYTIMBAdZlN1+MfjATx56nxJyWvwU1dbgVvjpssvyJ
9peS0eHymkoKrVHPv+FQelv37DlgJ0abN0xfL3lmv/m0jhrz+H1uUUZlsHx3NPdHTEAgsqD5RQUf
T6Ta7iWdNQm3zd+qU4/cax/04lfls9sTDA8MrsVMf9l8cWwwukayzoA7rjyAhWxCf+GBB/KgZ+UZ
eNTKqTOzVKi1RpzwQZyYucH8kROAoC4FdFP1VZTZ1l6CZxSu4s+sMnLdcT7mknjPrdr0twzMR7jM
7iOuJEodl9D5e8syiRRQS7Mw5WT5SjbhfQfXPXPt5rCgzBwsS+fuofP8aUdmFiNZVlFaWsZu6zMI
dSX8gAyg1mNZWdccdfeRHw0gPSql46Da+pR1FkdQu4wxysYxtHrLO7jG8CMVW7tjgmHGs0pJGu3r
3aIZL7yPTypndsNgS1BqmUbSbQS8bxujsRTryaeLhZaXaZ1p3VT3QNx48dtVtjxiPFCnDb5KuEwj
iC25mrvcyLXYKXWHvPIx3ylXzMducfqj5vogjxoQFTA377VeYYRmUYyRtoHYspYFZKRE/qDnTGPH
vOkSlem/yyX/0GoKPFUUe2NChGBaM+RCha4WStMngp7xCXVuG/tMp24+vJyEOVIRmV2l4f8ctQuI
JxYYEtJBXSxa2AfFyzqqVySPX9WoE26ktuBMndiG6Bv4wdQ2RhDG6FZ09yLpiPM75R+bisIg5RZv
EvzquR9bhzBdBtygWhk5A+U078vlra2uEh3THt2p/D149nhYTKWfzS4Lfq5zr33Islk+c73Z9mDG
VgahGeuAuvthaA24Srk9tq64rsK8aRBCmNLyA/hyky9LZ81MQ1lhFKANm6VTMWq232VrxQLkQOKZ
JOgxl6YSyssAzQL1Q01xDoa14BixKx8ZgTm7tyxH5FV77ZsbUNwUpo/cwE6npF/87ZA1wfo6LCo/
+GXdv0HOutSGnv9gq6IOSwZawVDLpXb5DKVV7Kc8b49enhLxq4oLuR3si7x8Cq0WNB4pYSzmLLgW
TX0Uw2rEyprzoxTFDlAXOLlCXWRaqes8j9+p01cJWghOtH4z+4icEKr5tu/joIXUqp/XTP8eGCeA
cthpvcBI0NyHVbw9ApEnoSGjhbI2cF56vR/3sqrkAbas9Q+v/7+lx/p/TWmF+vC/1ln9D3Jeq/w/
yaz48/+IrAzjL9K1LISRbHAdnImImP5RbWr+Xy4ARIIpKIhd5JD/QWVleX+xLgzu/7Fs8IX3sOn+
H9Wm4f9FiIgB/sh38IpSjf93VFbQJP6zyOoufkdNSjaaCdyPiTX60P8oskKcm6q6JNB4ZiRWviq9
t+3LxCC2ZPO9rOa85LEP6Yh4ZN1iW1zsGZqUS5Tdf13GQC3UsMF6BMerf9XrnFm8bLXbMrz1pt7K
6k+ZDUvgJYGdrzo9Q8H/p74LMRr6s0dGCc6A+k77Q6EIFXZqvoSqgCqHi2Yu8xJugpCsN4+IFi+u
DMDnLxY0kjqe69GZYpo2Z0r8LfAWND1Nx+lqMs0tjGoSrLv17WUt+9KKUaRmjy71Th4Z9r2nlTDJ
t2iSk/idWX7V7dH16OJoF1yxZ8Pl2GKUYUpYqH3hsHJciK4+eH4DU6cLcCBe1oYCRItsCK5d8WUP
C3KuKBOKCCbP5L55t2n69T6pJm82XjTmCv6+x8SWXboR3WMFuqw/2NpQBk9dDnY1EUMDNpVv3dV3
zBDdhpkkIwtu9qHcmVx1LBSE4Yyh2bTg6zo8MTW4QMuhSxVre1jI1b6rfuqtwZJ217IgQ8dd1nq8
5Hvb6kGuasugAdz0/cUdJ2ZPZQ/Ere+QFI1JjU0/206dxtgX/MCA3fOEg3U5+oy2q1CZhvpZloZg
4l5jd0gAHTPoCvhxGmHCnpxWIQa4SIah+lPGcqdiNZTZzfJCW4v6rVb8tV2aaQi+vKC8ZxRhgG94
uKamqx8BSzOzGlplzrsa8psFQjJjpIYJsNGbAwNC+h8iZTcKIzLr0Jdqvt8ii7I65mEuM/Nd6XJS
kwEAZzDK+46aa1v7bj5llK+PneP3GtqJxS73U4O94zCT/+s/o4liE1ZVlTERkTB1iA0n3yQHsSPh
Gora2ry57uo+wxsuvtoyGLhtXN98czd9wV5Yeu3TplXwbetMDmctVeqyCpSTISe65aFgsak0AR+7
Y7yRzYKOmOb/ffAnYR910WZ/e4Jguv1qeExNUOXY+jktzJLGtFgWainRV+7B9de1ikUKujfupauh
oZCdwyxgzg2anSJoTk5bic+laNkLY/ZXOstb1x+BjUvA6k6Dh2ynQ/P6VW4OC5gNrRSMQlEj82id
oYkyM4P+UzV60COIRFUOIrh1fxhEwWEsc7OAnQ/wiibMNNi3ke+n1BNO4fCdeezadPpkAbFMUvLy
cwlPU+GGnvm759/5OS219nfJ+skNqVi4qwHeVizoadepAIdhVqFC4slDlDXFDQTXOMaIYqR1lssi
virVUeMGVFSswpc8zxKrHYNvbfE8NFmMVLudpjgxQwlVY+/oTYpTZBqrdwejoIECtG/IuNOq7aFx
+44aGTclKxjDtHH2zpy//ZjoYrOnk009mCfZwJ4VgCEtZrdzzaUY94iQFhDxQTv438InIwH60VZP
TPZ0afBfNu/anMyq6t3XcZJ0amk799WzvzrOwCbRSxugc8E01DJRfoV+dJ7maUmjLB00eu/cyoT4
vXScErxYW0dB3LcN08DA1YLNufoiLxcbtYnSrQNSHrP86CvhN4dAMztaV0wY6y2HGcDuHwfz9lDL
th+WpF3aoXspheUxgplI3uOwtaeuzo68mZzbnBSsHP1kCUyJLKNn7jojCjfLSsYevFk2Kl7PyZ2k
ja15pzZw0/adrZJr730Y0sEjSzcEkJN5/8jCvGPV9BMvVeBe/bRiYmUMQTlD3kt9LKuLaQzeh5eb
g3m4H7ps5kYfq3wGGdTzs9+Q4jdULvO2AvZc60lzUYaai7UTqoFDnPu01jQqhSLcY65tlsIsD8Dh
NY3/PRS5+TXNpqa9TJPD3DwwRvvZTukmntalNr7FppWkv0KibPddz60SWaVhik+D0qxHg5aOJvOL
uWLsr+kYq8XozNWj3zJi2I+uNdqvwV3/mthszxdmV3P24pqj8Vrpxgo43MxHDwx9w/K1LXOvoIPq
0JmUpoUz9p7sdGZDBNe9KjRi222jrblIWnOml2+ctuNVlK0WK6AIz61tinpPVMD8BodHqF2w2F1+
5CsWQbjNBOKEo9/laQLxeulj2yyRxhJZ4LFuNJwUplRayYAZh1B6O4VkcRtfTs68g2n/PRm7QC2m
7bOOtydi690pUO4ZGMZlgEiLprNBB+K4NlBNurdU7sZUu+uqmsrns8HRdwM5AB/dsXO10+0ZqeZc
cXWwtyDr8NCIO3fJK6XxirHVsGODlYxLH2uPNiN/NMZ7y6q2v2ufDi10UmX84DkGh+r3uUmgfZ2J
7DpOeD8R6dRpwXyway+zUa1vkPRkuav4NMvHdcLNkqSef+9L9VwYfcL6kE9c1/MqOG218ndZ16FO
MfNCgdRsKtFGA8tzl/iPNiitOWngTgJTLoSurvCTbR3Nky34jvRpeincYiAUsrONv0effMww1xj4
xDrrhzUBO7/YYaEy76kqJnqytg6ccsenO72ucK6s2G7y5oW8DfeH6Niq4h90xYL8dEXaLbaGL8xb
WN+je4VWcC9yXJGUHEU3GO33wa1Z1xxzvlp+bmba+DtTS61nY2lH6zS2jS8Tg+LKTSbscWyrKH/U
Nag37vPY5BSwT13QLfl3FXQoSJLBN5CKgxSCa/C2FLMq9sj40l+b1NAX6EhREbUFq/GQoZlmIDgx
af0lF2/+204NvtlJmC7sYsQuggWdy4J7tLuhZfaDTy0qnM455Gpw2n1fKxzILQAjRU9WG9Vzaq+l
diidPPd2/iQpALfGdeUVuX097fpqXjxCGZpuR54xbrIU+FTMC63KyGIqrkP2XXMvrGXVVmFZz3cB
tu9m30Y96TJuSqXUIVMSyOQQ2OVXa27rcDWq1mtvZg3XEimt1uPqtaT6m3nD1iU2efGApYGD6qcS
Tma1a2uz4d3N1eyiM5XMVeEjV8UpJxc0+EYVGqClYUIkn7YCS3aCtF85n41V9hWyf70YX5yCIhq8
5FwrEMdaohEsR1+/F75q5TLuXcmv0fMia9aYIywZdFHcF24TEqMeRaso/gaMrTM+APAp9ibJChVX
tDK3UOvk8NgqfWPxg/pYhlrh0b8a/rJC6AuI1Q3nipvxJCxlWhTqRV4dVO/aFy5amMgUQIhRtc0V
H4iVymeKrHTgyrZGI0yz1AcjwZPlhh20AYb1UBm+/JJk1mhxpJkiA3PhhC4BRXREu+5/t6mwBprp
AR2NkUmtoMaC5Rxyz80Xb5rUFR0I24k0NSZWQv267Njrkyu9rXb3g/WaevWIkSTvFdX4c1nNoKkl
fO8NzQrz1Zhd1/bF8dgN4RQIFozwANNdSlAIFRbw42rH6tD7zBmgjJxPts08pJ+hLqOcKP62FnsC
BTrVgAPp2NX7slhIvKHc4rVY21V+dUar/+R/mTicLA31ZV6jm9mNncVthRPF9w+klrdZvBEj9NMA
2NWG/piuXaSyZn2B5Fo2HOKj9dsD4UlLlN1VvZ7bsg2rZNYxnfZybny0PiiZhHAZBxBWgaihsSfA
QWSf5NwtpfpcJZUz8kt5n62qprkrNDv7e8gX/U+RptXdEY6oKCmqgsLV1qZxDFGOTy4DII0h/78a
1v9WT/7/p0fKwVX0X7fujCil+u7/o0Pq/jf8u+PS/uvuMNQJfwhYsvl37/M/vbtt/WXeLZUAmgBq
A/4BUPC/HJfGX5hlDZe/HDh3qgCWwX/v3e9uzDsAzg+AaZhQVeA+/k/31tM/zqd/jLD/d8flv2BG
/9sg5TMywNp590hh+YThGfyfvkCglTqSddaj2aiohzRnPQzGv7F3Jst1I1uW/ZW0miMMfTMs3I6k
SIq9KE5gIkUCjtbhgMMB/E39Rk3zx2ohIjNKUkVG2BuWWb6BzJ6FIu69aNz9nLP32vF6p1dhIz3O
oeoaHcAQd/Aq2K2NS6GSzb3bDgGB9Cwr513bfq3rrfT0c5UzO/I5/ODzKAjEYdWACDo13U02qAZx
TVBEV62TbVOeOCRWNBhy/WCCIHsCV8pIH0FW/SJV21x2kHm26aGVoqRXTF4jf2a87SfrvpSZvKor
e31eishHblr5RGnQEaegfETJ0X2xDOv1DmI+1a7dOxgRshL5G4lSB4S92RcRdO0bwggcHD/c+/+4
wD9aWF1u2w+Os+2CwheCPEpjxiG4eWvW/NgMYfrkAHlZAvQQtfOwopFByhvXOB3ZK267ZXC+g0Wt
D+Hqr/TXRgPxv8+G/m6tN2dS5GlG1LWf6P3orJwFhfHLx8Gd14uaqozKiErmfW3E7HDu862Y7Gmg
pn//I37x4W6/wed8hucXsBf+vV8cqxhW87pf2oAUsVkeTBJkp9ZdkJoyt0TzLez933+e83MH6feL
9tMHbl/oB5ueB9S6iLCk0PZhxknt0zTsUMjwOTXfLn51VFEgU3+OL2yNcrJoL0kMviYR6YI0qi8I
JA/DtuFU/0S9+MUh/PuFCBFekLib4N716KH9+L1cNcyGBz9IS2j62MOa7sKq5uwfyJx/+SlAToMQ
fzwtr18eGWkN/RBFkkfGCsZLpUBj9p6e/uGm/u6e/vlVh3gcbdQBkIFAGn951Ym2WoVf0o+OiE/j
NNqxI6ScIBl71iZ7Iu3CcYG49csXO1T2E6hJq2XuYZfflLf2H4UdEOPDJ3hQ4zuEceW4IsNumurd
caHbMSbPHLw2M+dQXeAEQ8zcTWd2Uh9M5l3pJNc3jgdWgf0oxzxcD+1zL4vwgiwf1NvBhrgXcCqB
IWgzpHSfW2YRTn0+g1Ks0YDM67kHhv+/960NRrAZdYHY/vAe/j/e3vv39j3/Vv+4cf3+b/yxc9Fl
+40OJhjGjd8U4AL709tLJNlvAZuWz5OEoX1DG/65d+H7ZROhDRyFbFJUHsBA/rPt7P7m0XRm0wtd
hy4xHel/Yef6eclAb76tT3bEcXKLAsIy+POr2WWtAO2f3YbCcp5DIvceSWamYbjFfaOKHuP5lfoj
O/1whf5ief/5Vf3jUwG9egCMSK8PfyUU0GNYRM9ke/JpHsRLI+77JRf/kEb8lx8CKI+XFUQbQIaf
f1qPUTDOx/gW3qD/vNBEeajynlCHv/8pPy/yf/wUApVtDywVZKFfVx1N/01pP75tdIG9IXZzmh2x
mA6k2dhndhu9/P3HbXvG/119/uPjCDbikXEjoHO/cE+q0jHRqqNbh8npJ1TS97lxAgZ42Gz+/oP+
6uqBpPzPD/p1mQvbxNWojW8Rhzn7AkRwait0rH//IX/19IGGJgabkcd2ePr5FoX5MDUczW+bLE7u
+Etgd2YsvQTZS+u4yRjqHTqVYv/3n+r85T2LXPZkNgovtn/52LpcxVLU8e3QeGpvfFUEdPF9koCK
wDuuXVLda5Vkhzaqoy90q8Nj4DX5q8hDCj4v0xy36tVHXqHjC1MQuLavSWAU/3AD/vLaxAB3kEg6
29n352ujib7skzK67XQ/HD1EVT4REn60a4Aif7jemtxI2hT/wBj8i7sOsZDZmGdzNAb79fOHLmsB
Kmp2bz1l5CfpqgLnj23+Aaj2F5cfkCsvP0wxlp1kO/v9cExRlpoKFNW3ScN8IKL+/v3qv5VKqEdP
Bcs/xbc5P5OTtpcGuC8fxiIcxSSr/fKrZIEcUkkBlXCKgoOiQn7Gm193FypuYo67BDzgZHLKSNNA
dTTul3YF7uz3nqPPFtvuP4KYwJ79SpgPorjIl3FqWm7OSa0DzT7Eltll2K9xsjfdjBJx0yHdVWap
lxR6XEa/ogVF2RfjPKZJIuRjFDY4ZP0mJCmQ4fdHMQ1M64I8tmnmWx6AkHydKzQFmI6/zJOa2nR2
x/JhlEBM48Z3zuHUeeMht7VT0TgS2N4wb66HYezRXvLuzpcEH3m3co4zl+ATUX0LnFLMO7KDSmfX
ATU6wbn3HjPjt3GKV8eDNd1783FopUc0EWPG29LiZcSrBo4B3aRCUjqYwLyEjqQrX/etjRGql43a
QUqOmx3BH/yVfswQnhUtwhHgxtZbrt35A8GDj+kYVtY+oEwhzkNZxT3XMTlHx94AsVybxN/xsuWf
yB3t0J4txfhg0+Ypj3k7ZuetDX5sJwcXP88QFD3CR0J9ilNL2584E7TIHzGtLFo31H45cuhxRc5l
BJpUwWK2pCP6ZyAQg7Le1Yzlix6vH5wldOyjiwyJToyJKnBf2iwUM1meM1gHf+uYpiouyJliNpPc
e0jQb/Im76+7hk/Ypk71Q1uGoA6wV8WPbC/5if86Ut9YhuZrbBl9Gcd17O17r1I364TYF79p/g1T
Ho3nsixa5xQq3Jh0XtvyKKqAzLTBn/WliIcJld8kVU0BKE12stHzSMQOialQSRi5p2Hqc/YMQ8s6
RjGTxj3ZX+03OlvYPz0LfkzqrEa+NkMWTemwBN01edNjScd9S4bUROSSlFJGTABBX+dvwcRQJ/Vb
vGXkyKrljb6+hnWzMbe9uXK/RFKH+F2LEvlp5McgpbveeATsdhDJukq79VVvkN+mTYCnEhVLbO5H
UY2Xvdd5H5Tw4XJTBY75hALKXHel1/+eNLT4TI+ghaT1UiD+bbRDmxddUzWeEGGgB0pMBnqjDOic
URcbGsRmRPacTs2CiGYdtX3XO6Bx8YGQjLdzmD9k+ynpJo3KGyUIAZFF9GHill5VP8Uhmgub92bo
A1uww4g4RsFslyUuTT2/URT6j0xehhcz9uI+MhE6n6lk+LhzLe19M/1SP2KDC24rbxWvyYxnZS/g
Xag9iTTAlGee5vOkKebrfubVO4kWfZEmbgrBz+LLV+EabtCKp/LVRvz5lW8wfGmnaAzpTq3RxeQ2
pIzGxKm/JLVHONwyqVDuZDI2Cp+OXr5mLVXDweXaMqrNkwpTg2XbWzGvXoS/Gofgu6Z8R7TflWnm
tNMDydLdW1hZ2de4jXuJ5s7NXyTuqqfZI7kXdWvZfi7bfLKZrlVIgQJsiAJxN3si4spyvomtwKWL
0EZYEa2iwHyOBBXhdRZQC5m1QBoP/cIgfey9fN+1nmz3Vh7h2vKn6YEITZ5BrEZP81BaOf1QSqzU
EdsIfWTehs909QnpIgL6tieMrzr1YssnWx1dCXwTCTqw1kzFle0JGnWRFQfLvhsQFe6I6s7jHUCo
Lc0igPxklIYVC7QPH8uiCBbcu8oItDWua25Gmde3poPpSiiv5VwCnaIoDqYRh7EOqNsQPCR5kg51
Wxku01TfMlvWcTrHskbuOPrBzWAay2Ngmq+PDvM7/2IqTXU+rbSurmZWcvnSaFAgBfgWgS2GPiFd
/ZQhCAqVXdiBO7hEhpUPKezdtWX4Z4JGr6mOlPHuqeOowjt7cK9HxTGcxdkrmr01QQ+6sGj9DFfC
NwOMCEuXr4F0keJFtOqzw/ZSbDP9GP9DlKz9ttflilXTNShXzSrqw2RF7ifHE9FH2xGLfEBIvpJ4
jkNh54u+G+iZbFS5CXLLWQBm5BNhU2jlbS8Pv6qgxgwibfya9hpO7U5D/f0+VdbwVOOXDo7DvGDC
Z+gqXjQF7Y3d1tO7VQQoynO0vuncCu68xHhgznWWFyUZTEM9H6w+9m+lWxTtwetc33aeYjHYDzgk
yxp085BDyYznfDysyCmJhvA64hCtQjHvK2TDQH6c6yA/RnXpfQe/7RDCG6lqPtv6M5tftATFsRJo
P5954CYs7Foquq4H8BOkatalcyAprgNTkqC5OADDrD2sqT6q73KMCGwck+ZLZscLnfCo1OOnLOHp
2Vs0Oqq09bcHi/l0kOz6RoZR6nsFmspunkj7bdvw26wwfB8y10TQaath6ndJbrSA/DNCwQkWbPLH
2W8WdvhxwM5BLB4R1HaJffXga43Db0AijKCkqLM3+uo+xiEi9FLUQrw6KHjRsHPyqLPD4pLoDByE
jN5dlMCO2/klrHd8rB7kygDMz7CrpjWE0qFxUjLrdt0xNSI3/c4IHvpDVDF93VOpVj6igDrvd6VV
sMuHWLH6Kxsd0HgcHBNPp2zYwj3DOl7KM5G1oUU2Mxqei5mdIDkQfYnfqhk670vEwew8LAZgAEhe
1LPNSQEHvr3k2Y6UM8TxEzadbNei2EgeGg8dj/y8ApgSadOo4HZtnOjFxT9F42rwzedqokLYsTHX
A3uQB2syDUwFZqHvB37ZykgT0wTm48+MyhyssoQjkaDp4bdLPVqoXM5s8u1jrkfIQ2xGBCUTTip6
3DUbZmTwGKTS28kdg8Ivcz5m7Wl9htydrOjZcWOmQpk134jFK+cjtXvBbKibpXVmnLK5BwylYzwk
JgJqI+KIf2lgODRdKACoxSMW1yrBy7cmzUklDsE/mj2kPdaj0kxzeDH8vbRHNrVBiVi8TfHS4Vwp
TIanzjjJYJ9gk/Z+hwoD+n3qrtCrqiMSrqj6vJQVOo2qvSAKzprO59VXiD9pLeVgIl008n6Zy/eB
C42viXn2lpjWMncU1iwVKz2d1p2nFwemTwhNM+SgopF+a+0QfyJzVLRWT0U2jmv4uXTYXtMmW+vH
aiWILS0QZrEsu+Q0n2YSbw9zXFgPM1FP6lMTTtN4LsuEuFCgT+WzJvexPv+9qvvvwcn/8KnS/uvB
yd27/Pf//VqLt2//tn9vujf17/9r3P7P9/f633YdSWg/dqa2/9QfjSmPvpQdkK+FBhqIPWev/xyp
MBpx2Id+IFz+2ZYKfvMY5AcgsBlykB6ypSv8OVHxfvNJKvKo6gBB/t7N+hf6Uo5n/zoCcENw9ygi
t/+58G63WvWHMpE0Hlhrc1JgqpxNtk+QmyNCY4Aruw92R001wjkBYw2LQI/pgXCwva1c96sEbFOl
TmhyKL51gtk+oJDI9hn67fNpxHHO+b6pyVps1lWc8J1EN34u+m+h1vl9UVkEvXuVsHArZTPbcqlq
xAgqsx2PwYq0zwOWtwite8iUsXQK/K0r0BmPKsSISz8vx56ZqaaZoZfZ/WL5ZF9ABqvrxyHKwWh1
ni39HfB6HzDxxHtzXIizLGBCTyNRw0VDxGEerriti2z+ykUf409dxdmNDbSrv2cqqsbj1HXFlbY3
U8ZYhTVn5DVSF8iYWf7UEq71TsWccg4tB60Jbn6fPQpPtG9siavGVg5YL11Elzh4WMb6YegM0Wpg
xnSM39dqX7SP928TIrkne3QBLM+LbI9q3lTLSTCaezr4OGfGEXt32kam/8LkVslDO5Y957rBDvgT
WXN+GDPHLDus38ty6prVxsKFSJODuEnMs4Hfv7ksyxmYDgeUl9gnpIYyXPE5EbOcj8Wu1s+Ni98r
XfOCFGogEpXHobaLHkaRyA+Ogpadopyd5vNerlZ7ZmW2WI/Jgoptt9pgdlLf97uZVrsKEPUPVs11
cdEL2HNro54ILftBllXwIqKJBAsMe/FTMBXDdHKpUZ66bECuh6oYgUs0259WVZfvnsqnp8mbQVKX
KluRzRCSc1t0vv890hN1DfI4qo0ZND1+hmByxr2WHvnedBYUrk8NMQUZDhGLt8WY4dqi7vKtDOcc
sUtYgAXniiuUDTYBrE0e4bXvejs+TCgFjkSZSO8ELNR66cd5ubbLMFqzExiyoj0LlUTpVGdjeaFA
AJARONmLPV7FOYGgvD9r3qY+wrcoLWELwvqOjICHkREpEN9mQ9QzoffJ87Av+2YmZ3mHaT3IrtXo
9tlhsn3+jJN+EU+tSpR3rKcA/3Poisq3MYcmS/CyoOcrkRkrRxy6ikfy01oiubu0UcGv52zznX2U
bm9pvnGvq0NSt12063so+xcyBiEEt4y2HSIhYrn2YUZVc2W1y4aSaXHT32NiFgHUfe0HbJPxCgEq
K2r7cSI9GSlx6xbZSw0mr3lC2eSaa7uASftJV1aJWqQTSf2pNXO1uqnUvUxe1xwp210dtSiVZ4i6
/p2N1aDfIEpZf7Ln2ZhrKXU0fZJV6/ZABnWEFTBLIEGCDIiNh6uRzJN7+kUTD3e5AZTaMlOfofQL
PsYht0Ck2egFX2s6KvlBN70z7NtBhK9QxmXBiQsxzte8FgWUrNLUT8Zy8WiDLcHJgyJF7XClLfHl
Eg4mLSOwjjvCPp2RKKSBZstUYVY0UcUZMt9OUDtiSmfrc2LZMeISFpvxiEnG098W3AX3WSkiXLs4
WMR+Rv4srqBU+dkhRI443NktfnYUFJzII9PF1RHe7HQbzqCGuO8FSxM4KUNROQbmUhB9YD5yTiFH
poe80wJmF+5dIFEgbkbTaVDAlnvPLsXZKACscCcq5c5IQdf8zIDoQ5+kpnxCDjkGK8pYRh631bAM
b6uI9bNfFfINEZ+tj9jfzGscWYvG2mIrVtq0Bvj5ms9DU555VehirkjoWzJrw7md5mMdWQfKvnoA
PicUuK12Bj6JrG7MduMiuEwWHe7+mGcODiEfIMtn7j40EqEBeaQg8ZurAjU9iAoOedGuzd2oJbC4
7j6P9G0rFiEJTePDlQUpmLj+45kc5WymFEVSiWW4E7E8TQQrX1Sy7DmxJ5mfXVftWD2GIFPVYQ5d
Ft0ks8ObugojjDA1sd07UCce5XAhxPPYT95X0DAgLlrabnQKgPIfzPJHgnbNvJucZ3kJlW6sd47T
hDO3zm19VD7QRPY1L/KT0yd6QaZWKCvVrjBf27yM7q0xVMO+QAa8XDkyr64FGsOPbhBBlLZxvj7g
FhjMiaH/YM5AnTUb+wKiTsqJuXnI8qjVe0E8J4ph9pwkXSIskjv/99ZT603dyaN1hMCp3L4qvZQa
nF85iuUYaSswmBhxC6bgoaAOF5msp0OVeTX1KSDOW4fD8teuFj2dWDeS8y6YlmwnZDa9Cd+y8wv6
bFtjbk6SYZd7GLIQ+OjocfYKDeVuiSZB+8sbcRfPrnfWWQNxAOvMakayuDbNoSjB1R4Kq7MvG47b
FG0ot5Nd64oh3I3uqsKzyhADsBcSKuG+WY0FKmIaQrkHIxCd5sCOo/1YgtR0u4p7qM2S3NVAhDI0
SaJ8rdmdW+g6JYsZh+TuZgAOlO2W0vEeJ7l6MfFl9fCZ58J+KfsAYxB8pIXqgyuCKqoOrKOJxvlr
3RJo6cTAXtiVXbjTVKqQcnTrWQ8ESRTPa9Un32uXhNjtGAC9AWAKXyLoQQxSBDZoANwiPi9Dxfep
KO6DSxt4J3o++ipTiqwGtkhCb4Bnf27gAbiwQw+NcKzgHus02eR262wlTk7Zvh/mfmguo7rNye9p
HOu9yoewO0KcxfKajzi21zw2mDp8h+lhTMHyPCVl91njDWx2Mcm9rO1Jpz6j+yYgvWSzFodN132T
RVk/nsCb4HmcRw5YQCWwbx1csUX9VDkrkxq7rMdc2mksCRaJfXs9tbY4+JJ6Nc0EZARMdxpzqOgl
ZxV6nEV2zKuivjRIh+TZUDHb3JuQC31aoVy216uwlq+TQgF5CqZp/fBUhFXAHwSchqA3WXOJjyyc
oaThgWY6KmkvCOtLlbn5Q77kkuHlaJJX2XYUzKyQy3tjRxkGg0H2XzP6SM3RrJZ3qTI9oDZcfAUd
PMHVBgph/eYpHQepC75yBAPqAe1YUTG2HGtt+aSdiPuzICu9rict9U7MLCg7QzCSJltclZ+8uceS
2gP+uLCDqfcOvZrG25Yj7XeTNxJ/qhia+0HV/UtCgOT3zf1T7e0JrFU6T5546fEkQ+kQqn3URbu8
ExEgb3AywMWMVzt5ULhDLujn6m8cYTPun2PUG3uyuu0kbFlMOw4tvVLJ8klsbTdXLet90vXrmbGA
ce1Eb7kvk201d9pyNrNdV/sLoW/UMv4wdpzKaM29QuuF5BTVwbdI5wl3Xw/tq1wVbW8QNMnl6IWc
rrIiI6yJE2b8FUzMeDVHGvwp7jus0aVnINi1ZI3Dg7XdGuzPKuNLEy3NhrAq536fdJZpdjZGwdew
743aLRV2nJSqWz7k1mzOaNYiCG5pFt8wF3CRNLrM3xBjrMn9QhMaJ+6wLucOyz6SjbgyX1jXbAtY
QY2ouWXxxuy+wigCZzMALMSlGChU/zwtyMJjxiKhqKtD1AB8TlHZBOaoFjm+S3dQL2CAhnYXmi4r
D6boadn6LozKbG7MG853+6FkxZC7YhwtdJIc9B8p9RXha2upwbePaBvXNfM4KqA3z9GVUOPvsnEm
GnFzPURpJQuBEzuzVXcmgxXzCx3BPN8JR9Gbaq1qTM7GUtEiWPvSK9KVTKtpp8oKS37Q+ThQMyxM
gM5qaT1kAyDqnWP58oJ/JXvqRQk5z+WUZcFhaZcudSpGMbg3+sW/AsEKWEwla8iQFeU2h0ukk19C
x2fI5QUTrWdo3bThsWRIFwRrCxkTMFz3Ps9TmABn5LS7d2Plc2CFjcrWEXrlt5GnBGiDN7MByXGy
X2YL+W06FXIIWR2aAWBEFuERkjYfeoDm7T1zn+WNUwETU7Hl5Tutlbm2rKR+zkZXuymRM2N8GP24
gCCV9/ExWi0cHNSXWDKowlDyt1Vm3lcb4A1fybFLBlL9mB95XfRZRogiSnhUQAva6kB2KRZtd2B/
tCWh0vOmaJdZsIDor6GtMUAjLuzoz6ZZ9lPWU1wOLpJ1cmtqV57FdgN/vwtGe8RV0kYWrBTWmuMA
9KZPXZGjyQ6AKSEED5wGxfcyYyFznDE+MmujMxqgC6TmyJeE0ADf6l207NDerhFHDf2pTobmKppL
4lXLnEnDrp+tjIZOwFK2H/WCja+eZodc49bntBlNTj0cKvTBeSpruEL3tVfW7t6zcspSuv8iP+u8
jm1qzkIE6QZ9bHlCBw/xDMOcI2HhNmF7Trs1xuPUYuuBf7swfrLXAN2EXDOkegE7C5BEDxjviQPN
8GCFVVddZOFGE9patywZFW4oCJ8AUmgcBsF1sjaAotvcAN1qONieBqUJ3FpCwH1XBNRvGKE85qdV
Jkm+l8qCR91HW03s2K7MjpJagwFbgJuAPAmnF2e1P06PfV1p6ySxuSP/TQbXvQBPlOSP9IhHG6B8
ZUAmLjVKGdQDJcwFLJHDnvdls4YMILv2OAGggSVw/9hVobB0p77m0cJEPgmLixuXHD29mueXjjFc
9oEEJGtPQdgzugoyOgRKT5OD5r/W8QnKY52hLR/wywwALeVZ3Udlce5GBV3snI25u87QapRna5zL
5spt0MGfsf9j0mo56xUHVLILTTjatMAySOEL07Hf/uk4z21xjB3BbXYDuEw3TKERW7th0rvfMygJ
8ihDu21AMPgrQmnSFvvrufDYKZnTrSUJI6YpzuQUFs6BL1h1x0rlyqNb31DsjzoY1aEahkzuIdIF
H6VtVucUbdv7Htp94l0UfLUV5nEXxJ81lXp9DSMM3s4MIhXJ/0JyzXkSLDBdcoxZ4mCtiyuOsBjQ
bTOwb+TtADNbgAWvAOXJuIwc2vN21p18O8uY6icth8FNlIcZZfL0YM7N3EXmM/pze7quR5jDUJ7M
XN+CrVPiIYs2ZPoossmQfZXzPKbCWdfoblopNS8Tr8bsuRi4/McJou6XRU6qvDA81TXeJRkERy8R
WfYAfkg4QEFicInpqvt2OfYUuIoine7JgQeqT9K55PfvGkaf+rIaewdfZe9BZK5nn7EWFbws930T
jsUZ2ZvSObj1SCZmUq9Fvx8KgeEmZMBdvlays57jqGn6C9kNa7yn79cxAOMS4zRlHIAo0huWkR1V
LNZpXHJvOay9NvIE6I8aMybYm46UnFpn5zoR2sS+NC2a5dKJoWSvblmgLxiw7ob9HMpzAaJ0OGeD
1zxpgVLhXe/5RXmno3aDDAUreOyo8nrnGBj8wrvJ2UBmzgo1add5XMqTl8B5tOJZL3vUeMDFZJgL
Ur9cT92VYV1+M20OGE0OstakBCiOvmpYUV12mo4D0KJ6uAbXHd3Yc95A9Jpq/YIdTp3WGfPoyeWN
Cg+zWhUWFb5xd+iIDsbL3/Gsm9Zf7oVjQ2XK1hJP3+JiwToL11g+hHaXzDQAHEijtCDb5VDSFBQH
VUXgIoHH4/vxSbi6oTnAgC6oYbjQfuvMbulK6PbLUDZfY2yjOD5MMl6LtWuWo0WZ+yxUnDyBOFhk
ygwNgmemu+jFEX4FPHFZGWGTK0qtZS0BW8QkpgvMW2IzsHGdWS3pI7KdN9SzcwGkDjBWvUhIcCCZ
a2uEhrM6IacVh8MWW0mJz5LBRgfZbBktIAuR6pcLKEbO8kUJ6oPzJcnnJ62bSXDxlaJyJCeDo2g1
Gd3RC8srXV7xMrVAa5dpBlpXS3CR9Ul0auAg1dlUz95Ot0Ue7kOrETVkLRnSXjuRlzEr0kHCdinv
JoCL/Xi+aR6bRe2AgVTyWCWNHI92qAOatKDTB3lvkwUI2Y0eUngIsrIybzpe8SsCRdPKe7csH1oV
SJ/W+oStzuLgnomefkRLpmf74HRN0B9iD1s10IjKF/s8plskjx2Mz2xJB18zvE+HwpU+sIwwo91Z
TMVEPrASlmYHSHD51pGX1fup76BiUQtO64HBnUuPwsNzFZz81glidWI4uDrfpnpJprs6t5v4DLBN
4HOzwzy6ayt7md+ZT2cbvKfWVJWfjIiC7kRzAPl12vR5wM5DkVywXFQSvMdbQfaGubKlorJTXmQz
pItIKoCux6mdEU5qjOuSsKH7ZulfM/x02cvohpV+qDJyf2QqbAZzItVdSFsshV+I0Q0iNHr/Zw7U
xfAQ5GtMvJDrxsV3V1gG6RuL9xzed3R/YGZVic/4yx8TgYhZ+FP5GdeM6O7YkLIA548qpdyzTY4H
HwrQBQyB5VEVzgw9I/a6kfGjjq5ttTV5S4ZBqW/56xnlfx/ue8QTAVR11ZwjFAj7C22RjrUfixnS
rCE/+d1esv4dUpvzNDqlXSLa721Gwr3P8VD0Ib5BXEqlPOVjBWo5QaVlnfuVaNu9IobvMpKjci5q
mUCjMTLO8AU4PmSk2Wvj+USmCs7knIgNgQqaEfguBAZwP1gxaDyDPX2E/6trlcab4pqUqSrmVISa
qgH6BNqWsswZiHRI6CjRIrL758SRxXerrBn9jpjr7mXRMRMrHXxsh4Uu07pLKl7sc5ABxQ38E+aN
QH3GK1pFucGBYCz+7AgBoJ05Bzet22GGYgQARVAByZ0JOjHwSON2fhpW4A57URP+mk5WMePkNYOE
0x5l4sOhB8pPiAoL1p0KZpoA7owgjAkGEgMw3tNb7414wXoXMiLn4tFxDiWCrudNpMEPrif3DvbO
PO0dwCZvlGkbw7mu7qC7FGZnmOSl6xj2j9BAy2an0TkwzR2RltNG3+YrCG7KeM9oNz+aYUSww9NM
NT57To88R67RSzcbVBZR7qr3KdLhuO/tqbpdInvMoUZE5eelWjwQVILcQ6wxUfA5ayOiOQn0mO58
ypRuT6lXvI8cFO9oinCNplGhLkrIJU1Z2rKKCzMEN5bI4ZcD7MRpYJW8zzvOEKU4ShXrJQ1bAdGi
tjrzpQnskEpD+utVEgkGyGpeOWZaMuM8uk4ltSNTHR3Bh8psQ/FVEtoj1sp7tURiSIewZfPR5XDM
Jg8nfUaraL/0LBewBwI2caFb6hmGtRZvIMP1fJdZ1vgEYTVb9n2HEA1ywmIeMoYwxXlSW7lhICXm
eO867Ls7bN7miuQXOGF8dPlONSUCrnEXXxIpEjdkejktTVtXxgxUeEDPXeHHOImTWnwEpKqQGDMi
E0oDGdBl8b2S03JpHHsz/tj4+LnBfoluKez9g0WvxDkgqbKKCwVejoPySBupg3nHwjxGTOFWJ0DC
QQab85DnNTIhgGD2eEwa8J5pwuLkp9LKOe8zFSN+hD4NgyGUFhSeUlm0Pyh9Q6hWnv0Uj1myHpvV
K249Zfc8S+Vaoiik3/S9YrWnKQIKR9LNASqV0syAgKGkBBY99/Ojw/vkpxMQ32uYUgA9I7CIt/Wa
o10ro27RiPxG5l+6drMH5TuZpnXrIQXwFLlBKTBiS4Bdy+JbOXeakB46jVt7fkh6sFG2Q+hOSCj0
Xtd98Yx7lzyVZvLCszUD5Amygx4xbsG+p6ETLijDxqnUDbmM2r2nfkNMmHNQPgxoLwjDymQT8WQx
oUvdqYT1X6Lwgofbe6r8OhDz9lH2E/ggGyHD98hfm+ouHIcRxRLibto9ImMYFMedvhvlmlifwqj1
rsckwK3bo+R7DpvavjVUYePJl74SxEHbzmUfl0mUGp2tTz6jJ4mAywXxO5Ow8uFLUpt2tnE5awyW
jWCIKLHiDqtm9y30AoRn0GGGpz7ZUFi2rLu3f31O//8bdAiV/X89gP+fTC/qbz9O2fnrfwzZXR96
UMSsCqEzdCGm2X8O2Z3fCNXGKRhs/ouYqfqfQ3bLxzESMH8nKDLxPYfo3h+m7PFvNop123ZsnHH8
o3/J/RH+bCeIGUr/YYDkO9pM4JNfROZdYY/Mi6JjVLqjfVI1uhQ6gn8c8PCB2DdNNgX3y7BxBnAO
jef0NANr5zL3+J5bYcSrVcTNt37ZqkE9wFdTa0FdFUz/h70z2Y2cu7L1u9ScBsnDw2YaZPQRUkip
NidEKiWx7w57vlM9Rb3Y/Zi3jHL9QPnCwwsU7In9Oy1lBJuz91rrW9rPDjRXFZhjPL6q1Gksn8PI
eGcxi7pnzkOUBVke/IqNQZXI78HCz7XxtNSbNn1Rws9tMJF4kNJmJjGGce8H9xOweoekN5R0uueH
LY44Kfbh6Ebeq57gTFzdgtYT7iNd7dCOwu8o06MiYH08oYDk/ej5OkrEyzynTUV+POEnOEmdPjmA
WWi118D8Bwj11NpMa3lYMCid5mEQTC7mZGFWje/WvLn8pDR4lGOdmk419q5i2+KRxcceVeyJNg6S
YXSloDaHZA/ZdqISyK3Xd7RmpmAGa5GW3/9wyf0/EzV8kdKUNn91OFUkJ6X3F7PEWNeLOdv2ERab
c5/hlX4Nwwl45j//KX+9XMjLOmRswYqTSRC6x0X7j5YMVL2uZ+C+H2mvFJj3rIbV3lqTdBgiSt5u
//yn2dZfLSCYBExyAkQEcDkQhfhLUgBPcBaGSf8BOEvlq4U6fysxTv9KEH6qA9t7mjPBAJvN1mnh
1CFqxjzEcSGqcRtPSX3mGQZ6deni8T1VrgVNhC+tab/gLLH0eovYjpV7ijCjG6ouamVHYEiHqDKH
7hnSQAdDu2WzxjIk5NqLiLqKDc9ufP2JmqaTUBNu+7DI8d0BzKgp2oq17iY6o3qlWSoR7DY7AUbZ
ctztskSWAfm6mTwqi3B8gpdnO/DEK7GmB0tZotguziKAebg1Pt8+aXFdcKZl16PEOJ+cxB7qQINC
x0SdVv2nXpDAn7m2Ml8qd1WdZ2uIDy3QrEO/sF+GKC01dy9lLr86N5YnDmFjHIxZDw4xzSBMebQP
tdMyMd83MGoG6h/MOYVbHhvyXjkzC2e1cJoEprIUH1mzLJyhGyK0m3ayqeyxRD05ew9A740tSeud
EgoNMZ8vfAQAPbLso4vAgO7Y+SYuc4eT0ZdGf3XjS4weDeq0oOojjma46BlFRxzKVWIxoGlhscsx
fZiPy0Icbm0qdUY+joo+H8F692J3BeKaPozhqSWcgQMNZL13Vmbu4vYkPf0aC48366wcDoSVy+8J
+VYsUNW5+y8LyZ3iyD6wf1Ks98HeRkR4ISRn4nUZTMqbQoiIoH1TfB/bmBd75WdWwWSQ0juC0PBn
Yuj+TA+29KYfdRSCu4z/zBd638Gsnv/MHZjJmUHGIWUeadxmJDKq5oiyEer1LlVHmxAqrJg0oILr
VBMtNRVHFAUx7ThlzOST/pmC+j8TUbMORxl0rK8RO9RXbIGm59y7zlGUMTJT0W1SHNWfSStzW1al
PPqWQ6dL5+J6a+Hkss5m7SLvzBTswalOVGrsXCDVp6WZMNa38yJfhbtMz3C96lOhw2ClKXH8mqCp
vSZ8imbgWIyBPtHnhOTFSEZjky9FX/i1tCxAa+agbrabgYOE4lOW25H5HxdE7w5MeyY7vjWS/RvB
3n0Fs8FsGUdqOfBcgaRpKsQDf57nQUOjUwwesuk73B5JxFeSm1gqgWpWrD+UWY4/ZoCf/a6mhWs1
rczw05OIcTDUe1YTmFOTbNeNjntEImm+ISCzUwGQCui66aR6XlxtMralMNWTEWfTl+xHki6jsNuj
nAyN6kPpKAmFpMi/GCEzZoE5GlvKezRwkO48VFbQUOHyUOUI6QesVwNiaoERkixMPhE7sJNOYWaq
3A/X7POrNs+Tce5Rp75jTuv3Vm6PX/HCzhEPtJAl/rU8R1RqFBn+fMzLhQ4OkT2zGlRXp16m777g
yYdDvQjf6mJosMCWDAN0aaHB8vYbzR+e1daPLDb5n3EnibXwzUvmYE5q5z7SM9A+9JIo6ko7+Mk7
d6ZPqoys+lXE2YwLw1k6GEaamXvUia21LvKPOrO4qJZUZg3GDtKW9xiSpSCj4SQ6H9gwYcbLZ0un
tzLUG9D0DYADDZ78l71IO93YJlsg9ug5cHyL1felM0XFvqOcSqggWtOkBRuvniBBNbaFe4lNu3rQ
aT0FItuQjzp4/3dnEpERwFlQAQxaziG2E7Y3PaWwm0WX2nBqegOUfA6JC2orTIi1fWag/s0qPOec
5et2DU9s/WDO9UhygWfBgGJlJveLI8caY74WXSccdc62hgj9E2Q/Sx1tzsuvxI6E3BFFZNvRaCHO
LVcrTR+uTHLoyrYtN9i20zKoIhCkal+2or7z5oHpEaZOAtNJ0ea3zzNW86CM1r1SLDgQkDjMKlpl
EK8xC8au/sL4bHwpkqufspB8qmxp43uSw9rbNKQmF3moJd9pNNOKEdp505+SlgnOr/kgCRi4bUFk
w+0lGRhB+Qg6UZ1aPAMkkiQQiQgCvY5iQhFbrEdb7AAtQNaELO5mWFYT28iAlbLWty1G19BmYwZH
fhUd56V8ApKn/YZxZ717S9fd8//nvFZK6b/LMAypE4OUxtlHLC72MxOUVJC3xtj5htIHGaCWEq1w
+eBbH5JM+po67PJ824skZP5hGGH4o6vpG/hnrPCw54iP2C5M4ITmjMcom01mN03v7kMewmhIVIEj
B8WppZ9lUcmXiEbbHx0XvEKslNmDykye/nWuh/cmi/Sc2dCSYUBxCN9TnOXjex0NkjFRW+IqgDtG
DB8zVnGSE7fXBq+TRTluWma3MW17Xj2zVwE4zuLuRikMp0qPcqffhSjZoBgclr6boS/fsiEKP91M
zynKRVh7c4eeb98oNd1esYFRtzGdyv7MY9lylsRBuTbqdaW5zbPJfsJZaP/qwMq9Fx2a6AZ3F3Kz
niEy7iTYcXqKowV8FeQjXWzILXKiGYAovhXE1t469Hd6gtjhORplZVkz5edsJGpUrWZEMIMSVtM3
YI2VxWcRL5m4zX5WCOG/pTOyKYh56+IJsZc4CmjeYRREaXKGS42PHTi/Pcbq1rpeCkdwwUuDCgbJ
vIzj+KIpthqohPEfvyBQgh02iCzfepk7LMhN7M23cehmNEHIBoEemO1iXFD6FmfvUODZnT08E/Ur
mkRo+ZOWaAMdOqU3+NE4lj+kRmfU3aghcx2UtqwyeGmZk2LmqBjLkRak1RnDusGWxkcZNtGQbnQT
sjQdORwyOZ7ZK4mj32dNas4NPijHs9C46HlYXrOEg+WpkURJQt7rLpYRnAAkHRE/URQIpNH9m3wk
ErDZYY5ywfKnCkN5yWs8n6xZC5O8AGfHISxumj2P9Yx1zzJNumekjFnjA3xio1NwdiU2ZOeJqd3m
pV+yi9t7Whj5kw4I75O6tVzbFaWVOrcMWdH+LDGsGh8uIf2EqM7Mo/FI+kb3yo0RY2ajLYQYqukD
GajYcIWmqoMKbxT+n8QlgrAyS2dn3zp9kzy3HnAzEMnsBvqXhU1V9QxVsDB3eZvpSFVpIQUVqCTa
7B0HEhOel9emDalU8kjmQwJf30TxcyQ6T7IwgmAfiCdO4NAvHV6jWslvizlywbO34RFZtc+z6vq1
NDxGPtzQZLo4WyhmVnulSwn4SIlhZbziOHU6mkI1N3NSYgSMv8fQUo1+3zcWbK7CkGJ8qOshZL9C
ztS+FirKTX8GoP7iaSuo0MhCOALZXHDIwcpU+EaYWuJ1jKf5u4WCivMjU8NKAm3M/MAyaHxrjboP
txLU/LmxZ9p4WpR9DinYen+DMWy1J40T9oSPk6jTlmJtBDxbdmZ0SW3UYx6U86L7RMVHpFlTCL92
R/MtXkxMY6rtLePQxFa+bKFdyxrxEonvZIwNFTcNgDOwmIIPn+srtHlGdU7L6GrNC3G3gp3UfdPl
IsY4DUCVDSgHc5A8f/wW5NDp+vSglVYGYCPqVlH+NlXZqkedVNlymFvJ9tkCdY71xci72+QKfrPq
nA5FZPHuduC1c3BPGBZG9D6gOXEhAlrm80dIAv1vM/XEJ9vTPnrT9CZ5y2sVPdCLzX41qug229ii
VSx1ieF8mjr9q7ewsnhgSzNm38cl3s/81at+W+BX5Dbl0v5SXBLUDGkTIG61LGA4lSsZKQDWM3+7
Uk3HIXZ66jRE90K3Dav/eWlI1KN/kaiqknZ8cKuKwI812bq5j1uRu77GzAvqDWzjPdFtmJLIqdGT
ruzifeG8BJ6LN4QWIBiIfNdQy8wtFEfLB9tmtsc1gkNDkQupMB/IMmt6U6bu7yZ0ooc1AhyyJV14
p6LUssHLPaHzUkoLCADQ66du92fU/d/wyr8JIiL/8+5s06u+/PyPf//H7dn6J/4zo6L/DfY2/waw
QXQfUsTf12em9zd2YK7tOYT6HZvVx3+tz+Cj8N/xjw3T1B1drHH/v4dUrL+trBXDA5ti8S8JV+pf
CKm4rmDh8Q84Dqjh/GKGxUqEFI1p/DWjkqo+4U1cv8zUxT0QJ6ZuClGHwVo/8SI5xHNunWIbWWxk
HG7Gd4GTA2OmMCHd0R5vyx+D+DGJebWUBR23g28mFAFyT4+D6bvaY7f8gFi901Vxqooz2fpL1ZNq
tqfIeBXRSZiPhvYr7+yD2YVboRBW+n7QXirjsx4M+iDPjXkoYQ3J9kNrFKNHkR1LZeWBY0DYJ6qJ
NZxYTWx0WwdhkCNfIGz3K0TtLY0RNa+l+RplL8Vjn2q+Qghoovs0F97WavtjvmL/CjqK07vJVZSN
PRIyQbC3ydGQM4iG8dQM2gnfywajFQcQbEhGVmmbokMC6sEd6cyCbPl02nRJFarmoHX9XplF4LQ5
lWX6uSHLEw4/B2dQDJvtwqtVo9sn+qwKfD9deh2ta6WbfqmOAuVJ4bnidkX8XkR/agd+f6jCKbYZ
o4wI0tEwma6AWAy2zE09zRe6OZOc/eZNFrjFdx8LpM1qX6ln1/vkpYdMT+XRuHhI2MZdZ5BuaZm3
97jgyP/310zaz8tk05NlkOifdDQwT67lEHIDmRXJOP6Kce3DYA5IxSPkO+kLI/2OePOGPefBZTVI
WSrCnGY6hCwpIdiA4j1pxcW06DSWb/SaMXOa2jsbGPajhFuv9CMfhzETW1F3SJaG+RH2C/3uetKf
bWG1d/1C3LGU2EgHBgUJM5ovWUKFwocbR5Jw7WgHThS+GGUe4P0xt7GkWXDZV+14V/SDjQjstECl
lptH1HyfuGdIC9CbvWMeMV3lkTxPFgYxaJjiKgZrOw8jlhzkFGPaxgsFdgZCTNp/NWHOFV2p02SX
Wx1MsFjVv1h9Gzh1PbfYWx66KO0aBsuNTY3W52scwQFgUPcRuldsIKuzZtNQ2+aE2Zr3VtpeY/Vc
WOB9PT3aG/S0avSYd6V7cKhq5FsmuFqz8R3xaxMS7tf2DAiZ2UPvFTZGfELeHBNcd95rNYXwVnIf
Oinx12FXDMaDaQlfd39YVEXrajT9SHk0jFzBmx11BkdeXgcTpi2y3ikZLD8VQa4lu7L9TdVe62xj
/SWkWs20Jlon821lhd6N6GZ5ZKfqc8BivaGda6IZfYrnvP+5jrl2+QCb/GjGzEulvp1Hu74XBaj/
Mp4Pkz4+9pPcGwvN2pRGSc48AuovYfw+RK9+HKvXMNFOK+oNOTqw4iEg/tLu9OmOzBP/C05x3Ept
Om1hyWrLa6K/maOxyUm4PIxFFtRVTLipH8HbXsrp2MnHrI1ivyisftf1D0aK9UQvdmZ3mixaJpv0
SAVTxc2fDKoL4KZf0qk4JPG8CZ17c4C/YYd+b8IiXgxe5mwBeXHGoz3Qdf1nKt2qmNs9tY+rAE0m
+0bTsR2b32EEvhO/Qz88TWHyFkruBncpuao+CJn5ZJUwfVaBgnk4Tx8d4zQnk20Rc6dJw+VwhVXY
fKY4CB+Ng/nT2MzNSGXsV6h9lxRJDRBQa/k42Oa+Sx/SlOXhcDfIxDsvwnijb5FLG1OZEX0Ycwbn
s32ubDSBxtG3UssuhewAZpw4NvtTE6MZz/HJtcabgpMbcrkUZF5IpqNEOHF6AG/FDnNkySBok43R
osm4bDDDb7qBjyZ76JZXz/3lYezBZb2h4nGH2wNn0ehBdhn2YJNDfnkLp7PWZKHvFMO3o5YTe6vL
Mv2gJiHu9vpKn2IN+9R2BIUj9V5bzh5j6CEzGOaqorSPedXwjI+oi7i4hsK6asV3SibdHZmbhg1L
kn+AVLlpJusxx2tuTuH9xNeCytE9kIdaM+n6e8u7RpXZ9JNMTeprpWdcoqzdEkfee2JtubQY0DvK
7otCPpgcv0opsXuPY3LGSHxHr/f800t1X2+MY1i013EBUMwwQXogGe6qqsaRWY3pKTP7HRxd/dBY
Rr+tkhJLU9Q+0oFqUNTb8dnpZIebkSSqn7aDvIg6nl5tlbT0YeTqWeBeEwkvWZ0Y6NcweuarobfZ
QU1gIwa7RcipzOxNlaSlmPdPodSnICrDgDi+tR3wKe7BO/Qb/oI7C/Ke1bi/cdNHZ/jF0dF2ocym
I+6+Tdr3J0ol+udQ0vTNwRYByOVJVCX0YSSrfB4PLktovIPxCFjTS17aEUKfwcvfc8YHmXvckfG1
mYznUAu34JgizvIka8gSvngzn52yHgmJRXvmz9uwuOMxX8wg1a1XFsN0NTbmRPV3d8bU8m3pa9lj
pZcfRlM7J5pM9WXj2mS3WxoyAbUg/G+ySo+4n2Lj2ZThKRv682zFh8lbXjvKTcMF9knHQZq/gbUz
E6p2pX30nPqIqzgJWnSWjdMXASfzrcVLyRdS63yMugmWOkCbTfyql+NbJc3Xmrh6lEFoqcrhGBfN
rajVDtjDq3LGPemFOLAZ33E66NDBy+ZQRfcT+HpkGabVZX29MB2wE7NJYUDR0OgFphacABEfZqJ1
h0XH/7H0Zzzu7nfheuqc12Ub6FVXvtSh5u7mOZwCgjVia/RaSww+92beq11CP7Vlt91DpwlYOlZr
3edwnJddlsQsogjw9E/QWmJMj0n007YaDFJUISvDr2MLa3uLjZ3RNoepgXl3U888tOvEGQNZz6A9
+tq8lSG5REp62ysFoiCirNl6cFWGZMLM0b+EtW3FRyjn9UMoRYUnTaS8/GcSGQcCMp1PlmefUYis
iIZETs4jFPTDpkxCoiGhVnknR6s5UTqomfmquRanrOE+om5Vc87c1cSKQKm9W7PGTq4tuotVGPRn
YXqWP0sdW0YAQB5sjeeqHaWV/VvFxbAd+q7TA+qAjWjXezX+DsX79YR+lV+sHu5YRSz2yDNRbq2B
msVsiQXeXNPhLZrN+0LLlnMnoujBpDfW74y5vGod81lm/YbrkDnjWXK8eOnZUx671UgxZ8AuqtgW
FzHRXEwLEllnfvs7ej+zYExDEcAVcLZu29oPFd0IV6+dqgd+lfCYpNOjk4cDJVis5MpUvWSz4R1T
jwI0SCoWrie8lL/70Uz2ueEc8a7lAU6V8MbLmMJtfNTI2SLkPKifKZ3S7nqjKj/Y1JYv9B1WFzl2
NrceskU/u/y8cplB2rT4TXwGc0Gmlyx3QgCybvbYwALmw22m5cUuFTj1hXSbkw48PdBk9hzl6nU2
NGq4w4jAkA0CJVXbVqYGGO6lOrHMwFlayvlJo+rwV8Hi+iWx2nALgGc8tDonZeoiQLL3c7gzZ9d+
xtAX77SxMsFXhQYmtRHnl6Jp4ji7WrzzsujBSw0JYagPr6xSejIMQ/qI2vA7qcKTKrvXEctjQjNe
077H0VNTLeNWpzWc5vT6OKZJxREOI0woxyNw8vgew062xXD9lLiUVTZsOLhHvfhC2fWT1qESLHpz
1cKRASh0cZ/KkEbXJPnCmUnxOH1DG4HaZTbTD5KpvrUeSDgbHpjaw2PNhuaS4I8CDfE7SgB91Kn9
ZvTOSzro0idyvhtSecN9Q2f7YF3S7DvnuwzmPHkMU/zqesqbmFQrNsBEy7YpKz1Cp6+lnDjapnSH
dzG9DsCSmEdI6VGOymPwPHv08+SslvBnAF/qbp1o21PXrvURtG5jrjL3XsMSa7DeMUea9Lvpm8jJ
TgY2chbimm/bY3YdbBxbpbfaY7FOTqASuVBs7+S2Tv6DhymHYmUsu0oDTVZMvdyhrbxEyaSuBf6I
Y9fFXnpzPIofF67bL4AtTQBBJjzSqwiAwNAgCoVzmexoCGiOvGTliiLwRrq2ZXvN8r6/o7g+3fdr
ZgZTaZVxZxRekExNGUTKof6pytcNRgO3bGPHA/EHbzC29FMuzFFuYV6A9lQmn0mrPoeRHI2f1xX9
clzflOtV8QdMOT5tEZ/qWWvbSzfAZllKK+pRa9ShxnuHBEdJXnK224nI1EGibbA9WrJtg0HXno2v
VK/3qm+cIKMsfsPa9J2hOAWHP/3CXENxNerr8V9fqfz/5jMyMFT8k2VJxdX3q/xvVqP1T/yn18gD
zoHTCNsQ+w/J4uPvyxLDo/mMNbdnOw5dOlgq/mtZAoPWwdLBisXS7ZVgCqzx78sS0/6bxwJF9/hD
jgRx6P0ryxID49BftiUYdjyHbYkUtiH5Nf9qUnG7SFfEvDZSLZhNlVBt9qHF2UqAgFuug2IjUMqU
J4V7r8069xGsidbtbyN1Ckkg8VIadG5HYKEiPgT9ylq0Z4qMxigk2AFuFqWeAOAFCSXzTnrX8kJw
p6Htnp0JzsdRLCp6TfCltxj95y68Up+a/yKQQncV+X+6q+lQoEBcFMzysUcudXKtXw6ZOPLJbfaW
OBUy4Ag9ucni7N0aSkRbGRa8TceEiDErBbSS9I7LmeFlYtfKnupbJaNxAOceY4Mone8EtNjWouzr
pvKk9IGH46YmfcunMENiwBkY3xCXwwTl2UMFmm1NA40IF2qj48igHFCznjj6NfeqwCYBuq6KHvop
cs+Fl8j9Yi/TnYN3Epk/7dC9emZSIx7EHWpcC3qR8MYnFr93z4wMH4NStwlHZdzaaCSC7ow0zVQE
fbZzmKKsYpif9mjCxeB3HA6Imva0KtR25d63mI8/mFZxwIBBlNAnjmU8RU9eVFMSAtQrOggbVPzM
fv05GXT+nCradCvd8Fu59XuhsoxUB0Z1vl52NYZt+XRAULgYe/KoIa/t8dQQlhfj+rYLgGsgvosl
QoOm8o0lUCkpX+wpm6sTinpEoVFS3LbPa4rmnmLSa1JlUE9IB9MozAxvTkmE9KHCM0IcCmcVDsUn
MFIS/ljfDoYowC1o9Dld7VHDY23aqvKd1OHkye+GimAwlbftMJ1akICbKV/dMFWNfbcPCdcj+Wg/
PHuAzw9XLzCsNNvWpV3tPYqg2EDTmULZiTxhMO5Y+A0ztn+EvyHx+HmceyIcAz3e3s2U0e3n1Max
FbMTuIO40nKtBXbmzRevse9kU9JCHDPe0Tal0VClmGZzM7pCGavhUTrFXYgX/xM2PsySucWeCvV+
2LNopEDKipsXu8z1x6UE9dZ4bvy7bUlTtwsdmGVZSfYoenrX2Kx7Zs3EUTMlt0S47bFF6GJ1tjSn
cs6SnSqKy5IVNYoKeR+sKOsLcmTTT23aOt6aNV9CgSrgmoxeqZz7ra2Yukg5tE+WdI3HRhvNfZpG
DeVA87OZEDmyeHggnVbxzDG1PPWUv52JYdZBaRo/R05eR+ImES9+j5hlRMrWJ4zMeTGvp3uc8hzO
sGIEBEMkTmh9vyx6cd9pstxhlhBX5t3wPrWW4Y5GiP5KOcOCWR306GdFAa6PnWQ8thT2nBvKTXaG
074ZyoDYQxgAwgFnWspcyNUL+yUyXXti8lo3jSMeePChfOsnMsHkC+CjcBaLrCekSGBbXozfAkVl
eiPjBgA/mbfkN/i2AaJAvJnM3A9T/linODIa1tT51UIf42YyMqwsa+nYhGuINEBQKnYqJOfwwmhk
wIGp2A2ElCh/He1eENY2rHM2wWk2KFs8wWLb6o76NIfsIzFq59bMiE6FRj6oZXIBTUZC5AVQ5DLv
lcez0aNsuzhQAB6xvAW/MvYfrZGxqeHekh1rl8qpOGEndEsFbSSNg0dBxa/MmiM/7zBpNallX8Nh
yHXc+jpB4jhpjEeKyxwOdXxqKttmg2NcqL7jUWOKlpN6VPCtPUwt0euNETH4CXblAcLrTlT9dVr9
bFjtD6aqj+io9xoZDUgUfcoKDkuFgXiVJfMLWv6poSzP5mdcdPjbXuh8WGtE2Yp3tWPt0o4dcWPN
Bz2P7yLikcTXOaAJFknTyjGl0lrn2Mc/3beGvisgTulNdaB0fOM6828r+aFTygV18p2Vlj9F+s5Q
w74azKtrql3JhE2uZysKRt7UPdcpjCkrPw+FOIcT22RsteFCLi1ujjMJlrgt71xF5BjLUz142yIS
O+q+7hE1tyUEU8+LeVYgAWh0Vxgdez3MeTXm1faER7VBp2RnCMzzUaQTTwLzkK3L7DK8jPTFadZ8
IxGxmTChPfE0g/GkGUO44bVFVxYzEV1yLHKkTxBjfhDFCE2pr8XWLOKHhmpBfLXlfSMo/YvSH1lB
bUSu9kpLFTFE3TxIPbcojZBkX0zy8SeysAbIDt6usZaBtXFD+7kx2ZluKWd/dmBX4F9kIZdCZsaL
aVNHPfDk3LFHKnaS4MO2yzC50+Elt7Lzvk1aKIEbUXS4lMaFc+ZvCLfYKSqayKibtvwB7fzogYMJ
p7S70jzeAg1Q4pg1cXhvT1XJrCuUX4rqNMGw8KeYVk3ss3gjUuvEMzDe2CMH+qRuwVugmRtVfIhq
775yFG3NHb0rmQYXGoxpva3Igm5xGHPvdsMnKI+rQRWn42b9x1IK7gjvvhCLeQhHT+0iq/oh9fCH
JIDuc1r51ZEGJPgwwA/OWZjAbPZ5YO6QHndMRnfGpC9X9g+zn+bjAzmCkydL4U+kA4/5FL2mwxAF
0+Cc+pkqz7B90CNxaUaTJyJ8TrcXbH+VXryOBZBAjgzjoWuy8krO1Pk1Uh98ones3IcdrTFwp6dk
J1bzxdj1xnvM8hbMH2KGSKIeMIHH2WfAmIYybl7soii2skmyt5hW6XeY81deG5z7ewTnDUl364si
rZNd6oww4BO3PPVGv5SM9I5t/QwH0/3Dpt7KUadgsifYvR9j992YIulrTvhjzL0VdcTzDme6ta4/
sLaSKIxo9KuKm232FfvojnmatxCQ2NfQK0YfF/B9Rh9ePYC+6paWp56ghE+JywBr5ZS3ClVEezeS
ZOfqTe/HbruLpyZnUSge5FKYd/RNX4oeh2lhGqgI6cKTwtS+2xoVKVrGx0XPHnvpkWAnaUvW/Nzl
0IL7KphiLyO6zEtCWzQ7CAWbyAi9JIWDeMiGwQlizqUbb5jp1lSdt6ar5+cWpupKv8GaMiMMdoZ4
d43im2CjuWuK1D3MdU2mA4LrWDSvNmVkfjQQu8QwT7dbWLChqTORBIOFFr9zY1Vf63DKT0s+GYGz
jE+myXmJtrxfoWtMgE/a5ZghZwcOnFHypo9x696nKQjfBsLAfFGx095oSVG7rCPwwxEYW3Wo2fvM
zapPQE5QNwxIDs+G3nmjD/cz+iVb2B0gjbCcJXBYxKbU5rUPtHuo+MQ2XmI1OoW2+ouJ43wjXcr5
0sVcjrM28J/7sVm0g0HSk8V4ZGWHsJUahIHKqbcJ3ylEpmaYabjFoANBtYjh3cYNoae0rMQDRroc
PEbEDzQX9548qLp2EudOM07hXWRPCzzffBGHomyW0QdNUF5bnGI/9WmMV7eUccwcvedtNA1H3Bdc
aCY8ZWjS7oX5WuIixXJ9dbRM7Gn5bXacsp0TxNi3tOigCJkGUfUW4e8MmtV6a+eG0w2YMTaJstlN
aCxbGkFvS4y8i2j1MY29cQBmN5W3iH1aHYDZdAeoxq6W7usO6FqmafZIqlS1014f0upOzf187g1D
w/1oTOTRI7+tSqfdp1O1GJ+TXNqD5mG1uRqdgYusqNzH0EqK8UAScS7wiU/qGc8EN4zsSgKpXhO/
QI1eBp+eRnmBs6SxfraGDquKE0XqU2iZbW/GDNBEMFO9mQMJtFJx0vsioSS+oonqzLMalY3HeKIF
Gjv4DjMpZuXN7FqQppYBLEWygSsXdntlW6m+Mx3kb6waduO90ufuto95rPhKYgQ40Axtio3dopEB
KXPCctlzs9t2s51glTinpU9q841IvGEdattNEJpl6MgALE37c5pqF7JoAagmyAYa/o7kpBbzNlgL
2euCauGyZ3JiINs0i532GB0NF1BTHOG2CTMpPwh7FU/ET9VwpEJ4GH4QucJPxmTJa9ohJzxeypka
vI3nzFkDCLhVw6+yr0ra3UDDJw9xQVD5JGJ2MMdFCVcdhiQn0T8PycQaPav78xhythaq4O9FfQs2
a8C+eJ66KFAlYFSRVsnXXA7RURDS/sjxtgW4hYaHUOvk0Z1L+xYXLo4iCsN2fD+anzqt64dAFchT
V9QNu5MW3yZzyJ+SCFw5qA0uy6MrtYWlymJvUpjmQeZoz2WuIR0OOzMz7GMoWufQ4FwWaVvd89qo
UaYZX4tYvaXESbd23zRbin55THn9zmmN5rFPkq7yrcq7y8aB2vDK/QUB0T0AbnkpJ9H4BQygoLcq
40bHSvwj1MGBECLeqLp4Xvq4YgnIGjtsTl4RIdL0440sUEBGxdiJXDsbGT2cqSaeyFT7qQXiAbjF
C4onS+FkyraL1xi+XlkPcyXeFRW/jAShjwWDMH5d7c2s++oqcv3V/DKO3t04p6/sRgEjN/1Ev4JM
X/iq35EjbgT9me205lde3aouO8ry/7B3JruVI2mWfpVGrpsJ0mjGAejc3HnW5JJL2hCSu5zzaJzf
qZ+iX6w/hicqIxOoAnJZQG0C4RFy6epe0mh2/nO+0/5IzPKQO9NlnnN16BP95iR8AKO/ziFOyMil
e5HJaFjVx6SG4UIP+YsozMca4HbUW3edD2alzYsTGtyX6YOAqkK/vAlDP+H3QlE08/tQDo8o+HD1
QN3p3gDfV/XIePocuOK+HQ2Eb7P95QuUkDoldD5OF9umJLLs2b6XI8kkuDFh3T/MZfY6+d47R/EB
yF1wdGobnyUcMnBHawdVbXkIFvEhr38lQb5ynOA+83iU2faWYcqOxRdxzXTeM6wg8AJG4o/Ua89a
7owg2c8cMMLM+wSxwZ58OnrCfpuweFBzEb9NkR4JLMfHaQ7eMi/5IUnanC2zeEfwOGJLQ8LN200+
hfNWlPnLGAoI6rLfd6b7YUBk3GDOw5DhxMOuN4clD1Hi3sSAEbY3t5I9xisxf7SSyxENn9fdY44u
OnnsRpzONc3vnTPbyO68ZPBCK/LGb4BngbtwSl1Rq/ATvXdXthHqMgv6WljJeczMi+camLeYOxsY
7ekisCCxmvbj4CbPRaoedMJkVanmIcaYv3Y93mXPObp+fBTsbj3CkTP/PV3GqF6bPVWGPrR4NSq3
2OPufjLZuoObuCXp+DLCCHvOunybxZgTxHyz/fTZNvsN9dSnqDePdAnv47k5uLTRN01N9zOG69Gl
o2vQxd4Uw7lvgwPtayevaznIp880+K4dL9sydj0iKz8Jr2KkPWQnSN8bq5fxhYjqqa2svYlnzdbG
cwDFeV118dfINGtLRMfem7I9IRpvQ+E/2lOgMSJxg/OcZ4CHDa62UqZYyBHZ1Nx7s+Hd9U59h2hy
RJ95TXT8M2BjOPOI3nh0Ed9iW3YXc4BGwFP8rYkm++xXojiYwt0Q/q8fE5AhtFFMw4ZAjX+PZZdk
NWUCDPG0s+Uc9TKOeB+kLSSh/pHa6KDNH3DjLY1J1TluePw2LakqjNN3WP2fwFZsvcRYwa+4enHw
TaVqNwPweeygxu8BVoFGq8z1aNWIGv6efO7aRdI5zZU8WW6I0YhxRdoaB9QcksqZwOOhnlpqGSZZ
wbRuwk1t1OcZ8PyO2Ei+R+N4gA14Qsni3I0keZgxGY+BgemvPyj6ffa16e7EQKNeW6rPWUav2mAW
l1ZbxCVulBhXNbjFm53Y68b0jwtkj/NQSwjEPbmLFRT2ODTEY+Ix3feygxxN42o0t6asL/mweIxo
QU0Xw7e0vE3q4w2Rwc+FTE6wfkXOymM30W6SAN9rE1Ybvw6/Q1jnitV7zSObGPnaVfKe9XqFtXYz
qGTjtuzjc9c2rjQsPwaBv8sKZzu1jzTzHpvaezbFvOnn/FHwhku/OXaC01rBHt1iSyrSHRHPhTpi
IgyWtk8mQEnO5vOw4wgOZSGtP7xo3oZT+K0ZOIrD/3R2VoihAbcEsWOzPvSl+Cpy4zBb8y/iEmtS
WuS0Gyfjng6WH7DE7kYmS25/DRdYDqwIYE/OY0RHLbWM3lYXWLFx/ter2K1/9nWBH2h4Jyx1pXBv
11rjxsnm702VvYFnowGPFEJTOUgxRYm7f7hfYGSFas9TUV8H9hzMsKlbp/hipoEXQsP3JE/venxH
stPnoobgkWCxUjlrhwoQMZrUwRcRhFtnUm9TI+9S1dyKSYwrSxCzzswMfl9rHdlIvBDP39FET4i1
fEM8O45ODgeF2XUahPSBB8PF9DUmYAddV4C34uQqnsOg3LQ5gHWPbwPta7wmdHytiFA8eSYgmVQu
8xzmlnBmqcww4dbb6tSqwtpZjKFJi+UfmcV4R/Uaewlo4aMVQXBnI/Imx8VqUoXDLpNo2tTMAKvq
q+ZU5ZK3JSoiWHjxZ8dHsIFr4O4HRx/YD76lhMPXVtRsiZkEG7aktBJr/yFPsuci6Pzh1ecYxVY2
lkzSqCDIyCuRP8uZMC7caJc6Du/g5aGRmU+5pk0AizghvKkz6HxqcEx3S1pgR7BIwK+psDjsoGwG
jzryJpvZZBmXZ5ngJt9nuLmf55wQKJ8HxY8MIh3rGxXEUb7u66iGbSXK6o0xm5XtYlZYzZFrCH6W
bjD0uzRt1S+cLO5jOffDY216Kc3fPskvGj2U4a40vR4Il5nskDMrY4anFDbV22CHVMRUzWSUnKTo
Ltrk+ZDe5gTSWE2O8lWBwRjW1AvX9VpM0fTqB7rnnK2jKd6lITI8KUrWiTVYhvhZAEZL6R4gGUSJ
9eA6a7BSc3BIF8QIzfIJKEvcb6qp90U0u5phdulAkcYPP267VHeo94Vn7MepzN8BQbUPA5aTO2tM
GbcXFnve31nf/7Ek/8WSDLn+8zHb5UuX7T9R8//4C/8xZZNKAZyjU8wHky/+A5sv3L+aGIBJKVME
/Edv2z+mbML7q1pGb3QEepbrMdH5x5TNNiEB0Ifm48BzaTb+t4qILbH0Sf7JkuxZHjl0cpZK2ZTn
Upz7L/2k2gU+Z1LZyNJJV7jjhKe0LDrGV4PxaslmK6c+u2SmaLdgz06mXb/XeX8MnP5ART1LiBl1
e4URUjRsuWyZE0F0gID0enyqbSiJmFUujfAee9RqLtj21pvxtwle2x0FrDu3tfFkuj+92v7R5+zY
myHbwSa6b+IM9n7yHi7Nw10g+uOsgu5YtOhJng19zLabF2CPDNApEYsDOADsQu/sIsL1bEuC2+Wl
yOI9pq57zuhoExGBH079xwKQcA2E+VxI3Aol+76o01/Knt/hVW3TBO+xZgvKKPoXky/WQYACOTmA
JM3uWGtzDhVZdpJ1C38weWeV6dCkmp0bFTglk5KsTwc8Kb/vpnxJE7EbU/4PBehfhcc4ehmNun9P
TAWHpPVIFqkZYY2+DTZXvMq+XZhwGLQM5jK4eHrk5rZm4mW5j14Ko6UiY7OuZlZXVc+vvNObFvDb
3gQ1naG6b+wxOtva4gTZ6Tt4vA+yF3e2XLLU7Vpb5ZW0V7LKy+Jtbqxs5VfjCf+Hu27N4qqo91xb
UF225HQIrMIQY5C27Pvd/CFKKkJnGdwmHLLh/ACo6sr59bYA+XQTdbhbqydYio/hBIjSCI1y5xAN
HeDS/DDG4N5wHYQSTwO94YuRh/CktlO9N3jObHrfJqQ059o4czMAG/bYTzrlAXThLUtAMtpVd08t
whP5aeMpbRj8FAEbJmsgjy+6+cWQ4Vmm5VPd4IRa1fUnXDFzrUbb+mUEcHW6yRkOvUudEjOy4CX2
rHBT2FG4K+PYPpIYPHVg2LcZCGBwmzWTrEarNQiJGhqE3CMo49kMftWWfcW09b0AeI+WK4n5qfSO
QKS4gLLbCdKjO3/SsNsCNa6T2r8S3j5MCFcb1br4QBvFbLG7LSCjVYtraqHyGEB4+0e8TAz9gJBj
a0x4XcBkUsButqD8dJXGkmN9pC5p17w2mf8MpfTqZtG0i2qT5HIsxpssGNvNqttAOHpDV2IW1NT9
1iRuQH6fwhtR3oaKlJchg3wLPP7TTrortQgAal0n2ca2efCTayZRnwMao45tsqBsuppmHTlYgjBN
eTbYO6xxWE17oFf5Jrb8HHwFpTqRl/0YLExrsNPJ1DJCg9LTnTmFPJPZBNkz5Bw6Cbais2Ekx17u
JuMPv0gvPWxW2okUkH8NKoTkgjvW2P/Hem3F4rPoxV7oOKV1JwOtHeMiizBU+1hiNimIpjbMtlF2
F4us3lbcIFH7UCwdWv57Ak2KSyH5EQ6XvrP9jR0395Fsu3WWiH4lZVNcun7KJcZqN3yyRV9xZrbq
i2M4yPF+lW9RpPROmGhIVpQdG0ZV75lTDbvJCqxXFPwn1U2XKYQ2TgUfM03wg7cK3M56GlXxo+xo
EOyKztmw102O0hjxcuNPHf2hX7b3xaZwyzt7Hq/pHDKO8iic8lR34SKo7gfoPXAizzrzf85u/w3O
/0tGdKIhzrrJR+MrdhgExbnJzC4M7kIK3+QsTrKfziDdUqyQU8dSnBAt92x+SGkcSIeaKzrehj3n
AJifE6cgw1sy8PE6RzCgBeg+8rpbUqasA2aYHbqlHD4Mh3OnvJNODbGpkIMOs29eutx4rZ0Wn1Pd
m18JsTGO2KxdlfBgSxYix9FW4tHF4+TNzUjfE5TWbkm0arfg4KdHMHa1u5t68ppu9pY2j+VkHwqY
J4vXi2tIZlt8z8TUiWJ/C7IjoQCW7s7q25cJGsDVCMWpGObt3BUnzpKk7FymznABmZQOShLHjEFD
kcVz14M1Vz/MlKVzgnp+TZ3ozqhopu+zVjM3iKJtlbXEZtzwbsg/RFqYGwUafO2m042guvPRd9XP
OGz1vrEiDqatAlFsHaKSWAg2yBJA3YrpEKWRzmmgpcm14psRxy8UkDnbqMdyaaTHmJgH3EzYtkvf
jEP4hI6wr8n1cJ6G2dkJMLcBPwRIEhK0K/oKqCLENORop+6uces9Nw5Pgi44o0D+NK0a9qJPJdVC
A/eiK4npr0Znzxb2VEIEjdpFDcSvUmEzRBVkbxgtDP6eQxROFkrmGAlqTYazHuvuEEU+4x4Qsuu2
Gx5lb76NdKKU4ALWANg/UhPrLphOFBe6E3ZUoqRXH9gXh8HhLXaDClibtqx9jf94ZbYeF7kXNLup
IWGcGPQJFNoxD6Iw5tdxnr9jNMa48gcLs8p5Vhli3Batqg6jwocSFSPDGWDdnwRb+p0E+85Gw40U
kNzFTkiT5zpy4LyYeEqPM2DVxfY4HGerBMEvxfRCdwznKb/IH8xUbUnWIzyoOzrfpmUaCn6DKar5
ZBvye16k+lti9lgSXRjdqj1CjZe7qJU95gS8/ZD5Wc5Tt92qDEFbD8G7r12801UF2sQcUNTraKd9
hocmx94C1IbGpBpYHhwXQ9WbflIfSeLvsfKoIxB886kO2+/Qd3iYuY+B2+3bobe/yxBcu2qMqx0K
klBiObZaLdiB2kIf0jwuofi2R2BP1P8wrE2jdYANui2IF/jmooGtaMIBxwLTU2GRjgO1aehDwTO6
Tt3ykidUgcAtwQLxQrD1EkAlKHAS5CBlg0H7uwlCGvUsMfWNXnXAbvsNn0MJXQkGd423mkHScNfa
xCnb5aZ0ws3CKkunem3WzjZJXB6a5cXsDER6jhgOd4Qf4EXonoC9vU8latA08nBtjkNs7mIpn+ny
Q1tZBLTE2PgToesEy7TfE9Omvj6LrJtFpqIg00DQeUMnAREe8SUIepXiUpgeB1D48B2Nbml4kOo+
LOIfsLDPsyYq4OC9pZ90XSE3li75MPgceQB2O65OZS32mafX7Lt2neOcsKR6e8tv+MjRinYxvJVN
IGd4hs7NLqn2TRFc9vhtnksL0lviDApfb9cdoOG+eIS6N3LiidZOzl1HJ1ylzM/QddA+eaABSPkF
ruDKZC/ZKWbSQaEPEISOdiwQ2Av2fHG5nmeDyLm/GxCqs1weeh1c4675bPSjYQ5PlXQ2qQ42lf1U
ltlbX4XfiVcxIfJ2PSrMbGQXTs5HtzZvJLY2dAo3m3IBbo8DM7XKjHfwZ2CINtOvMvVeFVHWZYFI
nfqNIfYXA4+zIlHSBeVFx9l+EN3eiOU+AtVComafqgGrZ74l0n8CzPo214clR1XWIbv5Zmfn/sVO
b/48vPeTuOjwYspHGqkeytE/d1hupNQMI+GaRs3FMeEyYB1ePFL0ZY7NuZFsbqawu6L0fDhsdtMx
pS/C99g0VcWnIJLoaGNTpdd2roK1GdZq43spv1fBt5lMh6QOFzbbaUnjDT0bs38lCnNX2s1Db6gd
i8iVc80K9/C9GoEmNY/ooMDq8rFfCwTEeAJaWAuydHCFG0Hng8ETpTYZarDqHP3pbWSnBj/jexxn
V8lOVWnrDK4N33X0XBWEiaAJhtsJjGPGZC+Lu3vyE29xiI28L20Eq4hi6M6+wxnS2+QG8bKCHJ4w
PxjQ/vxjV/gvrcPupW67E+jZ3SjsZt/ZxgMuxee6enVH5zI6/g+upHiTt+mjIGNNPIW6Rk4jITUA
wyc6gL+ly3MnMimveALsfVHlh3kUtyQx7wfqnnM9oU9pJ2BONUD/dL+ceDEId9NLvOQtazpIiaBz
G3BZ9v7byGYJf/TaLIxLVrg4Fp9t19lXBsMz5dPO4cj+sYh7GID6jmAKtununPIgjAzsObLnOUAQ
7RgQY7Ic563v7/ysuk1hc7UN78nvgk3a2K8SXc1i2ePB0YD6FdVzN3+mzkeijK/ZPseGujedrQMt
bVn2HqZJHfTcXcu6sx+aMvk5ljGRTvVC9F+tCRFtUxoyBl5dFBg3WNLb1GtPQvZboDa/fKt8GMN+
W1avInG/sPYf8qQ4hzHhtxATPN2Jd1WNxVT39oknN8e1eYUZHJMHuKV0DHax1R2t2F3FM8QFDNTo
8OXRKG0Bv8jFgjPoK70H+1ggdNYROn7znnoGgiOU5IkSSGUS5cXNQzqSR0OWD0djCG+qYU/KwI0c
Jhz3FRl2hl0RcKOgGLZwF0OCHj1mqqj6ZYBQrUQAYIxBE9YTb+tarOYooi0K7mAfLbQe/ggiJYMX
VkVvFRGJRPcYXS1xq+r6pZ+zHN5qMaDAMSyDgPLC0R03C4WfG9tOiMrJp9Kwyz31Qx/Ah9KV7ZX1
vreK5x5IxIpJ3hGPOvqh0bxSR/CWpwX5Fk1agWRGTvIu+ZFzal0382iegrJ0d3Pn0fjkOZ/hUD4y
FlEbGE/3TZLQTxBgVp1KfSdMXHahc6MdDPRSYhGnbbBEZBCotkGA1S/RPnJdHb4xnFCkLGV+oBR0
2CdS0aIKmmxvehOyXk837VDlxNVw/mCkSQrsHhQwGFMcfLes8FtUE5zigAw2tw67u5SVGBA3u2TR
AN0XMeZTg1iCKQISUB0qO0ONcxawhTcgHGRJux4H8Vh41SpyqJ2IdbXK1LClz+TLdq37DH0yyEoy
aG6QZassBF/dDEFxdWPBaQJz4cb14A6N/dTuIqf0wQnF7lPcy2jLWzqyPhwnkXOIDNmtjOV43wYI
4aHTB5e4zDXD4gqzpeyKYlflVb3C4Fis48UFCvGZ7VJdZ++BN+ZHh2Jvzmg/6H5Yg0rY0SqDOdB9
LfE0DOSaaSs4OSr/hUVpZU/5exSY3qGcSkrM4cq6K2bI73k8vJAnOhrS4ewe2qdZ82iDmoaabV8E
quqBKf2Z/Wm2clirNg1goZSIXmXIiwM24+ha5bfOqkx/O2VqqVY1oiOPFkbDHD+sgIcf+CVvQg6H
Bh9/WBhWtmPaZ3ufwzUEZ0SYMeroEUFh9Y8Drs18a870pwEzJorK3cfqEZyTMLhO2qY/kdk+0J9l
luqKFyj8nx1tNtZonXu3uGE+XXk6+gi51OjKIKai3Y1VpdsggR7ZFLuogIY0zNaWEcqKeRugl5bH
cpKDkk2DtGFs0G0Liee3Cw+ONZxDMLirxp92FdyKTVfGoM5VcbYsm8kfyVhRnDCwfUlyMbHsT35s
H/o8Osv6M3OCZ8L/9/3Q0/+sdp0nTm7TrfoO8Fr3R2ZWvwc03egs/2zoQa+z6JxNbyGR5rLAkCcJ
w03pq1FUlyqtD4DyML+pNebuk/JMSBgUuMfkxhrKPwpjuMgyubcB0Va6uw/77yZQC/yMzjnR8Ho5
hG56zV6RvhLJ2zkE2zmhkgvHyX3He73uAgnROzGXbRLR0n7ZHWPFtyiP6YAeE0DGXkEhmLHLqglj
qSs+NQ2NdWLdaoN8K0CW3rQ/PAq1tC1/tgP1VCjihkDviPNiZ2VgqkuPMzp7vtmGVkwzLMeMrrhR
j0cYOHXrnVwqkwuXTA+VtTZwAZD8K7/zL3VSP0RVsi+HDvXfTrchFxiDsm9YbM8z/KKVbrEvIrzS
4WUdKrM7e71/KLC7bCKiqVApGQnYMVMM/G1WuoOnezJl8NBM8dc85U8WRqFNZ86/iHQ+4uX5IMrz
igcotQVavjsDYzSY1LiPopnkA8uFeadyqFudZa4Ky/6Z0ry4ZjyI8Tt2XoaizgKQg8v6kqiSg8ip
CQ9q/D4NF6Ol6KXuSjwK9uDhfO3MHJh8ngYPuirFVgsmGQCX5E459IhGTEkoCJ9S9g19BXio06G5
ZjIZHnVYcH/OVbufhyH6H90/bqfjz7/9RfzXKJKv4v/93+LPIJLl6/8OIoFDoqBMUiDo+Y70lmTL
8KXbv/3FJD7joAn7rk/oBtO6z18qyqaN/vYXinRt3/GZAUqyKMpdICW6hA3xt784fxU2aX/YJgSG
YSa53r8TrbEtfsifRH93+RHSNYVSUIYXqO+/JGu4SoIeixlPyIiGsn2vgJ0CieKsWewUoMmd8LDp
rXvADEyhrEGyx+iDofwajJmBdzro8QcxUSz1ETNG3EIVWFfk1gC7lvZwN8AtTSBFcH0zZa7nWtAt
T/DTAn5ljcZGFJ71rR2Vc4ugbBOWQTRBOsq8mofISO8uMkeHMzWFOSQ5ngIdA0HNtzzMUTCVa8Xs
kEiryobyXKoyJkbWNWF3dDVP1/ukNnhUEnrlGNE7MH2RuSKP8bJrRt9FREXFWsN1QNEa/jgeMQJk
Ng07C6pnRbs6z5gMggAvfhWMcjpjOuvpEBFOwnpGsOhX7cbJY0dCwdnyLaRed7XosGLSaxDtalvW
32RhYQqtZRM8B5GOcWjyEERqoQiGnK5u9BMs58pYTyEUl5Vk3wSEqyqHj7hu8HmTnKEQB0GBJhkY
qhmTcqmtX/ghmg67dReCYJqTrN5HRi7L7ZgYIay/rhu9u7zoE7kkKtmZDIFKup2u3PoT4DsdTYgd
YmJAvQwZjKqrXtqatqr9yOrEc0/StLJVFM7eoKUlS5eMQnMxZG9QMDx4AAzdbAqmrWi0FnvhLaEO
NBQLzXsM3HfgXxxzE9F94fIX2Vk1Sd3eLedeDNeCTgs+BpVNR7/u3fZAABG/rj0P+FSgQMJwAio1
MS/qIndadoa2s6cIJ/i11KeL/cg7+ooZs1X4cKL8vVRs7AksYxvxOODW7vg8jDpFoME3Hu9bgXq9
nmO3TYlq6yBZU0vB+oisk3MIdAP4cqWfvM005oGwS4GTAlTsB4WM1drv5VS5H4lQltqPs13fS8si
4SxaR+Hn9JeuDBzwDOBrbLA5onTvXLxeVdnG1D0KJwWLUFYCCnJ4JtQpbbXsi5eoQkdTCA0ZWDLW
trsrprH1Vo6AGEA8P39WydA9db1dIsZ4DGUQdFK8B9k4ej+TXsvvyYCpHYmcINUqqKbo0yStfoNe
F5hrn7wIm/S+H8XaZ5v+2s/CfoVfh681qw2PTtxqtA+tFQe/CLGx9eizkPPLJB5b5YmPtrdhdmHn
Dz5bo7B/xZC83kTX1ycdN/IZuah4M+1J1wc76UNrRb8jse5S1SLZNn4xnkwO6QQ78M2z65ZmOHmb
ltp2rkvuR7AU6FtvbulMBt2vI6fkuBHEdDygmeWq7HvgaXTu+enKpZ4Y7p9O+Kue4c3EdtA/+7Vl
xRRI1z5xCDfMAALbynY3ibKyeyoJ7X4zMP+KNoRFo88y8vpX24vbZ6wfsIU68CYbIDIQCQJv6r7I
tfJRA+fRtzAfxD2fLqcXTUNuHlWoLomCLiBG2Xwy8OCXamKaELg07N5ngrGgidgwqi+4mi1wyKbk
Bo8qAj2rlAKn99Yu2zN1FwARo1Ri34i8MHB5wfQy71JLpYD68cl8i82WXAkTSjuAotJEUOXw3/mE
kBetiyVr5M1Dm5ruvHa083lHQLDJth1JsQjtmkR5fF8oaeNLL9M7TYUDU7gM0/FuIOP1aUpY88jh
lZbQfrFC7+YwzK8+cUAHkYZv3siKBp/BKazkMYbgDyd6opF175SR0R3tekY8IiZu2dR/1KJO6Ego
03ErddFDz1HS2zUQ3dg1h5bznFvV0iZIa4FTP3sz2Y8Ng+zoiA6OGbnWvR/tq9jzImS4qbG+c3yx
ph+4FcWbXTdmRVEVq9vBp9DrnlotTOSpB0Z5XbYGgRtqObu7qII1uUqxSNJOOIBOxFsu0LWU37fs
5U2qSGdVQ9AIBio3Od3BvcA6l1bPMSHY9zBIghfBfvueS52bJRB466l9jG48cmNsykQnrIuIenX7
97PF1/hHU+ryV/t/FkvFD8oxmziM2j9wYv/403+7BPJiTfjPvRHH4mdZfOn4nzPIy9/5vVGypIUL
wreZYnrKlWKJJ//eKPnqr8KUgs0JuyFhy4Xy9vd9kvormyCKCMCVkg62lQI7//d9kmGZZJCBp/ke
Xirh0vr0b22UXF7ZnzZKjiNY422+kcfoyPOE+pfCA9Dp8ALrxLlieJ+09gFaNdChasgyxqoE8Mu+
QHOLrXQlkQxourIhMhG5kWs3BxyypYrZcE60XbODwCY9TUhIXljDI8VXsXIYFSAoeGHH7EhKc4aM
IoPPiOM1WpPQ4WdC35dP35BWLC7lyLASj3VTu0fPJgWr5207ExF47yhJrz7dHq/5Fl66gLLMXQcZ
ZsKRuRorf4ieMsro2vWEaZd0Ga75Plkvv/98QNDqsm/L74EF0Ulbaov4JQvviSLE5CXoKX3+ZHBc
lPO1b1MrP4d0oMwvtA1p4ynxU9PZI/VApGJtppJUukrwNcqG1QuwXVBoCTyyN/OzsBOTI5iRWoWj
MHHlzOKoc+iMJ4VVBEVtHKOGHJ25/JU0dqb8zLC7wEOhFi1oHwBlFG8Yc4fygZfJf3HqLMEDLesJ
jFXaiPTKGm82r0PrVd6Z/GEonwKYCW8dO6x0nTo07LEBgxPItpKedXRMjvND98U2aCqvLUUNtJra
UNKCowtLOyck0cTm1jQSAMi0SaYjCTg4L59RDUj6zp7oJbvit7XSPZDMwPresY38XssMRlVkatke
KBOw9a5KRqV3pDPN7gsUOQ+qmT+cUT2chEQPQPtjPJBze8nzKRuILdJw8+WXgymvs6ULvR8auxz3
qeate6uNeDCeBiim9ScPACu9U0lW+PsBiBrRAhcAEhvoKsl3uZ0OwRMw+folCssIhwCCcrMtUyTc
Hbh9wbMoht9TvNoUPDOOMVWlbsok+fmVxRWfdRGaTvrTNhttX6JOyuSD9zmaHzScwj8+WG36OBBg
/sqXztMpBgO3zjP91kB8QFpMiokLLaVbbcTHgAW9vMtBZYo7FmI/OhQC3NAqmDgw7cO4xX6homDm
ArW4y/NzhvtufKjYQ2PsJnoS3YfIIOgBRVlEMEW4F3CDuv7dpMO+OKch7fPglV3nAmk8z76bPc9K
Pu8i8w9d5vBomJb22hV4N6PFHa84NFBEy29LwSY/D5dS3D5WngIMBiUVJqJBw9z3nJFjt0cl8HdW
ZTNsNUtwKnt3jKLqECmszpchjXK5t9qZj1n88U/IfPn8khAikD8nQEq3sQFQe/39ogs9c/l2wPfS
q8t01tlnYz3TdYSj1l0NWTrdS6cygP5YJp+CSUgfsTAYYWn1NLXyxvXm3H1Zf1yRqO5DcZ6XUuy3
siFP9EAHcRxsO3RbA57jMDknZmuD8a7TKP5ZYnPxUe5CmTwWYbZ4VjsVG5YNVg7q8Tk0er4FP0qo
41T3FbgZ04iQUqlDCLaVndIBZMXpuHR6TSmvarKzvWfBP99SwAcADcQvXWLHEqrR/PL7N01HmY/Q
eFK7/qzscLn+HeoST+VEP2oeJtp87714FheLuvdhz/Cdt4qKC373IDX5ZBL2AfFmwuNs7/0QPOLe
m2Rrvo5tr5+b0E8mOHcOhtxAivTsxlkR4UHGh3D2KnBTR1KLdnrN7bYkjk9nq09jfVNEW1dAGsB9
bfcPJiouXRI5GbptS6f4+GBZs8u7o8lmYyeAk1Tu4tEQzn7uWJBx+cwWd2BccRV1GJgDbvw+3eOb
Zn+bQArv7uOh+zlXoozYYJXJfOp6U1CV3ItaU4KZUMuUdbXNxM2a0Nwybsir5c9G/TjJMI4+utmO
SJRNYxjwM4X1EcZVRq97lDbFiArNb3Wk34pr2Rhz1lE5+BM3D9YbNZ7koOLu5OB1K/jeQ+k3ECRx
qdKXSHUGC7E11QaONGxOzi6NGLvfejdIQlhZhlsAvZ1lF4b3SdN3/UV5Y8K5J21FzA+mgaI/F0mu
i5yooEPpHfQCQ4F4mzi30ffI59MbtH5vnVGocYvOOyLKxhNtX9jAbVYBzmb8E4k2Zn0nyCzqvda4
obZckijqMtL6OZexpMm4pZ7995fXE8ft3e+7bGomrg5rQF9/iiGMO+ff913LAjgdABfH4Tqaxsx/
KBjoMP+zVTs/J7XQ4OWzqsWGNTap+YCvKONpawc1EWasf+S2LasdMeoElGLjXaLDj7s09Gofwb4z
x957QGsMuzcI1m5+NxcZ/9scvLy8A4VP5cS6ArcYHCIGYBgrR7fm8/l985P96nn0lX98x3quuDB/
/7vGDWY8YdVhYU9SFBti/9hKVnEJx+NiTdQ+Xn8vV1hWltWCCej88vs2Wc5/zh5enRqm3VQXyw0N
E8IL6Q3GWN0C3gkZ33abP23l7n9ja/9X0eX3QPNajR72z/U+rue5HioS3HoBvABWzKIy/fh4jIuQ
r7b+dyL0MA6sjPsi7XNYSD5VgcdcEMLYRWU5lsekMHLgdWXBZ4ZHNhsfmCpw3/S8qwyoETfZp1SU
0m5yH91gS7sqbYSlGP4/Z+e1GzmyZdEvIsBgkBHkq9JnSimvkvRClKX3nl8/i9IA3VIDJcw83Mag
p1HFpIk4cc7ea8970O2qWJea8e4OF4kHhpZA6GBrGDkyZxJVeM2CqtVAzkLLzOYDUEg7A8vASfD4
998pliLvH2ovv9O1OStZ9JEVbTkykz7+ThvYVNHOZCW3KvDKOzvA+XFZz+aE2q0iWv1UlsoDDlY1
sn31Gw9rsy+nMj0TWK3Sh7EmIud7VXeZu4nZpjTqDVtjDAkZbT2RgTeyEWTEx31x3W9xR/9ct0sr
UVn0GoH18L4sDceP1y0Ds7ek4TfH9yXYqzTvYUCxpCEvgBRYVeYAJTUTMWHWhFtidbGVXaqT03ch
TpY+GcljRhnmXCQOceSISzMhaRwgpedkq1mViy6CRqPivqVv7ltsG6LrWZNQM1a7rkL44/l1qddE
M4liOxdo4HZOZ7npFh0Sa/OgK/6UyRvLFxTwvD6KJkD41Yv66U1VAIs4BiP1XxqejgBR9PFO5HNA
rGqi01PY+JHchfxurFOBPcZ3vOEgMgvGh0xYQXskW2o3Xq4wZLQFE41YkqfIrGtJNCzhoagzGlpB
hihEjq0C3F0NukRR4vSshbiwZ12QX13GHlOuehDh1Tz5KACDGuHhj9Kybe+Z+W22CLnA2GdemUZH
lrn53oard4h7/QuvSb2tnBQflZdtiJFguGcnd+ixngnnA39ASbBinW6B0jorZFNnURTfcDWzjCoD
ubHAyxluiyy6YclfjRoVB01Z9HlVe6YVdNuVFLHJdBwaHIW0F5gVBd6tOcbulewctmPP6i7ADvar
2Z+SI4tY3dzFpmhG1KQmtiCsbT1RiEefvXfl5CMTDWuggeIm/W3f2ocZhXieq1ekkk9NkY20UQlU
cwNxJ+z+ynBcTUoHYzsDfeJFo4AW4kCzF0UIQmyhO7EbiPlANmnNwU3qQ1v7SfCPE59DwuCa1XtF
TUy7294z+jyDGd2qSTn7fEyvRq1vdG7vA0xMdh6SYeMaq0ga1a4spx9dnZzUKMjj8tzf8eh9b3JV
31YokXZOTfyvjDEeOqQQXAQIqC/CKQZOGDKjQnX4aOIiX2O4W/cyuQn7+t6Yo5s0LH7JhckcQEy8
AMT/UIcw0wTnQwIwTh7UbXeobgzfa44q7Y6WGGmH9vHPUGJGq+pVm8b5Vnq1oi9ckWQenCPD1hdT
om+CcXpFjHo/zlFzKnUPGIQ83hVnJYmmt/ntDsQwMX/YTEHe0z9xnlyv+UNkXbOZw+4X5u1HS3bd
CiEJ+c/j8Mfy51ulCSjzU/dWzugSOw/1bOHflxHnFWN61i0w2rJEVFUlM/lfC0CU7Mp2Y3gWyqAG
I3NOJI0wLthvzsJ3d2asT41j/iLvoQe/gXYBeYsN4GW4CjpiO+34KiwBvsaNPyNPkCNca8fdNZoO
qy1+z2l5WyXy3kn8Z1JV6KHliV+Ym0iAs7Ny2vGIXk1jjOMVOWQsPINdRT9wC6OfGMnQRqFGzlCD
8pDoBGgQWFpXfhot5PPKGL3jWDiTvk5rn+6mP7Xo8D0DS6aFs4KYBF+IvZRUEhsjS+JfZWsZzHsD
pwXOKwj5qwmLattXHWfxFSaAgHBNv0U+8/cdZnGBfNxhTIsEEShni9mDjfTz+tS35Eu0KFBJ4NCM
mYXnqmMxwEG5ym0avfsKkofK15Mq/HrjmXS9fsysl8HOGCLL2oMD7v1tkcwOsYlqDPWdYefdczP5
bYkMhziUPa57u90Z7I9ACOexjh8FVRreA69UwzlYiJmHL37VpymT6y44fToI7D3L7qmW+uFf9YFZ
R3WryS7eVvlMST3HwB7WGWE+5lqwHlcvAw75hjlyNIZ3PXm99EiDUvjf43SOSRPtk9QQ4cpSwlP7
bIoWNYga2S9aPVBxhW8nQU1X9vdEVFSH6a53++pyiggBRmMVcoIISzP37kCfi2ov5nmur8iNEsG3
smlQm1CM98POsQna/eK3i8U288/eS80ghGVajNZcW0ibWeDH397ObsHMwBi3s03kzTpJyCA4zsNk
DigVW4TwaMNxI/radey90AmHr6HprQxuVKFt94sX7D9PQlHDSJMXixADDQXu49VAdcT9WYL9ovlt
Fk9Sylxe4Lzo/K3p0CGAMNPG4SHJYgMMHDDu4n1KTCcz+I0XPp2Qm/27VpQf74erXGUJxd5Lj085
Hn2/j1dQg0rIuEvqwOyK+mA2ufPfbFVb24x0NtQORuDkV1GIpvUUz2mMH5qZzoBWwIOw6VZ8qRdB
gr9h0xXOQ8k+hSbYQwpsbHUwo/bDkGPMT6nXl2gNnZz3ysSo89hRYOSvyYSSxgpnrA0DpVxxiiJ0
1b9NMuRCZJFeouXPMp1k+TtwYYEdCB2jsfD3z+ENV/jPK+Hi/4JiSCoFBaS9QBQ/vRIN+uuo6hDt
vHcA4qJT8ZEktrK7tt0+gK9vOPgckCpK2meNExVH+nbpKxmDWbKxvAxguUmEAJrktxMnXYo4Pauo
ccrbchT1faLIbEcERT7RFcGJCefE2GsY0lKnlz9kV9flMfUbjq9ZTy1zJRsALRfOnI8j/SnH/J5J
l7/6vVWlhiCfr5d8mWpbR35k3YO28dUpw68+Xf/91rz99I+3RjKUNpXDRE3bjoQ4+e+VohqdtkVT
qE+VNIxsJ9Qod4A6AJkhwi6k2AuKUXFtMZqF3j74Qp8bjV4D//hkim2DZY1eHGwIvbYtq0TUL12D
HhTKc1ddEqftHslHzjNvFcSAmV8gUfEqTD3K92s7d2exrlPBvyF8lVNH5guAeXwQfXA56co6muBt
0FoxKiKcu3E6Tnh/vwFLB/zjcqH4JmgwmxymTO7Cpw+01WWT0NlwdsWEOeZ5MnB4opdln11w/GHP
XudX5QukARcmsO1k7dX7XhDFoWkcZ9hmxfDFC/vfi0LCSkYsD4R9iW/z0/odZzRwyf2Idu89t3QK
WSfjDC3KNoxJzb16/84IsG+Dn34+kVUJiZ3kRPr9zXxJQE7M0f6LO7W8Cv+8Ksuhk4GBFlQTlkd/
Xn/qyLfGFMVCJNGuTryw/dkZaV7/qsJhacFk0PV2QU0zANa4b5k3vux1vEfKLfPLDIahvWsAEQwH
4j5ZIEiJ57X54vo+LnTL9YEGcxUvMfs4GS+fXmXRC3OIxyDZmcjnm4dW53ND17UgopjazimxL3q4
Vx6cSTrRsqa1rr6tlGdOJ81gGjzpVxdkfjy/svbaUuIzNZUlPZxz7qfn2LTj1AIBDQ4B7zqc/ioT
RY+AeTRJGFzhG9P9nWqRkB4z6Q0cT4F6o3Mlp4udwXvbofhsOJZBV2qs68GS4fhIvKA/PNZ511nX
RhDX8Z8SICB/BPlfPxJNmu7Z9UpSMaSoqkMwVvIFXzrYDTtPWJ+SWfbJgeNpx8DA69gEE98U/v0Y
93V7LhLRWteFzXEUZqBdvkZKCEUIRJl06/drCZVn1Bt62vTA+R//4Yw7295XDCWcZ+WN9rkBCa/v
3i+L8DvV3yUWONl1WXHgAsREw3E9Ox5B0sNgyvbWYPNpNs1bcWGbCdJmf3Sot4A+cjVaO8y6tK+k
8See5wmwOf+M7rtiMdW9X06SqMl/VBgk/C2rNjWZ76nljs5Ry9X2HsF7OBZCboBvAFDcJbYe9wT9
Vh6Sgsl0iidVNiNMZmOkwQZrlfVgg76rjP/Y1rhUfW/lBIuSHnCn8YO3WF8M8Wx2KHj+JOEyAn9/
ZHNtsxvUTpaJK61qha0qGVvv6MUGj6nvwW8/ZNXoIy+vuLbMmfjPc1qZ1nVYYYbY4FwYJxQ70aj0
E6d9F/Yc5t30lbG1Wf2oiQMrELBEv8sg1/mNaAOFFs00nmmUet7hvbCobOIWHk0v5K9YCt/2ROBY
NmylbJYFxEr499M80A1B2cxLRzwlmAsgrT5MlzaKuZpOdPwolEc8iiFru/AUwnT9hZmtz8iSGHq5
VzkzhQvXaQy8M1JXJf8kN/TA2bmpfrQWr8cdkxBv2mcy1PTyWHD5aXCUeFAZmSnI5JPW7J8yQ1ET
9XwYE16MMV8SUoBgxZA4QNFtddS50X1Qty7OS3jDyVVlV8BlmX+EsUJQPkABad4qOxnDdmPUNUXT
IfXbZZAwgFhA9fUtZRE/iBxDrZot6x4AT8WZDqHTqEvSY3wC1gGakm7Q2qvE8sEqceAHbCR/BxYi
3qYELzyUhrGWLrqouZTOJidi9pRFU3lpzax+BM/xaBKb0VTJ2KVNnZb+RZuMNzRp3OjCdhqyKcaJ
TE+v9s9OpH/PnHq2GUSJTS/Gu6Qf7B9FDLktrRr3fg7Gbl8P3kjsofJPYTAiJ4kgo1N329h26mDD
aXI+GxJocUWA4G3ZENFsmtNE89HAEr2C0qCvhAOUC5fJnuFltxn5w47pYh9ovc6kITx3mITQprw2
cTaTX03IhBTAWOBL1FcinEN1wVDEfrb6yPxhxwi7M1OT0Y6aepsbBh64obL3DQbw0yRxRcco15IL
YEL5U2dP0wFR9ENCTySAnBES+1tW8alTrLyF4Ug6Uo1/xoxi7qbcz5AgZTZG6MDa1mOMOSEyu1dQ
iOhwzcm99SsjfrbnkFqR8wnSnhJ+oD+5WCVlZ64rUUzXKG5hRzTeQESIAfhLkKcTzmm4UREOyKqW
nrmlj2nuzVr429mb0HlJom/XZi7tnyzCjli0x+2RGPhuS0exuTVa1OOepGNoYnBewxP9VmXYwNyw
tLaeJAOP5fayMKKbbO7KU9rnI5rmiU6Tjuz5furnfGtOc0+3slAtk40GmGNNtGEkIvloJiDFJpSk
WymM4Mc8JMjEBkEVXYy/4ZmO9EfsfRS7+XcRdea0HrTfuvdIHUICFn3nW6J75KtYJLFxgQxtuc+I
T8oxQ9PbDDczllysbRhoaOpYay+IXbKyRznvuqlo1abLeoxL05hVLDuzi7gbAd2DyMAAOVYye7il
S4lZZnaZsUTeKnRoL3ctUt0hYn3D90XPiFytUz+H9Z7jl351FsyZIzJv7xXGb+bKwbGJHbXydTVd
5Zg7EOvaxmuR2PEjPhTGW33VkrMdx9/wLWpcCamVn2zkJDALu+9ZC28zkIW7y3G8QRU38PC3Ld7f
XLNIwSBcYDFWZGBqK3yyy91a38Ilt4d1CGjlLu5wnVYDzKwmteD6QHgIVjmm2t+iG4JfQ2TfxgTx
/MpiPd44pSTgBfr4Mz3V3FhBx/Y2hXCG8ltHMvM3f/bcjTd4nbrg/YoftOi9y0LC+7RbA+Sxz7MP
yU4pE0YAyOquDW3lxd7qMIBjUoLXYtQlyrjaqBxYpHa8mwxVHNzUSM64C6pdq/FrosQgD8z1zE3d
6/nR6WK8qqmHEctU9X7So72pBQa0cnG0Jkbp7UmEBYcbO1mHxS6GknCRpyn/T9221Z8swGTbehja
hKjqYxaoJzuq5I2kIkmLgZAdO2+wp9fDCtvFvEq1jwxaTvccmP0XTlYjDxtCFwbF5p5kleYGg0zP
EHcKbsLJvLFJQkGn1NWHeMAvmTWtYG6dL7co4Gybz4TEos9rABkAQS2n/n5K0vBWtuq3208j61Hv
HRzfmfZyGr09sbRYoNnFSEeFCvlKMu0W81FzOZCxurKKUXxXlZiJju7Q7+dJkGJ97IMH0qJZ7Z2C
TBus79ZT5cziHFRm/0gCZ/3osVPfAaZO5YUth+Ic9uhsbYtMsHrxSaMlIaCKz4Cel052pfBoBCl6
ka5TyJUT9dO3EVPeBa+kQjc7Oe6DRcbdlmBlVI8sJ1RZQfzqBSRGzSVjE2m3A/G6lcCDDB0wes7t
nNmDDQTIbRk4F7NRHOxmMLduXg73nXLhaMnpIMEr3Xhj0l47g4h37Wz6a15ueY2cFTJZH5a73qKB
g02H4F94pN5TEtHD8+oG10WMlcaMHfmzg8196EFF/uqazj3pqiaSGdNvva11Do3M7KKzLbihypiw
NPaYjVOD85iMwr69mAeISYGdfc9qM7uMqxiovet7xqUx1dgxeiT0aZPFOyscsp3pjfQMx7I/dzTk
UeSE3lUehME3u6297WhyRzodmy8Qd6oV6uR5x9cwgYfqk8V5nOhNwlgECJjsDHyfqf45pNY56vz8
JZ9MecjKQUChBeTb4r/WNoQEAMAcyUjXIRAu3oo4E9+dIKCug6C2SQeLdGUrMGrmn27XmBexIEYE
P7OxtLlDrEcybZ+rqSpu01R700a0VRTsME+02wRK/z1EZBe7WrfP/cKGzmtV38yo2TiMrDcQPfE3
uON8SQcRApiAK2LlLOxsk+Utu2OzZ9Q9rVXWFpcJtehFJwP/AslItmXTSbcFYadooQlNCmm/QQ+l
jm7BajJKj3fcp7PB9O5BJCXjBii0zdkoI+Q8c9czikN2ewEQYtwh5X1xmq7bddpuDpbQ3obMGXlU
GaMPMmJeoJ44O3OY5nXkLFgQ1TrNUWTjK0cedUVNcZ4G1oUpGIxtpaxDGQrS0SpN6Uz5SXhaAFWP
GeZ3TjKcoKb47FOcEQ4/kI1rmRMuJhwpw+iaa0oABOkqaF6IQ0vPjEMg5FkqvSr6xjjzXtZUPu2I
KVPN55pgTBLlgVxjNyuG5g/ioXzn6mkJvwpAvyZOPz5PUvx0gtj8pjLjSVnJa1d0ct+NdIXh09Xl
Y5ci3SXPug83yB9AnNOl2VO7krSWFOoh8TBZovsE/F0hAw70yIkgLIbrzAaCWo1u9NMvA4fEH9Gt
/chZGjcTMzJX5P6BjTE/J/U07rMaB2QtiWgqwu7MsAOaAxqqEz6X5oyyPDy5aRDfeW0vtoDYUgsn
be3d914DhCTu++jKtAObrGiGOvA9iZaOFC0SfGMksrcUE8rBCj3Uy2Aw7+bFJ79YPgWcP7sXO7h3
/ibu7OhOgG09l3ZTbqaqeolsBNtVxdSjdTKy5SvPvLHUZN42hSJzsKqz6zoR/VGGScUnwjIiw1w+
stjMVzHd9As00y+iB/ky0vRa227xqlxcd+AqcORB2+KNRhjecIxsKp9UQcTCq8Dpbbg5GnUzNrpo
2xJcj4J3Fj1pTyW1Z+zO9wRSZD+Fqo2XPDP5ATSATr7wowfpVeQzhNRIq1hwQsgxN+w7tDTPyKqj
Xef0+as3VsnV4FT95RxZxrrHvAfv1J52VZqjcJ6Q9RBNBJF44+WGAgXvBvVuyBiPlJF/hSeP2o+T
8mNlQcrJxpR3BdQ+XQBUrWcAhdNO+bHDPrx4qpmfGFXBe6qj68GZytcRlAiuQZU951boUGxTNyTV
wNwpGhh2SL4V7U6r0ZuIcvJ666SmsDzOc8sO1qZXDmepJ0ROzZGAAdBApq1/IAJHCp76zrknGW2P
nKb57sGOfDHs0AJTyH3CvYVDjzz36WJ2uOBqBP57AaSNeVBq6rtJWe65oerawVhxD2pw3cu6Ixwa
/52/TbJ6PlluQ0JjlGrCR2R9slI0ICh7GbDEQjHpBWQLgRfBu5R3KrdNurUWPmAnwA7tDUWAtIEA
s0eRuekxNg0BxQaGhAsCBS9XmaACMzFozyTyRZrsKkK2TgGLGMiEEuZaa7U8Q2Taj5nVIz6JmAoY
fH7tUSSx2GhtIrPBkVre4EaNHzBFEMGBUmKFtANqYtqF9naMu+m6B0RxaYa1vXPxpnYvc2LPa9+q
2ER1nG6ylmqvlGZ7hINThXfo9CFOBsiig6x5miLT3alIW+uhDX+V8B4eU2ITvqsOdXcTwHiji4ab
AqDTQQ+ZsTE4dhPc4pfxRa+7bm3rksHtnGKqm5mIH0MbswUJeWkO2rL0xsf35l8jTfY+K1K0T7Ke
t/YONAWKJFB5tXVdG+ResV4bRMvS/ZTox4K8WtQHQ8zV02uO/F3tJV5+Ht70CGZQi+xmAEULi6fv
3WyLjt4c1l2IxWAT+iSdbeCmS2+fMNPwOPOkIlq3diRxwHBISh86WjmMFID0oe8CuW2coqUViOMk
jt0tGtHljW/CSZgPRiCKR2Eh879QRm3kjzSBp/5ixHekNsSAu+VTNkzGZdPbnKkrL3H7u9oraKnU
sx+Mj3RP6AfIyMGVbHazd5iREwa7SMJguTaqECyVn9B0Oeg4Tn9Z3KRN3fQleUC1E5mnQI7cNC+v
uN6AVwU/Cz3//NxmLqCqCNZWs07KCokTAcQtrSMMAvSY2lj47bGQS0zLEEZBft+OTeTCMiPSZeO9
tYvybOT/1sGoOGGE8Whcd02bop0aJYbtTVb0kgW9ynO5DQQsjw3bd/vizS5BM9GULc/yrQsDoaJf
3I+iKrnJeTo+14xK4j/jW/9ofpvbjCmCwf/tkIxOSCVn1Ki5Lnu2VXuvson3AMXSJI+eW/XqWvYF
jX+IX/TxUkxLtC4y/Tb/bWNlnNSAoOm+nEkBIfqzHDdE7QHR2ZpMzfJHpyqj+RC7Pokpi/lgfMS8
zd1q3x7R+1NvFV507OlmqLJFH0erKUXSx2/yYrpzUWxO3/txLOJzHCT5eIoobGYY303Hf2kt+OpH
g6iA6ndGBvxYUkKPzeVIMWjs5eJHWkbBM9t9HPKnFZG5jD3R3TrPYuoGWuZpbvCvvmihLpOZf3rO
SwNVO5zDtTJx4aGn+dTTrXE2GB1dwwPrLm+2SaybuArStO53zJvwjaMU9cnGcefMvextGg5X7OnN
z0hX1QzfPco0bUVHkh6aOwk9cWpmE5meR98R7U86IITDLeCb8I5LDBID0t7mqx9hffoRnumiAzKF
YgS4TCcXEOC/prFdafHzFJTt9+7uMg/OLtsS1dhFNanR3RZG5bdbCmlQ7cVIQwM30NiGWzca8nZX
uFS86/em4he392NLH52STYOaCvltUoqU7NNgLM1qJOfogFEjkO2YrbwRs8hNSpzGbeECPEZOGgxk
lJYFJAIXTmy6ALxQn5SD82PoS6QJq8RD2b1D740k/e+XZ/338pCqm/DCIYZLbt6npz+05EInrusd
SWuRm8wFlXdyBwtEhCbfDshR4dPPbS3Ne9zIbjiTUzXCeVWqLTZTDf7vMrADz7rMoqocD7S2/fDQ
5FoQSsq5QqoNXY4hv4LIlPGHvk/oSC6e50ssXIO9DYia1Q94NunT/P23/XdMrRm8aXLWpK0whX6e
pkSJbcBeQLNaSCa4Z23qEPDbgM/nuhrgD2xsU1bB93eJY8V/onYWmZhwiBi+/3+GO0wY5Zvpg04o
M5SP72hdoP+3QDKSHy6Z9AEKCcttOeTyCmFXDWkfrXUDkLlLfY2IjRlR9UPN1L9XOCa5qvfh8rse
csZMm1x9cb/+M6djGKZtT5i2h4viPyMxAiIMy2Er2CVdm3PUopPGJkkpe53HEVCGwh3cBjj3QC/9
Xavq9cq6yXAo+XeisOfs9Pcrsj4Od5Z5k4tpQCN4tpjzqM+3TPsd7DN26N1Ua51sKGbQr+I6m2+r
CbLZhY/7tkGNEwWXKYppJoxvw2PJiDvd2YVZeAGSsSzdppkLHEYyiPV3cd2wzmXJIFdtE0cgndxW
6MOYt+WhmGLThCwjoCQG7gg1sLRHRcZQQrsIIjfz/F3DK76taeLkX7yw1qfxmmcRWsj9x5XjSHOZ
on98Q1Cyz8JBCkJi8eIDSAyTh5+B4aqvGJDg0ZDFXEVHWjcMgcu66zBY+qlwD2ULf4H6dqA9OFuo
fc5IqTlz5KJ2TiXjBkJ4ZzKyoH8HqDwvELgZxR+U1Qn1a2ILluu/PzmxjN0+7CqMvLFg4y3j8TG/
+jTJFBj4SrKz8qOnJkmPRybpEftF/NCYYkgftY223sbxGW5mL4+iPUL9QIB5bJgRWgQc5nejz6kE
4gSzuDtsTMP1+yTt79f5UTvC5qdZnLGQw661HIaun75J1ByZJQmgONoCLhs23bdpnYhrL9pEloyW
iNs0n67buqJMivCjfPnVyf/sXRbibJOpEV76xff1aYdQjjUS4ZpC6axgjA3Y7u2bcobgsiYmZ6JL
Ss6Fy4ArnHJQdn3UdtQDdSDpiWNdsO410Ghr/26bwclVcmrMYu/Fc4yhf7Kt0FaP1PL2uO2Vb16z
IedLOuNAlAoT1URg06lQvTN1Yl00x7loXnrR190lVZbXrOHXL1YnPsJlSZxoyqudPVQ+KTq1T2p3
h7b0udWEgG0YUDFZYuhFsnkwxVX/s4CwXh2Va/Q5q8ciVsrIVF+j3F2EKcoNtm7hBDnY/hJ751RA
lYXkZ+bTr7Y0R4uJmD8ZcIFKEpZXQZ0a8pAT8qR2WIhYbXTl4D56F0w1o6SsqGqFfrzJ/OKP4cVe
/N2N9EQVgkOFuLUBgNu9cspq3tjCqaPjaEcFiLdcjNlazbOediECfX5nSuAJXf8c8c3esAl52yRB
Jaxtz3WZDHxj2l6eZSRHdyTMaEvfBvXAQHPUO0Vaz7Rw350WBrggvSPw1odo914esfO39AsajgJP
Fhbx4Gyx9IHHE8BsVi5uGb5Pk6HMyad8WTo3nDA3TL9J+wKXmsKfLZQKN30jKvsycupM4HWIphov
iJGS4mE39b71SlAcmc5hWOIrzPXBYVaAX4nz+jbRHCEOrukZiNDfij4movm8njGW3HpZnLXkNCgS
wwingE9kq2i6nao6j/fl3OYZ/JwmDC792IjJ62haj4wFl+30RCpRxmCcHoS9T80ofpxAU6ZrrQYU
xIPTzRh+6gGQ1uA3lASFNebpawTVNbqPSycjTCmD13896rH/Qriw0Co+LEceajVU0uZSiaEX+KyR
JuQrdSzTo65CI+jCX2yqW4dS98F4M60ZpT1EezrBqfHSunCv1j78h5FnUmIQUsPEXgEoBmhLhJWo
owHFMf5qagNezjzLCCzO7TrJbjiMFDdqUeod2E2LZFNaCIpWLpnbYGVydWsPMNsa1yqyXcFf98gs
uEo2tct6fP/3le1Ni/HPCqxZ0ZYfqhzKOrZ1FHgfN5OgrmzGNlZ3fJcUjJ1u1K2Hkbi4eB+B928D
6PdjhieypDxUKJjucCHJF2r4iASdlkk2meJfr3qfdvalLLYUhaclbGgd/O+TZE4Ood2MmU8EXdxz
B/yxdzF2RK1VksUax354ipm8Rrdo16k2Esn4eyvffJLvnsySdAtUcGNlzZelXbQ3sTm2wV1oyCY4
Fe0UyofAhbJMQ4BAn03nq6nbIlRpSlIARKUfC5Ie++deJ5IwVXMwgkv8QISRDHoI6gu9HON2f38i
n7dEfjJGPyQ+jG0XoeKnB4JyE32YZ9pHaJBef6dbi81ktjJveHyXP/z9r7M+lXO8AAqMkRAoipBe
/Ud35sAX4nDSW0f37QPsRZFlR49UNMalmLnXM+Oi9kizhhupG9LJV0QnLdUvWWz6kJOk+1gjexp3
nkuP8JQhJHUObt7xpc9gyPR6dGRb74d07pPb2KrK5D5N6W/mgR8FX9g9Ph9SqSVs0+YTRehjo3L7
tEcOIdlhYTkREI9TdD4n1jjHBxjFi7C+Er+8ANnHKlhqun2HZACFPPjI/u7vd9T+WJ/x0nqWMCnh
TfSNJgrYTy8tOTo5/gdeFYP5LbEXoc4DqEyySLaYLkzAg5nj9q8OUcgjCYas/XROCSQ3flV5ZTAY
5qTP16fqxLk10O1i/nzbrzjwoxeBxV5Gi5IzjqaVNdL93Ofmgl0le4uhVVE4L37L0wN9QxaXymgM
rKretvQmSm3bQPdYhtaxnwXDq0IbOqGb4XrxtrGL6dnEBoTBCEgtfbu6u+kFUqBD6xhmvjbGnDex
9EIWIWeKUfS+tzv+fvfEf+ocFmHYP9Q4Dguw+7nWKl3VzAp+5QkWKHWtHREWdIkzvU4OYlQRZsfO
u8P+5Yq1FVf+Q9Viq1/lbKDFZZ/ZOeNYRKjq/1qp8lA57qA5l0qxTLqfHmoyOQ6vjPZP0tA0oBo+
32KVFwVe9ynNImI607hrf1hMUoPb3CgV3sq4lA+yG6nRbUhlRYBjBYjuFU8ms7fdMGN0dCug6F/J
bNVSj/6zqC9vIBMd4UjEtnQ7qFs/LupErPXLhKO6HPyxi58Y1kIhwb+Rh8WKNkKiLstScVnvKtz3
ZXNeDEh0FVC/qjdP8LvmCDUsskLAhmzO78emYGLR3om3jUu9+YQMKeJph7JO1zs5hUl6xmgOxrKn
/envO9r1wxonfDUvwyqfMDRic9pdQN65sSpIAH6vu8Kq6PqDw9WVl42UBXNTuLs0goein34PZpUM
F+xn8neOX6lbz5Y7P/E11f6lZFBXrUMj5bp8rwWDXBQB89Mud6L2MCUzrPZ5XHLBUb+XlIimPUAC
zocxXThlYUIUUdakW2U4iVqB4Wdbsew0AuTBR3hhB6FhXll1jDb9wjKrprt0BqaZsHVcdh1sktyb
iBmv+mIr+NSaQEFJP8J1LFtBQvIwRXzaC+iI0C6HSQkdEfkWwy/fAmja+HV017EUCqj3Hd+khuWC
2ySuRXPqVRodSh2RhPPFJ/B5cV08dJat+QKEAgWxoLn+3TxTPh9AgKhwSy+Mji0dh95q1pIyZWs1
UpyNLMV0g5xMTvsIQVB+h2UYaeQXl2EtVsN/v9yOaUqaMJgtLZZ5BKYfr6Mr2bCzALnGkOXGH9PX
o7GpnDK7toYA5l81oXjeqc4Jc0IfGOWNF1bIjs7o2SN+/NQ6kFp2vtmwh72XDfrNb6fHkhNDHEeL
3Zpg73Onyqm78kUWNyROOl1+n2lLVhI2TehMZ28qq/IH/uu8/KIMXZ7qv3+gy9ne4h/sxvA//lP0
ZAFmOc4IzqEYjfGFvO0EeiczWoZ9tJ1nPr2FyokHuW2+/33xdT4XwPyt3hKGIhfsCKXBp1XOteY4
Id/SO6AOxeIjGlVB4pr8n9SF5HC0QBN+VEkakbplaPcRQSy54pKB8UUs2FIQ7tE22ZQoZ1gIGvCt
kKOtfl0s/wJ+bEHUVj/rbkOEiRexOaVqTWs1zMEip0V8SXKHDKD1ZzI6NrZOSd3u/oexM9utG8m2
7a9c5DvrBHsSOFUPu99bveRG8gthp232fRv8+jPI0LlIyxfyBQqJyrQlbbGJWLHWnGNykNW3+TiM
5U0YDdH4mEDjenRK1+yov0TVUJc53VPIsIbBAtIcwv4QFt9gcO8foLL6X7u0FfHZAEJ+mBp0ZYQF
U1NttL6dMibzZZNvEzEG3T5xm/yDU0SMcanBAFcRNJqPxGLapGAFvFIXOq/kHBA0h71zdgBcBvMU
9Dt0g1ZJkz8dvnmZD4OtqZov798a/bcGwNJ99XWHJwLii2u+XQxwN4UaENDoksQDdYCIKNK2tduL
6F6aucTcTZygva0KYxB7y3G7+pYL3uUnxk9QxqVVm3dVFtpc4EifOeXFU734VpPF5KjngX0y/MrW
d36AGgel43xnZaBYLknYhMkRSTNEjaKeRPkZnop/y3Qw0DajkDqjXHbcYIOmixw/BmjNZ4bHDjWM
w71Nj6QYZB8lbKb8YhR+X12bxvARNXT4YuNcgnyb8F5+xs/F8wLuwB2vOyeSeGzB8m589IX6dhBR
26GxytzhVPi0JTYwR5KnbvTIfHMAxnk7epL8OpGgtXe0Iz5g0jVOvqOdQqgjqGw+INQC8EijgTiX
XHMBCIthDhNmLRoPoRm4Ju1+q3XsTyGbc3BL251Udj1hRTlHejHgmENZXmz7nkzvQ1jy9MCjnbv9
SOSrftXUqNuIjyS7b2fkvB/nMva7jZzLMtllWpbY24jgRcKXtbpLnrBs8xSN4xABG5AawqYl1RfE
B6zPvz0jT8hLC2R23/jZbNCDznzQpLgnz04cZA+6H1XcfbOBdKozckEQkunud2V/KSSCy5PGf513
QnSLIxlVI6QYJ+R8ZFSzF2OgS0CP4Dh0m3NuTll4g9mD4r6onZn4D9NuMAEvDqDQyXAISCez629s
ESRCpLR8NyLwK2B8aajts54+3rlrEu0EBcDp7lqXLO/C7UkOAqxqAdzXilKenSEb78GyJ8M2Hhxw
+mnuDcTidUU/ngLJknhTToTnmh4RcAy5avmxKzSOWfjipdy+/z79XqVjTmBbha1kYKXwnDdLXWOM
Zu+mgX4ZNTgG57lLCUrFHs5lrkF8fZ48GkFMjVER0LOROWR8jH7zTVONPYPqcm486pHUWfbfGaw0
gYq62ERmkYIblFp4AXrszfvK9jyWDNQvX3ixqLkYdFGmDKugG0U63fvWYsIsD7YnR+8407B5Bv1H
SVGsDiWfXZQDoOhi685BHPrBYIZU4oCWFanXOoy/cM+YsEUehsPhi0YiTvCdfos74yUdu/auTfNS
+8PVe+OLocI0XcC5Pj2nZVniJ/66CQtNzviUiFlPG0Iu9myJ8IBydJf4DSE5OxfbnPAgTEjC+S+D
E5YfQ4299ZvLQD75qebD79/R3z6TjYOUT4JtlfMzC/Sbz9RXjLqHKWE6jk80fqxqEC7AqvSw/UjU
BeHTyq9h0EwcXvvG5IzH3YekrZr6rukcOf1h1X7javUc6nDIELbnCOAOFkX5r9dp0Lyhl52TcOxK
kPbDgkbmTytIA5Odp82DS+8Truc8TT8cLPeGsZ0qfBeHEgCK8Ry6NN5++m3a5TfqsBW2KWu/dFsA
pX3MfGpbminRnj2eD5+08MXaigGRWwKwVHAMGmhwMnf/w6V+26SAYLiMgvkGdO9pmr0pTGHUt6bG
ofPorwd9h7Sel3YtrGqv4nHthqpqL6Wbxsbrw5xwaG+JYEBeQR5CTcQ61hh5kRHIgqOcaAxsUKP8
2YT6tmrlk9K0d9HbMVLDe/jmoWiQVosAM+cxL2eCPbsILuq29ECDvGjsRUQNwupA+KWT3XpExjBk
2KAH0T4EfkbQSjUsQeZ4ggjkINrWPLYZKms3zYzy0JHhSsQC1WV5h6iZ/pSR2rzPf7jWv5WDy4vG
tM1aeho8Rcu9+OfQGj4NIeNyQAVXptFJ9I33ODlT1V6hnzAmDnF9SlItUycSmvLphzaRS7ZpOnZ3
OsEiA7XCYZCgKNcmeSOHCYsDpB/7A53srGR6YGql9ocH5G0d6dNP9AzHxRvHBzffMuNMJ6ex65rj
lRI+qOPLVI2Bx4Sp97Q7FgQONKQ/T/a+lKPWX79/1fy3992HicfMxqaradi4o5dP+I+rVoMb7gAH
1VejbPLvlPzJ9BSjXUp2eKDrZ3g3EBA8r3bqozrEFmM3O9es8CG50yudZxSAXVHZwtk9i8kbENav
A4J89Y8yyVy6YDSc4Dt5Jfed3VBLr6aqEhYqWqbe5y72G+MMvKrOPmp87RGrpiFvg2GgC5WI57my
R8qkSoNKdw7GDqI+Eohi2nod46ZdU4eN9mTQdq7AWuv45OKtIsu1VV/4V54JtXZrmDI0Dzo7Z7rp
qpB0PtQ1NrOqBiRMHIS1RzihzKDWF4C7x50dxEw52mRaLLYyYYuPgoCNqesstviYEGR/S9febm8A
j5o/8iCP/b1p9gXgp4xJxz7xAUtxLCdnY08eLfweHj4s6SO/KN7btVdVrv0FswppAzYwwoqXBD00
BaSavIqEPZCeJv+cMd9CLtfZTvur2oA8RfQN1OVTKeLosztYjb+hWIiBnEuRRjvmb4P8Ru3dVICo
4CR/7rE1Pg89iGSCCpPF1OhpkbZl8RT1lRN2PuHh3giufW91cx89qs8ZQBDHkG86WXKcNI2ebjXI
djrFU1KbAt4VJWOBA2Yq+zungZG7f/8J/X27YuJJwcnJnmYXo8k3a2ieZ4Gj+WI+YsSxgMwRGgsY
v9Yzhi4uw7Yv3Gp6roUjPVIsOLK5j51VauDV2WtDAuRIpXj/Izm/Ha1ddk5WdE4wSwP67fGvqUVV
RdCDj3KVx6mDvig7N7wPaGmlH0sknCkCvZFNaj9gwrIZQjcm/ZMs2fedlZknquCBVleJ+ZhOJ+1V
vGSVDsvBHmp6rcyGlk4GRS1ZmKROoKBSLrkJdxkblbLDhZNmosJeTXHKMeg3SPZ4TPqMDdSly4At
c5WaWXLpiqofFCKqZfPpY35EA4UIyp8Sok01T6wTMky8KHXbCH+AZ8mQnb+FgIikX5UFFBCSXZMi
DX2dvX6BCzQH2l7bO+m9jT/KvEZd1iePJXxojl4Jbw/2lbaubmYMJTHRz4v0TwtQIZ3sacA2qWbU
kZaj7JJ9uIAg7AgF31XTl0lwTe4av41jgv44ZH6EB/X927retn82FKBGLwD2ZYZCWxJn7q9rYRBa
kHfiRkNQjxvqQ1kBdH6yUgFq0RGSK6ZJFOwPxAPzyQir5L1wajP2dQTH7jztSd/kL83sM9MD4Nkm
uqoGks+247qb5w3lxoFQXWvYpQPyc2Suadp8iPBL8vIHHE/+IPhYvfC//EI+W7nQl02dPjGw019/
oYruSE75BBNEDzHujjrCnq0ol9Tq2GQ4uHFCAdKJjE4YZxsRagWRXWvllFSeOTwS48JVTmhqEPtH
ToULanNV6NmtvoghccZhELBrs/4WstrxwNmODK/7iEnfLujCtiL0YnkQG4d152B1zPg2HiQWTJ2j
mQV7Vd82RaaRSJW2YXr7v91UkbT73nA64ylkS7H/gHlioMWv/s9L44B2YpYHs9VYmr9Lbu8/9725
dTULlXlwlF3FzmRUmRkcIaton0W74OFrD60ZR3Ursk5GRS7ULWwk/ouQPTffWc8zRB7mAQQh9Iv3
RU13FYh91t3gCqrgjXPxwpywxwicUry0qrYEHc3ZqzCQ+O/RPvXBBJGkNcL2G7EVpGaXwNgfFJ+v
XGdy6nAZj/pyuFn7qJMlbfkYzF0r9/xfbMh2JcqXZRug27LuNmkPtPhBIRBKzc/nT2qkrjrYKHO4
YXAFqSKtoMqnb0YrRjTyi8xysQ3EaW8d6gFWGsbvZUWghcYwA+0Qpy1wK136oudjW98AX+B7VGOL
mZNEsAGrLyHYLovxqp3pCpRpn4hzx+pI+GTr3XL2XqrbdQNU4gdQAGx96sdwdGNXUufrBOcO+mtV
Q0SlC6FBqSk6swLhIcMcdJzCxanWuzq0FxUJjaBkQ0RQR5/WT7pXRBlQHlP/g+H9UleDIm9fAqNb
GgsVteBDslIIsyiivqCx5GMoxtuYF1fqJ89VlaDrjyw50QqvVz6rQkWqx7Un2ZapH6Ca9pLjR6jT
rdSsWCBDCDtDPw6dS9NbAcwqY6Z9gOiLj6abQwTvNSVV7EA0Lx/Ez2qi5WuvGKMHD8UsKZaeP7a8
ZmOekvDkWB3j/Czs6uphMAra+UXHdHhfjdJF/cg4b3mYjQqz7Y7CT8fNiZV7Nn6C3M7kxwytrUsO
ctg7Z2etb1wlibM9bicBiFzV3cRhy/1c2QF9qzJaEhMiTRvoBVdMNxZrcO9cm5rpYKIAYOK1e5PT
AIlUbpgjKFfYvrQOWB3h23IbPGzv7Yu6UgNsfr5TlM75FgvnQlqFHvwSa6bZfYvYz5+tvk16jAk6
xQW6FG5IbZAwtC+Q71OOreBABzI9T9xcMLQF+acXPOBjG0Hh8iZEII+14zatg18iH/eFg0hjw1DX
L04i70OwFFrXgn4t5dDWe8yQvNWk1PLCuDgxXsJpJNsV9X90r54W6kzXu4X/QywoE6zmrqvZh46J
IYPhqcjGvH2xNG8ZTubrVMjArtBdzROrPa//uksMmtC170VCFmBqNGn8iXpVQMCosBtvfI1z12kM
HFIIgnF0xVkHdVBc3IEJ3y5ErmbvKw+R57FgNgxYfW2JeKh+0r3r2C2RUVEZ0b+sjNA1PhCsQTVU
rVDUqWhS3oa2jrhOYl093KBZXhD1DEMy5pcPx2V2GiWkJJMcUyextcSjtZBHA/0eRMYy4gaRJD+M
Bc/SA+kEIMi2tmdKZ4fvJvvozHIIH3R6dA4u7JQH9psrsIxveUps66fq0sDHpLXoFfJSQjr0EAvi
8Mcit+ylzbrYgsvObK7rMqZcZUnq4lkxxI5tHBGZwdpQQzctrRbWE1HBC3CVgWbEUGeOtFMw1LEE
Z2OzWDWyMoNbHO6T+zBOsGSvIseiApsgubuYKky/nL7AwHLLftPC9mg+5+ua5TY2TiSa9PkwbmAy
ot9yMO3Mtybf17xJKtqCn5TMJ12hx3Hf694NlNPyb4nKtLwRwoKzZ7oe/qxAn4YTKtXlaR2NhiFP
ZWGR7LeYnAjCcngd7MuIzMKyN5WetkT36G0rY8zyHSsrGi07p0vb9OLaTRuIGNPQ1xPJPpPT0qaM
ZXFVmW5ennzZzRkLhxvVZFHHJcD+GvPTYXIts9mpNSejkc8SaJs8RAqAHbho2G5s+sJEeGPNKo82
W8EXRBAS8WbW+/P32AUKMW1aYLrTCZpNJzYea2yGdGDO61PDvBkzVoe56ZgOemIc8drPADs9URIt
MuOg38GEkKRJkIWRX8UYV7Vhk1ZFPlxbtKnio2nxLlxJO2CHc+XEk6obSdKfDQvy5E7GdZLRu02Y
YOwdbZLiKCDeRBYJyhqLSGA2ZvF5aNkb91KUzQvxyQDRdRtj6CkZeXgOIGCHASA4Dd5tL0ObJz4Z
CByLUHWSz7gylIxEYlEbao7rHtXKshrgvGeb5Dlet0n+Qd9KL/ec+3Ljm+fL5TVa1vjpAVCjWX5G
y2T3x1kzF2UfoQ22Ee4AS2juQ0Y2V1DcIokF1y3yaC7vIe/W7iMzpuVeBPOyl6U6jc1NXRag/A4g
EPDtbAxU3t5PV4wjmTdml9XyiVk+q2GkM2/bRm6fM8pgtDDb7Es8CeZhWjWFSi+lyhRVQqjjrIJA
jwJZI4ZFgAa3wSy74SHEvpoc8tpOrceBbdM61l7T/EES/fu8nU4yAgEP8wB4VP9tu6OHY5DnU25e
MFFic5f+CHARKw5V83pu2YaUCt6pN90+2iLj7hBzB0b1VU3hVRWiWvQm0iZ9Qclb9ScLY4x3IABH
24T2AuuZVpV9jjnOxwkQQmnvqepr4LVxiIl6WJikuGfFdOVHvS4/g2jBQk7avc1rWqWJMzwZnhZ/
CFjuzI2qCgCu850TdyhSqBe4W45w38P8OhXARVoKvAVoqgr9mOk9XWm3WbaUKeafdCEXCxubx/eo
BY6Mmb4Q2Z1GN+2Jnr3/Uju93u1arIUXScLBre4XRflTpzpD+sgi9jfP0Rzu83rmyBSt8HeHAk6C
smV1OALwbq7ttJcQoGQt0BSOti+/eGAIn98/I9GWelM4+zo6fhsJnHBtYxEA/lo4d2ZdtagDAD7S
cGlfWB54NTCe8cFUpZWugnC00HPxN+foKjzoPUXNXVK2UI+VKgLrLxH0NgDUn1o6hDb0UJ8oajTK
pbyPkwAHFxMFkqKnysjaz1mSEw1aTI6ZHKwYLMc1gLDC3SeVCyBCy22CeXjHYI0qPX+pJeQrJiO/
xwbnshXc+RWOqiecQwKpJT01XHzMJIyt6J22PA1TSTRQtBoJIASwHL32FLSuqb7Rwc/lhYHgfBJm
wFyUsEZayVY2dwMlzpxYtyKjK4nmPVm03wqPoyrxeKj1GMgp3JoPqhzui8iEKgUh+g6TnISzl3bE
DZZeRCqcKmJHWA/kACK2+M7jhYnZXuHm0KFIxtnYGurdILKYwpGEx164aZre2bO+UivhXJy/8jSx
clqo+Uk68JwmRyIMTuMbZ1To9TFFIuL/dcgStiP/P9Rour/yltsmqH8m5pjZt84wOWc30FLWMcjL
D25DhORReU6oD+ycYFcznMnJS6NxAg5Xs3a7kMsDWL2iHbfaMGEYFhQw+gHRxU43MoFGMKwD/LS+
AeiZJthZmxsjOXpo0hjH6qGMroP1mP3+g7uEgPxy4EMsgEsEUZKFI2BpJ/363Eak7c51ZXkXwZF0
eijSmvd5NmBFHdUhI/Ag/e7HLidOJrSDdZOcfOtL2RVl/g2NzDdVpqjmiQy4siQcLgxWcsauE9oK
wRYWSGzuJjmk13Hcpk9Jj65sy3BXn3bUEhwCwEsATWKx0Pde3vvelvAv6s82j42tWtpbt6Uoy/En
O0cgDOKMjr2St1Xg2l90O/MxZxCqFF2YhergebR69v9wOv79UoEe9G1aBkz8hOe9ORvn/FIB+SHa
hZk9wynFumLkKMnmCcbktnE6zvSySno6TTBF/tjL/13PqnMkBwpio1qHjvYWJ2c0lST+oc2uahqj
01kic39uQw9Zlik1cDlJmKEh1j1qhyM0MoiN6ADS4aTkr70bLVd6bUJnbiwiJOzuBM3kVYtl6cFV
WVeGvuv0hkGttt75MJv1/saQELw3XUPM4okH2jKo6u3xk4aWMTtma7Wqqr/3H8/fBmCeS3iNK7Db
eYzlmBT++ng2iS4w4ZbFGRIGihEGh0UHaXGWtMLW9h7YCmSuSAsHLrricMUAlK1TNFe68X3Z2j61
q8cyw27jPedOOELpTkadnIUrkBzAHWs/nsUxZZtq0X1I19wqN6/yKtb0KaX1hwno8qz8s8+C5wgV
rknGjkUH9zepeJEaqWOC0jjXGPtSas2OYaiTj41zaRu2jY/B4NP6e/9qrhqPX36qpwufW85AiJ7x
b5tUaDJntYHaAADChPUVmXhQQXIclvaqqUecBJ1SO+c9CMe9jGbhHdoOTgZNjdE+kxlXdrCYZHKM
4OvDCenR5rCFMacpTTOzbrSgIIf2/c/8dhBDqpHNIdTHPApTFUnsrw+A6+QGAoI0JIRBgvdXA8PE
8et+77mRoIwVBcFkWYf/OJ/T6D5GANj+4W6hm3p7v4ASsiuzs7P00RB9s72nLkYKc9LF2U4koTM6
GHt/F8mua3Fz0U98bDA9Oc9tUaBo2eg1rDx8HwuiXnWsFfcvgSxGc1v1Eqt4QJStOs9KH6/FwUz3
mIM1uQyULEuXuiyKOr6xCy/ysWsu7fBkdTwDj2F9AcHq1IdF8OPvhca55aKOwUw3kCc3mFPGjxB1
HHHGj1gwg/SluXTguure9DXHeIJ662rHJDLS8m9q7PGei9Ab94D0mmCvPmdYTfzU0OtoaevEDkCY
M/MpfCJ7g9OwaVbi82Q5hM/18DXLq5watv8oJ6wge/Ur4JSmTU8yQZH8hAnIZsBRwsrtC54CbwSt
LdKA1mHY2veNNWnZ12yEjbVN+qiNbrSWfALFgwuRVzIBcKKQLLzBsYJ79CI6iWgNTIktDgm3PAjS
t9ObFsWStrUzYI1iE8CbL48ED1KKKdO/wUTTuKt60KD7ZAjm5uhTL+o0XYJJ3PNYGQ1RRMBH7hon
5rcOw3gm/2NsSvQJygikT5pvP6s9T/NrBEYQYWzv2h+YFB7RUg+S0xn8H35Z8uH5OmX6QtVGX18r
0ODtRydPnWfe+VpHG0JP906B8jrL43srY72iHgJQYDKgrUsC0ZWM5zthx/LQElCbbZUbuRgBtV5w
P/N91NeqkYTyq5u9gV8dcCq3L+tsHhR1K01HZ61UE4bJnXhcOI8GzbNfYuU95IB0HLE3g7Arz2kW
6NUJmBZXTUH+dC9GyzxOfagdU2+OjD2KP+QZXViJhGeT336neAZ1zfbRbmeCb7LqKEarfhRRlsV7
1+K4eROFWRFAtzcS/zj7ueUeY5D16RUD9aK/sBP37ZOeu0J+QNtTTC9jNaf2Vg1h89rClCiSwHwK
snbSzovq7Ax0yX8AOmc700bd6HAi5+QAOkRzT2bA87cA1lAeXTcNKrIbE/We+clMm9T19tywPrqJ
/NZEu9wxrIDFUMk6+elAUbafcXIZ4zmdB6e4QT3YAwtSU565SHjvQRQP7l0YxQHtuYJz7053K7/b
G4WdGSeegKk5BSjv6iPZSahaNnHhyyNoEc5QzTTFzQnsVzg8KVYBRh8uOBGHo9vQd0yBddoZyPqT
WN9F5dZPo3ZRa0SAcYfHmc+Udxvbr1Hbv07EoggH+qa1eIQ+00XiVTAtLyFs+v3VerUR/rrDsGHb
EKqX0aSDFPTX5Rq+QIUi0zLPAKj9bx7h25y9Erc7oXR3UW4vslDTwSNI982uxblAF/qcmAWhjMIs
hv5At23Uj8SKxfeWsyCTypDH62OBdXfaTfVElNsSxpRfpMl781hohLo/aq2e1mAcUWQeawqh4c5c
0kB2RPzAp3EH3f/bqovOPZr45KMX6Cx4IICYkISyKcduQMVX53ayQzdryZ3ofT3YamlGKgPOH45X
m8HOW3EbRTGWuCogs/QxQztRb0Me5+JcMSwA8zgZk3OpZDBV28UHukH4GNdbWlIoEMk9cm6zJqn+
JPJGlPB2a/I9k3ICLAEaxUUz8eslb7HZDlMRgzlaW8GzrifFdV1mSXLdTyltWD/zcnhISt2j8rIa
TLLzp6km/hcIydgsMUImdoSbSRqi/1RjImRmGRoxI1Un8TirFy7HZlJJwcfL2z6HRZ6BPzdb2tGq
jTavWUK221bOORtD3bpVTipFllbbkpY7hPP46xSCufZMZzoGnBxbpK5m4fADsLQeP5JHZ/Yv5WD1
wyUf8joBH4tDfDOsvQblAizbcZmuBURTxltnPWzbKOmJDzJnTfLL2jCbXs/fWZUvn7afZ2nd62Qj
1H83ViT6G4ERmF5+YBI126zCI4cuMVJY7NFd+yVla4SK7pQxRG+EtcBsm8byvqRTucgbZwoGTKqL
jEENXNTwpSpGZ0noK3r6zX2MIvVKyQpeJ0f2AlaPXI8OaugvRyuPzD76j16pVR8o/DttpyDi5O/q
2pmgt8jczlnAyAjxESsRPiuIvwocLQNwVbuU3miy9Ev5ztqA6v2oBk1qZGcpzoA6CCt7v/rUvJbc
9zLFQFBSbSwtRlTvlnFrVMTc7FWvVd0s06ZCiLfKSIRaua3OLYIgAj/lYEwnKh0o8a9u1NRJaICQ
qJXlciP1HMkm5qKJ3zeNSbo4JiMUVHbTNYpiSqCd3MfofLyDvk6+6T4uD6VqfwGHYEoHFcyHY05W
iBb/MKsA7nwxS843W8804CRm7pwV00bY44y1qWgScp34cz3lgerHlmyNZd7ir8Tq3HW5kqlLKv3e
N5PQYkIn4OrddZYb+XdmNPoo9dfMPKfxa+0iSGQs9xWKNudIDGLKyCa2+6WfsQw5sMUUTsVLQAd1
+Te5npxVa1E2Ca1d1Zir1rHhsprwl5SMrYAabW2bbGy9cxjmlB6sQvhsgeLZUVccuhLaQLphafcZ
NbVa2kb0ZpeIB2MNOUP5Ui/DIGZXSPo6p8xfPKibxoM6t0XqOmpI4/hbWVlzA/oFYcIxrpq4QgY9
BXGZ0J3aN0pDYmXu4o8UvXTTGwY1LBHgi5avkIhNvAExs2HN2wYXQ3Kx6h64YqRV8BJzx9DqQ840
0D3qPYTo0xR2nrbpNLfOsJwtqhqVJuH4eLMJO4wrLfxu5L01P/LCdNkRFZ10N1YZV/6+jTXZPowY
KAACJpQR51LvMuQ/GqVf+a0M8yY5amUzgG8zjH4Z1pjxzKeVaTVzfVn2rebJx//zmJphnN9EKIg3
6vVUc9K07fVPqdBi91sQ1fQ9xpzT4iObpMtmHpKx1B+BZkzaRtIMN6/qlPdzK01tNlnWXTns2f66
cMvFjecT/QpudNfJ0tuhn+/js2q4jgEojqs6SmX/0BMVuIHOISCOcd6a9/lSGx5cDKzGQb0LLYqh
BY2Wsj6YDsy+3sWotaHdDuqT1YDu6eqyclY2hpoCgWXn0+OG7+ut36BuvX2dDlHhMjeg7cVrCz5H
p8vn9QPW/oSY1WqTVLaRbwsOAfM9iacktSGLn8i147BQPTu2l+gflGFQfb9ybdsSOhd4L40pBzQc
GlFzD4CY9fmomoPKDlMM1tKnyQZOoMuj0k3nV8enB37mnCRJl2/TIDMqfqQh5AtHVWIY/a6fg4/o
3cKOMVMY3tRgYnYOvkbCRHU/JdAc8+ayEJuM5NsMhioQPMvRcJgu4XHLLzp/Qu3hl6eCE6V+EUQu
jKj7G6O7JimWR7DMGpp2JDAmJc+IHD6zRHj++fWdXUeS6v+reUuUtpjxvc6Y8o/cmzo4gNiZ4n1Y
jb52UQtt1qXzz4kzQUVANKeZPWJLrb+ikwCD7NX2lgJgvirBlXmbYR1SZgJz3QajU8OpSTUZPPo+
vGccWJaZWDIuDIFsMJDYeEhUWOnKkckNgaqLy30ujSVuM0QJDmNqCIYru2rN5TVdE/QGt+SCuonL
VyfWzKaI2YsvtgEEMTwTc4IcVS+QHl6SFf7heCMtaMnFz69MwUzgySuILL1RnIMp8vkW6iXuylHz
CIh1O+ckq5l9089YGS9DVZsTBbVB57KGkMeM9DN4MrZolewFNHfml+hFzmwZbnvAkba0vf6+W0Mi
UW1Y2Y1Db8bs9vYac5d7scOVsDPJlagqJILHpNKmutqo5c2zR59Xvfbajm1LzezXi4MggBclcQUf
TmlTRpmi0h4C8sY2yerye7/o1X+vwHxraf3jGGZwa79VaXclHE89KTNqUooPDkek0++tPM0j3H96
w/pOf9zo7wgCnfqflCGIfuqpiCiu7CqnFkdcO5TbSXpte+2suqH3P6H7tn2xtA2ZGmL7EQ4dzLdd
FNGUtJscs7mo7M2J+TRaHibW/ZG1vkLMBKnioQxNIuoIJ+up32mDAdfHQXfy+oTRpSoHmNkhM0lx
DTQ7+gd5eHBTf052S6s82murkJMjTDQeO01k8hDORmecSgTfnHFFZxZHpCYBJntHpEcySyWOhjIU
3qUUeLp4lxfpAgHojKJKR5TBuAnbnvwU0RYpZ/zeYdfIpgRsXTpW7cckrwIe5jqzEn8HIXc4tpXX
F49JSM18yUE2BZuYMeC0z4bU53mSMc2kfYPYq9qXmgsxq3ewD31StKTFvdMeLBWfqwpaybkdjc+6
flRdsCynapAx5T0VgYqPLHRPs3a97scj09ZwbndkeNb10RAtGy3EcIqNyV0yLF8hS6oTG5c8qfVa
WXjUfMCXVhlIhv0GR6jFcGaLsqKXf+hjW8abEwPOPDCYPiIUOgn0at80VdG9jOQ7GfFltEJ2j0q3
ER7ni1v2UDNP8x5s5tEPDFmZdpBy0097ugDO9CxySNSom1yfSM6FHtTt2Mcb5rEIb60jemlMUXPa
l/OD+s6A95z8JhxrUl/7lV4S2vZCPsG5iNBh20yYej7NA/id7ZyWSH+kFRv+TpOV3IWDbbyos4VJ
pdUfUl+He5sVduOeLTGYN6LPQv3G8On1t+gezFp7qmNtQlXF2ACcZahR9ilpjJmVQsezN9nH91+t
30y2XEDfpL+GTVp49ObfNigXs3cpGjCha0KDVseLfVzFb6h2U9KH+oK5QL++BQW2KFdVr1zEDEv+
pNb87VV3yNhc5shL15QYuDefJwF8L63Szq7CaOLmZpGBvlXFujph4adLMLkeI46p0HoCIa1w3qDM
0/sf6p6Vs88dtWDw/j3WuaMfX6vVdVtPO50yi/cT3NxWdcKEsYSRWLQaIKlXjQiu+vW5zqOIoshY
Qyrev+S/zWGWDgOMBPSJTGEAT/x64I3EwIEFcdVVV+iRtivxWj9EA/CwYyxI0HgO2dr0k5v3Jn2g
NQDl/Z//23rPxJt2A84VOve4FN5eYu4vTBFpTUxLLHpKbhTQnbPh7tHtXR06bZL3qJN6POWs6jUe
4jay/btq1qL0ATomd52QNgq0fpU2/+HjvW2Z8/EYlWCRZkIEQOItzywIGnSHxA9chvVGqJhQL20Y
/gh0qOVTByz1DOQxGXcovHB05rZIblUmJBpVRCHBbOWXHM/idG3SQtP3UsYzO4EoEojPSJHERa7v
q7rX7/8CvyWd+e6S4aR7OilHSMrejrkmOXmjRgfuygztLNu1hhaiqDeWyPc8E/p4aKrMNW+rtSSy
dQulxsayRlJovDJrvyvxVJilA+cCOwsueVo29v3rOGv1I2r0bMFdrNUYDuFs/hDkHeGTseZ1zZEW
NQtwaumc3bXStK9ajhfWtsvnOLnLm1pbzFPL2j2Tao4kvJ3cb+9fguUR/mcbjUfbgV3BnaTCR1T3
ZoU28pjWmdfYgAQAXH8TRZUVe91AgQLoEzlAcOgHLbce6M3r7R9WtN8eH5+hFEG9XPmFCfX28elt
z63nxtXICy+t8SfK76y7Y74qaGWbPNjttk0n+o9xGFvFLsr4Z0vI6xzbyoTzX79E3rX/+W/+/W9G
teA5o+7Nv/7nQ5nzv/9evub//p1fv+I/N/HfDSSZn927f+v4o7z9mv9o3/6lX74zP/310+2+dl9/
+Zd90cWdfOh/NPLxR9tn3fopiO5b/ub/7x/+nx/rd/kgqx///uvvsifdmu8WxmXx1+sfnb//+69l
yPlf//z2r3+2fP5//7WNvn5/+7d/fG070qXNfyEj8peJGfJ2ktCoU8cfy5/o5r8sYnF4p1CeMtzi
ByDd66L1ayhYWS58LPs62wa1QlvSsf73X+6/LByHy25CJ9dh4O389b8f6l49q+pm/b/jCy3916rD
xcaIM8QFBqRDCeDlfhPQVs5Ob9U6EyothRS9geCVj+dGi/zq7AWRvvVSI9foVHhdnoIXL6MHxmEw
Nzwf1hyzpXQb0bbwP+DIZLblODQaDzGn6PRq7qEdX5EPVj+CEJ059CG79w8JaHhyDeZZ6+RGpHlc
HdqmMJqPkd4TPRBqsW6QjsfOQbIP8PiBKF940dSZDq/3lZ00Y9ue7TEVOPyBJUN/dsRwIsw6sAzs
1tgq0S2CRIy8soAqXjVHIOl9STa1wAtommBolzQlg+DRDaUdGQJpDQw5L0V4OwFsFrcWDjhqXD6V
uMbynj7PQ+nnpxSdr/PsEar+NeyqGXbO0qMWdWHcO4bV7n0Jx7m5rbDkEbsXfEQ8I2Fvo1BoYNFq
s61rn02+xQ4ImzQfR+QWzW29GHmfm4YIQgJY/PAxyYv/Ye88luvGti37KxWvDwWwYTbQBXAMvRFJ
ieogSIqE9x7/VF9RP1YDVL6b5JEuWVm9qriRHYVMgnAba68155it3ZDsq9MPIgUZE+ipWsocRDAS
Lv2iaCI7umbk3qP7Tkj0q35OsZk817VCJIVnDykt+UEtjPBrGDmdeW0qjVHcV2FTEqK+ti0rfRp/
aioL/UIvvnwkkHJ+6TJYAnTckbOZG1Zy68KYM3Xfgu4GOKTjF2OuZfZndo6x6wL1ykTjB7rtRd3G
gbJfrEiJ/CQstPnWLtXxORFkK1zRoIqArYRE19sbEYbVTR07AfOwWfqkDVl7+rfxVUEgz36ctcE1
u5kQ3zYhkRmRWqQj46fFX7mMN0jEiWMZQkDJKgcVOQkiwVRy/eKiemm6nnBpFwZEG9RuBJS8y6Am
4jRhCO5gBfAsFjp6RYRMrENcmitoKp2F+ogOpaJ3S+dLqi4ub5ijTiS3LZObySiFfULoWaQxmNGn
+YjNswSFgShYoaACdbGbaMFdCmj//fGCiy06tlDUg00Iun7wUXl3zTawySzY06qpC/JBo/GhG5eX
KBfjdoq7lWEv+69kJPWXMhl7P87tRfHUCmDOzC4UAkuOzcBcu8G90+Tn5FzMBZ+bhTSxSJHNdsgI
kSHpl+1Xac7NfiIE7yqEmHVBF9f04TJOyjmK+f5qLAuNLAy+2amfo4y+00id3yPLMrlmBW/Gpp1z
ZWcMfYViNWiyr6J0sMVDOKiPKvQlV5OQ1UNYhNZ9wBPWePTil8RrV9CzO6sLsd0ZQ1Qg+xl0kCNT
L/IUFkgaKS4h9ASbIjNKldOkT7tvoGeiG8ow49xOueIIBOugBewjojavb0mdAWXxMxJYvxcCjjsj
krni1p3CSzV6vJ51NzyxODCUQOVa19Jxp4QCqw195j49jykYi9TJxA6+IazxnQ5JYpJoUcdw+YHd
vCVOKGoNtfvqtAmzINKWIkv1KhztAnHf1CxlfpQ6bdGXL1Uzon2lyQFZIYIRnvfxeKqioAPu51aw
nOHBFg6q/tglvIJ08xN8JLVGTJRVE/rkjhqi421TNGodQksHfUwAaoHZapJcfHfp1BT9JnZU7Uwf
W3Mc74BGoqr1qDYAHtCPiDJ1FxdQNnPyAIyw9qwB6b7bymKIbssw68AGFIJg7gfDCdvijsZdYd0v
mVGmN7bIRuKktL5sIKRTOZxZsHCgRaRU5Bmjtr7oL/FU9+CTmgRsXpeOuV802ijdoDGth742ydNR
01ri8YuNXacTG1aWav4j4uYy0qQjO3L1/cjMqmOGRrSqZgyvRcRG2WX2TIz5xPIwC5OWpuB/dLaY
ZCQBo7evowLfI/ldYOxjvaENb9u9snN6tdiTk9ve6/AHPOxoDpEb+tKTV5HlW3IbHNul/cBGCNvh
XTSbzHY7tBmuWpL0IErSsfQulG4eSfYbwB0vQP+M3kgDdh8wUdzNVWgfqdUYh26NLuLHMJPHS6QR
1SygEF912nxP4nl56rCqkwpeL/NN2pjRhNzd7DZ5Yup+MOTZSLN7grJftEyCjVk4W0TsgJ5FpN2a
aX4N5IEYiTDvj6tefbEMRbuRFSgYN7GZchRNox+B/SjusjmxUJZzrXeBLh87ZqfNDyYLvX7cJ8NQ
/wyY65VnVUw00yZNJDfcgrRyNwlSL7y05Jt7H+fWGv5UFOiy6dLlRnA2NZkR/kzjNnlAbyiU79aE
WuyU3nJhb4MkUQKfF0T4+sgjg6RDyIFNezzanhG3xdUk52oXNzSNCOwir8VKCZnwjcLQQLzYspi3
sRHEgwvz2z7L4qXFXZuyptb53OGOaAnlbDqNvgTpjF7t5DO9xcVYNnrRq44/tWniHFl1llm4dmdb
3yqYPKCWRohsnaHeZXpl/4AeSvDcaIhkdf0lV3QrJQjS1LrumkWaFL5OiNdtFeK7SBOUvaqY5o9x
UuDhQBpKtwEs3WqzmHP6ddJtdVVCRt3DYKnc/H2BN7Z1kyVOlyf2g1F0HqThKLdz3mGyDuJ4PtHB
A5zmFc1GXGekZs1SiV7mxQjnXbsUDW99BKUjv3wtIP9Rof1/VkVfVM/F1655fu7OHqr/B0ppjMgf
1dKn8WP88LaYfv37f1XT5hcNpjR0YlRIgNRWwsuvatr5wm+uNbMqrLWBtmKw/iqndf0LRTRDhtfy
Gw/lv6ppzfliHBTn/6Cafi8flEIX1EwW0kCoINTmr07sN3iCFmJTGzV8ribm467DDhQ5XEFmodTC
5qtsrOnXI/JuK/Y2fXzVbfy9IWUKxUONNWFlA65UBP1A12G2KAKsAXsJiofEbzRDWbflj0PRfBYV
wezh/bF0lPQ0VqhvkNFTXq1bkrceVNWwCS/viFBAc4M2dZOtuXjq18rBNzXDyq6HosDjQYtI24TO
pCYL6WG5mhJAvc0baxkyJDVRl8Ya0qgk3PdxvDi7oAgx45W1FQVXmaVX51IJhMcLG8Z+SxTz1x4S
pLLN4LF3vkIonH7qTHFWH0UZEeJehAmW6ECF4N8nksKLaWuW5G3tgPRa3AehTmW9L0gSD7fI3dvM
x5dIIlRG7EzvtbmdG+f01fP2EqxyLDa0YOYU21Q4PfVV3J408VLJhzyZSgNuQigvQ3ONQJpl/JRN
GeHVhYm3lL5pW82TH0hnMSzmemHb8VF3UqDaWaIGZ+UCe8JxY0zDCPe7jivoW3xZ9ZzKgPHkqZkj
c/IU5IijT/PMitYsH6sO9+tD/RSGg5bdF0rU6V4zKnlSnyCNR0gzqYwpS88J5lw7saMaHjUNr9Ju
VUhaGlwpMinhSKOdSdao6M2i2YUx7bIyTylmOsJg4sSve8rZ73WUjPWZiam6uLHxNYwIHktkSwR2
ke2n3slxSlnMK6FPbeZJHI2Os7FHZvvdFuJtqWAHQLjTgMZikBTp27aEHKZvsJs0C7ixXIkqeUFO
opW3V7GS1zLzWVDVPvSgtOW26uaGMVcdGDMgbZeyq5GE+HGXYBO6WHrZq9dBW9T5N/aQyQKREN4p
ld6ijO0DYquyRpvQ2fN8xQkIR/OrpO3NwktziNi1R/2EQYz0L/p9jisA7dfXUu/b/JK5oHERwEJt
ty1Z7Lk/GUvzrQ5JK9/VA+XwtmJarPjcR6vw9bh3TDeJqQsYgmZ66i9ggPL9CubE7qbJINyOMm+e
FsQWy6bD2DjsFpW+8l3fkB9AsdgIdRjceej68EKZ1Dj0KOQoVldpDIixAgSrW2PHS/2+dFBvWMzh
afwqoc3LAnBqT4G45D6FJKDxIrf1C6TkLXdTT7hgBcFQ+s9RI0rzeGxzszzXrMzWEeFPdUYIzxDp
g1ups4KznpDX6Wuid22L7q1e/2o2rcR53gpxzq4XDrk7RaNFHrSNsclPrTRV98lcDaUbh9KqntWS
Ge/eLFFZnLSWRADaCq15ZMhKQZ+a8XQUd5WhHldKTIyMu2K4w+W4qenj9Ju2SSENQGJhzjxsg6lT
CNYpzYkM0y4d8mEHCUaGPoELeKdasmkLt+srBCXovqu9mFvLcGerSvM1WA51UEScGGmgpEKVropl
Ot3mQ69S8CVmsUfIbqnkjUCUJcNrJPNTJwDBuSRdxWn3FUDAm1QLRUisMG3OnUmCkIaX3+Dx3SgZ
c6y7sgwma693UzVFno4Tsk7uJ7J5M8WrHG3oziybECgX27cSoyZMTAWRpSj5WayYigONt1Kdkq2q
RkeKsLN614xB9JOxgLXAXjZz4UKsIXlCILE5Jx+EyNypVJevsZYN0da0SFRgrFrUJxRgNlGhy2gO
m4GG9uALPgO5n6LOnb7yVI7Sh54RGbe0OSasLog0Qqp0Y0IQW9wLaVd5umvgQyfL/cwcRbumz7PY
foEveC5/RMUwC3GvoYYl1ZuIml+bqryKi0YwOFVFaW0wqNv9+DMEVtTWtjcYQVC2jwu90IFAWd7X
Lp9+Tr+2cv+pirp5bTCuEsEPGowPj+X/uHtufj6/rYzWf/OrMFKE+EKNgxB8xUjSpl7F8L8qI0WY
XxDqA0WE7LX2G/lHf1VGmvyi0UpEQm8ihGZnSjn1V6NRM75gfRQMchinCMwe2j9rNL4rHxg90KAW
VCpMZtZJyOv0801tBAFBjCjUWFKozo9SI+eXwFyse7MqjeMhXfQfFVG3dPAaXWyqCM5V7KQ6+deh
nT8QnXMcBajqNwoJCOCCsnb1umBLtKrOeCBaUZz0tprTwGTrQr9gETSziFe0vweOpkDySsfYT+cy
/+YEY3+qTAGvF1l+yP80fd9ojvKNETpqoqQkCKI3zMdENZQHI591xkfauDFUMntNC6VRlg3zkVTt
kRVRxLdvbupfDdq3Fd2BtYbrZNvMf7FNQjFE5a2vZdib60QIDS3MQn8xmXaR3VGkdFfqadyZfQNx
MFw5HwVEpn1o4kCAJ94/mbPjjG4GYRR9I/GsX5UYfw7x7mK4Qy+C3K8ZpsZLiBEvs7LKNshLBhXX
UENgqgb2kJB1Y/kE1fXH84A7ZNDzBphOq/r9eehDG0pzLF9qzLvXeRA8R3o640lKegKkFIKXw/Jn
U02GB0ddxwkZWdcOel2vm1vkXdC4PZAs2mOQBQQ3mGBynVw9HZJRHNlh1JykCJoudVLoaMmV8SfT
2vd1/Os9YH/BHsLmtTFMbR11vrkHDemDeuuEAA2D/LSg2D+1wxAkeDeIU20NDfj4nh8Mq9fjgYAF
68095a5K7WA4TAxwzEIsn3s9+66k5m2EuWuDFpgsy7LITuAsoGQs48KjzcazP+Xbj3+AAwrtrx9g
nUpa+OYtg6Sy9ycMDHkCLVc+xwuDPBc/KkUtZIv6Z4lC5gWZa616QTug3O3MeIOvYn7MSZepgGWb
88OokZG6yRsy4lBbX5iFVBV0vVn9AxFUtlnSWWLwVLuKJPNciU8GxIsFed9SuTPLajtGGcVgLIay
dVFTSjIgFukOyYA8QSZp+ZBHXX2jBHaYuuQtV59whw7yQTh56tPX6YzFBISS8+DkDcC4YRR1T/rQ
DLWLeguAoSLH781Uj2A71LgkTDhWXyJSaZhoBpD4WBECkmntzPoaWRGDkIn8Y83Fu4YKuysSXPlz
1X+zFLU7h+SwLNvJtK8suzXvpmgaz/mtxoui2nBZjMqjooqaM80s4xuaX1f0uuXRxzf4twd6HR4y
suRVxATwawj05oHmFSnDoTEfq1qSOB9kyyZLyREA947ogb2B+/HhXvedf+9L10uKdx6SE8sYyE6m
Je+fpzpR2SzP5HV2zvTdDEJzg9iL6jTr8uSox037oGNg3w/KchJ1lFwoD9trMRSYS8XAqiRkOJxC
BmUUnlZ5+NR0Rvt9afSmcdNFdY4V1a5xVEoowB7cXzKNZsG2giTIG6iRYu0Th+ONNlVMpqOlpieI
bModSMTxmMIPOi3L5tihmn/h/deYZgzsvpLG+Sxg4L0m4vU62PQoEAmuo2Pwa++vA8YKY5ry5Wl0
AjBaYaP6M1eLRvVK23JnnB+szh9f+3XLf3DpkSqofMwx4ACNWlVxb251xIykM6sJ+ktjH9HtXXyR
UUbDBP7MeHvAuns9u3WZ5BZDi+XFOTg7Pta5Ipr2aXaG7+SG09quuja7JwzVSxanJAw7HEmJRLY6
0peT2Y8YDfjZbFjj9MkKeoCPX3+U14dNXdnqfD6tgx8ldXJM6MJ5LI2JBPR5wWjTO0ZzKZKGlvA0
VGsG+jTL2yQYVd1VjFD5HhXt+F0kFkO2bKwvJr0vM18jcpUndCqeTTswCc4lk35Fkgf9fqirpnVl
0xQnIoh19jM6cR2uCAKLQ7KD/+ROvroX399KXUO8uFIo0Bzw3L6/lWq82HWmWA/oysuQ7cFk/Vx3
017Da34x4HIs3YIdAUM7cjM2FW/O89QAjW5jemegBAUytkZLHdew9eQm7Bd5GpEwNdHljpJHep/z
y2wNrAhCWSZqiUV8xZXQnqdgD74vkz7cETQuLhSlH4SbaHssGvFVGiGsdOVsD7kblzYXAHWP1Nwm
KBklzf18n2Z9owH7ym7VqjNPLKh4J0ZV9qeAvnMGrWgS2aybCQMt/CjJlWaxB/WdfCDw6uN34VUy
d3gFEUwATCMNR/7yj755GfSha0da2g8ZMsbaZexpkY+Gx6iX9mK4KjnZECuAekpfcyYiMkprOpIR
JsV0SUhpho6e+Oogu5cJnbsvGz7kboJZ7yzkw/jS6XHrqw2KUpI98UO5SteWV6+n8J8m8H9pqxDi
3+939g9x97/+59u9zus/+GuzI7UvbGTYnKLAZtPz91ZHGqumgvBP1EqkD7J9+ddeR6hfWBPxdSPB
QOVOH/LvvY79RUXTRCd1lUG87p3+QRv4vVRnlXnoDmklUrNXRDSw3PfvLXnHujLakdwUwzCy9JVx
uYtXSXs5MyyhJ+fg6ApWSb01qvNugK6RfrIgHnwF/voRWJnRwyE6OzRGk6GDuKpu5CZEWLttap1R
YlRoG5EGn7jX1/3Im1fs9UhEmqzEcBijeObfnyxjPCUgptLa5JpW+2q1mH5UZPkn5/P7JeWighsg
ptiEiXoIQIzsTC1FbxgbZUjVC5QMKpx8ihoGN2qnGluRZ92+rgvlnPGW+Q1Eiog/KZLXT8j7EwU0
jUab+nht9L+yid+sJY4kYjxJhLGZmxoJgNVaZ9nMR5WlId9NCDM9mNTK/s0z/6ft4Gsy0vvD8hXn
4yaR5qxb9IMvmyPyoM5UqGqozWjIlREZiUcKTFYMSRHovI1D3zsE1K+NNJKcumBmq+KUc50qxT7Y
KcYtsdfgFIY0M0+LysrA3w9W/YD63glxIGGjZuzr4KbRliamHKRedyck36br6DSuadqDfPLmmX4Q
+VOa1u0aOzJuVBsM6y42kQS4jYTD9jPBDlUTeKcU8P+x9d5GepyQ7T0n1zLTjUc7rdNhO6ua0+3z
RDMyz6od6zqcnfjHImn8XXUmE+NbAzuyzhcCay8qd8W6D00AJuc6A/r+FifgGu+aLMPWLlJNeBp7
8paPUD58kySXI8ib0GifB30mvoaWLFpvjmVyyzyg13CbEZfFaxc5zL0bem8bUhH7B6tOtCdkjaqP
R3fUT0rCliY3mByLFA12Lhat40GrPEMb5JlNrve8oehtSOcAFGu4fUL+DPNcUry8nIeCpkWisFWr
qlQh8bKb+twXHRAoNy/HGihzidKzaPi8bzBJ6olHDc1M25ZgZ4weggZZyT0i7yiebpBA4bvT8mVB
4JAt9qkcITN5jRbbT3k2mSkaARN2n4g1w18cIobVmAAEWqPQODyLF6XfjVn1rJiO9nVJBR9scPqj
44k2z19gbDCEDiFFxtDu0uGyaIbHkhAy7CJJafQYMM2IqAd7qp+CDq/Igql33yjjIDcB+NmrrJPR
qdNazne069Hz2JC55EKRJyODb6z+PdOZ4sJG6XYS7uBJzl5wOEkUx7ivKyW7xAXHHDtuhXFc9I6E
3Tfp4oz8Mzsg1klzrgYYOQ299olqAW88CR0pxk/Uxchwgm6uLW8s6GR7g22M55MWYbhCKVQQeFIy
YGIyo0R3FH/RVZWlmbKJUUT3+zCwCd3M2izc2AmEqzvY8HGKNJ0JDUq4PmpqABFkKAKLQH5y6qRw
F/1K5M51LGFc4K8j74CUq3TZsXNWBk/Mtln7PbylzF96SJBIf8B17I0xCx+NYaZXjdyDoYsIKkg8
HSwUt3bK5KmCy8vwrFvUnFSJoSs9YNmKfgHUqAsIIUWsuEmntjxPjKKbPBCuyzVFVnlvd4t4AgAQ
m0gTlOBqLhP7IkIXYLmaWYW3NTa1DMuS1j5L4lcvnRgzihdmbXJFynAXbpKALYIvYjb/W0Zs5t1K
tvvREMz54hQd4ZZOnQ0/2sUOHjWkKTWLixZprkl8FZ5SI83XfGTLDC6GrJlx/JHEpXsqsE4YERka
BUS+GuREVZ3GEItdynuiycS5tAZ8lD6bPe0b0mw99bSiR6yA7KrMvTYuxDnhJnrqWiQzY9YiaIFf
o22b/Ej03BiMkfi/YrWsDF+MArPmEDvLfa1Y7GiHrCseTFJc0PdRqCbbIu8ni4VMEfq2HICA8bLa
jfBxlkSRH/TYoyFzto7iNsqShRd6hRrA09N8sH3LrsZ81w/E6rrKqBKLTVtScbBJkoBDCvRQwhWi
99G6nQgDfh0AynCtwZ4epr5RpJ+WslI36lRxZkBVyY2lcCDZo04anQSiYVSjY9QTQBMq2uyFTxp7
8WCHRn658PSuEdeR0F29KZcLa1YKksEgjTwRcJAgJgqH/p6UG/WmVlBT80YA/3YnnN4YGlWBDLpN
Ki30haE2tkcnVJcIPZrU8UfGBTd5mXRyDyUmaRga2UN5PDJptbwpbaxbLDNmwpiosEEWWm2qffJV
O2hHmGxP+aBhd4F0rP8q397uUZdyXErS3UzCC0vlchT54o842LbDiquJku7544/oHw/n0HWm9cHO
51C2bZcseH2RmRul7k34hlcgLs3jBIz0NUTN3Pv4aIedT84OjbhkOoXGXVur0PcVEfvDpWEJMTbD
EvZXKKSY6EVmLydPbZh1uSZmkAbMVpJAfVNmtbgVuHIDvxt48CGj1Yyp8ZYyI+7q1jhT+wL1KCaw
kG11aRTPDd7geafTQCW7oDLpmbL4dJZLSZqmN3NEXPMn+6jDBiWntHpXLD7uDP8pKg8aoowb0NEw
gtxkPWmpntFivHk0ooF0kmlJHeuEsmkSR3UCTdKHx9M2JCQJ4m5rFu7+Vy34ny3Rf63pe/9+R3Qf
0y+L3+6I1r//a0NkICUnSpAS0dAhIdF3++/hj6F9kb/AaMRuYgFZMy7/e/gjvrA5QXiJeJQ9Eaqa
vzdE6hcQdHSiCex0CNrQjH80/HlXOkOL1GitSgFPXWP7haT9/RuBfC6kRJKEziG+RNNgdX4ic2f3
5mr8oVZ+vxP56yg2HAUDDB6v+cF7Bwp4ccaZo9jUiKdh2EZ3mcbI8uOj0Dg9OBv0PWtbhvdgFbMA
/Xl/NoxjY/gG1gyRtDOE20V8Qyj1AvvS7nu73c1gqfw6hTWL5FxIjzjaZCCybOguES7juOyGvrgB
JR6zaWLsVp4RAif04zpFDO3qYTPJbQGDc9zgiowHv+sYkSNG7yfeLVOATU+I2SZHATe8JhcjysBc
a5DeKVhLyY+CHKAAlxKY1zGy0fokdKALgzdG44Yy3givaNUwE1d7Ohu+jAtL21ig3Z9wfLf23pg6
bSch1TKosYtmxp6XJhcB8mrdLWndgUvUEZXL2I4vVJzzd0yLgxSla5LeDhD81U0I8ePcEPADtl1Y
98VWgYjZ7mrqx3wz9upCF30C5eg2ztoaTIPBtP1koUnr8RtqtWmaCFSqG09s/qEgRcEdIojB9rBK
m/auSu2y4tPhBMmuzy0YNU4QF8OJYsZpzqcYyqZXFHN4RBrY0p2OyCCZEJamQ857y0DlrmiM6gQK
hAERuJTzZRBDfXS1VePrZrCJY1eKmbqqCYv6AYmv89BWznQLoKd6GXLdyvmTLvuBV5OWptqbT0M8
6C9wdc3iHvPqQp2QTYO20QpV2PvVf2iy6Ct9vNcWuNObDoIfeepCaZJryCI05ExBEqsbYpuuT9SE
Jp4LxrhKfbjwvfjRNQqWHiLTEfx3ojPCjYFUQ+xUp65wttJ6Tlw+NY7wTJXp0BFegiHeMg9QpaeH
SaeCqwi18btN2JHGpygtqn1dWaj4icX5v3AH/f8pWpSsWv9+cd6sT8571eL6D/4SLdpfMEZi+lPx
beHfXAmAv0bzYl2dDewK/DFjdrrp/1qdTecLOElaK3AtGYixfv5rdTblFxNiIH/EOgQ8wZD/ZHVm
LX/b2VjZuAD01uNjm6S54hwsz4uoRNcwM/bR5IoTubTfiYRtd4q2mKfdApY41ggXoOnl7Gx6uDu9
mfMUS0aG7T9apOMTGtkfF0WY3L65hH9Y0d8Xbq8/GAkn62yB+ehKYn6/0koCi5IRWK2Psq0+wQqD
Ch3dPj9oyjDcVOzsk8X99yuhczWI46RWRM172DYzVPav0KqEL6ugp1yzm2N6ed3dx6e1Vkt/t3Sk
qjOm4ORM2oN8FPkevj+tpW7ZbtukWy6oGjGQLHoHYwY4NwJ3cZvoov4GBrjgba76rx8fev2kHxwb
jzloWfJgIXhqhybOwEanWZIputEXK/0R5uAR2qJaMGqaw+CiOip2eUfEo4OsDX+PDZ5siXogjsy4
zjPZWhfQAuz7T36q9+3K9YoAZjGJO9KozmmwrT/1m96axNHggLMLfD5DypYOq9zXWtl2bqEUs1sR
F3qdTOMFCLf2BPVl6kazBpDeGtRvacGWhozvK6XHM+E36AU/G8QceuR+/XhsVpjCCL79r3/+5sez
F1oZYVMgGQkde4tuTEdRaTQPpEhNezmn2jcjV0qcDnGp7gB9dUBfzGiHYKw8qdqw+2RivRYy758f
EgjR/DLS4HuIPuX91bJW2FfUNtHGTGxexIb2zYaOAgE5Wmn9yO0p204UFt4nN+nwbeQmURGyEsFI
RWJ9+HIIoEFJHNXxRthg3JNs0P1+nrIrmnVQFZsGW05UxJEXVYt21vBl3ynkH/gLhA+IPA6FUWWm
m1Jo1bGCc+lWHaflk/f3D1eGxxsZgzBXbvsh527CoVaLzIo3MDflVdMFE1AJcKhGSB5AEQ+tJ5vc
+eR2HC4a0DtQIiKgojFsqCyi72+H6Cu9pwJJNiXyz52tt0g+TaS/H1/+PxyFzStTdbQKKnvZ9e68
eQaxITYOjT2IFWkb4MjrEsvDG5Jff3yY364g6nhMoSCVV/cpN/zgMITamGmS4FG05uyMGETMM1aQ
9WuxG+wWPG+7BF7c5cdHtX5bEtdgIyyHfMuwlyN6fH/Yzigg+QBe8Mt8UYK9EpnKi6GRMLct5zra
gs5vQ0BPGR3aUWnmZhOAuSb0YxnF6Nk2tAtf4XuJD4UQ+q90XaNoBwFXejZ9MRwipkDK0SAwvm5k
gapWGst0nSRmeMqjRLdtTLSr2tRb8AAdch0cQUF7Gi66NgE8NQFeVUQCnUU2pOldzxKxa9VElOdc
RqDtwxDxAhZ6BadDEKjdTKKkmnPaPnetSOvuomqyzlUlH4vtEImSENlw1dZKsnLws0d67aGOKDES
9TIDCBUD0ILREQq/GPtqOCKuxsKJMxThvrLAj+3Y/xOinSKp/9GZ5hKATJuzu8kRcYBfl/gbZMl8
PDwzBbbkaUZrITetSce2+vqIWjb4OsZBfYesVdJRbIrW//h2/ukhYnVi28eLQTvuoF1Aj3ERAVxE
X6IQ8Ms4C3bIFayNVdMI15dsOCdmqth8fNDfviHrIyTYyRqrKdo+FD6MQRBijaxMOH2NtVlo1hKm
VFW+WHGSHx/qD+dHicDBdI3/UNS8f1pbor+opBwOxQtxos2Nug2iKPWISDeOecTnrWXBmPjnB6X/
gkqLpR/d/+FFxQUQ0GyxfK10ujNMnRdBhG4KPHjjq5Jyxeoa9Z9f05U0S11IYagxgXt/oiWhYwpi
AE40jo0tDGvLq3BYbeGlyP3Hp/fb12XtCOpUJBZOE2b1BwsPxRy8zKHkmSEW0ofTW+/HsLI2ajKa
59nUtJ8c7/UmvfuKarh1JIJUjrfC9g++opk067JPI+nnVke9Q672i4NeSfewNsORBHE77oho0RYf
tsRyrQZygpFLrI4EaWqXO2tMBwT7SaNe1qFWoXAr2vmoRUXdffI6/eHJhg1v0YqxLa7Qa0PizdKP
SrYala6UflEXzimCzdyrwS16ELU/E9L86VCUpugR6enxBT14soeBll5dhOgholX7Ta4IAVQk+WQs
xp/cgD+8RAzu17dVSosl/6C4nyPR2smQSJ84mOAUzBy4CioxFLxtTFZjlyUneK6HT476hxNkRg3F
FPYWwP5Xoviba1k6TjxFyiJ9YsKLTRoZsdfgUnT7kA31P32i2UyQRG7jMKNvesijiSaSeOeWgNmC
pqqfECy7qZcejkmyBtCnXfZJYM3vFYKuUhKusmGTr+gqr3hbIQQIbInCzC0QXbW5bZW5O3X4sH7y
MP7+nvJ/xtrGkVjZrVc15ZsLWNMHxjrQmn5szY4Hs6jfEYDen+uWU3qQFOxPjsf/kp/7/YvKumLR
nVzvFw23g2cySx2HLVmh+p01KLqPLbzovEIDmkxY0kSkClOMKPCBllXHLTbd0O3HziIVudXmgTTg
ivFzYBMb2qLWyKBFWMBN4iEp1pTkICXdzqyZ5U1UD0Pd6Xtn6ZYbCvi6cIljz57iYJWEx/r4Qu4F
I/W+y8QWUDQfbBRgRC5DA+gZidkmox2Jh+N8WvLmx5SoVCuKZJpTVg2jdgiz2T1RZsyjDHWVCyVq
0z+TMx0jTaxC7HEjfcXHoKTqwtNVyo7dNV4v9mvqk9FUE7kRlgb0sO/r25S7/QKENDgPxOQw0x2W
tQnXdCp9s1opgDnWkswTu0Vi5dIXKh/N0uiCYwd82HoRg/nSBLRZeIaVZcDjifVL3TmPGlCVDbmB
9KtQdcFRzNgHdrE80Qmkhkc5hdOz6GrJ1j+08gfk93W+mfpK3LBlGL5lKSJ+L4UVT7Jmpk+h60B0
eAyGBjdaW9lG6dY48wzSZovuWzTIotp2C3FlLpKNPNumcd0unhbNS7qLJ2lSMU16Rw6S0rAgYWbO
nxYU4tdV6iSJT+InP8hIndO4jPIsYwt5l9+hEjSf8iaIXiwxjJxXGof9tonH8DoDmgoJuh4rMPJK
dUfF1nWugodocWOYcDa8XICwGJghaYLDVXSoBaTCTh585IHrsrSd4jLT1wvX0gtVnmYLySNHPfPK
W5x1FhsgjNI0cuu5OO5EgaUqhZZy7ehF7ezqyRpPVC0rClp8RoSjziEJ3nXiFhcxVM3ghDs4aR5F
5whSYckZS88hcuT13vIXZaXFiwdWvT/v4cr2nqM08iYhTqry4zK17bMVNnmkmEX0U5TCSXdJqQdH
S0fDGtc4BIpYJ7vAg0ccMlxfxA0HglYPTqy8G6diuea5jkkej6rhuS4bp9+lTFMZp+Z85FxEkTXB
yTHByh8vlu8FPnQAqKQs0l8xP8BYQnv/fvGKJ4bFJLkJv4aWvqsLq/T5BIuzntSNDSVHDqdwHH0Z
jEChM+Po46P/3hbh8I4EW0aTDgHYoWC5EFoNLK8UgGKVqFjlFjUIF7H49ozsI+/MatsbVQiYSyn8
qm2cC8co5YXghvu22Y+n/5u981iuG8m67rv0PL+AN1PgWlpJJEVKE4RcwSS8B57+X6Cq/+YFWbyh
HndEzUpSXrg05+y9dqlCvXj/R71eqvicLU6z7FDYhT0bcl/MtK3I4G1l4GIqh0OFYagSWBY+xwrx
ym+V4T/6iF+VALn9bLmWi6dRsxCmTm+/KwudRKpW3/SBnl92RjRDnqnandbX491kjc03bJn5BlE+
Xfw6FlvOHdBUHBvSCTZg3+4mJirHyHfv34PXmwQMJObzqRfRHpK/098Vp9bQAE4HFlMX7ZXSDThd
dLxwO0iRrQfmK/8s2n448zK+Lvg8e8w5ajNnIfVaL3KK2+Hi7gdrk0orvChjJvxQCZuDQ37ibga0
6+GPtD/YcWsfU3jpGZqruPkq4Bw/NS0EmvfvAoWw9RpI7RiYvI1Fizafsz6WqwQQLLp1pANz313Q
8pnNHYkqiGIqPShjXxmnWNvXdtfdhGHCUUQreX2wQSn6Rcg7/LMnoYfJYs7t4yhVzoYI4+mW6DP4
3m2Fq7j1A1PWMFuQDkDucIORNDrH7XCVV8iaCKYzP8tOUQ6aJQFy5GqFNzhr1PqgJYD7yZTDXIS4
QmUZDTQmSX8gc/sxMsPc8pVpUhs06Bp9qIwk75tUwxvo4b1C2AzWGzUfFTTrRzE1BguL2oAnziIc
5mQ018NDYVS65jUCH6kP2ik8qjRKn/RST1tfH4iw2NRwiSf+cNxkP6qwMNJtNnXwS1MKVKxrAOTU
ZvTtUU0LY6fHNi4VlB5kgS7+ZXXWq9uOeZewtNZSw51BmsxMjrBV3zc2FYRtB2xYPQwOQukNJ+tr
rLxW/oE+PDInMjt1Fduykn6u4LgjM0efvod6T50rKhuAGJVwDHpncVuFcAenzPT1rmo/jEVr/kzQ
5hDh7Rhp9ivrJ6W9j2dmy4fZjUztQJhWBPBlqhMMq3lpdxcs3M1xHoLqZoS01V+hSQSFJHUgOZsp
xad+TIa2qvfT4rTf2WZfqx816XQ7sWSwbbraUaCEUn0m7bcrq9IHzRfdEvyG94E+5XCvhFhVKFvQ
e+Bphla1mdCyEPgQl+g7NSVQtF2tK80PEtKHjyzU4Q9SeQn7gMFqfmfTSy6D6+YTgBhDlE+YUlgo
80gB5BLh3/fTpA7IgiziKjgSIRkjgm2GnhJdRry16bYxDA/ZCGOLUK69bxprmfpHNH8Lx7vZDuDZ
77GW2+WmqdNxV8ZxgRLL1rsOHEwgJR7+sVN2c85ruuCGSt2LDII/kil2NF+ayeKHC6Aqgstpm8/s
Ghpo7YkbOggC42yiKE8VdIdCr/haSbWY6FUm7UVNkSnBrTOY7PREX/4aJlhoKKDKbvCzXNU6P7Yk
6baI39MaXnhkXsHnRYKFxdvRrpBUMaQ9ieaQj0bUeb1uUHCPpynYl0GL2Kedh77b8D6O5dXYBAo8
tJx3kbq5+G4NiW2jIMsae1PPjSkPhSGjp9Ach4PIXCeElgVyYWOrqf4055P1pWu7CdJ7R6SKj+h3
1jcTYXnSa8c4VpYDLErNaVLQ+UGTGr8OglLiRgdN+gQzUCNCA5hZ4uGOKfYVDWk2OaHzJAqBTrCD
t0J/2TUqrqJslIeuITwdMq5eXYyzkfxCgyQ+ho3SU7pP4/67CgMMI7adYs2oXHHfj7GN5lR04mPW
6oPuxVRr7toMZtZmAD37RSaO9dRrbndvqon8a+it/roOy0SjI4E/G1RAMz9ohDV+R35o4zVTug4Y
nGwNWqk1YACPT67LtuCAinSbVqrDVrocq4nAD7OFR2mNY+EHAWYcb7DHFH0l7aetZoRSbghgVmO+
0FS9Tdlfp34VV0VGdkOsf+1hR9s+Pu3pwukH/GydGSbaUQic1VuMX5L+lIMwsxnNcNgOspXjpZ3a
Rr+bOWR+CHCUPY0ZcSYeDjjnQXahedFUlapj0kGkxNI+h9egwxPdU6WtAs9JBwdQwoBA0ldlZld0
aybdPLDQ1JE/FIOWH4EFK/GxJOpBbDHOxzdkAlaDX7ccBn3dSfGG1FYIM4Aw6+BjWRbFZzWKFMuL
XSOet5rWNz91IZjanDARyPkmGW6pAgBNa7mxYBNqggI9MUrl89AKuEs6HyjpTDMlTj/WjOizEmh6
yupS565fQKHYk5xVVBsAXDS1QqeQ8tY22tzakKI8ToQJYa7EHyatw1AQYs+Tris6Azr+3Soa2HGb
YYr0NupVjOs9sNmnbgnKKaswkdvEIV7XS7OE1BeXVNiHPiBvhjTWIv0Zq7OCEFvY8rFVwupjRfwW
+bpdTvYKrFTYdzBUyZjuDFJkyKMDrL3EraCchcWHyMIpxu8hucg9nhgzfwrUav5eRyLoD1EBbAHp
hi7zDQ+zuxqNqqDzRNwGXtoCoN02oNMwAPJAStsuG7Wu6NSnrG7L+gBdzQo3ipb1wSYBgG/4gAMC
asAZ7YPfhcL/6aP+9Vxp/ece/F2RfUtPe/DPf+N3E95UkUhRjkewQ2OD9rnz7ya8gdiJihf7Xho5
izWdXea/JVIq/2vxxSOUWrRQSwX0b3+8wIKCbApn37JJp1+Mu+8PTCOr6g2aIhvCDlUOjh8cgp6r
IC92+1ZBMwBKhebZ0VR/jwc07Qlg/ujMVnJVvvk9DPUbzXJpHr6i+Ghx0iwY4YU2kTRXwmmQyQyt
uunJn9xG9mTfvb91pQN2snV1VJVGEkUpRLmavpT7uO0nZSksiCRuoM1d9M5KuwmaCYSYRz4gH0qU
TYLjtK2wdQKTR1ZJQskCme1FbFG0QdzeukUVESNntR/BWGbOBZVIA8aaQYnYId8swpfit24ucdT2
rQgQY5NOMbQUqBw3bOONoMGi0Lq1J9TZPgnwNXr6ocTUVu/bWE0M4mHmjrO9X+sdMTQcsc3YHi7r
Xk7DD1Ut+54dE6/I0PoZUgy393tFH3ttk7rFZM/+4LiZpX+p82yKhw19fCMEsqgoogs8Sj4ucmkc
vWj7YXvETuYexjwNmewjbP7BE8fvliydSoV7wCmcut4BMQZ/jgm8UcK9YlQECTPxILTIvBz3eUC1
Z8gnlnvTFqNT+kqQWJhmi8KWdFRNc8Ti4SiDLTmbWJbB2Um3cm0LeNweOMjHGZAVj9+CYAhAvg61
xCC03dhIWbF6IfZPRf2RHSLq5KzrheuliL0xLlH9qrPLjJM6/e60so6weGRMrvGsFjht2TaFX4m+
y6Czus4ErY1mq1b8NSVtfa9mbc5CmRAd4lXjrNWbqdKRkwNQwotg0YkT92nWhZMHXTLvtujY4+Rn
ESZW7VuKsAlS10cBSA4JTb0rA8CdPwaJgf8XGRbk03i8ZjTrNLS1ZL5UcLY3s66hofH03Oid72Cj
NclucWqjnaFlk8RJnLOPFL6FWN29IuGbzUBtyyC4HA34XZ9gC4niAgOJQMiXKX2Zq14VViK90se8
6+4AqipYgMourz5NycSAUqRSuUkHZXGQqKSj0HcEfI/TgFzRHD+DKPVt5jQ6xclJG3oOBSC+sZfH
jRtYlxZiOet2hNzZqbCpclIbRULgX+rFptm2R3WS+ID8Ps0KYzsOnUXGvBHCLEKol2hllCAiSQlb
DOuxmb+4vb6o3WtpgE7KZIPNta2JDSDBhcf2QS8qzb1Bx1YKTxSOzKBG4Ie+WVoQ6r1RkxjIIZKz
yVEEc3aYED17plW6ELdIqcDZBm+38KwhSPObuHey+LqPp9Dipk9meaxGm1iy6z40ho5sgBqlWu3b
Q6yke8eZy+lIrptOvIWFvOgGkF7kYMksLRVtetcjZCS9ekbWOFcVjVnwg01sH0q1tOovqKOb4WPY
K9AQsbvUOYF8cjRS8pFEVSSdF3Wp/FqwzW8v8YpJ5yEJsQsz+8wqBpZNpytVyRdvJZrEx9EZpJR/
GvrRbOaZbQGR1f2dkVFtLO8mF4One8OcVaA2qgcNFuPHQLj52F1WpT3VzveZGok5H3MtCup7OFqG
mO6qYuQM28PvHTdERpcWVE1ipJMtdU8lKjeFu/jH7MRKBq+xE7aR3gBEwPIxGA0QwSCbq+4tXrgY
1y1h8RQ6CQ137QXwzeHMy4ROSvlcV0G9txu61beujU7qYhbQiLZ60zrBBtcOVrSxDYGE1YmIAS0L
pSuPFhOH+iDoj5v7PKWK53WUcIwLyR7lMg+VQm5AgeAIsoWaBHR9DIwtm4kgGBH581zmrkFkYBJy
9Ndr8r1tj+BUo06+EMoN/Piyxwoeph9dpJIDJtkeRY6giJraUfd7k/OPFavTdezvVcVG7cxijjd6
3Q3Fb+ZUdqBizMCRYR3nbLysFJrbtVlfGRz4tDOFqGWV+k8TgvEQyKH8oQunL/oId72KFXbI0RYB
Jpa4zpvjnN7+bBbFJrepbIRZqHDenZRvMgAy+v4SeloHfB6aRZTPDu4+HRdr1SgrlIlgRmQCXgu5
gZx4iay2KpSdotTDmWbL6Sbk91Box6n/Lc0/d63DYnUzsWEzlNrWwS0tOnkVdE545oJe38vlQrTF
JMvWyTGXC36x1emmKW1sfSabdZibiuWg5GKCzHwyOCP4Dj1XL5+S6IAd5Bzp5PUFUudk72ejdqTD
+Zxx8GJoeD1dixaSx8jJjcBUQpUn7PNz/Pj+M3tzHAchPuwHfLGvtFJob1t6phGJIxxaOAaX/R1k
Xff3bu5/W/1/ES/24o4vNP8T3P71t5/fwm/Nj2/1Sz/E81/6e7ev4ANHrMbUoOBWQpLz/3f7wEAd
ezER8z0vrwKv39+7faGy3cdfzIwC4FKx9EWO++/tPhAt4lto5NqIBhwLj8V/v93HyMyuWFt+Alo1
jdPIaj5x0Jc6nMKl3wMrP84OoDgDPN2Z7/m0fO7gPyIMBaeCjszBXa759EvjmKGoI1HNfm9Wl8QA
PfRd/9iZ47ZwU/YGBkTHF0/hw+8J8SW+av3eMxQHItBV3FuT2t4ybb/4vkY9m4IkxCxI8UG5BdQX
7F17EGcOMa9GQYIJhhQpjMnTBVR/Okoiw2xgy1UvQEdCnZRG2xuNbpwRpa2nKUPj6EKzmxMjnHRC
GlajCOngH8E/LDMwVTPsmZZgLWnEV7HT3MN6/9GNpJm9fwPX6xqHTwTBvLkcQwG6Gsulv7iB0wxo
amgE9XDwnxQurHZnl5PYmkKbrgqFsuf7460XF7S2zMOMpNP8cbTlY3g5nk0NEDMssDWh2082TecN
wxWAxuQ5Fcvrh4bGA90xBrIFq2WvriyYyOlOkpHWvRmNF2z6liZFl565nrdGeV5cWKnpm62lZz0p
cxYpLa0fVVElL5KpCgQvI5LrMwO9+rSW0yzfMNm+CM/QVJ/euIQWcziTr+CnKQzTbpBy7yJf8h3Q
MLtSFNpfTUvi5h8/LY5OmOkWTBURQqunhczLwhkKybTVjHxrGfBua8MQu5xM6TMv4vpGwkrmA6Mj
iith0Rqv3n7WTwItF25EMoTJvigc/RgAaj0zyup15+VjhuJdx33ABgsD2+ldrEAbhK42S3+yS3mQ
YdwSo3qVPWaBqp6Zmt4YCoscpQi2Uqz863wqk8IgEooy9ZUOonfkmjwv175IS604VjJKzzyqt4bT
LIRl6LYWxf1yf198yFUzGE7VqamPts5stoqTk1zRR1BY+7QXNPgJmDjHu1k9M+4m6mxeDJRtFFrs
tYpWz62kgekrOWpZ4lga7p2szHPCudcXhraRl97gJkLEWD+ySA2rxmygO9nQ+cmtzIwjPNdkGwWV
yrFUr898aG9d1DIxAXVBT8XSfHojDWeZ7okr9vnc4x3HRCr6bngOtPHWVSFHs9gYIlqFaHU6Cr79
eCpVJ8EAXaQeBeV0U9Ta5BctMmOller2/S/5jatiBVt29ajqlw3H6XjAEFC8IYTxCeBMqNIbcpuq
OMH+dBQeEdsL/lv2AWv+mDsVaW9OHP2rMrYwGDc1hvqm2L0/ymoN4bXjXWOrAUePqgZl1NNraS23
iZ15Sn3yipcGyDxtm3CmZqXT7v3zoSipL4WbBZm49ni2mhraM50kf5xTazm+j3eNiibA1abk258P
xZ3DMMvXpCvrD7ij0Z6WMxkdgRXel10wXvax1nnlNHR//C4QCUdhD6EBBWiEdaf3L1DUNgaBQPCv
GSKE6q1O+GNc2P/FBTGr4xhhj7tc1ukwkV7YA3y2jGqbaK5noczqjdZVQXgDHas8g9B8/X6zw12W
eRZ65Lxru8KQ5BXRJaAtlJT+Kl9Xf60UBG68/4zeGMVBI6NzKEeRyDb69JIIphrMiU8UyjPFsISy
F3QY+8zr/eYgOsd+5KboVOHgnszkca8CeVEZRAARwJNbG2B1quGMevONj4jS2n9GWT0drQwJMsoA
ucTBEB2cEgIO1aVum2rDuZr866EMtg8aDhlAs8hqVgUFcxDE7tDI8s2BpddjKaTso5nJYwpt58wT
emOsRY7Km42wE6PM6gm5UkptgJ3rO2ZiXErbzq9a2P7fOEUYZ+aG188J0uKyNnHAZ9OirO7gEGii
mAqGKphXt2ZN/1tqanNmlNcLBbphfanGYJQBzLd6G/LEHvAu2MSeQebpr7WuKJ7SUDot8qdQL32p
idQ58wa+HpPjB+GLbCfoXzFTnL6BA8cqDUhp6pfUiFA9KaT8StPcAEFmq65TL3n/s3oGzr6odjGj
0/OiHGRB8FU5iawGLJamV1RUKU1VN8A0pZcumQouXjavdSfnsxgslIUkJnSAHoDsTdspKZUvxCA0
T63q9JYfEK+q+SV0pcaz4DbdGp1LfpNqwXbaG2QriF1nCOtyNvTw6/u//vUrZ3LOIBCDQy9iPmX1
4+ukCYnpYjka5qzMSZrDD89xYA6+izRIz9ni3hqNPiDtw+VUwy07fTaIUMqxLtnnIdFop10mTe2h
NqoWRBOdyOiP3z4qR4YCVHRxwrObPR0N7mQSdyQA89QlmZNGZCXU4lOJsGjMkaX1ZVF/fP92Lv/k
6l1Q8aoqUD9waDALng6phNYcCWmlfuMq5C5ZvyZYRb5Uok1clWDljeHu/QHfeNsBWTAWVUi2Y+si
ZKcYDRwxlsOYCB+E+fojiR/XVYq5CYRZfOZdf+P5cTOpEdno9GkAL7PKi326jo3RJiAv80NOKagc
2qa8F0gTjokR62c8fG+NtSyH1Kypk7xiezslYrZpSHH2OgTcRVYhLrM+TC7SjLCI92/iG0/NxjXO
3SPhkc36at7NIzLaHBIziFHCA1VV0n7QyAXZFgZyEA6PyTZFqH1mDXv95BbyjUXJhA9w+fZO72Xh
aN2MvIhvwWqaa2Iqgq2pDOrRxVzuYRgzdn96kaAal037ciQGYrr60gUJtFXksEXrBgjpQIwQj3Vx
3V2l0aBcJIEcPwitMjfvj/r6KRI8pMBU1Eya6CQ6n15lQ8ZwYXeMWg9zup8rFrJKVpmftkj43x9q
VYJiHmb+0herCsV4WJarG6onqPWhIqNt0pDjePOEmaByayWnqzkTGTbL9E42FaX0eOq64sxk8/od
WgygBodzTpPUh1YXmtLCMuJS5phm6xZ2PMLFyqBmSW7ikNxAnUruAzMzz+3xX63jlMzRgBM6wERH
9W31VGVfwRosElY7N3OPoxOmV2TEO2du7VujMIcaS6QuiQjraW3uZ21SqpjzeWaWG1vWNUh6dJLv
P8BX7wolLz6E5Q7ScGAtPX1X2nase9Vk76jWU7RdNmSeSgsapuIw/zdDUU3hrIiQ/ln48nIiQ4Zc
t5mJDk7LBguVbjvCXJ8yDHRi3L9/VW/cOzZYCF4WRzL9m+X/v5gzM9iDdowk1h9LQcKewmyzIS2y
+MNqMp0o7h7ZE8vrT7VrvQ0ZkFmRhjpzMGqGkgDCIEq/Wo7ops371/PqRX8eB2O7tszK7LJOrycU
IwGtoQnGt9Li0mucoBe+U7q1L0dVHMdCaERwatPfSq1/bGK+eR+Z9yBgLzr/dUi91BMoyDnhWbXp
Vhd1IMjok7oWn/mO3x4GRyyHPvBLa2BRWM9JbVtD5nMA6TBYlnFf+IJy2JnX4rn0c7JV4D7iQVvM
4w5tklfXY8ui6Gael1Gj+pu2VhTepxG59ZmZHgtFP6Ck36b5AKKpcro9oJ5zbdq3LvXFL1gQLC/f
TDcdG7vDJOUPcEN738GJ89gZs/np/Rfm3DCredlq4hHZMA+u18fxGgHug54V56yKbw+yTB82ci12
/6fXomHpEkOw7LWmUNY7B4WWLzLhKmce21tv/2KZNtjbUadcLzJ5Hfeyw/3im0mF8dIY1U8N9Caq
Uuz4DK+wq+BKBR785xPw0paje4O2Dk/z6lFNnVm4QH15WZZuOhlIyfyYYuE+s319awZG78bBiCI9
nnTt9C5a/SSoWLK/g4rrktU6GbvJbimzGIMeTH98TYtxhA95qZ0ze632ynSXjX4wuSZRDoBTighr
hh7XxZ9/0YsSgQrYgiI2fmvuXkzAeBfUDqIV8t7ZkYnX9Ea4N8c6PrOfe33vOLlbqosPmNeQXtvp
vbMXJQui6J43YeoW59u06SOCdh31LDVxeZlPpw62VBpvH71DqojG6s7h0+iFxVHSj4Ys2CWFgBoL
Zug2gmlykHnWnKlPrZCGzPQ2p3dSGgnF4EiNouP02hKzNCdNdPAdUAIlt2WamsW3lB1ZzdkKiMTH
yCyVx9xGf7iVpZ1qn+2EhNgjewZR3r0/nby6z1h72KfTyqRUQhtkdZ+JX02iEkqlL9Fw72JbyfYK
xYyPkY4c8f2heE1Wdxpz26JSZI4G+0dJazVYQGQXQqgYGXuRC2bKKRe9e2tPBhEbMCyUJN1IZ6g6
y5sNYQRkLUO/mW/rPnLavcHSkfgpZdj7So4y/pZgK8jJrMaE4zVzgVWfk9Ynk56ieSFHZWy8uhzU
EWi2rT8ZSPSty7HKXHxLiBLR6xGyEj4QvWE/d0fiAdhrP7Pd07eAzvoW9DC+UB0empUrPBp31Lrh
Bh1iWX/C8WC0id92YxB8zpTUPTRZZACsRiQeB98NN+2sbMsqBW7NU2aAdZGnFZO+pMSqdql/DzRS
G6BngjrKP06RFDY+4FCoaeOpTp0tDOrabrLLQoa8BB3J7UmNmCnU9esmTgJReLPVRN220smLucp6
GYSw6MjoxiSRmGY+h76TzF3yczQFdirbdFIQnrk+jT90J8xiKnxRNZAnmI99rHphM4xk9ypzljzq
ox5BwBvjKbA+2T229WMd1Ln5ocACZ++qydKbY7twHX18MS4AvxL1EZdu5Hq0GQo3qfbG1FnuDQZe
fNpD02MrCWRVTbfDXKfiQYSZ1lwGfVv391icdHOjxqpy0YdRTlb9OM/5r0oLpl8JAn3taq5L2fhZ
oEzGBRNcqlxbhkzqo0a8RncMiUPAXj24ufWEKl81faZBy/HtMAh/GmyqUJXOoTQIpQKqHF7qwxjG
4YZiYBQ/os8NNFwoNnEWvWHU0w8cDnTzPV0NouQrX5uEC1WZeXAXBKljXYA3dmwMy/DwvmSjCngH
R2ttfRtrPFg5JZA4Qwu5JL2HW5k3TuaRcz0qn0JCeoPFSAzEKpc4gLe4PBX7oiKJ+6+asIFfNWYo
AqRtKwsPeqdEWBoQ+kUYORDJ7dSyFLe4eFk7ymYAza0TyQWTtzFI39Om3qx/VXGgEFgdNTaiIn6b
B1sNd/FcxXm1q2VOaPiEsNKjnKfMj4CjKzDZddyRGxgMduurGZsXDJYyftJqDee12hSm4TVm0OHd
osjY+WMUFuEWPBjAaHsGE7khl0j/ofYZ/mjTRQXo465Abp27IzlEiVkkt00L3lzR8Hhvin6a9T22
5vHeDZDpHYngHJpthDl09COjKTCTwQe2CM4poQjkpaL9ChO9TTCHaDZkIw7i+CfUeYTxjsHli51k
unEdTg4DT8iNIx8JiOV4Swx8sa1lod6XA6jYTWEgcb9YxNWcnCNZygsnwIC0M4Y8/DEUHFO2Wqbp
sBtVq/1qz4nZPgDajDu/DgW6ZZ38SbgcmlXdNTmiuGtbhlrrk9E0RtRe55ZkzrqvbHlTFkrQ7IjG
NdF2ZU6kbHqBFPE6gtGp+2HQOs1FguDc8MM40e9nKebocY4tHCYQ/pMJoXNOZz1pVeOBiT96hP4Y
fGLu1uQ2bywreRA5UshD41TKfBiYM/+qFaP9YvZZPV5SNEhQ3zYxYd4K8lc4BJU1btiDBwIqp8x+
KVqgPkQ9jWrUqkZLfiwZuGJPER2D4DAGQLx6CPTKx7HI1OYxKyflk4IH7xZ8JMWjAXr6fMk8lN/2
s9mlR5GVbnEwg3pJqLPV6q5sgf37RSacv3oiCorjBIK+2rtJp8VXZaQqXwQu63BfEjYn9miCwl/6
oGLvBl/qDsfMrcxuQ4wV2uCIHaOzU+MqSa7CfHDVC2NQzEcLQ58FGdTQnhKFA7vDfj8SFR/76MQX
U6g4YHGmbL4quyjPN41ZSLF1hlCHERFEAxHjwRShjB2KRv+QBSJSN7Jqst4jZc9wEEkPQ/c9oJ1f
XTfZQkLQu6jXt8wlOOEDOwNt38Az/YgPth6+1kqjfHWsIJQPiJ2kepk2wjIOE7pihL8hXCff7VTC
n9ROCrlnLkEfihC7xCmGuBXdcYhGFkyUPmbhU6qO8nvZV9oj0nAn2BmqyJBB6KnK3BCzBtTwDoa+
oh6jh9WnQBAAcZ9KvXYfQ1nG4d6G3s/cXXAUAfiva590bVaw4RG0lVyqgasD14/qrPYVom+TjV3h
WUOyK7tgk9dFkt+GeV+mj1ae6tpeuqkzX9khgrGHqC1Bjg9lySopI4TgG0mb0OFFTGqYc1EN5Krt
E6Hs64m3/ItIO3TFSbtYhkU4Dkdj5uFtXScm1hRBjgywahaTPOTZOBd/1XT7J85MffZtiGz7F55Q
p/4xykFF+tQjJdjGopAqaHxRsUkoM8v8zLSR6sAXglRxPzJbNc2BJPpwvCj5RnUfvX2Cv6AbW2X0
EFDXwaNWWVV8hz9PUXnZHWvaxMro1Pulz99/kqpRRncZlkjjqBZqySudOai0tw6oiOzeUebCjbwm
gmXK9J3ExXUdDYO8aEBspIcwNFDd97NjTAGq+aSqH7GGJa303XbOcCYTM6n2X1uXrv43E9di+Cnu
y6z5oZOpyicUB5F5g0De+WUUICu8gRwD8yJGthF75EdP83GCQQJermBa3gdWKyWKAcgPfefnxRhX
n9kZVbzGZGD09mG0UtW4NySRF7dw52zl0epkE96N3OluP/XVkN7WxlypO9qLUb9PwkmPfAfv4eMA
52r6NPV6vuTIEvn8nW5rG/qunIzuaMZapRwV4cyDX+Sgxakq2fqF2cQT8E7iZANfUxNAiGDy5stE
mQfnkNsJxfNRdaE/JE2vZksiiNIf6qnX9I3qxGp520z1wBRUDjxzvwEXwjoSASAXX7NMimGvRlU4
7ITCCFeGFg/2jnNlql6TPZuP/tiOmeVVPWi03RItDeIinLXxQ9gIqX3uLV3cVHVX2Fc97dz2R+kq
/XBjhFNBtcXGoNHcRRr6EVzlg9buWmGX6gebyFxnr7SG+020itJ8hgAxLNCScjFGjJ3ozC3LExVR
gVnCILkpIPOi8Ii4cpRvZTgN4qkqwpildMqmh+fN9P/kt/+yKBL8s9FuG8ZlW7xU3i5//rfwVrf+
bwEmoMqkQoggaTkD/826Nf7PwnJGn4V+PbqXRff9t/BWx0sHTsikZ4d4iT/FX/pbdwshl3PaIrtF
TYr8lpH+wGV3WlBH186/QacARQIiRJpZSy3kxcHZYU+i1obFO+4YHvTVwwJALauIjSnUmLQBWH//
4s6cVcT+PSJtYnxJCy7OWpWKyow1qJ5tmDi2c6krxT4Dyff+EKt27b/HWESBDkZlYnZPr8rS5rYP
cIH75SY5zh3ns431V3ARH2LvdvR+caVeZ/2ovYvSd49nxl6Oi/85uD+PTR2YUxRPj/LfWic4oVpK
QaOGflD/iJrbNMBvb5WXpVV6YSgoQd/gAWNP+NefjouEj7cMIQODA9laXTMgDk5sCuPmUEtkUOxF
rd6gMLm09K0JKGNMyo9aau4d60x7+bRcxgVTX6echBoERRpludXARDUU4TRpyAxYI4gWrNma2uU2
7fv7QifWwyZc4swDfvXWLiV9BxLlQntF2rd6h2L46FnYMWRTTt+bcewv7GSxtHfiQ6/YDzU1309N
lsgztYI3hiUxgGblUuKHvbMaVhnZTdNSi/xiDmngDar2XQYdO4dRHlkhNrrLZtAWP95/sqdlz+f7
y6iUgWiwIcNfP9hKBU1AxZMqg0DU7bNvSx+n1MnG3fvjnFacfo9D4YfSqq4u4sLVVGDhMK+bKidn
uEm9qlB3oya9Qskvhyk8cyNP6zvLUOg3WNNAuJhofNavjBXSYzYr4hgpJwE7uBlJgjLOsW9f37dl
ECqycIpRi6ylAeWcpoXKIujHdbwDTBP41BP67fs37c0rIUWcRgnaF2RkpzNNNmZJ3fUkVtVREewE
RQUCQMpvOrH2mz8fiaMFKwkdXprSq5HwKCYa3zivQaRgUyUYukh9Pr4zF/TWXQNpu6TKoR9Fnn56
QTapSYZWUtMKtege2MwdsJszQ6zhSs+Pn8Im3y79TOB5q0sRg9qVysiT6RuVllKgax9IVC4OfV3c
oaXYLOcq6C1q12904cpDDXuDxB58mxrdQ419ldlux4Dj9Pu3+I1r5yPj9i6aQOvVLR7jspkVpZKQ
ZHMbZU8WDLuME8+n94d5451ZbFCU3pHILBqZ01ucCVVno420dmb/qRH11IjUM7BTvD/M61UQe/7i
dGHKwLFB3fp0nFYp1baJ2euT8/mdHfa4C9vkXnFTcwO2k+qCUvxy7cL6YuJN9YjnAhqnVV1zEZuK
vMLaGx+MZDSPlVH6nd3pf7Udm9EBxt9mVjrl5/s/d3noJ+smv5bCJWUlxKX0oFcvnmWHRoq4gbsy
3aXjTzu4oRX9cdIf3h9mTTZbXj5aBJjdEL/T31v35FR37okvW8R+PdFmZT/shiobb5wCuL6f101f
+XVDSw9H8jhYoHbqQye1blsTJb+fhCxAsKbVmbn39crC1pCMoGXTt6iKVo8qKxtNmeDI+CTDoBqe
wg/QF7/J9tCZxzYbxCGvVHFmEX3jNUROgcwHFTmr9qtJWGRkgiQqWmjD3hZgVTzCAi+Coj3TWVh/
VYtJjM8J199CtH5lnEhUoalItBK/nELqhZGO6ZhO9plR1qvXepTlV7zYyM6yCPQsxz8mMXJvIh3k
QFrMBDH1erVNs/rPhAw0p1dXtdzdF+NFihuHfc9VmfW1oV7O1Wf1T+eJ5yHQmQA3X5Txa8mSVSgo
GPAy+256ZeUzXLAYT+05x4m6vFsvPzyGQdIC94AsIow7a/OYJiV5NjkyURNGz1WjC2sPEXL80ttR
f6ModfOtaRqUbjMlnGz80KjMWphu5ubMfLWeAJ5/B+pE+lAomF9dLlwyleL0JH2CivZ9boIlWspG
FOa2/4+5M9uN3Gq7860EOecPzgOQPwcka9RQGlvqPiHU3RI352lzvKdcRW4sD2V/iFXtrxUnJwEM
A4Ylscja3MP7rvUsqavDJvWqT8bM+5r5y62zEWGWRCFCo/7jl+haI8qtcoCq4fQTKswiuiUeD8yp
beR4mof0HtawFc5k9YWNMYSc2PXtlImbTKP3rKbXS9nsDecWFWTzIJvo+vdz1fkb+v5E3uGPHM9g
vZ6NMWsxORuZIx8vGrsfimtk28rrWAojkhQ+efqfXWt9v/4ynhvXqCydmMFgbpJgVo2f9uxtEd1/
ckvrYeCXJ/6XWzp74muaKEofdu4jyREUUOsjrSnkceaJ0NO7WRfkR1X9i0PnIfz9w/ybachcu6no
lNdTyvl3vSSZtBSjZZjbSg841c4uWt39bLL79W1iWcH4QTvaWW/z3AbH4kj8d6KzrSnE5CcFqAiO
fb5VqYFV29s2jR8rMr/oNRyHXuyIcP1kKTlr5DIzObieMD3pmHax5rpnM2GsUHSn4NcGUxz/dKR5
nRv5vVqh5ewLcdJa+aD2etjRbdPb6JPT7y+j6OzaZyNWVoOnZt2A1tf4MQKH1RUqbO5nUrV3Z8aH
UXR2mbPBChcCUgllBJod88Zx+r2jJC+SEotv6/WRbhXcL5gaeX9AywpatyxhXhFD8fsR9cuEtX4K
JEQo89BaYv36+MrQm+6AXPJVyyy9acRwTOBNwIm4N/KIiii5r//8eus8QNwFMwNtpY/XA0wxZ8Zk
tYGwkRyazg6Jc2gzpmxrCyn+k6v97UNGc8zdYZIBTnDWFxcK7PMu5rtsRm+PcOMorOG285JjaTa3
WupdgR+pfW1xLuuEhmU9u+A52s/m6POd0TqaVzsk/yYYCs3nx5vOIA9Br9Yawp1Ls3+Qnc4cReiu
c1Kyxmy/lEY/1ve5Cb9lO+VD/c+UTe9v06rdWu3b6KHNc1lk2U3KIiWbwmwZL3nKMXYk8Q8rKOth
mwWIFB8KGpQDz+6ReGFIu5PaBvWUf7WsnoQ8ceNK785Wq2cZ/TMV4Z+39JfL6R8f6QgqexFx2gaA
UEB3ZFAKh89ylX7Zjp3d0tlufnJNgJnkZ68rqwUWpw3H0tkMEW8jc8InO1lMdb9cj4MxgibmW+pQ
bGjO3o2IuASSsgWptXajgo2adS20ek1p3/qF4BZfyxVXCTsotYSDyKi6rzh6Wr60e8ugfxPV8+IT
02HZhKek9cmNo148idi18mu02qVzrOchTSmjz9ZyrxPODdZIU55neNcXxqIu2beuayDr2dKsTkVt
LezaRDq8taPWvmmd2++ztmlvXGcu6tfSTfRTpA5t9uhpS6wxafTL5Th5d7Rb3U3nKM4jCpnidtTF
6F4mRHy5+3n0lK8aXOxq141ddduqlRFoWmdHvr0M0xd11Ac2JIs7n0y1KA6TbZCRjmThLWFZfY7z
uL7SK825Th2r9hUIN3szy94sQD/mocsmTIP1oNHvimEuNuFU0bmWLU6lzZzHsb2bdQ6I9KIRkO8A
h3E+ar3sJSfWcZt4mn4sqTWPm8FSBaXPTgzPKh0J6XcRpEHPS4ldUfU+OgwyMW4ymW5zXYqL0Yqi
Y6ORgp5nZsfps7WfVCVb2r01a+qlqpXmrTcVwDrT5d7OKnmNckAexkV0epi17rbrxTZqwIQftM5z
gkivUCeMpZB7pYqq8Xtn5agSZV+N24HWMlkoiYN0R+o3MsrqflNYhbHt+T5DbVaW/j6OSv3RkhOy
B2R4hKdMLjmJh8Etlwstq1UfJFjBgys2IA577BFtM/lGp4qbsZiPo0nU1VL2fuOqza6oM+eZfJqO
brg0NvPQXpHaowdOvaBRmJubYqphybuc/uGMvrl2wf4eCHHmq6JUAEkXOzRZR12FF7Hkpv2zLmaR
BnYZ+xlhvaGSjDaSB6fuAkRpBn06PbvRHEW95fuSpxVsql15ABstFZaTypcGuT3Oec4mOHE/Yz9t
eOWbMZCYq6buTbVWlaqVHJkC2R0rE6pxo5pPWbd8d4zE/pqShnapIT0mbWj9gElWH4bKrg80XRct
sGPloNf6W22YYLmykdjdAhxaDaOpRyQHDOwxneLct+vq4A7gwWn230Xi1ZuJVfPVeFaeJ6s6kXSS
AAejr9rMiBFIe8a4NNcoJYoh4IeUPSKl8diuy72yRO5FzY9aUd3rp8QjuWKp0F0vvag25aRq21Qb
ToiN9aCzZ5DFBSf7fLzIp2az5OpDbjQDYMGUXgHkUopeMGgbY0q+lR1bl84qEJhEzQ9DbeFVJXl9
RVDIcmTjlJ1y3rCf40R8Z2DYwjxG7beFjA7KctpIe7WMvWdnmn0YAadcLo/gfOqItE8NfDPDo7zV
XTFVaADIAwU91e9F5+l07chvux8V2jW+qjX6fa++mYueh6rbh0CIQzcXXxddf4kVhtmkqS1oqk4N
+erlQ0Zh64K47vyxi8wk1JrU3lAhF9lRMrE1A1DdXmm2KIH1H12i2FuyBbwDUjXNIaO0QGtATllt
buJc+rMYcyKbrFdnSC663DqWIt6Oc71ZZMcLlJkbATW22Aw5bWNf1RdEkasK0pXVl3jI6xD3o75q
+31tTNtNUnSoyXOX3x+XHaaJvQm8uFy8gyhM31S9b1avb5FfhJLlIV+S7UDg35D2T5OTES6XcLk0
zLVc/iT0sAO1ru47zd5Is97YU7+v+31q0PW1KnrUcMTAirIM+ENVjXI/1Lbx1KC6C8uye2YeCz2b
Tu9RneMjR92WM+byRtM6wN1RwyZyvsh6Gq5Tm2khtkn+bpZsqresStp3TR1HtgD6SWFcHE261Vdq
ZtjNFuXMquMmHnI7xH33o0ubH25s3S5qnu9dgIREsUZFc6rpIm8GJdXaDcjbeyPmm+5ATJ3SfkFB
547LskVH1dxNEPz4vg3obNWsqze6lmNzm83s+7I4TKRz9JMwi5Se8mB/Ucs43y+GuDLL6FIK5Utp
mc9pNQS1i34ndt0bshmmjdMZ+3hemhsLV8ldozgrm3piei2VMQniZmoYT3HvaQer0dri2M6TeVt4
lAe1KWrpfXuN6c8O68OSR0+yrPQgcvsUunjZjNMx4lgDRSIm6Y/XO1qU/s0s6l7dAJuexUMpy/nG
ULNpp6DbvoztPLJ3S1c4F5CChRLO7uIGEMvNq9zUj7xypJG5lRK2LZ28jmq3SCd/lAjYFk370fXT
kzpMdn2knWBu+mEkCt6Zp4bYX3Uhcs66yQHocl4vMjDK1ZU6EtzOpjZUpinktBC6Gdhi1Ft5W29k
WQaQIM1gmEXQ1920B4quShSPkUXxj2yJAPGo+pTmZWUe0dW15l2H8vG11Ro2ODUmeHawG7W1rwxV
XFEg2XVRt1mcMSCABTx5MlwnHQW92kOBkovqkOdQBYORqovup3Zz185tf0QHgwBSNdb+/Oimz24s
ZhIpxTRrvmlBzhLFRJ79TAIMLzSvqBU1entorUMaG+0Xb8qso4Wrz+/VEmo1kI3cu5hiawka6hM+
g1lFIdqhjCyJTMN+aqK5EstejPHy4A59xQ3WDcEdxjDAbsGWQGIMqsStB2dgT6KYE7Lx+RGrRvmj
q3CSBmhSnpmpXihB15TMpdmF3uTNt7GujPvFLprrXHlPNYpUyI9dNBvXChyzytfiacYW4WVjHrZz
pvvI86ran7Uo49CoVFcQStWwsgzkZVlLuEwxpNM+93oHQ3MxEpCiWm2y1xunJ/gu9uLrdGncbw36
2t3kWYvHkmJNcah37tjRrCu1PhwSpFwByuYnD30GsX7PHZjF0MjXQBGi6i6lrhysurmfkHR/SxxL
7nL0KNvaVjSHp7eGFSfjeF3YxXwjSqfwE9V7MlLZXNUOgMGyGkU4CavYgW/RA34qPmkTiTaBw0yt
EDntQ7MuFnS3S70F+frYWTBDw2asVQCgXnolgYr6aRzHz7FesUGJEpc5tGj2tSxRcerWgqV/vi4n
NE57Ozb2AuCpncxevStmAwx56Y0uFaLpNjKjHUrZC+xWzV0lCBFDENuFUpjZvuiFuCzd8SCFamhU
FuMNNpWvbdofxjInSbPJbovIfUDW1528yHkqlCSGRGpsF6vuKAROFv1tapGKCWH7OV54DIjMhmxX
syAETGLRdZeZzt5chpNXiHs3s6qQCAI2hEM2qH5d2sUd0qMBUCkvD6YKxVF8LzfvUgIrfcVW1KM5
V+2FSy7CM2r4uzjXbo1oelJm5JpOLuN9njPH5HJjGcSC8xdj+yUbF2PYRK0BNzJTtfTGSFhdZHRo
F3O4SWTVRX6K+NjzM6K8v4+ibJ5k5LZ3NTvdU9MRpDR2S/3QL/XFjEayDauxvksSbwh1KXdGJp2w
qursbRHqro/a6bmunSL31/Bvv8nNL8JKp9BS9RenT16LYpkuhT5BEvYSKzq2Tn+VpDqyoYmbqEpd
3Yos+WIYYBPbjChA/L3II4d8TWzKL2Krsk4xKNMdmTvCz2OCtrue11K2OthDxQoN5oF73I7NGgKF
0FupnTCtgAnAQreH2nnD5kRhQNbxqejdo51km9q1txxEA5u+tdlXyg4prAMS3qguR80o90irh63t
im6PPaxk1XXb0FMc4hlHXvqQRI/17SPewb6ZJw/JlN5cOTlu6GXOGoKVpkLuPAz5iKZylmmdNu9w
YVhDJYKpjXb2hEI71+TbhI668dUZ9qdPaHqxywxJUJLDEeRHHxOjMgJjCEzo59+ILYIrnsTfbX0a
UNbFMdvk7g6l3reywUUIqnkpLpu2XfME1BliUiSyQ9tr/VVTs6USuA5PkFFjkmnqqdqmnj2R/KgO
WZhAEKUZRm3Q9yIxbGrN3jYmLR8TQRlAn7ZtIKtE5ZtOWMOhnWpvM6RNarJIOkIitGIOLbyWIlST
VBsdLDDtX9g/WtJ9L2eamxgLnjIvGvx0ZP80JyjcVqVivc3b3tzrTpyFNC2SAS7i9KVErOeblXId
T9lbBUvgFiBsmW+N0ctPScKiuJdMmiJIeuTSgSYpuYT2iJwr5K0pX5bRwzbHCTmKL7Bz1uXlVOrz
UrGNN8pin1mJd+dFqxyDA2U8hT1kghy+hiyyvTf2LXlaTlM2ju+xQhKpWEiHllQ0eTL0yJciNgqG
r33XUqkxtnRXBi1MZtU7WFlRBEjVFgIQDDVFmj3SKfd2g1m4aJBTqYQC4Mumz2djfkpaDDxBbI18
gFTxOp9eDURI6Towi4l0gISdVcsTW6sp3Rmc5aZd4RrTGzDq+oVwnZagsCwr2QtZav5IoBzZSyMx
Io+U8jNj19Sz9xrr2SBDFMX15ZAa4sbpcnnv2XH/tdetqNzEyyymyxrY7JGf1JRvY4wBYZeK1v0i
imXABFHlk/E9SWrvhjNGxRRcp4ZxYvfhjF8IgC43UQww2o8SBf7DoMRldCIiqkP4W09Ocpn2nR1f
V8asWmQoxTXTETB/1h95WVdC20/teDeCaj4oJbx9DIKvLeEIgbBK2fl1wanKp83dGkcCrxrvqSqH
vr+g8ozeGWqyt8syy9slbL7kfloSGVLLAWVdW3G2YaWObAajdz0jpr6i3f4yaukF5hZg42Wj4+ZQ
StkSdzBkP8Y2bh8TbRSX2IvgW9CEYQok8IiSNfERjwnaxHEgkuNB8e6TpIVDXnHqBmbETFDbUcAq
smWVqwdxXQl0Y+ZrEjf3bbo1ouPKerzkHB4fWTqHMDY5shIIrd5aGWfgKVbzaVO0JFTvxRJaFvLz
kdOZ0mlhJPSW9bZXw05P3MtoXtxmW0ptM7jGQuLU0F3DP7gwEgJqVfBl7ZPpfJsXDywhUKyIAObr
OGmN/LZtdTvap6sBEmAvw+5aCqu6rcs1WPOGC1bPo67V23FIv2Upe/t40ThXXS3RE4Hkil0H5nQx
d0iRRWpRjEvbZitS8zvVDSUYh5mgl7ItL+suuRSNKq8kRzjU/gDvtp09yt4njjQJlAlVe5aou2Fa
1NeOBkGPHHeJnMAw3PYhZ+NvZbx3M72nob0AdGEgktaaL6PePNYXkDbaSwL2clbKmr/epkHK4VqR
5qVuyDpXEb2u0F11A+Dl2m7SuGQ2tz0FMPgotG2uZtEpse0Z2HlPMGfLmaafSJ1Rvus22cnlROqM
XAKVObZccLaVdTBD6JaathkH8oqAWdVBMpCrNJYbjyfkGDm6Z7qRoM2XBgpQaxco9uuEgBeoddCt
S1vczmpBfLnZVkJeFZZyFLr+zVuw+zhxnoWVjpXFj0fDFQEDkpOMU9ovZaZQYSkrKjAtpffyEuWs
bLfKlIuNzjsXDp5eoUsiSvI6zpqI6o0Roe0RKh+YXVq+6RvHfJDzdEGcCDZ5EvW+EtVxcNpoZL9m
9tO4qWJG/LUya7Pf9OKhQU9Wb0bHfO1MY1c43ZNsOHLti0IK/DCasENij7JrrSwNjBwWDjjekwc2
oPGd9OqtldtmvIlEZB10ZLUBqnLj5M5d125zkAwEhKCBnh5MuzJ96lxNkGhuNIadAwcvlg+TXdb2
915To8s0cx3KHQmRSCzMgb6AXTURADPflVvhlJFy6C3lKss6InlEexyr4Xpo57XM5h17pa6vwYVs
kJprxBS5XRZaciFLMewVS4uRc40GUTuFYmWX0OUWGUqsJNQ/S+uqRopMZ2GoX7RoTbya2VYfkZjr
FA8w2qyVg0khgSSfTgMR8zeLS1ZKPzjVW56LPL0t3UW99yJaQIHWLYT3qbnyVGWpuJyg1ZenrFQB
EBF3Eh16t2n1yG/1viHqIGr75ThYnQpHvqD8GUUVmA7MS4yyPF7CbMimdIsbApOct2Tlg8jwZCwg
wp8qYaTlZUeENPb0LG/0TWzr2XiaIygiu0Wfnfmo1fGDOdggQz1lXCT+ucl8U7O5GDddxmFwUPQ0
7KmOHnBfyx+RaY8PHWv+z1xtM2WXV4QE4Uan1GfOWsisJ095mpaHUq3ldapIbZvxKS8jEnbUjael
8T5aBqxLUSYrw/YJ9jIOBFxomxm+kOVu086ZmnJLgbourLtaOiKa2C2RbzU2ftXXHDq/jgk+xfKH
Yk5dzUEJKjrFKLWPkfpoWxEt/AmaswRb97vFjmhdi5q8zL1F2vwNmyfzkcL3jdEt5T4rDAPbTWed
COzq4acaSsjqOabHWOb5Q4p9taT8oFWY2dTBNTmGFam10XGwOPZ+ytV65P6zVl8a5WUckcgoJB9g
xBqm0cozn3d/3v++zXVeymfgvcuWbAvMBz35s74TRIdFiGpsg062IU5of2b2tr2HaLr7/YXOW0vr
hejc4U/GdI2y8qyLqE+N9MyBHgWtAxk4qU4InJY+ZcJ+4mw6hnScJCoh8zOMyHkn+v26FqJwetEE
+Frr5/pLq12g+o6VHEkbFrV8p7Zxdl3M1WfAufPu5HoVCxEbhl7HWl29H68SS0UKkfMYhWkHRqkF
+Bub7eK4W7JDhoMcsAj8/nmeN3/fr7g2KB0AQujoztpYUgyzUY00DMvipMwXXmcGtrA+ucjfjQ66
nx4cFlpl+i88WxP+hZWsesDkQHWZs9bGGwzfYTX7/d383YXApnk0P8nChgn88fnVuW4W+qq2MCkV
x0q0w0jVXmdrukUSpZ/0zf/mYjDUNBqdEHqx7J1pqNNJgSuSw8gyB86EbDrYYHdVG/D2fvL8fhEo
8C1ZNI9NG7X/ans+G30qru0YHTmj79k7ldHWbh+jYlOzLJQtZfFk61oHPOb//GkyyXGL6JmQ/p/f
YELeb6xGHIhI1ytD0TXq0xTpY1BmeRVGVfoZZu9v3jFUjzgagImu79nZXQpqsS1AJwzSWUyCzqJ2
fm/+M2Yp+aBszjwXusEaQwB6++xbs1R2CmPCK+ZoFCBkk3EiF+ZnDIW/GRseFlt1VYvaqzzq40Ds
aaN2o8GjK91TMdyV409T3LX5l98P9/cX56+aCm6GyzALYjnxMIScdVBVOyqyOoVUrud0xNLsS5eM
LzkL2WjnRzziNyh3toZKpmWOa9hp3X2W2pe6Q4jm6D7qJY9Z6UwS5Srvxhn/GWXw/VHzIqIKpUfu
rOCgjw9B4E9revYLVJ20Yl+XVOaHuS4PLVKcgMhLb//7x7F+dR+fBtAl5JjgfE2EytbZ7KmNjlHp
NW+J26U7L56D3HWvU/IKjH7ej7PczqL9LrP8+feX/fW7XhFP4PQZsytJ6GxEJaz+kMlALxU1yAPL
DScpAquz73Avbv4vLmVaOBl4Kz38BR+f6FQ2mT6sJYqC6i/JpyqiEq3lgP2JyG590z4+SRYE5J8s
dBCf+PY+Xqekq+WBQWwDo0lDurGhJOCt1JbNiMlzltq6N/5sjlvVBR+uycbBMN+FObAseEc/XtMd
baNVHFb2HrCGP0/aTgotWw8/dMTVx07LvuLM3Me0LxqVk2pGrc6Qd2lKy/L3T/mXu4dlRNgXri9c
DlCbzp4yYOtuBvvQBlbC3Rq31UjwI9Rwo+WAlu/Lz5wxv4zb9XqASRy8IsSsnsMsLNpZJAPrNAc2
+Y28ILY7RNL3JHe/v61fNhdcZp1dV3W5Bzr87HUsbUoHNieGgKp36ePlcALUSXe1pTywCU0Cl+S/
/7cr6h+/Uq803EKnV0c81c82xzqQK7RJ6DUocovj/pOv7VxEh0YQXjgLFlYuYO/6+R4NPVIjyWnk
Bqv+SEzktdEVYc3plMJIFe/1xdvGpC6L2vzjyv/IQvlQFfzz39bf+VHVc5tAYnj3+P3v/9q9Vtcv
xWt3/kMffqf77+//O36t1ryQD/+xKWUi59v+tZ3vXjt45P/yEK4/+X/6P/9MIHmY69f//K8/qp6i
EX8tTqrygxWSMfrvrZO7PilfX/7L5kf/IsmTfcnPf/UPFyVBJDiuVpEdXwdpJasW9g8XJSkkq7x8
TR5YGdj6uuH5l4vyP95/eg0WgUfqOqvT4l/pJfw9230PK0RyjBuRSOt/PYKbP6YSnt6/BZe9Bw38
ZcZZUzEgCDPLAdHhE55P3FlW0KwpZwQoook2Cv1bYxe3zvRKxBXn1hyIShQa2qw9AC8oHIy6TUld
s9RkS2Ra7IwhkXkOKXTWuFBDdixBfOZgZ89e0ljATNURcmvvKf2PpFKVF6uh9nlhkvZRY7pXCXxe
dEtZTQqm+6CWACcC0+X4sk1m136WRo/eA3seidAR9Z2NgkkR3YwppoNZG3p52TsKJvyaCK3p8Jdv
888n9dcAlLMJEE44ez4Lg+u6eqPfO1tIY3OZrJoA5TRO0MfoifJFww1wmPJFXOapou3wNVnCj4oq
fvr9lc+2gO9XXklNbNDWqfAcRCsgQlEyVnz0t3ZAOJy8ZiGoPyFCuWeHHkQm66AjeWL1+LrYLz/O
S/PY0LYFKE9JVIvX+jklxGTJrFtVIZ/OOFhpVw4XjrToqCmDOtymCu1UzRdK32ebblzslsjVvs6q
AkUVwlaoQTGRXUqX0KRKZ1SkCoSdwu9znbZBQUnX8RGk9aYvRhzpVMEb55GQ8ar3ZSsbdOsU701O
LdaQh70cpbWVsdGHDrXK+4yS3c+5zpsqVIXlGeNdtjj5XY824mvbOOI6E0J/a6vJTsI6VufluJKs
XwzVId9AwHRpfQpcUdiQ0l3689zU372ly19rAA2UD0kXao7QDsw0VGYMXps2X9T0CqGMt4RmVYxV
0LVDSWq7qTakGo8mKpzObV9de6BvM2WLq2+yJUoav6JOQl8tziMZVIB71L3Z5N18GzHab7w4F2zJ
iKVNN2ata886go8oiJSehCl8GdVr0evLtB/GZrpfSqmaiLE8OjpgitAZWKmWeGGs1lF2gT0+mSi/
5ENFja+lIFibFR35RSWMNrKa7ybRu3Oge6LrPtmBnVmRwBXrbLQZmIQ5wDrAgvFx7ChLlWR597Ny
RXW0mla5HSj5E/fuolQZc3AaTd34BPRVX0eRTX7uGkQZ52o4Nhl5v5qI9+9vzD9ae66SH23VVW/y
fGX5sBidECney/b1VV691Oc/+f/hGrTKdv/9GkTPvqr/5/94+evSs/7GH0uP6RB5+z6xc3jFK7We
mP9YegwdK76rYSqw4aUx/zM5/Ln0aCauf3ZHa2yWCsZNY3b6c+kx/oMN02pFAPBGZYHp8Z+sPAiE
GSV/XXrQnpPHRHgtaXwmW751M/yXclJKc1yV9iT8mHR250jT2rqhEdQgtSX5uz3Sf4t730W3Qv84
UzEoOOGQLcrXrm1bcGSpqbfPjWhxDJS0yHRBE7bX24vEydOvtB4HcRTQt5KQdiihGWoOmWWjCfoQ
B9mkeXIEYUFysyhSzdylSJO+IjCNblCHkHaAu0irQ8WCrw/7SSt+yrrMvqHI0RziG7s23qW5ttwn
DRXHMGmZQQIEcDVWG7fm7JlPY3JrNIa8ASWGuteykXRwMGrjCoNFxsKxIJ3IwlSS16h7kvjwdGZG
o1muttauKa1ae+SlH4ngfI99hP1FBOSQlTE5v5X0IpqEbRxvp0KNsyNZmJ56Kk1SJnfEtzakW0X0
H2F1wYoObIc4bwQcSlsMuj9OHKhPaSUXJufRBYSDuKWZQavZ71GWo5Rtt6n/yLgsHUekG+uP9Eun
1MwpbCaQe34/91m83DtpFXcPA5IF0jOTyhKd+11X6en3F+UE56O/HZxOQEtrBkWk3jX9X7sb73Q8
fEsTFJ2o1jX1z9ROoItriOfyR6TnwE0hIQNi1RLUOxgJ8bJdTwOEPium0C0LT9dvqPjQfyrsxgBV
8B4Wmqy5odofGaKTIxr3ZpyFxvIyCdiH6nvSaJzzvmzMlNYUnX9dK++qpjGyK6OTXQb2ZxjHwMjT
VgmRui14MDjDS99tSXdF/gMdLzQS9m6HRdJhhZGfjTXinrHxkv1s6f2hK/upYxGLvIWeVJUMhHda
+kjKazs5W3uOTUZVPKjGUZ+FWl1V85jYG4Sv5YMHInFt5GXyBp8ev6kZjDlkpY4Z4rd1up2MF/eG
WX3Swm7kCIeMOh4u29pOT4mVlfXe612Op5mRTM+Ok5Ld7lfuuI5bOxqSra1O6XQYuirSg8TuEeK5
bgdDbUyHWd9NlrRinkxiCMS9tLFoibeT/k1XKBOFboLTza+MoW8uIPgN0Nk43dgxzcK4bm81MHt3
Hi6XZD8N1O7RH0YRbM6hVVvSStsUuYQuktHClOfkNQ0IpQI6l9M0PURePuR08LrFSq+smQIVdL+E
rgYirbgq2aLYIkU+ItkfPiPFceRpzm2ZowMhoPGbXFgWE9/KLQXwokT5kQSSCKDotEzDaFxZvPzD
tQAJFNFzlFb1Q0vLZQqaGEGI2gzk3RtiiWgMEdAZ6HbRXmtA9q6VRiPjXRs097ZBJpDv86keFMQO
nXIhPAf16FgZxPMmWV+DD58SKpCWlam3emzl2kZVxGxBXMsA4DtqhsGHHrd737uztUdt1vZ+ryXj
glTdErcx7t4dVy0mv6NXiegV3Frpm03R0eaESCq2atEnB8ds1n5c5tplmI49ij3btuvv6IBnb0Pq
CNnRi+qlWaAgUzi6PbbtEIbhcGvPkXMn0kTYG2bTxPYHrcOMZFbZYPmxYyGOLeieF75TufEjKsz5
paMRkG3cAgCQPyadNiEziXgXINvlnKg80EQZQoLv06I1ZlhRpfhmS4UuXqNF7sFkr8YmxdCyYxSp
bhLgBnYNf5iRPmFJmJp+ldyzd6q8SB+Ipx5GJGYwyY7sJWsGjmoUb5zU84sWSf/jUOaNOMBVjESF
OqUZ723gjE2AvGN4hXzqgHgyKJIAjozqh0TM5nWtqc20sQfVNii3YVcIJy2dr23MXdlG71X0fCBg
O3cnmOg6Pxns9nZpiyLyXSHt1m8NMou3rGRiucyY827KzMmsDb18XqhVdV2G2L+1r7YiJ+YJs59v
W6uOlQ1QfihhOGL03j0hyUoGYGF5hCJVV9XYXYmTnqxAo6uTNYEtN/gK2qKza1zahclK59qj91ST
wVj7kWTy8h1dweKpSXZdPpmJ8TSsDidEXIR+C4TPim3fJqmXSGNr2nkmWDOtxV3dISqEwlyRR3uG
s+XbutTdYPTcwgm80tR+6mqrlBvLEV15rPMpJYJZN1j90IrSIWffDiJfAN/4WXbq0u70Fimjj7BY
9oSGYIOUW4P8RDsolDJC1I631B9hfYHAzDLjCoGPyGj0sj0dNgo6GMNvUDj0j6Nn9vfRYkHP6/K8
ueEV4F6xkKEb9EAqHook4rZB8lRPKMmzwY8ngY9J6wpOIKkee/2F3S8ZSimLw2b2xvnEcQ+MjRrP
MaAI8I44q9YPCSHNQjAMwS4ATpR/cbJu7nx8jH38oAhLqa/VRJrN9/R/cXdmyXEjW5peEdIww/GK
GBikOJOiSL3ASErCPE8ObKuW0BvrD5HZ1QooLsOYT2Vldh/SbirlAcD9+Bn+oVFj3q5eFFmBFg2g
U3ODspuCy3k1NtG0nUry9bVu90O8qvJEtbfsBOWp0ZoGyLKqN/c9uIBwS5NLACtpoaWAox5vE94c
apHFjEZU/Fbzmc+5YbJBxS595c+NT04Pb2qMFdjKeirHx0HtneuhSYXquUNVPVsaHj9eLqVjXEyD
LtAsrQf3l9LEU4Dhe5dfu+oQPbjUWbe665ezcKM7fYMzZH4vZda/xEo9XUUJvtg0waPyLrXD+tGg
/AEfacik22YmdyO2C2jmzvurAGqroyjtZWHh2rAhowFFIBcindcYqk0ew9BMrix3VoxNZWZCYEF9
7tJvBrwhtXyW3sQ5ERix3SdbO6rAKSFC2F7MTvFY0SRJfa9YEnhL0FXxpQFCqwC2ZxVP4F7r6z7w
AfyAZ4zvITY1P4amse6TxM/MtaaWWsBYOvYrzwZGDN8nZM6VYtfRrvp8yM+mbBicc4pfC0v1AXCc
F0kry7eqkRbAraLyQgE+VAOxHcof7RTCpbJDWT+TnnU62WRovBNdJfewaYWJVwFpx3lb+PVN6JR5
uEKLoZLoMmKl4Gmur6AzEXbDrs39CMCO1iSXo1EiMqmJUn23KxRpQVANdOFry8VHW2DWCWqksvNH
yjUj/4JaYex4cYZblJfnRQsM2q7t5swNBdiDsO7tF1VLmsJjUGnnlyGnE8CxW8dEeqUD3561yO1t
JogQ+bozyxxJUa1S+C5m0790uhk/x4ZW8ddm4UjEm+wkWalkLw045i4DX4y2dotYxqT8qDtUBYFD
ZRH4ASSbUq9GvBYGUt4EJmibUXyd1weFIJHxjzyYKK26wgPRp8AvfebHXBdVZ4C7VEKXAGdU2q4I
BpltAU/ZN9I3Qn0N/BvjWm2cNQdDBC6vOge76DOEaKzozHYnEvOSWSDgoLBTwSeDHVgXTSY2BdKD
YouPIDA032yQtrDIFBXCtckb81p9MtJVHnfWz4JHUh8G2XRrGgcyfypMbUpdzzfNCIwfAjiN5+BZ
qd4jbq45j3VjuhFO70lz6WO3p6yyti3vAEq4WII4Q/3NrVKUHM8iBLqa7TgpNeE4cgoFOXJ7KCN5
VQ16yZxpyH2yvzHhyAO/66LJ2iaicu/qyRU3QZ2zR6Kwk/e+PaMkCjTApYdWKrQglRxSWys6youE
ddWsfWJ/RqqA7nm/NrPG7bZBX45PeGlE5RcgR1q4yUKgz56d2XCI4qIMXmGajWyPMQWVHgk/PUMQ
JLHXCUDyeF1mddD+i97v/9L6m87rB/V3DYLr52H5zX/wT/mNPbXOFHemduIIyGTyv8tv+y9sWOYG
H+RPymhauP9dfou/cDCiwTvfsIjrzf3Yf8pvTf8LcQlQCrM82x6lsOjzftT3XfYY6flps4wM1siM
CuAoH9bekaXMpFOk8xBi0rdDACOJFPXUtGUxFZwnR/P/ZrkaBrQIVRyuEjZJobeDhWwdGKfnFlOH
nZMX/UUIjJ9bqB2y9W+v/0jTdtnUZLW9CfIsI8d425of+7eWgpycKkNL2fJkRYPZlU55Du2hvUgw
VD2x1B9vcF6KRhjNc17gH2oFI3qoaa4UltdVSf69yfEUCZQyfPz4gZZk9vkV0oMhzGq8Qt1Y0sg1
asVQk1CRjcQtb3OMnZFeGpT6QVeUahWmRfGTCNGHntnpxlZqTrdNtSZ/btBf3M7x7gTl+8gbZu+S
9NO7YfcsLS4byvDC7fg9Mapvvac7uDIXVM2vyNqdQrIcXYsxL7B+ZnYgZw6/ZpADz85jaEUNImk3
ZTV0jyXJ95oGj3LKxGLfVf+9GzW/aJeTx5FkYE/SebjYENXjCGcCVlETGxcapf6jbQViUxcweqy+
L26TyaouUMmgoKlRNPcqVWtXEWwlD1Yc2a/a+52HNXb/hYoUOWykb798vBuO7DkUQNhsDKWZ7S3B
ISMfetKSWZqVVHvjI1rsYXrcfX5n23Nf0GEEAs5siQ5R86hzQpHYnoPcdeA5k/mYOHacnhhVLgcs
vHB2ENHMJltkULkIDnPpOGRJYFOPTO3WnrrgPEbm770YkaPHfl4RXgjGYUP/UH/4+D0eO1WzRRPQ
FKbOArm4w4+tm+VAczE0PRX5u9KLW9vZuQHzrW3v+NqNFQfa5AW9bjF/ESE8RLdudjkiWGSk9lD8
BPVZfP6ts+scoBu8ezqsi25oIPKK1CMhVmLEdZeUiVyXSN6fiCdHIjIaceCnwE+AE5nvpN8DpAK+
CLIGPJAWLWxIxRNcVxViw9xCs6YtDt/++8fvev4bF+eK/TqLTs6YFK6BwxVJ89SqiAL6CzXob95j
sOpBd6w/v4qLyqDGlQo+cWl9w3xOc6bANT2qCHWDhCJFX6Gcsu889iwMZZkc0TgnVswght+ul4n2
qSYzaJNRU/a3WpFGG0FX6FPmglzG89/M7QLYjSANWPBwFUVHHB4iBTNVcgqUmgcoa6NSrAdF+Zwj
7n4p9KMcHEvIcIEoLYIeDV0IgiSYINgZjgmJQQOZ9ilFlvm1LLYA80xSFzYcDmrLsKVK+imt2rJK
Y3fEycEBR55sDN9eY839EI4AL1JD3PaheyJgHrlBZuk2gCwW8hr6MpQJq04rpYwszxzoapRWk4G6
x9QUt4tTqnTLaQZfjZCsMtOfUSzzWP5gbzhZ4rSSq9zr42KLYUm/drFACFVGGEquX1RNdwpfd2Q3
MqlhdOuQDXIrLAKo5RaibdMWfw3YSd7YZM26McDef3yyjr1C5NVmSUbCNZjSw+eiE1pNOgwDD619
Y1cwe992Ld3RoeuME4f42D5B+tScfTVVjHRIpX8/XoGZDb09MP6Rqh2cY+Knn2dqN5zN4InL2MiU
lU675LGmlblVS1M9sfyxJ0WJxZ3VHNmo9uJJC2hDud3qxJCMjjb6S+mVTS/kKp010z5+qcc2C6qC
iMgCKSWZX5y7HBYc0LaeT1cPFMT5/Rj5OLrXsPn9+FIEXXJiwfm3Hx5BB8wIt4sBLEhVlxDnDqu2
CFtNc1Z1MLZx4utfInpmm48f69gqAqzcnJ/M6AXj8ANKKCKd7+cmtjxltnaaVt8Wqe9cfrzKn9+J
egqNbFArKlNKsVjFAog7BQEAprqo7AcEa913ZFLaH6k/TWcnljr2RMQu8u69R5ez2BM6hjM8KhUM
uaGjQpoTZcfsx5iMdaT11o079DhPhWKArZrRiGg28MWQgNOqQW3XitlH3yefv8Wz3QKaTwR/A5Md
qrJ1ldf1UxnB0dnIoXKaVQy8RPcgAGcvSJAE8CbstO23hYsb2AivKlnrLZMML4qx56CVmWLKEKp9
6TmcW4n6nG49+mNrwnrIu6Tw8sjM0m0bRdabb0NcxXZFvcHMKP7GNMg2vbLkp/OjdXv4YqFX84hf
EHl9m7p5sw341S8hwjLZRs8j69J1sJ2gCVwFF74jwmTN3mZaObiNMsGbAmuw6gwL16O5eS1OIDGP
fATQrGBpwc9jBT3Lzf8eF+hIO1EIidfrG0u/yrryu4Bsf37iU/95QkA0EHoAxKDuvLwqkjLE5oOm
sRf3yfglBlyEd7sbrqosbU7tqiNLMWPF3BOkCudxsaniKgLqaEUmI0l4FLjh2Eg/jFawznrmQCfS
7CO57uyWR9uNMpyqYYmszPG9KYaUKip3Sud96CwN6noKPbSWJbwyEjTEEBw381dareKsEQt9/IHz
UXQGmze+q2iqnnjV+/R6EY14k6goW9yTBnOZww/alYbZFuS5kGf19KIt7aZZ+VAid0rs5g7z3VRc
VRa7zTOs2GFW0QTyuult1/Do7beYTEUWVhnSyCnGUohId5UU6im5sT+DNN8bmBDyabOSqbEI0pgg
w+cC2MIryvS3pgLckpSK9YvKX/85jJp9HYRx9/Pz25AKgJIE1JyJgt3hq3HoqKphMfJqEJC4zOLO
XGdqpO2mNlFOSFoeez5BV0HFHB6gyFJHN9FwSFIEJmFWSDWr0hT20Fq+q6Pi52jF185QTCduoSOR
GzQjSrrCpApB7P/w4Qwf1ao4mHsm3VDtmtLSn1L+T0SPpDzlj3dsLXpOgBrJKABwL15knneArApm
0NxF3bk2KPbKwuHpUqngiX7+m7GCDqCYDh1n7fCxBFfe1BfkLVOrDTsnU9kdKeVbe5JScfSh2Is4
fHJ+kNY/XGmYsjEee4opPOKMbcHlikyRJuJtQYV6yjXgWNh1EYdn84NA5cEOFwsdw8WrjYA0oAly
haDOtKVqtt8+fnlHVkEckaIKrW+S9GW1owUZw/WG8BRWWnaT4DO2g/SClti/WIbncC3E+4G5LkIO
s7G4UQa2A5AQcZ6HunEJfk7dfX4VUhMyE7hkmEAuigACGW0wILee1Tb9nXT1cR1Urn7i4P5ZxFOx
wbSAaEEdSmPw8MNYg1pYbarg7hdCs0Ks4Jevdbda5Fyiwv1JfV12GU3OPduPqhQ02eIcxVM3+tJg
MS4Y4xmglti6ajic1aH++fYWS1HBq5QbJvyHuT74rbyWpiLseLAtkBKBuGwmKbboefTbj7/Rkbdn
QFijSkPaez5Jh6tYDXAS0F40WlLV2Qml7s6RhzYfKvSZVgH8qxMd0z8h+bwYHauReefxfOriHpFu
44y8LZpNJfPBlYNl4TdLYxCq0JW+m0pt+hElk/YA7LYAkhF0/W7g9519/rGN+XyxL5lJLOvTybBx
15wtIauonHYVpNEN7Fz9qUWcasV8bzhxFI69ZiIHCqwcB9B9i30DKkj304mnDmoVuhNI+K07hOHX
dvInj4Ct3H38fEdCI2MRYNMQzlwYUIsgXPeSjvi+Waw03VYgBbbW+sDe0G97/hcr0UKDh2hjubA0
Io5iU/WdVJIqq6GODhYumW7c51/Srh8+3b9AOhZWKvYZ+j4OH+5V3EqZy5qcaeQMbxscK59g5U9X
tpCnRjVzZFqkZFxcOBEzYCLNXgZ7K9Sx6fBZqdb75JZb4UE4yrhG6otJTejY2bpXa3uHqILz+chM
n4tGl0GrH4LE4tTXLcNJJiyW14dSfOUu8gFAhNOJ7XFkO5rzpItfTuLBPx2+SfoarlBwR/aEI1NP
KNMziPfMC7TwZ+MPnw/QNDEIlnQRBMDWRSOjQqZW7XViph3EJXeBi4Z2mASrMVaHTUlL5cQ2OXKH
UrgwiOJaoG+xHBKl06TMJZ0F372S92ngpGdDF5460cdWcWa+CJGeltryciPZSlElYt9DgfgK/LwD
MniyNji6iK4yhyFHJFguMpxsFlGofOrQAqT8lV121nUNMXfz+SNM658WK0+DEvZiz+UFmASlEham
kY7AC9k2L2QF+L/QYuVfbG8aIuClib3znXO48UKztcnNSOinEv/EJJAuEjuKdaJnPP/g5fEli6fB
w0iORusi2tagG8lr2QEo30e7oAbDKRqn2PbGNJ0jtIRojFJe1iqmgGNhn2yTHFmd7I30gHuL+LF4
xiDSxqBTAbD1WaI+pWUDBqFz9ZvcNfxPlxDQzGfnjznUo366+HKINMHHaSzSxV6MK7RO+wcwxOmZ
NFBv/HiT/BkSWYoZPKrNeJvwbIdfbgBYhJ7JRNta6asQFKOVr7qqsl4jRTotIEY65ui/znPD7adX
nslYnDMuQt7pIn7U1TTZimgMoImWj8CYFT8khSW+UoMKtCwLI9qQ7UXradQZ5Xy89p/36J4QAD6A
YMngefHUbp7C3aG68NpIj1ZzYbZDJj44H5HKPbHUn2cd4jbJiEFFiO8cfIKDfM9Hv84qTFpajtI5
t5gqt+d+23/+fqG4YO7EuBRsHxTsw1XotMIOT3kgcwzclTVaCqIc2inkwZFngRTDvJSkYOZGLI6A
KMKRwEw6rgO03NkVUolGi67Rpz8OW58owuyUsn05SbFsgEFaCYIWKUZ1Y7S9i/QSIqNNY07nHy81
X4iHEcU14HnQWjeduSGxiCgjsmjZQLMcvo6Vv6ZdThcS3+1X04/GmyEp020f6tqnLzIWZTLJZca0
huB8+K38AKgpEHmanBiOf5fjhEgVEmVvHz/akW81OzXRT5y5byTlh6sgmG2ikTqxIyijt800mmsm
Q+P636xCSKZ8ouZbrlIWdqLEkCy8Oo/9DZ8NHEOWTidWOXJcZ4ogpdk8XmVAc/gscPSUMGl1w2N2
MqHrpyPq7Ao09oQxnAi9R9p2RENasA4pDRm2u4i9A6OzEeQ2+F2nqGhm47G3UZyka4DWorwruQFe
osFEuxmqyXoY9OwHparrepU067NUCdONXVvDPcxCHVoBDvSff+OgpmzuP6wXIDgdvovaLkZTki97
xtChdV44Kr8kOhW1/swkeQucBxo+zEx5mYerBLXvR27CGUT9z/5mOE5+gdA4Yt+pGmYrLsjoxCc+
sl1hXdEpnRflWlh84lG0blBWfOIysNUrbMymLWqd44mpyrFVSIbmhgJVG9aDh48Fv6PtsE43vMTJ
jK/8jOfO706dvCPN6DkQI9rAgJse1tLMRrJlRqudpxhFaV6hmmWf21NePjQ1SsqokQb5tyxJylWd
5cUVGpfpjykJO2SQ+7i5AqGenYhyR44PnYYZLkbviRbvYsuMtYD0wE3oBRSX92bmRGeFXbUPZjvp
Jy71I0tx+dC7m8MBlouLz2imDtQuHYBHjDjbTYba+SUGD80Wydn6xEE4thRtKPAoQAUpqRZLGYWT
/z2Hg+5avUETac5GwNLrvk+j+MQlfuQ4WHOeTjOQpIw2x+G+6QZl9EHD0N1AMHBXTTK+DhXHXcOk
ULbNGJ2a0h7ZpwxOabQS8+aycPHFXJMKRGiZSVfexzG6iKIdjIH6RKxbvkHeGdxvZqY45ZAGGYun
gnxctU7NKmPHIKhqEdJTRRA9xqnyWSAhukKwA2dIjsmn0pdb0B4Z+zVJytSbqd1KSdR4I5u2PPGZ
Zt7mwX0+L0MrePax02ZZrUXwRp1zgjXFMiIJPCuzzhK0MI0oXU8Sb9ba2UwuBpUo6XiwjLeu6X+d
mcTQcNaz7e/HgfrPt8tv4YqnK29xrpYdFD0d+0l1mOBaeVqsoF3rXPOtOCtco11/vNSfj00ziI2p
8y1pConlh7TzNskiYBkIJcYXrh02XxodTcjPr8KsgUHrfsxuLjIKA/pKFnH0vaqx5XfNGptvlZk/
f3oRtiTC5oKEDPvZxSIjgo9l16ioKroOUlSJ3sChjz6bttCq04jLyE64dElZ7PA82+XQ5nLghSWG
qDY2ee0XK0fp+8SzmMu4Ma8DEgHjTCAXlDjzh/ut2QvxPRsYakO8APH8XgBr/N5nTvp9sgvUySfd
KX+1pSu/JqXvvsLcql6NqIiZiw0x9iUhGLbe87Usr7H8dcZbAp5V7dQhhUhcqLXzOHQx1H8EKp0a
udlMOYe2WQY7B0P0207rHYlgP/Ogc3Lg/DLP44wZveyN9zFNlGkT4dexy/sCsX1lGo1ulXNU4Bzr
UHw2MkMQe13rQ3UZWgN+45Udti9G7ZPnZansgl059Ci+cIeIXVo3ymvTuWgO9nAOzJXU7cja5mqa
zNrYUEGCnfAV1V4VJKXBjXS75DodnfGpN7WiW0FVtG5QrzQbrGbyWN/iCTnBnEDjoD5XzRRxfFlk
2bei7VArH6MSJSt7iq6yujIeVYigr+WgY53iQIHAXyLVsuxMkrr4G2GhlUxCkHwfRFthshpKU9vW
rtTcqyr2iXthpBfxeZyEqb6qyezwRxCxWW4NIV0FQVAdexZFg22ybpECFesSRYz+TAdzFXwNq5kG
VNsloiGB26dfMrxi4jXyLlDu/KorYrRmlRoNeLsaXku11J4MRCn6VRL6buVNee4+mpa0m/MQRvZ7
iFUFCbQr4ecQ3uo7K0yTW7OvYcw0vsyeSVsgrGDZUfirsbawB2iT0qnQL6oHFSOJtLrSFcN80lGc
LTxp2cmTyj+zz9ve3jVKgm6vK0XVbdHB7ut170I1go7aNlh7ZFNCYjCBxfZQyh/gCaolEqCwv+03
P871p96P6mIXdDl/AmlR7FMqx6p+5EEd+lfAq6YESTzFeAzURJUbPYv9b0419v7OQdDkHt66uEXU
wTiPx849j6Cy4PGBIKEBds6D42t8HxXffqKF39geOFRkrxSjRcDNn4yYERDy3NXKiHvkeMGmZfKs
obPxQ8WCBDmMbJBsdiEiSDJZrbxxtyXPOK675QrJ67RbCSAfcgU9brivrX4q11VJxuk1TlVlF3TP
gtGzYXfGa6rfREWXpHee4A/Hmjfx37/3vUyzM2it8jJ3Rd14yFPGOxQ4U8TQoR7xueNac71cVPJH
K1PnbWiB92xiqfr11ijj8Juk2ZCvfcwubm3QNmKdqkWNAJYmhZ97aV6ayKHEZRduGFdMl7WIMnkD
jsJ+DevISteDm1vVtk3stt1AyAbhYFa5sC9jXcTDjdXUhvEIHXdCXV6MAYehQod/lZsxDk2p7Q5Y
HNiJk9+Bk2hewnlEdQZ/ItLB41i9/xIbjZpdRVM4wERX6uS5NoUooSNW+FPkVTR+Q+GjKuBuJdhQ
f68mZcJ0JZLFJW4BybArgR+i8css66UOJwiGlTOmxIc277VVYpVh4zWyr587nNrvA7xgJJw/uzjP
jRh5fuR4RXRR4jMzrVstcGwkvVNz8FST9Bm8TipJviCZDGtRB5Hw9LxuAVFMvd9fWqGaabs46vLL
oqoh6/ZtzMfDlel7ltnqA/G/+V62GdMSYVQWSqx9OWOYyvKl7MfG3eKqWrmwhVEipayqk3oVuEN7
E48xstdSbfB0Aj/Kv7RgdzyF8Atv+9GOoKPCxOq8gBF1St979oJQhtr6lbrFNjCd9FWLzOA28StL
x2xSLUasV1LeSaDGueuNlAfpqvTDWW9gEkWwylyJPhEOlcZNm1W6vm7TCVUWd9RzNE+wkRjWLYjf
YIe0YToGG9niq3ROXzTFHWly8+FxrP3+LtA6eKQOcunmU2X2I/o+Vqt99zVT+153hIKLTrOk8Wrb
OaXweQ9XbTgrhetfjZzfYTXktf6iYP+QE/8j3VkB+4QO3IxWcks/jb1Z7QnD2FRDHoY1DpG4ctPm
LtrTi1WRdOJMb6hucF1w3WSDwPl4XcMnREd8T1Iu9oRl6GrmtRLNLOYJ3rgHGg5ysx12/U8gXFCe
1cgYHpIRZYviW7enRVczQzpD7Kus8YeeidPjnkPth9Z0keyZ1fmeZT0PmiDSowzRrTrq+dwr96xs
d8/Q7meytrHnbVe5Ls6tPZs7n4ndw57jHc90b5h982bSJBI6ez448ha63DY0uyeijAm8N5rp44pb
hF+xLYFTPhgixaKJA0UvPE2jejVB7mQDZynaB+CPnfspYmru7Pnq4PL9C0NR4SlWKrYcnrlnt1sz
0T3ac94FWBxsJPdc+GmmxUetmJUe92z5fs+c573CopeKC6N+kH5yVg1JdNfuGfdcYbDv25mI37uV
+yD27PxmtGHqq8yfrLW2Z/CbM5m/3PP6wz3Hn6QAvn+w5/4ji6p8gQmNIkC5Vwew4tC9m/weISN1
lg/oUllfd62DpoA5ywuogOHdVVU09i0bHf2B/G8tAiMMfbT0Z42Cca9X0PytXeBrM5u/7Xznl7mX
NuhkKdQbDWxsvGn2ygdyr4LAtkYRQe3MiNihsUuvoNGjlwDjMrTvI7Mh9kW23Y3bcC+q0OiJHDdm
p3QVhO4UTFW0V15QUn3U7l13sHDvSGZhBkoeRBrCvWCDthdv8OMmGFaKmw6vddkO3c0Yd8Y9ZoSz
1oPMQlPsMCHotY3v+GxVKmIrf+kQ5P/1cRL5RxmhzSUaWAGG+JRry7GXgZg44XyEzDAOUIf1DPM2
M0huHHsIbj9eaq6Ofu+Gkq3Ow5W5aJn12uzF+FAxNHAjxoR/BlBT7iXbXtu1wV43W1dua7SsL6Kg
0c9xLZs2TdPlm4/XP/qogBZo8M1AyCWGYEjUMAmzhjImQsGvai3ja+UbEle1ujox9vijYuJRmcZT
0s/kRRLaw8Q8TDDHGgXY5MJnAKxo5og1RSs/2aLghQq6TSoMIMYrgN0OV1FsNfedgZtLbwrI/A7Z
V9fhc1i26ikpyyPfDjzn3C8AxsS0YdENmVSRTu0EhherRtXTMwNwrBVFI5Rh27gmkEXbeCrDqy52
yguMHcX7x9/u2AvdD3OAPCCNulwf/R4nJ4UDVy786mwcfRT7LcaoH69ybIfAfaFrAX8ICNKivi+7
bKKSGkycHYtyY0oFmxwUHbxx8N1P7xCa8wwzmEAApfqjRKxbs0vqXADtiNx4MzEVuLIbS/z8+IH+
fG3zKpAbuNnoLi1l8DRHI4Oh44T6KeBqvRdoi8n4H+ryfxRA/LMvgl6t6oKI53/wYJeKoFEkQB8E
LKM06XBD/e1sjDTItlwHmCfVTSmuZSMRCx57eW1nmrIpxgQ+vwXY5Fw0fU+jGXMHR3HzE8OQ+Qgc
xhwm+QhxMTcGlUEj+fCIZGPVmAUJNIaetvoa9Jayxa/M3HY+KbqAqDaLwoSngCDHXrsGPGiGCtGp
NRf1v++OXYG8zBzpcFRpsoIkXobGiXh2dBWId4zkmPXby0EWchNDS+Q0vS7PMEPNhm+qKk8NLP5s
MUBQndXq6bbS1d5LIP7WYuBCi0Rgcz8A4nc9xDi6Z+w5VA99BueuyDT590N9SobuQ4G5Aym6/0iY
/x8oQyfYe/+ZBn/2+vZ//utAOnX+8//on5p/EYvgtM8sXjJgnY/0twid+AuWI98H3ApgSeIWndx/
ROhgumscSeacdO5oyxPr/p/8qfEXCM69/DugCiatDHk+QYPnLzo4YvD4IBUQMrlTdW6hxWY3U+FU
2DiyQar4ziyQIy0jFHgkZt0nIEGHKwm68LSUIZFALGArQhY7PMxtSYKLz50ntBIIYJXTtcHpCvl6
v/57F/7HiHZ4tP5ZaW4U8mgmY7DFRSAiRK6kxSAaQdc1+AC0muQo17994Nu/o9Dv6qhHHmemvc/i
tKQKjDQOHyewBK7QeONakVPtgKkFN81Yt1tM7+jrnFhqTzH7/4GQJ2KqwER9LvyZsWPSdbiYbyDy
H1gzYRBkiNcVGEJiD0y7Z1MhUVau0elxURGcGnuTYqnZfXFN4dOGiCZjtl2zs3w1oVCpr/GzaipP
BKiNrihm6a24mJ1MD24XqcYGh0eMemPs7XSQ/U1ykwyGXp+1qhG8o2blBhvLIv32lMLBhtHy8ctB
1STX0Agb+Jd6UNm/onyiR4mtctZvjaK3fkVTpDgr/gozvhuzioW1SNF+mIqMkFkzdFR2lAEvzRUT
dVdc+LGDiQJU/nq4xhfI/tox4w82BlIi6BloGS6/NdX9uwNPIl31uo98m0zcFPXBxBlfZKP2z2Fj
OjBt49n3tE57rkw0T2XrtY6RXfShVQ1b31Gbn3kyZP4mVeX4hqiR/CaHLPtFMWZdVUUy4BuD5c69
lGLCxCbQg54HN0Nl5TaR9SyywixXU14ob02HjqtvZslXv7Vq3LlMH2dYvUN9hU41DIZnEceprq61
MGufM0G9QEXPm85FUn4n283v9RqXb09vh/gyUzSRrAbTYfTfopD1XOPW8pY3UfTGqelew9HFAyqe
CvS8fJTu+7n10bzCzJ6w8tP4MqqCjRM6ikiW0dMYE/wx22p4mUGjFoZs49isJpAVL+juGNe60bh3
2LT2CHPrBobAetUn36QuRrgnibyZyiEs4Ce0yUPe1QixoklgPmm9VBRP68bqLXLdFkeIdHiqEsUX
XmSP0TvSU81DA5Up3eojTmZ1gs8b3pN2ig/3FMhL4Uo7AJ+aopIbllL9iTlv/N7TLYnRngMh4al9
HaAhp1cdej54OqMcJHCp9PNYu8CyDzsnt42Uy1RPfXWVRHmprbC782EJZ1Z+16poNOBGXBv+uqtH
HeXdIshxRMUsc7qTE/VRnmn992Rwwregph98L1Dzfu5s+hT072ahrLoS+FuNCje1V3XqgK11i/vn
pq8S6JF9W/s1zqda+d5UjUGSEDndM7S/okMUYkA/qWjzYUVnPJ0QaZJVyP4rnNhTYyW5ViZ1LjBa
m1ZsKqfsHpX08NJHek+nD2mZhWcImiRwkZLxex9H9PpTsE8GlB8rSVEZSjllKSumG6aO5Q8tbFTg
8NiD0aDtlMHEqaMrvtZxP31NCPvuulbt8EdnpgOJQBM6L5lR2Xd6bWjmqkgdkHn8mAR9rdqt71Rm
CfoXxpqkz22iJeUmlSr7Xy3J1tblZNBId83MemnAn72Lxs5ux5Jxw3pEFL3y3CZQaLjGqjMbMBmZ
vjJsP6zx95b9M8pURQujQm3eJRvo3oj1Z8Tv+FpJ2w3XCOyNP0WPPx66IshKroBsQyd0E19skO7K
uzWKUqj90GfslHXlS/OpJmRiNQkC1LM6Y6jWBJw6O3dtP3+N8HFVvMY2fHZUMGJuh1gXEqSGb+QM
UcIyhgCGkLvJYMAYr4qsanlMU8GJKlCyr9i+8gc0NcZjm5gms3UQhMavSWOrSOyXY88t7KZay8hX
8BdL0RreROmY3mH/laYbnfT1PuABki0KodNKlLCi7TrVk7WJEJ6zbWxz8OnNF7Hc4khp4a8wko6f
9ZjLSky0dWPwbAbJXxjcDy8aoqhypWURv8kSYqBBCH+MYJYWya3lawq+lCrFpBuVqkCVTwZ0wy3M
oGmRqgWIA60u1xHKS6jDIOgF5Zz47CDn1hvV+diJ2tj0mpMzJBmk6qJNVVm3dZ8huOJPdfQOkBNz
MEfvEIlKQ5Fm+FF1Rr9C2qrLsIR3wxcE0RELl7kV/AQSadHtsuL+1kyzGA9B/In1lUA+5KGzTVSi
6GtU42aGQJi7JMfN2jNk4UaryBjxzki0vnn3URQJ4ZB3RobVb0nwbZCj2rl5oLteNORRtWa8ZX7L
TVy06dc7/TqMFPVn5xcVo2vNVPG7wg7LEGOIzoajY/NpTq2xUya9Ok/MXNCL0uzwsq9DSFmGb34Z
Oyt9VJPUfVMqq/6uCcnYC1HvoFkPdRtcWZlorltDLQ1o2WjJbQoRVQbw5jCK1lmdRl8Vp1TfhiKS
96Y21NmK211JztCIiW4z+A/Fyhz1+r1MBu1bEPYjzNVB8eOV31cxhuWMXhJEN5zqTSW2bdJO4A3c
6X7xltOcvytqvFzNrNZuuRac66YE0rpSpL7VFQdyI3//SHof9uDy7bard4kYUF8c7HmfBzWXTBVb
ecn5y5tHv8nCezez5LitwXL/SGhk2iutTG1t7WAcxrWLAgrKOlpZXygREgOrAKknELTDrCZZ662Q
q1YL6/OWzfdW8TZaZm/IQni9gem0o0c2LqsBOum5OxuZaTleqyEjXNrsmJkCeHerB4YpzmtUVY3D
MKcfrkrTRvULW6UWlck2zs65e5uzDOx3TtM3nr6xN7XXAkUwBf6oxgUSd2OCxa/Ws53UPENWTZRx
+4KvLSat4xgRAaK6RxzMjzt5M/xf9s5cO24kS8OvMqd91AECuzFOApncN5EURTk4pCgGdiAisD/a
uPNi8yWrpruk7qk65Y3RRjutknIDEPf+a+OJ5hKH4caZIlYIyV7F6tnn4qsO4dbVdyva7Hfqlftr
2oGMyxwQU8tLO3rxNZjCjeh9Oa5f27G0R3IePftlQzH0DJqdXYeC5PqTLBvqi8HqijG1tEt86oJt
ut5hLuVwQFMYPMrZkABvf6TB16sHXdFosuQPIXKLZocvkY81M0zGO3Jd9eWq3aO/2oIB5kGE4Y+v
FLnSUO0nqubp25OkJd614MzVHRtyPV0YRynoNCV9706Ex2x7iFt+OiB64tCpLicanQe8ep1QQ9TW
Rp4QhcGEqC8fgerVlB/D1W0RVRfEHszBmYYDhV4MO8fdD3Mx3ZZSiO6EqkLXulhWshx3yxxaQxIp
uc07wlD0Q18wdhLJBhRGSya8M4FXbU46XqRpAhJLBZOM9XWH2xJ6SI/HuDeQ8+WVUnsRpCvg3Dlm
b9qJiVFviqRa5rU6kNYbA4q3g1iftsYSd8KIQR5wO9JKbhbq4G4HETAYGTqGDTyQiAgHtsOJWFwS
ntNSAspd52FPpc26GKa7cXGC+po4wuVFl50SO5/DsU4ryw3ztCyj6U0LD7SBRNQlAvF0QYtzj9hs
TvrjOx8p5lK7Np6CPJEbHIq3dObtqBYkkDfooOgraTkN/mKPU0cabeZEx1jXE8sEgUmWgQcxFJB9
Ntc1ysGGmuwIuow+87ttWYy5Gia3JAnIZG58qHx7Oq2nJj9Koa2eMuR6AjbFBxm4r+FM6eBebJoo
26yOhdkYnAh0uimGWhzooRDbWbNOFXdHHnAM0UDbnrsxPWZ6X4320BwK5H0Ozx0xeadZIIesT42M
2zEJgXublALnMXhxcnaAHde5yjicbdkGr6YPSUHFKhNxJkyyir0rFXkW7yur+y9ORqTQfrXJYv2c
zd3SvxREtarbY6lmeNsLD1LQ7iUHMcNdUH3/WKH+EjDxf8INP4ASfwhf/D8EJsjK/d02eeyA+a3b
5Vgy859/+zQ2L+1PAfkff+VXcELEv7CKoz/Hn3fUoBw1ur+CE8L+BbQWohcbCqCge/RD/QZOeBF/
RDkIEhmygFiA2Y1/Qyc899jpgp0aXIFUq2MN1l8BJ47YyO/hCTTQiJRBOcCN0ckjl/lx8a3ryKrL
3Canu6qK/lmwLwzLrus2qw52PBjq7IZoH6e5a7YitxaGkz4kn8JaXLt5iFrLC64ZiUX4aq/NQPBl
4GV9Mssyz9Ja25bH4W38+GVZ62Kln0g66ibc3Ny5XO1ls045fZaawl2pZf5Q1dloMSGOXix3bkPw
HOS2W9qfOjus/dup65zwjADM4T4a5/CiAja+dUcwuLNirLynTg9Wny4NRc+HVc7NTZgZFaWUfi4K
sUTrdM0rla/OSC60287ZZRZWCDdSokYX+9Fe3Tq7Vnj8+xMvrqP24MqYBN/eX4l85StyfG7DvH32
8iYLDqJGk3DaYqHlACnjOtuvwdAP7HHuUKXbojSx7NYWUR3otHSgRFZkyUMDbWQdpAy7Pm2NmeVV
PcTxVUO7631f8Sw/aGXmS7ueO0En8sQgyUcovg7DNnxag7kW8NaksifW1LoHhu0g2jdE9XkHr6xo
0XLriAMGKGBCwMQhNtVXnujmL5CgxM65hQ4L8AtNx4o/Wi7JrBAi34uVbOAqj1IJMtukujAeLyuD
O4jF7nILmpAcFFhXEvYLR761jVeVJ1ZmfWpq2z/694x5yY4cPBhNk8Rc7pf54G1Pa2SjgqAq3g9l
fy6aTCAmKfPhorSMcokg1TUxr9V01vdRfbUo4t+TjGy6c6cdxlfpbmuKwAEIgqTSbzbzDKNV0zYL
OEQZ38CJk2marXM1pNTm+BesEOXXmtoEOgfLJVuSvtmIiNHzEr3LAs/0jrV9IfqYoOr8xLfC0aTu
Jsx9M3W5vdfx1J+gKiYTnmO95bvhCr2iMGbi7MdsR1xPXI7AUSX5QofRJf9651OoWyTSyHW/qT4n
58wbiExsSdY/1WxK7MeiGT4tQ2dRdl1E3ZMetRoSE/Hud1L0zY1rPC9LBm+qSAIOg/a6K6zjW12i
ccOaPOkHxB/FWyQKfyAOuZye5hz4LR16d32gR52ElFwTvrKblRqs07UYfOYXiuDfENvkj9rZOGBF
tjBIkHRNOCsHfP+ujKyjtMk03cQWikiK2Y11RyVEGaKZ8bJwx8oJkpCtU/08T1OF/p4hA+zC6pyL
ZigNS7C0ijfwkWG9HPJqFru4cIM7p6zkI7p5GjOmoMxO8qIcCUsfMveLWAn5JQRCWtPetlR5w0kc
sL8i7ngnKVSikBn5M/bEENS+D6f5UhK79VDUZfdJj+FIQXEIAcomk82JP3nmCerQGS5DRfEgyUOM
q06bxVdFw5hGm6Yql9RuRm3vPUVTcuIhR7mJLNR+h3JArrATVFKM50J5C8Lw0TJv/WzN3ztXb/UZ
os5Y3jIfkBOwIYXL9lRoOOrVRStDIbChy6ML+43vaNpkywPO0k6Su031LZKNB2FLfjLdSmzKj8OC
7DARglmU6JdON3s1OdWjE6BrRvg1Nk9L7CLT0VsZfdPt2t6yeYK61b6Sco++1e0OxJlm1Ns7yvoq
fUKJiWau+4dwmHJyNajYqA8W/VrvIqS8cF81ffclkHIw50M0DU2i3CW7bGWH3b33Hbreaac3OZoS
9BgHUImjOsi4KkrQMvEbBWTXP7rCwlfBFNuYg+9MzfXxXo3xBUziNFvKo+3aWcpbxVCyHlW+2V1W
Ww1R/26rbtWg5BdS4Ls8oSQqlqe86ERxNgXJ2ZnJXbEm+LIgYyc3Xos91oOO7nVGnRey29ww0TNP
NURizcbykEdlfQjnOVNJYPdE2ZNKae6CjULp3ZR1gU6X3HfixCNLHRiqr61zkuBZ5LmNt29hJqPH
TozD962Jtqs6xHWUmFhWX005UVHvdAF6Pr5w3jvRYESd60ZW9wZg+qjA9HqdbjFqTsC6fr2fx8ov
T2aflDASzMNWpzROlJS064kMOBG3WQMqGzVlWuVx+5lfDY2dL7vsLZpKn6Iif5tkol0epQny5O4R
m4u+GAsa0XdEm68Nu2pU5ie9qexPcmujhWHe1W3Sl954ts6h6NKAsqlPW2zQlC0IJTbKsSb5VFOC
fUMMAKDF2hzjWpuiM1FiL91245k5toEqJXq+1pm3t1rK+bzAnX+sWQERSgCFhjFZt2a4s6yAumdO
1PALRWzusxNQkpX4Q8x+l880lIDxxd7TWKPisOyW/E5hCi7XcOrD09lpR2LwSub7FPGjDA65FdQq
mWMcUaxjrv0CGK+dnfFm+qsjCpdv2xV/+lHo55nLVda9u3Ppmbm1Kt5OQtG9GFNqp8xnuioEzQlO
RP3GOtjI1tzCeeRg6qpzfxoFp5rGoVTkhUujua6yfkfTyWgDW3R9T4CJXulPiJ2R/xA/35ctmgif
6gPPuo6beEM/RDr6kjSqn9c0ZB9+n2SNFiNXjEM7F4g2g5M14zf+jazek2ghnqWXF7f9iFZqTwq8
4P7KN+e8WapcAUblYZZmkU9m/jagvvE7oyMUMS7t3WJrzQVqFuww0sR0u+Qr++2OpvvqdfOxOKhF
CEkLiGKNHVh3NrSv7XBHjFa3nlMSNFEPZCKaKZYAJKaL1oDjNhNoIaNSaJK0ZFZ9cdyMxCzL8dVl
TZ8OA1q4DQWx46x/LIVx+OR3bFHMGsZ97KrY2U6wmW0kOQ0kcx2AqTTh7KvJvT2LzMzy2vNKCGgp
99mN3tpupx36Z0rIuWlMmpEk+RAUW4eBK+f7T2h6iG/L2C2mPWNj4V0iTZbLHoejGPe+tqJ1N4PQ
juBfk3gdaZ9wmCCy6MVUUn4dltFR55Ufglz0TY3Cq4qM9al2Ol2lLGeAxOWwFuPBqUoPQkBN412e
k7t/vhFfG5413hhQW7NFx1tppW6i5zAoL53VI80MtZBvJ12kib836+R8mtfV/UQAFGLlsMF9SzZT
eeKPY1Me+iaqTVL0HVdrs5SUGcrRd4vmAOC/2Acgwdm65iDN1YVq1kIdehP5gHXbaKHRwxUaxHfO
WBOEtTMDwSQX3KVj+3maZj3voS5sW7PGNmL7bOtmsV4Xe9iqK7pKlXpAwsroOXBttW/LVAX53neb
zn0eu2YQz79bXf4F5/YjsReS90JfH989SifK12BBf9wGslJYQV9qYsL44yuPBpY0Riv/J2qVn+NK
ji8TYQCwMZHzREZM8uPLxLqHbjiW/fTesrYMDvVy74QDj0dmxvLoBxX9ZdB3JbEhbOU3tgZzzsJC
P/x7aR3Ws7f//NsxN/YP2PT8pX35faPb8T//jUz/hZWTxRLeHNs0hqu/76uW+4sA83YY3kiyAIX0
/sGmU0GKk4McrKNxGFmXz9/634X1FywewEisvvxrHh6uv7Kwoq74YWHl4qRWkv8drx7eKeEoP147
gFxTnccvOc+hEmLLJgAr6AJBtqFbWI9aCeuyi2sCZ6ZAzk5Cn8zEARnTFEpdQdefNbnrz6nPRGMn
U2HEy+AMjThhk23rc0SKkT5TShcfd1kx3WSN8qdzIghjqp8Wm85GYgHQBV8iO4yscxc/B6OwYpq8
yCZRo4UPxiEt8g4N5hj3iHDdtizts9WJzXSUfk2Jj91ieKCgZbjreP4PKRL872XkZfFFES2ssHHn
juUhRIH+7Ns+ahIEbuFwAfHdV6db2Rv/pV631b7eyE3tT6N4sgw5IH3D9uu4Y5eUwpneI22Hah+X
xWSfdSXP99Mxo/0mDTsXVr0cp8g6DbLKxxKV11Maxto7Yeiexn20hcNRPNySSM2kTyclVEsv0PCO
0J7QtMHlQlOL2SFc97+z31oXKIYDQRunuwYAoKWad6G9+Y8wbB7aaeP053geSyaHfoq7U79Si72f
xlzhxSmaF7sEd0iiSAUnMrPicefLtfkUb/MG1wvlgzI/96pHt3TK755sZJdaXV9cwcE0dyHnSg8E
iU8Fy4Sf68tlk5Y6SJpev0NwKYtNILAeqcTJJf9aZBta2bFJ8i3VoX+Sd6rwEzvO9IkVOJVzYIPI
cCUN3vDqlR7UJ8+h8N52SgYduxCZlWZyaQO2XTE1e4DpMDudViKugCyiIfU9g+PDkx4d6I0rhh1L
KLiAiK3qed265msfWuTdKHegUQRdv4vcf4Hta+08h83GzUGuJkDnobWc+YxBm1nEbX1vTIuqtW6E
rzcLtJtcTpadsryYK1kIkG+2wrOq9wrcToRucjBaOIZ3Tm5ZAm61m6jvoHjOSraqBeeV0Zjfbltc
vrpTUZgziUP1+xTF3pbQLje8BtnaftFuMJq9FVt5k852ngEmY7m56M3WvTZhVwJTQzfc2UVUhom1
+sX3EZjh2sUjUO8rPCJ9IliFtnSdIk23iJbNmzWE1JNOayhwuNTMSYnrzuFjmHnHFk9yInOq7qKh
u0DQ7TzVJIBed55LXvTgeAuMsSR4FNnoWN332vjTjqKxrj9xx+wimHzz6s5dBUIMz/LFLuUcpNEQ
rBskcl/IZB60+24DkLa7yM5ZxqrNIyJzQT9EbEpQjvnJTFL5W0GDN+8u1kDrZq0zVtlqGMJkygye
FScY5bu2K6tOiG9H+jBuDT9oYRt1mWX+Zp9IKl3zs7moMrpvVZfxk2BPAs2oEFeedHrS91vXsc4S
PcbEmE0es6waAsgGj4bXdVfFxVtdYuzYaa+au4MeQEiSSnvzXqtugbiYMuvcYYJ+z2TBI8WqWvGW
hW5Z3Rd5OL+HYTG/58o26I4qq+N5h9uSqI02cr5Ex8HeH8mQTXTlRJ81zI2/n4HYvnp+iTum0wvd
kbgG3gvk3cUh20T8wnOqpR8McmHc4TSNrxi75XfQi56SmV7wvQRcknViuX5z3ih72/ajXKxdZvGz
nIlqrM7whvR4NGb6ib5uFulcPVqc9TPbcvRFr7U9pdt0rPiiR7xMzEZPc4iJbHYxscR5cVLHy9Kc
tk0f6E8Dntr1uZ6ySp1HNPCe8dTIYAK6kORtv+tgQ7qtC5+Yh6P62g1HOzxYdRa9V2bgw7Xj4FNm
S3LClVMV1nQSVUX86ogZ1E8G+UojmJ71jYNHqdjpuGwPWd5jiOL9EQ/qYVXBPMaL0WaMXoVzxRpu
I/qEXLCuzQB3+AOVvdXIcJPafhUtp1T79nMKdRI8YL3JumRiQb4ppmyOEnZz/am1MOTtNo3dZ18q
qyOxsq69O0b+JcZ8RRxBkg8cOZhJTBumBZKmPqEriGaqjBSEJimx5DyUAEtxQtkcHnDWOnld+xkI
Fb97d0nNADVzGmvLG4cB9s7C8cHr/K6sVh64ujKJ4EGzsex768haxENth6gMjU23atzJsdUx0Qt2
LkqfHFOGX0RkKZ6SoWcNmFeIFD6TXJ8zEvVu43brmtJNKkW/U2pahRsms4iEG8tZVBezt05PoVjA
yPLJrqND5Tg53aR2X34L5kJ2zo5yLtlfTtlinM9L1ZR4h2HKj/HByOTveryQ9rGvyVNpXUzD01au
y3zSxB3Skx3FLUew2prZAV2EFZeyUjyWXVfmX/Fh0slJzbe4k8O8vi9RdYQtctipbDexOXyFSBen
DhTgeN06llN9WXhb7kPtWFvFVYFRIG39ZVz3nYzc76pHaR3OfnBSBEsJLkGdxS6affBF7rXL5qkd
XI8MZbqRHsjp46HickkUl5pnLoc9fYMtFUxRFu86Z1ves9rlrXvljJ1CsL7V7FlMagiBSzBWAK78
qSO14NXkKF0ofv0aRiBGetBhT+Zere+zXPXWpdUjoUjmLGq/KDRkW5eQ6knGc+pkZpzfS7Gtz/Rm
+W+NbLr2ZFZecCnRkti7po0LGDeowt+C3v9NEv2NlMc/Grgf/vu/2u/b7yfuj7/w28jt/EIqXgxF
RBmK45KF878UUYiw1SFYCBvDUXQZun9niFz+6BicYzN2E/qIr//vA7cLr4QclqgsFLEoT5nF/wJD
dJRy/kMYGRL9SZAd6wApSjBE8c8qTMDgbYHaaRljvOytFoM+cGjGaZ6N0/1s1XW66m25DVt7viCS
5S/mWPPyBEpTP0C9B35NjDg/TvvME2vr59w9Hhj9bddu42uBF/c+1m6f/u4X+Re77496Uz4pHp8Y
RStLCks+WQY/vlRjZd5iUG0cB/b6YRno2+nqkT53p/4zd8M/fakwU3wqthgqCCK0dj++FHDeovUS
M7X56H3oScE3W8VTQ+TY5neHjZd8CKaoceCx8vi7mc3qnv3xp/05aYePS8wL1xzZSxEXnv/TxzXF
iKJBHw+1jBDj05nkTJMQljDSJbsVsFruaNn3PK/qZ5/0BBvBSdV/RvNHxsfcriWNju342SeW3doF
szJi3866b/5Emfvjtnf8UdjzCH1jomD1I1v3x2+qWCMstUFPT2S4maveKqdzq8Ey/MdfxrGM/Mer
nGiM40KJIFxwNPx8mamx7GNi8sm1t9oC/DtaSNNzp63jK9HCfg4XWdw0MATY/WOstydCFjMTtXS8
byhcdX6nhJ3fohY0FNAqkpr3up0tdANZbT8MKLWooMxgAJOpH/IT1LTtNRELlDBq6YbTyRBP/npY
c5e6Y1X23p8ALj+TvAIDBOL4o7eMhwy2mh+/RUjKZuVWa3ZirOjJrAD9FTfdbl4bOhaHfL794+/z
56YrsAO+RdLFyaE5Jhn9HLEoYcrmqANRdXL7xENHtRNukCI1g4qqvlJyed9F/kmpoJU673m2g3Oa
L9M2Gk7aoL2ScDXK0M76x+/qqOH+/aPs402R0IHlhedm9HMMdOhbtm9NIOy5BpHtHbvZN9n6nYEt
ulg89Fy1MnXyx6/58/UrUMjjPuD+4D7nnv/pLtumHHycNiRU4FF3lgu7OrS1ma7++quEaAG4dmMQ
k5/DQMfCZzgQKEyXhoDhedTDnuLH4E++v3/1WTgLCFdCu3zM4vnxKiKdm3LvlldRUy3PHH+gWydm
P/vLn4WTDiE+6SDiGC3046soyskteGduxUK9NJ47f3WU9t7+5EX+SfeA2iE4up5Aq3jiY9r78WWQ
I5mOdo1vx6Lhlu159qtTgOu4/x44tc9tassnKgFq+xTjliXSutpCfy/J+0UTO/f1jOXW7cQ1Lj8P
/YJdhd2125DJfWqCcpXJsg2dOgNEkFFSLhrMXSwG53xhkDLcNdOi6gsR1JF7ie6dv+uNau3P88zv
OYBW29mSySCmO6Vup63SVufE9YR5691sSk6E5tS93aRIN8tTWek4PlFUqnW7iR9E7VZqQqpUy3J5
HXyg8VQPc8sJ3uhScmP1s7zpJ+meLqte6ifLd9cwGbrQMpc1tYnbp9FVm/2YdbkUJxMX07afY0d/
i1Gky4PWzQarhM6rIemkpjOkKgjwTdvVnpEWIQCFnEY1b6VHQWBzUL0f0aDqbfrJ7q2pSUc7k8Oh
yXr/plW6svckZEXjOY4zDOoVa5WD8d5k65XXG5Wns1i6NaXKIjRIep38IaLHzd4Nfh47B2slHXfH
vgIhTN50hNF4GFmPsk6jYbBdRSR/5xjfwQRfj4QYTo57ajvG1tSP1J17BlHN91MZfzuLKjIid7aR
9tdubRD59oU3Zrsen706OMsACCL74zfo11ARyD18eTcsC0dewcl9vYpCL4gGULrvyv5Yezt1qwV3
XG7T87L21Xc9u5PZh7Ks4n3Hu38ECOAiqD3vkzOsjnXDP4YKssqcoNnraiJjQ/RLv+4BEranShSr
fbV0CCj2ztLa8SFel/aweihez4ThIXyOpWCYd4iMq/rWmozS8CICCB/JeqUYM0bri6Pjbt1bsNr0
+tW6eUZK1rxmBZjmjsm0IIFRHUXNpTNgGOHJLRbkvXodEYLa7XeWilLth6WoLwqpu4nIFsim1Ngs
lcKSI3UtuvROqd5C+YdZha2Dfmlz1m15W/JL+ISAcHGt+LY9emWTKQI+SyZFuBHzRaMHpkmcmklb
LO4re3xk7emgQnl3DHQcDnm4OPVF75A0sAvLuTyHvm4abE5jvh7sRqoeDYUaqkTSqIh5A4lNlRRd
KF/WUMUemZmETe/p/ROvQdmzNM/IQDmDoVy8lG6+AYXi0oZn6Im7w+C0ebN36Be/JNhsnZADx3TQ
KHtuRSIqkYlEKo0+1y5rx03DKQ6zw4Tmr9iDTvLPcsyo9z5e42ux9dZwjUnAW07addzC23Ey4jmw
VN/fZoYa90dnMH5xDlBXnG+2Ir9g7KdCoTOY6II2FbRZUsx5QCqAsZbncjaWSappmbo0W0JnOpjY
tF/XuJjv3LzOIQ4FscPDPpqVP+zMsWf84BGdEOz7qXcC4gHWajvJAQw1yq9toMA3r/wuLaSDfUnb
U+ieRu24DaBjdX5vKSzFCTmEHl3bfrgwIh2taEC2OIF23Shd2ru3OBz3bqujC9WbSRBT2sQtVGOh
PnlWSXmpZoiv0bA23nYrojGqdhHaizcYn8w5gQkq8gNSUvlERA5qCGZMkAp3CK8EabTd3gXuvVjG
BT+wg9jZooE56i8CRwUPvKXsCiY8AjrFW5XtdFUbN12gz06LWk/c1qXG0jCBUt8XrvbOLGjsOQ3s
2rsiwgdBvsrCBidA21cyRXAybSih+/hcUH+qrwKmHbqzc1e7Z8Lus3u8Q3xihEnIbOSIPcujFvas
ibp1TjyoQjtFFzZuJ4jcMdK6fj+r2ykbtuDMD3qPWBh/jgNiiQAXaUU06kX70XpBjgrQrNdVoZNM
U15/pgkw7vY9T7OTrWgJzKrb3FUH2qHJ1fBLLmBJwx2ul8252cCE5Z7ACpSvUNAogqTwmzQfPec8
KkxDGUVsWRct+rmNLyKmnZ2Qk+rQt5oSHNnM6Aa2UNTzTpQObuMyKgei2hdhvXN/mC8r4sGXru8s
0oI2RZZ62OSIcTG9DSDR0DEIpDCfT1h55VolwI4sjT3Apw243hDgufSh/zX2Kgcki2RlcwCsG4iC
M/mAsEU21u1KuBCd4ZQQ2snGa37z2tlkB+V1CNasLY/GxBQNcp657GexH0BzvpQcXu25J0XuJL7V
EeCku8C6kVkTx2kzrt19FhQi54EGmLnnECgeKiTGj/HSZ+/NGJcmQeUo7Et2LpTHbrUWdLvnvXw3
0ZR7Z37lNp9XJrwY4sP4Y5ovx+UnKDI33BFCFUVodLW+GsfMXFrc2mpXVGF/CxA+M1HCCT3WWT5E
pM400fM2qP6OYuQWrt14BPOInAJQYYueFKmuBQL1s2AlNAMiLboL+5I6Y2dcvOpknVdtnRy/kGsy
+rv5PDcK83geESkDo6Tmb83ktfwSga0qTlerb/gNFIw/WoyN7FasWVkwBEBNoExDslZQJTudtXZ7
WnrSapvdyOVL7O8xbjUZxPG2iovjrzq1qrn2NqwFaRBXC2E4Y6Eh0GuYc+ewoPuWt5gP2+UeORYA
VEIB6RCed/x/qBBXsp1ALdtw5S7reT7m6PVa2lHQkwNv8cxdjfs+5h55yYuio7TZm4oYkd/Sk/+N
Pf2N8PDfTb//JFA+diO//Mfb9/+4etHvRf17EOrjb/4KQlniFw/PKggPE/GxCNrlH/1VqGxFvyAV
BS4AoyKHE9Ex++VvSmXHht4lbBQeXyAfAKz5Ow7l0SXO4n6crXFaB+wMfwWH+rU+5x/r24cqgepE
SlVYPfAR+T8tBmUNTl6rNRkb5seHJZO4E5MRlyao6hDaDZdaH1j6OSD1pvg6Fk0lPh27clYy7KRy
moEILzmU0RtK0yrLDnnf+93b3LhgGlfLESclJZXxLv6ATwsgmnvyjgBVIQTb24l0iFdppvqVVJH8
KULZgzL1A5gd0cWgBf0AbLNaS5iFI44bf0C6vGXgXe51oF7vA/at6KBcED6BBk/jVqpdoxxAl22m
IYZMLvwltovhpz9Cy5u0p3Wfa8dzU74Up7pZP5Do7gOVFh8Itexi5zT0vear/yuEDV0Cnp0foe28
dcSdiwyl2yFFzr96yjqSk0dAPPrAxgNEjbh2qkoAmld54E+XM/ZilTpBVNkpK4u/YSr+gN2NrEQS
DtHofBZjUfSXRe8iCt1BDbv5ntoeYhaCD0Tfq+X8NNJiUl2sFejd3gYB/1x/MAGoSCucTb8yBJKT
8Wz7YA5I6YBFcD8YheaDXXA/mIZe4cBIMBDCQKBVgiNVH8wElnFYCveDsQg+2Aun5+nNg/7IaqyN
HbWICx0FLSbH4jBibruk9hg2BDpaXscfHIlbu/iaLccdHhBEcZ66W6CqpB/sbuNQL9eH0FsyFq1l
sb1v0BXSS9x86qJdTGWnvMjjHMbKR7hTpaMuYcdDoXJzUo6GrOHNa8uVDvqx5Dv3Hf5he8jHG370
udl3lU0fXoVRlnhJexxIdvNaJ9iX6NOfyRTDixVuPelrSF77CG9kFX9u22xAsOigoZwlONROWuSK
7MZ5jBBnA6FGuLEHTgvhcFHgmDMWVEhoRW9zHXPR1XGtKcaFw1tTFqSw2NX5kIUXnle18sBQE99m
ct5e+mVG47qS34euGDsKDFBRBNBT6HW+RpZYPjmIC15Mv1iQmIEsit3EQCwP84hOG1meW7FCyyl7
KZ0YFjoY8/hzoQYXTZzAu5hwXi+fVD+ZLyVjwt0UokcECjLV91Ihekq7Zi5e5VJ49+sc4ayaJ71g
yDEWSnSDlWYHfuCemCKU2ynfTv9OKGPLJyMC4tHKy+Yz/yWeF8jcfB9O43BfoQm8bGDyZi4Q+LtE
lC3cvFE1zv3Fw26Gui6enksX+g+9r+4RiKHRwseX9+LdUaLDQMzNnWhyD7F6VZsKdji/hye5BuWW
+GZgxK5ZfPg9VlVfH0GMbjeWg/kGdGDf1Cjqw3RVnqgSBCTBNUkzckbvX9n2GcW6rZeMlh6STIfZ
S0PGMRBiibF6h/6vvBAOprvEWkxWo/YsZn4LEn+zRBBZdh6E7fpsz2Z4dZcQQNl1Ru9684ZJE4i4
KU1OGCGiu6m1m0dEs4TiGoDeiJZQPVxWTFuvpDNOOJ/HMES1aXfNHS/qlUmtW+Ie2cjDG2EvxZNA
y8hF5wzqwvRh8Nqt6ujNUvw9XMz5+pkQ0vyacpX+XsUoICEOw/ZRTvbwCYLfvVg6hYPBEqgsurAY
xuMMOX4pKAHAFi3XVp33GE7NoTHGf67LISzP0G8g5ZdW1tyNFcgQn7hZEdWoiFTSXtnqKoxRiqWE
nVrXyg2rLpWMm/eNWyxzKrpC349tryl6R2d+wefuNO7lHAiDlwKB17Fjlf/D3pnlxpGkW3orhXr3
hM8D0OiHCI+ZFEdRIl8cEkX6PJnPvptewF1Fbaw/CykryZCSvGqgHy5QSBRQmRLpk7m52f+f8x1k
z5ALgX/n6X0n3OKuRsisyc0X9hAwiUTqoASth5WlJfEZfeOcOnDKXIRbszTYOZcqbkIoAeFXxWCN
vjDxfzu+EyjiMRU5IHWnoxdJVznJnqCXIXSzQZl9yNWauRS0YL+MyStkFVVh5+xKznqh20SILcYo
ih4RdSesq1MM8SieJoxidldrFeTkztZ9HfEoQKEikNS/QIBFHJIaKyMg8GcdNdK9kShYdyFoQwgN
Q9WrlyXUk1uT/T57hyjsnAUeN/2cPQJs1IxVoL5Asml9bNPAuGak0FlXg8j45gXlIFa6WkSfwzAz
bvNRHcZlYJbNHe6edJc6TYA1Px2RMyRpHXzNCTipFhQn8vshsyZno6FdpVpmVQyrMba7O8FjIg90
dtA6tJMTmTzq1H1sUR1tOi/NypXrxVpwyBUTST+d5zxcJZXwTPn/LTyPrlNR1knQ/S4KGD97ai5e
tEmUWL+E1Ix7mUIDCi2ztoILALt5iSIDiSjUpZx6eKqowxYsvOERpc1kvuhyNRywoxYVIqSK7+Bo
iW5etsyfzXJwgd+i5zXQwNhtKdBBu7R+EZlzPrAEIjB6VAydRdOW9oCaIbM/O40Qe9pI1rNmoyrD
DZQFyZZeGn/ZMDFRr1ytHeo1sve896GLzuPGLbJW27Qw5ZvzDoFBgPGxMj5SelGeGugft4NtpPFi
9jKurNVHNq5MShBJ+YUAETTcTcZBI6OpWKC916NNgdzyFk04r8FIcZBbVWSZ4Q9VhDeaNk/woOi5
3i8K6KtfgnQG/pu3/AKfKoH+laqXMyx1Gh4hE4erXwVmrT0X+DKpW8XOE2rOsfXzJkifiYFNBXZU
ZGSUl+aRWk0nnp3K6B5ddWbDP1R2ctmP9C75LmlzsJjnBKdUl7d9A1Chmc9CsIGPrjnLXonRWCsN
u26KbygXVLzCgUaKYWvJhxb9DKIprHL4zwM3ezQdxRhWnW63w0ofTfS7LrvSL5isRoqIRus90pFP
z+CyGHd89ZzkwMgPBna+c3sehVVbbbLS8vKD17lmtxFpMV5hJJ6/UfpsbvsKhpsfF5l9YegUUBdY
TptiGQpMJog+GvOpQj/HftmIxguNyuXoW8x7LoO6CvOFnRTAnyONXdyisxP1pu1cq9x3ERKTTUku
wiFW1dDyrSkTF5kQU7WIGUMGs0yofUgK3k6cvmzeOtijrBhtbYam2LsaX4MI5w87fqe9pyTlHkSZ
9B/jykFYAhQu2RT5PMCWZsSwDO3ZmYqUpYPPhIeGjX8fDk2nd/cKc2TNfBkOB501BXtbu/D4cg+e
W8KT4XO5QcSsf8qxD3WLzuuUs4TawLw0UVV+ER4XtReFVu3GVDW+OK0Q12ExBrrft2bMuFEb96a2
JvQ0Uak3AhWNEtm8VwJ1VjhW5hpns2UdeNbDR02Y3rM3FUJKg/HdroxxSruNaXZYJ2D69Q9W0uH2
nlvwpZA6Wn1PTMFwH07skVlMVcUt9a3kxsI2F/tuYRLva2SwKFHoQw1W1JWjSC/OZCv2TiUf+Mmo
wuS2S2Fkb1OjVT6Nlm58CmrdO9jNEbON9KNCa94gPlNDe6D+jAZ0H8JN4VK6MD9ghXFYSYau8pRU
NmuDCv2k56eusAIK91kUwaSNxQZL8IR+r2iikLBCzcL/VDrddR5GoDwKxZ7P3EGEo9/PAVWkKOmx
hFNJUqGT2AHekianrIvOvLXXRCJUwMoTPb0UekfJTxuK3sHaIDsBXh2P7SIlnlBZ5jWlvO+Nrf9s
p/+pSa7h32unD09F/OXVJlr+/e+baFP7Q+50TcSelsGWTkbAft9DG0DFCAoGA4awQLaY2b3+2EJb
f9CMRG9AQAPaakTU/NEP7bRiyt01tSW5i7ZNEqZ+y+37UzSKadGRtVyLxFUN27E8vZdA/CBSYqQc
2ldrLDBafh7RtLLeoB9eKJ/maRD1tUdKp7IDh26jiEr1okCizK58qSl5WH2DlEH5bd8XjTHev7iJ
76sv6CoSuWHL/zl05lSpLX95arIHBp28+zZG0C1WBmIMpGl5VvQ4k7rK2bx9tNetTBf1uG2TukEb
80g/dE9kJf2M/gLCZEIIlBb6kGuzu4pgiqvfPwrVEtVSETISeXByu6NoStlqFEglpjpcomBrdlnh
9O80TOW5/lUX+X4tqDg85DkODNDTECiX+KOQXSesew2nCjJD9YOH03Nb0KA6pJHirdSoejIxqb5z
ea9FEz8OjKyAtEtZADoy1V6wD2vqj81gAmObhjDbTHzcdgQRpGttEvX32eZvgXOvBQw/DkWKDjoV
ExGDenIn52JkLTYLqsVaQkIebmiUMvUX3HrPqpFr74hOfrowun7MAlKP5ZIqdYrs40uP+1IF65xO
4afWrNWVazZPEx/ddy5LnvarR4eVgkMQp8i7/x1C+HLQJ6CnhVlHMSkTmgJIL85XdFjMFd9eDK40
mg6eCKZ3chx/GvtYOFQ0R6709zATMN28PGhg9jFhdWzZ00E4CNixwD5rHS3Cd+7iL48jQWKOBmJV
kxSFl8fppT7NTjjODHnisxUYJTDXKvn69jt2IjVhaHA5YDeO/6j868lh4JpMOq4NlvgJG0o26/gy
vd7cxGF6WwnzPMMtkCXmphGUSGqxZbhsU7vfzWp5PnlglTRB596e35HA/Orq8cnoCHORfqCxOrn6
mJ1mhHKevY1VIJagEJT2wXsD6BcjFXGUBSeCKweVePIs1TnJwShzj3OMZO5C1UpqiFaD/naJFSN9
L4X+p9eQey2JESgn5IfEODmc6QWp4iZBtFASMAaD6T5ovXvA6rYPrfK9bMxfH4yKssy2drnC13eQ
ZZHm4AiOFgMt7i1hhHgf45I1NtAYfRXodf3eUPr5dZRyR6K4+ETyST61pQW4LsUAf3zRe0P9IYnc
z43m7j3SOHDe23hMNkr7OfYwQTa6PwfV7Odqus0bz15kLRYcM+RspyK5ixQ2h2+P85/Hk27wpCF1
8LgpqMs/fzHZAriFK+yy3+soaS84JRVxcD7t3j7Kz+OJo7BVROHDVwt94OujaAgBXI4En69R7ekw
VpFciiZZMGDMgSbzzkUdU0ZfT4AcD/Amj1cKXQ15Pi+uyhgCFegAm4JKZUO+73vbzshemcQZvlqa
u1Xbfk2sEB8g0tLQXdXUhz+pEWZPX8C4+S0ZlZxKdMRqQHwQHRoGAJbXZ4NyJCS9hKvPU69rCKKe
uxGRjBHq71z3rx7mywOdfM4A61GPizhQgWB7W7JKWKE2f29yOLFZ/rge2G7SfkcrRgJmXt7dbCSV
t064uyFb/Os2zujC4pOIngU2bKBogWHfUYXs4m3L7n7aUWhEwkI4ELCL3x9XaE0RoUCZZpo6ec6l
ljmQKZgN0dhgB2JmXOeh0/oesQbbtw+FyZrLejWo5PeAx6ehhKONdfxivBhUKrisIjFQxxfh0NTb
TEN3uDCF1+RMk0Wo+rjtvVvdhIxFM7RxeqRZdCn5TuE4/KaBFv0Y50GhyDQSMsM0Pirk8gDFUXq3
/Moavy4ehSybfcDI2knbSRQZyGQoC1TLNJnr4L6tpk7b45YBYDUWsQ5VDx1TeqUgQ8qXncgm9Toa
Yz5BBdJZQUg4mfXFRhWVhV8udIdU8aH7zS1KJnX+EFWy8dAlnNNSwYTSrj29q9tVP9pt70OZNTa5
S3d/CSIy/hYqtMbAyyghVMPSA2jg0v1CRTIAvdjgNYf30RIPYiPKnCBJqXEZCL9VxzbfQHoU9Z43
3npgaWTkZ6nIhA4bzok7iq655UwL0+gH4ECk7ETSvJGzrQgXES60ITgX1IXD7CpCZym8g1pig0vu
kwp2C2rTLAIgAZIu79HiTJ42KpAHhXAn10caK7qdUwbtFxNr3CVu7/jKcSsHWAqA8N5PBBsoADRm
NfkpmuCb1EvrcKMmtJ+XXVWkD3Au8m9CUMqki59i9m4mJ8mXPXD6SyrwwX0MTox1QFcG4aLjxYtR
d1S2u9My4aYrl5wT20d3FMW+OXh9tLcDI77viREQB9w+VJOWgHIMzGCsCMVn1G7IV5MwU+4bsDuz
Ay89yWQ1CusJNzgy630whPhKceUr5mWIqcLZ17nAT5PR/Ev8rholK80Nss08ZSX1hYJqEdV7I/xS
p7mk6ZlBni3KFKnUyguzuDpEfTXdmRASu3VQm1QMuzEwt2Edw3ULDaJ7M3gWQ635KLs1dVEZFZCc
zrVpRSRRN15HoohzGl6Te5G4tXeFCHm01jPozBRnlhmODcAcvYId6QxVPJ4nTqlYHlU6RYywUj03
bDgwviNGnDOIT4hfvHxZtG11pZRZr+DXtsVZ05gQLFkZac5tYaAcux7yRAC4MGgEbSpTmzNShduw
L+5gr9F6AeSr3tAdtcXK1TE+bjwiR5xwb5qlUrjw8WwwqLuEj1a8Y29T2NtcoZa+HKKOXKgxcdVL
R1GTr5jW2ui8HPHu+QVJlFBMlcz9EGmA97ki4B7EBVG5XPIVgJPcANioFhb5BfALgRw8UX8LqApH
zeitsoLdFkRdizpMgiaGFq9lzph0vB4WLfODHfhpX9HN8vRW7dZRjfEHBVExgl4KyVtbxJpsFSWg
R2WTRIMeoRsjcUMVrV7Upm6rm77euPNZQmMHwy1Y2sjvUcILCLBec8GurvRWlVNjpkpAHoDHJXkL
hAD2nzOQ05RP2yI0oVNXWZXisTIox8sowkkyXSd9aUNFVOCAtPMX+nDWJ4gdWAhHxH67ODRIOOqL
Kkl9TVWq+2gYBu+ettbcfDKDJIv8Fq32Yw1RirdgFra+sRF5eIdSlJaxd+mMOyvNcXKxFvRSEzqP
ufGAyCnT0HzOfHUM8pQwy9KPf4xcL+s3+RSpW539R7GSkAGExE5qW8g3dTxujUjqes16wLHB6Jga
jU9e6GnJ9gQ/nptQr4daE9fwa0vzc+Z1yTM83YDSXtPNqOvrmojVCAXV59RTUZ4PuV5FyxwYTbgx
IgPaDZZH5PW0/jGdKi30hE2J5u06JNvIXmYUSK2lTVwQypYhQT3Y473IDpTi6+mmxRmsa0s3b2tz
o+tRUdGMa+nLr5tUqGLV9TCKFsMwxhfK7GghheEintO7wfZCN92y/Gc5u6rjTlQ8ReEYXds+OUlg
ifs8qqy2Xmi90Og8WkRtN+uOVX13OfahvsPFWz7AU9NgGAZWkfgO0WrpPiots2DGkVVNPLho1cjB
8xz6Y8LIBxsPh+kMobnx9ImQoO+rxP/U/v5JxNiL1cZPUpqbp+kxesqyp+ZlAfD4Q98LgJb9Bxtq
18VCJAF+pqyJfC8AmvwJDUAsAOQOYLjQWbX8KAACVmB7jBtHhRZCeownxep/VgAR2ABioEBAQ5tt
ND/9Wyqa10sjHeyGKnfMbBaktv50aYT2VOiBh0Cyy0xlPQE/WYTBYJBrNnrLF3fmFwW9kzXu90Nh
fnA8bGMS4P968UkdI8f77wYLN4C6Q3ZJBdIrc95ZWP58FHYqhATgraD8RdL666Owvp2QyWYKGG8A
xjbN+VVBEX7zu9cCZ4JfzgRsESl7GmzbYU6ZpLJnyX2at3lgaMumxUz79lGOO9oXC1duGRU826Fg
SEnIQmj1+mLQWVnDTPt46TrTt7o7gwzF6hE9QdIBK4C3NTv7Kqf3NGVnFs40mpV0mUqfMNIFmmHo
35d6pZ47c3Tz9pmdbIw5MY8tp4bqkIgEHC1yxf1iRd1GDSsOVecrlGtUUdr8psTivPDcaPAZSZMf
AM9/58keB8jru4GXBfMjLkbKtbp1MoBwzgwtcacIshD67kYU3bsWwi68I6fZWC6wi4FYz5WbJsOu
96B5CM3+UET2uLGNItpFNtKq0GLT+Pa9OPGKYUQ8BnlTAGE7bvG+njwllkcAIZsixn2tTBMWmGkN
z0pXfCfpWFMT/DpQU0815brIg0sYF9h0jcT+5JJqBwzNGM4ooSDodcBRBOQCPSkxQEg/M1hBo/ou
w4dutpQDtaX5GtXZWPhK0LM4VGJ4sw2NWqb4GITx25f184uEhNlxmZlQ8oFYObmqAcnm0Iwqa1yH
yDikV9mmDs3Bf/soJzWd7/eOOF6pDrcNtlOvB9KcwgexYgNcmqXOq6y0R38Oc9uvSqRBegpG4u3j
ndQzjsdjYAJQdfmHEvnr45lmXFcscHmjosxZEv1K8F4+wT0G/Pf/cANBDchCJMmc7mkpji1dSmAr
mwSHtHkkdhq5IIn+XkjbMWPr5K2QjSBeCAA8RFOd3EGtwz+YIBBczqZXfIgHdbxA5w9ZOHbNDW59
YFRabKy7zkmXwF2diyDR9PVsD9TRzvtgFfXOsKvSGxYv1SKa2vwyIveSoGLF2tZ68sD2Noa2pnRr
Uwvmle7qDeHM0FqyxOgXPRaLpZ659o68yuyd+U8W9E4vzZafJTy/DJDTcoXap+XYRWO0bHEVLWPH
BUgwp5nveGQDd3QhfMXszknki98ZJb8Y+yj48f6iLaX8dZrETkSD3YS1w2Z0MqKtVxMFqcishbfH
4i8mUT67lk7VHSemcRpHN4wOcio9kKYX3eB7NY0bctFxPfZYAdxhitaE09bvHPRX99Rh0aHiA5eu
x5NKE0tLFXcN+2wiE0FKjEl6pnhuepP1er2FAxt/6owpW7tOEb9TSvzFTeW7zBJD1iXpNcgze/HN
SHlH5mGK4+UEd26pFDANGkCd78zGv3jB8Ziy+ZYfCRZRJy+425qZhwaZydiiDpDq+rh1anVCzIdV
7e3nd9ppkIV8TOi0aamkGUQTycntxRXpE+BtrUU9lwrtoSLWng21bysKOEihF1ComhtqWs1acav4
chLFbZTLXSdY/U0Ru9mmqo1uN+oITku3SH7zdn8/OQd9tKyvMTu8PjkPTQ7NTk5u7qzoaiCE5Rxj
kfrOm3JC32LmPt6Dvw5z8lRLIhDtuVXNRRF50wpbM8zTvrKoSk3zVwKfo11jYYRQCWa9rbMwQhyB
CSXuou4qxlPtE+nyOFJYWmCbNHaI7zo8fLjQdN1dOe4QXvVeggOFws3KIEh1nWNyQQLkPb39LE/s
n/I6ANjxnjFX8+qzM3p9u5iYUdrUcDpa15USs/obyTneHS9urPrYuL+2QQE+A20FsR5kylhsM7VJ
ldJOlE1NlN1XrRJqS5OXF6eN5oSrNM0pjtWlod1kFN8IsS7R/AIBa0125fGACkdj70sFoo8zNv5m
A02yw8y5rGe2z29f4PFz83Iy5QKJG1LhtIHX4z2UL86LwVrPAYh7MoMXdafRL4jL4Z7LylZjHHl7
Vh0lgje3JwmH3SsbnOE6tmKQR4W9Isge5aNlvjMTnX765S5GByfnmbTeWT0Zr0+o0evQS00YN4Fb
jneZZTwrNWLSieLGirCS6Z3DnbYW5BOGSGd4JuwMg47Vyduat3DvcUlSdqQoAsT5LCWadtmNILBA
OopNyoISMhmUIYRPKXLsHDyMN77zWupy3fT6OfBKMOmzfmX2VU/fS7JmQMjCt1gYek4op5qGt21n
t0uW291ZFxUzyLbZOtezpjwo+PAApSLYbfPSXVUjFeuwSrQvlZ4zfVR5uo9FTflQMb3bPu0x2lrm
Ey3es7cHz+mkyjZUpfktEZB09g3v5CUnHNwgabeF6yAme+0VyiPc9mFBamv6zlP65ZHIXGNjS78J
CsrrQdHWdSX6elAWilI8p1MC07SiD+JFqvLOkU6/vlwTFhQVFr+qMzCOq/oX78NUmZNmCS9cxrVm
bR92o2dba2TmA8lCWvHO2/fTWKfuhfGY4SdX0irIw1cvHyHwXY2Tg5VMM+sbcqLJNsnMDaGpboaA
/+2n9fOVyZacJg3zPC/tFO7gVTUAI4hJywBNMel/fSkwYwQ1cCBLXKUk0x4gWyTvfAlOm0u6fMF4
xdgPO1Sk6XG/vka4MGrbKkUqtWy+q2JmycfzksithMJ/Eg/71DE3SQTMvk/feal+GjWyq06Hh+U9
BQ3SFV8fOpusjjB28EhYMQwi+6pgifczZeU9vPckf7q5HMpmYQjHhAvWjrPMi2GTBFWLpZ1VTBYW
lEuFly4ijIyrAl66nyYIuYeqbtdvP9ETnRZfJx2qj0yMxVnFxOGdzF29LnCqkD2zjNmUbeouS/xE
K8I9ITPhpsSFMxcekHujuqjC1jyrRdCS1915OxGmH985Fym8ejWByXPRba6eehGd+JOx7MZ9TQEf
IsfYjmhUnAb8nFfjwLe7AQJZ4FSbKujVi8pe5wULTYDQC8rh77Rmf/6eATChlcecZDgMc/vkNOi2
mGqT5ZRdWV1fMpVU57ZegcZju+UbXvgttQS0eTHQd0hG7cIOqmbTDtrkUzmwHsfc2BxvzH+KoP80
5KrhxSj5uQz6pZBmwvZf//UqkfXHz/3wE9oGukZeG2Ym2fc15CD/4Sfkj3iK7Lg0XSqfeMH+XQvV
3D/gclClZOijwJDlzj9LofKPeK5MO+xjLApCv1MIPVnMo36SlUloKQ5LeUpMp0oHLCq402hk+FaK
ST1DVlL2xTol/SFWWiI6A22Vlv1Dix2BJnFx2xXTwK6CNmxKW4lNTdZsZoXecZPC2ntxN39ROj1u
Bf96544nR8te6qNchKSqfTK3Dhl41MLqDZ8Is2HRwgDYWkI9QFz/Ks2JKzVDsd/KznQ2X1aVuEyl
nJnEt7tpVqedk22AjOBxqNyP6ApU5igcAll47gG9OKM/qwJ3IhyMXGQYoEHjO6QhrSwWFEshjGTt
w88kzcPFBuCkJo6JMcJaAmcXUB5WkRl/sqkeqjnKvn+kf+ud+p8WD8QwJryHhcvfS4Z3TfblHzdR
TB7ll1dvzL9/9vs7g8f2D8Y3XzXmXJPKIu/F91dG/gkFLNaQ7KbpKsiv7Y/uAYFAKHlZ5fJxshxK
a/zQn+hlGgt8QWTiCko/ftr5nVeG0s6rTwGWYMsEHkW6MJtMoHOnFQxbJwYxpK/1Uam1T0Ts7UVU
XCVCewSIQlShhenEDdf8noOeBs6qycon3AE3LPjvOsM613Il5kOtn/XKeTxH1yDf12FLWlAxbKws
vkvLGTAFTfG1jUXG6pNxRZqbt2zKcNd5080k0itvwJxF+cmppwe3tA6FG9xOMSa03FamhTeT3OdZ
kipVPhG7Rsc6wSdgtd4t7OCbXKlXsa1s+xA6S1kLbYHH4lkjvg+WD2R6BxyMcwsI55Z2A+Rnsnvc
eMvnd9vBShZjfp/nydeiZMIYDULLIx2map6WT4JYlEXV2d2iHUxexEIqVWNQAGqg74c+a5ewYB5K
iRaLxvQejxjGs4QKdjhhc9RGeBL8ZaFZwKHhVhz7lHTz71you/xel/wGw28sqUjV22ulUbb0A9dD
7tw12hguyfgzV0qkr4mS2eIGq2mmNgbt/OEmJFQIdIK+96bgWR/Ka2yrxULp4U54Hvd2hIe1yvUO
Y2aprql8c84CKgNVtppCP2jUPsmvdKdlI1nny3Gq7/hZRJOus51sh19bGusM+hQ3mf9M1/FDVIJF
DmIaSrjqIJi49ROAFJCqCh13xB/ZwjHJ0xtBNoAQ4EnMTX2XhPOnwSBESVUuCJ45ZEkAy2Our5VB
fbTKKlm4o0mXlGU+fitxrXX2LQG0HxTr1hymp6ZyL+Mwvid5h9ZMUzzRDs7oT6wTD9Br4OZkf0C1
R8Nc4juK2UKB+KCQWRHw2STedkymT15inE3J+MCe/LKMnQ8ZPauFZSiwCRqsQfNNiAUNHnBT+Rlq
hJU1eVtTIWUbp4cLtwFUTVJf15qy1Xr1U5/Vd6lm7SynvMuQLgZzdz6RQ6wRZinJqHfBPN3oHh4r
RZlv4sxGHVsaPmFx2TKbEoxRhvCWdtT3fq9bnwEoZyBdgi3c4RVAxDNsXfMiaIrKrxPxBFRj7wn9
oEQpFZRg5U7m0qGWCbp339XiqacJnbrayk3yc414HCQp7hXMM0DIvVhh21spbm+xdG83vVNv7Foj
wmno2SkHF0aC9Y137F5J2g2ntxit6VnXmk2vK1vYN1uV0NG4Se6DSn0YOvY4g36Gd/ZKmwhvAitC
vGPn3daD+ehV2mPrWbuqzY+nNljubaEqz3jE9/QGd5XCzTEH7cz0oq+Tat1qhnaYelKW58HcZ4gt
PaO6hoZzo9bKFgDKdnIZFYoZfcUkfq3q40M5kNoBJ3uojT1Ey0MyzQ9Jae9Sa3oYivxprPTDYNGT
eTGh/+KTfbJk/zE30h2kLXMse8qNxIuNggHC2QrBrH4kclr1g7r6jGKkWlLo8/MqfCTE+4zc7TUq
rzNieT4nSHfKwV6/cxayiPLXwuH7WbCLtjxLo4GonXoBcmrXdS2EyllQbTCAqUt+1Za+xyrUszMv
K2/gHj3kWniopmBfCoMA6Pi5BbpxPJPf+pL/9+IA//ZvyWM9kmZMKHTUNv/7f/04tlyNvvqXVdHG
7XTVPYnp+qnpsvZP2qn8m//dP/wR6Xc7VUT6PZZd0crfFpJy/bLTjxLlxQP5aV18Fn99EifmIPkT
P1bEDkAMGgCYeXAy4PSRH/EfK2LyEzBwgAjkCEiPaLX++/vuAnr1PLw6lPDZf7lSlfzn9/0PPuq0
Sqgx0ImkQ/tb7iDDlMvKv0aP3EjLiAbMSSw+OFXJlH05ht0pMzutnbG4G065dhSbFz+l2aMsg6Ob
rNVVnGX60WWmgNYmj02azxiO+NDMoycNb6wg5U461YKjaw2BkoHt8+hmS+cqGn0HtRlZVNLvZkvr
W6TnpIBN3x1xXQjdnhBWsSHYCR5UU8VAmTMlLT2/Z65CsSktdmMQ4LarpPGujARi607a8dShG1na
1k6b8h+kY885uvdykqx46bH0ZdLch4gn0ramtPyhvcuf7KLky390BOZ4A3NpEhyPfkFPWgfto4tw
qoLkRkhr4RCz98dciuGwTTN936eVRIYeHYmlNCeGsQlqDp4VnsXg6F8Epo+XsWpK7zlojP7jePQ6
lkyJ626QDkhWPjGAr6MzUhxdkq00TDpNSb0YhCQ+SoUUqGt6jMaXAgnnDtE5jktLmi+Bg+HDzNNM
OSuO7sxIGjVHUEfFJm7wczN7ayg9jKOvs6OPdwhr6fZspfEz0bF8pkc3KDJDd/ZbaRLFFZIVi/Lo
HZ2dLqEu5+AorRrNNxJrYO3Wugf0CO19rRlVvUyOXtTGjelhB25LVmt99KsalaWfW9LEWnuxQ4rU
5CFxNKXN1TbmyPKHxGgPBgnonx29EJlvZWS474mOwyNr5iMF9dbAOtsdbbQQwjVifo722p529UXG
r7CBQeC/tUfvS0FaDNX4NIEohTQFm24iHbvD0bwbSB/vKB29vTqNV8HR5psfLb/x0f6rD5jLbTes
l0YlIxJNfEDGdWDFxVPRTOW3SGmHYNfTvJQVD3CArT0lF4pdht1KTDrovgbxmL7N0szYBgWxmoy/
wD435qordlOlCH3VZaFtYJiyWG+QPyRzlOOJ1GUtLz5NbqiXS71W9Hatw0f6CJlVACpkt3BLKKdb
kt02ClRwozLdazO5TUs1TCvQweiGPxiwDgaeWMnzVsm6vLBALIKiB95EGjHAg4dJbZDQMs7TYZVC
i+3PJ603MmB7jkB5kGpEkPV1R2SmDT8tIql5KPYFfYt+7Sb84pVTe3O2RDNLcrp0GFKf0gmYXkzJ
HJgLFZ5I5tcpyU002Z3gdiQi9Jlkd91Y4zeYapyzEAglnUZZDmPJKqQG3MMivLP0cj0pg/e51GUZ
PgJxgN1CGzTGYd1cl2LSzkXhOfeB3oJPJ8kc+I6aCrrUQVCNzyKs1cbP5wxfmKVDEmtqFb1yAO5r
2Zqh1QB7KFDrUvLXbL+dNQSVWqsoX0C6mcui1tuBX8dGCrhdZp+7tYtn3GYwrx3yssx1o04qTBk0
BCyDzW47RwM5vfi9y2qtDHN56xHjZa0ms6mavSFITrCxG6GwRZyP+5aULxotkAGuPT2MvriBzhS0
sGYMvIsIX7zj23zLM+hYxHBd920Kr6Yt3aq7bCPd/FCjqXWuXBvO5tITE/FbQGkmd9XTQVq3s3Tg
pY6oiTmLCI1Y1m4jPucEiezthkgrOlLFcDF1tfohFoVAYEvqMTBQz42/BqgJ7nHjN7y0KMPgBIZk
RaQ2igls6qy83X5SnNVA+HR9Het6StpdpM535HSon/MkY4ZFW++VN7WW1qyqQZVWycUwtMZ0kStt
Nq2zoSYTJ9SdvPPbBMf/usmI4aOYmHkXAtYYnTWjJH1yhfeiiK8MpYQ+Se5qHPlz4yDxhZYLP2O2
gon460ZU51VT2ODUeNMempJ75Sst6so9+t/qrpqiokYLalX92iDglDtT1oCPlgY6fgKACI/Ll7ql
5Aq8AoekDa0ZHXVHykRnrkuRNX7jTG26q7y0vBe0Icg0nGL1AI+y0OATxIgmSCfTb2lV2Pk2YfI6
nyZkxJfFjG9745V9ugnHsIB4VhV8+NQ8FTBTy3S8tke0zsS89FCEmNMh8x9k/wX9RtsG6k51UC2z
4mZJf2HNsxjWUVaYmBXctLlUeJDZ0u6Z16YqSQI/ipuu2yha2W//fy3c/qcVamg+vrV4k0Wa5h93
//ovET4VT80/FiJu//V/ivjxS/NyCXj8LX+WOM0/jiocLNsUQ5AHsmr7s8Rp/sFKDTeu3JFSy5N1
zB8FG+qYkmYuye/S9Y1m4N8LOv6IFhVeXtd12IvSOv6dgg2Fn5fLOSl5sjH/YMFEqC7ba6+Xcwx2
KEaN7fmNKSq2VWNDGhbUynlDIfH5xb36xf5H/q4XS8fjseCRoPPwcMno8ppeLh0pzRNqT0CF3xYW
rNgwTFY2IIaVFzV3bx/pqNn66VAuxTCW0OhsTzHUI70Psl64rHmIloXhHXr3jlTgAcOMCflQCHK6
+n5nQ3Pwg6H6PDmIzAL1MiJU5CE3yHS8lpzCFbMAG7WJsFxyTiBW6Rg7jHwVJb/VeaSYy2PwbGzL
+P5Rhh0lFS92holLM2cYNM/viKuUxQ51SUoRa9NhdvBsB5Ov8EPf919/a5iW24zXDwTDFyOMQiyy
Pjonpz2yLLYIfMw9atautXTr8iqs++eMisOVPYrzAYPAIlew0EUxovHR0FbmZHvnPQWSgv2LX1eJ
H8fuVWTShmIsL42mp0RRn1f93aikwzrWsBnYlm0xqzp4oHImXjf0HiYWZFlalTeDsK/GvhlXLQQe
MCUkuRJBQ66aE29SS438gEXCQqv4OArMWT6AgRVEi+xTIxQycfr4na72yRZdVtWRXeMckOpayqSn
iQcCMCmZTC3ZFS7CHbzPfHqm9FuRgQ7EquH4XRN+ztvWXmpNcAb8bJ+JlvpbFdrfe0d/+3ROulk/
TgWFL/40TglNxOvXZQLxinmn8nwVxOaiH/LGnyoWu9h5UWnViSxQqd4q1kmRBfuqNS3ETlC9VC4+
Db0tDm+/Uz/NFPLOvDidk5nCM7vSSWGHE/Ejl4xGHYLOo/xkAGgCB/hO61he3KsXmKMxLtnN0osn
W+uk6R+PJD4Zvef6NXm/EA/bfgX3qn/nDTh2gX86DJMoMwXVbybC1/c4xymWaXHv+Rl53yw1PfNc
15u95c6baXSNfRUZxFNp1n5y8JTh3HEiaytTr5dRicLYHvPryoDCl2T9tiicb8RdsD72ztlZBufz
oIbsU1l/Fnq/qsp4o5iKzcqVraHXfzDmuP+/7J3HbuxY2mVfpfHPWaA3g57QhVFICnnpTghZeh6a
Q/v0vSKzEsjMrvoLPehBA40c5r1XUog85zN7rx10mffUW9otZFgTYBRYO6IGWr9LsSZ6ZIlGLdum
1YaAypYSl8146NIa1mAGooz00h1hAZk/jBdrO4VP4FTJOx6nr7KBdJOq3cmt2Maw0gnd5RIf6nGc
lPnTlIsNJl8HYEkMW8AXy6KyQUvpTY34D5/xv3yOMSZcdH6QDLS/B5lkEJZnG8hx6FTVGq1LIBjk
EqBiib20lEeED+JKUzM7ttdM8Z2UJLgVyPRUHnVZffz3D/Hfphe/vd6cdY6F3sbGvHR5yP90zjpe
O0LcTNzQ6fnIjGG2/VoVRKl/eoBnh3nw20z+J0Hcv/yirF48tpUIS/4uYFGhdnI+8EWb9DzR2hAf
NhFT3nfXW96Tol4Wo58Wb//9T/ovTzIWoC6cFKSd7GT++qM2hLWZE3GK7ARGJgEc3qhJy91EJrWY
FHq8YfzlXDKLJ+HQ9pX5VT1Ze6Jzs//wKmuXk+HvLxlvF+ta1vMXb8lfv5NEWptgDOOFaT+bF+rm
FCSok31C6OpA7bI22NBnBl269EfoqktIy+dGuqPctBQkx4umVzBTWpa++L2Q/bdn7G90lb9/azyW
XH6owJi//u15KHOYkhw+bujVb4bTVbfVerPicrQYu7LfgSjtqe2ONLcDwPmNwMPr34gwk5WPUUGS
Q1imXE+aOvn09lCeWu8ND5pFQ5KRtmbQD/VDkLE92C3exr+G6D1wYGoZLp3nVFx37oyGq1belhwW
PlZh3y7fbRUHrLLydCzViW3z3puTxDeUFKqJyAtfgoQnETl7twA5wzhZ4wFcMzvb286Bna/UtY6t
ebhS1G4M5xp0YcUHnaZLEdprRy7clpYB1sa7vDT/AzfkX10SKPjQSP8m+LlExv75/bLYPDdj4riM
bABPG6NCiKSMdJk/0Rn2v58s/xfmx//vtSFcRP9+V3zzXucff50h/2Z9+b3l0K1/YKVCxwYAQiX0
9aJb/eeGWPsHunkHlQ7sCm5Xk9XAH/4yjbUymDRNZcKMecCkrfhjhKzoLv/PYxZ92V1wUZr/R7KK
vx4HVP/G5T+QNphk8GT93SjVsjzWwLEAncXOeDcs8teAmjCyS1eP//SpnH9/j/9HM9as2ho5/M//
IrfnL0cPX4thOnsO/WL1p0C2/3a/E28BaCgFuauyRWTFBERxVvnSBamiSiCbBDSjVc1DwMTGvlFJ
DY5ae5kfHLz97y2MxBuhMiHsxqw+uDXxL5PJSLrQ6xUqrv7tKba5b9vlJReecRzGQTnnoy5DONn6
uawS881YU5ccI4G9+LIpXCwvGqzpe+0plOEMGJ+5ouEZTdLXhLkZzPjW4IMxa+ZjMk+Yh5msu+wg
mezpdqjlGUm+/E6MBIIim/4PF3zvLvdMkkgJe6AGKI7VRFwszEiiOzen9oJ+7PEENWPztbrADC5t
agDlsTUwuOTdQ985axG2mEgwv66JQ0hwLVOg0uW2hAaRVnGmDyIsDVwC4ARJMwBAy5acqFotcupU
qdQHL7ONTHP3ooYSYPPaW2bVHVVP0TcZTwuA1/noLMCkX1e9Yu2dzUU6UdTB+rjtoTOcp1IbP6sl
RaCijLWJkk5tjPdh6bQlStXRPNAIFxmpB3JFgzNI5c0jFPluqxPxNdoiZ9W7Mphrk3wyw0kbJhkU
82r9IgzT9g5VW2NP9zKdz1ybIWEdrcxwXlfReIpPhhvR9tyWyxG0rp3GWm8ne/LOhqdBzBpriZ6x
+9GkJ8ME3akwesysR/WCwcuFrKipIG8JgZdHgr8Qf6cVXkN6oNrxjqKlNyXxwCtLnM/jSDZQXZoY
v/jC0GiJ/iBxheuCoS0F39EZW2b0CotddLRb3zxbtlglSW82oZ2qNXuQOtdBJUV2tH9cZr1UpBU7
ZMAQc7kEmpsZkPshhw++Biw1wWA04Ag0VjVLA7oJ42UoKLYCT8sdAKso8b5JqwUs0eeV/uW2JZll
njN4L9JwoDUQREv/ZxQQigIqcWXyWaN4x23OIdjUjgkwg1xg5qaVcnlyBcPlT7x/1a2pJh1DwMFd
uhjVECky/Sy0y5+W3ddW2uz5JycpRcSYubPDuazGPtR7s5tixJOrTO8GuOScCxxKazt8l71rZqFK
BNmbWSm4KC7pT0cgTuUWgWL2Ot8dbIrwTKm0Dmvn2GTHDpO02DM1q9/twihfQYOzOKgMMnpiJtp8
ODUxloBVyyElcTopVYiudr4kMGOc9M6wCveTZyI3D+2QqHy41VRyijiFm3JgLOtHnymZGUm91Ku4
QMyRR+V4Ab3y+NQ45FXlQS+ckosQpc7tppkr/eOFARGYxYLeF/EJg8d5TWdynnKw2bCzaTFl1avU
+6Yhnwsxjk9D06A4kaJEW8EJhmplcJR1Ih/FyoG3IR/2xaIO342tET2Ok2aMyIUe172sJ5ultzCt
LjIYJxZndVrmL8cY+oXehaxiGJtNglJVUZRzqnX5q7okY/rKJt/4WjRr/NQqWd33SVYbbKFNOjxH
mRCKtKqTaHCq6tSMSblTwRIA1Uc5XRdRt9rDOWnnzfaHFldjpFl1vu2BX6LGoDy+8Ofo98gxJDuj
NOo0p4pSzPZIpm27hGNSTGXUY+3KIrVexHirmuvG+1Iv0gFNnbADdA2MInGf5b2I9LnL6MSSyUHZ
IDarPXSGxkMxAfLW9p60BIz6otBfxwqbRzDr3sTg1cTxonRkvvs5RrP0tHasvnzHm1c72hpVLv6m
Ix141I0+/QRvPOu+TYaN67M9mq7KvJYJma7G/OrmcMj3WtlPICCI9r2sOhQY5ZiaB/dlQE1AeYsX
Bh/uBUmV8c0SVa5W03ND+DXJQKq2ymsCg+r0l1gwy367vdbUP93UbMuHSPSiDku96yydIFpt7u+B
mpvu3SAsZSMQBOgyk/tsQhQbrUR9zQ+eMqf5zdrkGgyD2UkgWTT1cImfthjlTCgNbODXNn2uUIzd
2K/FfMvnrCmk0ihsUn3VnlrHN/j3kz0zn3K8SrPV5EdaTMb52DL0NDF+CqVs673EUAE8bJCTQqSO
cKzViUVnKMiri7XB+loro7Z1YSqVhBNJdbrhafZUpvbEi5Nz8uys6wV2yIq1u287E4e5u+r6tm9W
S5g7dqDoDWdo0xwlMtE5/OCd5Mc011p7T+aU6ZwZ6led5c+64A7loh1fa1TsYqc2GPh2yVgg9AFJ
RfYaZS9rLWjZYwMHDZ6OeV8OvB37puxH56CQQqSBw15LrfgyZq3zXtbBlmrU9J6VVFhP+6743Cap
y0ckXJB219pZgIFbrQb+uTZXiv9lFk52agd+oTvMuHXypJb6NoVIuCe0kewfar77od8iYm9mNiCs
bKLMrfLsmvN3nr/lptZFiCSttu5mlrgnIBy5dTVv3TyFQ5kZOp+QvTT3pecp8phlif3ZambKcFAQ
phixxyXWTG5DNp6ZI+ofljan40+/Akh7Z51fj3QvVZeehF04+qFUm7pQfaF6cH9mjlGg1GuzdvaO
RwWYeAQZr1+tIDPTzTyq2/q1WCzeCCCDNguG8AZbG+UCVUqth9CIvYIzdbP2Y9XC/CnqAQOTQBMU
dMMw+F3FL3JNrHRvmctjodvN21x2HW8LmLgQAE8byQtRjZph+bGEWkWr5NjyeTqHmNCajTfZXSGW
L80t3JosRo+mk/kwWZy5SmtG0zR3B3xF1c4YTIxVdF0nXamRk01ie27KAj3ZqOlQL1jtB/rA/n+1
JCHGSLaU60Zb3F2vA2Gxc0KfGBjdOEV/Jw0LgEthdfeaNszxNDhf7VpO++wyAXTY+AU0gG3MQjSN
C7l8baMid7YOwH5MSnKsZjG+dKBdzt5SzkHhoCnobbN4beYseVuIlL6gfZl9oFtoaJgGZq+9jyCL
S05fKTKVCiZ/ivAvtgtrT2SGHgFkl2s41KPOA92qhur3Y2qDMPeqWHU25dNL7A8ek+G8mBpDUonU
rwBket0b4xwgA9CJWXKrPsqMcTuvoipDTr722NmdtdMsqXympnlyM3DdZKDUbEwN5TaxyRBvu648
Fs7aP0z2KHDJOGDBOcX6YucO2c/YmCOGMU9wTzZmQTubWzdyYVCrm9UzjKjEnxeAWfMwq/ctme8h
Alfn0PWXKLmsqR/aZFmvIWt11xLI2KGpLIqfWgV/tKZqnKkeC1ib8kkSMX5chyrnZjMJW2ccl580
qT8s0kuxtWSkaaWZFfDrzGMK8O61z9tjr8rHMiFhDsH38FGNbHIhV7OGpCZMOMAb6750mvFmsErr
xpwqGHMTWX/UwaFCDAAg916MOydX1+cqWbYuzjzzl0VB60+jvRyaxkip1tVKzmTj8gqHUnHt99FL
nLNxkY063mBd25te71ptfnaWvn5bJ4vnvxyNY7U4wNrrTnx1nj4xR5fiqBPufmiy6sHrmKJnc0O9
J5OsJ6NxbqLCAMtE1JWpgF3X7SfsibiGzDYT35po7CICJ9D/6IOeH4SpJ6E+Wsxu3XRWQXyX3uVI
N3LYaoocQ3ZTRL4SRCKRQLpjeEHBR+jBNi4M7bUoLYeOprJCpSwRK0pvYQZhzCp9/Tr+FF2GPfG3
xu3/d/b/RUf6px72f1OHXb9X72P+513ib3/h98besP5Bz0xLiy0B+iCclz8ae0P/B209dmOMABdV
34Uk+kdj76EoAy1MbhPje+yel3HAP7Vhiub8Q2O6DlCZv0RkK6O5P4Rx/2yv0dT922kaWTF/7e0t
FiYmwE3VgENzGTL8nWhaJ0VRbJzgvre4ELQSDoPtNDCQiJMyEc8ZCeCzz88wc/GZfbxUrnXg1R/O
uTfaZPvqxG/oPcHWMndjbJj9sdM4+pu01U6DpyGIsNM5SLeLwYjppjySvioObcuJaHtFwMV+1dvz
lWXX+rfurW80ujhn4RpuDTm+RRsIMSFdmXlr1aV9NqVKchJ9iq93aEf56i1mZTnPt0a/WKxbmu6g
eIQCppWkNS1bL57X6UrlAvJtTflRdO9lFCU5oWPE4FQ7rEDEKAQGGB2mEi0K52qLOMbPCsIJN69P
/Wlww7Xsk8eue1+JUiuXnCsTOxLod5uv32kPNImxZ4gbdmKU2Gr9iO14l7YNsXLbvk26vSygIvbr
HqFKGRAr60UInbhis+y2IUGkT4YtzHRWabl9bSrlE7JjAHloldBTaFX+kqlkJxtLMHOEipJUS7v9
RaSc9GtpA6M19G91GLI3IPYNbZe17lcL9HBNYlUwEo0AFwyv6pKgDPdwZM8pEtu6xK7dZOU9KbRX
ZPF99jCXr0raxkgZB3awHfns/ah+GpJeTlpfKISOODjv2vqR6NHQquOpHK89KUIM8fN7b83jDn56
eu9q/Q2CoWMrX5ryyB62pLUs04Bhc4HOUBxmqb3yRKF6cKcr3ZP3jd6c2pmtrTHp+q4a7fPWrN+9
4xWhMTQHj0TMvSWWj3Re96UsOzJYyuM8Zogat/qLHoob0Lol5OmqB/rHgqDDkpArSVCv8w+LJCa7
ZnPAfReD0WI3rG5GLMwRQSBJ94pjFYTysKcrJ2BOPtGJxW2hIqjHxl0dK9Ir9AbXI5qpPEbNft/b
VTw0JGQVRkdMYF6ilR5uhhltElOUz2TUPhthshheD0Y5cv9e4vm8KscKoFEryLYOKKHPhHZ/E8R1
ByIUDT+9uZPKJRJa/s0VCQpyAU27eoFF1iji+PzJNeVTWQw3aas+sHuNPbaKvkPELEi+rmJdZEQO
Tn2xdcfMbj6GMd8iZ0vt98nsP8xpep08CIrBUmi3Fz8dORCPHtp0wyV7iqqFtEcdg5T8StlKMsrn
pSdVk+Lt3KWMsInkQpGkjtq+SPXPS2l7zJSeDQnJnX4rWu58pTp2pfWuz0ZEmjDPjuZv68HbCIHN
z1t6BRE2cIYhBJvAFGaflN4lp+fLXq0jKVO7djyiSdsgG06LlYYjQ05efuLYucntuj40/Y4pR1Bv
fSj6JF6X/pdm8MzMLn78mndhrqYQddqpqV6M4UEsTtgDES9MAtJzvnde+aCELg4sklLBaV8m1/7K
Khh7rFcclT9kE4XVkWKlGuBShdP+mrEasmbqG6HQQFPlXab9pMl1PqEiI2xtyCLrvauuynqcetKb
+ZjW3Pq0Cnh/eWxy6hSX/AcoLgcvWdTsFyl2NqN9d3XK5k61B7O5dbS27t5Em4OwznIzydH8E2yH
KcGpW2efrPpKPJ5kgni1gaOhUZ/1VA/ZIOmUL1OW8U3J1Pjo29q9VT367FBTlOlOEhJKJWeZ7WEp
mJz5xsa+KJDFAqLIJTIv22WdiXq2rBadwYba9ruhM+zPVE1Bb/RNsRkR86eJ07nYEGxiHE871lBk
AdtwFMlVD+zUKCiC0ZPVkRyVqog37hsrHPRxwUHBDs3zG2nQRZtGJc6bbjnQjnp3l1Vm+laTapWs
FS88YgbI7LStNu6F66Sny+QttxBtvVaI996HTbtpCgZV4JauBUjER5EYadCKpNB9014ffoNkYJWS
b4KkpxAl8bPh1QXpuuOXZ5rtXrZLfavJiVeHPqK3aK29Zd/o/VGpYSd0W7wyVJZLeSWt+drMmXZi
vq7tllQmDtFp2E9FEaXlxAcvzrNxWRp7u9Lg965ogdImdcRJu+7T7UhgB4Ffadw4Sn09UXuFZSsf
8zynYJwSuKJ55CWtc5oRBvrj8L2Z1d5xawx9dravc2c/96PfsSgMlyKXrIjLGACs3xmY9iplltEM
n/ao4NNL+nlnjJP1y3FTw9cXlCiLZVOD8xYd7HR8thke9hOxt2Z+HMispYFL0NHwShJod0/c6bXb
pjGRRg8JUiO/dVzjMV2z+rSsixHoKrCAdLmrhFIfmCdc0f1IPyc7D4lIAjdoTuj6+90oRjBw6/Cd
VNUPy1HNRy2Z77NpbUONuKe9kaJzG8iz6iu81Qvh1+3Cu7fNVeQyrjrP9RprU/3Tkz9jpnJHzH1Y
9uqNm70Z5jrEqWDXObRnZEhArAjTNoh5yYvdmN6iBJ6iyfWgcy+ntt3u7QoPF/XFFPZ9zaVjT4Fs
y13VbntH7X/UVZ4do65uyXskmtTcdoPWuxHU2tNkjTcONqmgLz0QG5cx9aNnLu/JfEuUYkYWpOLt
5lqLM2Cr3nZibhiODU4eyiWuUnf6EpZ8NosiD1pGJQe5AHhVanS/2WLExLwDyFy7J+ksxy2btptE
qfdgaNOTbayxletnaYFWabx68pWlPrO8YPlrFo9b9g6wOKrzMZ62+eAksxauKuvItj0mS/EGRB1A
Kwxh0ov8pMMwrpEt5wpzvYz7+V7yexLSOI93tsO5vKj1nkxlusHW9q6UMvtxDKhdpvJRMYB1BQ9S
S7L6chmirIH0MIj1JKcdAP6UuzJfn1u9AzKYEq2t7VOnfkuT/roV2b5LeEEuIwml+S7oMJiqRdVE
LWbyVXNRvrCR2NsW72LS3BLlzGuopm7skltyMKxlZ3Rivw5LzGTjQ5Z0MPkZxU6W82wxdldQipIa
yJXxOCztCfc69c3TZCZRgnRbzi+dMezV1a6ex1blFrz1NtXb1VIcukTZ6zqLA3boRj0EWCZe1O59
qum8y4yr/ySwun+TIobDUQ9+I7jQS1eJtxtz5Qn4aBKlzF92TenWz+3svWizWj3wTrp0+txyIp2u
haXu0sr+YXYdqZKSBlQEpy8jOq7KJWiy/j4n3Jc5gJURvte+KJ3bBxaGZHedmx0DtIQaumHjzlHI
2ISKL/EH5aYuSDL3ftlppJdXQ35X51ZUXLrQAbNlINgMn+dWvFhufjOSPBFa0tzxqDl+mulqkCfj
1SS5MlTxvpjtVSvdGw+I3aHLW+ZfRb8vHdA/jAQsxMHIiauo6knqK4btdc6nhpv2V1t5pO91Whp5
8xSNzi4duMgn9cYEFBE4bCf3YPuTp2LGppjviQ173Wr7rtJIy2Jg9+Z1H6w8wlHP9vglZcTK6s5p
8zlkEsLJMEy+Sm4aSYPjEBd24oQwa8l8XJm78/yszHKFfYO3ZkfA1RDmlkqoclv3T4K4M4cBqLl9
ti7uTU6vdTohMYPB3C1b7Eod9aCulNdDMyNhb83HvueK0VrrLOp1edv0YfvJc/7NkehH8iOvC56h
qB/PnpyftrWjsvaOztYdKgvwRqH3Qa+VwdoRo72mJ6Ny4gk+Qt/MoQW2mxWaZJXvKHfbaoNRrLOJ
SLLtsdapsJT1qoP6EDVJPwbkpQdJrr0oiX3VO8neqKdDL/uwcpWKPY13Qqh+KnLPz7ziBlLyy1gv
nzgabzDmeqP1kSBh53J57RbUy7UbJSPaBpfraU56+9HSGmW/AeTzB7M6QODe2xK9TrFd60WKQ3Oa
+TmIuc/HJpos9QG18i2RfvGSNOGGI9lfaFx9Bur9vnWZsQ70d0F6AeFahG+6yi4zzZClz+dUC3tP
94BDAr9vZ6f7YSiC1hRzMJHv6g9sw8Ailetec5cnQx1p5moXS4EsHz0u2awuGeAlB2MenygEjyNu
hBhVFQThbj0STEdN8ILO2wvUzNJvm8H8tHLlOHN+JU394TUOC9AqAbOdR9K641p5tPhLTM5wQhi6
9EkDMn3FImQRPfuxXcaX0lACOx9vtlYrAqvXfuY+/04XNR7T4pn4M9g9TFsaLX81h+XaZG8jUm+/
8mthxYjynYrjV+LEeU9PYFLeigLQ0KRGstK1oKC5i6qqeenwNz8X6yhPuLX2JoPnoKsu6D31dsu5
kXN8ziR80ROylHhhgfyrqUwNIl5+Q+LEe7flUd/UT1m3rExlPYLatK9ReoR/dM5xmG47HRS00+87
7AGBqnTh3Jpn18n6h85s4qKHT7bpVKet095VnRsjSe18I59/0q3nR0x0wRGxlb5kVeGrOGQjb5yi
btHfVcKaGKobX0lmI46xLjO5pd4r5IPHvVWGRiJjjFWw2F2aD8OZLhFpA1Wi+W46DeeI59LhW+uD
uxkfaS8eae81E2eIMxEp6cVyHOO6Yi87lE5sivR+HtvYSvR7ZsrRpDuRNReRGI0v3MB7d14eAH68
thTuFaDucaBHaqqgc6/g7sRsnZ4ScSIf8g5FQYelB6HMNO17U15KHHRhH+NW7XIyixG4XPesZXy5
2cWvkvi2CA7iInwl6+7Rdo10CufR8bLPNMsRO+l5lX2nTFuvCxNWqa+KRjvwRCkikiwkXjoKErZx
s3HIpsSL1hzvwKDp7VnVNvVE7DJxxoDcWYrn40vd4FexTFc9VI5NQu9K85xs23VXU+KaBK4GgyVE
TD2f0VHzAOd6qoW2AyNm2xAnWq0as4b5SMwMZDaBgtoBCjzUfKtb9h3unF0/XaIes+ZJU3qFhi7V
Pyo0fC8D6BfgKfVExCLy3CZpXZ9YieFglqM408Jqdwnrn32S2NY+6aaMz77ujDjLXOPJyBprDpSM
4HlfSVf93tqSwuLrC9ochUHTY8JVdmwbB5A8+dOsGFKdY76ayE5IWKVxadilOHG1lN3OKbYqnC9j
jqGU43XWZtptYyfzscaMX8fqXK5fCFqcgN3HcuAEEod0yNbDBLTyuEmG/L00AzH0KQODXI9XbOIk
YDnLS+lt9cEq9eV1AApK3sMkuAD4Ni/WjPknoZ4Kc89ydo0xYbTO5+WW7OcVsoxH0ws3NEJWgKd3
wKpywe/QBQl+MnEqi/SSf91uO9JUl8DpARArPA/v6TjYOxzo5QcHOUZBJCjdNql7V3XlEnJTLd9Y
RdtXOU2WB//UNh5nNgDBwrz9ZBiL2vqCDIA9uRP5Xu1MPWTlyjvEXh+lCZBM8PX0v1396HIf1n6W
F0nMptW6rhvSKdWU5OxRYxweTc7EqvEyXwQ6AMP0gSEMS81ys25sXTofi14Xj5hV+LzQVhY7pHFK
jJwneZxmNJyiaI1TjW4zJFXgqlRyFuabrTYEtZn8M7Mq5J1j4v9OrWx8y5ApcaZKud05eUdD4s51
9ZHmqGix8AgoQlS3cBolO99iNfadudDE1lZufRHjO61+3hlo+5MEJ05n5f1Vj6nsaCmiOBWUR6+y
nNdDAVLiSsnztMfM7uFRFbqeHA2+KlHnYNrjSvQW5Tp7SyTTJXwGnHp+ojqHHP68TLaD5dl3qJMK
1Bre/TKKdx0sLyylIxmm6S7TCES1AUKQ5VAObn2QCYoDfx1GJgDCEa4bVLW1XrUo7SSCP25/n/AI
oqCzxtu5OXs9Gvnp0SZYPOxRj+a+Q1/fhLZ0LHqPJok9yY6FlXW7A7jhGGFhO8m9mJtsp/KprNY6
AYCR465MZFqFYznS7KSzkuxItC3i3m01XExZNfiuM7+7UrxMk6edFXUxqQOaq8qYr1syQEnkrVAz
el5xp22bc0009r0w67h2m7t1GaadNDY57kXXTemun0fnenFkh7+tGsaHtGl/lQ3BQH4yZ/JQ58Vg
Boa+sksmMjS/6gBYVZG87BEIweh37WJ+WIlcZ6ZE7nKdWo23+GtV2ycqZC1qVpYS5EDoxKPnaEaO
WstOaRQy2dk9izSsl037VekbM090Lim/0QWJxtj0d0g2JAMseimKkXF6y9p6xceG85fTDzcnCsyl
S8JcU00k9E3/pAxdS/w6/+4xSfsiyhWnOm0oZ/d4Xg8SrAtabHW8nvXWjQxt0h8Nc7uUHps7HWZT
g7pl4BE7AtljSVOU7XBN2AZ0fvLOTnqb6KxrJs2LSYmhKrW0TWOoIuWBoUyU17SBzaiSGz2qu96Z
xg+tG/NwmOmGC9tufdmJyLOnWMlY13fzSYz6fK8TeQBk0lCXT6dCu2xV1CE0zCWZvWRKZEHBJX6g
veq+rXzI4s0dCnJQp7QPMHxk12RLL1ebPTAuIaUAnk/LMu9or+KMTaWl+MEWeAcxVf+V0oN5PsvN
BhzIYvK2FemVAbKA5OZ+utWd9Nkcu6dSDAwWke1okyaDBpFr2G0Cyx4NPeMOsk1seJ1Cw3TjGA9S
323kMqHgUsSJADJsDE51/M3vZuj5L0NTsv1c9W92XZxR6zxOifbDMYJ6g9Bgt6APV26m3iF9eBVM
a8BPd+rwygiMP7ImrxJDZ2RXLluxouBZEm6oChsiWIP6bnyxKrTnyZzUp85504X5wCRJ2yV9Z/ok
JZ8B8K6+OosdITZQm4Syz2frmQT4LGQJLu+YM53zZolzZquF+mhsmnMSVvmxXDTsaHcILrfM7jQ2
SnenKAzTBwsKyLbyi8TC2rJAnnauoviaw7wuW/Hvkcf7KyHsiLg00w7mbXKe8t6O0GEH5ag+4gJh
5e66t6S6ozzy6s/K1G9UU7REPTQjzj8RmATHxa2lik/8unHLqYwEr7pVy2mIsg7QBwqe2ZkfKtuU
u01t2vsJWn2km8upK/WXZjM+B2m/y+JpSJxATUSUb5Oxq5wXAUUyJj2GmZNkk46ReA01633zbD7E
3HmaVe96vURL48jkriUmCCC536kaw5QCLT27UMFsDP78eWLKNw3tfmnbiB81tjgRErYvtVRj+ubn
ZYUp4tQm2vCuOILwqX0iCGsGrua900FQwZf6OI/jbeKNGXJ5Bl6bsctV+gXUE2qUr9V3NpBm70rn
flK7Yl9Sp52YN+yFm+bXpUaRBwUUy2eTnA3MXb7m9d8GFo79JkRzZkB8j7YBgtVEr5zM1oNt4fto
GW53ueNFUtXokuc9Ox3zdRQTXUH7XNngBxjThxJ8zJwX867KWhlyMxXqLcgh5cnQ3eYws5Ovd4at
vDE5uBobZtWgAZ5dfUSjuSx7dRruOtzj7TiijklmSjRR/wxpwXhL/cFW+uJ2hAEJY0h54sl5z1Mr
32FhKGMmKk9zztRcTbu7VG3LI+Pn7ZrQY/LCZ3JCzAsQz7GdEVm9cRLr8stmr+ylGp8c0zDUSuKR
abziD7V6TOxc7vrFJKocAcw1aMficJExCXPoHNgylrgWo22EXmmH2+DuVCNRQ1Xr+OSSQEzQevic
LWY5y+uKo//CrT6V46ZfKwO6tlJx57tlRJUgVbpY6MDxugkzojMgLw+WIT/h5nLn/i/qzmM5bmzr
0u/Sc9yAN4OeIJFI7+knCFIU4b3H0/8fdDs6RKpajBp2VMWtW6JKmYkEztln77W+Ne3h5Vy8IjSX
IIDuDLk07VnI9dJqQb8We1E/KplPfIxl4a7XIyGyO4DhtslkbTE072ZVa5tJiOvbOHXxMxv5sMvz
4G0SvPBZnXzz6NXeOmu5XXxB53hSzuORiEiWotxyKvLK2FuGHqAZCTM+UVEKz4RZj3vdigUXlJ0D
R23vteTPT8USnfPrUNKwo+0h0JJiMGYp46HRJAQP/U+ZdblM4qeAOUzOeGjREewz0cVhRfMWiZyL
yyBotYOs85wWg7Ss1fhdjgI3G/nUlHm20XsuuPP7smr0TSLh05RoVEuxsuwFgS+J+GeBc5yn3IcC
CO0WVAr96OYjqsunKbaCvWVEzuhjo09xGDRUGLbiT9FKRvfWqNE2K8UNGmy62izRASfcUJrIzy6F
aolAtCfHyLyfeuVHZ4Q7IYq2UmSsoyReWaiQjRjFcF6vgz61tdgr96Hgl8deJAMClQHDHJml2hK9
CTDmNOJp9kEPoFimXcSHpHeVF/uynTZybSZUra22lqx9RnrVWi2SeItBEylqoRK7U8R3o5c+Cgr6
oMLi404nVJ85S/tcIQRPeJectk1QLacVpX4v3sIovEd/Ag2BrAe1nDbj4O28TDpolb6KGGLZTP12
odpv2RhRMYYkus5zTbfRlMKJVI4icwBDFCt0HEVrl0jgTORJe6ynhjun702IU5q0ZRxyJ1jEiLUF
SnKhfPaYbjtoXNVDzCdxc70gdi3VAVRp1G3KQx491/1HWTPsELj1A2mCTjaF2s/G118qFIiVoaKm
ViQGWBkNX1Wx7nNNSbdawQMr+0elm+7yMHwl1eNZHBgrwHFYtjVJSP6x7BK+1lIf7SkJVDfyTewt
nDAtSSBbqsXPRnlG2eBLy5yX1Wrp0pURuXdcB5isrue3Ni2qRSmKu8ZX03XRsDpMJq2GOBc5QJBW
hiBrqUkuLHp4FtPaSoFTEyiKGFP0yKOL22M6pJKTaBKTrnDYDoqiroJUNe8NtLFsc1KAmsSoT6qu
/GiZdnS1sJpHnB10qgUQucCBv5I5dTGR455fomiPxHmZkuSG5lnlAJPkdyVXYT/FEgu4pN9JMe8P
ReEymMTKiaWGcdpDzn2ndeKHLv6Iuqp/a5gfupoR8+JnURcMu84960jmxaXSSF82lBMMk4CRSPoQ
y4ByVWui4u5uArXGmjTYGYj2WnF/RXZi9Q8KDdmoNGlSN/qF7JP1hE6V37aip8pQI1CZkLO1D6zj
onQV9XCBQCO2CSm+B2md22GvfOiTi+OauB21BJ2cBf6TXEVunxDVUMs+GneGjcMgbUt/unqUIKoY
MHdmROKnHz5JmHS0yRLDZLbSWspWtppTySJvFNkKQ4dTtpC9LQBwWeTt/D7dEdDH8XPSW8eIoRNk
ysYq2Ktj7Nk/2FB8tN5q4WZCvcpDuut1jtPQkkv6M4zxRC/NTjxasdPm05Wz0ELXGcp5+aQ6TaUS
M4NOFDR7f0cHmHZXW6y9gGGw9E7hv04DhHYFZ/vISN79uj/oSfVIYCyPnmKBfTszEVp03MmxxIKc
w7MjFHufURSmj0nfbvBBa/SK6KnpbfiA1NxVptF3wkbyrmZc/OiV5FrjlzRFXUQK2NB8DHcWqWeR
5D+RKuktCqn4SGEuc8TwV2CHQHyI4TwqG2n6a/5oy114SAPprY31/CC3JOZJGDOBkrSIx9EydITs
AdB50cW0egynplv1As0/g6aQQ824bka8XGq8zIKSFp0GDnQWaFXRxPw13qrpO9C6Y0NiuUXgUdYN
d6grISP3t5xE80puPuh1Ms9EQb/Ac37fm1H40nbZeeSwShSzLRbdMu4EjkNmuTObZidDAMmmZ1+c
FoWZoh2QbII0IS6igwzUFdGTy1kZI3Mvekq1GiSad7kxsjrXpqsk/SZpWJOUEW91Fx4bpMxp1/Ev
ZnOsUVXmhAIiVzgxHthAGXeHXPkhlKz7ftUcsk7czxFtVinQTrt0ck2diaQj89uTkpX4gx/SFpY9
gz9LvWUwe5pRRLc6lwJq7y3YszkBio6ZsSOawpNQpsyVpW5XGz3qn3ElKQOVUr2Pcs9llyXLrK03
kiwvhG4tmilFJPdeaK6aMfgxAh9tsMyLOVnOXD7siHbiG3c1vfw4Jz+xVTVXLdjSrfgq1+VjMJaL
JvYx85t2h3PNYYMMPhSfVRau4mLQ4w1nfLtKkYVPSJr8xt9U+niopZAnS+7tMvYfRaHbxhKtlfRC
udm7EVPiAeiJnUavGjwnXxXuGuA6YucvC4/R7sS5AbNjXUmMDeQd5pxNQVqCMwkKXdy0oc2uualc
pU5ek7Sjdej8cZuQCYjLYVpJXr1Nibr1kNjDpXrVEvWxM0YEmlriDPT29WzXVeUa/oE9aWVwEeoM
wFsAzWiJXpU+fVSMP2WPo5M3qh9DANd24kJpkPGs+DZpWytrnDGRb2HWHXuGJizsFScq6CuDFTbL
KI6RReQrRo0Bp3OBc7TJnQ0AxVpmZXxUknK6rylPWSADGq60U1RfBUKVLc0WpCVcnR81hVNYxTcr
mW5m3a/D1mROnlqHaDLLfSm20RFJ0nTKu2E3yBOljvf+m6ruH5xh0mfk/i+hGgnGc59UsWScnLNn
9zcjcGF16PUzbg0P5fppjD29XKlZi9PfqJLHcuhppIbZaOyHruioAEnBkZdgCtPkvybG/6do7ksG
AWq+WXkHpgLYB8Y3ErM/v5OQTEkcV+Dlke/VrxbaUrz89AQTO0mz+FqmgvBO2968S1rCQ0yEly6D
y7pxhEmPf/66LP9Kd/n/m1dyJtr9xSv5X2QLJOo6eE2ST8rK+T/8r7KSWJj/WGCUERzrEFl+RcT8
H8ukLv5nTqOA2wJdzxB/Z7So/yGVGqKeCcUfQ9+M6vu/0D0ouzgbCSaTYfnpiD6/6Cj/pqv8YmKc
U0hk6RekAE0ySIov/umeOM+0F8P0Wg1ihXGXSZFo3roeSFjAueMb7sR85+fJSKTp5v1//y9SCXk1
GomWrug0NzGCfr4f9QhCJdCm9GqENaiUizz5p16Z/V3NISf41kabGq5/+0r+4XH8h9dURRmGPpdY
4xmYf/7b05gSFy8zlYyv3WicQBzl66EZVkUdsm7mxipkWB1a0je+9H+4rChVsaLiOJIxxH65rJ3e
IcuSkuRKRT+tu8ZEYoH3TTB3SahL3z3m2ucVh+uK+5/AR15wvq4APT5/Rt1QMjNKRP1qnTRgaZqD
/NqM38nYBs9r19F7CCYly55a/yahGGyPZsMmutbQNXh06R25WUzSqzXZAHTa4N303838fmAba7F2
bZruQ1E3ZrRsG6cJ3CS6U+uTHuwwnJXaEtAEyVVVik7/ecL+ip7WHqqFfNdWmzpw1H10yYMlg7ox
v1O7W5Adk+A0Gc+6sJqKlWmuPO2qGE4hX0T1aqK7rAFllTI6r+LSiMIqDpzWWIcrwHaCT2VvGgvl
ajKLXRlbpYBklVJznKyH6VUPKJOaxZBsOYg/xm9YOGLhPGk/EtRNIQcZitkSRRQuITX9aYrPo3nT
zNcS2O3YwVouLnL5VpJHW1MWFzIGxpdG85C52H7r1goTHuxHRPoq5ZM3XZhB0wAVKQlpBvOJySAa
nwCG2ZLyKIS7atjqdLIS9ldL2olodWO7PmNdohqfhwWUh77lci/4BVnJO9UDgv6Mp11HPSA4Yb4x
sm/uyS/70n/vEnAnCLnRUVPJfEHykMRe+Wlv6dc+TMu5uOasVY8eCh014Ebw6GHVoQLDscTuJ5R3
eUPH7O8P4x/PBQ8D40FiQqR5dPF1axwxTcbxqKvXxnxtRrxBKA0mjt/4T4HUyM6/fzXGeyxrFscR
6Rc95LdHXwNkyFGi0q9Ja917TPLoFtNfz7poP1RB882r/bHQANwimMrkFedNdxbj/77QeL2Bp0MZ
krtBxjijDIxMG+PeKLxNw9FIt8J7Mrm+5f6isP+8pPKq8NoVDPdsMIyPP7/q6PngkmIjvsNO9dwY
a8LNzXsLoJsdmjEmSfQxdhXow7KO+zWHUe7lIrgL0+5CWIk5412UDVlFOcFMnaMP0fXvX4GBb+Dz
+wMUgDde5o6bwWJfY9jCGXYXy751y4qD0a74tqFwNuZak/HzoBfA1rIeSSh2h43YU8bS2iDvfin8
RHEIFwvxWAfb9dasI2ERuemh2nFc3WhbAzGFjbc3KBfWQW/5jAt+Y1XREsB045CSJeHJs8kjF7bw
Nuj10ju2hXdhX2/ztYYS9Vi/+bdgK++ql2Tru8HKW5aQQRgycMikJeh4V+3571fj10L8aQP8dTUM
WG3MaOhLfLlHEESb2ljG1s2878eF8gPWJ922nEegsudT1Iexy++TxpbPyY4LQY+aHmhRuaXFjMqu
HtBECnDRb8Wh30U/8zc+By0wHJl/f5/WHxvKl/c533W/PTmVL/aMCwLrFm2KvTorlxfBpnIZxK6F
NTbH8gO5jfIUHyfXu3RPTMj347Zd4uL0jrG8ImTQOwQba+17C/kK4GRGwLphvmYUnqNjLx2GHgWE
xXgfqQskNw0HVoDxTDDxk9Jg1DCt2fEyIL5ubey8TX+WLsN1FGx6IAXZ2hgjNRtEY9muEh258Ell
7KS5tXew8vPovYr58y9l20JBz/uUHD07d9V1sYouxSE/yfEiv1WHaCW431y3eV//+v1q8IjmgBDL
UOeK7vfrBgbdSr2gM2/hg7iVTtJmOkX7+pge4TOshUf1gQz6S4tpnWY2oKvBJsV2qmmLuEhzo2bR
v6QDgmVg+It62FT9uapWibDIJJjI+CPwaa9abBEh4mUk0aQAOQyjwtYZsclpC6+wW/ib6pIUUA62
O2Qw2Qv7jmFC59+WBQ+dm7yUN2HbbszH6EV/lA7dMXWFMxsPDoHoAlg1xUXH4nFraeOpN6vbBJrD
84DiUVFRyblz3ODkWN0yiZEP2rBxo2+ydpSZnPHnVaRqMbiWmvHr7vzt7hsjapw5u/nmHbxD+NBu
Ua/c02Bxkj32SnFYCkzAczdA1Z0tLLqLB33TumSl78JV6ViXfDMsCSNwaebIj/MQ8JB/U1QSF/Pl
PWpQ02QWe0p34qU10mA+fdNoxwbMP+V4ScxVmK5yacs406xcnecRAzbr/y4u0EVay9Tf+P62CBHV
XPTuEmUb0drq/a4unlXrHhVSXS8N/4CMUISb4a0R5ZboBF0wFjj1mo/xFHiOAD75kiFqQP0PGfgd
/YP16p+LD1lftvm9Pz6Z1QmiBT9XmMVCciNJt1+YLbg7GPhMSIGAOqF8m3KnLp2x3+bREdog4AIv
ZLDkhv66YVSvcIElHjtLOSVgkMV7I8X+HB2n+FCUqyCaF1mqvzCiF5nhIgoXiJEcObvXlaNlOTyY
XfuTN182K0NcRlcTu9Jbjcxav+H4jmQ3JyBAWOnjGywGW89oQNQOjQW7NBQoB9QhtF2QmNmItGwV
sLZZUQnSkwA1xhoJ/ohbFC+QLdIabkzGlo7O4KrHgFsZ+3S4GsG5aw+AoF2wjKFxJxMHlUZcrf5f
ljJzLBYFPo+6opkcob486l4q1/o0BeI1U2nY90O0weakLEtPrhn/G9/sHF8LJ+g4Mmk8dBVmliYR
U59vN8zbwH7DuLrScX+H7Qt6I6YvLpIay3Ypf4cq/PoEzjAeS6PTNB8PDU2cf/7bE9iEGD7wA/q3
SAex0Url5KCe+QEJZ67zt0Gkotg1NlnXKXu/LJ249x1mX9Wc/rGtcsX75mJ/DeNmugXkDRILb8qa
6fAcr39/Q0IfqcxjB/Eqmd5j1QeaS+EI5UvfI35L7MD3UJGwqQrphTHaMSyNC5rOlNOIeDFGNfmX
B1neDmUNIZJUXQaH8bnq+e36sDYBERQJyJ59DYg2MLL3ja2XpQuKS3BorJOtSS38zb48Lyq/L4xQ
9iGzUj6ga4V6Zn055w2h0hhm3orXNqRnJsa1uOgkv14wWla+OVR+rWbxmlGkUKUYsJ4gKX25vQU/
UQM/T9trUxLEmHvLhthzmNFBwMnyRcEBzBxE/Wb/pFT+4xPqPFf8xefkZX9tDb9d2KGSC6UqCvka
M2w2F2m0CdR31BOMh46wv9Vo3TJT8V8zrAcKKLNoYlHAfiEeNKLxivxZK+/U5uoVD5l4HoZdNtzG
4mGs30qCQ4LhFiT7vnkL9Z3a7KmW42wXT2tzXGflYcQAiXpCxf4ccIiDPkBi8VMK9SAlj2tjlOtY
zln8OOGZp6lCyLCGNzQUaMx46s9Ze9D0dSo+z5a+UhWO5bRWx0MsfDCpWOAnWtQyIibBNdh61Sfd
v7bW1cgfSoOT0NrgjZgnMoNl5QcxWtq4zIdj7RMxv2aP64xLIm4sbUfrVso+GLlSDzAwPtEepR5y
hGQl4gOaPYBM5oSlJZD2fi9PRzm4csI2sPDzmUKuorCV1Z8e9sfuVcqPmXIJy7uE463ebCNpFfSF
0yFt41rNSXqVYwj7EBM3fq1lZXqOoh3G3G1/BLlAssirhNQ10F7qIFxg+i70VUIaL5Tz+pKNHHbI
d17khK3McpAN52fduOvau4DfGsaIkZUbM8XBRMzsSspSVphuA3zg4Dyv1TXpIRGZCdu/F2h/7NqU
ZdA7CN3FCEw/9MuuXYZZ7xuap16B8SYc2PFbFoXZ2BmJoyAbhGoBAsT45qn9o5rWNIMYOoMmK4MB
EuS+vGowgfceMlG5Tvp71jEon9B4LUUAFWZO9MEH5gkxttWBzdS/KMiSla2X0Y4/qOVDk7osKPXw
LJhuYhzIuJTTY4iNJ9YuJkcB7TJKLx5xD6qNgxhYQFVtMSv5tHb07RidEanPiQl2OG7L3IVG2m1l
Yw97V7mnqpvOHg4p62J1s0bVhpOi+W6nuJj6RWFRm9uJiJ5C3Gbidqh/+hljJxTky/zd01cQ6fmJ
deniw3HC+tGfgugpZ4qmJRXpC2Q0tftJvRRGbhvVg6Fs/W4RVqcEgxEI/fAbhCyu8z+WDoONGO0o
h2GTjt+XM4uJ2s4fM0W+hso2DucTVbdPNtrZW5IC9MFAPj9A46qeAO1K7QI7Jg6LCOZX513EaTsg
A3ThNi0G41AE+0R9m//FRzwakpWkgzVzCKTAmCYrYJEAPbjCbTzmE6bZQ5AdTjm9tnghoqgg3QTZ
Mj7U8eeAGSpWnhBS2UbOP/b5sEmlwiXJ3kperPB1jA4QsHQLqNpqDIlwW8rDWngrzlJ9MASHmBy/
czL9gXFd13bwjbHDja++elGKjoPSAVOYoJ8KBYE7gmvY8mnPglCdxvHVbPcWCj4USwJ2X7HdE/hT
LrzmKgr07JA2tFs88XY5OL4Gk9tBthAodurfoSjGp/Em4XuJCB/UqjvRQprVkj9g3VosxGwDFYoS
yBqc4ZkPEyAdD+BrnfFB2rfyoVRWTLB0bDfhtXrtHV86oxUvptY2hQNCMQhmJ807elGPCn6lVe8K
a1vARHRYh0QfIo/aZ9W51h4k31vHPsfx4oRr5VWLmVm1b/mg7dsm3MAYQSJR2sXwFiFENX6KaOLK
tLDrKXClfJVVSDihhDU/JNy8OKOiOQcCMlgACXQ1TvJSr1gzY0go6l2KQW3cDLFDVIZTt+3ZZ2SW
6m9F8q4pd7JddY4wrLQYnxU18zqCqIlCvabMd3PTvufLXGUvD/KbULjBtEo9RPJOdBXuW9GR3v3I
NTm8lCg1lxaMNDhUwyEO0MjY3aU5DrAwBrfjKXfYaJJVsBkj1zNWOZLdPF0CRhlxuN038Y62qjvP
uZbMcQYGd/5GdPZFsuqRwS0ynvr6AKUrMFx9bTn1kvUheIb2l7/4O8vNj/GrcMbtkkp2dx2W7aZf
M0GtTy29VBLt6LtcgxfM5INgi+sShQvvjhwv3AHhpthFj/hhvMV4qVRHfcy+OfNJfxa4BlmBOr1J
0YCg9DXON6eWT0nClK9RFREtERaoZUri6FQ2Ll1RQ6eVLMabmcwDSl/LT+DB5MhmdBo7YakfA1W6
rwVjX4vxN3vGH7Uw/UMTc5hqSb/I3V9KT6usUgz67XCNAuwRIF0hFmZd+G8rSj46uHSCm3XV0EFx
fK4oFYiMpRmN4jUKqSoKrX0QA/Gsih2H/Om1Eacz2NNv1kwC57+umfQqaVriV5ivPDOEL6+qGwJS
1lG6EoYSEudiOKm4phEFiy313TIjVg5R+VKX8B8fIwxV3KfEb7DG0oUvNuZPKXTeWH6KZm5ZtMnO
kK4YsBaD8GyQvTd0x1BjzdiNwc8ZldD/lNIno96JyVvXnsvonEcPWfcxYa1U6GItJCzECNqY+KMX
xxuhLag5JbrwNpQi7oFfwjXEoAsL/ACVVEQe+QYuFfB95I4JGpLQ7kNWXqJIHBwPJm1lV1uoa3lH
Q2NNIXKplxwmF/QLHVpXK8kdF+Wyc+ulfzQv3kv+4d3HH8VTvtScfMcchd/H1MgtlyhMn+PH9E16
xie0kV/Gi8A/tTNSA0QeJu4mTqG5w98ZUh3JjadrJ6xH/KLMeftLtjKVdZG+dfGPMT0M8k5Eed0d
xOjU9Bvm6GgV2GmKdafdonIv5k+pk5V7HvBJdkM0aPEOHIbgbxJG9gAV4tWA7AeFN46fbsH/dlfx
rnyOUS4/Y70x8oVBvxMosMoSaCeDbTyHb38vpTjo/nnz4LIWFXnugPx5GhkbkxNk0k7XgFCmcj3o
5JHsVdWVBherEUUlv67qDpQgRnCoS5Cq2OqLVTpAQ7viLjPe2vxIL96cDg2F9Wir0qoLcUMhs8Jl
jAjJpl/uY3i5Js/CEzCK/FgvKK7pEGBzu8HKw1+M9VI+ebfxCb1SPLpoSrSL+tQ9SB/BNXuAe6hc
/H2x5g1ty0PgAtJbWC8Jseu4xvbeqXWNJe9xkz0Ur9pDt8rdGEG6tohvLPcfGiLEOR7AJrYnlJy2
gKVoF+vgZKxRqotEYTnGWt/gUK2kO/2ku8U2eEE3mKg2isNN80EnkI0Tde+zdsADoh2Ug7aETLBM
V/FKdzCM73WbzWQhutWSEwyRQDRoeKCihfJCr0W8eXvvTsT1ybV7F9/ljb9CSKhEhFva5SHf9kdl
3a31d4iP3TJ35Tf5MdoBhNQuWKzVu7K3eeImhlvLaHLieNmPW40eqgSOcC0ys+reC+MydptRuQUY
iLRhbwVuVC/4WYi6nk0BjehVfM4e44P+jP205Ss5pPf48fjbKJb8XXmOjjg1dwdpgTau1hcI7cp8
0fNy/dqqd52wMzEe9yLduqd63AKmNljf37q1sSJwoJno2i/7YBUqTneJm4V0379rP7sD7jScyxV/
EtIhZpTxkg4S+pxKJw8dcK2LXb7WVnJzjJODaLqG6vCb83iREeL0M1DtrCQYDdEMcDtHBJavbT3L
qSKMBi4SQ0/ZSJJr5tugv4Dzq/y13n6oIfXUTWFE3K3DclWrh9wDmnXqOZpEy6Zx+MUWsjro7twh
t4ndEmJijEQZiwywV6YWjO+YRH5zivizBaITTC3JdJtklRJ3Zi196jloVWoaXjpd09bAXtjzhJNy
mthxx7wjiI1tE1+laq/LiLbypalBzoO/CYZERCYqKPE3O/YfGzZvh21D0ZkkMl/7OsqrlGrIkbhK
V+kJ5uy4FLWCCWvOWGMwv9mn/ptH8anxAf1JpjKYoyUxbH7tRpA3rcDxhZkwOOm63LbHYd8/yMvI
tZb9mUcDLO4kLdJg2w53Rbwg6EyiRXwvn1WSkmzzTJc86s5RvIjomBMEUHESdrEtY1KTwxW4fvPH
dD+K9kJ7TdOFotl6s8CyneQOvUzibvUzjs+0OSX1Ame5kc4bVBsthxxnlcu8RjxHH/ODfhqf226t
RHe+ehw7AjD5yXgudvJztfY36b5ZTlt/Fa6sa7wSls1uPKsOqIJD8cjvO7G8P2Sv/b44ym7PuqQc
VcUuo6PBLek5NZExWCMq9FCrJj5MzXmIDyn0nshRz0O0mCHG5bwcegrjr6VgXCS2HGmhGnw3i/4s
3M9r40E88/aBglKG34tn5mvik/IhsEYmO/rEhm97z9PkMIfhQMQao5+Vq+7oTr6QbM1FPO8Grmqz
3zqyO30QCivCk7/P3tABIlDm/cb3Pc+daZc/udDzUrOetvpTcCVrLLzL7zgKCdvZ7MsD2s0WQdt6
t84ACFQEbL3Nr9dvHYsWo6QZhm23H/kyO5Sn8Im2ydY8tltrrV+jnz77c7+t9smd9mPcyof4zVJo
HNvGmaYw/4TiG90rECIsR205QtuNtNOU+VGd9H3SXWpvZ9bH3nIEN84BW6/HAT3WpW3OoXoAPxtW
LtQwAdW85MILEzqWB5I8Vla9shRHIIMtXJEP2SO3w/8Pe+WFhrWOL4W8VcANEXeLHT8iApuVBcBJ
QE6ei5YEkPXYuvJ4ldFvg+/HUsvnzvZCe0iak9CgndQOVvhQ+Fukq8Y3fd1/eGaZVCBCUmTZ0EXx
iwLAbBUDT2AzXacpLU7EXCLoS8EYed2gLktoXP96jQC8K0mMSFRmJTy8n5cscm/BwPZCfPVoKC/g
rrFiVuU2F2OA4YL+XZP4jw4AzR1qDhmtmySyTnzpWVqYRLs2MONrVHuFM43pmyZn7VkxcG5AAcBk
42HlWfpBg/UN4YMRDEgUs4wtVWe7alJIVuxWkKGFVdOFUCmttsGRXP/4e+n09WvgytMNmrvrIlA7
Wf7SXS+HVoyaKA2vxQSwQqhablNdbxwOO4upl9vN319O+trLnV+PrC9mkrMMwvh1CvitqRoTPznB
jg2vZjj1u6Qc90PkmW5cBxAlwulHqXOiGiNoP6M5MWgJTMOlNZxhzUmqWfJJP9RQq9lG5q11S4AL
oUEFwnn6zR5n/XFlpFk/gYqCXYVro325MjUJ6eDnlemGHYfXg1zW2cmdcFJX2s1bmdt0mV+YlwY3
f5v/VB5Z6hmKhi9JDM6Cfi20cWCmZzV3gcnSrkkQQGAXoOESukLoIi+lJIG6Ks9wjZD9/9aq8DjX
1jWNdr60y7yFVu6o8kgKjyo7Gxk4ucDfu2mpmZ0dJPBq3JYkEctl9AlvS1CdMj1kMs3bi+Bde8p9
fJ7lkp4Ahci44//inwzf8uV4QeaOz6lDeYAiHrUClCqGKJRL1HLsR48Nqx8aKwMZ7SLAi0gRqC2K
/ptL/Ev08vtWiqzQNOZ7jzkCWTXqlzUARLpB+xWy/lRUewIQQCUYA6kiARtlIQyyzVP72mXsnwVU
H4xbJwAEHxGBhBuGIue/35pfn1giexSNfd3k1gZ0LX6paTgKBzANguwmy6HEFAdultp3pNb+kOSW
qvV+7PJ11JPl/vfXnf/czxeB11VJRuM2tkTr19HmtyciU4rU0uswu3WW4DYSoq5iQEc/Z/2mcgjI
xdDr5d9f8s9bm9EVhBIOTEw4filLfy/fBFVqagmDxC3K4R9Xxg5Es8chj2o+Asr4r19sfpBUniDg
nFzlzwvv4A9aWGga1zUqn8Igo8BWzJ+A8u9H7Ejf3FJfGyT88TQRkDZQDs7byrz8/HYxlVIRaW77
/c2bYlpuZNU6oszI5u8f6ddm8eU7I+LHQBMLngD12JcbN1KVoZZKDDPmgaYbrVcbhwMscpJaSTYA
/SQvTA694dpMzhpGdVxE1DsIWrP7FlBttouCq2CdimFXACbyVrmlLbTETbSlnDpFsySTDUa0Ut0V
tZP4DgHzg+BY6rqOnSYE/bFrCKXgoGjtfJWo1WWFN8lbWhojakf64DjJ1HqgVGpgzTnhXXonQeKF
6rVUoGwdqb34OaxiIEK5XcJrICeU6pPEzWYBkmBKjrmybML1kB4jw+1/HeKJiTUJSEB6U7qlsvSN
VbRrMGJ4q7hfdQcsgt9c5D92CvYI/lIQH6MFQ6n3+atURRBzYSK2NzGeFpbenZjxEdWKobBrqicw
v6eAdv7fv9g/dIlEq1jkqEjcRvPN+jWMDjhOD49ZF2/MJCEDEdENAT1Ykj2Otqur1Rm/REuoA4In
NP6yzIvvxst/fmziQEwFiTZJharxa1v67Q4W/ckPeuBeNzzJD0mYwhRUA28RlVkJRkWWnSj/aA0I
j3//5H8uCSzB6DFlCjLE16Ly+WrXLZbSsCuq26hX9bYB2oEWbybZpJIvfNNf/IerjANZIe1TJ6uG
dM8vS4LQiK3XE1V+G3vzVgJEq0mIZiTwEfTnXMhmUkqbkJbFCCkp8m8KwX94dZSnCvFNqAA5un4N
b8rZ74MsBO8tZLDOBB3LZuYfSHOBnRiGh3Hfl1ChZMV/YDL39G8vs0U+nKrImi6LnFe/NHBlNSx8
GOjVrU7rXVnDojRFHJVVq9tED3+7TvGlfV6meDXaYqrG5xTZaT9/qVYvVkj8tPqGtKJZ08jqm80g
EJfQyvqDIuOMljOc4JISm9/cTtIfu5qMKEDmK6aRiypFkT+/dMCnMQQyA69pOiJyq8S7AD101t7a
RthlFVTeTmYkPTQwUy02hAUKUXOphhvd8pFgFolInLPoGr2q32rm7H//Gn5d509Xhva+SVYbCwt3
Io/b57cXFYS5VLovXseyIUB5GD+CrqxdQqxrECFM9ykGDKTrjDKteGBlbjhEl8FjE0JC0dRUdRuz
zZepTrlXKFe4H+Sepyjeiuibt/rHg4lc1aI4l9isSZX9+k7JyOjJQtCLm1Wg355qJiZWUUoLT45/
BCWKsr9fmT820FmTrTP3QHMhUZp9WQcswp2kzDfyG1GxCpJydCuJ1ybfPIPavEF+vv4E1lJa6wqD
AJS4Xxb3XquUvJaTkLRszLgEKsjPijRc62DaBGWY73UVtZo/TgyB1bLY6RrvwxIS5TC0+skTfeuM
oTV2vQl5z2Bo206P+2Ohhcoulugp6NOTaqb/w96Z7NiNpFn6VRq1LiZI4wx0b+7o8+xylzZESHJx
nsyMxuHp+6OiukruHiWH0KsGepPIDKWC917a+P/nfIfWriyC6zhbfYTLgMtYfIsQ8lpZ8jVOM+uU
j0G1lKKwqKaruPepdjcxACo5ozawOaiApj6zIHrfxXWzI+CaF7As3rELbXU7UB1NdGRul3BfEdxx
h6yApIX2Juz1fKXzD46n/zBkIw8ZIiGebE9sTm/ejMoJ1B1UVdwvGvMd2CUXnGDfEjfpYDVfKPmV
AHS3tko0noII1a7bAlDRdvxia/sSn+/enTzz5BGosEhKAZIQhoOHOviDjftNKjGuU8En5VMyxUIu
ez///JctrBcYI2MSzO/90cJDOBoXhmxr7VOjBRZiRtSQtAgKOm5FADWI+QqPtmT6Z0Nv7TqybXaW
MggCk/qwlEt+usT5RR0afVp6wzGvlLrwrPQcBIo4+f3of7f5MhaxBJCSiC7DZ9K9XhZc2Dokwo9m
lXbFR5fRcUGTDWcnGvYoHttNFU3D7s+fyUq5HjxC1EbizTNH4SPVjYy8I8Dm21KplzqrnqqkPK2j
hN2QBpiFFfr3z3Te2PHWd8TBn4etorp4XVpef9PSdaUIKj3dNfnObS4D7z6MByw6n2DgpJB0U+fZ
ry8xJMElqgPEO4g0gVdhgnYg/I49WJ8cyyvGHrAZJL9s4UaQoyY2akZgkCyAo9FkiK8go4bmawA1
rnXPJZU/TEDCXBvs4ZWHLXsz13diujLIfLoSbPONrnbhvG9KLp3ciD6pqt+aDpzo17HfK/p4g3/q
xYc4+4H+t8ooEQbHhNJ67T0GcFifGoK2mmfXPR9x3ACCMFsF72c/zLTEUP7QLw32wbCNC5LBph9W
d0eE7Kbud810WoaXXnAdyseEQl7w5FUesVnXJNhv5B10JUN8GfSXiZLsFYheoBXWZ5ZfOl+5fwre
MFz1pvyrSJjFZcG+jiLy6HQfrM/vtwPiC5lcmDkdZJhvT8WVPY/zEAiWStdFQkG6BYWkqxR9bQvZ
64OhyWL8bp3mccyEmG0hXv/r62GS+zCY8t4b7wZ82eK2xY27XCsgtJUNUFTt/YqKgf8cRn/F3WXC
S2yT+0w/Z8OZcj+73ovjvUwjta7uJu1eKusySzb9svfKp2U4In4b2vPEphnz6ESP8wwJvnhKjdjq
Id6Akjnk9MuI9dQJrQ3UFQbxyFieJsPdmF224phGz0OMVqr7LsgEXkAcG94QCPetA4NC9x3j+SlO
zuaMSGBsPWPgb+eGAjsllUnpU5NZe4BVW3ASKOm8kegDb6Q6R4W5xBxs0EnQVItbjA0QPPRMcdL2
EAqvoXLpxnJfHP97bnWQL2/i54lblcQAZqHobygbpM99Wx8NH32lDkv+VOBlGhPYEcEn5DEbOwfB
pNhWgPbW5rP/BQ8BmOoF/NMng2qp2gpwDd1dUX736CITU0dh4DQibSdOH+L0Npef2+DORjqTPcOW
jIPzPubKi7MIxVtd3EFqhutwGrfHofuMjgo984S5HxkFI3Y4WiQEIVCnJN2fRmKzfGrZ/LbAu+IY
WMDaUBsexQ/nfsp2tMIdXOZlCenrsvW2IR842w/drXVLe9B8dc8nkrqR5R7bZuvJPah2SlIeeg4K
N8jYxK5F0sduae/K6OsoPlnxvk33NIXqbGdGaG771CUiehcQPFOcVM0x5pKcnOXoGccvsaI2eUqy
TD9D6TyMqy1vBsNrXRQ///E0X2uJGh2jnJqeoE3RmPs8tJ8nGrrIccdsF34avy/hjr7eEB1xGdKp
leIhJmWh2jbiLNXPaXRaLV9C89fCyIxwsUScO9am9UBgNOsY44T2aHxsh70bERpwjjB+5UHAaTcX
0rovkUiVp1zOJnFWVigILmrgst0VeZGkEHwt18bytCnVaePcEqIFLu67AUcCQHy6L+g6Kn+PaySS
p9DA6Bk+Ntllk1y5zlEA36vPvPSYFACGzgrCAob1nu8u8GnPmuXaac4DZ9d4h9q/m8cnHH2ueRyq
A+Tp9nqOjpN36PIHWeIRvHPIy0IBkDwJpscyASDax9EFivbaPxHNSUyvFD3UWUBn8qN0bG89778+
8OEPZptb5XAO5743B27ytnWb69ncETNk5YhMq0LDJdWgkRz7viggNCx9MF57GkSZqtOLZhL5LokT
ePs25RT4HhSISzgJa9gYTALOwaFxNcinGkFDndBL2QyxAVHQPOhkbeSKdl+FNjKIVRHWoNrSEOGO
/QSQxDfgQY1im6piQkL87CnWrgP6te6RzRJMxGEk6DXIrQDh59IeS4NG64M9+N0ZmJMR1sP1Qkhy
tf9ThvTLMcnqfFU4hDnei8Qeb4LM7Hq32QkPKh4sPTZjQgLtKP06DYpcOdgcH13D370TPsBqFFxN
kOs1/E0Vyx8cEFoAyu65xXkXaXdDWQDCmvZ+5AoNoYY7i8uHKrGcp3HblMt33OM0nzoG+u9/i3e3
xfWTeLD26APFIeqf19vMCMEnrgpT3y+V/Tn1F/bumatXy5n3GIgrP2Zd//0Tfx6rXg3I9ZGBa9M5
tn3ugW9u4k3tklEiPGqgatS7qG1GKBnhN7eLo5vaS3FQDOI0gCiMMFaBS/fktZzAIrIZnvXRjLQv
qB9TIflr0Sw5AgE70eScxeIlnNi0sEFPH/xK4l2J2sVuAMQBADItFPvtwTpfiE0hzLZED8f4MA50
TDPZYksOitk5I9iKroLhK1LuTQGy3SKu0xuN1iKl7zg0lTl4aewcZ9sejmLwNj4JieD3UueQJio4
+E0LrTNczTA1TMFFaXVUTheczC3yqyzLv81NqC6IwDyOs7A/+Hbe2xWCL4c3k1fie/g53mYqqbmb
ktZbynuBu2IzRuphtj8KQhfvzjNvHvLmrScpzFtRJihqlE3HYwnrQ+7IDkEN/+FFWP/CVBxI16Mm
WwUwZVT83A/XzVR1hyK05aHi6u2M4nqKMAqNBu0X7aetjaZhtxTA9jvkvsmEiakmXxoRf3TSeSn+
hM4KD/GOt+t+dJR/P4vXqrqgnBXBBPJ/XrV/WUaAxwWZny3WXaBROJHNuOx721AlIATtNOu4tASc
C4b0wp/WOm+aSvy1UYBSa4w+eIU/a/mvJ9XawghQTa69DK6rr+exjj2Ci8bWuoOJf/S1a46AbfO9
tXinrU8YlQPtFlAnLMeSZE9ndq9hrXBIwDCxT30OYX5Ny6UAu/z72f6PH8xZWQ8QH2wXWsXrD9Z0
I0EoUlp3fTwvW52Ody6Ees4H1Y61DRdwoz8b2EZTwjuE33RuU1DYkkeBPpXk161rZfdtPT3//mP9
wyLEdZ5Vj7fn43CJ39z95GDyYk679L5KouZq4T4buMMxAet5vjTJKcwpCfY2SreTN4HH5f+1DVQX
nPu+sy+s86m9cGmXejbs+lTpmrNC8KOJs/nQz429nTBI/PzAfwROuSTUqlXtD/0/17/2re1mmdOm
/gn++K//9f8cXiVgqfjvo+gv2+Wv+mveDy+v0CrrX/obreLZ/6JoQEeNEDqwIoz9/wyts/8luGRz
tYdQSEN5FUv9n9A6x/6Xt268cQyFBFnvL2wV8LH/WltLwuZ+vpo7vf+rNHo+VMjisLI5Ys/lWa8n
gB0WvsXiN24mGwFKarU+R9SouO0DFTV/dkdFF/a3LYwWig156Gdt+JcVqTQhrZKKdnEUmwQRvYxY
jlKA0N/A0JlzNyrhcvzyNm7+XmL+Bx3gmzZvtPpf//Zm81gfiSGRGbQWdXkD67r/yyN9MkbgZqIw
tAJ2c+POFpm2WX76+6e8uXz/fMp6F6acLUIXycTrp1Sh6/WJD885S2NQizBegi09SB95qWhw2I1+
03yEylhXpl+W1J/P5HgYI87wPDqbb565Rm2Fvg7HTUL2O5ytmaMuARkFjtxwSD9YJ//pC8ZsvYLO
BD/iOoh//RmLxO0dUZIXY1TTwR6N/e8EU/QnvWW6syGXcfzBe1vfy6/fbrVUc/Zcy24Oxc2fJ55X
722EfFNy2AStfm6rGcJw0p0PAzDiwo8v6iY4z/qP2t9vB8v6UE69q/Bl9XW/7XVlmhAD8BJAZwuH
O3gdTFtVtdUHg+X9U2ha2iH+WE41Amzb69/S9F1NbDh6597p0J4T3nLZq/Dr70fk29FBqxCJCmV0
gWAB9c6bcT/NTYR2gh5O5zvyMSYQ4KbEDgPmdKhP/vhRdAWY0Gst6P33UV5aZMXoY+dOS7rcVd2O
WLnceXwGAzws+98/bR1prwdGRBsSWJhYaVWskK9/vTFv+5rIsgWhT4QPHYnUU9aZ4UmCjrmsnTlD
u1KwJ/7+qW/HPz8nTV+XpFDuBhzQ1j//ZTimGttsF2VcC51A3+YrT7eI4ubC7ahjzOypf6hXWP3a
XAAF/lvbsVni10H0ywOnIuoju0Y/sFou9nHuJidROE8fTOt/GIqr4o3zD+vjWpx//ZTc96wpr7tl
44pObDSYyN0Uf2iM/ocfD/UKSGmUXViR395OkgqK7GJjhR6l6I9t6VtXCUjpM5GHdHaHpr/5/ct6
v3ZEcMeoSrK1Imd520OaJTewtuuXjU81hO9vNtES95tWD+jznesikjCipPOBBecfZtzqMECy43Bp
Z969/i0RMYlaNtMCgHsmmg0dwqGlrn+SWMvw+Psv+O61rWsUjbjAD6NIgAx7/ag+6KwBcjxC0shV
l+OSFscGkc4HS/C7p3DxXtuLmLnR46Gjfv2UxertwnNq1LJzPlO/rK0JCYp27v/wy6yrFEdvRjk7
9Hv9ZR/lxNwQnzoHHVeSEQ9JI4X60y8T40fHAsJ9KOSwb7+ZwGgydVh6DPK4L8jWMNBfVIsr5/ff
5d0YYMZyzbFXgJXgQvHmKTMKEkOUDy/Gi6wzWS4LQULetC0CVRx+/6h3b+fno2j3YfsKqBe9uSHY
U5rPY4GHQPqZu9AtGWzvdO7y8KNy1LqgvlpwaT9xYEGJtlZgOIq+HgbS0M/WYgk3QxckDmv6jCcd
2zmAfhHOI5cmMZfzNuhDNOaWN5U4HscCs+Cffl/gccwsBykerzB889MyX90izfF6FJOZ0rM56WL7
KNy6+6gi+f4dIhBD+hbwPBJF1pP8ryuvlRTkPwA13FRT2xyyGD3kQpP4JHU78fDH34kHIMIQrsMp
R7xZfoPF8THuTRCuzNJdh2Q0nLRllH2wd70fKeAKwFuF1M9wB/7EGfyylcxNGgAGpi1VRE1K3rGr
Ns0wZvvffxeMhm8GyiqKBRPJN6KBvyo8Xv9wfk70tSENeUvSD/EQFfsX/Icx67+HkU7kZ0vlBexj
uuCw+HXeJQHEHighKRF4JfJK9EVUXcgn6Vk+MYXQNhGTRR5vUpf2RV7Wy/fQN2Sf4Igu5UuSVG2x
9QgbIXAmV7a8T11lwkPCbiz3S9FPlOic1CnlmT0lCzQSlbl9RXJnbEINTs8xM9L/sc1KL75ikU7n
6LQXRZzfFhn98MOoohTUP/tZb259CgCEkvDHHq6kZnBuwzAn+tTpCsh6YUdyzLYv/Dk8zm5BBDTx
D90nsgnto9saOgU93667TrzYCj9ncpyxAqkazxOWtZWIbwL6P/bc6vikhPTY3Cyx3+L1VfNSItr1
8v7gKGuaLjhvzzWes3AALtWMRRcfTTPWEyAaRyTsqaXfhnAwRO7ftWpKMghEOiKNZvEt77asfZnv
6Pj3twVRLPHGyxfWRL9TI6IGxeFqM5RR5x8GX4nmWaRJap+12i/dRxHYMAK23STz6i+46kG276IG
88KSuhnaa9sf6p1uol6fSM8gteidtg0x+I/pl7IYKVXklEnJRpqc/NHOcms5jeLOIklgLkhWkUK2
+U04Z8FjlAmSXwmYofRvZOj+WJQhnrJyUaJjmwhbyVszs5Q7ldfZmgMyZLfpUGIoRJIHdT1oS/BU
xD5Y4jazDG44qw5gILq1X5E8VAUTzu+hrnBkZXYQnzWdqG6GfnCDh5k8r/lUESSMqdTyIBGiNjBp
AaR6tqsUzMQ4qcz6GhVyWIXwrj2pK0kosjwfc8t3950FZ/17Xs/LqXTnCFdWV1G+aiicmo3HWt1u
FpGjwD1MIKblfadJvPk6S79z3W3T2JGM977badI3S1TsIt2ppLUFKXp1n4Zmn/Zw18OdIJTHfCck
3dYXHm1L9TL0hewgTZUg3tODN7vOlU14UXamujSb9kYGDi2MwqhvpR01/jGJw/wmqu3+h6UCRVWQ
LowFID0Op2HDAbtub3rHcrTHlc91zbelSIrVUySt2DqNpyUwX+2xFs0RSQfJSSImSmVjlX4dAKoo
CD6JMUkDu7NJmyD9OLCgPpi8CrdLlvfp7VS5IRA8HZsYrVfWqWOW1u33iElljplmDn+rFQBvtKV9
c66X1J4vqimxqsMYdSY6dbPSsfczk2fcVZlvrvTopun5NES6uovdvHSOeTtl1g6NT4/TyiV0bLdk
kn4tvaMIbVtSGkDrBWvnvnfLGuh4kZAUwkrKDjYN5BsSMxkvHEnaJLieytH5NBM3ZI4h/0pv75Fc
QLxNmGXlPvImJOBa5IQoa9ceKGOqrk+wPxoYFwnk85dFh/iVx6wiIqSrW8858YexGT/7pder04wb
T3ySW7J2zzuaXN7NEKdj8KR1kVn8VrE/nAZRFRGeplJwzIx7iei/0fFT7+v80u5ii0jTqmhfbGdQ
KYlw/czU1F6T78uEQPH9mHpRdd/LqOLqZLfY8eJiGP/yTAyuri7b7KEdiyreNpKceODoorkippBw
y8GJ1rZc2uLndBT8EKKZuPCfjGVGNHWjMoMCi9n43IaWWn+zqr5Vg6TMiD7OuirncrXpcy0gcDGC
Ou8Kw6rRNAoiVVYTatGVPQ4wkUaTPKZT4isKwVHRXc+JsLHZWjpQB5VLv97mrhVF+84voJjrZsLW
5jldL7ftVMjkOeVUw9W9JTjhwiU2TF4549ovZr0gTMLxoYbPocibzzodyOZrhiX+HFRsnFvolWPw
g5jMDDWPQ+LEeagyuAvJnJFL1g9RbV0EvU0UeNRUVXC2jI7yyb+wh3jLJo4nz9YN/VdPDPQtbWOc
ZZclOjTbTrkYRJx4ps2f2q1ezuhnaThnVmGDEByaSZ+RKEbsCCEWfk16rXKL094mZwBCW1WIR62l
zHZTSIPmzGYrJyhmrLn+klHDYagK5hhkA5CMYF+KDrcyeZD2ZdCGKSGcSOS2TBZaml2e+OUWXbQX
fjFFZWIsoTUUgnlICUnmTbbUOzLCQ8jRWvgmYzrgHO08YqG3vmn9ZR9LL32eE4dSGoXx0t4mjsHG
vnShC6RmHMGgpZMIZiC9HYfCLg7kS2vJhGxI/EzAckQTcMaP3fFkMopwPjNnqFzbsYTmotkDvqC8
He8LJ/f0trYCpmJVSeu6s5LQga5RYLirqhASrShMXJxVpbDkbo6tHD9U6xEZEaLUFDvTTyV+RRMW
P8SKkd/q2FkNcEM9f426XkGv8Fy8vaXsB9Z2AsMsWIKOIiOkc9SwF3YlqhO77miDoenkvmo6HJiD
GCtBsK+JMTkmJniKdJM1p3ndWMNeZU6NU7sZYbCEbT7fUvWbm7Uib1ccYiz8mW1QVOe68i0K9YHy
PoVAa8SmVg4XU5VWNgAcM8z2ti4TyIVhR1ZgtixlyOfJ8Af4ZYHZvKenjeGQ+KR5G1YLvnFFKsiy
scGIPQu2PqY8aVZIknoZgqTze/d7FkpYmBYE64ljZoNCh6ZRLzZlbXprKyFpN/hDC4JA86Vs/poJ
sQCT5LbOg4nilK2gEv2ZtCXOTccqoPYgcwlhARoVXrnKAYtAbWGKOCAhyKJIsmbUDz6djX3Xh2WB
jbBL+ps0gSR0PWdVF9NkiWoNtKAwZjzvm2Jx6QOlhGuEdtNml2VZoRar+rGY7sVSEyTSAo8vrrzC
W8yRHMFiIonEY+zU2Rw45wQgxuV5x1lCPzRFLEhJTHMvyc/omKRdiKhToZsifTWZ7OVQW3lEz4l8
Np1eCHfO/W9y5KjA/ir6MN3Fko0U3k5IFQgFr+V63ReOLfA05KIU+Ml+TJKdZ9XDSc6GqI4mSIn7
zFNrtSZVNRrLlMvhCrkcCJgLWjIukL6Uy3NvzelwJqsoA+VUS4eqMDkUt9GQ95ixhxhOVWxleXmQ
dJjn3UJoVwu6xqX/yKHLxdnVF4Kfv+cn2PNm/DOtXKWOg6erW9tq6e8G0l+e2oy4Mc7gxNYRfy29
O0nr7MxXJRYPTNvDRZq4HjrRWeICcdMAfE5CEijqHJ3EBvy2cJ+JI4FS0YsYbSyBNkRSxuRe6oPJ
ISKSCxkvYht6euP2afB9ZesGm3aaB4Wkye1vMs8OE4ovMNJYANkaNxaBcFe2tMOAId8kfLx2pkRu
qCmke/IkiufEzlhBLIssUaL9OCRuXIXtAA5MQeAMm/q4RQMqAAgISMBbWSXjU19EHnrCUYzwn2hH
PxDFU1V7glgHov2qUgfISOscYRXUP7OfRSSx0BKbQngN4YcPviUwvs3G8jVU6Tm8CeyUEC23qoiL
IdqmeMbxJVcdm5ncTRRVzUnQdAmsBQLXnE0/TNGdMxZWvfPqggy0xU5Ji8iy3rxUWgSoIEmAxKvW
F0rigB7wLaduqD/hqci+tSUSfFKFkIDsuLONPxq0A09BXgQnXpJwlrKxtaAacJpWbVOivC7mUDJX
fWlN636jMfPUBUVQzLshuNmA69Bfo6VDGoTeBG8iLapgP1V+djOx0nWPcS77YDtloWIo4eoId33s
OciDQts6QF8uIRCXS00GOUm1Aw67BuK6QZtGmNBcLLdDU6T4CdlML0LLQAvN1ng3cqpD+7GLREKW
vCzN9dJ77s2kBtvdRpln3eUFMut9YJsAbeYwkG5hvGGjsR9ErGpd+9UjEQscJldGjthlxWVYBP2y
9YYM/FXtNJi02A6S5Ci8oZhOi4CLxi01j/ElJZfxR9UZ39/VlmL3zGniE9bjTA3x7BEQJ0/LRnfn
ueNHFHzshfmBMBQ+enJWD/OAkow7qTxPy1kkn0XEtfJ2TuIZDYX2KhsHl1MO5WPpmRFxsmpk5DTb
qZ5nfZ01iM4Nei171Z42OHGJhTcs8pDTpuVxDJlda3o1qPuhQ1GCgs/3n1NVmAePm6DcRlxC3Z2z
ENDISCpmDFaanMPDbJH/MuH1WUOKFm4hTNacMWcPQUaGifB09iJ7S4FSa6OF3DU1fC96nZktoe2o
UaOI4FNMkj1Zx26dYnZjxWjO/SDJ0B7gW9Nb4r4DgGNScQBeakFKVO7an0zB4s1aW9n1MQ6r4aRo
Grfc99VkXzWeW8HtsjroVSSC1d9ThNrxMSQv6bnzKzfbad1Uh7LzcncbiCV+JmvS6m5EGYwJF6/A
9buvQ8497qGq6ZF9Kcm6cvalNfbzPps4eW9KBPyPWSdjQvAMPVAY0qFG6EWauzmkHur68zoc/Afs
fcN0nDgJNhXLdK/jW4tqRnFOhHsU7oKwtLy9MMo+Uo/tvzmzvwoPCeAkuEEPCWRYp5zMnloT53Ho
8aBbZN8JsTdq8k98FEfBpue4qfAaTcvDsljDlxShBES10nbI2fSDy2bmX7Ltc81OkY+B+TTm0lbM
DZusAcngx49m9SQXREMHjhErDmBsqsMkI/aySKtjrzqgiEFlmm81SSwsfDRpEaP5xehsBx2qMxIJ
h2kPzSwknTiqEbWNQzv8ZY2ZzC9GvwVhUsxRKI90PxMQvp093ElV5yAQrGi6ahxVx3vR9lbMHt9P
d4vOnfK4NKbsuTyjtDtS9SN+iMNt2DEMx+AkDEffUIqg7rzxLdvpr0hYw4OUR1UQXuDBT5+ZAS3p
sUHXodED3vFgtajsWEI56yKyDNajW8WEyuthmnbhYhWfOPHNnD8zttCtTHzmfj+GpGxJr4Hn5GsH
K0IZxViKzeDJb2GbjuCUXMLsSMlyyuo4sVV3O8Ylq2E7kdsIYqiO4RykBQq9csihRZM8CSdj9jhl
L/ZSPVp9tFwT1jq9yLpfEK5PudRnY2fMd8Zl6u4x+ob5j2Uum/5oczS2zhKHGC2QGUtGe9pIpzqJ
5KBREAJWBefjwCU4cOm17S91jRhp07gFCgtp6+Xr1OcsOwOxWTdVko/taYmHCJFzAO/dMbmMwH8u
5Wwll9YcESJ9n82Dx/zqB5DYY8eJZLiyu2gWu7JfhLNrQfbKb9QNivqLTfqas02lo/RRpfDpyJ0o
uKo/4JHue/a9UQTWc+XZeXZPTzEk1jPplpJ5mvl2BZTIrXzCaYOJfktfjnl3GSXB+GOcSmtG8zyV
LNOCVAUZllxX8jDIL8olSl783tQ/ONsOnzsTZ+KJVLKh+lFMHL4PhKa4RBcHrXBOZ9UV7X2WpZCX
RRXp7CHQ9KopAvTFk071XVPOOMd9ox3ifxkabgN9wi0saFKxT3R754sTfucv+JcuCCS+blrvR9yQ
WZZ14femEtPnIo7Uvo5Q2QbheKbWE6fVOUg7J42SfxTetzTy5uz83/8r1CiTFuF5RuXWjRU0LnJ0
UQzskRCxYZBYSn+mKuFzkwmpwB6FGv3rf4/aKZGS2x/38wbqedoWtqFPVAzX8eA691zMSAKIhozT
KfZEddPFLYg7zlnl4+9Lqe8KqautlVotFhvHdtEgvi6kNrHxGZkBnnx+bVCDbQY8FyaQsq3pD2vD
3Atpu9BCWkN/Ytpmrx/lTy6kjW4k5Y248suUM/fOQ8/+hx1vnkJHBLfhqmVB2fqmdq8C39NtVuCP
9UJ5xh2ouUDX4n7wlLfWFQxjQRxzP+dsTp9R/DRK/VLoVqmWntAK3+BoVclBluw6YEM8DLKhKuer
XHvRVWO5BDDORvpXaSdBu0Rsez9Qg3L++fPXiD+Pqvva9fTCN51qA8LVsSxeI6flYTvqEKSWjfK9
6a3/6Fn8f/nVv61dhP9effV3uNXhRbYvv8qv1r/0t/rKCv61GhYB4ENuEOilfCbT38lWVkh8FWwo
iADkVIFZoG/yH/KrQPzLRXMc8A+5qa4i4P9Mtgoc/shjrgQYs+hX+vGfJFu98e6hZwVezRSn/fgT
d/FWfsghO3O8ocHLRdrUrSpi59ST6UMS6XxvzJyQk56rPSdD94vrDOZ8iRu5LYpBn+VF2RwcOe4i
DmX30RxlR+oX36Mx1Be2pcvbyQk/6Ku/biT9/WFpUv3M4KLR/daQJjmG9kpjLwzph905WKWvEBN/
1Kl119XgvxqOfz+GX5+m8yoZZU6/XpOo7yYFZm8ot4mjPiVN5YQwu2T0QFUiICXA67haFTGuilXD
OpLAfpcZ2mjongrnVOc5WQWx49aHInOjE5fj6abKKuh9ZJcWbEL5gouomElvmQp9Zfe1vip6Lqzd
7JFHLzzuOlkgrDXh07/vooTceNo29FipD+P2xzu5UE4wiX6cVe1B28va+qWNY6IxRN+ZL3FZkzb7
y7C++fvb/ypj+4eBwg9DjyVCpAGc960BUY/V4vl1j9/BIvOioMxIobYiaDA0V8Ek+3nne116VFwg
yTWp4BzmqeBopWQ23lVGg1ldKxqnZBtdaUsQX4t1WEDWbsimsHy/3s0e6Rq//9Ti/YhBvoroFy81
DWQaya9fJWLgkYs2yWXjmOaKHGW8ek0emP2IDJgbzXLL9V4dXInQxSPG/Lryw5mAytHZj63DzQHE
anfeynn+LmwjY+jowIEUZcEiGa+XQJItygqcP2gtKBb0nKLUphoX0tqcOVw+2Cx/ftzXIxNWScDv
v8rQHUbo66+DXUJFbGZQ+NzUutdNUp3ayJe/6QrnPlwfPzuzRZc85n7qwyYbcJ4ElB5ggA6E6ARp
j6d9dO35k927+hPdBurYQ1Jy4NWJyu4oNE63kxmGiTM7AuNpNjPh8eCwqBW5U/FlKUqI0VVSgWWD
nRNtKivAO+YMTvmjGizaTHNhQQUynt9sbKKTtsOs4fKqaepul1HrfWJ1Q78NrbkEJBJmDyE1y2dO
N2RmBFl9p1Gj/TXYfPjCXyAnL3E3nDTTehmlXWV9JqVOnsxOpL4j4wRXhp6db9CSB7wzSxBfIrCz
bmghdddtDcRlE4Otuf39mFrX8jfLA+ovZLFk2K6N+rd2ADJSpUxsomj6JpUvvmnKk7DgZ3GrKMm3
UyoDiI4EKG+sJkBK4pBgRjqtd1fQBIclafFO1kgCT5qbPCxCvJyu7TxQhKeQWkVuf52ykZDa4uoM
bMqYQr+eOzFiT0wkychON19y+T3pskZS8uhyXpSNNQfj4ID/1TEXc0I7G2rL4PGXLM3lgbonEedl
9VfDifpTZdpFw3ni4t+qFEOXrBb8VUFZ3GukMoT2JvhGXLsALqdMCilySucZbt1ozRdhv/acvQ5g
YDK3ezdz7b1rKy5CStTn3IwwnA2tHxxEJbqrhVrRTiOhPGtH0j82+aQr/AiV119kNf+H7RDk7k0u
gmtL4UppKFpmJ315K4aeoOsYRrXdzemBolf4FMw1rZmArPp7SasGN25unVsiAS/Zp2onayf6FFAt
uPBw0JApSFX4g/n3Wte1bgx0wdh/sI/bdoRe+fX0qwT3GtvRAoYvY4t2gX1RkuN41QdIQZbRDXaR
X6mvLYEnH2AJnH9ayDge43dyEZZxXn796DrlTlSPhaCNgeDEtzquJci+z6UvzlVkqlNPD/3R9+mF
oXjYVrFFnyIfsksrplcYdwyVUdnNR8xJ8X4uIMhFjMKZd814WT/2LydeZyLhJ6pmZxuPubvPvBCP
RKckzt9w2CzFuBzczg22fgkD0TdWycxPq8e0pUrdZpQ0AtfYx+F/s3cmyZEj2ZbdSknOEaKKHoOa
wGA9jT3pdE4gJJ2Ovu8U2FOtojZWB56RmeGevyJ+zr9IiItEBJ1mBgNUn75377ktMEbZF+6OI/Ae
s4iE1BlGVxPnSSz5pfFBDUVvv7PUX+wPv9AefnyjhEFSUVBQYb/4VZ3NMbhos5j9IdTM9IrJAh0u
zPtzeQgz+ZAvBm0OZuJESRV9A5q49tZ5JIsiXr+ZLkWk6NyzlsnMb8KUG5whonndmuQdb5OBIIHa
ruUVjzq8XDgCqwtXxs4lDVUSlG6RQ0IzSVCj4XtdlAm3kwDwywriVy2kNc2eF43RieeeyXuhZ07F
kew6l1SfNmP5MI1uftF7N8alkcqXIpGw+RI9HscN8Bjj3sxwUTmtBayGd3sl+oR2adG/OXOO44fY
2yD8saAzCYv/aq/6RY3z49I63PcrTYYOBaevn2+NdGGHmHH5Q6dOlsfQWsLDQvJ5YHh4fIuF8YNT
8unUTNDo4M44t1CU0Bex3ePEu/SF5obbuOiBtWrkPf75Im6sr/7LTgpWiK3SW6XDlrPe2H+4cRli
z8YQCwqDsci+NI3hnjXoeEZER7pMbXuXw07cC7uS2yEG3t82zddmzKaTh7Zsry9gUXOBAKPXKHdK
XFDHfhib8yJdbLWg7CW956dmXqygY/K+JU0ZwiknUMaYvvU1GwmW6gs73tNSLA6txiTszz/gv19+
DrtsT/g6YDSsYsCfP6CWJKFbNHTzJpnpt1UtXezOIVBuen6Brnrvqi2Y7smKoHdhBga9TE9hK7PJ
lCsHS/jRYH8TbDF/9cz9ckrmxuCdcUxmUzME6uJfjxw1lthS2CRmydIEQ+iUYFjndthIZzxmLn2v
pCVNtHdfbMGuJc2TGibvPzoa/3gPtAPQHEPB5LH/VWOXJGmvGtSnm7qePqzEtA+jNzKLwKD4F0vk
v99pHPnQC3KYALm5nrJ+/iJQUFESCUJfukjlt2PheM98sGZDxzXdV8oxXtlMQUH3pVXfMqTuXisH
whPG2KgNQoUQlfmCdsajAwbR8XL5nlXDwSNFlgFZbo62v8yY2pciX/ZpZWD+q0YjS/f2WC93bkUQ
rWhSYGBZ1b6VuQMJQQJOODmRp8AaGenNn994P9JhfnqyCNI2YIyi18TVZv9Kg+GsOYqkbAQoDq2H
XgGFw9Tt8mqK3eVpwDy7Hau5uZ+VbhyXNMJs3U3mTTWaDoC5YTIKhvnxQ5c6FryBYkyZl4i4/ghb
b35IlvYshrZ6ROiM9ZjRS2WhPHXbt8Zc3Gc2bouIiKjqfZlnVLwW3As7GhO4rTbSkDInpkGZaLAQ
ZbUPDAb7N/pyy2fVzM7XqLLdl3zK3LOh6c77xD5ErVvbtKXGEn2b7CdxxQSgYmAeZ0e59HB4iybP
LL9x6ToO6qVWjItIr3jihDfKfR131d4kTNgoRLi14k5P/n4f/0/f5W9yPfz8/xsvl7f8//6fP7Zc
fvz874633wDBogRdI+AMEyU+FfzvLRep/8ZhcPU0WPC/YADxNP7ec9Gt33DF4JLjGLoeGte6//c0
ccxwAO9WMxx4E/4Q/5HhjWf+p81nBTPyzqg36N+wOPxbwKkrIfQNWbczOyWsQ5WmwDaYciX9izHx
zlofIZZbbpPCW1i1PYVWSuN2bs4eWFlvb9mc8u8NVetEHaU0HY4iCsmfjhu96s7OFI5br3DqgeaV
DtmBO9wod1Fj5+pouhEYDrmIONwxNyuHZ8ZVHRkUBpKiQ7O0lQykGmK8xU5ScYYJZ9KgHtxGWhmt
HWUTx2QoEGSBKIui+8bCldwURodGIK7yKfmmOr0nd8tuW++YziZPdpy0yXZBLYeGBT2/c5fEi4p9
VS6Q9TorlpD7nckjs5OBU5DM2mM/eR+VN11GQO6BsRIiTO2qNbCg4HbN09oHlAoHsBho9DNU7fu6
u7iV5z4L0b7CXZHRUZmhITa6TT9lEc6TmcRfTCZ1pwUSSYmAi1N8oKWLW+yHkOJjs9TGKLfgxZi6
xRyBnk2s9ZSxhgamImfaFJ0nL2PVdJO4eza1VFv2NmTgzZKocXpesnbJgddVyM6OmaqMm0pzwitG
W05HmCPSw7xiWYLHUhfHDrwRdN6mlY/oPD21iWPOkGixQgK7l0oj/CZsTHlvFGYF8SRRlYvwrYpJ
8HFVwkw4REiyV7RLolumfKEB5t/r3vVOAuYI08W5a6eFGSlDGxIgCkbLX3UmPW9Z57Z3U8JUOs3j
yxRaJCtkjDFJD2gIRdfGp6Xs9eOcSOMz7yQJPWm8TEQm1MpmdAv2wjA/TDWQomPGHTuMZc5quNSU
vZS1CClfEnqgBD7QlSKQPG/z1zRRzbwPGxn2Qdq3NUjQfmrC+7hI3RvVS5FS+CNRdD6TwcrlZ7Y4
tnrI5r6ZjrhovPaaEwBxNv5Y54ZO/oPM+qLfG4sDT5XDq1wy49A5VYqDyNHTTBxroRL9w3ZCp4mI
LiN5fCsG8Bpf6t4iT90Rs0hui9YKh89E01IUGq4Rt4s/tgSXj/vO9cIKllDfuGYV6LkRXYYFWXO7
Ey0P5XYudS/dZlXXVe9eOA3REWlG4zzUqm+TJyPqOjH5CfN9aNDuUnWT3+tN3912wkvy697NHWQa
saAcOISSaf6WesEyaAkS3MOYzXBS5GCwTI0CiKpdTSSfpba7z6yx3etTV167DQPRpjMuSE6ZK2YM
7h8Qpzok2DbRmVOAviO7bXzNSrsjf8vJ3osJUSJoBojv0C3rjVwWkEwdJdWC6P2gZVkBjoEu5wbP
oN1xmhmA5aRarTP5UcsZQ8kajTKX2SNOEBTV6aqzibNheJ6HgXmaIG/Q7hf7VKZVBhhl+p4iV75m
YvSYt9K9r7IlOokctW9RRQ1Y54GmK7ZKnoeWNvdNUSvj0c11xL1J2Zp7wUp4mlyLI9NA/BWChHHe
RVLZT8JqlzuvnrtTrvX9VTu342buWjuIPBcYOTIAtaFzA0mOtui4HRumuDyUiCN2bp6HiOsZwiNa
cs9WZ+DEyVFB20PfbIes7d9HK/sIMw9mjVPdyYXoehiUGQoUygd3NGv0fa6JhjrRNfRpocuRFbhV
X9OoEHqnUVkn2mUYu1vZx1zAoRO7qJwqck7h6Y9hxlRbtbbLIc5Ujyi0yGZK++GsWuVtKTsmwhkK
sbHH+TIrTb1zXJ4O0F3b+75TyUETiUt+nRTULrra6SZhGpqpybOZkI6LTjR+idDUbLQKdXYobJp+
agjRBzYPmdOGkCPSzJ9cO9ovFsodoqHS66SwqqtUa9t7YFHJEQnJ/LVo0VtxLte0xyau33ULFF+i
pgESkTPcNT3JgwNSXF82c84VmfZ6ZmKQLVN9i5ibjDatGI/IUN6iZUTNL/nh9RmQF7Br/Iir44qz
uyRQatB3Rb3mArRVttUIzzjEuj0dB+XoF4TT5oue6vbZdMcaFX5Sn/qQuG+97YLF7inwFmFtq3Yo
D2bndUFjjdNlsAkFVMy9LlEVh3tDY7Sr6Ny/zeHYbmVnNEe7TtFP6qjnqKDfHb7CrZXo+n0zjbui
yOOrLErLg7Rn42wuofs1FzbZ0KLwnJ2ZaQm1bNgTToZo6rYGDfs42br5VU/WiJHcbaJ9n1jlsUJZ
cyvjmfy4KHTF0SV+VfpzNJXPZm7dVRpK4FYT+r0GTgWiYNzsbPpcgaYX+d3oiAeGg87BKFL7tWVE
uymSydgla5NtBkh6mszS+OLNjhWkektCn6U+tHxgrUGrp/P7+jBd8wo11BX5DACPcYYBqxhlme6q
ueVPtBo9jzLR4YAEWctWgbwcCOikZtaqWrsgkUQngXbegLlX9dcxmFa8LsIq442Whnm7Q+bp3KG+
a650xhjf8QAa3dUg4hQNFDeBMSQSW0o1JDygu3mqZdwDVotTXBSQylz2oYisP3QF0W3STsPaPO+6
0Na2MWC1hlgRzyLJFwTUmLcYOBmTxo4Tgjs3XMYqYv3C21g8wHTSO6GO02CHw2bM0BBfu7bWFZ+k
iNnhm46UMUNUTT/8te9kdWyWRnDzlt5O5RXz+6J/zZsCOas3pYe0s/AkIKxnVhHnj5lVElytJbgs
dgKxSrb1xpZuJLaXYhXFVPe9xrdQZqG8EMfdb1tsFDbjezXvrL5bDtky5MFkjPRlnRq5g5NBcxu7
IQbNY7RHSYvoqGlzcrXEVvFcDgp1La766oP+MZWWVQHCVQlC6LAsnR3moaeSszUMf805GUkFnhdd
7kVzovStbgrjSRvqidZ8j++/zab+xCQi8zjjMi+aXG/+0nVedSiqrNipabE+05nkOltPtH20OG9T
WFPWRY68o5/ondzC7u9p5bJs8Au5bdAPDkcvTWLNB54PVrvSsTRl9kPduVDJUlTRvjVr7oeuGLV4
/eQ8NVbxEoZz/1BS6OAaiFPnrtNBvjXroiU0HTF3PYQrxXay+nONDNQL6KDrD5MZFg27UF6mewTF
xmVolvhVKe9BFrF7W1MO7+yYORqG65SQNA3LN7JuEi2KsOZcZpQkvtitXbyq0SwuqBr1wwIR52Ig
gt04VrPmeTv5oYpHXfcRNg6PbmKrqyRy+k2skUSLIsEaj246rDFFjb2bluVd82jJ96PEsVSa5Uvv
zIiGwxHUnwEqwMJZU2HtKZH7zYe+S4jMwS1j3NmLKxhyNChkO1lj1xoiBNyT25gfSyG6J7ZKUl56
tdAknYfsOi5j1nBlSMSGqXyMZ1e/WNoUPZOYnL5n7YyVJBoq9TTqojk4TEbY2wscdeWs6Zc5yrtL
bCuBG70ITxm/wtuYCAWvlmKxH0vZN2fsOeD8vS4zTbRXFDa1NcdPjieji9klatkthtY/kJmk73ur
tSI/W5RyNxQfYYcabUxIs9Yrc/pURene806/tFpI1mUVTgh6GEpI/d1tCEu5tE3XkvgT4hf90mSa
1G/SQeJRxW/gLijnhTENj5KBZX3BcRfqGNLwFAdxNHTwLxOONCattgqC7MkrGjb4oVWadZGjWMij
KwwkWEXOuRsU3eSUO2f0MhSpOiSPA7JZ5Mphh99E5itYMQkPrSyOzFjYkDkobNKu+cLnqrfRNHa8
bZ6oWGMD9Cng6mNhTM2VxtDjPA3WO2wmRfyx5d11jZmeC4JB/KLwpN9PE5b/AStfsVptc8lsoJda
FFh1eo5XKIeD7PzQx0lxtJ3IPjLs/Dpm+d2Auj/ITTZ9Zx6/hjole81THaiMCB3NQhGn8bm/84Aa
DxFL98bsJ/1rP6n4STZAAplShnss7PaFxZSOqWbJhQwrkbx1zEHOKhyNN1GbTn89iUp9qM52SFtu
tZm24wD88jjOnA8Dmdttek1Zb7/CMSHldRplQdRQmvcNeNwhzb8Uyaw+I4mIZpMo4eaHQtpjc4xJ
nHqISjTGh2acnNchwo6wNUwMTjuzSAZxFEYOpnH2TOs41RHXQ0vw1W2WQtYt1syZOMM8S5koD6Fd
NQdosLWxdbEwDBzGSDK/OIVwh+OQUmWcdGVNHejAuVFvZmSGOljeIfxI7NbofdWQquV3BlsPsWNO
4V4N5ezEb05fmNoljF2nuNOckUvnRlGPTW1AW+pZdqxOi+dVhA9JoeJNhVHFCUxVM4u20O+TKR2G
kpHmhI3tTlq5Q+Dw2Nb0dbFwL5tiSSZrq/GhPkcbTNm1y1nQhhmuLZgYx6UjnDXNXTNYNI1vW3Ni
84pxvbR9qdsO+8DS5NVhwcIA3QlF8EFLh2cr6fJTaGIMM9AI79AWips6rpIdI0BiGsO0/RBLH78O
I0pbB8HoF61Pl229yHIfamG9RznLhunobo6G3iFfKS5U/j6PYZSiGzTyg4nJ5OyqEuuZsF/ylrnR
JhZOcYrbTjtFk662Fn5XP9OQaaclfy0qm+od7TtJ9zllwUeRjDY5u3rubYu5yCs/q/L2oFlt/23O
l+okJit8r2mpsAbiLfQC0BzmbpY1EH1aLc2MZnmBCBaZnApTYdR7uNbzzqYxovkiqlbCpN7fFaEM
z7OMcL1pnn47i3JhMk90pBP1z041zzsnt+VWEIhzHisMD/1S6lcIqfVLlKUO5M26dV+8BCfwoov+
3ai04ZyLNt4p3WHpyFz9m1b37TmmaXMfzSAifdG4Ey5eBwawZLfBTTIAk1VxqfAvgNtklFnv8Bly
UXCvcIXDO2NmwFUoIzxP5mwGnLezoxMbHQNvzL1XPf6iILRC66Gao+ypj6LsWHZcEBJ5w+Fohc3M
tH5VM85NGuSDCs/xVJEfpsvs0MtVNBL19bYek/4ichfuSBg29dcUA3CWciAoB+9GdHnZn3oNLQWF
JJOpE3bQ2rmpm9iz9plsTY9Dcl55/d87vv/Tg/wbAqu/6EH2bz/1INef/3sPUpq/WUi+kGqB0eKm
WcVdf+9B8n/g4dH/07FW6Cvd4p8tSMP+bUVEgTmgzSgE6JB/tiAN67cVjU3yhoWS8QeP6wfXLPqs
flfvdL/8+x/VPLzUTy1Ifj/tUeYedDWR8whGoD9PJcQU4XzJtJ5Fjkm2i81rIiTPCpllDXdljRJ3
fusNTjH52xLfusPTUO173C/2HN+JId0bKb7n9AorzLbrHiaUAlV3aMUzssiDQcGdFBKrMIrrNA9C
ICjybsHNYVsvS31BIkSyYO9P9aOu9j1K9vGs1R9VHHjaVs6H6MlWdyLfO+1jVUAgdjZEkB17Yr2N
2q/0AbtQGFSsmmh47HpvE+yex+2p4j85uQjs5IheHZAuuYIwSZL2My9IikINL9DM4oftzU+zurV5
spOmfRjLFAji94UCMvReZpwssmjeZQi8V8xHjcGYCRtkig6tZVwyAZZRg/FbvLjZO2O3TQIn3sF7
oQ0EIiV2IMm4nLxtOxsbkX3odX1VWQ8i1Pfx+KaM6tlyo60Kp501L/gjJsrx8Bmt+U7W0a6o4nNE
6g3zn51U8oiniovY7xB17CpE472Gd96pD1M106X9jg9zP2K1cO7m5BVY8hgr36y+DhFkKrJN0fqI
NdOtvS6SZmN40TZk7D6FHwW+P3pCHI5z8SmXD3d51Lw3CXy8b42tLIZNPL9bCzyeKLmFc/s4uMCG
nYPVRtuWuCvBoV05LyJZjrMG97yetnQiWCb7S0gZlct9WOGbTTedkoFHYylasv0YDTcKxHWCJVTv
1C4zMBrExn4esYjaZFTQsHEUaC9RYsAJJIxckU+oVjp/0vSNdJtt3DDAoqvHyGhKyBM4T2N8oh+7
T0k766j3xzk511BHl+qB7Vul30qTmjUl9duZkBUflQutpH2lRRjoFYRl/E+YBUgWtPl+jb2i12lb
+LecCPUNfGR+FS29o93ttUoAJir35uRc2cV4diIcxKG5qctkv7g3NBfp3W2jhOJfz0+R/TyOX+sF
91h+yTuSlGPeA0/C+oqR9SoHwuFK6Mbl1wztRAfIXRjHNPlw1LStVy2ToQJIEBQyxiZqiIERrU8L
3ceRvAGZtOsag6Tn5VBi5StIWJuiCNsr3XM8TMgliowA5GKKaLLPkMLxhK/gRSxt9oS8ejVCYzVr
+eDiapQPdaZuijD4w0r4X+gFfwzQ/zUG/H2BASyiA8AT+O1WjfkfBuxQ8XQv7uGi6/n3ZAqcrnha
dWYTyQn2FCw62fEGfkMZLK17ZTbpcXaKrRyBOixqp4UTlNNwhyd5NxJDO0Y2gLnbApqETcUNw2JT
y/cSVwk5727Qf8Z6ukn4O3BEJeWOieZMVDv85H6bEW89nqv4nph7HOKbgpnB7Eqo6qBAjFdSgHVD
+a549lBF6zzN9giuHcsEXHd3Ie/jGz0NPK/a2SYYp6iCvDum8Zux+j1ifySidHrMeROli5/aQtxl
3yClK/p5Y/0VLesHbfjPLuqqXP3DRR2cGaO8yUXFYiL6jAy/FJtCBjKb6rF8nbGxl+IFrMni7uVM
u7op/uJ7Nf6rjQPBPtJkB+4fu9TPb6HEuuNOHYQC4kxQa6T+HOOzD6LuNo+D1H6nY0S05xI7W4sK
391Y+r1pH0uNgdJRhbTOb1gqhP4skiueeg3EiHWO3D2ClMxOfGEfMBKxmP7FVPpnSe+Pu9ETeH4B
+a2i6l/ZWJI7JpFeDu7eex8IchhI2lycqzlb/uL6/CwR+8cLMVo0sLKS1/HrNxQN+QCWguhhfaPn
AQV4QTyZ2ifuIWr+6rV+MId+uh8QLzBGpI4QDC3lD/nrH+6HyRUKAVxMq067ckv73kHgkXTTAZLF
YbRH6OtLAHXVl6nxMtU5+6+xl9YxQ0G2up6mS46Fvy/XQcKcPrl4AzA87eiA+kAUvohICyL2+Viz
1xYo+PvqIY0KGlrPMQ/vlPTftLbcsv5vvLw5JiMEmXU1H2q/jq6n7kOahPBa8+0ig86dLspuT+rG
FHeNC61epwk937Wx9PHA4ED9Plt0DgxvE/FgarjTQJzg0WeetHgbL6xfx8I4VoIAWjBPCGF9BIVb
p80PevSc01Yf4oaI8SjQYpCzOUHe3wvtFvvhqY33budsuCsQUCvUiNd0JpmUEp2ug1eW1Co6JoyW
NIdHkR8TRlhWf3DKu8qYWdXr3UQ7SzIZRNjpO1+BJeym+otmPa/bsNNme2v+Ao4GL/K8IXn64MUt
6s6HGiExfWF/FpcJlIeav0n0XSQb2AuYTu1xhtTf5ES8FidRbO3UgoUw+pn33ZXfHC4BukqtSTZT
+TZAbo6dG0fep8XN2B84V2f9/cjOYdNRarQvUTYGovmxAxTVFzIqgsa1GJYlAR5IFINX5ArgFmMe
1vkFR92c5u4UzzTW5sAGYGPztJoUbb17ymgtgVhn9ZxXYunG7K4aU6yDGk5WCg2qceyXgnFNDy8F
iglBiYFJUkIO4kKZSdDRJk6rw8yHN7La99jalmHglvrQG577XCKR2lbS2HjJIQa3AdMgDeXemT/S
mFxmCh6D56TSWe/Z+waMW2QuR15QmfHWpDbj5crYXmEQx3QMcTw+Zw4dC/ukd/vS2Hf058oKQ7n9
LMNoOw60x+zbfjBZyp3DuqUaU8pBLQ3W3E6tbA9Cg9ST2+T4XVvJt3AI71S2DXPaf2m/59bDk4ws
6MWV0Mst/toQHQxl7iPL3YzWeXQpHuf4ZGEHsIhjZsDiZ+RAxEvityHQnO6eVuJDbjyN1ngxMB+a
jn2SNSkcYIZKhCMG9AVj08Xb1CUnSSdxKiT5xdi72m0copFi5jJ8TMqg+pqIVSLgXpzGmZIgJLOD
CES3gyfFKIgqVi++D5NNPWJv3Uq/L/Gdwro90gTc6PX3SjClu69bIFJGMPFsheQKTMQtZjTMvOgl
gW8B1zxAOupXlX6MvVvKv8n9XOwCJzV1nYchmC1SPjfuzWDJwFoO8AvOhcEmXnhs1NqjlXwZ1KMw
xBH1Hjao+CHLifCgAQ7UBMYSCVna1qnbw9B9aBXfl/kyDeYm9mgSTdMpDqOHtaSc0m47eOW26Ji3
xeMO/U/ZEWRbH3RqzTm7MW1S2IavmA6fAL4FC4JqpAlwcHy4Rfgc14wu93lcRah4IJPou15Talq4
mBNGZHLjkrBN0b1mrsw9IegWZ4vC3kzK4Va9zTOeF8Scxny/UI66wxdGUhHLbDd+CWndmAn3JelU
vUlijK1vVqD+rL9U4tRpq7gAP+qAHuJYliBctH5n6LfykMVDgPhJj58bLT5FHWtslT17JKVPpH24
ibVdjxKDzG8cJ4KyMENVWfYNrC2r7GkErSHZ9AviPNBoMKocXkrY3eAL3US2gkOKUtY+GsxzFK1A
2+Yxbl+jdt7RNT3ybUFteR7SJ1l+L6mVNGRVlp0HoNKP4UztlD53jtguyD/Sh1x9szj2NMjMVFHz
0veI1vf9DDsGuJIV1hsRt3dad99kyzFEmU44pW+3jBKSA9nJgWS8Gw29D4PEXwy1dUmQFRsUBX7e
549iOsctd2l+HN1zo71J4AnrW+mrPpDabTatwu4VBz9v6UtutAqrutX5pvUxTdbGxUSsiRZYCaN1
bHSq3uq8XGNpO26kXUxVG61KE/YheBO+25JkbVm+7nyx5ofCLAO3I7+RMPPU/Sb7ZV3yhlCe2dj3
UbJ6VuGGbZx3dzmNEIZMa00aJ5wayMdTJg7DhEyy3WfjYRRfp4Fts7+CT8ARrDxa5o1m7ZW+yaa7
VguS8RCJfR2ezP7KUA/A25vwkFMVuPLKQS6j98UG+9Gha0TQaZ+degk5e1H7eBZ+iQwrrn6ukZal
9n5qXpfyuV5fp8ivizZ91UIyh6zmlQyPTUi2X/rcVF3gZphYHH3XqcfWia6SmYMEN62HsVukul9G
YjOom8yag2liBoLZHjzEtcb5G1HGjmacjwji1U0O2agHmmrOPeqJfNmZnGGh4Av1yPyssq/H7Ovo
vEo9f5K0Ok35vTAoA5cdRtxgjjE7Ke7TZRcTqQSRgloQHwdjGOKbl11Ikg8HIgDYBrM8LWQiTAQA
QkcTA5BAzOewgDMLn6HseXcLX1i6JBuCWAOIeL7OrargCiwcXRm0pWOgJJsMdDKQqrsGroczRkEs
T1CmaL/vwbwcRvm0eOadXllbBdoQm8Me7fROuaQWedqXhqV+qsbdzPEqrh8UQ8yh8eGEY3Opr2T+
0LEr9xqebOYrnvPC4f7aAKtWNk+h+mR4d90ZxXGNZ2Ku789d9l0kCAJ7AvliYnC3dCX4Yr4yEPV7
z8N8xIOXq00vygvDFD9kFh9mQ2CFHOcfJ2JjioJJFiE9TKt3Fbd1bY/kI1noFsHIzpyPYmK5zZJc
bDT0TJzBYjwmaBLnat3kstOCM4LhGwFj4TZVK/kCI4oeAE/eEORecH3EEm5bbnbC1X3F1TX4hBbZ
LhjVLyjMt6h9tjlbTD5avkaHnkxKv/KKoBQHhDunXph+xrQ6i4lCJ13SqM5jyeZb0co3KU7IlUpI
ZxXqWuNZJjIWc9H3RhWM3fNDXIaB5dwq71RjmXGNzE/QedggNsxlH5la4NDyyXRrD6CGfBNGasVy
ZXDiB4v5OYqVVOj6WVHvW6Nm8k+ckHCv47VKMbob5EZPRi2CxDzIudjN3RjUOXePqC9mVAUVCEbY
L0E2PCtyeIYuZTrEnQrTRSOWJFXXeUbZmRWXur8pmGMNBYkU66kVnoeeNtdDGx31NiP+Ou4hPFFI
DN86lszRzk/DKI+RHe1cc+K42m5Uc7vMybYr0l1qL0ePQjT2ONBHW8cuvhlOvBtZ9ptS0nR5xR8F
dxJpDN9jlVtB6KzxcxKXAdUn18iFPTZqyCW2vUBwswQIREDlJzvT/lq4D0NvbgCisNC+cDeb4QYi
2B5Aqp/2cZBphHxEcZCHr52kMtGKgzlzVK4WAoieW33ZlQbfN5rV8olDgV53O8HsApUsa9iurd+i
3NmX46VYtJeozU6DKc9NihzkpcgoKadxP80XQ+E49Lr8Rpva68nojkvf7BMddQi3u5mfRkonDA73
P5oM/1HnmRYg//xp4sN/Lxdi/1ldvxWf3a+/an03H//IkqDJ+vu7C976t5/+ZVv2ST/fDZ/tfP/Z
Dfnfcyfoz64/+d/9n//r88dveZzrz//9t49qKPv1twFaKn/qM2P6/VNtbNsOnx9V929/53dPslyV
rvhePITXOumO6yH/HwJZ5zfwtnRnQFr9aFub/+pOW7+R+wxl3aG68sDT/7M5rYvfwIMIiyhsBDyu
RNL/SzP6z5rTwJnoIfzrWItcngRItCQG9gzIvwCNf+4xAMuOtHKO3kBcasu5YJhTXNcm0FU6ZkPT
HKOkTM3Ejxjt1QHWZGLsV5Gi12nUmm5q5Qz3E3Bv7HdGVA7z7YQ8rw6vMo7RjbcRrcESb4qi/Y5S
YyGEaygjt39MJ4MBP1gbozKJOMFMU0d+YYA6RbHSdF7zJdKZchlmEEorVi0tukRBEsEsDIXTpf6m
yek+kgBasVZT0wLlu3im0tGfDQt+vIc2Tof8FgXCYL0wIshhlFU0hW9xkMLbI8BDeG+ofllkTSvm
CIVAV3HYKVTlbDIn4myeFJEQpwi9WYjeoRfNFiFo+z2MtQ4FramP7QPcK6++94ZJ9De1XeRftQY1
6tGZ9I7jTjGKil6VHb2lxYQVM5x0lvdihar5Du4lzL34DJHwwEqnZ6o1XWB1ZbNztXx2fGtwy3FX
EmBV3ThjJRo/G2uS2D1zzrRD3+K8u6tSA4+4OzaDHcRtzzacWI116Ew6gpTM69bIdJ9dLcszDbIg
Sr+Xzs1YREJJuTAhMfsO6bkbPkyGgeV1jdxVnmXSRY9aZ9jkQrlG+EFnpGMMoZJ6eqotkXj4p6P/
x96ZJMeNbF16L2+ONMDh6Ab/JALRsRNbkdQERlIS+h5wNHuqVdTG6oOkfCnGS4mVnFXZszTLQSoV
DQLu8HvvOd9JeP5uYt2d46dcj0x5YuZN5n6pK0QiD94o5+YDxx6vPdUVr7Tp29IrN5Eiru0kn2p5
pYYMVJ50m/E5Z9QJaawIUryoptSvCSYhb10aSoIZBa+FwWsuGCEudNN01SyT5HVcGw2HHjSdn6wi
Lm7mnOLOb8ZQ3cLAlVSSCRXjKm1C59IRZGTyJLfbaTO56Wj6/FEGdZHi6ysChg5xEiTHm9iEgrOa
gWIBtCRx7kPjDKgbKDO92hw2LRTJRkchMVjDs11klPNBaiILi+q65LEcT9jq9BhBDyo8VDypHouW
mU2dzedd4SL9mNHLo06DdGxtorjw0gsUGlW6VUY23VU9D8/IyYPkJLcqHKpJ7MbhBzxdkGFDonSx
Dle28YmWQo0TRTfmr7qqXKxTrWTZ6DUqtPOMhqL0KbSy67waDAxeA1PKnYJihqY3lFO4s6mptnEW
J5aPnT27zpwBOLEKGPpC02uIVEW2P0OdRNoLbLxLg2yleyN4Q6sFULmDEInDHAuNo+2ywKbtAEt8
Kvw+qIzHuNErUFnMPuW8FkxbzUPbOPhNLJEqfkLhBWPr932fBBsdOBG2DyTSpCiOso4PA45T4oib
ebirJZDDnYYa4SqK0Mn5SFigbzHgHilUe3uhrzl2ESJCGpGaZnmmnSEyDSeoWDUnvTrF8bv2JkF5
1WPPdNYYo5e2SukYt2y94Y0seoc0T7dv3I0IgkHepjBfhx366CG7IHC3j/wwWEbzM9lq9BhzQ2+3
CdnA0UPTIiNbWKQTS27WUtefx9x44loPwyXBIvIq6TqKgWEQmnbj1Urt+eLapi8KlzKsLquDHHI6
WQrtVeoDt0NPihmrKphsCEK3VUHjEw5UEQOBrIx0ZhDTjjRR0Kirdhs7nZFtRYd6L15VQtc59+eu
qD6BRCxOwe9L8xJkQltuW45nHFTGDqNXPWrxE2A064pJH7u6GO3e2ZVAYUxSV8P6q9MyU2RKJ6v7
vB+MaOMace3uCH+14KxmicSFE0aQjPpeMMALgvJWhi1XKxm0Cjewg+J5YzuKOaKT6FqyBWC4yEHD
BmR2jMFIS8goBYl3MahKivMk05xJQzhgi4995ThPrqTffd8i9aOU59JUaLOiNL0B6OiBkdR0M94P
NqKvgxztUW0x32vlRTGWOtJbE8WzhaMwOYlkp+tbZq3iGYE3miovHZxyYzBSMz/oeQRzQNcqgoAb
aMARWGpHE2xR8yx8JOwT1D8iycwvhVtGYKZoBHgaOuxx8ipmeSigyVrRo7SeLqMEUJ1DL7KN+xQ+
bBxQMnUzueliJeIAoQF5sL2mTpCjh9GpJMg67iiK7c45s5Jca56RyAR0pTx4RBlbQ9YM5rrMUjO6
R1cGzLRv8XS+2Gmp32EqmGAaT5aiubr2tDxge1GOqJ0PTYjda19Ct0SlkdYdiZeJVNE+mbBI+jwF
UypXleT9pbJcZ9rFBaawzsct29OeyMCJFz6nlERNa2Gm4jq33b5bY4Wf0804jobhh9pozRcJ+FOs
LUlMZs7kSLKHyp5n29rBS30l3djBw5jmoCLxyWizsbOMaAl5nlB7nmEJjvrdHIZu+pCCsKRDiCct
Juo380pS6CEVRm4LlTnhzP9loWyWp22KodTZlEE1ZsU2ACfUPbmAC0d3hZ2tK7A0xJLsqraeRPEx
yZLRJFCWtlxEe4oftzpkCd7IbAPKcQjGjdcxnzsvxsBZTGIR40XZ9q1LM2minSdFHvPDQeTSJTLV
fATLJnniUUWzQbiSIYwugnZV6kgLUz/2dPIUmWwZo7VgpAtD7SahjRNPjB7lzoFbN2RvEqCro/Ms
NzX7Ezq9qT1Xhl71HwYsnwh7TC0OmvtKmJV11gE+EucC8jaZR0xf00viMsrC9wCpORmdn3JWl5Vd
aNNtHTS6euwg1UEo05p6BkkSj1N8mATwCR5uMfCEaytw7KoF4GaUn+pcNvFp1g5asZEWWM3HAPJ8
vUHl6dwuEeHnXDhn9mdHFs+V02ONQVE/JurTQCwfMbf0DKdTr0pteRJzMkhvCVVm1p6qLn+uiy6o
9lmpMnU22izjQ6AD4tsURKINl5SRwF2hzDr2fjE9RKdTaMr8JGDCVeydtJi7B+SZfFPoZmFzP+aJ
ddPkffFoQ5kSd3hYE6bIhGzKXTXrVbwPaa4ouoiFqtlSBGIEoYamPxjonbXbLOMpfT14pZWD4chp
HO1dGS3O2y4y+FC4Xq4jnU1/88/LpP+7Guj/vWw8xo+/Mwn2TfwSl6/qIJu/8r0Oss0/KFnwYJFO
aToG0RF/lkGW/cdCXsK6bjJPlghv/l0FaZgBTWLkHA8jIP8Wi3Tmh09QoxCyCEwUEIoMuEqQEf5J
IXTklF68hos1nXqKNAukQkvV9/O4lwiJrEhTZyTh1jFO4FGOdzaUfbJAUYqv527otxzkbD+pO/Cg
XTknT4M+OIDEo+nw04X7m3n+67nmt4+CZXL5VvgmpaTCe/VRCm9qoVvG7MRl2O4BBcGI1uJ+71Q8
Q2jeRN0VDqPgpeaQ/Qak4XU16CKps6lHKQr5IRzDloub8qchJ319bWjNGRaxFn10OwYxQTF+SUZ3
24S4wH7/PfnJfyo9v72Z5Vn8cHLJUpLe0ZsRKWlbnJwIWNfkRDezfzIrLd29500olYE8co8dW6Sx
+zUhJG6awCAbUPnQx8TRZt78/l3EouH6q4zmuyzDbn4q+GJM6onzOrpwERK0nKOD33kfwuqmQBDi
1VeR3M7hx9o2VpR+a69njlPyBLSsfRKihEeTmNJ2a/GfVcbk98twx4XR2HunXJYVhvO1QdM9mJ9L
8O0dlEtNvjHXlqyu4w+O2dYULqAz4imP87pK22u0sLN7P7OwQ677mpPBNkUvfx+4qey2gZgJWItL
/ckM5vl81ErvNpKUPatalXhG+wTBl6E1M2OZCWfRusq98T42ccRzpCzcB4k96MqjmQAVNWhoPYNr
jf14mMyrDgvgLU8QpmvIdxGwpXYaHCLwlxeKCB3zIPqZkZYQLWDVssEpzlwmdImzp6TAndLI3lp7
eax9LBLzI6VfzcCw6RkdG13vGBsLsBEeWpDuHoFTVvcWXuE/bmA+A9JhD64BZAv4Gq9/dCwOpZbS
h6Dd1qbnmh4grYo9541l8h9r0sHHz8TcNNkP6CMdLZMuHsFldkbn02SoaTc3HFB0zn/kUBBfPou3
sib/81Y2F84MEC+HDZvT1etvZWt5ZfU0E3xwTICV+gL5gV1LH0m5TlVVWuBM4Dn/fgH9zZe0UVou
skuEnGBCXr8p0mWgijbWVSftL7E4I8UlywYSlndZTHG2/v27LTvo69W6hCTrjjQsdnw6Ua/fLWyd
IWt6t/cdIi5XIDAQwI3D514L3O/nAfqUf6lBf1Z/HsmI2BhICAPaA8aNPY4t9fjXMyqBo0x6/oDJ
8hPBg4KpuluhlKrL2L3FcXem9SQT+DMNr3w9cXLbFrFsEHM5wrm1J2V9iLFRut8vwT/q5/7/elBh
j3vjoNI9FfHT66MKf+lHy1YS4rugn2waoi43+YJ++6tlC7VAh6DqLVpeb1kcfzINnD9M2JOokGFH
wVux+aMfZxVkyDx7+M+C32x5Qoh/clR5vevAMDDYBmj+LkmONEbF0c0r7M4rVR9/it0Bf4AzBqt+
fDMD8/UK+fEmDrBq2m20r48jRWWeOwwhw0+0v6J9MXUo8PBwn+jVYL+x8v/263hLeiM7qWu6R5to
aM1e5k3eozFliFiMwVPXJALhbv7pR778vrh/Xoj/+Ta02E3An5B6bH65o7fpB0vFbWk9DHpNllCh
5/3taIEVemNnWZ7zf+0sy3XjbShioOlblsV6f72zCDp2tJ/Mh5npHVy9wLwPXYDntI+Q5xJvgyxy
qtcqz8BRTVn1xpd8fXL8/u6kUdLOx3rNA/3o5JhyF/aN1B+wswa+aeQdYSD6ZFLZ08K2UzRYfQbr
Cjp9ev37y/t335vWPxMLKkSQxkcPjTIuNdEYBF+IsEvuxlwOwXqwW4ZbtEA0fd+ZhRS+Td2dMWkV
YJpKt8LL9ftP8Z93LQwm+EsGlcLywDz6FPYUVxkZZw+gP+WGw+xtXWnhGte98Y/faOHbmBB/ocry
4Dr6mQdNizA8mQ+wV+tt0Fv1RqVTuEaCFb5RDHD8Pr6lmLiDl0NK6QA7JrL49S1FmpbGTRtdzJMZ
ZusJvkbng6Vgsbhlld/g6E0NmkypR7YRtqMTxwunbqXbuRsjm4VNhq5BkUTVdkOEZHmxNdL9qGKk
ALb5lA8dEsTQIDxhPRc1I2MbhWu5Ud8slKifhLsSTYzGTdPDzD4160J34BEuRsxmplGDzLg1XhhV
yXGTqJlWrsQDLVamkYZLRmSoSLCrTXrFmm2a7SlSqPncteb+LJ7naSSTIoX5NtR99USYpinPWw1C
wpVLBXKPDXh2iJIa9XIvkpD4HPnN+poapsJsY/c1veLBHVfwKFPudUDTN7YqcsxDZCdg4qFDyZT/
mzNXJ6v4M2eexNqQwJOpQyBFczupQfdWdtUA1MzSXHP2VYwMvQqqSF/Pml2O6/qb0diaS3oOYSiX
pmwAuk5ZIDtvHWI0TFI4bBJhkIKrT5FWRJ8bvbDcVdDEAqUfgzfM0RAo9PC5t+3gelaWxgn3m4t6
HBt6VWvDHok+I8YAxFl9UnfCjPQb+d19vcAAtauyt1sUwEYwFi3mIjAZ9ZxeBj+M27mWZR5GbjPo
OkPbTFXVqGolq6FoNeIOLbgDj1VVxol5JWYJFmyPZyxvrxO9IUJsacFrgX0zMKKBEOc1dTOtO7NP
OxRn9ExrfWvIRAkO06kVVZar6Fl9G7zlgFc79zbPOHpH3Zqoa+ZKUDHIH8A88H1yh+jl2yDPFqFD
VaGUybAilk7PxC+rS8yFB1WhrsH8Rb3f3Wbf54TmMjOcv40PE05wzBLV98mi+j5ntARGY8Y0ZmU2
ELiSyRqQb+VoDIs7Ar2SskboARrYWpV1ZVa+NHkrJH9xWNUHr27HlPCFWs8vIk9P9VOlAlvftWbc
fB2mcljyhBv33INHVx1KI3fvTaIBK2ZqdvYlyUoRfq1GZqYXLQ68aNXUAfYvESrtQ+dmcbCDuEAF
DahZoJJ3cTfgsBnz+TIoLXXFs8EKPzDx1ObFHp88jmWXODvVgKBGaiVng4shhrG8jwSNxl004346
60j1gPQLvkeR9rTU/pgFjeTUKKL6wU4FA8J8bsmAM2bb0NYd4nyBYH50qucwSscOv585Imegn8L/
Kkd9xBJM9RI+ENuhmm3nFYF2Nw2dMm+NWQXBh7hDIrd1J1O3HpgIW+btZDPr++wBaLRf2rg2EYjQ
cTZQCFt9Lsr7ukT+naxGlrt3nug1QTOroEu87pzouZx0F6V3Q4CPr21UckczvMl6xh6RM9xOZlng
GyrLcO7Zaxh8n2ltOPNbRqFcF0ZiX05ulRUbkAM93LxBZVetZaNfMmKdXUdZzNwwkiupb+KktWFF
EshxxpRxjnAwNNmVwdjwsm+SBAdr0yJ07bIqxqSBVxCBjhUbX/uaC0r+XBK566JVMlvj6rMnHzAE
tJYcD8x5zs5C9JGBUHhXxS1P2DgHJbBjlBJchVhwP7ZweHT0P0vtGWOzZmCY2zyG2pB5xKqQSt0G
oWPdlRq4ZF+GOXmTXjk3aFkI2wPmqgVYG0TRx+i3rCYCsOHEj+3ExJxtPhkvDRkh38ZHi1Y5bQOw
yHERKsALhZV/oNZgazeQBX0sBhF+cru+QWSdasGjLpLyhb604uQzlAlWaZF8iSQ0qnXUxu0nW9P1
86q2oMYaXczYs+87QvkG3Z0esTLmDOGthIgSvJYaREmj9D5ZHvMppO9NcTpPtBHWUFja+3Zoo8cJ
Ic1zJIZq4PlR1M8daugR2SKRGdVYlPEussXA5MaY8wMxLnq/dTHXKz8x5/jZcnLrSoE9uTO03mR8
ro0kSLmAcdaqq+MbpPPtp2g05F2va8MLO1SSbABgeK7PY86I14nTCObFygUmMOkzNgdsEl/HcHSZ
5vE2tOvrwQz8Sm+YXjCyLQiH6nr9ehYS76lizslcza4ZBMfWnCELGgJD2/KlAXXlM8mbu4zFkSNH
hEzDSsxnll8vMKTSi6gN6JbpcIFvfjidOZBOl5Mlxdc+RsTYamq4yfgFBqAJMbOLIu1Fds7SCS7K
ZBao1qUbzOvCmxddLK3I3HddpkiMIWsoDCVoqheSNRimSjUyrx7nNHyZEgd2U+dFpHUwUmMvJA1i
wYNNVnmBL4rMFn0equeGVr62igzF74IgJn+y3aYmhsTmmLFlimuh/KudAguvHqaVHy6BETv+7yZb
M5xR6SbNy/4sSi1lw0ppC0Z8WpA+sGQKYzcEBY4fJiRMHBs4EzBoRWVdm98wB9+Oev+tX/9F4fDT
qXdRNP1QKi2Sqf/51zkMpfZL0zx1r+rX5S/9qF9JNDAkwzqHegfsp2NSC/2oX/kjIQHmYNAB2re0
Jv5dvxr2H7Sel3LPWIKjF0znn+Wr/Ye9IIeX/wiAHM3SPylfv5VAP5VI8Lwpi3TaIfxjWTQ8Xp9n
FZYmm5S90e9ts71LaBQ+8nhCUJPpxdptjPQS3Wd7Xmat9jzOo32ZlFI2K4j1zUvvFONZ29fThYeK
9VoTc70zQ52D4X/vrm46fP6ff9E3/d3ddfG//1f4pXl1Zy1/4fudZaBK4yawl/oW0C1TnD9vLP0P
gxPagpql0070hqNTX//ZGGH0YywBDxSHHLewsv11Zxl/2Avd3UMFB0WS4vGf3Fmw+V+VShTfVJ+6
u5T3OjhKBjqvb624qacYJ/QmwOuiTvNkLrE5MR7N1gOn+M8CnhFO2T7Qnb1WLW7Ysq07HeVSGWg7
06AyAbamJs7VmqfAQhBlhiXRneIac4ZJqiGUvnQXJFUx+xK43j0SJndYoUQoXqyxi57bMeHQ2BWg
iYHsVbCNsI+e9HpThs8DZ7nwTBPGfOKKrtxxqA22WREo5xTUgp5tAwMh7+B7Oc1ta8OpFKML886q
OZ+6RjEJ4rhx1xQNci44TaSqiqSo580MITXHu1NE89dpriZcs/iVVgJcQbV3E9tJNhVrEiu0Dbpn
9pHbSH03OS6i4NqylP6lgJxTF1uynZVciMQlVBAeNoUn9xzwO8zQ6A0CjhJiKleZNZnmhV0yrVgH
qAdwEgJX5pw3qwanmqNZwee+L3sINBOUkHoKCgTTHIFBdCgsy4PtquvJwXm2hkzB2Ufvh+gy7Vur
8E08VGclrsvGH0VdI8LvYxI40XIA0yO40vCbpBIYa1AcA3aQp5zZyQEg9uBhMjTTWTHCAPYMGElf
m5xVX0DdpnDjMEPfeG2FXXJMPX2F3E75ubSST7lJV3s1ZF4f+0YZIxLXq6Y5BLVW5+vUE+jMokmH
88tzX16kWdRWTP2ZCvgy6R+NYehajiXzh1ZEwwaWIubDEtBdA13tOobc/yKFRwprQ2gZ5h+jeJiI
xtpDXvQKwtGd+eOc5dZnzr1g0YtosMtN7OrkXpsyNKA0kwqAAicSNzm6cX1YaSiJgz3HOq4VYXtd
6jM0CMtbMj+ocBB7OuTX1c2YnuVhObhnhezckXhSC8ZagPLCbs2ngbMKvl62+3a+4GycTtum6zAo
NDH1+QVbKggW1kVabtGVlbfzZCWnsgYWZaX2mSrH89nrvvblYhqoGOpMQZ2toiw+hCoDNKLhlWpi
q8ck53W4APoz9AaY2qKseE4sCu6G9FE0L7rfQyzBNu24L0NT1ZiA0C975J2tDGLp9ulA9hc49V0o
KrKjo0wxMxvJGo60j12mf0yhju5K2REgPaAkz6aKkJG6PxsrzzcGklU7vvOeFhuJX87HQDc3ZRHv
WxenvmCMhwkTgTbulnGTzvpnlFUPYNufAbeexqW94bFDrvogcWRl8rNGjHbiBpca3ZCbotGdNVEn
7SouKT5Qt2+CSgjfnDwypxM8Q9ngfCbiljBGIpRXHIFDGl+6n1pVvXN7g9TMMVlHAYqicmzx7HVD
/Kz4vaEIEXuWh2deW3PTDJa4L8rwvivDE88LP0nYl4h6ovVACp5ndYFfy9z1ldZfVLAsH6sov0Is
CuhZmfvEwGyf9c3J7GRUrZX2IYyCPTS5+4X5hohrRjrj4R9ohR7cpUZuX7dVdWdVw6OWdx/omFBa
dKc6AYZ7ZpbnY1Dmd5wXaqaTXfkVzpUGmwUTlYgtNovRGaeTobIJ3uCsnSmF1DMc7RVT4yXJuVfE
qEqxETN2QMiTFqBtHdsefot5HYwogBrMA1vXLknMEn21h4f0iVJcbRPL/ow5NT2vZz27KLzmMiyw
QBoY4OiF2N4ZhSRXxBEZsqjWvdALu1lXvXXdtMZ9NuhbMN36yotketV53T5JBEG2pXUAEopjI3iM
bPlceHW2rgD/AIga77sRJmM+gnGEOGNtOKOQ2hGTAJl2SIZsPdmHit4KwBe/p1FyYlUtjbfYPDdj
j3RRfI8nvUPOLtUV9o5Unbppe+P04DC0hC2kiiO/d+YXWrjXuWHVJzbQvd3gDA9ZFuY3TWmCtRrG
mmkf+NK4E2IP0XUvDDVe4LAyfZorZDbrOC/M+qwb5aZD8rdpUy15ZNC0a2T4jCBL3ip4wFne+mVH
ujej13yT1Ia3z6PY9aNOVXtraO7asf+c2yU5zPFpUdHDqqce8pn52LqEV7PZaBdjN9HyioF6dVp1
hQcVwqkY7xA3jltdGif6MJ8vOKh6gCLSA00wQFYgcHMwZhLbAMRpF0u5S3uj3NtRu+1KIhNoxiAj
9fxswjTb1dql6tXnUs9PprC+MI360M66dlCFvGJ/yy+cme/ckZOFJBa7qmVVn4kzvLP04qtopxMb
w+pEsps/luUZscXermGasJ0L7YpqN8Rh1LDWR+2Q1/KkUm33HCngDwF9wrwc8EviNl1LAscJD65f
ynK6zDO3XIdV9xLp8cSO72WnSKc0qsAaxGYrtqkeXs+9ZwJbsMGmeJ+1cf7QdZlEkm2d2INzTjxB
MmO7IRqAhAuD5mC9CkTGdlfoVld/1Ts9ve3Qv+NgCtGdggpWOr+ARwW/NdGXYAQirbd8GY2xI7Mx
csx2DeZhNj7KCJUfPQSGwlRygntq25ZdPb44ZjPDZUIxbWAWh3HKEN4MHbOvfPDW8fIcG9wMsZfb
p+lw1uWwINCC5JoFIaq3YvsKFUNJyLyu8cQpvwqjxyN0QBWSiHnTZ7TDyIIn19ZYxxEBgj4yftly
chLtIEjeHcL5k9TrbnQ2QYNGz9iNegr6dWcWQAOTXWCWYix2bdeNGp7mtthjLlbijh9PlOpiCjX9
RCcH9XKEO3aF8FF/rnXWkV/xrBD4kRRegJvGsZhC7x3o0dBV8gVxSDM0tO7TocBdTOU94n8sJPfQ
FajbSGibUjOZnqNbRFFDnT46FmatGelC5Ws6WVqgExEK675blne6kQ+Z9iGGQtwah95N9cexyAbV
+VHSwVPjwWcJ9GoY8Hop6/EsSQY3X5tBXEfymgEFoamxRURZmmphnewqqPVhxO8wtDuIxpCAAcQY
GYqLAO04DSW9r0keMDIiv3zSyR13oRPPhWWuAnIxDQzGZkFrE1mltW6/Y43TmQfNRYRmtL1sA3oY
nAg5XV9N5BU7a7Ot893YEQq9Rqvaxo+F0XzqeBDEd0bYls7NaCRdeGB4XZXPseRG3XCEumy0PuF5
8p3BHDRdeB61mgmSkY4jQtQBv2m0RNJHxCGBb6YRM7MVZLR9VkWzUJ7ppU/xJVT/sXvoStpih0Dp
Y+BHJNNiJhy56FLGNIy0MhvnW0Ch0t6qVhuSD+hessndxE3jOlug5AqyI9C3XTrkjCcSRyXjfZGL
9ppYttBZha1tNEx4KuQhsfJqeRGpMSphCU6gSYox0yt6IUlHti6xWfsAZoKzixAk6izvJfOGI3O+
0bB/INw2UKegw/bS9RBxokEUG8M0qkyP6Q7GfOGF7aou2q5mpEcYbzR9gAoJIzQgJj07QFkT8mM0
kDdMUxK+rl/RhvU2kNvLkoum3JQkcLpDQwkGkpgSzAaoO5sHyFWLAjuCm+am2UneiXbbW1O3a9Cp
34vArB5hoZEVzwMrQ4+8GVtL7IY0weseaKQwVVgXfTjMHaTQ1lpTHWhno+eUB9tO5Vmq+mE/y3E4
aK1TX5cZux3I0B69UTv4HZf7xJ7hcsyjK2A5LXFm5Ame8y0JTomw2DiNjXGxJOBqb9cBz7E5TE/d
rM/BcGbkuMV2edsCh163UArXzKLkuaaq7IlWdn+SIF79mIyOjrohbL4WU80p0eGM/yUDmPy1QYkP
58IR2rPb92QD07d17gkOZi7YZNgHQ7c2tkbp9hx5YrHFFUGjCZXMixunFQObMSAWMGiubIwsyJfz
Z54oz5VrkyjeZ1j0y9q9rA07faZaxcfZgMCqATzux7GM5LrlKXloYkK/LfBLuE2GQ5Pm095qPEgR
sTYzvOjHZBOHbImwu+wDqbP6dqoV7AtRPPDAydYQ2asHOalw45Ftvc6rIPoIoHoERNKden3bEfQC
Q6BLKwoTp7eNrcfIg2GYMtW9B/Leb6bY8SOKp7U72XI/1t2XFrDxFlJ/eTUM9WVeqPwshJNKNWZi
SyKXiuMqgDwjd1JKsdwTvhhqeTfG/R0GhuiQ6FLbgJPdytApuIzK3oSVbpyQjDatkjqOX/JmKWGd
vDzPC6KUjN4Aq5C02U0dNlSNg8S0IFV1zzfhcDp5vdqVuZqoIRP7APRkvhjytjr0QePwxdW4M8WE
9it2unT73ybMjybMIg75nUQle2qP9Sn8jR9dGMP7QzgGMbM0OdjU5b/be573h42A1tEZFKM/+Tlx
A3GKg6gUH4iLvgqpGk2dH+09/Q8XGa2xdAOFQVvQsf5Rf0+8bsLQvyD/FiXHt1TLn7SjhQK9OqeB
edA6RqUTRFAOPAQ9XTtTP5x23mTFPJSFdo9vA3RwE3LYoSRKD8QzG1fjrJUnpkMElZaY7iEbmDWs
czNH3hIR+HiOt8h9qiBvHyIdG/FmOVYxhmkYg0noOFiHHKbbP131v9GMfEMV/dWq/OurLCP5n76K
l7eLoKuXhyqbWozyiVt9aR0D3zYOBObcFo1UvM4xkyg/NbE2hFSwMPyp1VN/jPrqCz4y9+Oc23W/
6in33BVTJ7aswqPTzyNMPA6a61544+R+4rfOdlFsFhxd2NKxN8xx648qrx8ZxrnbnlPgfa9cCbk6
dU5+/xVf6zb++oZHSomlcYHzOIFPFC1zY+nO3QuTD/i4lEjac8Ij597i8UBuAEeICVJK5Qzfm6y/
1Ma9Vmv89d5H4onRWtT3bjkfTHPWLhdd6iNRIcED6Q5wa37//ZbX+rtf8KgTSPTlaNntMHNzmcu5
eCqecbbpN85kRadeCUP+DeGPWAREf/dOy3L46V7By2nGiSLgOubqfXXMyL2mOaffodOEUjYpZ9pX
SW/mvq0P1CM8oD+kHuX0ympC/c71av3OUL37zHBR7d06JTPG7STnpaYSPaBhHc+iLAEVkdo9nAVj
xsb/+2v0qwXLlvDzJy/1KJJhrLrdHFs7pk0nJB68kcj1q5em5fvzS/cNLbaAo85uGjisEX1hpNUb
d+6vXvpIyJUiVJEwNbpdIEAm69G13ofvvCBHShsvqk149zWfuk19TKq+WT6961Ifu6wdbJdtZPPK
KW2OCG/lVDSb97308V5lZ5j98rLbIbPaCAIgM7333/fSR5tEKkYxO+7Q7axU30It27jJ9May+cWv
eKzAzYsc77VptTuMtVfLHLoJ5DsvyNHSbysXLnEZdbvS9Z7JZPNDu34jInR5ib9Z6/rybX5e6+Pg
SubT3CDaxCG0wCi1ykXW3o7k035930U/WpUIR3QDtFm36yLUVBAdau/J9Ia34IK/uvBHKzOjdrcH
jzsxnzz6c+MiJqmN8p0/69HiLDw3k0bKcLyCBDq7w6Zr6t37rsvR4myBt7eqqrodQV4+QixIjLK+
ec9rYzd6/bu29tAY2Zh0O0e0N8jf/URX3w+zv3zY/f31dphwvbpl3KJEqVKQtUqUl1/iwW615o2L
vSzD/7wbEeu+fulZixXUazKa6OVM90GeEnQEgpPMYTWTOWgl1yFK4bP3XaKjh3aTQNCKZlbVkDfQ
70LSw97Szv7qEh0tWNnTNxKA4nemzglpkDsjiv33ferlLX9asIoFKsiRbXcR5BsX/Vz+luT2Vx/6
aJlS7UkRN227003nY6erB3TH/wik+ef5CDfa6w89Ya9x3K5qd06UWIyCUEV1ZVAcYg9Wl+MAf3jf
xTlarIlQNCeo73feNMGrDOBx0bl+K8j5VxfoaL1GxWDnBJHwXKqjWzv4MhTa5bs+97HXKvBCd56Y
q+1qAXsBKew99Wn/rjMAbJbXFx/IcJbXJLTvMmEzFKh2mXTetxUca6QjLy4io6rbXWPBGGY86EH9
odXwvqtytEANAM/YjOEnk4BymlbjLtO8d16TowVKxt4CUFluFIvEFtsuT8gpeqsa+MV9ssDbf16i
0dBnU1l2LCRPrV2MaJjV33UKRUT9+qXJWw8HpfoWF3r+kSbhcxWk77zaR2u0phVXENNCR9cijgF3
TiMG/30/5NGyrBnXyIBIuV2qQTgUj/SG3nkDHi1JaFcFjG/2LLcwDwgpNu10/cZnXpbH3zyLnKMn
qJa7JqI+7m1lOqZfuuC/cs6562GIsissCAzq7AgNb6xqBxUx2IQPRlsne6cLadW2k4JyXBihRU7V
6D7CPvymmjR9BuPOZQkTBfJxXDlPUTBp13HqkdeCnOFOZ+6x9hi1ZlZaA6jz1GE2O1C6qEO2TZ1m
u17V0b6KYmbQMZ39z42Q+bZNp4kxujMB95oJwV2MDQsg3j4YbUJaYWYhywP32ePhIPnz9v9wdmZN
bjLBgv1FRLAvr2iXerN7sT+/EF6BAgqKHX79HDlmbthcqxWjV4dDLUEtWZWZ54yupKgkyCHTTC7G
W93X2o9m21FJ2pTucFOEQxPF38NVp4WgRnrV7NrYWUW5XDcg/668nwuvZxEq0EBY1BZoil0V+B+j
Uv8IJf/Gj16sO8hMYdeeh2uUHjIwzG6Z3zYRzhCsP1cGN8e0Wul88nzGu+Nt/JZ4+o3PerHqGOiH
3MzL4dlnNIcaTYZFK+qeb3va1t9f3GvlCCWVw41VRieqWY6lGd22Z3uLdWeuOoorpWSMdMO4gvPE
5S219pvbvvhi6Ulm6UvYzkQes7kR7nTCqXPjMFmsPQ27UsC9Hy+zs1YuWFgzHm9b1tzF2pNYGQ0r
udns6A0GVuKuh/za5mScv94/1rWlvFxDVa4sXW92YzAlX6MZrDn8LXudzFHwkrMW2NBefDDXuWiO
heA0ZemRuu2ZnS+N/5wAY1OLuesF63ViDCfdmn2AvFZ+2+74mwz3R2wsmkraHvebhN3U9ox3QMtv
m7juYuKy5+JjbA1eSIP1bZarILZufNeLeZt2A6LAgmEE7/xFl0Yepulw4wNZTNuo0KG2ZOzphk36
N9V3BYCgmybWsuY1m9x6FBSw7aRZP8FI2Wg1e8ttn72YtEUz1hij+dojJBQVHw3187YPXkxZCkDn
uUUDtjMCUO5mARjt2rw6v65/TKslbaPqpYyajo9uxD15pxXkpitL2Hnb+dcnLzZRw6BbjoHdHixK
3jet62trgDsFGURrfKysPL7tPOws5ibl0rOTQAJmbjZWmEX9B8o9rr1S47yc/+tXLDZVU5NVl6uY
uTnPLj6YcYaj40fc76UFJYrwjM1q0o8Ug3pIWMeaxLF9roBy9V92oNzbNptzifmf6w+uYLuYrOL3
hLhPdFBHUXr1N14aAsuZbFXVUOrsZDjVnsaifUJbeuUATV/1vx/fYibHWVfToMs+RgsC6iEuAfOH
ckzMFXYFHG9kz3RaBiu1qdxz5migrUGNlXbw0yZ4Vm5f/zdRLHNUFbZbnBDBk6dNDrEsj0LFo1qh
2is3sx2bdyXAt1OB9Pe2yfw7ufbHokzJEvWZHdxroyr0ozMbIHyDxrttGTIXz6We3CbL6k7tXCp+
oj5bOVTIvb9YnMfEP0bs71fxxxc3BoBwU+UrWhhL/9kem/aYSPpLFT1xt3170pR/DcfJF3SmFLxV
RZhJqB92Nw/GxRqalyLvSIQx31p/MwVfSAPc9kKXYIspTbLWpUZwBx97DHsKREOzba/cR1+YQ/Yi
8jFijcfgZRwVG/denyUto92Nh/7/RQBAW2j5LvOznnLsSK3c0YD64/3Bcul7LxZPukVNYU/MJraA
Yx8N9OgmY3LbE1/2ZkNzBYE6Vv2hVmX50p6rS1Nyb1fWROO8kfxjoNuLRVFNIGPJx3UHFXTIyvNs
Akqj0e6mB9vG7NKjATB6FQl6SmmJbB5TyylXehkAyAXSfyK/1B1ayJ5744xa7a3BXMvIFftJUFB/
2+M9P/Y/5iLnZPg92G0PU1VDB2UIriY2rCvP9/yS/vUAFotIVA+R61azuZtmbzz2tVMchNZWj63j
p2stNss5DIzWvLKfX/pri0lfmFXWTIL+2TpouochMN27YEzt+8nwG8y71jlFOnjjw21PbrEOTEla
abUgf2F7pX80uz6Aasobev/TL6yR9iKgiki4uj2QnwO92tVOUQFK0TyChalPhm/v/4kLM8tarAiJ
XmuN7Cm8rGdHISrOfqS9vG21sRahlTO4XQ78lOu0ZPoVp9XnqMxuSup6S3CDVoETSCVHOHoffP2n
Od34OBZxlBNA6i9Kn7Eqiy9EgNmDn1b+jc9jsRK0M30lU9NZ8Pghy7colL2EXtDbXuRyDheDQ4KO
01lRVieuvMNG+LvbPnoxgcUsEQA6CYU6soULoXPp/9zDjb7x4xczNjDHyEVgwjCJTWrF9GwNE9q9
MoWMSwN8MUPrHMqkpgtrZ+WBOEBWoCPB7+INhnTjmOU21b1Jm34XRMXPSrnpTta+dgpkpW1HUMib
ZvCiI1tldC1Wv/SFFpPaanQZD0Fu7dqUUiG3R2wICuHw/qu6sGKYi+mMNYudwxTNIanLGmVK3Hcf
vG7W33w7zV/f/xsXVtilr81CYNaPWlAfpIkIVDkq/3iObz/a1jRs7N6NKT8x6+f3/9iFp/Wbo/fH
1uQYk7SCNkYQVMevYh52NDFd+egLJ78lF0mOjiKR65o7Zniwq1xhh6YuHgx6BzbSZyW/7RcsZr1l
zpBTG9vcAaf/pTvFntTibavg7xKjPx5OZLbzpFpUXYHflwd9pLlvMLCzvf/FrfP8/sfGbS5GamYP
+WxmdMzCwXedO9G72mtR0tjhJ2ehfCLM+i2IUuuJI196p/WzT40tLZ3hHNvWU00nEZXv+Tzd9+PU
/DKQ4WynKK4fuqTQH9mD6SBMFMp3oiEBkX9b+FWEoQfeUY4cI952tky2M21ZdyCTgfC6Qbm14e1/
ahzEhoLKh096Bj7ECzL3/zb0/v+m35dFiRX4VzWJuN5RwJ1Sfp+dosS8rdLE+x0i/vG+KHpP5yQZ
1Y5yE7oIE9S0JmCW1fvvy7gwMX//+x8f3w0Brac1bitywe4R5g3ybltlJ/zXyS6HFJ3Q2GRIUCXx
DKjdnyOTYmWk3TgE4OyU4EXWJqGlvKMcNArNxDLoIJmlxJIi9dsqedxzt/CfwaagoH+kFbfdabrX
3wXJuXaxmeYrm8m/F0B3ed997rMbND0bdsrQjF1X93KTS7Pcln19rVTwwpK0RHbNQ47qaE7VTvGn
Nk0OQMFp6Dl8/y1e+vTFctGmohqSNqEFRon0Y6IF3cnQsmu3UJeGyPmv/jFEEh9WplbE0GXSYNzO
tLg+JQ1LOQX7wQfqKb1Xa2zkp/d/yr/fBRXIf/8x6I2kaIdgPgD9F5/6wBpOOX06Tzo1llde94XD
1e/7sD9+j16mSZXmxnwQIEFO7eDZb4U5ipdGt/NDNYwcznuzXiVGLK7MsktPcBFPeKIw+zY1dCwF
c0b/GwoiRCRjZW3ONanHqSjnF0yn6urp9Lza/mMV/p1p+OMnio7Ww65HU0TrNeLHSNa4pAY9Paih
DwQgjiHaGLkZH1OLFCBtv/h3uz5a0Rfk7zA32Scva+kTDqJ8De9d8jDEz0FVCcq3tC82Op0t/8WD
NGiGnsFMeZUaaNRrmrsxTcY3OxrcR7NvPFo/i7x+CuoofmxL6mHrKPe3BFcZ7eaxRPxVR9EqnhBT
uq2mY1KIR5wV6Ze208q1NXQO9P4ouHJ9dOlYvayQLDW6c0DjMLh8Zt8Kwkr8q4ZcpYd2kWhfmEXx
QdYGXPu0M3/aVpbeu8PcPidVkL1pg1s9Jdw3hW5k490eh2mT2nGg4edIkl9tRzfW+3PgwnTWF2cg
UZUcr1yO1u758Evy814WxjXm24UIRj+P0T+GRqKTGfApBj7AITp7nnzrPrbs9ktlS65+zcxZ3/Yj
FqeieurhjEVjdxhGBGaewtQ62fS33PbpixXPaUXZdGPeHWLDRoISwfPBHIK54LY1YlmEOZiZGZRd
04Hl0swpHBtbf2irOvuQTDO9s3RUbsY5mLhSMqdrYcQ53v7HpNUXS181tCgNZNcdJLbcb5aRyAqt
rZ+txhKOVFHkwfeMNnccXaqITpOs4mtow0sDbnGaiigvjUp26wMdkF9G5d5r0E+uDOYF/Px/Ks3O
0I4/B1xQFGockW0ekqaIOhyJoj+19PN/t6uu2MZF3EFp0YNorYMl3GWF69zPbTV8bduIIovbhssi
Kg0IS/FG6HLHTP3cs0StSeu1137h+TH97xcHoGTxCyMfXJzy2sOgLC52rewkvBjbUoXYpAjrxs73
QJjqU9SLek2uS64dq6ToS57Ntr1qhyvbzIVgjv6Yv78IEW+SdLkhd0XRahv6D4w94CV4Ggm1JOuJ
Ppi9LEW10cmR340OPsfemrC3JKW5oz0gX+OYx+mg8TVJ+rfroklo+vSm+Ery89+bO4iXv7+fRdGh
rNJB7mK/jsPYgi2BZALzs5lfY44vmMj/b7iBfP37b7RNW5kTfZ2Hs07nkx81GEhy6fAQHKkcEiq9
f8Ry230Tkw9hcegFR4ykT+ZN2SS8lK63nuuRCqFrHRAXJgB6tr+/EcRZcFgJ2cJepfPP2g2SN/qo
IEN0NSQWRIYfE26O1lnO7MDlCrHQGgqnxpCY6tc6SP4d80CO/fs7gA7nNqbGIlC3n42h2WbRtLJx
PvreNzipu6GVV1KW/w51AO/8/YeaPmrGybLR484aumVU0XmV6QcDxiGt/hgmvTKNryzSl4bTYtmK
Zy9xK78x9iZUlK3y5+GYzxq7d9f2VxaOf++WuCP+/jnzXHD/Ztf6fgR5tYrpTAxb038rHCoxyJBG
m1vWJzdYrE+zx81LO5fFTkzWyhs7JGTX1t9/r+0AlP7+BV5ej67W89F9qq0D4zD6Nx7KllWs9NRO
9TzY+c72y/pwhl2u+2C2rixmFwbSspCVSmFVgFnId8DVwchl7rmFjNZturBda8IID4BsU3jVj/ff
wKV1w1+sG4ldVxCNVY5pC0Vvk/XeD5xf9Rsw1XE9iizaBTqq4RTITh7yP+tDPlowQUunwcpbpBGq
d7gN73+bCyPbXywZs13Tt+7Ww06DJuq1gKDifD1G1/IdFyqO3GU97NBMxZxEDTQb3dK2yXAOuy2/
7gNMtXGdrqoxrXZ4h8DRcIrPthVsqF+JcqA4vv8DLzRyghb9e1jm8Dw1LkyHXT6gLzSxUnVTHzae
TnQ9bQL3MY/zTa3kozVMB4okN6SutkE2U2gRrU0v/sV16KoW2qnVNx6m8FzS/hk197SNrk3hHh2V
XbmBvzQQF6uM5bggiY0y3/WGcwbsGOCIROpI8topUmB9nh58N76anL+0XSxZ5alu9VmF9HcX2LmP
xc7p9O/mYJXf6RhvOUHSbLCK2sD57gTe/MMYDANTIsjO5mj0TX1lGV84R/5nG/UXK1KOyKgQuoNr
CpmAGTp+LI55jpQ+6h3xjWMPir9MGAfq7dZz0K2lN++GgOxzIhFkIFioJOjTZgTObIqNGoY6dLt0
ikM7FgpDbWW9ek5w7oDjKJqNHcRLFVTqrdXG6FlMOneB+mj8dGAFqytr+YU98Ezc/zMQrRnP/hgl
XPPETfEogGBsLVQkTdjM83zX4/A86jYe4dwdhiupvgvzeInV1rTGqlpXo6FlxrWiYheIbU9n6imW
qfr4/lS69DcWC3xVxqWG7rbbKZujiUfAtxGlsBFoNO3+/T9xYRdcFg0rzbTdutW7nav6dJ04ZndA
f5rdeWOiP2h+lV5ZhC/sVUsrCH5qXWYR/rYsdr62cNv+S0flv972IxYLPHJDAcXZ63d6YaXHuJXg
MsBKdSg12/zJbqb2yku/9CsWi/dYRI2FzI8J7DVbaJfY38Xm/d9w6aPP//7H4T2QgBUiERe7VEcC
jZE+d64syBde8bK+lVVYjvB7Ic7OXrSf89y5T50y1kMdoso+Kzz8Qu//hkubz7LctTFwETYdLcHw
BktzZWndjJc1HU8255LNBPNh3ckSN0t99KtP0JJuu5Jwl6WukRMYUeDVBdUKo35IsRbuoYTNt72b
ZalrZA+N4r5G8trVw6zyr0Kfvr7/yC689mWtq9SgJrkSKfsQNxY75qgfOwFI47ZPXwyqWFWlWwYa
h2PHqGCopTbFzcmn9z/8POj/cTZeqmlKoUdDmnDkS+MeXpWd6qu4sZ1nlVnGl/f/BIzQC39ksUV7
2kAo7nLuFUZBfmS2RJesytSYtpVws0MSGPFbhAseGayNf9ioxCmLOwULnkaNtTG0wyfIEV2YvlpH
tMkA4bXHMutSwDRJ+UX3s3brZUFhQlGG1mOlmr8F+9b+FHMyPxTRQFTtdelXvZqCrXJ1BO+NEcw/
abYg5ZUKBsTG4hguQ5v2ej208k5bK0frf4hJjFsIu/2nLLHGD2YMHxmqrVg3iWj2bR1NYhWXSoWJ
lli7uDOz567x2EqafN433Nw1wO4n6N9jPySPPrB47nrlNIVZ66R7ZavewKtUzQ9ytg0G5Es/Tyh2
jcIkNQ0qtf6UQqXsoNxN2amrNSjeILR0nUNOrO0Trn8fODqACMd39ZqXZQTnPx+fpQ7JOu1tW4ad
PtmbhMLdOMS0qz+bzQhJmprGV1LWya4vSHusKvjX94GfQFNCNTNswOOIxyKJxT1+gGAfNU1khVoT
yNX5XOyTkIR5AdqjMU+IZGvA77C19sEwRwdO5t46kBmeBIErdSXjZvqZZ4l5TIvcLoGXnelDukgH
f9VPReB+cFRQhAjDQQ41yCee8mmyv0cQaU6Ffg4oC/od7sfBhjOYqT55dawiF1tWvFGSCzdd9lUd
n5KbazANtaQIqpVvQAwRjQo+ax66iu4MTJRjp61Mx8E3kpnwa8Om8NpN4GQg/Iak3HPflK2xtgwv
wlCZ3I5OxR18QZOUk5LwUPTqSQUALreqXTDkY08isQIDlsoIu0ZktCJbO12XFlsB82l46VrDBtbp
26wDjTFSOA09qFxZSTO9nLOEH00uC73T0HTG9MHjh/yMIJV/LeKWqFVCUD1wMOwfck/HGFsDGNlp
SZ/jM6PIRIS9x3G3G2GLreLEqY2V8jL8rD43Wl/yLM7hLIH6etWU5tz7xmyj73Grl3ls9FUP+RKl
XF+uKr/Xz/r1xt1ST0+NrOt2rb0bODV+RQYLJK0XUwv3ox7cdTm3SkIY89x85c3g61ZO6tthUzeg
5nsmRkHeoHD2/qiaFcd8DDMzugQrNKvYwdSNq/xuoFlqVVYjR4Ua6n6+Tkecj78qs5AJlxFVB9Mp
G5M90MBsHSG03letFQ0rEct6G2hG3JN87keRhqpL++10hkU3Yqi2qCNGLNp5uncDlayrrAu2hTsO
x7azJv9gk8b217nSDDf0e6GhGMr99DHFDoYvXllhFYD2h/XVxKupTM+NRqB/96MD8q9LxrnaRpnR
pKu6ztBf6m1UP8iKturHUWj9txQkqdx5opHtBlXS95yO3WOuXDO9LyfUgyfTNZT+1rTBL70QSbGW
bBXAcXqsxms8eO7jWE5irw2T+VNBu3msbVc8OqYpVoPjFnVYTvFchL2pTUYouhSapkM7+Rti2PqR
OzH1ga9f/+hjv+13Gnn750EL8hdnyiF6uP5Qrlpm+QaRo11QlTcZh1K4+TnVpI5ON9YK4JOlQg+O
3RDOqWHgUSByvIs1ED6mmowXcvj+Ywk0cRMX0/ixtznzcDWZeR+os6xXwKlMbZ0HWbIuSzd4xBxH
mrbB29yosT7mRlqvvLRTBHGeuqdfOl/LccS0XhtgO+1ZRxosvE3KBRi6Ek0C6u81d61NvAOXqtw9
DQjqMdDG5Keucm0LCN/9mduO953CEWKtOCm+GaXHGqCntghp2pUrjM8cOo2if1SytLeRG5fFOs1j
NgAv82nXjOd+I7WqPtZGKTe89PEUDFX2QbcHuYGHX21r3QsE9fS2cdYZ1w9nrbjnqHNpo5dVd2BY
QxcVRZ2Jgy84f9G2Lq2NnPG7h13WR3e17fc/gj6p112Zs3IrJ14PcaSvlbA9/KGWiAfouCWCPSQW
K1xb/WOj193eBKz7XCLQIQJm+QfwONrWthTg9NAZJNNOd9vcYimYs09+2bUvKm1Jc4B9A3lc+okT
xnMiX5OqleQNWRHDNI6SpzanRyqkIFtsmFAYLZoJG30zpw/YnVUccvPnvTqDV//qe+40SPVSL6rN
kX1o3coJTSdlp6OqXnu2Vc5BI3Jy76vZNZYMsZVmhxKD72p2sX4oJF93ZVulb61fjOxcvaZWnTsA
Vqyj6ujjhajWujk3LItdYY+rsjRhw3Ud5UeslgBGwy5Okid88W657lKY1Ssn0cYnOxnIU83OmIf0
bxZbL87wggxm81DPsXev13xjlBCFuYpzW97PWcWuLpymeCpniyaKyIArCWfukECKqkLd8QVhQGpt
tADEdsNlAnahuRtD1DlSrqTSM5RFwv9CCQtlI55Tf5/QtN8DKxg/p7HojlqXxV+DKLJ2QSCMFzVP
/WZw4sGnl1DQ0OCpFryvGMyfeu3Fx8lMTHwbY7m3CS4+tnjM13aOWRFCJjA3r7d2o+tV7Rb4qHwl
j1bvMCJa+yjT8ByVhr+TUvinOuCC3vca4pQxtVYtERyXDLkeGibO44dSSeV/CILZ6dd2aTM2AMwF
+R5sOr4QN/MH7YdLFd16DOKx3Ylz8VeIDdpf49PJPoxxkL1aflR9RRLinuKkb58VFymvLKmwcyPD
kOO6CoJCwbNuWH7zNHtKyp/YYdS+6Nl9eh1xY9Ca4k60FhA8LRZyjZTKvcvGcbBoX4nGZzdLamtl
NyzueW2rY6ry4cNkjjjtRRJHG4mp42dnZNamA5PuHwcxFCdZEpiFLFLqTKsuOzLetW0hDAfb8aFN
J3B2KnP1x0zo5Tf07trntlHex7bxyq0xmu6hbjS6hKVmnlA4BWes7UTOjvrH+s0G8uVz0RYQZ1nG
OH0Bx0RiYg5GPBu1I/svAhDkmeqY5cSaQrn4z61K4WFhxKbSVk9xPoEIxs3n7OoqmGiFrtVJH6Jp
n+Kdfxy5NpXb2La13WxqIDtRo2AUSsoI+YHnZke37t9gr1vrc8q056LPK+8kwiorTFvpfNMNCvJo
LyztH22sUMaLqHEMYLhlt9UNjoPwV/17jZD+tbDpq+p0U74qWyu6LbhDrdpmCqpUHHkoazpUraFK
6GsGYA2SOGwqijjCyq9ca900gMZWow3KfJ10kfCPo+tY4kdHyL0lvuKmqcxL7TSgCsXz4ehiCku6
u/NQ2PPOtFDE7hpmV4lKXohi12pWsEJ0bBQbaJbEnLlIk3ugvOMOT1vLABUARcPA6p0jVXzyu+bU
3KO5lfYttUYtWccQ62WoaVF/D/tJW2uJl/UrAk/kJ5ZmqFUB92RdOH7ebHLq1kBzRzmnGbri1MDu
5sDoneyk39DwS3lmm+TGazzbzg/g78xVwMLnmk01PLmGG7wKVPLFuh1LYpuReH0ubZ0+b65YjzY8
cXjdNnWRI5V/Hj7mfNP2rrwzNcP6pGOQWUN6JPYbWh2jS4SmXm+TAPxbZsHhJtdJh6ikgGnV9dim
t7E5UWRn+UW8D4rBeJR5ku06yOex32Q/83pQu2EaowfiT2ZSLbqNk00/Qf+NwUeqsIFGYretrX0F
EPXrFHVVt5qq0TB3rbD1AoSYpiDWzsLg8elp9iDSqqJFlUz1wJR0PH2bSFrrS87f+wAX2RZ9WUyZ
SVo1PZBVezaJ1hIDCnTXFvFDnIOpd0BZbSbip2ETBMqhpI8W53bbdO3JLDxVA5fs4Vs77qy2758i
DfwlF46RiwtCiLKmYpIk+0lp/LBpLvOTJIX7kNZpt00Nb9p0rdkdHTPxv3SDaKyVKrv+QD6i3VpJ
ysGnYdp73tlmrFRT7bTm3N5vOB2JgjwpylAJgzhh8sae08YUC0ZrNnn11pi1/J4HMuh71EzumfQb
kwjMWqO/o0uv1UIvz0GYWhZEBTOCZbGlSl48pVlZfcs0K7oPqsHWzvB+AoWksYGDl5FJsZHVzt2L
WcrsLYnGOMOD7dfrkh3gS9WMQUcZ2jwcZKYKyiR9+3NU2ACNS627kw1ngzD1qQNqjXFgEvamf9eN
6PJgInJXtHJYRQHJTXjpjskwayzuRsbG6HIfnAkr/0AVQfCa1+7worHCvAzIxSAqe/OwUT4obC4r
5wmxc+QwuDxXHQoTExVZ/3MEWhXKXQ1zwjPOzv+35Eb/s3IrS0K0L8Zfde4Ev8A9DlFIc597Z2J7
8+4jGitO5WA0X+iSMadVGpT2YXLM6WOXmCw+sSKgDYPAGaMNCvL+qyVmc5+Xqf5fTWLnc+BQVl2D
ek+2VZrJVxxexhezNzmzpl66tZxIPdosdOm6z+iDOq8MQ0aFpEpDKpuOtfKdGPHYLGoyVu3wJv0y
+NA61vTGOfktGmhWBq6eZd8D1TsH5bfWa+FjeBMo3tZzak28whwrDTG57ZK3r6voZUArHa981uP7
MRc6qRAnMugDKPWaYHewQWcHVr4yKeAA5z1XXMkWenvyS2N81l0LzQUNbfc5Z5QmTBxDOMDQOeuv
S9s6X3FAT8aukcWuvgWJLE/UiZFlISj4z2kT8WnyC2GEeuR6X6Lcaq3VxHXID24GkHtpKTd2B270
KYcpglx787TWyUNemkfZLpxajny2b4uTaffZzuL2FQF5hwtAa01iJOh93UNPBm0IJxXYBFqAQzgu
l7oxsRaKoqMqzBo/R7qTf1BpZpwADNfHMeO/hWPgqEeNVp1T5xu/HQGNV2y8orO/KNxAGaUzXoX/
PNbih6TVMt49LP6Tgw/tEGmO/WTZY+agA+8HKvKAez5SyVM/t7lm7GvDHO9iw/IegXalr5QK+x0b
SskEqzRjOgxC87aN7aUf6pTYcI0NsvgPOlv+4LkAPTNiPy4uGv+bN4jyWRd4Ss1+yr940urqEO6X
fKHvotqAWK3XrZtaXVhT/gY5igRBSitDg861GErEJYYWVx98ShG/09MTnchGp2JdR7K5C4iej/2k
CkLTKt/XjTetSIT734MoiF4cVbXcBlRzsOmSyTpkqW8Yq6wqjJexs7vH1kjnN5bUGkN82nyGPOB9
Zndu3rA3zQqobwk1E9FGQ8JmMB9ga0uO8oleNSFxdbvuUfHsNU5z5qZj28UYlsvkG3Z6tZ0MR21Z
yQ0UCoVtamERS/OXFTf9G4WGKA2UMvy30aaKadVUdB3Deu2/OSJ3cM+Rcd8UjZgKwPRq+jR6Gla7
AmT2vZbYwadgVuNPsM0c8HuCthVCOOOhNVvzx6j3DXY1LH9hjv1FbltSjBYbNkd9/MXBa2qnzveg
a/MT3BY3heii5EtpZvZraXU5MdNYP3hVFzzbVT/wTYY0+OY0TrkGF54e67n1tnT4EQIL3+a2q5Z5
9NPRMzVDKRtw7lJWnh96wZ66qRwJ4ZiUpPuRZkxCBXh4468xgRJeGU3HWSGzN4p78Hstq/NXMaZe
vTanNn2zuW4XG5bB6U6DmBURa1pcjkS4ROm0slLFmULrkKspIPfsgno1IkdVhU57eEaSbUvRu38v
MApgDuTo1Wx6bgpe62A09wgHiUEyBDor35QctZxogg5OMCfuzNiYf7bKdt6yRjlc9MggDQOQzc92
U7DCJbMx8V8xg74mhRbfN6qd70ckrEnojfl06K0CpihJlInOU2KPNY+oeuTCJr0zB9fB1uhi9Vu7
vZu7eCQaC53nyAY3FCmM7tJpCwPOfxlDviDVyidRB3ZvYu7YpmUSHelRkt+8LnNXBhaj+sRiOCVE
rC6SnIjri92USUDoWRNbe19q7bNELVOGlGn4+8ENULoEaJqeMtuet5TV2I9SesUhrxrup8oy0d1Q
n2rjc2lSCBOCPuE+K4NlPdGLtqI5Idp7dMofrMQyP/ZVlt3JtGyA7OlYBYtJkuRJ0rt5Gtz9lETV
1pUZAuJezw5Tb+unutOrx7rXjX3SVlXGZabtfc0VuW/mQD5tuAWYqDpA6IR+QnG4H+d8Jn4oS5Yb
nzr0tCNmiNPAO8626a8GzQbrPUhuQ5Scnw23qF4xHLJpZo4fhRNE9S/C7cyUwz0DuevMuHxMS8n1
QtIVOp3lroHMwVJ+eoCWIh/Y1OhwNIhvuIAjPSs2TjJiB43q3PzqImU8Kt23j0CVuiP2DUXYPmMJ
5h7d+oxmXj5gtpo5xhDJrh2FUWvFSxuLLZgE4ujCGtZxPxcPsiBy8AzPfE3hl3BBWplGtWYoBgfF
2PxcOAFRRknS+0HLlGaHfamybUadLTz3GtdRy9lIn435Q5OY3oFDWcpwNqaRd+TM04GSUMQvKusp
0MgGHLqJT48fxzb1UFeG3HTDHCMSbIwfPaqkJ6H5w3Fyc+6rqzbuHzPm6H9In4LVHFPd41GDtZ2t
Th7sIu8mVioaHkd9hvZU+5zfaS8+6NhGQ5hoqKehLHPY1dtNq1qHCBe9Qms5w7abVLqDmxB86vhO
qFf85jkwZRR6pm5+liRf9pBf1MYdWTf8rP7qi8x/zZVewqTOURZREmFHK6En+semVvpDGcyoNCu/
PrJjs6s1gUnwoXL7LBWozOHr7BjaU51WU7rJafHZlEEcrUmPpOkqGdPgv96jpGU167HtE+La0cbl
ErBYe/2gzI+pK9oOYXHdcfyI9Nnb4HrwDpEjpmmtVU5ihonexnboUfT4f5g7s+W4kTRLv0pb3aMG
7nAADrOuvgBi4RoUN4nUDUwiKez7jrfpZ5kXmy+U2TNSpDo5mqspSytLpURFAHC4//855z+HkrFS
hE9oexa4z5fDfD60pcTqqKiEdaGmvv1Sucqo793ZJYtzaIuX4vujL6YycjZz3uScc2U8j36sBE3K
uIzG/RCZJF7BPVbq0TMsa9jOA7zz1soV7ZbZk7Bk9wOZVaG6r2LQL7HGpESYykuuMu2Vu1FDavgO
kdWa+sMGS1jRhvlg8dWzVYlxF8rRuKYSEPdzSej0AsS2xRR/3lKeDRsNFnBduLF5tdSJCmgOvafB
xR9f8PXOkgLc2m3T+UwBRgIRJMULk9bEupRlcZcPjb7Jdd/siRzNPi30iR31Wls/LkPWfciSsv/k
SvAeA1OIfSGd9pP27HuDOn4nu9g+r0WCwERwllyouRm/NA11tNukhzj25GfZs+WAVhlBKsb48zBX
UDvNtOyMdVyeWgd2W5F4ThgEu+aNm+iVuM5OQ7EMozxXrYweIWi8R9HX5a5jSmrPlBkTYG69qGtY
A7RMDjawia8gbm4zu1WvUa+aJ5sct8o3+njl9MYdeVvINHkkKjS/S+eoegN456yal8GuttYAUZC0
g33jELzq+i0giEFMVdJUmx5/kZsS5uO6EwR4baveq2+Xttfkf9tGc0GOigmCg/KETTAS88VqSHlB
Wz0cGA+MCa1CHYNGaS6BeDyjxRhlyj6QzavvoAnCy4J5JrqmSOi7ap68c2XjAp+LLP5UznJ+Xtew
23bW2gLPiYEoXGkVAcZx8yNDnKSjEOH2sTLa5mIwxEgIqYPMn+SliwKI55X/1m3AQYoPuVN4104T
d6R4xM0GR/r0NYrsEHDESTdupJm2Hwhpj1m3+97KmCWBYc18J6ntC2sc4ksioT3KPILq/XxO1uu6
YAMhBc6rDy6ANInNCCHAVnkk2xperSBXr6PSLVZrDYwRYKIz6+JLEsbmRd3281nZes5VudTiKm0T
ZjZaPZ5rvLHvEzvBUsWNIRE4L9vsua4JbeB8DYlX6BwG/6AbJsgJCopbuDbsOUs3wUG2nZRfF2lH
IwORQK5e5n6xSW/ZrlPlfpjR/nnotrIUbVDdtBOOimn5mnSGCx/Eth7HYfk8wZSeGahvCYNKFkJx
RYPXyOLmCc536WgIpv6k9xn8xbmO3LXe9OMMJx/OMDUpKUiIwTpz2QONZJ8qz4v53rppN5PrpFjE
Fu7eyDLrCTs9FgWJFQhfWMJix1pMkKwVwCAK9WYeUD7PHwkYgkOMo9W48GKT4klNS3eruXs3dW0k
28ZYlv2khvgLTXf6OFhx9qTnIXkRdsjWBFA+bcoYihGQey6vVSqJ7zPzddx4S2hfO7JMt2uZSJxy
+/B+GWdmg2vKbj8Cgdz3S622all4wRA8bDiQkjMiPZxvLMHyvFhL5FODx/Qg6+EyAhbdTpZujGDK
ShmocFkeGk+S6xuLruJghjMIktVr95Shn+k6x6NjzxpTObrmxSoTl44NOCvS1UKxZ3wPpCQGKO15
NXsRVmcxYVEZParQh5Yw48avikFc03Ll+7UvvB0KR3GBVc3yeemU99mVc8+b5BQJltRNXAsiCZb5
2fJWz9kaXNxN4mIiRONUbq3Emg7tJJnGtDqZn2ecF3pbREV/Sybf4ptiGEhus727lDnJ80lZnBWE
IVwr/FEusc9sr6e5my9g6orHxp7pLTJGC+F4ya0WxxMDqyLC/mIRmCTb0MIlFXt4A9sv12Uvlyna
S018X8SxC6lvC2YNcObx/F4A55Mcl0yfPdCX1wzHDMwX6xQK0C2jM72I+bwA1W780qAoG3QqdkDx
4sMYl4lP8USgHcfTBfPF8dnMxXzwciLNfKwlk/0yhNYlIffkQjU5LVIx596F3bKXwchH5wsA2AcD
DZz0jWatP5dZZt5GfSguMD0W57kp+uvQsuWNbafta15WU3rVESCKNMHp1Vlvtc7HbCj6ZyWE/Dq1
KTFndsQgre6XTyXxddblILxE7IqlM0kyS+vxms0d5EQpDuYUVcLM83ieJQYL+y60Bc+Db9vubBTz
b+PS4TBHHjiSvoY3J/fso3d37k0PBRFGm66cvfLMwG8TmKcY74i61oJsT87fWI3YMjq2vuyzQZy3
qjK2IdbfF7BQ07NFks+uNpjD7c10BidQxi7skSuGmMG9kJUAed4Kr91Ch1Ubp5bht9kOvS0eE8lb
tWpAZJUaBA5Zo96NVSZkMHfjsFusUb0oayzPrD4frlU5RtTWdWV9Jh1Nbkto1g9ickqmtNpWHkqA
mjPTlcZVPBBzR1dQ49ylQLvj1utv0E8SnaEXo/k4YKXDKl+0cdYmhrMfRDRdmdFIWNokSitYyWS8
Ye4tGraJdiyWFQkqNVA6BDFRYVVV+7PZk/7dJy3UWFFb1Se2P8aXOcLOCydf2yCsgTAwFKzukV6I
jb3KmjCHxKBlbrQVcM47jx4qPseP8JAE0VqgIxa+/X3okUlsg8cemqI2SepZ7VvLS1N4hzy6oABM
LqDk4i1PL3tkEABoUtjyblEZcY9zXix3bH7dOXWoBzwpstd16GtfobMIBrhHZp3WXNwZjBvdZXaV
vEZloS4bJhdesuGIetvzat/3JSa3FRDlTqtF+0B64StOFV8jt+23jTlS9xaknYaUEds+7kLQ9cI6
vrzD3mSwGAoOfr9NxmzHqgYBTMkQTEQtd/TI9G1pWi6UcmX0kVlcTwez7uHyw3R6wDh5/oB7LfPH
uY3upSVq/gwbLiKKNLYeBi8Rqg3Y+33mTv3Gy4r8QBBWdJW6OrubsSgFhXdUCm84j5dj3Iv7BFfw
MIiJag0aAX6fpDp5IJxrOuSmc9Tf1uDxM9vHnSNnMJsyWrfxnBX6rDUBcMmPqdk4MdR+I77YPR9F
abRbY8WU6XLxstCv2P9XJs/rblNmwF6bKQN/EWLByQYDrv6MzS42advMAh/P0BjJTHJwse0mJzKZ
9ZLuowNb+Ii0JDzQF8gxaGLjU2j0084KS+MMsG86s8KYYNxxbdKLFDiSg6Py5o+zN2WfYoQJ51Ut
2usc/4or0br2QZdMlwW57PNt5ESh4cOxIysssy7JSMxMss9sqk53J4ewSDaTk3p7U3IYbwrHKq2v
ZRu1m9ysIEhLzHH7VXYAYiNWTkGR15O5afvqq06bUfkZdMPettbwwZnQR930BhMaYpyS7sHCHMDb
xZRvacAEWFrux3qx+RlhSSe65zPmby64/4Y0hHJE1sDVbXrtRZy4a/JJsgtHO0rl/kUgyLkRhgPq
UvF64vrgTmVCX8eHf+wxzrvGRTP1W2WMQcnwo8/EKkG+HK4BSurmfEayeenAkvGkBZl4uVTTtdHa
cdCTvWhvG+l4xdkaZmF2SbE6k/eLZYYbRufHB5YbfsgLu4Elo4Omp8GRIGs02LsS0XVju2F5J6yk
egzJkos3bhuTzMukBzM4cZW2ue/hafBKrTWYVBjt0p4TT1pn8JUZEPNIHhaHauFa/PF2oghaYmcx
gpWafiAOiFEumRbh41QSS4dOx7GnvWPO5XQRNVlU+RGWcsbnCnzmrJVQ2pzD4ys6HuU+lynsgB97
tUHZVySEJw46GoiOU4ZSeygI96VZTG1uMcnNgBdkla97IdG6r208qE2ytvJmhRYCRclic/GdOiIr
lCT1y9nOnC/S7iCFSkOX0rdW0ixCFEW32RI6D11RoTCJETVZtpg37jQsF4Vmylh5R+1HBXoYEAae
Ue0rosp4dEjuaSyxCMsjU+xN7eSQTDFBw4Da4bgjRZY5Bebw0NmU0zMPjGjfobUuiuPAUYP2+uu0
9Ay1WUBmh9CdVEgUWzGb20KNzTPoaf8Gzls+J5Fj39um1Uo/RVd1CaWDNi7r2LVrw1437RBRoCMS
t/NDnszzt0bN3lkFKAM2junF18RcKfY7GcX7luTbawaguk0HSHeMF428fcrC/uxhe9kEo2eoTRrW
w2fm1rKbGEnXPUs5PnQ5iZByrLRPVut8LUN7uRHW7JAxMC3thmAqepFmce610RkBJ4fzLe+jdUf4
ZMPZW5kPa7UOO97/ObCcVF4pyts31R+RJVebxadaLwOLCtaaWwu66kalviDZa3wxMoJo2y7uYZmB
CIhcg1EOq7o6QzTTfBmR4VwaXdpfKh1/g4MKrxbsH4QPzRk9MaSjYtQsKWl9fZIRiGCmrv2ltj+o
7MwosQ+QNnEjkKfkLU9OwUWI+hKMwLtopWYetCDfMQK5qVJUQnYUXTL/sb5OOl5gIckDBt9N7zuS
u64KdOiv9mAUzwqqEXfupG7HYEQL7wsYmsuWJbKjiE62o2F4t7yA3l1V5+FNM6guGCjwdvMiyk3e
LsDXmHPnHpqPiO4bYwb3wUvrlDjdqvwyGTkI6BpW8D9hX93m9CcqmBgys/7Q1/+PnxxEuv/4d379
giS/RTnUn/zyPx6qgn/+/fgz//vP/PwT/7F/qw5firfu9A/99DP8vX9+7uZL/+WnX2zLHr3O7fDW
LndvRBX23//+6K06/sn/29/8t7fvf8vDUr/96x8v1VD2x78tAkckQ+77b52//usf4mio/d+H0B2S
6K09CaE7/sSfIXTqn47rCtvDHNjSAGKM5ExvXf+vf0h+Q/NfPYFqDLbu6OFQMiIX84nWP7W2KbtI
lsYoRB+thv4MoVNE2pFN5xFE7wmGifmp/7ryD39olf94GNyJP3/9byXtfAUo0/3rH0hTf+KJXcu0
0AcTH8rnCeLwTkfUIPolCe0hDQWU97xfzJkS0ZKV6Z2vubloIrOZ80Cbm2Tx9dC7PZtPn7fdOSHj
jHW3tUMcG5KR9sEdSixN6myKphuvsuOI6OekAcFFpWxqJg1FyfugpER9w09kprURqCloNArTSHaZ
BJA6cxcFt1ebaeVQDUMlBwssDu93YiKJZSIYeV+FAjMOkDi6QPIGyjQfCJ1Ts8urrPeHLrOu8TY0
PpP74pAZPBAQjfgDIx0atOhzliZWGliFXDhGgZ35+wq8HgjHyxi/z3Tk1mcKlKgAX5gKip4QmCiw
ptTDf86ZUWHEHMw9hXHcWDuOf1LQ0dTVFWVO5ixnimb9CfGbPCgabbHtozy6gXnxvsRC209V1OvX
OpReG3TItRMq927MQOkH4TxBdk/Fp0gAvyIRmebiepG5V1zgu8pBUeKOzliBbSrUmnm5VPcWY379
Btf3SW4zd/W6gJJAr8xGx8wipfagP1ZVZ4l7u4qH9ZqebLjyQAZnnqGRH4W53bAiwwyb7gb9spmf
y3TQPcUTx4V0LHiZqptmIN5QDzsEazEoyziX4Ud8fEYF14qW+KwLkShRkTYpXiBJ13xtl7ICFmm0
+xI7R9lEiIlVF4RWHx/ylvIxKEg83Xaoa2zoPNd+6VADtJAnCU7HyFkGGXh1JlcfZLMwfa2j9jK1
bWPyhcPP7LQVNjPZnjbNirk4o+vzDpD7OQu+1x4VC2Bs2wzdWV8Zxms8olj35ylJLkXYxXcGBmTf
hFKPfRIBM8YU8jLIe13Xfk7dfD8wR0K9xpmxy3MxW4GxtpjoOKu0PslqzoSfoRlB57jY9t2gQODQ
AA8kFiWgaLU/oh2gmJJTB24JzPc0oyY0g7kZyhfZG+g8tdULRH2Ovd42OaUO9RoKjZ1Elgh5UY5k
ylue2b7Fsghfwqkob1yqsOOZnOY7T2dR50MRgzeiUzePqgoXzBQ1C0B32YTJJk2b4lNoonLxyfi2
Kn+Yy/WLMuz6ZrRsUuCapgV9yDia+w1iQ9vzNRbNVFEySasL2bcWh5spqySI7A6bH+YfFtOXCbzF
E8rp8AUJjnL3dVHJ8tLGVa5mAWM2fu81zcKcQGRM38ZeZh8aw0LPF7eZ+do0o1x35MQi8+6gGJ9S
O3Jue6f3nip02AQL18JNziv4+eo8nvLipiHsO/OLXJKR0Sduin6N2uONIHNOVxvAyOQ3p1UGXaPh
WvEjIKI8nOf8cULT4bGLxevwmFZ59DyARyKZQE+lfKM1WwaPhnVMN00b2c8upzOuVKIJn2LwKvYo
gUzB02nxaEo+cRu66fIRasyKb8aiax1WoTNkd+2s2hAFKF7JFDNrdKYk2qi9Ix2730atM+dbO53a
5diTwoI3FBedX6ars/puYSBr8cKCR5kNJBv5+B1Z9abxZoY5aEdqSENmDwZA8Ox4hV6Cl4yhKhjU
AuznmoLOUn6FDItkWubywo0mt8LZLa4xPmMwVT0XqpGDj5MfOiYasIgoY1SQFH2DJk80H6J+9h0a
g5u8K6evne7by3qO1tyPPLvs/Qx5FNpkR1l3IZ2KgNyRKvQRszhiC+E9VqhH4rLd1LxuJZqeFQuI
UA1IWxZHpxO6gLqObwB3YyKDhwzgVLrRXcJAdI+UjrqulA1bcqM4fPSSU70XCFuK63AlQ+SyZ36h
8I+OZMNWcQQNfkYKZ7Ej2Lf3tk5YlJ8T3bAwBkBhGqDGc++60MDdy66d2NnkPccd63lOnjGoTwaK
wdLUzI6L5EEpp8e1h4z1C1xDRLfNIk2GaqTqsPfZTBkd4chA5LA00tZ+bxSoU2eRI4nMowqMvUpl
8THpQIc3bm8iLWz4vwUgz6w/yoQxpKAdiAv1R9w64iAvC/sZZ6ssCnokJMMmmt3+ggBYk17AddXr
7CUmdIwp0mdth44JWzd19jR9RENlSmZO41a8Mh1UHgYSTxGFiNU9t7usGIkSkdm3FDTsYCM9fJRG
sj7ng2xfgCBAFckLcl4h6w0Y1co0P85UpItvdW31TUV2vJ/JLb3ERWr9jAaC6ZZQMP0dhxV4UN2k
bYXKAdVqAOsh7pZ+FZ9gwVFLFW6VeYyjrO5T2JAG4ytPrncZcdDfMqMfL4TrQdS1iWJmNEcpHMQo
LW6ULBKilVF82P7YHo2izCauRlSGozi3B5c1Q2iBw8bIS4MUaZgYjMAEw3nIIpzNgqxFL+fn+BYh
8k2jetigdpjQ/BO6eA0+EL90s5Fpf25qSwV2Tkz6bWStIg+6xLGsQ9f3NXHVkUal7M/0XASGqwxd
85cMzjPmB9deDJeTjIBnkHBgjexLZxr0VeSJMbtyImNMOVfmNSwfnDxhFGbSqWINZGgzzoaMjQWC
LipMcb4Ydm7etkujReAyD1NsTNehYc4cq77WZG4jyutj5yhcScWLq+lvXwUAa3NV5WFubNh6C7go
oN9ks0xkBR9/ckEQusTW1yg3AHstE1/okK1Ihf0GsCgMN+vcm+F5NyxD/MlZe0NtOwDI9KFnwqLa
5GFqpmdhMkUOxCLbuwgQlnBjkCAf7VVWfC8+D0p1FiNmJcqYCo0trdXo5fRQftXkHk1UixuX+dZk
DV/e0JY0Ga5Geb5uRpKAybqydaH0lZf04fINPsjMDh0bRLvrrUK31wnNfHsdmlnqMdGWEQ2wLSgt
sBBZ0UTkTPHXg3sZIbyLAvj5KrqSo8qjr1VrQNXE/WzymFK76INEAXdsJbLb6WwOB8XUdjFjAvU6
zP2QX0TZuGQfmM4216Clmjb2JXIP8yIEjEY8sLB2z4CUGmeHZjvLEUahrQis1UnERwJ/ZbLHDIdK
mIVsz4/Mw5TaL0GvksaHM2ncZ28S4mkOjVnuEb+F38xBWw7YU+os7BIZAHkRmqih5MpihhMqhn6n
m9Htz8q8zZZz7nmGBhVdfRc4bdqA3rLx5JeYSw5vBlX0NXPeLmqrxXR3Qi9ZshNMhWCPh0PnsgUZ
glNZiVpeURU6kb0hgzjR3LSxOuAnYmDiMwizDip0d9GVwYUhVTQsRGmaShvuv3abr+wJiELtsdMs
dcFgSBBZ06hvepfJAl/oHE2couhowFSGyNq4oWyGreNo81tjQdxjLp+UlN94ZVpb1BqN9KsyzsKN
I1DUUHyMfQ6lUKgWkH3mfQvRJtZ+zbn5CNMNsMyr2jxUimIalYHbA6hOE51tEYrZ2dZukt7V7RJ/
K6WTZkE+Omg8OCKXy74OEdZ3VNT9pipdxWBG2w20vY0zeX7rFY6+EHHELW4ZDvtkiNqtGa6IMhNJ
QwviWdpDhm65ycz4A4K2CMcqkGKM5yGAq0scQBvGWgjRqoJ1MtLyzJuqmmB5jm80HcOQldeM7Rwx
o1w38jLzKpIBI6s14u04uGMSpJU4CrBNngLMpZPZmMOumnAu/rJ8g8QsDjkOWnr+tF7KIYimbnE3
UxpPkEudN72MTClSRONr9BZh9edtm7Bs0q8AuZiFbSAC6S2WLqnXzYrgrkJsU7kjEj8r6p0WOdLY
D3Pjr7ZbIxag6/BsHMxwGobiLWfLCBFFWL0MiAkYvUeHQzTcQUQm5h3gXWjfQptbeR9Icg4x1mup
/dUDdDSKWJ8M76Jf/5jZ/i3Y4Dp5aauu+tafggI/4Qg39Vt537dvb/31l/r0T/7/CB8c7Zv+e/hg
Dx319oVR0+5//ufwE+xw/Lk/QAQ08f8kqN5yPNe0JSfk0X/pDxSBcbx/HvVGTOQ6Jv/iuijB/wtG
AGLQthYmU7DHJPsfYARh/tOT0pUeRzMwgv07IMLPpiK2a/G+S7Z65UrNu38axTE34TKKML2JqISX
wOl6C+UhSt59yA9RKxrto5m34j0bUvGzMeQfn3vkpqSjHao5wT350UigKNFWjXVyE2O8LKrr0UYa
DLaK6vHKSYo3lcttF9LTY2b29MMT+gVscuJr8v2jJbCMIwFQTM85HWZfQpcxnKa9oXpoL4u0bsZt
6pXrzk369NFwJEMBlpBdcrFgVHU02QFuNh08OQJ+QEbvyf1/BnG+fx1lAjFpaVuWxZf6+U4gFYcP
WuKbY8sg2ckdcj/IAUYYiFxMoEOo8f3xCWLMJzgVVLZ+WtD0B8LD2CvI3aRcWJ+ifS/08RcrQ0mh
WLCWbXveqcl+eRQHYDF4iFOia32sYOgX1NgWj8vczxxi4VpjIyKb6r2w2Z+H6P+4IUrggmvhrGS5
p4bDNvNnRVxFN7ihyq+VPVRf58pDgko/wKhlIT6Nhe1+MDA7+mg6JDD//fI4Lrz/4xPw56ejzz5e
seW69onvTGEq+JbOO2CnHH+k4e2/SnrRXcRA+v7vP+lnM4U/P0lrTYfoSE/+1YwOU+XVCA8QZ+aj
Fl1zJpBAvPMhv7ocbCU8WytgdSIef15dY2VTiIXWIQoV8gkVzY9zZJpHkWD/+PuXo3mRbak1SKk6
8UDIGbvuEyu7AQsbHjApb27QlTbnf/8hv7oc7Sn2K4BdDDSOi/YH/5EhszPZ5clNKTxm/iD/i3OT
NvQurfrlHY/AXz0ez+Z95EmxB5++l9U0hSJMshvVrsN2xNq7DbCKHH4vOfiPVeC5oMnIUllup74n
vTdROmUJNytbH/AEiq66Y1n297ftV3uezc7BdA4G2uw1nE4/3re0x1trLZIbgfSeVF5GPOAJ3QaV
utJF/FBaRX8/YfoO/8cQEntvqgviXhHIuvtxxHfsnS/0i5trI6txwdQ5gNTpVTMwU9lFrunrSshG
mtozzBia7d9f9fGiTl5l9lXhsR5B6V11Mk5VI45tw0YcpBxrH5x88IeqhI3Ovs5e+1tu9t8fo4Or
AjPZjmm76tQyl+q3OA71HKYwi87RKDN8bEX2e2cF1MHpFTlIJgAWlOMI+9QsnREI0zNzefCWUV4U
R+ymYHJtw+qqAlwiuqAJ8X2X1YJTOw4b9hPzaca2Val1NYeNPu9dvXwcmzT8JNNohNQ0W+g5I03v
7MEr39l6ju/iye1nE2dFa2kRH3Zq9K8GWTcQBgdHtsYNo071V1qdGjkmbFexROaZOZn23d8/8l+c
HT995skm1CMtwYKBcSbJdwrq3iAWaYy9rTXFhh9btUMBnffuGAg7X66QNBq3f/8FfrGwIX0kQ4UC
ggi48OcXbahB+9hVDi4KI3i/true4zh5Z7Ed2aW/3FptasGopimRS5/s6l2FjrHszQNFhcXw8FzJ
YZPOpv0oFqQsKPH6vvdxWtBjsFrEQvgtxPJWpaYRbQordxDlG6CY77zU303kT584Lxzsl0OwMhTX
zxe/Ckmx0qgDa1hvwraK70Sf5F9Bs+R2zdrkI4ATAjZmrEAmwGhA122B3faY8G+e92FUmAC1VUS7
PtjrVV6870z7iwMEA1SgA85DXiN9skDGFY1/55kHRu4Fat8KD4o8G8eLbuwATewZBqHtqmeUw9Vl
ywjOJ6vryXJOmg7yKqeW32K1J8/nuswuysKoH35/+WAdYHmsHK04536+g049dMhcGKBjGHvflR7D
Wkgw3jES/MW+6EppUhAoyDV9eohGi4jAcsYD/NlIbk2vmKU2U8dP1rBXuzKdi3dO7V8dPy5+HlwR
CxZG9PhUfji263WEcxDdYTaZn8WHBlA8S9Xn1pnkh6lF2Ocbi5o/Ty4pLRD2i7FXtjneYzwjfi+i
7vtGzYspeXk0YyaWe1LfZZhMWLFuD3lkONs1Gb6ZzOO/UzqceHj++SEUkNKzUI94py1GX0oLT/bu
ULSSREWd5ghnOqalwpgiDJOuc7zOsw2zGLkvp6VmUCiC3ceB0uvR1TBEti3b1nznKfzi8HCPdQxj
7JwSkE4/P4S2b10Efu1hiukbwM6f63V4m7T5NayYXF/Xfee+F2ArfrEdumx3Fgeih2/U94Xxw4PP
au0wwVYfrAnfEsxIGj9M0bkp4cFOKsF9wFp1WOTVnK+fjOO+aQ239sIUi6g+R8ca5LffL5eW7/j2
a5vq43SHgiIavb48eGvUnrPQS5RctvvOMf3Xi/ZgIDmHvlcE6qgn+HG1M1zeTm3VHIpZxo8QGN2D
QH//21fi2bShLC4NW6i+z5D/cGcrseRFY08HyMT2hRG97GK1s/qdK/nrbsmHaIXoV3qIGE8FBiWi
WcN2pkNvTvK+7tf+PFzXMgrS0S6K3z896FIsl7FRLodd6WR9oj9MJxUzA4k6f0For6LbeLaTj1Y3
M6NJLMZMHmxqPZphMZwbODcgmKvrZ3ug9cX0rFGB4Y5eCBs8MyEz9Qt+a53V1dPm79fQX7AL7rft
uCaGG5qD7K9biH2cWwwlEvMROPBIndhQNDiKYQeQlIHu7IT5edxDLN+ZQHN9ksIwDO4q+z037dOV
dvwmdA68Yh4wjmeerLTMmnPI3+VAyvsaUJdmQPGJ+c6D+cWHMDEBC6bYzgCxjjXXDyttgcE3+ohY
wpIbnTO/faOWMn3Hq/IvRwSXosWxC6accWgKTj4FDIqUT6854Ael8FxWpnuR4Oe6SzqG7NAJuHuk
h7dtOcYfSnsy3nqv8WC7HfP5nad7xFt+LGJOvsipFXbiRpEjq/6QqK675hgpPzRyGj6Y5nTNTKCz
JbUifqwEbuJL6V1AwJbbRc/izHUiidZdGtl7/tbHS/+7b3TyYsxoTdMWSy7AbLhGNtnXMO/y22nC
0yvMENL0QtnbLMMrX9TN7+5mx/shme3WYI5CAlb8/PgRBumBuayDWxwVkQ2wMxFwxTsbza8u8bjF
eNQG6KnMY8nywxoLVwXCvjaHaAETjx1V7jm9S9hEsdNFFT81c1Tv53ou9l2cvJfh8Zfj+niJFry/
C6gKsPAXr2EDZsDrm0PXaUxQ5knKq6Jb1nsdM6SrE9e+MuCwSl96Yu6DRheIqpbEit5s3M/cwMF7
wgIzrDAW+39YjDYCNNujUXYpV36+L1ZawoXnHf1M5F2uY0FZj+2hg3FMajyx2QmfyFP33CuZTHSY
wdpAihRbHaZ3VSaHK0S3zZd3vtJpW3e8WdQ0FqI3bdr87+evBBumK8fqD/24MF0rq7h7Fknn6gCl
Y2L5LNb+rGoWRkpn0CJseCoGizeqGVGWHoOCA6PGFCNY8Q6ziRgYhn2aMAGH7YQpxgtVNNnbO9/4
FGs+fmP2a3ZK9kjKn5OthdPErOaqICXoKJ23MuXEgTZXzSjS5GKQlGe9AdiB40sD3+gaN8M04b0o
Ke3Gd3riX+2lAB7cQc8mTuT0QG3zYY6csT4IJnBwOR9MJCcMJYzvrZvjlnC6ZSAy1IKDikrk1As2
11aZSoxjRtcqK183RfsVo5ZZbKNmNs7LpkJMAiG3NgEuSKJAg1rYByd3scPFPfS3QVWegKfQUAqp
qAL/8nXQp0Ry1d51pxfvKkJkdzuKOP7MhMx0//cP+xc32FP09jaQKk3U6e7txiGThbmBMaE7Mzhd
ONuZUe53TMmPu9HJ3QWDtCwHwSPUjDoeIT/sVi4VOtke+rpuB3UWkjG0YRLAus2y+phWR1Fw9vcX
9dfdEckoWlOU/0BZ+rTWK9dwxKKSaapEdk9mW/cqWPHiw3EP6xb0O2bUqkvAyQbnLDEtr+UY9sk7
9Sb7zelVHw09LOnxLimNJPakc6KbYp50qK9JUVnhQnFXjLYWochPc7t6T7bVT4+03vATmIf184tS
KKnRVTZ992EG0EJlGKmYPK0ixNSj8NwShjOMvYGBt2jN9lJUq/HJNDp3vVia3MR4zsJnAsMMburQ
2gPyp7WIxkA6/UzgZZ3dN6ndvEATkIZlm6Kog27V7VGXUSLE+l/cncmO5Ei6nV9F0Fos0EijkVxo
46SP4THPuSEyIjI4k8Z5eBs9i15Mn3dXX3UlpHvRCy2ugEKhEpWZHu5OGv/hnO9IfNPj1ild42Oo
hvx+hE+G/pMn5GePP+2mnubl01EdhgHkER2c2rRwD/OCrOIYl/ncXfdqnKddMzjl59LbkBh6RqRg
wexyeOikaKPAL+gzNmKwIuhkCJ2WYCXB6stFHgVaYhTGQ8NOH1ijRaAWq+E0O+ZZPb3ryoYKklpQ
C4I6z4smdEfb/iHs2EKDiPSWRe26erccqHUT8OIWbifTrIbTnPkDjIrZHg5k8TawV5MscX3kTqqU
NUonHMp7X/tCbycPCRHyhTb10s8+N6s56GKeHmHSSp4jNJ6QI+zcMxa8JK1X7kvMbf4mG8ckB7aE
pbyIEXGayriIDwbsRlJZznXkqWTdLORTz7toMPwZTMvoYdbA/rXxZdsPgIEj8V1lqYluzZ5mbPUr
5MRNH8WAyszLYbzx9IQdIfJa+MU2OFocZ6rJN30tLC9s/wZFkHlRO7D4uDWf+2zCGJ9JmT9Zo9MO
oT8iDIIwVVOBRxPt56ZBk4l8ETAH9Fj2YUhq/Li9B//A49JShXWvpsISN7KbXQ6/aARyVeIPKSBE
DkN7EHy57wBHYi8gMBiCGvLYCvABQfZwxXCGdhukUeIXIMiYNsiYf9SDVaynyqyZV8Qyaj9rhUvj
pgHsXQbovPoiyOO+BukT1x1sNgRHIFQyMDgoVZy7BZHlQ7w2XEGAk5puMzQaDWkEjM8P6tavkR2O
mqvax6wH97KDdLqZYNTNO0pPQYBfa4/gEDQDVhTVS8EAYRKLv43RJrZbMCnSPlvFkA2hrrP4p+yT
3tzFduU+1mqZn+zFUhAU0iwZd+zBiKafszl/wpzn8TQ08zQJ6F3HO6Lrx3vwoxaoCR73JblOvvWl
8lmLHYkd1rYE5HcFV0fv7QIhajGN3aGOgZWAbeCvCRo/Uptp0tmzchfEs9HQJk/Ab8QZaaxx1agY
T5HbQVHYkKY6qGNNZvNTjxv5diZSA6VzcmHCNgyPXnrTwwFp4YYrtsM6Sc4QlIdxqOU4D39/iv5L
sob/bIIFxnr/9Gy5+Cn+NENcDBv//b8+DD+rLyq+/22Q+Nsf+LtSwTb/4DEDpsLFL3rRHPBc+9Pu
4P3hsT2ijBKmZyMX4UX+1CkY4g806xcTBI93pl3817/5HQzrD343Qi227TR1FCP/kuFBur89CLEv
KkYDDJixTiCk+F2tUCONX3rffezzBMFA6hfcOnHkH2HZtC+W1SOa81VBQI9X31crIKJJOPOHSREd
jBlCPDcp8zDmuYLnfJzfCfGeHhc4KE9ObevdgIzniPYwQy8snqAxr89iipNgTrr4PiqG9UqiGN0m
i4FE3R7jZacafl1leX+0B+kGLpKps50mHsCGaARiXtAk7DIDAE+oEe9sm6Qf33KvWeQmSxLthmnl
Oj+cUlBCxHAIFdkfdndrMRm8yhoHtTLPyvKkoEoUm7ZRvbuZtYaciAvSLTD/+3mL+QFK6gIS7mBK
E008Ix0iN51e6vvSrlRyJDhjeOlg7iDKlYu8h6fk7vlRuusyYhgHwVHcSb24aJpAZtWLo49qTg0H
62QvUH9d+GxVFoe9Fid0WtU+stMbimjzKpMiLEFA3U3um28Pdz29+pIZiJObBpXZD5wc0z36yBMq
tQ+Uc2e76nCHXa11ii+if3bLC79yaJnuAAww20czib6MyB9PEB3edB2Vx0GP1i2g4UC6OQsru3ND
4nU+LHP2zl3fnPiobr1EPs5+o7cSWzYy7oUQhyT+yDJkU5BqPh0rA4HhuPNPs+y/lOryQKMgfZ+d
7j1t/ONkGaeyxb0NlLV44AzFh9DM9Vdlqke6qm+5Chb08pHjDKq12OZtu+siHDQ4bdtdY3UShK8t
oT2k/NUYtcBgQRk9LCWJSa0hH5Qun9pSNOcMPo5jIxYF3nloxoXPdBjCqc3X/ViyDriyhwyBa50+
gf2+gFAthPYbMZnWNppa87ue+L4gmlHzo6kzkhnJiCrgE4Ob2jsGBGiCNRu7z16wFy6n2VUBDFoM
Qm9Aa9XwZaQDtlY3jKv3xukHSHzsPSDFA7OqF6+zto1OsDvjJUxCnCE8KB2njbyNg/qQcxhe3qny
DbTps40Y/CyarPuJYr2668ZYbT17iI9OYoGobbVAqXuhxZE/UIUp2YsvwNwZX7CLZW3fE0Yz3Cwp
C0HH9e/cDOk+OIwDAsJXTE/b1i4fcN6FxP4+kqCOqXWRYW/pe8yP6c6B8w7CPO+uBhuPRyHTd3PJ
dpQnwwbcNBsw5Z867FFbYKGAJJPkoIf0bA95ufH6ldhMdK4541vcDBOK5ApEKFLXmzJvoVdQEwU5
zKoQuQ48qNEABuOu/EuuLqpj7cLN6W4bkWMSQUB1rsxZXnJmzwYTUnBCbQmaqwTEalToXssB4XQd
P5ZJ6h2rZbaeAMrG90iCiLulSd8g0Vp2vkvkBZTW4atI49cybY9G8c0IUzwV3tpsYVEaL5WS3VE0
/gEk+quupLUrSlrZ2SbsrsRcpLxhP818HgxSHVb4eg5GMrwAzXvrpqOcCdbeZDTaeQPgOlse5Bx5
O1FNYm8DE/wQ+G1JN59GFv+r9b7M/kOcV4fIQOzu6OyQVBjsy/y+TkCzMMMLkywkC6B/7MbFD5YS
ryxmXewdZYSRV4KM7LLPiI8uJIoAd1nkfCYjTLIGCGiSvMS6+5RQiT5yclAy+MiIv0ArNHiKSzzX
0BEDPv/bVA6wE5wHsox0YBojT3+4+bNn0glxO5p+fUjzYVNbfAcp8GxoMTDA2+JQVZFzk5EScMfb
aQkxhQNeOtCcMpFFB0NCmIJDTBDPEmNKmA5uLNyDTFJURWtYo4J491Nr4hunqXwirSc+daUg8D0F
MDWrlBUmBe0zku/XrJH73kzs0FbvBBiT9iA8WR20ldrRlsNWvoIO9O9sm9ApPQ2c6l78IVIyGhTs
iaVc1AbJaoN1/MJPSmMHEztsCTqskKPHSzZW7xhH7VNg2wAKrmxzNIefjC3KKymG/qOe1TRvZstx
PivLqCRaXzkh8E0BDSIZNhsyJhp3n4p0vKlpg7xrq67F85C7F5QaNKd9aTo3hZ8NNyUTLaCZbWTf
za3AWd+2IuTk9nexsbTHqXWyK4TLA/W2jcy49jv4BtWU7Cb8eIGRX/iEDjb9zIgvxkPfAT6bpoc1
d5b9zFbmVcco/sryBuX7ASczPqRDPcPBZ3cMSGMtLt54jkD6svE41nAFCvXNGqK5smfTxH5RKFLa
ZhxtaSONg9dP2Q6nUbRzeS+dP65XbdmIu86Yg1gBs0h5D+OsXvp5mviBUv2wdo65ibqf45qlu2jU
7rMxLNEORmkX9iYWyTrupkMmu2gbeY16ic28/mnYxfoUe266nenFr+lYsheMackR7h/LSjuNgXfX
yYnUXuPGwNF7b6Sefk8XjAckkkGJDPvFi465JMQFLpl66FujOpeYTF5YdVUfiVDrIxnzpNBCYgsr
2GdMPr3ojsF/EZKBhzdALOvn34q/f6nC/f9TuGtd1hT/d+Hu4/D1P//Hd5t+/lYL84f+rIW9P4ge
RKHkUbde1GyMvf9eC6PZleguEAj+XXz7b4WwZf3BfJzF+mVMYzLho0j+0/jLXuAPgj58ZCGmiTzk
8tf9C85fQb3712GMkqiaEAczmTd9xl2/L2UoNBzPGTlBUiVKK4xNOmvHKjoXlIrbD5S2Ui2MEqrO
PaMvXPMmsBu47psIVyD7WLEqeVbl0JSgoNoZUquUC5gmuyBRSOIq9u6nBrwFxvS1j6MHyJXteK4y
s6DHNrXfHtYSCFbuyDg+WZMWPak+1ZD4YarkND4qQiKicrNUlY2x1bBWCtyeqfDPQgh3sjZFCfHT
I1ISHkM1dOscOn67qB9ml/faJ6TZR2+ZZ7PnOJsVkfJ8y4RtZlPObCcigKAt8/55crVyqYck7DJi
RdfitqyJe9/nhANkj6ZlOPkDxkddfuClIcsjrpR574CL9U6qbjqctHPtVqEFZWHE+K+b+lCM7eg9
YWeoQdGlo1fnjBqmqvggt4ZHYO8RAiRDq4/q8pipdPSvx7onatkeVxeXMi5yJ1vDHliG6eABWqf4
RnjN4IF7bZd6AWnsG+tpmpte/7K9xIcn3491l/4skjpvQn8twY5BwxE0/RuHhDDrkCeUGvdaJFn7
gyI27W5SZXgGdYOejCN0n8z79oaOuYuAS9P9WnIXHjEVWp5KwibGyTYsWCmeKGIAWn1lN6gR5pQM
6l4BaThkMV/J92ziZqUfWWEcRLWo+dqakqndzHZJ+/FtBSbLU8FiZ4rHYz/ingG9zQ+b8kGkRAdf
fn9bdLdMs2v7ZvQrf30zBh9NaDDP6TBHR8y1cLHlLLrobbVQv74QPV3Xd25TbScMSvu1S5/YO8ir
fLJz6gP6qnjyp02fu2+SfJ8vUefRDH9ufKPO0GHEQPFvF+59kud1INUchwnCzXVT4rFoUVXEDJ/I
/ijusrh27VebMc3w3lh5MV05VttvwGwQiBV2KVnxG2/QcvBCdxgrAn06zNtPxVwTRpRBtdhl47re
A73RO75UEhoMtGbmhhwjLmNoXOR1ODk/zizQ1gQ+MRPvTWSL7Og7UJjA0vhTat7kMxXm3WT4URwF
saeMlvM+TaFFx5pMcogtDZiRTyVFRMqCAyDausFvVa+3hUWx+Ar1cnjPi4VCXVLLB8heS3tf4/La
cXNF7/xWa5/pwdabXloNi3FCFPDDFkmrTqbA3xjQZo39g6HXHAcM1karYL9aM86lqwYw/ZZeQFwf
C3LG6cvDde8dTVUazsHQxZReN6hVrO/W5KG4E8DEQONOTZZtga8wl1xnSMb9bdvpuj+sRlc+SFvS
qBDeEgENbYEJI2/pskAOXWtidXeJRpHuWJJPsRj1uzEmpBsRI6BhyA+cGjcasiueRIX3d/X5PBl5
G1jg/Tz3Dm6FQ2aHXNLAn3OhtftuXzP+8monsHyAuUE7GNk5XyASQLSELXAVrX25HnjiAglBcgNS
2tTgErfWVJdv+LywyMMVzK8Mkp3u6qU0ipB0BwWlXkug6IXtVG+DVa6/olqqK6HSNRjh8n3Vljdu
43pSDyUg2TVylgdyK6R9THnTeM6TyNgB6s73Jar6LVzT8VLpcnTygxjeZnXN+ug2qdijk5y2KTIC
ZmHA+99nH2/oJi2N9DOOJuO1kmN82/N3YirsAKwu9vLgVF6x15DW9000LGfCbMsnwFDTfVfltnWK
3O6bah3SdkSCBwDaVSP98esLo4gsZrMX1vcIGgtpJlgLlFgezMw1Jfmg9HrxhA1zpQGEbvZt9rb7
5hI/VAQwvPHxLRi92r7MitOgWIRGqee8SGrRdb9GgmE7jGWEqDCuz6wN3SQcLfD1iW+4WzXRP28F
BnaCRjp7/kWEznPfKkSpLrKKN1qy5ombHwutkEYE8BO94nFACfPlFaN/k3a4sj2nikO7spZroBbR
jymBEn0u6n7Cx1WAkPOsKbuFXere8zHPR6iZ+Y9OD/DxRE0FOXq8qU0Vm+CM4yrG+DVD3CATRwhN
8Q4adeI5z2wRREazd4mbeyC8QHEguslbZbrjdTxiTjQjIZ9U0rXveEgH/H4K7Au82Qct7W7bFLN5
GF3jtMBovkhQn0wCO24m6U/R7cIw+dBmiwhsXdJ3UV5jj8Myw6/7QwpW/OLfb5vDsFTmiUQL57kV
6YdsdHUSc3zGqIyDuZic/kVomDDswyQJxMMtGPbiSRMrGy5ibIOhXZNwriFljWl07msGTQ57lfuh
wC/nr5cqwCak7D2NOvdkWcp4YBSWhz1M61sTJVto5UZMOzS2+6Z0RwhrjvFdrAxhAr+5UOfg1Mj7
2YSXfNRLPW8YdisVdKRMgETL0nOxDt9xmt36UAIgf0fvkbDu3CnvHmXTGNssbeVrYyCesVMIpEV/
3YpmOGaJTi+REqX5HeUQJts2uZIts3DRyOQFjheQhrgLZwhxRz9mnQzs9tT49OulOXKw2JdAOqx+
Fp31OkVPM2iTHQ+9L+R5ZM8olzmZLoc9nPH6Sk/Vrqpwc4YjaDd91FZLCE6jzRGfen9bdXK+or7x
Dhyo/rlcM7qmMnZeqIAM9aOp2zH+mtWCBsAsquYhL0wbYD1qvxD/P4r+KIv6VxKMzYj9Ruo3oePV
XRmOrMC1BtoKBHDjORRqB8j1c/kgVnNy3wvsyx+JVyr8/AsMojQbqpD+wQwNLb51DM4RypRR/sp5
3N/Q2L+SnZG9l23C+Vw3a5C6JIkMURfTQekxPZDcLMLRTFfGTA67e/TSxEq6ZnNd4MAOUDDpneuz
H5qXOT+XevEgiIzGss0M29nXtj3gE02KeFdTZr7M8AwMOOaXYxtMIeOmQaS4Zd12WT5pVS+WzxEF
AJkVUbPHfNh8OnNlEWYBWmEVU/EDLAKc69aw/F3Wud02W6TeRlrfWhk8p6303CiQ2IFCgxHQsmmF
LM9sN/kh4kvW3rSenWhq4l1JnNUZ8+O88aul2kOpq3WgDFfsDDGNW+KlDAt8l1U0UOI5RZFmxdNu
Xq1h2432dLbZRQVk9mkJWjufvvwsrx6JeazePUwnb4sxSizDSf9A7gOAFGixzW6EsfPqtV1/GMdL
ouJQf62lax6w35OykZlsiEVVXteowHagXYqvcrLs/QCB5ABGS20aHzOGxT7xQmdPQkexquniLn0Y
iQkNusQQOwgi5bPleCuhL454TVz9TOgPEReNZ+7rbB1/WU6jg7lwfwEpzfcYvrsAOQnk9gTdMqTe
B4qDjkdoKkuY7r6Dya/x7iCAJ8dsdePrFskoldwc84Q1o+u87n6lhZMZAVe9HzLvbx5avkL71HXg
sliVla/SLknvwPO9H2HlfwBcUIdk8bjNOmZ/z51TFXvZwTyoJ9IwILIUjDNJQWMyoLEWG7Ph7vtZ
U49ikU5u5dQOaKszstsijBSMVXuCMXJaPPz5A8miBL1Y31XqDMdipaqg/zfdLWJh9l556rIJc4gb
JXuCHeHW0pM66hzlMEMgyNtMK+WRaWKbbSv4bh1zxzYyTp63wiQhumjYd31kPZNbmANeF5r+HwQd
/n2cFG+G1TrfjlqKD7zT03UKwyR0V9n+WCwiBlY8/HUAX1Uhweoq/RMTZ3kaSYEriHCTUOvsCCyI
0TbjfVm4SQLHcI2p4bq7wprkzVgCARZm7m9LpO4PrrAclJaCy7qrFiLuinoEOIzpn73bAGC8QIt1
UtZqMtA1Wy5Cu3UrN5z7bMivG7znwaDLjujL6ZLmRcQgZJgyd0JpFSxJ3WQ9Y19xzWuyeEA0V4tF
HBoLOfZ6ZmPT9XGxTjf+4OZP8zpxTBmXMAFAepl7SICCPhBKtByaOpfZaWxTNwp7R3bPk2btAE15
FgGkXqBAgyuYSnfoSubXoVuusZPCkhdGXiQU1SbpRsklRtArnDs7Go19E0vFiH4iQqLI6+HO49w9
yiXPznO5xh9uV3rdMTZjy92SqcCuQDqMq3OgtJBOiO8iY4e9JWCPol2vnBpu1cbuSM/0yWt4NzKP
qq9Q7VM8d9yFNYXiJmHd+S29vmTuF2VHg1PtNR6c9GPMRAoTPBvf8DpXt4P0iSVQqJYtG0T9Bv4X
4qB1iG89jnQZRFZNIohvX0pWIDvBQi9wa9TEzoGZcraZk8DP64Vt3mCMc2+IAiJ3lBpyy7Zefo5s
5+ugyhwTglcWtbfgPscjjiV5RrhfPVWg5BknxtTPWvZkN8261w8aO+iuqYriajF784cCKMQGKlJH
k4kSEKQGEqrUfUP0Ccstz26nezIDZA7nw1/6kCHhRfrgpNuhN+UeRt8lVaXxnwEK0f0b43SQEARe
Ze61O64I/cMxB/O4yCj/XCo3Ozep5536rp72Gs0+sJXKOTXKW0leMJlzChEd2a0tj0tkZL9Uj/R9
YTN01TBG3wygvj9ZaHQQa7sEqeecPwjORB426QB+g+7oPrGI8WvquftZ+9q/T0Eh7azZ77ZKeEdH
mcMZCHTMFsKB5YRczwyqqmge8YxGP/q+Ka8t3dJgT4z7E8Zrlz4tX24crmTDcg5FVCE+6aCIga9m
GPzDiVhHKUbLZ7AVYtvY9WO3UqmgpBD1zrezVO04vmHMNtmSgkSJ0pOIB5DeiCKJE57a4kWu3WQH
8cpD2a2KOkQpCXilS0px78dW91o1bqcCVS8TVftwCXRk0r7yJ2AA36M2rTUPV81uwa7wM2ZMS6ik
Ad1tGHKrA4Bmq9r0FrpJyJ0zRP62lm/D3E3PGsY/YvoZTybCLjJtBDHLkNGy2T+y3NH+1bI2afax
1q7vH7KGwn7yy9w+oqNo5p1JY9ftqY+/im50w8jspruxkjCtxsb7Nr1sfO/Swuyu5tUbsttaOMyP
PKr7y2ZzAeq+RB89i4nlqUQgHICyAaueN1P8ilhSn4BZqjsGHdG+SWdEJMBZTOdoE6PlBmYbL3Bn
W0duzNJJjaA0bRjPVrywRcqWtjqRkIRHcWr86VwNlQnanIlbvm9X2975bDTCtG6cLwi1zT7C1DFt
M2vkQej3JTZpNzLCHEHhL3WZvIKisrazDws66HC8wPwlAnPatoAq5FErFpHhTFIHeZ4tJGK2VAAS
eVoWcCZGI2anIcBGmLohjEuCUy9gRBzW2VkYjXiFeBl64ZyGrMyClF4ybMk8+TS7MqHTBagEMX9+
TGBXnSlJ7ZBhFKiz0sLik6XZvShI1rUmyLleW7nXgyHnR7ev8hveJq2XUebvirOe5Um8tHCQyjKH
M9lbV0a9xvt6VFHIMzUDHA2Vdrs6y3Ld9MAkSLHhWAnqLGVZVrfZgyLWEOFuBYsiWaRlBhft+p0i
96EL5qh2zGvhRowBEQMuNoXAbLungXRx8wEC98iQremX4orRBu8wTy34ROk8sG2jeDDsx1Z3dXxn
wBGlU+OyuiQ4WHki1S9ZrkP1McRl5uyIc2jgKONFJVG5Vc1av8CBUh74nRyX+caL8jl66yHftRBY
GxUZe6sck8FHv1Il8b7I3Ny562i/5RGsV97jQ5hoXfDQ+tFVYo3LuvUAoahfSe+4ZxhA3veU9Zn/
Y/bAjYOb6zmZtkD1VHseo9K9o1eQ2XPuT6rfkI2ZdkdZE3W7S0iB9K4jOtno3onsqN4V9AnTcZ04
JXcrdDk2rXHpfFV0xw3pHll24XkBvUvtqsywF7r0svNGZzL2w8WxIgGIzOX/w3Az7fsE7EBxIEKD
OANeu98pAICIM4exB19CVsFuKnnOPDSTe0kgymHJ7U1uJeeaRXrPjiPPF3lwYAslByZCpXtV4KYZ
9jZs7Axa17CK6MEgCs4PCQkyvNDjjcZ7xoLLeIz9ruzvFoPQ5I3t5cmyz2BVGjsAulV56DvLMO7g
SfrlnjwuctHJPrJqGNezis4FXF8KZBon81mZQnHmVtkA6qkFebjJEeGS2rUSrxquPamiwX8Da0uk
0OwCsVo7UDJx7qKeSjDsBrk/6ltnaYgNixaVGxtCqbyXCceDT1y3OZ+ZYmU/atMjVysVyxh2FOs7
Y1YyNIrCffCH2g0yzR1D4ZcwgXXdh6iel01szykJQCOQVeynZOncE8X2woxyYrIZ6wcmyKyCOjJI
C9THHeEBe5ebut0C0+oOQxyJ0ISu91CkZbXjOnvzVskqCf5KkIBhP3jkfr9XrM+PjIHVS0nGIhqt
PJk30siYgjBR2RVY4YK5r74aEqtmr+y3Y+u9cRF2G+xg3B19H21GhSKRJO56SxVGpmxSkVdq5haf
BL7EhLM1SIrktV2pQMYMYHRGelAw9QZIJklOWQMqb5/MnXFwx5ZeWFKSVb1/SeLad7artsQ5lYF2
Vt54CR0Z19WwZSgu7pyuiYJR5pL4+TkmtkGTknJ0OjSdm9QyCYonN54uXvpbjwTKnx2eucvWnZs/
Zw/lB24y2ub12q6shQv3yhi7+EAKX7mVRrIgiSgeOs/5mSIpxqPMmX8fe5HYj2acHxU7/mOyaOup
z5X+XtAT3nQ0aS38trK4K1aPh1lDjKGn6+GarIbmXZqs8cxLlgM1P2Amzcv9QPVHH+VUZKxxn13F
aTN/ExvG8tfpuNlhiMNY00J9gLs8j+tcvBRjH7+Omuhtug/3044y98MsUwaXfLpvbkchMuIveESf
kW7ELMgjEORjteyI4Ejqalui+uFCG/3AM+J2x1Uid6YG2FX7aEZ60ZgcbM0EvI0Y3QdjUPrQqfSX
zCt1TJvl1masCLrRfRYVTkAyLPXWachwlcNINOwcfaOZzY4iKT3AF14WwPLHfVJ+LdpWDJlBOEDb
fx2UTaYnfvcwmSjhjb6Jrka31XduOf+kzjeCqhgZfHAzbmonj+9S8qjBOjGUDV13uKcoIygPhbuO
fJ5Ic3ZXsL/ZULVM5IAm1Rv46LbaFlL0W53q5jHvU+KX02wuHtZ6uRfDGtHEDeZ2NSZ9LIfYIOK5
mpFjmiJEh0h+qp0/kgQPSrPxW3DRBhoDDJH655ibD2tvQ6RbnjFoHVQF71j29ZvhtvVVVqpDKsz4
wH71kGT29F6Jeb2GNXqK5nHdKhuMoUy03IMk76/Gua2B1XvzSTgMfSaK3SPqGJohzc3I+lvsfexq
NynxeDE4t1+NjxwTr4J1GQR70PkaNRxdu/1MW/ZXDaOukwsWIfCIrwZm2aBK9Yud2VCAZdLfj2zV
iBIDFz6qeAqsTr1xro7vg55OshijY5pDgEbCo8bt0EiX9UDWEc1Vn5aCAHnwWQUzRkRZjGKFM6Ez
He1b7F05mlwbggBtlaxOtHNEqwnul2lfEJt1ZUeRurEVl61e0/ng2+USrmPxqs2M52wbCRA9yCoZ
0oCz7v0KXzPa2qVsAeg61XMbq7e45crM034OEQtxpLvitbRWGfBlXdo4wic2abEwE0s7eNV0tK+i
EOhZSRcihYi+TapyT31Qbse0cs6yGgwiOGdjIy6gUT25GDqS+plouvxA6NDgBYJpHqqdzjopgKHM
XJr4FVgbxeA8dLvUxQK+EjANd1WV7yMLRIRSy8yni+dTZ2zb6CYz597uumnfY1tdN3YMujKAHPBF
d0r9YYHYIoqzSDgMNdcxR/tpYgKMuqI6D3nUvAhUSIEbM77Oopmb0muqgysIGtjYoLG2Zuwojvth
jzQ8pVfuexmyIVymbTWl56FUw4kRIRrUZAjmqujuFxRlV3yH1S/AakRq5hVdi0kUtRyG7jxlRf6U
1BQgkLtoDAKrmj4vE+JvuIpuWCOde7YWMw0HmitmKKyOwrJIJqLQbJj3izAmed1qrtijK50fM4Pk
I6ntNb7GqejabT/P5vWIFGKn2BuGiAY/Esvw13Aw2ijbRkQakF2aGyY8uIrw1v2EZBfBeNu/EpOo
r+pFdUHqJfqexXYFzIyQnvwyVEPmO0FcTVLjJ6MM6mkj39P9iGsLWvTzGmXLzsZvAKgz/fIWJw4Z
T92Lyr8n1RT1O3Wjgl2Xr2HWrHEIUohBdg7kQWbIHRH1AGFnxGyFJlK8NOvJ42QdEYEQVk1M7dTm
Gl1ikSHs0bqHDxEzEFZEHzgs0bYSgfI2kgJkKbtX5kGy243pwJBoJnSprxXQyaXV025ZLY6grLDG
nV6WZZeYJHNUEteo2RvVt7mkKaN3c7kClmTcclSr/bLwXKZ2NRBYqOTEXIK4eT069/8kLbj7uzHk
n0Hdv7loFRAZmCtI8iTuFyF/J8nA3Z8Mu0Lkk1sjmisK4QtYjlrd/Q9sP381v6CLtfHO4kgRF6LK
xWfzV19KNDmIjSIakdYmqv1UqtSarxZnFWb477+jv1rJMV+igIDMhOtYYKuCG/bbC3nLlGlccJip
ismF0+8SbsF6JXofa0rJkHz5bt3Ejp88iVg5/5GL6jfD3t9eH3uPDXnJxeCED+evrz81nk/l5afb
tDJksYmYyMqNkyJakAmOp51nuL5+QzuRjdfmUIg7c9VMHWTjRCHLdCMBC6pN/1r0Q+f83Sjz/0BT
A2aff36n4P2Fl/efiLRvXb6lf0dxk/5q25//5fyLwIK/6M8vf+wfpDwTQL7FLELCDgFdctF3/4OU
Z/9hmyixfQWyDczU5dr+U4Hu/4H23OeCB7/zpyTnT9kNohtLoGXHr4ivnProX0Ll/XYbcw97qHcc
agz4Ifx8v91d7dJXZbR6x4GdzM8Ft82yyfuh/xCsJ47/9NH8H06Mv97I8INw7l2c9zZAEQmv4TeP
ZSdE1jTNfGQ+Qr2PGWtjOr33L50W/3gRKAXQa1HUm7+9H0tbTU89QeIjgg7HSqetkTXLf/Ai/4u9
M9mR3Eiz7rv0ngJHI7mlkz5FeMxTxoaIyMg0zqNxfPo+LgldylBCCTXwL36gF7UoVEkeTieNZt+9
99yfXDQD8BHis42NStifPmQeLOyr5XTgG+O8Bqy7r01ruqV4Nv5FgvzzNXNYiRzbgD0GYwSAxKc1
CYvclMRTfcgwRlEVKWGd468lePPvfpo/PobgP0xV1F/r0xdSIEpBWjeHNFbWw5AQAiOXpX4R+Dv/
S/4aMOR6YfamXkI451fGZ0JLhiQ7LxMn/HKiBG5SvOmsXjA7yfmrDovVtL8gCv394uEoA8YEKY45
qjDPwYu/JBrNnl364Fp7mlnLjSIwS0q386J/vnQ/+1Y82uAKgMEQHP4UIMScMWEDt/ZjaucbZCuw
ihNTA1tjT8Qu4Fe/1E8/TvBGhK5m63i/f/xOBfZffYnxRsPFO6UtW8E0abora0hwiou8uvvnb/d7
+OTTj8YMlqSLxSXkpXi27P3lGq7QpAaKGffFMlWvNUfB92agyXfDsRkAsdNU9BDQ2pXfzILjQ2jG
VGaej1EQNqUnUeopC2VAUhXuF1rSFw58cmaOPKPC3GB2xf2cLNP6pS/bsg+aPmFUUef6+JYXqaPd
drNp8tl93xq/+Nk+P8IO9kcHNiXfzMR4pLNe//V7KZ+USNoOKHy9s3P9qTuVkH72IDDSf5mrPX8S
uyXWcjKmwP0+PVuxYPBXEAKopNIjzZIuxoVl/EaMkfyOWpv5Xy5Ov38eipdpAFFxiLb++M2KdjH6
Rnb7KsWezmxv2VGtNe0ZcuUP/3xz/P354puB+bO4813H+bxhmrM+E+Rz92B2VtS9WgsL6Oh/7DzY
EPy8EOYnH3JexrEY8trgpfDph4JrLJaMak1rdvEkuzSvpFNpbP/5m/zkbnAMrhcNIpYj7M9Lk2ml
mjG45X5U6OtkADlbSTkxmXLaX1CUfvpJfADmV11nUTp/3b88TwwvPUvjIJ55XXqZGUrb1nXVRMWU
WNf//J1+duHIO59xatzorLo/fhIVY+ZsaOV+MSn9JuHAMdhNhl+803/2dUwPbKVFj6RnfCZxpk7e
6r2b76eKkOdE8HiX4Kw8pNVg3/wvvg77E/a3nDwoKfvx6xCsxW63FHvNT5ddPVlp2NmoDv/8IZ8x
EDw7fBN0zzMXhB35JzKFoGPMJme0R1p6o6FwOTXu0JwmGqXvKibxHwYVFK//i49k1Mcu4jwl/8xu
Y/bqEFrO9hDLkw1dBtVWn4xyL6is2S8L1faBppX1L76naf/9m7IhtYDsoZngsTA/PVZMzOiP7Yod
CTrpRaOY9K99nWKe7HnYSNfkI0VtijQvWfVGfbH0LnunW4e2uMWqObezndWvUDCma9oA6LeMRd0d
xSw6TKxeBi+IJYi6C/5+ikyIHWxHWh28KMl7f6E4wad0pm0AJp1b5+0rJ3e74SYb6xGofEFf4h1m
QThiqsV5HlLtqWq6ScxSMVnOx+TNyYxKxwVtE/NGuhX2RrRmTMTQyL6njt9Sg7pwuSNMEfUDzoym
2ZJW19E38mmvr4qAUipie9ks9KJZYTUpe9e3XJKNa5TT0TJXtw0MNAgZ9SXObAMVN8Xq23tXNTmb
L1QfxBmzReq/qzmPv7e209u7OVfLS0FmUoVMTcAUUkAkv8FhqUgrDVTEIAq6+VbKM6EuxVx66dVk
wwMqD0cgO9U8iJCqh7bd+01L7qhpO7/byMTt+VncnOYG2S4s5W02LlOYox06pMTcJaNnl1Pxpvac
KUGSWe0XnDekHvN+LL8nmN6uOha14tx3FN+37RLrG5nGzZaRMBZ6CuSMD1uOhDqKXoxfdGk0awQ4
aT71hQJxVmE++tCWhlx+XPaoQkNSxhpIu6K9UAteDy4jNbyMRSsl9nIhTRnWvsrOJYVOUoQr1VDU
EomBjoJcvVMosvZhbUsds9DajQ8ZxvS7pIknLIxDxlZ6v7AhJeRvTlSHBpiHvcvRRVncLz1JrZWK
eOu0JpMWCaT5etd5c2FsVuF6u65pH4RGZQWtw7z5GhzpGAucSUzn8fqwS0hu0fTJE3fnGQb0Wwvr
+FF5ef604Ed6LWRp0HMwy2cOAHPO4D/L+4jNvoNLa6iwoAoF+4qWe/elXLx6QByXYCmGRXGoadxO
ozUpI4/Mban694Xw2RjOiVFQ34Sz/o1tmvPR01trIK5I+jPspm5KRsQ5D3rpYPgkFzkX34mRsbj1
RWG6YabK5A35qTYOY+PE6WOjIfydx3EI+JOCs8ugusvunam01EbjWImFBFNrvRlYWPpAUp6hb7yE
rBOjU32lFNwkdNWWC8ckWbVzOFBugKnI7rQduyIG38OYaE+Wi2cvjAdXwGmY28KEs6+WlTlE3Lwm
o5/yOOnDskMRxRJK9zsOLg8fl3GLT5Y60sTDbCoocKn3Yq5BFyxL4T0VbTk3QZXgJcLljFMjEmPu
Py2DTrsPRnET0wvm1WbjIKsoRshF+di4/FMBHj8ABhnDshmRKCm/5vOS3hfp6vTRMvG40wznlnQK
iNL+XiwYgrBOVmSH1xIhKLBip61Dn99CMtXxUI5HK2dBwZoef8V2LMkBIGlDtFB1Qbey6PEQFRjJ
y8AVCXK6XZvzV5w3at42KRLmplvMhVaZWHbM+hKnmJ7msbEdlF2gEw4JzlHR4whWzR2CBQ66CDrG
XMlJmL364z38/2A+8/9d9t9gA/sPE5hz5umHckTz/A/8T96JYL1gKnBG4sNI5H/5M/tv/MZuhSM8
AZvzrtzhYP3n5IXEk0m4hrEM+02TeSD/05+jF/+3M3WJvQdzSINgiPuvAk8cstmz/OdwRWQKyo4L
uskGIeTTG/Dp7Gh7bU64Vrz03TqIh6QdwWawxmeZ3l16VSndbzy7XZYggK7UZ77aatLMhd7Yqlw4
qiAqbbq1jrdCn/0cU16JF5B6J9tPVn/X2yvCTNxYljKvrLldKnOLlx1rVEa/qF3ACeFGJGTbDjS2
pBNvKS1Wos9OA2uzCPt4tsyrbCbH0TCNTyvqOpdar3mDtYLM6A7vmSfeZZxkS771oHf0ajt5Fu/y
vZt31hi2fQEGhPB/Qps9/mKb8faKkY2aFV+vdxC36olYLwh8uR2cpWA5XuU85XlAF5mL1UbDkxTR
22N2YYd62qdhcf4tjxpbB+cjqxwP35/TOdSWL0tqNEGc2FW6dc2+JKLJEF4P2mHGEllXnYG5Nqua
MVjtgf2UWxMEDRvuEEVkpVGntpZrG5w3gN23Wp+me950efPdwltHZnp1oPcH0K/d9j3DQgLST8oa
ehoTgarCFNNBl2kxDuN9JddLK3zZeg21avbseQcFeTz/Dk2xQnNLoZ4NF3hphjzSJkzAAZWKvO2Z
m9XPsaHOCSR8jgfKvAheA7ZnueyKor0Z2hGf/uzbwz0/mTM89pQ7WBfw+zBOBFk1WKeZ5p80bPMV
DJHZzvFFNkhcWhT9aWqby3U6W3OLdaSlmU6hbldUFW2vyvWLTQNkqIhydt/QXIcELAG2ElUdS72X
dZQY/B9B7leYZuLaosAWYwmidG7J4YgupD97xHdRxDIcMiypWE6hHOIbJleNvxi9xC/JRMCSmUek
C4+LWYEqqgiHr3xhg31NE7hjtfpodKXthlqv3CbycgsDfLHicpvDShpYWLC3tlRjlUUsYeXXKJRY
Hxtz8K5Fk1O2vKGy3CIwTUHxx4SVZNq5ogIhfxihZlhvcspb60VvaqJT2HG0hlmGj7+MjVzdr1a2
G/MpnrCfdrUZDETdaAaVjWWGg0yt68onGh91q1fLjZFJ/ih6sdlY1baDy8FM46Ij+ew3yw4CkUOQ
Ho7RzWA4/Yc9dLx31sxbVMAZMMZBaDU6dXiLSFVgsPu64amdn7hzuYyT3ld4FhYqJjeaNxE+Aj+F
9paAAIZlxJAFeWLp/e25o++Lb01tHwHuiXeTNpaouchjrxWC1L0LhPD17Ll/YjNZdgFureqy6NhL
7M8kpOlySJLBDXpS3WADiGVOYTKIGbHPzrjZiqZgluV0qDKBXyprDVuYuOnRhViDuDiJ+mA7BdEI
pc/jnVf63QspA6BCzZJMBvuhhb8aKjC3CpVD45fWZpkJXMhA0x6H7VJfdqtGSQmtz97rnJzfvEFv
W/F8rSh4oeynkYyHoDqVlLMVGJ4QkkUqyElP2WKF7BUddV8zPi1ObMPOs+tprUt/I5vKIc1GRxOh
zyCvy2zqN+g+7vqsco4xNG76lA8C8prQUHkAlxXQTscA1z5R2VWZBqZvTKshRNQ23Yxr48id6fds
crhLc10fQ+qRje4wcznKEAOVhWwDC0NcaFKz1SGvnbY/UXvmaRc8t4l7nHD+eW04+UQ3YLrWutho
pt5560Z5Y4VZnQx4Lb8Si03G19kHNB44EykK8t+1QUSKxi9zScKi6SigC0yNUSrtMrbbGO+M77w1
P1TE081S4BTCTUI9FMOZx1XvgQ3IssOdKl37cSKdVlxK+GDWzhRj1+0a6H1YJl9MehOqjU+41lrK
TWKsS6LfC8m7wrMvTDJx64bSRPWc9XmuXY6D2Qx3FTnd5pAkfUxJOQ9MAg9itLD0seMvw9lK6Xuy
airj+PUhH20LSetIhP1At+5k2VPjhOSlbjGwO+yj6DKAHF1q2bzzl4b2uDabyqt4bIFngYI03wiN
J922jCkPDUw9KSlyQxHmwqG581Cdb8l0yidQC52Fls7HDOWVg3NFw+ggcMNprZWXsEOK/GokLMwL
tafeYwggvJnXqi/iZddqRYnP6DyeBF6dxAHhw2k58FYgdUPerP3WC9G8iGpd4Vv4mXsaSQ+eJO+n
862h68cSC10Bd033MwgB8Xqu5O5X/ZCKnjdozbvXDNlvSxIpWi0ktrxCFBhNm3FJtkD4xjeyQc2H
9GkzPmmdSSMc3onmDJn20bpNRusGJquJ01Ihe6xstJHqx2mh8x77KC+AmoFsH0PEsDS2wG1b+/i1
fXRTSus9h6k0TIiL1GqXFKOjM70iNOHqmzvintu4ajrS0bnLxjgZ6YTfJF7DvHYxcZHYriTusIA0
pduU23Xvcf5vMMVnwEFqCofn7ZLw3/acNPSLcyCFTAxGFIJ1NV6HPY0bar0TbZ+QaiSmviNlKOoj
9xakIIpGBVvqbhL3nt42+DVmPfkQcdF6G21Qy9HE5uyFTWd69dZqmrG7Gqq4O+Lmu8MfDoraL6fi
yvdHj0Y5baneyqFvHiatF1404ykFxCbw8lonXFjcbqmsDNw6ItGSsOnTWNvHvWle28LGNtK34DSu
iyRfkV4Up1tCNzK5ZVGxvlg1PW1723bSbw4/ONe2zCzzZVQQPB6xt/vDThMZfLxO8xPz6I32qO8q
d+RYXyl3ZTnyyzN2Dd2WLmZRto12OzuNpT7SCrfltAGIhFFu0v31FHep+Z7Aib1vLViy2L4N/Ws8
J+gZKTY/Xjx1Ww7RUuTuHbYbzjoAddzzOzDpHsRk6B8dLg7sComkYY8g4PqV6ieDFRfUdQbKpMAd
lpC3eMtnRlNMNBJyhGeW/4VOZoUfu19g/GlsaKbIZOZ8cEouRCAqG+4S/t/xlEijT/jdGv2xg6w0
BW6NtTaQmWLbiL/MSPE7S2gkFXA7VmZV8Mdnxtq+AydyVRDriXrzjVodRWfRi0cx5J2RCMLA7kIo
gwWvHk9pDYQAJ6Zix2X7UlRRii1eEfco/UOf6eX30XGSy95V8XfyefrLwE6w2S0j6S6sxhgrunSd
2oAUDD0HSqMwchpGgdUGweYJp0j/PXH8On5uu8yiPUBvyjnyqZM1v8wFdt0HHBm5WzGLGSp3Z6Yd
5gOt4Ohg/WIwd55i/ngicCmIEmf+uYlgBVHhh/GwP7b4xvlSQdKaNTEzrymKqDb0/pbJkaKnuB07
499+JjB3DiEo0+hYOun3Hz8THcEZvR7fjGvksFesxtutOU6iJYZQTs13H/3lgPYTHZhD14/fkc9D
fIG6ef5ANMEfP8/R5oz3gwHocJG3glcvQS8Cawa44ggo97kW2BhDc6hoOGG7+K/G4mdMBVIdyi38
trMU/TsH/S8DeKKINBEYORvpWuiRj0+Z6vfq45+/4t8OdgiCcGE5d6JcOJxBf/yKmWoqsKIFStho
i02ziBYeFYPniBbQGifB/5x3f3I5f/5Z9FciEJuA6T4NxmMDumOX1iIY2H+FCnv9czv5+uXQZUP/
C23pUxnK+er5aD46QVemx8i45z/mL1dPM9ppLeZGcLxh9RGLW7GFLfV13+Gl35SqmKKGDXjYzll7
dEvLe9dQFaPEatl7NpJ1YfLs5xnX91vDVPC4osj+Sp3/Ufj4829EZ8PBc0aXfMZLj1JaJP+5+Fnt
1dEwpsWeMV68/f2y/9/E5b9QPv5yB/6NtvjwtqR52qvPY5fzP/XH2MV1fuOIi+ZusJT9KVL/MXYR
7m+813kuPJuAGNkWfrs/xy72GbnI2YYCAuM8qvH+M3axxG94N41zKwSiBVY78W84M7/XYfxnjUWG
xYUAtQb2C2qfx5Djx3vYKhNjkdQC7EhYTzJw80UdIHkXl23VWGR/CNttdE4TUcZhAtu5Yj9BZiGy
p9gPqfI2H+khniPp9lnkz2VzQFiQ4rJR+UiOhbTtyzKY2TP/n+na1eS6X0Wrf8mAv7xLNuWBwQab
ho4zw0lOHd30svjFCmsaLlfrL4ssXxL/i2XYAvsDQqP9eQXi2KLT5Dwb5HCQ52CZN49cXHe4ILUQ
k8DV1yqK8Z4soYiFGomCxBeLAPs/r0vxte88RviDbt0O3jrtPHJGTxxP5b3ue/0ADW6y2NY62Odt
M6XRovbNPSng8dZjc1MFA3w9fNx08NC8s87jjeHN4j2OJ9BqRdqMGznHl423lsEQV1wQE+R/mXTv
7L3Ufi6ltWVg5r3xWiAgyhvBMLYc1YkqonSqcJjLKTv6CDCrA6hkAyuo+jbbXvpd1ewwD4oZfrdb
JkldeG8O5S1O7I54h19cNlMsT4bG2apS47loLDeba2JznA2KgRg3HJzmPocED/vQoL+7ziv/BRGn
ityCnKHXGz410EoC+JOOPUjAWflohAx9AW5NY/9iF5OZbfNibfoNi05fAuTQqUWez2TDKSvLp6VD
+mJy7FMPDSuAXU7pnTwsFge3x/A6YhXbS2gOIW8vtWF11PZ5nWc3iwcMMWYKsS11PfsOaliLQBPF
V3DxOyuwpTlc0llunkzaTkOavObTGbfzQJcmlA7itfs8zvMbYrzpWReqtoQXcdwDhf+iQDPrwTKP
5ceczwWkDw4Iiz7Yp3GU43bJrPaJoZmxtZxRPioo/WGTrtIkREb4bjYyfZvajpcHOfLLhy8m5zq2
O2b3qxw3jUZZcICPmsiaNkBzZrh51CzXvKIWqt4tRTyH3mCqbdqk/ZvymJ4P3ZWvE1yx7XVTlVO9
r6y5P6A4treqMZnCGGgWYHA2TtHID1Yi7QjkHSzManCcqnR1UWmlvU0aSzvQbWw8MdPtA2ioalen
xrjJCr18zW2F+Oguy/cytaiitnPEhIagAFaGdBnIYNvMB0noXKKzeRAia335wh5sZUbo8SIjR05W
03IU8H0rLrdlhX+qX5fDaptf8TbFl51s6pAn4b1ldUJyQKezLCqb7fHs49eWGwfi0TfLUycOUBtl
+HXkjDNqVaxFTi/baznmUYPahbA2ZDeTZ+ShoFzsogV5jwO12yVJfFTSuGt69JK0XD9EbR+AEkWI
SsNlRiRqW5VMJ1H2/JydvrG04/NkGsfYN792BQdRKOvfNOOeM8jV6npEthsE3jG5nYv0CQzPQye6
Y5xaD2z67/O0vDOTdp8NDg22ZehlcP6H9GQB+oEXzzQC+TooFQ9TXrmsa90D6Ik3quGfOpdJAAWC
ACMAv+TSIAPwuPhOiJr7nlj2Q5Kbr5Ag1IlAQH1NtXq8SR1l3fRm9rEkMpUBRvGrRmmAb8RxJBNs
9MaeVFmwdt9Koo9BYWvHhj4MxpYgpte+24iifyBtH7EibawYZid+7SSwG++S/jayHln3YC/FZe3b
gaXPEad0+OTOXofK3KVGwEVNmEokyoqo7PpaCJHhHxPqNFhJcijqMt9jeniAzO8cOw5we5Vk7Vcr
0aoQp3++nQ2HXNFybZxzIFnifdN8S9uLzjlm0/RAWNmO8D/W94YzRmZVyGdzBpXUE8Nh40zIIDmO
5cpA9XmqldoJY4hqxjwUfjOWozR8JcTM3Ag5Xm6op/8Gnf0uK62GsQfLuxJXy1R0dIFJzurlIwLI
Q+JdJWnykFl2ysJXfcQ5//65NdugMeOTQqSylaFtsmG6c5mfgz7coe+dsSTehrnBkTLUcEj017XW
r8+ufbfpgsUbLydFNQEDiTFa0uaWHzecO2/PIKjZkpFLIuaBd0x5w0x30bHrPjJFEtWa6gPqdg+a
DX+pcyLcznjjvXbj+gyEIQNcmaxU8AdvKVkY4KUAfjBJwKJ0v8hUvGCrP9k+v1XaWc+Z8qLUr24R
pq/zzrg1Bj8LyfoeO/yFga75l5nGKRUpvwZ+wpgQExr6dXqdWdo1D/U9Wekgdfm3SXHOE/gHAw84
1fHYALwZasVqlpEanWsOSrTIA/KYxvGy0YYvAFauYg/kbCzflJVupmWeNxQAuDtCERer12sAMfqd
qTsng05UbldxJ4fhooibq2r1NkOmPTnMZI2JIRUdBOCFxtucl4UwAC7o7hL1AM4DWVsH0B5kA1ZQ
LI0ZGm4RFLGKqnneK+fRJA2wKYgbnROsfkQmldSA9OO9MjqIA86JPXu2s5tvPF9Ac5hlw0qd3YtY
DdXGIY0fJSzwlz6C+mXbevku13sm1bWpVzdVreaH1RPaEVbrXeGsEPFL6AgK6ZiJtrWEzPYl9/rE
TaOVPrc1pZ0EhVh4lLfPVvLqfS1i8Eq6dQQOuexGJPGgH5ZIWW+gLTJsgmNMaFBjiuPDbG7TOL9I
Pe3kykXjfmFuRs1AtR3zVt5r8Kc7xPZ5fRvdgXRk+WQocb1apfU0u0yJIaZ4j17db3Kv2I6TG2C3
P3rAR4oCgqyfAZqGdlpm88mzLlX75CEcBCO2DXiy6U2pnx9lhv/1cmXLIpwq48nV3Ed7oVdkhKLr
29kXs6SXiOa7fOuQ0wtcaD3Xqqipt7b6V1d0NytYlaBams0Co0yuvIhW2pQM9eS1sc/9l72BL2Kx
Mr2t6puP1jjT4l1kIEJpMGMdVA23sT/Gyn2sl8IOGqchK9oU7yjc5ME1FaYlQaNezYdV6yT3Ucu2
Shb3gzQPhAH3VZve9HlDSjt5LPr0ItYIRrlUqCYVzRVOcVV194Pe74FZhTMDBxnPQZFUD0s7YH2p
z2U2lr9LJvCfTtLy+mqPaN+IaLHzyF/85TzVBUp7ILq4zSdFMJyxywx/j2H/ccnV9yxuTvQPHbFp
7fzO/zJnwKM0ja/lcdZ3nF0s1Z1VFzhAJ2rOoCK9Jh5J0toeAfFq7lG6y4UxMF+EHhg0iht+0YgM
Uxmxb5NYMGVGYYAws+JdkGUa+jXcgNmtLvs57kJXY2JN3tcO7OmQzkkbAaO9zDzCTSMLl2iBjwt2
+AEokxvTrt47XfFroR/uJBUooZa1AhljtiI138uuMjfmFDd8oNiC1LsgkbRJB2E+ScfFKTWkd9mo
xjD1pmavx5K/GobH2E8e4sW4H3UTHh1+161dAgAYVlRHJgOE3Y3skRlUFYqi2w6DEU0Ok5AeCI0H
J5yeBtgumiexyveGuUdhoPWBPXYE2/oFo90uKYqjVlQkRNiJTSwkwaDcV78rM9QMOnQXi9KNxkfp
YFcRjiJtt1hGucipfM/jxoGzfWZcGmbkt62+oWzoqR+KWwrxTgRl4Ka7LdzKWHDt2/jb3DihVi63
qMVd0HQYMgst28Jc4QLPLIVZ6LAkJUv1UvYpMHSLfTf31oXhLP0TXCm5J2l/iFPCoUgPhEw9O0hq
fCpr8t3ws2Qjq+4p14abxjWfbNvbo3RvsFewctAVos43pWBE1SYTw0ffvaYojgloAn2ZuGiAc/Ck
4VLdWmXzSv+lHpC9AA3YweyuC/S0DMhGUJf2sJEMArmTu9tVpU+ZSvY66zNwCkhRhPdUyVrrPrcx
jGG/HK1dYs7QnWt938/5I9DsdGM1c5SX3KjGop4ERkEbqFkr1n3hjs9CkugrnRtz8PdpOz/S8sd7
XNvVyvlYxIWUfbYdezgj47TSfzUzjNe/tb03hjLBJ6TLCzPGctezuwGdebFaLowHOBFh2457C6T3
G0iCyO34GxBHoFN1y2vV0jk5Zesbf+ubN8kXu9cp7Uh0nmW7BPWiwWOpxnevLG6tJbnsesRLjSUz
JJXG3Hh2CCcancW1cc30qK04fzx5ULZxmeo6pPx215cz1HG92titfMCVm+waJ52R3EDMd4S5J3s5
UcDcBBS1QAnifZ4DcxQli6u0w966Y/h67FwRngmDWxo8EjsSoC8DvRMs9NkDdpxhk+VZuDrWd0P3
AwMaezbjEDKXB00XS9S6amfV6VNndXdF3rKdZ8kdVB4ODEYDG5F7YmK4w0SWPBSW1KsQ6pmlQsC3
9Z6MQ8f0PRk4J5beC+iMnlTykO8KT03bejT9A2wMcduy24662UW3gBk6H/DbVwed1rStmaZyp5CJ
vzXKMZ+BsiNOGpO77qta7l2Y9KwhFH5k82wQtdbj66wHSsLmpcUiBN5dOya2Dy0GT8SL7owov+wu
KkhzTZzecJCigK+aWw6vfTLKDQMyl1JTz7EexFhyihsLDpT+bFiA0caYNSM1ioDNQvd9EsP5GJFM
1vlYbqBXaW00NY0xb52Wpuq5G4uPeorri7FOtb0GyjvKx2w6TGod9u2qtCt3ENQuzZgvwUQRimZ4
Ym1jl0rKoG4r8ZJCg6TXACEEmWCqmYTo3rbye3e7uF774bDWX9Y6poxA8834EcDQ+NVc4fV7KAEv
uPBFOBWrn0OSW8g2m/qYbxIXl5o7GdUeZSa+z1TtbVNfs/a4JZMPc14V/k63A6NgaVPp7VOC7Sxo
PppQW9bzdyoztOsyxpqGh/I4o4lGtV+Vu8Vul47lrhMfMXaxG7YTg7/p6sS+ktqacl6Ze+c4kx2O
EsGemMy+tWkNofaKmfXT1GrGW21x8ee0/LZWvnu/YsaIYF12MP5neaUs64A89OSlOt4vleo7QEyN
tmm92oysOqlPmj/Nu47QMAeretxl/blPwdD8/eRoQPGHWmj3Sma04qBMTRuDMyWQBwhAR4AjZrKL
Ec4eU99Lvk3rOL5mYrZIToH07UrMg47daqd1KLWTHg+8CuNJHRNUlK30V2Q9zva7eUySNww4Osqh
WNivka5296Pn5jd57xLIr53+wh8kot2UOIducgAFGM28n7w4Dnhu6udWltOb6NVzP3Pf19OF5Ai1
qzoLN+QgRfqu0+UnOSn5Sc4haUATsvUYan7ewWkGgM6AxB6yr2TJsgsbUBQuTIDNgY7rKsxMF/aD
lcU38I/WDfOGhkaNsT21tgDVwDmfP3t+yEix7vDqtFtXArPrhXPVWhzhMLAweTbnK1UNoExzbXL3
4NXVBWC6erv2/fqu2ZBODdtIXmri7TveMMVtO0qAsqZjHYRkY89/zLs+NspTO1D9FyDoJo8+y8e+
WyBwBQoLLwgskdDduvQuRy7XuZrz6UwZie2ScgYGZYnTpRs6MsegdlPzW4kL5QsnB+9jkM2yXeIp
vqwbG7cKZobnfDHlQzy5c1jnjnuNpQtXNICXCAWwp+uDos3V7AowZ7PRsq+R+RG7V3qt0xRyyTmz
33bdnD3bFP7eQJMrr13pyE1KDfq1XbvTbd5P42XirutrbvCmE8ng3CaGt+zM3Fgu7NEfrv16WZG+
dZudsVeJEEIuxJYkpxLKdIr0RFgYLRCMcvWBhMoWkj3rJR3o1Y3jw+OEbGo+tgZbucRUzYWxdMuD
7va8ZTjg9YD6KqlhmdAgFTrUOazwN+n56scLDinpwQdvfc05ownNQgPU4YAX9lbdfEAyKfZJDIoG
xgNkrBn9fFi8IRyzFtuP0o3mTRsBePIq1aOefFkooc6xLVDU445xvAH4Uj4DpF8vSqO2IvAJ8YVr
qutmKu9F66Y7Pwag6XpsKsyU4U03lPb96va0rzkJg1DfcTgQ15KPkKt6SVbEWupb04uurtRjM+v2
8VwSEGVjldyvg5dFvSnYQHrwyV0fXhYDSjp2qJbw28CvfVquzMVxb4DVtJS81tToQGF8gQVOo0uV
1aCReC63dUJiPC3VoNFjsNDqYbac/4oBLttJd+tyQzxaXtDi0etb6FKaOi01pXGY45cxRavP2j7U
0V4fyq7OH/EgUX6y+H5x3YLanuHjno+AFg+k6VbMrQcOfhzcbQ6iHhCQh7Kh6Xd08VwlmT1euEXi
XBfsTnDQ8SeSujb6PsAMjd+nq9uw63P2P2Je2siN6+JI4LL5aqDzHqyk+N0TW1+TM+SloHUbDPL5
VZU76q5coDN4Sg03VQ6HF9m3MU9dXTjbQWRf0gLl+QJwS3yfj8CjVKr6F6wg1lctJdJed+lyoF1S
vc95GX+dSHm+D6lu3jcg644YggCmsfCBq/Y0Hw6FYCzb/Dd7Z7IkqZJl218pqTkpgAIKg5oYYH3j
vXv4BHEPj6BT+p6vf8vy1SRz8ErevKZ582ZkmGGKnn32XnvbqHR+k16RjjC1OZGROlgf4yl3L4M1
MFOmzXSv9nE87dOlzeyryxL1HRmomGGGk2s/ejGWoiXtI2Y9DOnwLZX3ogocS/0su/QBno+HoiRj
xwxa2XDcjcvA5KamMiIcisOFJqeO0jo7jSFyois/u+Y84dJa7IckM90Xlg9cAhoxUOgypOYW/iPS
C9RGiJ6o2NkeAKv3RomcDHsljO2KLo4Va2hmDgxMEMfVLmH4QQKmhQYWA9U8IzrNacL8CLNCzb5a
ymlndsL6jKio/2Vp47Dj0y6P0B5s06/HCI40J23xExtDd5hLI7rRama9aVxQblTJxQZtp/xIMdS5
hw74FvTAuhavHatqtfWo/HypleHspiRtKshgGX1PGT1LKjP8hqaInVEaFnxc9rKbpbbb50apMWRz
BPIGG/hya9dau6SlM/+mXs1ErlqrZ5CllRuoOTavQ11OD/FCH0A5SZqIiDJVPmvxFti0RxnNhh7B
5KXRPO2g62qARtFrhwWYJlAiVNQPNxt+YrpcKt65HqLxkoW0Zztn0Kl4+MYA99VDFMf1Xov1NYRK
zjhh1N2OcGA809fCBRp0RDREgM6dWp6sGRQu4kranmkqBLoyUE44aQZQZ54JTEINPBU9Q/jhBPuJ
hxolujLERdhz+9LVTf2Kvx3FKNGm9bj2qHBUCaRaaOSIWC7YK2PTD9Z6g/cm0daS0dyWU7XuWpOu
D8/iflW2NhfbFYLxiCb8ylAHKgf32IkBs92aZV8/T55mHGfVYGQbWeQ+oppVR1GLxR9zkL+t1zHQ
QBhhnkvKxTdwo+6UQJKkhUc+x1UUc+eHxf5SV8J5byvN2Q38nd7syS73/TTT5bIMVMOg+H5Fa6LR
TTrZsrjYSUFp91RmH9SFlCFIjzZIFJunDcgL737BcKE+cYaQzUkHcycQuuc3aEjOjRHDKC+LaZsi
iNZlzcO1juZtMXHq3Ky0rW6uXuNVFHmJMcXVqvZXV9nZb+QqxShfJskprbv+zcw093FQMZJwV5e/
IaKWfwuzq7dcRYbXqaBASCnP+kUcBLO/zCv1jCGp2s+ikIeGbI7HY5Frl9KM1a3DZXONrEo7dHY2
+Cq1khvWPnFuBkI5rU5KCiZyfUNl4snqPfMrdTOz3CnAcjTcWHYf5vE4viKLdTRHpXAtY0yzvrtU
Vsh8WGxjbUgOVPIYp5w7zyvPx09XOlwMUJd2WL76f3oVX9ZuRHyZLY3+M46aJDBWwaOgiqR8dD22
DTqCZQA/iG8YanOI9l/+sDxodhMmmZlVibGE2qDx2+mawdM3VjsVZ1Ui1kdyeCQnzXrAntRLn9R6
aJWeeWQb2C2b3hUqlKQ7X5N8kFsOu3ZH7r0JUmimXWD3cfxtTzgwQzPl9WCMTTg4qEZV07e/+V4F
I1nd/5GTCSSv1/QHx5tXiLDS3EJUNQO5OMOlnHSGJ0t2EDd0ZXNXoy+C20z7EME4fsj09cVLvZcW
4s1TIesitDWnn/H96hC1Zn5U27iy11fKlgF0JxJQJh7kouVuPVkQkUx4NYd1ZRGqdUYUwEmvn1pe
fhRSyjZQblx+FqnbfXLITGcqRtaLTrHeKWGuOUOXX19jU9A9IJ36k+Ix88Mmd+lPrP6+VVYZL9A3
f6h7vYNbkojgiOrPpsXqbKM3Qo2UaLFTGsZiPBlWVNzGDBvyMsT7VcB4Mlv+v94JsYSkx645IETP
D07pAqK/955w22pSiN1Jm90J0c15dWb1kNmUV2VWUZ8KXdYTO4GyD3mN1b+10hlfOYUQOxhRd4xW
3K7M9bQYbhVgXy+R/8QPXQuUDI6FmbAUyQXuvZYozV7wLto69LLnOLVV9aa1lvHHkQiJZsWCbo7U
smW8nS7tuo4wraMW7xuW3Lk1T0pmLY+J8y6sVu41MYotPV9kvKcG62KTWjCShKb1PsnY4jp0bB3M
SruqtHF+x47+lbuUZ3kVuldLtsku9H5H41YbMHKxWs897kpd8l7lA82ZbrxYfqXNrJwcvmwk7wU9
aOXS5dZCD9LGfcM9mQVxvoKl7DNf0h8n9Aqw8lReJmUEyP7a09i14jTm6HGMv9MGnzrz+2Dc6q5e
3suMNQoATfwBLn9tya40yBsAQ+XQ7uTdpTib8YFwBVqlJ1YmUUIUVIeZsniNo/a1UUA1MmvRD1wy
jouYP7URnDIBqV57jDP3prL6ihk6RLM9i0r/jMry5Db0scGDmw3vKZvLx2xqL2u2FnwUQu3xyj7G
QyvfDBql/IQ+ZJIL1BJqrXPIuHk6G32a9Xeune0G5iZyT/80OQ3du3DEgJHPLwwbjPWq2jkTN2qy
FMXvFbn5uGKmzjem045knrkKfqfz5MIwiD3pa3NakSWxse9XXHzrLVoYHXx0SVA03tXvE0ffbk3s
2l9TV7x7KQTLOFkhSHjlXWqqp6eenzS228Fm+SmERMymtSLedEv2AoOWKpQii+AiO+DYvHkqDj2Z
jhBWSfHJbpuZGk7UthE2u5/BYfE+W1fc5moHrrXee8xtw6YU5l+a4fhL6FVEuGHVKI0TODvxJqpH
fBnWlZEUsbf1wKhDeFyvI2fhjn6sIy+s8T2jZIaMZUe/Lja7W89kfqCPFW9g4xhb0ogsDHsAs7Re
6MguG3PgJ0abEWy5ruQlBSqwfoyre7cXuaJ40zZtzodUsVMjrQ6LMlvDmZD2EDj3taxvxFOPvKz3
7avrCjzglAmfFtEtZ6ZFK6RuAIgyozJc8WQaPjzWhj95hYnaX5q4/9QXu3pSkZhZFRmDL9ZiOSEF
l3pgw4o+FCR/bH4WSXnRNTxbPmTiM6/q6VVpXXvuumr4crShQ+PjluH5ttF3P03dz4C1nOQ9rUrw
uPe2oI1HmeHBY8e8K3VrFJsOC0ZM30ItuILpAAVLvDCFP04QnTdrqtRAfydVNJsILvAz2tv4OpQj
9E4PCp4IO8srzwux9CqM+9mMjk0sNBKoq9UWW9b391oadrDPCrf70V0lvQ/ulLPrz7WDtuQDW6XZ
eGJl2CAnlOuOOymMVMfUqOK14uIY6SlpjEUY/S3K7YypajHTML8jOO1EEjdhF0laQSuT6k2tTr4d
Kw5irLnlI2REwyZOSULHBFt64cJoHRCutQRGGzkDBjpyK/dKmNbbFmpyQtTbClMQSSpLeUSUnN6V
R72WL0q5CFR2EmfXlrn0lIJD3EYadCyH6TYlKsoLVtd3TpTLvxQypA+rsidWu20tbmLgB+iPQht4
Hh11kpAq2Rf1zS0Dj/HO0m3cppqC7gWx1ueNzd+PfSJbf/566WSNj2NUskBOYiooXDktL6UNow0m
eEx1J2XLkIX67erY0VU3onofJdCpq09Rpu9246BKuKRriEWNz4WxVnudu+uHtVYmdHfimNy9xk8Y
/uauzzPtXJcdyeVcx31d0+T3sPZ30GQ31I+ju37TFKhNIXJfjfhEsggssrEoylhoZ6Z92rk7fblq
PpVl7jw0Vi4DmRaN9GMhvd9TaqtDtlQja2/LYMnAGaY1uvbX4Dv0dTtL3gqm0C3HAdXmraVTS13c
YxRiTdiKGs7F66oE54E3HuuhYHSpW+O71iIZsMi1zzo7g2M1juV1Iap1YFUYb2NJZ11UP6tIx3xb
My+irvJnNPdnacCjDOma8sG6cxPfolw8bA3vb5ev60tGNMcf3PQPFJvupElcu0zgy8Ut6AdBNXZf
2JjrT4k7DAD3TOOSqhz5E2Ajuw02Y5sEYv6z0CRG0UFm3hcDPuMTGE2mvb5wHvGoojmta0sKyMwY
LKULICCZcje0F9f+w+OP0aPurbeO1pc9Q36C1KR5W+bRvZel636gkdeiSNSR21Fbk63wSpZrQDIj
wqusg2wq6aONuxTJtfSgvSOUO4/6eN9hMtitO1mk0k9zkU0b1dgDAajBRPxTRmwfELGMB5iV1cOQ
JcN1WlR1yUBaTP7osdvXpWscmPHZMEwAjFJ6wf8WIAbfB80mhcAnmLHqmDQ3rEj7rihf76hxSGfk
u84xI+WmXOsmrCZcQSS0a59lpzynglambNJA40Hb893eHn5HDTjRNnWJ+QEyBJBaRQflKTaSZssp
S5fS02Cv5VUQXwuanuS2XpQG+NKO16fAx0cNGhe5aSXN4Tbeo0isJaCSWTxVdb5ctJoA3FS7zRtF
Qg2WBPKV/QM9mzPu24HFfK3j9lURYSxpmfQej6TCbI+PjOtJdAJkTqPpopM1Ip+dnpQ1qpMz9ksw
CICACI585zEUgkhY87FtuvIdbRFnTJyxiavyU+kl7c2Qdbpjss1f11X0t8UGzTovevHLYMrbxdXa
fERd4r47qeb8WNSXcZ+ogNqb4OHd2TaCkgz0a1tXrxNVLTNzxM1duuaoF6O8Dvqq8RmTgzItgs5D
OjSnpasoNEgj8gEgWB/Q/Pm7GmI2SL+z5oeLIKM3menzLs8BxwbcwrRdV1ndV1aO5sr+3ot+oPrK
vSGaHk6lMxBbkXn2rI8xK0v8h9OFLca093qjGHi02+lsxuYc+xUHRktgNBU/Ooa7AIn/4hFxQ2+x
YonzAa2mNu97cy1fAJaPXC77bmLbMtk1wR7WXC+GgVnA0spwBCn5nReUmfEWT+efCq/OA5BL3Q0M
pdMYRh9sE8KJ2mB//EOsQ/OTdXkZ9QVHizEe+XPEKUdfC4k0mrhI6Nv77PCsAJeMV4RPy0ye8q73
PYbm0GBdfAEsTXqpLSr7x04T9vg297krmlp2HTF7hY4rqB5s2kOj5Mpmg0sPG3LLIuGU0wOXsfw1
Jp+fifY/Wrnv4eJ/scFKVHZd3I3cOkFn89984z2wXNLAQ7onKxH7E3T76pBmJgdMzypsiyGlDS38
BWHFrHZ2CQ7Hm6HFhfc/EHH+1a6NU9W1LQGASceTqHtS/7cQdJoa8Uzg1tnZCS2/eZL0YSq6bPe/
du1+Ofz8138iIvy/7Np8J/T5fP3H9qur/gVReP/X/q9f2/yHhe/67hm+A/SJofMo/Deh0P7HPaeB
q9fwYA3yDWGW/m/DtmH/A1LcHVLInd3lX+IfcXHsk//6T3Ly0Dr5KmG92Dpfqvz/MWwbUvx7ZIT/
sTub0zGIhQE2+3fMkMqpnRgak1VhRUlFP+IOE4Un/vQaljK2oux+V8rlnNJzdsWIzFnGrBHGBFoQ
lGuzmD0cdYsRJtgTPJlFwaQlaPsulyx6IOVpjVjwANcLW3Oxts6C1lvfJXYSKtamj1o9IMLNjdx6
bdv+uDDT+orhOVSupMas85xT1WXPibZSVd2N9w7H6JZWBD17z9nSdAD/FeMxZR0Nwmc93QiFUXPo
sUKBKIyaOLT9U8vrJKiX6JEs+3tUjkGmUV7fyG0BAXDr0K7BcMXqwsDhspCQCop81YNpdcyPYu5Y
xoO58M2Gkum1E3jQHDbitF+8FmNm37jXsrDkBbdh6PtLb48XRs3UPYDGXf/aWvppuosKzNVQQYfb
+MDVrQsL/tBb5g3WqeQW/ogz2TgUCflO3gDjayqLihKfaDaONnIhxBiy8E/cwpnYYvuxTqdgqZ1P
D/DPz5ypu7sqw7kdlEatPy4zLXVB01nRGUW8NvhTrfUCulFcOCLKKpzizNnGReT+bRLDDpOEmvPQ
7nk1bLy6iH9VbsdsLmaze4hzU74reildOs3W5aFqVHEV/CoQ6ArMfnYsBfIdtZ4P3TqXl7SVf70e
KQ/TeY6QYfYEPBcbyx6BdOd+H+m9JN05sYxpQMlKiuuGbkxx75YTHXYDDQfBFBfeh5kB4v3uuphW
oa7Rb3UhOovTU5nGS6PH+nVs5WPpaFZYrEbaYEil3RrfKZnVPp5pjmHze67StQ2rTJSE5NVcHJn/
ndvo8W0keVozJqXrLWrrK/UWRcKmoJyvinweWdaC+EwsuYmUZn5MsTDhJrL2Y4Xd2mXvvo1L8xMU
c0DOSfd7yAvvvMJhE1do5vTCMH3auwarRRCZ8oC4sN7wqgEMXokp3WX1+PEe0d4UAw7HyTpbuX7O
ckLzqKZkIj9kk11ieP2xm57KgbccrcNhnMTh8E/WWDxvRKnB1yMIkOEJcSUw7dYmBmQ3F5xuN6oN
WESMvptHGNC6F5lh6NZNtZv1+717nK/YFP3eOfTiaayeG5us8rj4sfk7FwzTEJ5J9uGiyLqnIR9u
EQZC8ts7jqNhS5KQikFUqZaZY4nIdJc0BSq6KxaMS5kZQj1FI11xFKTUpis2WmtLODvWvJOb1uWB
rwpi1XxSqMV3DshuzEkawK80fEgzhyxNuuNo2euDnfDnJhmKtAavA4OKqp/52ZwNHPs45F39M83d
V0ooGNLt3UJlLurrQeC8vSOxlz67kWcF6SkxCq4nywKanv61OFUYdJNDJ1LsQ60gI1HAsseEw47X
8iWFJFEiXyXFPX4OMoBzrvskaGCcgXGMPsaGvzBsHtCYOhyaQEUGvfmom+lHi7wII5ySB9MiCzIX
pCmwAjZUGKfpztBmekSF8b0gsccXtUYimFKwSUtWRuoRMCNjAaWIeGfXyifKviPKn1LzYtbXfqa4
LsNXdujKtRXbjJLTICNCeaI1hs16obI2fo09RATJWML11e+TPKB9K1w69RznyZ9U07+5fXHEJW7+
WKxAxO8O+AhGPs5T/LFy0J6sBbVVrO2TrunRE3U3tObFpnbNEkL4YUSvCwsG3RsvdsSu2Ky1dj/V
FfwCOagDax7jzbvnTaqiw5Zdlex+rTYKNcgTT2WWdVwNjfWLXat3sUS6jSMTybLnEtvWHSNBRSsa
FDwQPvpzErV4Z1P3g/7MgVrkbD5MHmKUGvVzm2bpkV5M7+jGLrKFmdXnyFzcTUJXTVa7flcXL4aa
HlQzEpSpCaiuPQmkqMxuUQk/TEteyb9GAaLDO1aXrZV/UVd3FxWeZbqYpGz1P24KbcuJjmVXgR8F
b06W3efqOZ/isalDLW9+4+y7uPnwu5jTzo86iy6cKn8EQ/Qb26PyJyvj0kmZ5mbI62OV9bwWZkSu
daWvsMk9nURAmvjsiCykIICfSjgFRyApZfAkYlOs9e8IANhWQQqZSbz/jJNydzbOAa+tjlOOOVTG
uc+W36+LcfBLPWG3WjBzpzcMh1ilWuy+7NPD/N6Y0tRBzV2+tN6M+W0FCwpFqcE/lvApt+XELhYJ
SlbvtFdDseBtBp4s7Id5b2u/KC/bCYpYNjTWvEsszJn2i/v/fmgm2kNneocwLZYtXkuejg0sWmok
JFut8rGlaNiqMNLGDj8DDHWWHB/inmRQPLBTGinAycpvKdkvsyW40FV3GLr2MJVWsJTq4jXWa9Qk
HxEJhHEcjjkPLw6gTdxnp9Lx/IEB08eM9hm193qw+mAReS3kZZXDe7poR1MTLxq5tw30sKv0yj/r
+Nx0MtkaY5Rvpprww7hYf53IDkWGbdb8sgYMMhmCks4+M5rtZ1Z8HwsztVT7sYgvDikVj55AJtrs
WiljX0ctzAg3fcgGC+0yefBMywIJxhbAXnR+3iYOAPA9rptcEnGaKBHhm/8N7vUQ1za+pzrI6tof
FmPlI5+23vwJds9nAGehMNsiXJA0cFfsmkLTDq7eHRRxII2IVmYsd1DcJunekzk+ieUdt9HOLeIt
oxwEDAxsmT7VR92cIXvG49PYeHt6TR7HZETQIL4xRN4PP9Yg6cSO2YutioyWAzs4DLiT9uPUECg8
b8sH5vNoUP6QHCqkEnd1cSrR8Dlqge682Fr71Sb6ThBeWjkuYty4/PDaawSEBdbxk8kWRArqsbTm
sIzsDMCIRBYLrQZXf6UbvpnlF7ej+WVVxa+8++Mq5zqX2BSMZTs0y97K7a1drwELEoV1j3WL2k19
doAAxyZ7pbDUSlpv1yrB16s7gZcPqLW00NbWGbHgvCCYI5DFj4McXgFcakEx/VqLISgcBf50pA9p
7rDbdtJbjn3xw1d5yGnexP8ezENx4afFKiwLELuPzh0QR3792jb6nbQjHzEQtr4cpiwUgw3WEhoC
bciEC8ynmDUr30T31HDBwMT8oJF7WWeDao/pQMeuvvH0LjCnbmfMdsDq4G5yfwYOZQe0EiM6ugU9
rmUzBMytlIh11gcUhvJlLK0yZMHrnTxWFBsHOMammjX7BXLVh1G9UKl07WvxXFVzYLPlHrT+EavR
iUzjWfa4WTtqi0mQB1bbHeEMbpy4ebRa88lNxz21bJ+T7j70Q7El3mFOGnEzfQeCZzPw2SurOxeT
+0Jb7rjFbQ27iA1WYYFHubvxlO2x8+pfm9I86JTG3u+k27yWZCt4W3sJjB+syRPVoHKk93V5p/Vh
I3VLbe+FnbvOPSrWRm6T7kcAOuhbqREuNq44LM2BnRUhFsjfcfuNv4F6vZWukYjcfViYw1spEGoW
99NUc3S0pQpBkXIEUBgTExoVJDBTzzkg5dzpSrwrOBdwxLCTtk3eGCmYKSGjr94e/WFUV8qJNtxK
fFniSS4QJsS0ZWOG6/pSiIj8wjVKP0tQRq51U3m3G0vtYHfNr47FdaEsvzFrQk36p4jVNseQ0ZNa
mGJi/zphNHoe67UkwKK3WxyzAZWicK2k+mKru0MXDd2UL8TWXuS0HsoUczz6E+Mqq/QhiLHTtuuE
f7U2d2WpRbsU2hcWI8qjbYfSSxntMCBsGit6ks1nVtDaTZ5KblfrSbiFCO1GA4SUu3hQBdY59tpg
pQ4ZzVm+lGcGu23E8jcFSuO7Kn9rIPSli9yj+r4lGVkuTX0DDPQt46uT1sNiyW8j/k0b5byjAMag
+fA4GO+iMr/sfOWZES9pmyfbgpWhhZl0k4EQ4ULZNaSAGvGZREb0y41xuOSlmzXaZjKX3doyQKZm
RaiobZ+xDEdvSRVBHILxtVw67PLbPoWl2Tp9RXchNn7WpSzaLO5VIrZXjgnnJKz8G8DGx8T5vInp
6dpgUeWRpG6ni1m9LuK7oHg7mNPm2ZglvGB8I97UvZtN8jTZVvue6flPdn+XRjmuFszedOzgsXq0
F4jTZp1eo0H/6Rrt2KaF8PFT3gEvAeWcP/CY/IVHCNbMxXTMKwVfYadyzedTlBsdSBtv/hAy6Dnm
VfqQeYx5JqWnl3JssmtNrGO/dLbJrVSBdMV6lA2escmyor0y4WrbsfTEYZhyNjq92W09tyS24Mj8
M0KBZkHJHjO1zO6Mg37x+1pbPzU2HdT4jbA9qQa5YCP09oD+WYcZJgTPTRdNzrZXq3YWpovjgT2J
bmw0FgdVYNCh93esEyBvMqP1Nc/EcIvt9t4AvbouP6gKi/4m7gbQYbHRYrY3Buj6lLaYtXGuuN9O
2FsJIFQUS1bz4AZ4pmL7rdALpyUDN+J90OpFo0QvTnfp7BHvLddxM6cZ9w62qONDPY053S0cuX4y
ROnVSwVhBakRS27viRmSt0h7KjGOLop07PcqJl3Trjk2sJq6u4APCz1aGyXUtRHZA2mDi8X7wDl6
N/uZjKCWIt+De2Ds/CVGe/bVCqtuE3nlHaUWW8uC58airz3nsgEEhjJxlfV7h/476yqbGrs0e770
sHYau54OOMt+wQiBGRh7W4VX5qmjmKnkSlatuA+b+M7QKqw7z3Wu5DXqO81PsRvwDfIP9wO3Xjw9
LBuHeOUvP7h5/Yh0pBY3nDqNtnrXIJexbfOOTYltpWkeLLOtMTl62OcWz0gPRcOYFlhatLw1ZZWI
rWPxW2rh2nHtjEnPZnrdYT/WeYFJjFFNTFBMasZvl9eyfuhllUHbq6Td5oLEWY7zYmMbjVFftFEA
jiOYwwd1iEDZqnPGmhy8S2ussOjIZY3M1RK//5WMdzNRxyyd+ZmUqzL+MLgl8k9aAi0ep660jokd
OfNHAU3mTLMSTCPDKQBOzfPkz62b7k1IRMZTA+4t8jkJjFNkCI+TCRTWsispKYt2NiVdQHEsbtab
htOE86wu3UvmuG6NFm4OdjDOMzuDiv+IK4GHCfgOsOK7cNasuzjs3Fg+59ra4ubK7W9YoxbBAZBm
A41ipQ1Cel1orLVFEvkskUd7V8QRd72FUixjUw26vNWza9dYXg3tyemU+FPW3vBtwoh5XIy5+1P1
3FCUR89y39bJbi6X7ljrY/WrNgyStHNum+th0hey7YMXSQKlCmJPSR9AvyvNtXlK0gw7dxbFj1mE
kylwmxUAlTNTMOekM7S9hUpvm8XTR6qyjtIztTyixCM56xNG+IRjgDbzNWJ+IFH6p3cimvwAxT5j
a3Gf6OutCLoP9iM0LJuZrZyMY9uRHA+dwvbe+4mWraaczPu4TY2xr+wO5z7oKdrWCWIvR5qP4RDo
2UTNaA0y+oG5ifSYlmUHLI8FKzHJzsRmQ2ttZ6m777Od9H/1Fq8VsVWdWIJIqFKXgjh62mqsCBfz
VFgx88I9MQPy8E5stjBx1sXBwc4GBKvFLg84Kzafgfl5Hx5j8zGjvvI56lvuI9bUeUhYIyqbzWX8
WqSm99ENC2/vIsUJFgDkib+IiyQ7zERrSKTA+J1LRVdQPxrFW8YGBHkxhk+c1UlF26rR/jHi8sZz
pDair7O/FEezTphJFFQ7swf2jL4EX8xx0yvFUvc4KefLfQdfD09ZQ8xjI7rYAnnV4fVRVN9ivK9d
592Ya24zMRZLSvxGA8nHYHwj+U7VLKsv9IrGnle0vh7PAVrrhPl40se94bUxOD6LS7J1IzfOcaWE
tat1gWsDE6zaDuQo9shv4mDPsf3Q0hjHsCaqg1g/k/ZpauE1RlRGnVE8FynnZ5w56ZHoRnEUzgpz
UuIeIZxAGUGhGekfI1+54swGORQT7uEDATTreaK4ihvR2tEplnYvgMYwECE9d9t4sOeLGmKLsbV+
ortzuRogovhxCfeE+V/t+bz7R8EJw7WDPsFpJraEMmDeHaTKa0xC1JWGA8bGnIRzkfGm1udTLgx0
F7cFtEHiwW9EwdM9gWUe7Qgltb8OU3LRFa9TO9vxsyL62+YfzWI/tzo34Wqnzd4JMsZPacFsZ4+k
cbWRHdWR3rIfPJqwzYhrxxqFOjmM80Q1LBk/1om1VZk8nGW9gfdY4mVtx4tFEOhotYvN8JOLH6fo
tfcM721B9+PkvFG9wQ3fCEfzISLa8gES9kTLXPs9r0VygRot/k53kCMecn08NbWZf6hqWf4oS6hf
htVbwNe1wJ2TNmxhP8KPjBaJmxqSHA3OOFCogKzzct7xfBbJYcQt/kGjZvYjeju55Tlhe2sld8Gh
rKUhPYLqFZ6T8Ys+yvoqOlxskDQ67StuG8kGUpsPCdbEF+Of9hEM4OONiMX6OAEDQ27Xe+c7a638
aKZcY/kv7QZ70vf6bDk/taHkOeGGRO7SzMevFmIJ1Be8FqJUxd5tbH2Xrppk5pLrrqSNkcqzx3lG
FxrApSzEtRVRYR+gQ/KxtBh9pqQwfU8nVF1Ut5hXYBDVKTXZGI83UUyuXI/EtuMwbXRi1LzI70HG
+09yxnqXrM1lnCi7z8rGxQ4Y0/HuQWkTMY1xyjDgxdxRGoPnvE3rHM6l2Nemlvz00s42VtWdeqpV
wmgY+n0VUSibr7YVzJo8SxiG9+Ky50LrGGb7btx3cEi4K1A5jxAqyWlsVEVoy7SynWM52bkyCrxo
de+EVHyvD7Krfs1p+ycbyfHT1BKTUWDIKsvjgATvm+NcBbkRH8e+eMOcEoqoEV8SDg7p/0zbOgPX
gmbYxS7G+NrNEGIm5xUOUH93yMjbQN/uKdWKdouWFS5Dz5XOxRiEsNvCdbWfxykmpEjhWcW5Gn2T
umEX3gVkltadXmm/GtLg+2qeN1bBY+zVI4xNtkL9IGTojj8ZvZSg+cw9hpUCn+74GMVOs7FKPpdR
FTIc3PF9jnOsorF9RbTJ3rh+5rvKHseQ430Xpdh35xj7eekuTy5mQPZB21gl1XakvTCkym/ZV2K0
D7rrGAdcafyUy3b8BduX9nanRawQsfag7A/bxU83AC5E0oWxxnBDNuPRyL1+O8bZaQDosAeXINaN
i7OEcGSPibHICdgrKCadZd5E6yAPg6gwcn5LFakohSHckanvTr/h9dgIHvqW8bo+wNEZNwt6IRQg
40mxW8V5W4R4HOYQYxhQvvgTjP2CylZzYxr6d+pz8a16zTa6k2way54eNLfl8eAe5vcaLHg9wvcw
EYzsoPUoC80xS9L2cYIDxs12vrJK6DnrnGyrikGdC8wZz16kXzyvMw6DVrx0xsJ6f/6ZZ3nEHXrC
6HXO6uzN+6fUN/XP3OD1TVERVa0NOf/ECHdmlrTXDh/vZ5bm8ub8H/bOpMduY8vWf+Whxo9GkEEy
SKDeG5w+82QqW2U3ISRlKtj3XfDX10fbuNdSGTY8LKBGF8aVxMNzyIgde6/1LeTO9ChaNPrsVXsv
z/NzUJQpxQc3g7pxgSyXfe0HAA4RbxoOK7kDLiXwBKBAGTr9qWjjzyt1QKQEgDa0+K2a2FQBGKHL
7hgNnopAneI4zbdjMLM7TZRfsjhlhF901nBDVPK+ntMXlHvqzjSI8FqDYhNXxJdqHoN7gHv5woRp
9dZmIj8joqOsmB33ceYkgAQdrt60EDvtV+UBGSkNN6Yrx7FHPTwpeenQxNuOYvrUkR3xFIZZfBNZ
3cFz+uTeLhdabj0pkEMNq9ceDdyIMPjSNIwTt01lnOtpsunqdMS3CnRsVWHv+ly8GXQtp9ImhTgJ
8UwOWFGktg/VIB8HlhLAEHN7ScwBRpvUKIpRUiy9obyXid6KcrkKbP8eCfVXRxJczpIIWAdxAlsv
kZhO+ACbBPpSMm36ybkwkXXWmXvhlNTnYfVWG5S65XierKKnEIcP5NZVtu/IcQ7rOqelzsIe5nNG
b1x8k2O5q3PuJk2bd1vKezQ+Zyi7QDnbHeKdeUNrH9NJ5pkTTtSYfI/8ydB8HGNHfh6K8HKgkVfC
gdtgqVjbgrwIc+x0TzOZCM9zYe2zhmlLEHf1tp3MqkZfvLNqm1eEkqgLU4YETLaXbdPPwwF+jd6z
L6MXEtOL6tRzV1QPHGdzpP0rl9Gbmm0dXEw1hlyXjjF8192Q6ivpEd9an+EQx7fTIJLDYLybNHl3
8gnVV9rRl8HGdVCwd2cOhK/J6Mxfcfh5N2MygQTV0+DvuxSi9TwPayc9aWDjoGJjMF1ZNEk3sBbD
u6KMespgQF1PmiOIdWYybt1IE5Svlfa8L2LtueV8SvI6g/V9CmrRWlvqthYeS+g0ZBZAvt055Rr5
4pILS3y0sI+eM9F1jrrxxuF4grInFtc2LMwFvxODKDcXyzcVU2LQjyk+KEY188N03EJrGFjAEIfp
s5YMLWkGfwiD6Jc6KMFKih1xIXm8x/wlh8lM15GLJuvQdSmBYvx5e5vDH/qNdPm/zL7/cHxkM/+i
Rv43Zt++m770SZn8IABZ/8rvOQnOL7Yk8oBkPlQgjrtiR38TgEjxC6IQRwYqcFUoEIf8S/8Bc/0X
ZZPLBUrPV0h4fJQ9vwtALAfQn63wQWCv9YXtIQ75///5Q+ZX99N//59yKG6rpOy7//cf9q8BhP8W
K3n+ryoSsGt8GNsJRfiTSEhq3C/1HFmEmehjU9eP7owXdFvSzzTH1mOfDLxA7UPNoGoY0hIRf5mc
p7ShNkVZ+Tajb/hmxRiPwPE4KbPqrHEuGJXfjAPiYVMxHsvK3qKyjJ8DP9nVY/KVMCp5ICrhsuxF
gt8XPtbYEsfiPXIt71iV6CQM2A4/GnbQSs+pM7wMbXNLo48sEQwNO3d25r0zFo8S+9hWzq37VFh+
g4o4ZcCve0RY+8gyWPIkEALYTIUTvQOfmmEQufBkHpBw57wmtk+/1qUAeGBTjNnukEQKy6MpWkyi
+aRLVWBVb/tby0P+snHMXDhHOh40zDj9N/rJqWRJiWx1zCaSBm/z3imGIHkH5V9V9AXJndpKLHTW
ZpxJ8c42nPPjbmf6yb6uYru54gBucZe5n43PA69quPdT5R+TzBlXfAGohb3T0pSHNjIABKRsuI47
SNsbP6CT2NZyinYO61GxR4KrHxebEolUinI4OhFzLyYsgV4PJvOTE43Q7VlOVqfGkWvfDR7ifFUx
09dGyM0krO7kTJW+Yta/n7KI3w/hHpSFNrywxKotdLro1DBrn6YIdEWy00N8chOkPbGqs93UKPcc
epCpcNY0Ij33bfZIQjrUlqh9CK2+PiTjstzBw6XasZLnhczfa4da4NgmYQgiq/Cdctdz/qm3jYlb
nK3AngvG/IQIrqaYlXandIiw0ypdyaj715f3H61j/9NyXJBv/dUKdf6yfEmT7meq6K9/67dFKliX
FBaSQJAE6KEY/tci5fq/EEUNBNNdE/xstQbA/C5S87xfXJQx/CWXRQSoJx/i9zXKFb94a8eCpQvx
G0RS958sUT/mqSkbnLDjoadkoSQVG4/Hj1DRMnaLoacWPFS6jX3M+1H2YdcrkAfpqXPuvcL75CZT
kmz+8C39Pf33t+uuH15xBFZqle79EcibwE7CMSKWQ+fTKBG1Gx1ad6l5P3L/b+JU13/q32vwb7fI
0utgMQ7cQNg/QY2LJU6XoRfmMNaTuswlVSnpNQcHM9imdKzbv76xHwGmv1+NvQPoKzk5XPbHG5sa
QrTSHvG9xfz0kCmbhHaR+3Di++RQT9NEhFljbwu/evjrC//Jbfq+Z4t1syM61vsJcZxMtkTHgse7
ClTF3NoX3wfgjfuETjHDEbQW//x6qBDZY4VEhrs+vH/8BdscugR4kgWdX17MgNOtFLJBu4x3fhuM
IcSonALzr6/5o+ZW8bXCYHMVWQG8UnA0f/opMfbNPj696eAxxd4HNQQkUof835apH7bxP27b6zf1
xweGqyjU7SE6Yx9m9JqJ/cc7i93OKkt/mg9jtFogZT4nz8gI6BZPLhqKv76lP7sY9OtVeErK9H97
XmB615KxzHwQdFwY8c2YNhd1kInz+tcX+pPvTpFfjGSasgfC8U/PRw3yhGjVYqbkVTdZ7bXHJg7n
v3ko/vQirreuKPC4WFB+/Op41hTMUgT4OAG+MSFE0rNEwd+80H/2lUHR4ttivaKF9tNFmA7kvg64
EzvwR/Sjyz0d5+oqB694+OvvbH2G//AkOOurxEMHcdlnSs5i9ePt+I6ZyMPhjC72DDT+5mH+6R+X
nljXfOEFtsuuEHo//eNTPC7GLoqMzR3tAbIGEbX30idc9Y5qqUtOc+/gPCyXKAV0QZxA/VTlFk7i
v77Hn3aA9WM4cGPI+oUszWP48ztldaSCz3Z26AWJmC/w22jixYnTVTjxsqA+qTKWbyTExf4/e/R/
vTILsrMit0kjlz8tld4C5a1daJ4T75UfTVJ6MHsZp2OK8h7/+U2ybLD/ouZ0bHf9Lb59uU9KvZbt
/9dFlCPLEMFXE4NEtHTXfmMpHy7GyF2OQDKH+6wJhr8JQf+zb3Z9pfEWSKa6ayDbHy8apY4gb6/N
D9B70UdgVe+fRwLPLnCvzy1NCwcjU4P87+Mf3qxjY00RCnsSvyfb+0/XdQQZgqLGox/q/sHyVXMx
xGX52uWMiSdoG7elk7vPf33Rn9586Tk2fgzhoXfHFUEt8eNF3clxVRna2CHxbN9NfTDlOzklcvyb
t+anl/+361D/kADLm08R9ON14iRCQ9ARVykGHV3D4XVvMdLACtKm+pu3/+ffbz0grkfBNVBX8ISu
O+4PD03uz5ke7Iu43/Zvyd8EOlAM/LRly5DKjpWFs6bjuzZs9x8vIAfXTnyyC+iexZ6iT7OUl2OM
xwfiGF2NTZqNdY8irgibHZNiB/YFinYMlv1sE1sMS5lRdkdvfyORs3xWNewnRuQ6fHF7zwVmFHcg
awYsWOukOIQZQFQnDZilatQrEWTDJQ5+o7cY+ucPwAwYawc5Jk91KWne1lZZnNKppGsKP0xeDguu
pOvcWeBUaKegb+QmMjhyMJyelVaMM5MaIxHqH/8l61A2RrNxP9mcO78p46l3MaJZBLwIf0N1vXpF
E6ThlwsJqjHDPQvcx1Pst1MHvhfECt2WXeQOHT3jwV52fTUjShTa6flLnRV+ioXjqy0hftMNCm1X
HhQHaHKnjF5oOmP/PkmdJnIv0Zd2O9eOsvnkJzWTZAtf/iONTNr8c9DMPkZizfdP+T67p5I3FMdG
aJmvMjbOS5zLPEQZYeMkD4ECmi3McqCirO1mH9m912/9Yajqg0WUF4lRky4B/UZdwQlZAO5Sft1z
drXlWZPphPEw9ZboBOkYWU0TTDgpMcyRXqOtMR9OmddgTqTQqeDATap7jLKc9zUJbPrAJp6Z3LQM
v1agXTqfoEMHYtOFfQgFZSHeaKLqulDaip1d4/dWdkDWWr9HhbfceMkinIM0rewvrIzGZZ1YkbzN
Wj3dmrycxu2ks6q/wotQziz904Ct2LRleXKDwX5fEh8EMjqv/HU2jnxzbPp8G0y39Jc1v8dqTy1x
uOreaol0BMVeIC/ImSJkXrFysNUIDlUHcqwOPnDqeyQAbXJwcTZ8D0ekxWCBA7qJ8Zj1r0zmK+dC
VbpOb1sMeucGq7J1JB+BYs/x5uKVqs+WGAeStDsUlcXJOtdugyqISRZZO37HJ5wlMQVGDnhkYB9F
6ljIPlgu9IAMSvZ4//dV5uegoaoGMpeVeM7MEbkZvgGdtMV2osFJd1OCJap9J1aH2h4ye1sOg7jj
45CI0Aosw9soGiQNmK6x1Vb5C4ySlk4PdOupZuwzK5/ns7Qz4F2+NG+hRjjJuEbNUNOQTHdXWURc
9tFKmtTbk/ksjsIxqtsVtsdMSad1URxkrvvoAiEvz75jL52+Q+sTIePFunfJNwEbKKNMPUekYZE0
WA145wOSXT/bEf2CrbXiLy8j4iPkOoYT3nZBM23tlSTYeJdLLObHqCH2kMivJUfFMyAy2cR914R6
M5UrYlcj1S3w1SnQ+MatNdgE0Ws6viNjmwJpnHtIvNlxoB5IhLLF7PflY+hWaJHGeiUEucsYiR1W
dPKd47Zl5hLnanqB8kKvGsXH8Gw3S+t9nqAtPOE8FvqQycy8WyHISmL9RO+umHpm33UwV9gDZNJd
zo0iaTCFUPUaFXPUX2jBsHyLbL59zlngst1I6+g9ibxS7gz4SvT8mZzHrYUr2NqqBmARSmU7v4nJ
azK7IF+WZ5f6/6pEPGj2XunEwb4OS13h1BKM1ydRVP229Jv82BpM9qDvKwPPBreMZh4ApHMaZ8ve
2qiFPkUOlOWD1+XLR92U/DEXkcxTbWMK25JBxnNQdxIkslJ9/GUM4+p+VInmL+dRiG6hwil/zrCb
l8j+Uc+jL/dbhhQ1A8Nj7cdM7XQUWuMe3wRzeaLdWKgwcUALXWpVF5ddbhrGQagI9han3RyplSPw
vTt+ifX51+etK5oDFiZ0fjobAKU7aYQB2J6rctjlxGU7eyd2o1vf7fJvYzbH171R/DG6TyN+qSVD
DZMQHIh0I+u9j0H4jG1p3PP405sLw73V0LoFcr/UGOLdHMdmYkqk+UgKaDbmTAmSvU7GGWobu4F/
shvEO0dDFcwDokPrUdg8XYxcBvvBh/z/ZsbmtUBB9VDrbrz0ewKviDrmIWcIaO1QxJRIp/rka+HK
d04KzG5UJG6KadabMpnqIwwS5BvkYgFx1Q0gZ9aeXZWLeNhRuNSvvzY/tmUeAZ5VaTDxjZL9fo1a
cFUkm7k55yYZ6yOUNCYFczFeRjK1r9AmBawK5PZ44ZfScm46D6I4jLP30iKJjG4lri+rf/eGbnlg
aP/dCdSBHewkk+AhBxR4yIxgFq93OOpf8PCe3Nq59zQCQtEAsjNBml5LRdQr457PLspRnOKGLA6r
uWri1pxNBqW/SnivaCra4GqsctNC13R7FJY+E7rQd2CnIKe+akfVPsm+p8+bFbeemvU+SBEgMyLE
0jMyGAXT4WxbBY3Z0mV3mSJ7Q2qqD1ZNUMSqfriBlwVB39RLhxabVW/LAKRsd8LjhcdP33xIRGzv
PnyueZ8C4HuEOdXALMFK0hWc7bbrOezY+bbFMDz0vnWgGhbunWcM0WzjPIBf7O/dQlLFJqF5BAYY
oSGoaUSl3MhxGCcBGRPbCVTf5cnt7LcwAzwmq2i8mXlzSCZcbJD7tQakbpcBWMEgWgMl4EfRYEUE
994gpiLRoqDH/QhZLCa1zc388PM0mi8RpM3IePf+gCchG/vPi4UyJo6dhz4gUTHrZueejG5v3iSR
aS78Uap7lUzy+zB2/k5Lbfaii6k9ErFbZrakEr44w1bbRrTRtqIlVoaoy21Hy9fgJZshay9jK/Ze
Jkt0O/yPRYrn5LxJAriuoHSmK7HHKU6NWh2E1dTdMrFfOVR988lCQvQ1RZw6PfWFmSSZnlGrkVRU
ebqtRWM+FqebL828fGAeIZFhgsaI9yPcjcDHn0dcBe95YrwPJtX9rqkyqooB1sjM8ORuhrUJUTsX
PG6p8KfLEThciXRYOq9o64aLcHLF90AnxH+W8s7BmP9genOiNsr3tmVb362sGMiriBoIq/ZLjCbn
mUilcYsr99LGcTgBY9aEaEZ6aT9NWXmRNuEa1ds1d00/JQxJBij4kw7RtsjgO6INApJNVIDDxROX
9WrZQ4btSGAhuG8zIHF+zEKAClkp9V66cjomDTglYcfmI3W94JaIYyysAtVTNtnlvZ9g4RfLTWAt
uOmzwGa+71VtsNOR7390sSnZQysLQmNt5cOXKWIKzty8mvbaxRzgt0V/MDAT9tOEAiph+jJFnmK1
TxxkOUWOXKL9NcASRp+gkou3szfXl9FS8MqCrj00g6RNOPghoI7Ia7d1J5yvrgssPoznpwjo40Nd
wZhdmegGDc6ErSkSUGqnqHyV2WA/9lihr4LUUKlms49fBmF4qaLknpxqJvYc5FHIJ70NvJjS9iZB
eYvutOehKvDIXqG9xb/f1sNl3QHxbaULanAZsIcZyZLi9bxyJrUx7MEmRWhcoE5hjsU9x4d5QdeV
5B2IOMITkWAz1LHb0nDywIN5CUmyu6ECbLdkN2Lmqj1o5lHhW5B/pIUUeMi9W6Bg45NbdzOqkixp
GmzAyAWjuplfkwU9f2BGU2PtYTc/LIujb+iyLiG4GVMoGD1j64HlMqwaFHiXE7/SAapwbG2pAGve
I6MOKxwAdGqZS6rkxYlzmOmg9veqmBA95pN27lDbLP0pTQbvGyDWMTkX+HjlhUTl3VxHxPDAgBgb
LFyyCPxll87waSbPLtH88yx1+6CpKD5QEaO9qSz70YXTcCwCqlpOXzGWp8xFf7sNbLEU4GUbApk2
heeYVRzVVJhMN0Pqp/0NKsCKwrXwUSBgVhwuGh9vxDYM2viRJNdquGuEW9+Q0fEBuMPbGdPYe9mF
YtsNnoUooyr4GLr/HFLgfJCjOhTHJnfUvaak2zMyFDcY6F4Hcrh27ZzdJNaAyTeJoXgn1GTbFVgM
LiRZLTNtUCN4IwFr2KUpG/JGD1RbGwOo7HXJBrKGRCfL4zyRpT6zyUIxaqGVjszpydrj9FomFgD/
cl1ofdodxG6qC0Ae1+WSPmtLo0zW6ApLme6RyraXeVyra4U8+4pE3+HBR+ldHt1lGSA3FjFgfeDe
Y9aSNZH4NTZb7J/dbQ2q5yoZXERkYEdu2wI+7N6vfXILWoDclD0+/7/b+Z+82Sbd00PVZ1HSLSn+
7+2QaH3LcQpEV9V2GBj65mTN/CxwyfL0Ji2sZ0yU1VEqg/3QLsyTJ7GHNq7D0QgPOgZX7Npnyfqk
dnSBakjHJXT+GQw/KpVAbUomD7CdQ8TomzVpXuLZd0NOj7VXXlASqqNsG7KAKq/SRz+Fl5wGMMg1
skMHPycgRJTv+ahXvh0eIpKxnsHb9J8T2xrJ0QrEbYxBY48DXhI6Pn/156a4qW2vuGmban7nyXqi
z9ayZtr4+1St4qtxCv3LopHHgNzme6YWF2pKkK2YSvPdDnoSFzYCdpQv1WusCXkJWzgpNhZuZgu2
vdxFiubSxpGLOKcI4jlrw/N2WRS3ZVk4zxQPyWOfE+COUohe+ia2eg2fto3y6RjC5X4MCj8c1hdb
f8p1hLhpLevf2BljLtrXu4C1lEoKc1CnRoA/tr6ZBTK8oPWbl6nGhLlN5778bBFwsFJieiTdZR89
6Mgdr7qA3BZkMAUhjkS5zlexJKDCHzPrs41VF/q/iJizjkXR7pC3vGASjx7yym/n7ZSPX0xnf6a/
5B40QcgbA9x540mPmIyytbE2UkcekKVeJSNxxVUxRtSW1RoVJThtb5i6iEeCHaaPZEySE9yf584b
JmsbWJHF/Bs3ONdXONlLao4P3Cgs7DLOTHfdFnM9fxZtm79DposOdIHLV61a97nXoSRjgaiefdPG
wVc1m2hftn7LP7PAmMaF0Xp450cBgVKVhbiJSAfrdkFSffhAXxmMa+vaV1ZQXPoYY+6afD0zjM5g
XgMsWlThFBGfomJ1Q9JVK4t9MRnvcxJbSGrYLdo3Jt3QzwuTfzhdk103UWCeJm8UD9Ku1WagXQTF
3uvXfJIqIVgncHCsCcsm0XKBRnDT4saOCUSR5wgqQnSI44XMZlWCd14pRPxf6UJCW2kNEdH2saL4
5OtwNlHX43635s4hPyTm10dMJIJzKntnPuBlJ+Q+g4flbczg909DoCn156r2LztAZM9unCEwjIfG
h0wxByjtuwHz/cYDoV7uxkXh6p/bXhMSN+DLCfNi1T1mwtrUTl/ib66G5MtAMifRy3Vb3UYm8Gdm
Qg5RumNl2+muWIyBrGAv4lvSsajvwhlDGfkK9FA2eTIUj/iPcorQWjiQgEoxLbgRjaX3rB7a3kNc
7+4nUBMgsrqe0C9Vj06xDQJlf7cCgYF+6Xq0b16nGgTqBPSgg4PeCl1qHlMYQZQDYtc0Ljl7Jco3
toKUiNhcqfp7xPyWLtpIQBrQxWm5rhiSXqUGeCkKNcWqHoxmvIUEmQHV47G/tcYwnYk0GpBoTcQK
28hOzdxfhavG7lQyGV7wGZecBp2Uw0kcje7jiEVvTV9oFrltx5R1z7jD8kK3BnNbN3X9Vc4vTjJj
5M1oxrLY43sdPX3TsIEvx2oW/MCFNcdU7m2oMGJNS8zgAwcyvSWFrjvAPo8dvTM8JrxaklXFNbq8
mIrB7vYLXo2B6tH2rqqpAJ+qezXcabYqFO18s/XOZamdN6VSOZngWa6sc5MbhSen7euamOmqhX7X
ESfuzxZtKjXn4dfRpnG7GdyEgwd9v5F+toRPSF6PX9+IVLBpVjWAgQtfhnjRmoRWxS7zApjTCtbT
WyKHhgV0xvSwncfB+y5r7b00IeFMm64OU9DJOdJ8MoOqwQMwKUhjCdva3ridbG7UojDOZPagv/Iv
+t+r2KHUjMZOv3pOH3yHlbJAziygOEqrIIgohZhkjgbBJQc/0/ku7lDGgXjPIZ3vSRegY6sxeMht
F2VhcggHJV9MkmmQiL4lvJPflC01orHItSJvmX5DJgZz5fWN3a8dMLoaUU004p621nijjZmDrRWE
sBiIvrCCXdNWHd1qr5ghR1EV8dpjSuaoRvokksYBugrtvty9izMfn4Rv+whN9RiXRy9Kyb1f5qaG
awO1Wt2iDIfXYtHZyvekazCRCpuEN4E+nC9WN795UyrxPnPP4UMSmIwSCx2mj5oobNvLchi5LXir
KIhnpDPuuZmKbL6AY+K+CHJ4QggXgfNF4K+zdrnysTp3i7AwKgYYwCsr1IhYh1j1N61XpZAdWOUf
Oui+AKwdV+hvxqFu+RTBU5iumzHjiE8zesDXWS4mXlvYOIeBoYXeVQB4BRyLiEP6kDahRxT5tkzI
QELGdQ3dTnwiSyB1LxZiAmv3O2Wq1QVbkaRet2z9aFZ2AyvG13lyRoncF2yaREVj/xNjFxErMnpM
EftTkvG9+tvFU5WlT1XlrVjNscbisJ1AcFa3AbvxtHHounOcrjPO7KSk0VvB1mr7exPiDbkIhtW3
UkqK+10pJLbwGvfPihnoiuJZSOSvm8rmgH7UWTOq7RDOebRjYtiRZ0pXD35ZjtOVULVmoORmtQbt
09ukzbckqKrLbuT8i/urxFeQMyxOIwICqF+h+uR6fhnrxl4unD4LSPgsOWvu4hmaza2DGy/e08Qd
EeS3Ud1irnZH/wipT1bPwBQmCpCEszXPf4o3OoaaG7+23hQvZ+buQ75varuuvrCRDPLsZFX1Ptoa
qwZgEw5qZrKYudAQ9toDxiHO93NNWXvM/C7A14w3Tz/TPGijTxlh1VS7lQnnfSlFY+08Dj4g0zPG
+PQJRt18ZG5XW0cFi81DaV3I8DXNO+aoWWPjYjCeW8a7jDuKIVWnw3Oa0h/ZWq4iC9NlX0x2lpX2
xdkyZpGXYxG5YQdajl+EMQcEOTDCUQA2WXvuo/TqfP2y8/kDOKS4r0lHqCDdmMG6ikgofUbn17vn
aUTBe4zsuQyv3JTODatarC5x785qn4yjAvY8hr5/O2SVvqfrm7Aex7j2rYOoI6diswx0yDM1TIB/
19RcgOhoWV4ivCX6yvUwzd4igoNM6yt0gUjy3FWLB5XoC0Z6/ME8SuQhkGkAT9YlPeZ7OjHTKbBp
gfU6UEm4HDWHEfPHyHMiLrEhNuquwXKLDr5bTaaT7TMMF30KugFRYGDt6WYnZONFei5OdV+6/SGa
i7o8TaqZv1N3Jy6bTDSEd8k0wzFmFlxHe13bghDWcoHVRFh8jzivAY2Xw1NUMn938BsaKh0jCSOs
NfQ66EWjwdfKIGzL+Dx+CBbqp11gmwWVnDfBnYtlU8cfCH9kgpgPxkAIlov8NqPsh8XFMY4IsLIe
Fm3sCvWlT5hHD9ypOzpLofotHs4+Be4tVhSt16TJhT8RDQUNNWzOnQ3TZNOJRd4Wbu0+5L6rsq0t
iuE91KiLzguDs2RjsHbfYmkD/NQWhf/gchr+4jnk11wb4my/S1GOFjZcXVv3URCghi8zcIKm78Lw
1RAEO9+WzIAeDJJq/xKrXLOcQ1fV+jQaDpFXgxW7Ky1FVOERrNqAt8/kC6bWNk8D7wYDRP4wQ4yw
D500Al6+08ZP4doT4jTdw3RIo+GdJhlH8KWNQVzM4LLVIbIHG0pTPGjO8jxpBDXlC/E0pNlCXul4
um8WLHxk5WR4SYsO5xoq2hJISiKMP10NNYYqEAO295rIxKo5unKW3dsAWXBMcJblnWzS6Bu1y3Au
KnbXzQIwlWynto3Hwwyq8EE3IVtzWAoKSKsnpTBrLJcE5oXydF82OvvcdHCTjrOztFQpg7Bo+yKg
31Gf0XzOEJ2913ruQDzFAq6RhzYrqXYuwtPyvPrtHIBQOTMRQa+250W3Eef2c/Fd6JAUwKAPvZzH
cinloXXEWOw6Rr/2RWZSWE7eUENH8+2MgdKGP16Mp3rJ+ah+rdXiXckypepP+1HNN0T7jXSWqiaN
DyqBffpQDqB69i20VqYfJiIkrQoneKINANQXsKd4+kMQNw5mZWWP56osOGcrWhDuJnM8nCpNOXQI
b8kQeIN+D+4MDE34VhSkf+5F1iPp7VsGJdRnsSxyXroomT5p2ydzmrchFuc+62myefjiPrxFANuu
+O90F4l26K8zCDgYVBbZiP2aUwYsg4npTgo5f3Whp54Z42VM0EhuORepW/PKT3PzKvxKcYIeaVxT
F07xZxs7bPkpjBlb7zK2E+wd5ArS/bRicJa0DtUutLrllPS5zyQ/qjyzjZsltPZDUSh91XIjlNfS
7VKINSORcMwT6viygRBTHEGxrnhnQ8rWcR41CZs0lmn7T6LmCN2xJ0KTsyr95kwF81+GHvTZaffQ
SGHAaYnNOOTL5yrOG3EZQl6bLt2IE+jFEijKQ131dbvXnkU+D3jeOr2MO72qMVP6oy7WQZjlQo0Y
trsiX/ZxD6h077kT1s2xTMRpIrPlQ3QOMsMYnSX8nCZOR1hzqM7ZelPi4zxNidzWZr6KOEBTopiB
X2wMyHI4EYSHt6jxqLIPFZNbEnPovapNVJKSsCdvAtUwi5x4iZoIMbOXlYu+JDK6/2pCPWfonT3o
GCi+1gKMNkyxx0fsgwlmc6wPSEsXilH23nsH12iwKSZKt51lyGU7BkrGIYhUFnN2f4TWt/lY80QK
cpPsVwzPzmMLrfxeigiWgr94AQ4bHWPSQ+TsVbs+zQrog1Q4DMyiwvpYyIF3CR0PvYu8bJwnihJ8
4DnbOqCZFL8qllLQWnzX64l0yVgcjJ0ANOyJxDL7IHNMdBrmEXIuCTx2cUGbvqJbGNhQ004Zz9uz
YvZucL/QRdqj6RjnTS9ygOhFbsfZQ6KUw4Dfx4yc7BLfW9rDMvle/gVmetTfeWCJriISBeqrQeJ3
3i4SOQ05nk4yn+kgeW/Qy+x+12eyiS6a2mWG0ExAnw6OW3n+g5e24c3geOO0zx23uw+y1ACdrfOa
GF94yISMkd8umVv702NmCzMdY9F7pDxbbhCdLMSB4UqV4iNS3ph4Q/W0jAe4wtJcKHuZ6pusSVI+
tOYo/wl/oZmh/UzgHJmQyHSbRENR7wdrtum5GvyABOWWWODyqFVHUrK75q1uMlQZ2wLngb1PXTo6
LwgCurc5HtWw5XtkXJ+qCivBMjTqOotS95sG1PC48OtBjceNbrlXHol+yDFwr34yuV6qTegTHXWI
KaXRyngRoS8JeWjyoso44iPv92gB7aWZportT6ivTeBmQGHqXJPzjqegpExLqy/acpHBlgh+yHrL
6yE9juykDQ5ri774gpfQA00YuyCvcBHYV1bsDcBxpiCS0FVq03RPanHoEl8h9iG91a2jQj+puKAS
gQOtZzJJU/AW7nZSBQcw20mK6QyLl5xaSAHFcBiU33QX9Vw54+Wccc7bK0JEpxPJGdlYoLNxnY/I
Y6HcTbFcTWxQKHH29/Tjtk4QpN9kDhiDXo8G68eQvfXPE8XaewZQnWCDhqhMKNetp+6GJQFIr7oJ
J5nxW5gNzAWyjxGBBB48ZG/5ZbZerW8tgjW6kCZMOzVTc0KjMtRHulm4/aBsKp9Ec++/2DuT3cqV
c0u/S815QAa7IFA12X2nXko1E0JSptgGu2AXfPr7bfu6XNcXNfCwgIInNo4zjzL3JiP+f631renU
0ZYxPE5inN/R/lL4P54bk2odx5Ydvp16P7ooLOuWR6p80fNov6R+MH2Efebf9wxfXGvHofnCywRV
a3LDblpPvq8eRpf7wCbw2gmBIFzAMIcN+wlKitHOANI4809Af0oCnM0O9TFPfDHBSUcQv8kZ2Pk/
1mXMGdU73gfXMBYOtY/semHXycUJs00L9oEB6U0Yi/9qoV7iie6kixgF3SJFi+jaAQp7KfJs6/AX
HlxMCHBgV2MK625wR6awO32XLCmwWZaj7kzYbQdgVifrVg2a919bLFS5CLpB91bte+W2Ye3/1sKa
0htNIrkn4YoZaR1YwoVy0YS8hk3KGXGAhFYw0PoBB12WtnN0wU4dOHSAVFf+mR3Eb2wa4F3rwnKW
bYCf8HfgKwvBdApqZuMutrduoXS2g+ocfmrltOaeeiouzpZV2bRNxZMP5quMBvpUdFoX/TaUPdcJ
i5w/KqmBvHYxgmZoZHrqbs5LCbgF81FTnxN27GpDg4L3GFmweNeKIoQzn34eAddLOLeL+Jr2K3TV
wby+ghXmFuY5hUNRo3COUtq5rjL2g+ts5Ba+XkqggFve3Mx/cuFzImHocO+tAGDhkR/41cd0gfy6
tyrUTGi1Q3MX9PYSADkjLsFvX9CD4uTTSHR8KqDuW51E0I9sOm+mNLLajS3L9FuGelZcp4fiNdSG
W35X6rhHpUbWXOddLm7g11hUuNTtC6YICvRicko/DrxtvetbyaZuolsWgdY35jZNKRa6w4HLIpof
C4ZOX4TklWzqvQGlW8H9PHID3FQEsz8G9hFiLbk5PfbNVPrgXSTcF1MTBVv76K1ALRh47sekCm57
xMtffI1xxUz5RNWLlRDZXLVos4SfVYeK502JvcYq0Ee82vuJEZvo7T10lpnNVSmvV5oSz+CqDezx
LWb6r2kyxR1xFUz1XToO/Yw7rOALJvqy3WWBZ75tX/gPoVu4761fotfkVszlJ2LJeleQv/aod6k+
WWmGx2KC0/UKBMH/nAIv+ROyBK1Wft17F/BMg03atRSPNgXm6V3VtBa7w4GHC0xT439bHnabTSeX
jJEzUcG3r0xt3XeR29NI4uCFOnh5HPxIlcNntFyld2BGGixQkD64hhmR3QRzxqZe82qIGCAtJz4B
dy/aj0C7Hdv0OK+gGQG5h1Vfa6RzVcQ0Gjptb1CPFwtmzFzEHOOJ5mdcxX4M/UiBFhEXlJNw2RBG
t0bwjVXHs+qNhJ6StPGhT/qejTUl5HqHqZhLBqTL7EfwCI8r3oCu3mCPIXKFq4uWpq4WAZ+xzljP
QONnn+SVxj7kjN8jCElWWzf+jAhEyUUWweQLBcjTPJp2JkrFPTln+ydyij7ihWoothOJrm98z6PO
OFlmUMeqKF4sPMwwbFnr/+Y4G7BTWCQYVr03Tcu29+FI4Dfo8+55IG+A5VP7ifu780r6w5frCvoH
aKydfbeSaqatUmkB5xl+JJ2NKsq+0EcVtINpgChZJ9yAV2E5Yr1KI9j11x1Nv1Fw+G5aXE85LlO7
zl7EEKTcDnTq07PQpDBusReMAyB0yqhe+R1NsKNskDEnhhKNMKBsejcWagYnCrClwrAy9Ao43SJp
dCtpH1NrqpmMd+DPwTJw9BtZwwoJZ1b/Omanr/yEUWMlsq51BeWJ/Ae2QJwnW6tLeSBY8CHAIduk
w9q3Wd7jU4iD1yaIlf9OtqSVF6sq0WLttuAmOePCWAlBEnOtHKOKo0gwMT5LdMSbOe27ejPrukzp
tOJFeNBtKblBjZ3YkYqP6o10QzwJBZue+tavyr7jexSy7gV6xNIDlGxKH6qosGKJ0WTtKyVcMean
ybCfblj5skmj3jrhvvdxBekv1+pGu/s12k0t7rjgkI/KOcjUd754fn1SncPPZZUznYU3psxYIK6d
op6bmMGslsvGT0BtbKyibMRWMrLLi2rrPDng0quri5VICirREUwdb8bY6usbZ+jxDHJTIsV5aALY
tJspknYi4QZY4YAPNq0SzsjCH3ntgZUtckpeAE9nPpcIq6oxWeDB0t+p1+b9qXEXremQnyfwKUk3
V99cRcZuRy48f2/nnJTB0IA/OMx8P56BAcE37pGg2Nhbc/dpL1VS3jt8JuF2wqyjIDCmmcIJN01s
/wNvTh5MPXXTG/R9e7gxUBOGA2Y/ymSqaYmxmWL7tcXeFLb/lieJ+6P5Eiu4NX48b5JalFdRcuxr
TB54Iq2VzXFINDa22vKx4UnM15B15HRtl7h2rXBmv/Ltnbt9jMjyhx52ensc3Y8YM42u6A0vmfeO
cR50+CB8uFc8UVhq1vnkwbYBtBJZn2qG3bNZXKIx6xT7cwqOZbER/S3VcHxko/GTWw86Ys5QG/ev
GNmuWfK8QA73sNkmh1goyVbW4tPl6MjV8OUPCrIj4LgmwEuRBrDZWkorThWqt6ToCL1JHxbR+BYX
4DGrwgdcKaDmvMVzv2PWvvnWzj3PZr1T8RfMJiPJtkPDudqiOYBxAc6Gqwt8qo3Ha+eFY/gG3AiL
Qq4wA0Dm6QA4yDBoxpMfdXSFxmk69Ju00UF5bvLMkgfUBD1j6Wrt9ku5jSh3nTQ+QDk+d3FHN9II
RDp0veULcbPtflnOzN2EycZ0Bxmm9nTHBb6VO09nCxCDsR/lGuqL1GvXsMVcqZTh+24AlOOuSxY+
wO5dyCwnFZOkfNV8B3BVh2NirDdnoZmc3tSULw+qFm7Gfh3TBRMeYJTakEPwqHJh2CzeEFkAqODJ
cjuug+KmZpRk29Iqq3hoRGwyxi6XhU0tGku9ar2wVF83baI/rRxN775o4lr/6uBJOxcC24YIYNTM
lDs54Kfl76xbUHRWecr22uHypNgpi8mbUeemqqoe9FQ7wytB7JAyxkl7Fi4anMv9wrYzabp3isbh
9HHPUNJdky0tgdst3Ej8izVOmXqzRJ/2QJiaOgZ9KuJmeObbao/ZOobSBO2iiGahbiH5VuV+NCX2
HRoFDK2ZPrvCcRNlVtcd8wJU/clQwl3tTdN0LBRQ3eVvmlTr7DWkdMQ6DgFD08PSdwazSRsXqXO3
TM4w4efQy/Be94Ujbhob3C6tmFnYLldnN4Z2LpwJim1Z5EtvznUSJEUBtiLRlbgbo3JcgGfC0+s2
FUWhxb7x4DvcshLr6gsCo5+9BiGml3NWp9rcTbrGX1cpSouv55S4qMUGu6y1jo5ZQBHZik4Ewt15
lOfuOpNNeGBaRebLuHLh2yAWbUgg4O1b2Yww32Xf4PIbC8bYVcSiFrSgx8QKGp/C6AHmXmiF4HJw
b+M38hHyYYHOaeLN+3jiagkvJs/YEx1zkggUjqJaCNV90pJd8/xQwouV7CwbBxf/4o/d8ABaFgL9
Fq9oGfa/RhYjLnqOKvLGfMMOZlTb8SIK7P4EoTblWZjmnp3WbOG3Tjaus2SgXeH2pw4mhQwe+XZU
JsC22TRxxJ0zbX3Ue60BgPKuE6h3HJ1JF1CVk6fK6E09QzQz+7QfEziYk+3q4PHKvYN0hCApXX3E
zuXP96UrbF7sIz8bdU9BFk+HDhVkocqadnB805XiwZq0pG7dzX+1xYBom9El8DBR8vaTkWAZVn4+
+X84hEYAdUh6r+FSxR8Rltph1WD+fc4HGe1n21m6gxJW8eF0rf9aWX70luoqHQmvqCu9qAMZw/6q
9+dyS+rHIXFCg+eaIo14/HsS9N8KrN9k3wiX9U//P6+/7LtuIExhlPobBuKf/+v/tVg7t9L/I9/1
38AbH5/qK/v8r9gNfsF/YjfcvyAHAqbAp4vPjpjnP7AbQvx1zR8zCSIQh9J3SDz9Z6Ldkn8JiC4u
/5z/wzUKTxzuH9gNR/5lh+TyCHQyQ4vAD/6dTLvjy2u07p/BTfLxHM/ele8hSMC5TvgvEdEe2ClV
kgMmafzY0cZ38zE94Z6l41rgqSlXoPp9+Eohyvdv4TRjTRnJUJnbiVofmMzZFE6/Zzc3PR2IVdKe
ImXbwF36MZN//ApTAOkPldA5RskZPOKqK2L5kkWx1OWmwBx3XK4JlQ8RzUV5r3yrh+GWO5a9lpmx
H5YYSfFICzTQ+Jge4uomya7NlB6LhGHLNfvNa6rK7OiD5ASRSalabEiqUIQjRe50XAZ6qtE32EHt
7gyqC+GscabryKs479qHGD9YwarXgqu7pQsykdsB+Q7+VhpWqHTs4leUWiUf9cLrkdklusmQa58X
Cx0g9W39NHeyZ+eVzW+tLpuTiSowIoMenjq9wJmI63evQZDH4fkbhwaNBYyw54m/3BV8iX4zUAn3
GV5hcaFvL0eGrvKQsePZ+zOaFK+9OyvzKj6NwaxC/HNrJ0r1tkivAaxxGs5aF9Ums91302cjvgMM
P5XS4b1QdsxikcKFoBzQEWi7ruaQy2jqvkI9Gs+8LscTK7zqB8B7f7pulveV7OQvema49RvJ6cjK
aJP7hUY2JJSR1/GE4xQ+YkNasQTM299pQQtGtZaRWQix03A7FS/+0DnzztSdcDCbmEV1D0mW+fF7
BnCjOw+sSuOTdiAQ8gp2nYO0lOTPb5ZrHotvyIBbj021X9H553bJeJfTR0mtSnL27EDwQi1IOtz6
hrhXa8d48vFL4vEKGNPGeuCSgk++uC6h8DwBgGxF8CKYMLht988o/5AS0QxWNkgPeKAe+92wA7ap
WI6w4dpWFEz0EDI9foVXeYCKZTfK6DHLRAlJ04qGG50zCM+xmB4WCHnh2oyydZ9Shhbwnv4wvo9d
LL2D2/RZTPdq6uY31LnV2YlPvQgvQAm/Uju1vaPlxkNx8hs7ZVnhdh/QB4anOqhQ/BIzTzC4Ehii
h5jr66GUFZZxNJcupW55QSw8Fux/fxUeUR/OQecezxFwdFoDIzcA5h+RxDsraUnsCx05KR8Bod2U
rEF3Q2KxlVnAs+hvLd0r/KZg5bwGWb53pjBf1vCJiVBMpemuLF/M/kcZm0bcBykT0CpzmO15GJaL
NyI80A7SDku59/L+j6sJBY6ciPiMW/fV4rer37TEt3umFRbygUWdxAnNPq6+MBawMhxKj7720HjA
H+ai8gmOhIFmSRuWLEninvq7b4xTBZnGIby1UIgxRU1M3BS+o7OvvYoTfw0c5MPkPsjn2oTf11Rc
MWrMrNTbh9RYaD5T/PQEI5ukzfSRniz/1ZvVyePPWUFSHuwvrvhuAPx+RI3i4XTn37wQcOx1S1hK
9MfOcCEtPXntLZoZBpIRJYvAkDvqEw12ABPnWJPNmKq0+xrLETtUTEVOux1HIs5Ia3RkrgLPRpPh
2Iijg0WDFcpwZ9Fo0gzeKokC/9JXjvPAEzzT+6jqmxC3zL5JMsh3Sbm8Gw+2z74PcEmGoyYn5ia/
6fighMIdhjWuOvuY4jrHfz0tL2BG74Dm6FXmNojoFJ/sMJGDAg65UPLm34nYCs8yx2kI0sY7eViz
vuWQIft1Sc310A9a7K3eYNodMOVrcrTV/i6Mhj9FUkRshDLz0fbVK4shf5cRWjmVbV3vWrbkZ4cU
gCGsgjJC8rNy/d/TbGU38O/kisVGC55w8l4nG6MMFvjlhK+6205qZMoe6zm5RnXH4kIqmGk9JtyK
S+dPxG32kZdufIkky9OWbiqw+rxF1h1UmX0YqODokztjTg+Wj7xP6h17reXDg53ImyymhTgvq/Lo
sUZ+kJ1XnWisunN88YMRmOqmkE3XKZBxfVF9iz9+HvodXjzxWCxyeGsDsGa8buUxK8bkJBHiX9y5
TLY+L0Q6sFNvOjpGT3c0YQbdtpkc464r4X8iiUXvrqmiLXfs6R60ev5gPLp+ZKx2uJbcw1xm1QGo
NY2rVoEhhDUqi4WAv0QYxpqfJAwu89ifM3znt+GkqSRXlr8hEaw9EoP+j0znR5835hEa7bhHB7ik
eC2HeOTvoq4PdSM+SWWunUDfW2oAEM+hqdrKfhIwbtFtH9i8nQmdrkPGOxzYZjqLzGWr0jR4F13c
/t3Q7gDOY8YtaQKyM9D3gqzWwMe2w2P4KMwykKkINp0HLDG1w6NHAHPL37/3K/Imfqupb4idetE+
zcLkZsaOvePov9JVy/gUzLSHJp6VfGFDGk4L4YW9b4pigyDG+oUdf8hGeK2iKUMFMN+M+NMDRs0j
is1zxyaMsV/cYUU5mKaengekB9pciFxf7QbLHk3/h/bmB/wB+GTsaz/nh+66TZKnJ12zDkvpi8H2
ykIjfU3aiZCJfZd1zilE7Vj1gQQ0kiWsMVyaBbr8MQ3bC7Wfp1QubAi6xIFuXP8Sk39Ig3rta4u8
JBaVE8acM0KxOc6EpcUqYxeyF/XykiP/EnYzaueH9n0wSf4s8w6Nl4Znw4Kfn+09cDXR9nkMNn5v
ICwvBqRVFqQF7yXPfkyLOCK+0xJSxchESREYMNkSI1gj0Jtl5zSJiLDU5x6BH+jnLrHLrE+P7JjZ
4qxwmpbrji3EJ970uwa09zZI1bxxsUpjdtXsPAdkS/BaXfqNXFse8afRVnTjFC7LwmHAcTy6GIKY
j4pdBteNlzUGBKrB1aucpMEbucQr01FxQmwDm3uw5wlqdqwP3aOkJJkjfVB3DMEpdU0EF0/ASZb3
rhL2zu9MVNLzqkMcdZH1YLF8CWELTguuzx48F3Z8OX/SISvVtarB4ja55I5omZqxotBGnLmUgokx
fB0BwUZbOgXpYs9whd4jEPS4ZURwAGXJXqSjavjaP4FzeDIt3RppM+bkSa6VIF4Z1pR0Oct9lJPR
bxCe6F9xi+0yFy243uLqxuJDF8oh8YGNa6Pj0tuSxaItLultoGIeUQOV4573xuEXfLzygQjIQweN
8664pioMSxoiio69H0VjYFCzuTT+8JhZM5qD5IvBPXzt1cRPvGq+eEMrS9qGUOxn2nl2ZaOeEkbq
Vd87dOTm3S87gJlBr+NF2AtuHC9VBB4wPldTSDIgFjYFI9XtpNkbJTzQ7JehJWcASWmI+5ME1mcZ
OukpZSG0TcOM5gDrqIN8+vSpxdj4ms6SyV76I/4Z4MeCg3M1zVP1zMc6vqt00KxPo+/ZQ+ijpKo4
1Np/bWglv2UOco+E5VFdgurJsa+5YhMamqEakKtezduVqhKCKoSYM2rn0iW9SJ/zZM12Oz+U8+je
d21JKtRfipObunh1hLwpHePvA238nRSK0l43T18UWL3XaNDJo5eTYxmbLNoBPPW30Whxrkb972lw
HyhwbN7UFTQbKvsDpUWug8lWD3Fs4VpgG/kd5SK6sC+23/y036dJzbUvaOu3bFnsdVIl8pFU/pOd
Veqtz4bf1mzTi5Sn66jLzbutx13OsonAvfK+UODrkw+C9rEfHPxSXZx8NX0YftX46e+61PNeoqLT
cuXEIVHEJPafqomnC+GtfxrspTxbMKTR8sZo+KG13Ox8S4177At6b/Uhx5nQ1j4QbfiBGDTcle1U
rZLAnmo44TSFu175bLAW0aVSz/TyUoOQDWJvN55DaYqkJk0K690r5+pDF226rY1k7zYP+d3Y2BHx
S0/dldLY75lSYmcHqOhAml9Hd3b2RP/JwoM9ZhET4qrEj5GXQXccvGhYN6FAdY6XmLT5spxKO6z3
i8aB2o7ZjOFxEKhNZdTFZ8CEUIoo/HmI2JAyigxrUXbsS4LaXgge1YZF8ZCdrMyiGrlIR6LTgb/n
GX1Mm0KfjM1OyjTxQwpFcFOnvYOdhe6WKUz988wdflND1R8zuLF2WGzZPTVvWWc7D8gXz1RntufZ
TW5Q34hZBvjnceVZB0gIxV1tuVhUO7oCLTeJPn2d8qjJ4V16c3qvwIucm8URT45204vHqUGAjdVd
QJZvW8fmJa6jE6Daic6R1H3MuR3tEsuO6M6ay01QYbab0RYhW/hRRuNYTCXxyOaT3ndHowdWcA0d
j4EPREP9O6+A6nKrzRDDKIhhTGe6JGSkbwP64CgqJN6Tu2hCvkyTc4tF+1IB2Dhl13Q00wsg/MVj
3DBWw8vDW+7Zq49nvEvZZXDaxxH1eN1PDmNP4rMGsODaFXiOb2SOrylhvuJodK59R+RngM5Gh9ZA
2JWA+wl09rhWMIc8VterD3ZSaACi+abQ6ziSc95kRQTLI7Ydd0XNS3icJo5T0bT2zu30r5wKjVWQ
JviJUW+ZvZv6YOBPcwZRxbKGOfKnhRmCQ1y8ADIBfdLihi0cM3/xefknq//boJy9aYb+N77Ox7im
YZLe5XSXKy/YW+PYtPzxA3X0mrxE2iuINeWRSWYmwRjgeRdBAHZtjZM3ZWsWxbN7wiHjc4NG6qFM
9ZLgB9sjjt54wn4Ugk7LHILk7ZDKFyJnGwfj57GJ5I0L9HM9t1CapquizOXvIYp9ap6GMd4ubfbJ
ngSQeV32+8Dgu6ek5AAlfVnl7XK0k/JjVFcEf9sTCh3t6JdFcd16cdLwDgZJeabmsTFrB5PmVH6n
2BQPqd8P1/6y4CBYFnzEIa6ArLQQ5tSyt0x0pjyjAXKUo2BeD+benbEoNcUT/TCXkmXxJab4Z5d4
oXpuwwLLtK9/6SGa7gaOgI0ZRvc3o8GnbKzb2qm+yWShfM+6u5SmqJHqc6j7gEgCTLdkjCyr0BtX
LPLEGnpr0SbzmmKA3IcQHj9zJ/DfZtI4e0u0lxK8PuGciJ4LMtHXJblLpyOVFwfm7w+XRT827P4N
Ves3X5GYx8Kt4b8Kaz/Hk30heUe/GgHmGq4fjtHS+6FRZ3qmHp00Xo4YMkSkR+D3dGy5Ytj2GYCb
3nK/Sfu0WCPxhGxESz60ckb1MsNV4b2ddve5bvoj01qw4cwlcDWw7G0a4VM5lVAQxhaFGjBTr/Gl
9rtAYTSyaxuju4cQsniG5XLktC/tyH6E3k08NkhvD8LzylNTCIZf+2eZaQGMHBAe14LscNPkln5q
zPI7jwUIZ0O/iMaackO6j2NSwq3BEFVtO4uMTui6el/bbbchGjifxRLZ+4TeZIcOj8mEr9yMuI97
St82NRUlPVWpl2sqcV1XJR4AyhPCjypj9gXG8TMbjvFr2fFGj0F16fO52Yaoi4TR/XItG0L6qf+r
TInxDTTGrRpcp6sI+XzlZ1g/sbXMn2XvzLe6rcuDT7nAplXL27C0y841Q3jJllzxrxYee+3YwkRu
eQ/l0MKRoRpk4yS9AkMLEABnQ3iq+kw8ZZVd77TAEjReUSLYXylCGq5GhLaxYPJlaIWgXJ1NyIix
9SQu+GaiDLezKc8USOYmXtpjqyhEc/oIV0ImfjC3gs/x8ycNnZoss39F4Qv4FWlFIWHROZu2j3/E
mEfnCuwG2/WwPwgnx/nZwQdXUXcfYElgySLA3gRknITU6jRxdbqNZC8osNQ5bS7YcblBsmjckFxj
WJrovOL58dcaIO4DjP16h5WgYl1HsK+DYbcpZ8nFKJ6iGAHUhJsRZ9g69GnGoOBjbVmGitS4Jyof
N/TQE3hed6n1wYlnbUUz2WdJndQxEZO7U7RBm0odm1TmZ6rXm31XE6iJ45BrI+8Hxvpe5hvjEVGQ
BY1G+cxSySNuv3dbpL1CNM6WZg29Vb5+qZP5l4E7QrgtEx9J2X0R/rwTUBOI8/lQFPpIX79b+ogA
O+xZgt/NC3XaReD9sTll132dFtupC4pdY4U9yx4zr7tgwksI0PwSAxbbNlUe3hdlzuY1Gfc6mSea
OmcKmXpjdoWXfs4jJrcT43ofn4VJaR7GS5fWxE5oIr6InjanNq18f0dX3LDcxwmbeMp0kW83MFgS
jpxh5gq7CjAKmHWRtzpmURaN6a82pLGnQMdh/Yj0Vb3hoQ4YmW2CEKsmUPJtWjSaScPq9rV0puY5
I6KMoNxHhTgC//JgdF3zYChnM0OgTElNUOLgahzmcWklDJJyuvLfVcOLTtule0OIAwmr6ERwn1i+
g9O9Z0v3EBS+e61NAEVcEiy6NgjzQ/TiAVmSOTtv3QEPThQPzQ1hfSFOrdNGTItR76RnTLHuSLq+
K+prMCRyn1wrU7dTYkq08YnHaLWkgZovKrAH2EZWLO76PDQ/YxDY2AxJw1KgrK/tgPjPhnuW/tEh
1Bns/Sp5xu2e70YTcENTN/EQvpRODMikZO2WYKd8rBL/1HrOVyyo3cF21qOuFSRC5vD32DvLL74D
0wtbW6pHbJhY3OdK8+pog40VLX6trGje6XkR3lYUyicOI5ubKNd2Uq1pz66uN3KJq8Yqx/wX2mbX
Pwg9VHwVujk8RLRCCDorxuoxY22Ub5ORbpenqpuas80aCAQJy0rdJeqVUBIIDTU1w83ULLdlmjoH
0nrtWqfFiIVugfS0TNA8xhEqknpWLU2MuOa8xyGz/MfGMbCpUnOZaVhF6g6qdxJVXCt6n0xHw0TA
+xFbpiXACED+uFd92hyLyApZcrIy/0VEIzy6jfR3hFe6N7Gk5seNK1qWRZabldsE9A3X8Rtlbmab
IJiu3DFxqC5P/SN1D/lP1A2EhlJeFhK5oNbOjZyJ3K9wTNHBLgLB22NpfPOpAqLwB0UWU2y5hbf+
AYZemuz55lN9AgoAbxeU/lkfs5SKAFICDZiS8yxyP9sGPrmQtQdGnNlBsMtnMA5qVreVJ/hxVwRf
t1HGu+Caq9UAeeorAKce6qF6LjwfUkK/gk1h+2ZrAJrMZtO3ZlnaAwaZSnMjwvI/XWQ7faICAScR
fDa7fonIsy+AJpZheZ2J4bGQPsEDp1kqdcNViJ5wcBb2s8rOJWQEVTCoU3u0TMY+KYlf/NoizIXT
r6Y9HYj+zk1YXvu86OimKsAXJPImGinMRepAgk3D96Tr7sqQAE07zmqPvQCUVqmDg13PFnnGod6g
d83rMZeggXixOz4Jk7E9xk1DU0ujlThX9tJ8UJsUvmFJCS+t42VbZ3GnD0To9DSzGKU7MmUX66NG
XHq1UCozRPIg2zk5DTi0ht3U9F3D55Npaipxl9KokxSELfnKEIzwXLXF4/E3w43tXAvLHkMZfSz0
SD4hB1yU4xwnkzbDzp/T6YfoDfQBfCY8EUR4uX1X21GQ8S91r0MC4TguOTqbO1LFGJ5JdcLWYj+1
C8feZQvvGRqYBYue10VHPqQHi+XtzM32PWj1Hw0wY1V2fXBpXCqt+TbRk1NxfckbUd9QQd9/jY28
6ydmrXyg8YjLeXTMsYCfZJZSnZEo8ZDW7m0Q0bnT9SRQxuy2RWDqmiA6O4D2O46ivL2L5JjceGgC
RESjad3h8XEwgDXOuibMua16/B6UFPTPVhjfonFwHjJHP1DP3hGMEOWj6+U3QZvtiECcMpS8znH5
zjtp9d5aOCahqX36mMeIR6ItpVGePDomDQ4sANKHMszrbTR6Yh/Mgp1tyg8dUQJkRFR8NQs+82j8
rBqsuXQbHkI3cKcVi4C4Tx5UY8/fvG/V69iFE09jG+8C29x5lvbxAPQS9ybLgU2Hz3RYubYzHQaA
BFgFrgXRdqyoHABQfXDzedqYpRDP7GL/TEHyonwb0Yvn7oI3dD6Q9lw2Ri4EiVV0G9AXcp80fIZg
lrgmlGhwNKUoeWxnFKaObNimbCE0kXA34Gxc63bAIrdxnEadZ6udtsTWeIirWVpPpazbp3EsHjPF
/TWuadiVyJrgLMi+Ww3FgEkJhNIJVU1aOXytctdeIRjSNEtH0I2yID4BV9tfwxdfSdczrg7JbXj9
S+2cLtwyu+UbW7lmg4lm3yjrraOI4UAEkZtbTrsrLu01cKFrufT0OeXOAhGCS/vGpLkkNaKRON1K
3SRs+TdeEnxXoY80g+/5mepWsXaL8Sbw6fhd8H0d3STe8QdkCQ255Logu63sgo1xZbbBPFkfoQd6
o+GldZpHAjDOsKhq0xZp+jxiytXnYhrH7tZobkhXtEAcnPGDTPFHR2bS35LCj50z4S0SUaPjnazc
Bd1DdGTeW7N7tqeGqSNquOi23hSccFeK7AW5I83XRcQMfMCPW2MYxVXTfsVAnM+iX1T/d6rv/7dn
/A8R4Kn4v/eifGTq6/NrgAv8h6GhN8ff/+vvv+R/GzRsLBC0jgCgt6WwsW78vReF7hPhhp4dkUIM
QuDLIGf/YdBw/L8CYMXk06hUCUKqCv5p0MDY4V2tFBL9kH+M5+PfMWhgg/0Xf0ZI2UFoRw7vdBDy
0vkXNHIrqSOLxskm7h/4w8HUQ9xXT0lT8Ra8mZclt/ZpRw/gTR7rYNeCtj8HkdM9zxVOLx3ztXTD
wNkhTtZrReiwPkYzToisoYQUeMxM1sh2Hk0oXxHNz6EW8x4H77RvJVnUkBzTSsqWPj+rW85VmowH
Lk6gjQDRMZujYzb6OawnuRuG+ZdtU4pLzCK1HmSegJ4cCBiPq8Yz1bdrD+WRPg3n0AU4er10AV7G
j3/g0RifGk8mw5aIujyL2gqoDOFlWMWw9bha1vSC05FY2g7Tnde8eU7/Nfjp2Q0US0/7mhuUQCBl
QSPiQJhCevF45l96D09gR7vsAwnzW9bC+drN0uEc/gd7Z7Jdp7Jm63e5fc6IAIKA7qpVS5Zkye4w
JNmmroPy6fPDJ0emLe+0xunfzu7Y2ywgiOL/5/zmjK0al2fGvmuJkRn/cMBqlOhBWHY3XRVK0o4p
5FJz7Mw5PjYPYpJUL/Cs6LNPmLkm4d6XJHGx7mbjEYcy+mpWPCCGJd6rXJwSnUoU4qrXtE3n8tAi
59uNP4ukdpLAARveCt+M6CTnmnSoiID6ImUSZ4bYkQnX7wXBU5usCx8B9QAPq2uYSwZrG65pEl/z
uLtdAlOfUcOYzqSIuxtJTxv/51BdWJbytv3anZCOic5Sy/Q7SLnyYfDDstrUQ2neWgwLhzHp5PNS
DO4F+QTOV0pf1pE+RXECYzmc+ZRheYEJAdMeitgVR1PWOwNpDaCaa++EVpc9VboNk/UykZjastbH
CWSfcZxPqG3qeIMy3W2Z5jjCIwFcHtBdErJsKiq1qVZ3hR9bJ123JF87PadAargX/tyxlMBkPkZ5
zzP07IkU2S7XbxXUo2ckvauKHPH7UpMx6yI8ekix9JLqzZqeeXhdoiKrkFba7UUQEtTHos8GjLu+
9lFYbpLURUjOjiso9qDcrUMfS/dypGxz4ZHTCEw26ojQymclj2GbVy9Y5YbjrIDNonBgP2zjJjo5
jY/p1ElZaMegdbd5EEaXTmsgMsTkC6eLT5QZHQm0ljD5wCyxkSem+C0erFc2REddzhxA0260Pge5
BPdiAoSRfRW8VGXXPFpu7N4zcBZGis52ncqmO1dW6oDEHtinNt1btLjWuUij4VObLdYWZ/tTWbj6
qErVb4ja6baIsTnXLUN8OTaSoLiwcDiBk3CB37g9qEhY+4k6jUHP2a26ddi2P3C1NccgKN0Lnc53
0eo9sslCuCvVdATWetP2cXBsi+rUWaq4nlrvvDZgMgPk0WZsyns8fzUdifhaK+8+DcoXTg+IDxqq
eR7O/RbhAQ9soEERWFcLllX8Uq+Lilaem9se42bOqaY52b0keqHaAKq49lv5rInyJCBPpgenFP3J
bt3ToIuXjFbWwS4reQ09GXCItbw5rTW8jkN+s7ZGq6o6Iospdj6iL6gUN/GyPBZBd4STcFf088to
R8/zoB8RF7OLhZTuGwqXGqRc53U4yMRRee0P11XRRYVMXubDm7ZXhFUzhnv6/px3mxufJttX2Bje
plpgFy32FH8PvfpTEOtrtsuIWSbrCa79YenAZZDtu+s8gHkT8ILYekaMjFQL9fIeHzqtSjpQnGNq
p4u3VR3f0mU+d2ptHcpSnFt9WR9cW156vjqSM95RwgWmnUTpvpnx73dasyOv3XuPKPZjns5MjbhV
k4epUepH7Tb5wdLRvePiRhw99LU5zy8GjMiBO7iOjGtRpZ6gKi3IpmZNLpwrJ49SBAiPBde1X3xz
sVoenCZpt8wZV/7cU7Kygvx89ir7HOTGdRDRAKotP0TQEiynNleXmtrnxiz5GxWS74StHpVlU+Z3
Y474zXlC0WUzuVbNeTZ+i0x6vjTRgz+UJ09wLI3daU+y95VTUeeMR9YU0+rvYUiNJi+9u3gcH4o8
uJj4MlCw2/Zzb/E99Ul6UwwI+6cYeYFm+z7azl4EOKelF/zIImTAKjPeIaaMs6la65rkIg8xAnA1
iLnlYWmKaes51VEnUKqjxVARg8zL2RJ/VjPAiyF65ILW/EAZbnkEiYHDDB8Oqy1Mty2w6vt4tYXO
hBr3nRz2Yern3/0cp1tg8dIwZFHesyti87rUmKNEcPnmtwF669UuwMmt/bZ0wwIIyjPHwLaaYwWR
jNiYYYzTC8AdJrjDIssAX4CabWPX4JCyNWVItMbUDcIhoRzd0Bx47ZFi3tcN/921oswBKscwYU/E
TuNO0N5dH4fV3uoDznrA9amVU72OFzDYNkZAIJXNsC8GPM2unaGKSShBLqG1ywI3QXNF+ZiXra5T
vznaSLNwIyJgpw+fHbyZrb400/TSiILANVRG0Ata4GY4zGBTbDz0ZNN5ZwKNiTLphumhQJEdnCcV
yJy9XXgGo4c30aO4ndIEsUG27Kmi1YR+kZ6Qlg72qRBsHHloSV+9qD6G+BbtEBEQ+khvuc6+AJsE
NDAIDGeZ+zSlvTnjwdyKTm110wOoEihVVLMff8bqRtdYGwGbUeaPYbySrYw7lzqIvBD5/FoP86VH
tW0HHOAO5y2ymNq7BaWDQ0uwspowGlFiNNwj9tkqzIofvpgBDFdJBmy6nHa8QgEUbwmmXQ+gYdfk
+Uvq0f3vQ/wwLj0UNkN7yrEAQUtM/eX6bXoOzpQFU7carde5mtIbr+raYxE4zxWCmE3fBdHWVmS3
WiSYEnTnPSbNfIWkxpyCBgghfrJom1sUmkOBKz3MGaUuytvNmCFLD9U8nFEFdigWCThFgiznXeZG
41VmRfGFhHmKI7bN8EDM/GkHRZX412WrRwTBWIqTBJ2TCS/BpYXXbptD+1BW+nmk+n9BcK65H7T6
quOmOTSlb13Og/mB0urQNPwU3BY7qxiHM7Zh3te0k+T7pa4BWd6OtDbi4CBbonRps0iDTdCbnrI5
bA75mEX7NmooF80G45P3rOhy7EU0pw9FwQffViJkCEBDRR/JIoiz+bVvwuR8Lpo523qa6gi+nOGl
QZZhUFmzueGQysJWr4dCumlI1IbEroON4phNfXYpeADVKguGAmbpffpTLmyPU4Z2GPqj1dzJht00
nJ6fEmPXrZf2ojKr9NiZ5YQOOZkBqW0z6hYolB28aKtHAenMwY7652iGNbG3YgtpcxGjh73yf0qe
ByTb0ZleldDipyiaLmbXHgqxJPmtFc2O/No5IDIaFTgoYNpCa/9xElbmbh2DoPVa1kKgwJ5A7Hyv
SxBvcotwIqzPA5gv5kjlZfxWGXg0pKlDRZ+vi9HvqmdvVXtPMnKQ5RI7aJHoEEOboHW6mPjcshX1
HYIBOKda65G1/Hl6rY3fYwizFJJePPWccGk+L8ljvR58a6+ftpnFTEZVu4mTU7gelBfRuef5enim
J845uvt5pi5/nq+99aidoPLh2J3/PIOPP8/j7Xo075KapAqOfPuOPkZ/AVgwmfC75vg7WsdvT3Zs
KRoiRVBwr6jQWfCr0oo3C5d48TWub+rOM6i1tY6bjZdygZDD7hiQ+7Xy5oEziW21wxlQjeIBBaN6
DdICe/HsSb/e1YuX9nAUKBPAEcXgtnYoF7RxHgRW+zYdiJg9o4e/yn6mtVZo4rL7Ws6Wp3aV56N8
ocEmaej3SW0/j1Fn0fQC/8lMhMG7x7BC4nu3wSpDZTCa2sn6lMUtDV1UejAQywRJ05PUZBFzvJsT
ccCzZJkjX5eArOLhTQVJk1QrZYFFDeSljZRhV0JssY5lVZUli7+JvCstC4Q/k4Tyu0dRgCEKO4nH
/pc5o/3m4F9k3YktwOBhPqnLzAkXVrwwiD67yFRfjM/Eu6nKsH30E5gmOxaFYjyFbfhJGCm83TLr
ZLpCr9Odkqla5DffwZZ2pAkgBsKmpeSwsmnmfr7Ayl5dW4bl78jHBTu7oj9JB8G30qMbt/7w2eqM
wGaXTlN5K5oRlXEJwRsxU4pVE9sR1U2KbGsHTqo9TfbnCvjwp0RkxRl6TMgf62rT4jvmHIvNqx2m
DO1FGuzTlHIa9AIOdrbdn/mLI251I7JbZNN0BcaA99oCsNC0hezmSzCG8jaYXPcLTr5HTkyMT9kL
lBJxGcZbm89u28ugeB4HL72RCXQ8aFwWcAmYcAM8LBAnm3iexEsAo2reCV84m67WBiUFu/Anznrw
+dtm0t15TUtW7OBi9BfNVHqksnfNAVECCFevkSF49bA1wfkQ+GW+q6G2PnhT9GLILbhKgDgdmlCi
DPbd68XGbJzzAsqov6KDiQc8Tu+6yN3SJYSlU+h+Qms0EvDQRumPuQESTkcxCw4z1ejt6GDCA5xJ
422lWW6Ai/cvlgsS5mdx5v/Xqf5fQOHm/y5THdvvb7+7iNa//+8alR38y3OVDHzftgWJXP7/mIhk
8C9KVFoFFKiEtu01d+m/a1Su/BdFKx97EYCVAAkpha3/9hA57r/IdmSGRky+VryI2XyX1PvX5N7V
IPS/BiJtEx3nK6XlakbikvpdNJO/imk5zXN2gC10Hk7echMAjgQMHeBRXdoe3d843CWE6O5GUCVU
Fmrn9MvDuv331f6SQ/jzN/AY/EBJ6Ur3faTWBJbeKWjQg0h35alaRHOtpdXSFXX93d8vxcP+43YB
ygrbky6PdY1Y/jXqaiqo4yPHsaiBVcXOy8qRLlhDu/+D9K41d/n3C1GPFKg0KT1Kj/L3uwstZqR0
7HFPNccl/An+fIbNrEmOuRm865GOGz4X6ns0tzFiozEAg26dNbqf35Sa06thiqzHiEBNZ1X01sTc
LB5yYTYj8jQO5Xo68PrKOhhIqd4GXEoGpApnLsjysEfNvtShvHELM+L/5Zdw3pUO4PrGjN906el9
hz2FVmCKrJE5RCdiQ8oGHb+JliMbw3GhWlZHbJc2g60WZiEabvG+pV3mntsOR59/Tx3/ZxblHy+G
5FJKpb6WcvXUiXfPC4JMHrK/xsoZTW8e3bVDOFjZB4GK8v1V+AT5ED2fAGuBeU69u0rT9KON+pBj
YtTJE1T28WIOJ3c7M0Yfg8FpyXFAU7vxOloqSGOSO8JhocW3K5hclP3NmPrfrCLiEf19XK6f2a+f
IbmiQni2cH2bqESCvn8fl62dmTyv+WEImzESyxHgz4Dq4QSCxnr4+7XsNW/w3cWYkSRx3Wz2FQF6
v19sKiZuLSQIAXB18igLKKQI/pfiFFV58xZl7H6J4BmKJ23HJDsh2Fve7GiY0j2liP7B9Y2PwFbO
wxekSAtJBisPkPNd4aktMiUr3aZ5Pb/4IfEDx9rOZmBnXQcETdQ1hNu/3827bDmbJwcQgZtwHNcm
BoqZ8tcvul/K1GTwFLiD4nFp0eMlbpTseuNe1Xbw7e8X+4fXBA3SgxOrcF7q4F28opWQq7A42uIE
5oRXwKXcI0Xj+aYkYezy75dy17H47i0FvCJPyzV51lbvbozdSGZ5Pek85ZCIikyIGpjx0AQe0SnS
Wou0NftWhCkxAAZs0njK2uB2imafPnFZS6zeeSSagzsrdkm20Rb2Yx17r22EUR1oDhAfYMoVBmv0
CoTkTEg/rwdLU9pIpygadsJu7ReXP3pxHBRmWyyJ89o9yEvk5VULgqbDQ3JuQEAGN1RvvLtxmdXr
RGgtfXxj1edVuZqjKMoyRxmvWlJCgWNxjdFyjk/YvuLx+PenZq+Zj++f2rpwMhpcpl/1LhMy84PG
Xjy4Em5MwCeljBoBsk9VDz0wDcLHssrbZ6gvK6CzM95xGSSgwYbay00bzOm3Ke9UCWrGMVBZe82J
vG2XZ2waOVauAYEq5u7MPuTDOH+bkDkh8Wz8DIfx/+webv/9c39dEOXvbSP2AtiDmQxt0q89R2v3
3aqMICsbcpWT8FVWKR6TucTwaYXVDtJRshVljOZaeTYudIWwpqPQh+58DnY6L2BPDSXosSYavHNa
Uv0jbkJnN1osNrsCWkH8wQf455z6+299N3WFlHhdb51T0wwFgkyBlClSavYfPJI/XywJlWRoOZSj
HYWc7ffvvGs51BFexmYW0MnrynkCvm1nN8WUNg8Rh8YtZpLwjqjG/NqWzkw327EmlKFC9bd//y1/
vh1+iu+6TNX8HGJPf/8peIW9KGxgisk61Nuu7vpPTjsS/4UZC06UA9ViW/pe+8Fl/5zp2O7RYmTx
0mh47HcPWjch9EyXvYsVL/0BeU1zCV6AquZcQqUUpfwoH/qfLui57Fi15/uESLx75NNSDsjJob8h
2jO7ktrUyXhNu0F3JDeTQWj89+f650iyBUHvtu8wwwaOeje7InBJYXSY9RU3kKokqYSd5wf/8Xjl
KkpJpdYusPN+x5tPQdDmI3cVt4F76kbR4nSS+oM97T/eC6ZVz6FeIuX7/d/ol5rOL/cSBNBPlZU1
O0twqf/8iWnbYdsufM9hcPw+EukID8PgkgEGy3fBVb+EmBmj/INv75/uBcjBekSRypXvn5jC/yKI
uWXXVPekJirj5Oi7+48CmtfP5vepG70Mb4Xto8cQsN+9fmFPCZFJvBigSuOhciY6XvzVY5Zm3hmf
0/yZ8iIeSNKuPrhBzkx/XFryYQXKZxfmgXX4/TnW0+iAz2IOm0no2QuzVA+msfpDTiTWvkLCs4Wf
tGwX05eH3n3r8uAhxRFPJGZSfbARXqf2d0/BCXTwM72ZM+P7BUxNmMxjbDLrw65fsJ1rbBpufSL0
YLr4++ix/7yWizqCT9xRriMxiv9+26vBhWZ4QeM9WYLPfO0Q2EG1U0euau26W7vp2u4ITd++Um1G
78DPcaYWZM85Gxn18Wd07ok8oyiTddvJ7Qk/YttNNFPRx1m+69sev9+8JKagLdjRKXJX7DBsStB1
m47tLaWXFuDRNkBtGB1df4DZ+vd7/IdbZKdmw7DDk82Wd33zv2QbI6+MxznESBlBBzqUkSMhD5r+
tCA/+OBj/HO6ZNfAho2DvCDjWLybLqXp8wlxQ7jyrsT3sZrNJVlAGeCv4EfVlOaDrc6fd4bm8N9B
9+hfAn9dpX65s0AVBZp6Lgc/3wdsWE/sW8ya+ttJoT94jPLP5Zeb0o5as/Z8SdXg96vRjqO50qVQ
3Ox22dRCl+fG7+rzpc7DQ7iUggReR38uct/+RE+jPRNOhoxcquzs7y/0z1nCk3IlrFAocGw/ePdC
KUAmg9swZjVJaU92RKshmVqEo0j8Heq41DjP8lyovUwK9cGe/M9Hvk7naIaY0jmkuu/ecDa7AFYh
yeFPp0SfLpzhCcBooJ1NHz3w93Pu+j0iX/qZnM0Z7f1a2AM7g9eYsulO+zdZAioNtR39h0PI5V5c
SVY8BD62guLdtCe1V8umH3Dd6iW7jpZ0OMxTbF1idag+uNTPc9iv8xpvSwLEsRlA1Jpsf322vwzX
NCNqs6hEvYVPgqDCotl5BNVO5YmYKAKEPAcB/WkRk1rOSM4JUPgDX5h3AEcl0svUD5IteBjMsyLr
8IPUbUkiqIE6tonHadB3zDaq35UqV2JrSit5GnLybGlGIQm/TfxM50dgmNbT34fjn++J2/I4gfLt
C6Rk72+LVlFULBD5LXx8p8myVpeizD/4/P7p6bkBx3VPOOgg/0hQn6HZeD3K3a0qh+bLlMPU3IT+
aKWHgKTwL8hzVu1OMPT37WC5iDudil7Kqkh7zqIcXtQAYxPxRsIGgRSafZ6gxsqoUuOnySCZbSfk
M4h1KRhMNwvYeoW73SaFWUxOKDcBYdz1B9OlfH/AZUQoxbndE8zMLCfvHh0kALOAUsConqcPVNzb
l24EbYCEWZ+7ncvCO4FumGoC1sJ4aC49u3Y+yKb/8+3xnXks+1Kjo+Or/n1Q9uDIhjx06EmHQw7s
J6SuAYTvgzv9h6uwCVx3NK7kQu+nrGgwBD1VpdnKJnZo5tjqbAgHsf/7SJTrZu/3L8zVdmCzF3TY
pAWr5PHXLyxbBjbsNCvpg3TjE4794EcPhAUcUeg/9ImDALcn/nefJZ7YJZ1LZ2dEeK0H5V/hJZm/
SlCy9//xj1oXQxYNrahusa/5/UfFsggIRVMkiUHhCDdbNMy0jthLzh98Iv8wnJjHWJwUW3qGqfNu
hapnDeAZjwmhVJXqLwGJkrsCi4eaYtfGWJnGGBLxtkUwPO9ruyf9yesLbd8SgGc//P22/3jjbDQ8
TjGM8FVi6q5//stkJxwSgtCk5FtjwuQSgxGyAyQ/h79f5ad69Lc3zgVYJLStKWVT0Hv3cGsiDZGL
EyYPf2Q61L4dYAmGkm7VfvhoUQ6CN+cRpipncdVMI+gNatDWV9Ha1j1wDkXAjz0UOwQhywXIkvg8
B6d57PCy3bvePH4wQNfx98evVaskl0+ASfPdhgWmDylDGJVI3GxREAmHJNaac1GnsM1/8GT++Bao
nFFP5TDBnoVI6neDYeriMJxhS25tRBhrDRw26Hax1mQ/8ED9PoJh253AC0K1NJ2MH2kTJmKPUs32
txNEpc9K+aAfTG31H2wi/mFsBBxA19/nMlzX1s6vY8NOF1mFabIGyJbpxURi91WYth9s7YO1rfT7
0wbJy9rueQETAtPOu7W9JzAOdi8xL4uddrRywkWFiAVhY+ztshdnE2QLa4OapGtQPfEL8Cb64xdi
h0y2yTJtfcFsIh4NEThPbuml9wSOtHuSj/PHHMJ6jubdTV7qufbnDQVXaANOO8srGy4JqjIq3ODo
ucKDG3ZWdEs63PJNTBxiiIXFkXShoI5f2by9r1lCcnLhtDlADptswn3gh+Fng1YG8Hhd6rMOt94b
e2u/3iB3nZw90BbXRylaOWSfIdTDOcRuii5IUKSvHAX8cyKgJLQBu5LsE3NlfU/sZrxfUgSwe1LN
FpDjBB/XSBQn8zySaLAcSkykXxvVjaDFahmTdSJy6uC21+rhAGtevTU6yA2eDbrmu5QaI8hnNeNW
zaogd3cQSyeCaRUtF1A/Ik/O/IKoC4XGba3VxeVnl4YGfHagDsN5EOWA6wd7/SbRMZIsazojsxOs
GVFuIBo54dYg9ALVClX8qQOSZx0R29WfME+3jy2c0dvQiyxwbvHMdqMCRHadTYn57LC0gMwgE+R7
bY/mqx/P6SWU1HgkFa/3451XLOWbmLwSjdZczGduBAcSM3Dldbs2UCEGXRhd3xtj4XpoyXn7bKVW
bq9eNss+65SNIhlLEuKEyPW7csNHFKHKia3F2mCSgIihluluHsPgTul+HPf+LAk8oi3Vv5CWQgWZ
AYlN3DFt/lKosiZoBCn5FdFH3XKE22OuqTKVz7GzOF+9EurZNpoxntAZcmKoycQIEulhEhcSsTtz
YJyWipxotEZBcqzIXZh2E166fieI+MTi0xfFdVA0nb8neohdhcirvr3ue6cg/yTLyWu2ZuDqO6UN
yaYo4QgvasOOOxbeEsg9HLRY7ConANRXdL3+Xi0KwB0hK2NBfTZr4eZ4PYl0oRsG8gaXOA5jXC7o
Qwa/RI0xzRasVtW0mdnOdAtwp6SS8y8IB7pufgjUrAdEB5CDm70upqBdn1657CsjjQDgJxakFHMy
Zkhmuu7CqgK3OVhFhnB6As3+UCcWoVc2pOTnqgVKsh2XZfhahHmLHpWAi/jQE1d2RfvWsS9DgHaP
A/jc9nM/iBnxsVOTbxVkbt8R85AhGnbIIkZuoOt03JQ0D7xtDMMeQ++E7+uCAnj9CA+QGGY52A4f
JbJhPFcxZ3r2bvN3UB36AiiMnaOUHoeHrAA5DxqG7Tk/p8B1Ocg42hgUEpeR72NEk0OByxsV7pc8
ivtnJDfYd9e9maCzkRq+bGkU9GaShR96ArHci2xGJYvuyy9J+AVofcxxDqNyTN1pdc27dCtMJ0il
kFM/falUTNKGRgLIROQKAo9127vndU2v89zzvTE9JxyNLza3h5KYTn91FRPe9ynh9VQ4wa3J2/EJ
B85FUCJt3kIvQqsetsh5dw0SyKOxsmHZFFNejwfSOpBpxo0zYNCq4wqC+WRgFY6QKjic9wUgDczN
x2Bl2x3itIZxRUhR/G3C/x/tS3ryB8trNLF5gUUCC2XE7WyF9SvnIcJiQwq2t3k01AHKaOZtrFaF
/Uaai6u3Tr0GVMblUMHtrdcZNi3bgxWp2Nli1Eh98g7kNNP5LNPwgBsfgytRmezwjT8U9QmmRfJo
jO3GO8JFWnejQ7ITtkzhY7YhiQHu1EBAFk3mAlHOBhilwIJHKBJtpqAlkg9JNcm9U91335DeRtXW
tken3XSoQcWJTAvRQPhR5SeoffP3vATrdtDGOM+umXEjw4Nm8SBUMiCPYoLTv888MBR51S5QcYlU
EBtOenS9DBCsbNcTI7PcAr2MX3sQf+Mlaa5FfzI+6J6tMqRKbIjnYBeYcogOcTSKapeJAQBi3CfL
j4Ws0PvJtjh8YttGUTkByd6g299Fln8c0r65X0SqDnEjr6qEJzpjTNEtUuWGLEsk4Hv02K9WrV/h
noL3o4+UQl8v+NxBJE37GkV2kfUPZaJvCXBGFc2YoV9JXOhN0tRfcjc741S5BzDynRTMA/vnM4Vi
lQXyBrMIoZuCNiYcLR8RfMFYBjHQo6jFgBCjz2/AcrO8u3V3gXYjva/S5Bqr+oXy8tdUo5Buq6tF
fqn6hywq9r7zJjnOFaSSu/wL3ZyQcgeODFsBS6smSM3PdokLQqHvvJbIJk6AseE2wGKFztcoZukq
a+rZdShueisXBX7CuP8UltojlUQF04kOxAX1Vf4u+gMNGhfhXyeK2yjU005gTUh099APxUFEfBg9
cMRwzJl28awHWt+5U44jhlMqKLl707ZP7DUeOkJSNzD7x6+i1O1JzPqIQvqrF6s9lMKryFYXvP9P
jl08KmuN+SLDMDP2J7+O7lIINSp79KMrR2ER6DkIbiBhRxeMMoPs9UfWROeasxFh0ANNSvMIcu3K
je0an9C4HJ0lPusmGktRMt4XnTyOgyWxQ+mzVjiP5Ii8yLbcNsYmfGuoj1RJDyEdpw0o9QNNnOfJ
sm/B7yLVomcDWuTeTta4uBCOOg6ALLV2mtvEFAQqD4v9vRP3GxySDgFCJMUU8bJvrDziZ9wCJ3ke
5PhkNc/OSFSwlb6lJv/WhSiGp67kK58uozTbB2PMhqi4Qe3XoxmWpAhJ56uf8OInvO+ONU7nWGh3
UThfjMu0jZd0N9riW8UA2oPm+pY4X0d69qMCOR6pJ7J08EEh/l48cYp61Xwape8P1Ls8kAYAVHE6
Vd9c9i3zNFzrkvCiZtU0Rum4q037Ba5btUM/fZsn7alSjAqC6Ldi6V/58G8qf87PqpmAyl4zxZHg
/qlvCSUOHfMGCWLoN4mVon6URcsuCQLedqjKq9HU4rIVoT6wMPtPMUPHPROjukJrdcJ/dBJAf05+
3V5mA61n7V82ykXeXaGszPHNeinokNBjA1Il0wk4JGCwLvtWpuj+QN1+h2T+MPryiyZmY9t1L8Pg
4W7o6lqLM2yhnGGVcUW4RYcZXoI7mD7DX7e+2kEkvxU2mYtbW2ryygR7kDXKMUUtQKY7+CC/tonj
5iDOJtIpoTWbbm4+TUHcBCRfxaTpCbGqtGNS7rotoUWr+L3LE2zkmEqf06WQ4XaO54Q477AOOrwL
Q3at/QZx39xQ8MqddW3p7KgiE559O6hDe9LwBNNqHICaVeJoAOPSx6gtuXOBeN2EgSI+lHR4crMM
WnWP14BRcaswDN+oNAVsK0TVuHhVusXFQzKQmIqwBqudrFB7YnkmjphB5DTDRvqyOmtCDtv7YTIY
vpummpO9pq/HP4C8GGiSW941NrBL1yPZ6ICVg36AgVE4bpVLpsDGtuoq2DWt73+L+zT+alyiItAc
V82dJspjVd0jd99CdRiZwIyltmPtzOi9qRidm3JqOsYP0P9dPadZv81iQ3hOohdMM2j6QYF0OTFu
G7dFwr4FjJt9AoyFj17HyDytgIztLBkxL2aOVcMN8gBw+kDvyB9xJzYiapLtW03thL+y6lMDLBQF
cgEPR0vLggJ1ZK6ynOI0tAncOTU70wI90g+SyJyC59QOahM1+YBLCJMUUuHRUSkLycgGdwSfMTPr
5ulw0egFbdgsB+cTYdyiukYjToKNYJem97SroosgbRO5c8QIZXKwiN1Oy4YIu6rpoyd3oEyC+j2P
X2VgEeKHipjgCSOHy2ruIsOb6WfakmGPDF9gbTKbzu7SK+0XLO4EY1rtJiN4ExtTSi4dQzp1mL9J
HnhdaGs2BMrI5ZFI1CJC2O+EnwHLlq/KSmBkWgppsR2uuU4gpmtEaD0RmGjdizMCMQq2ZE6OUChp
1lZfXPZBemCjCZC1aopg3vlkpPYMzgahgsD3e6kDbfwTRST40JEXJJ8y/CMXIDCrJ53VwzWFBm6b
SFOeL51J0OOmpLCFFZSALKQfMFq2DZDKz6oqNXsMfGcQ90s72IZyYVX3+4GtW7T4hU+XTxD61IQ1
zstiSJ6jiYjonZUmJAf7uGCYhmynfxVuVN2KNnX4qN28xuaYFp/HLK+wvOdrvxfdDYgnInurNfam
9J9TkNYoToA6keRb1uMKpcQsZ9uiuEiMl0DK7l3i0FQaJndW1PUBasuZTm7igfALvTEgSiGdPeek
lna4bp0C2fKIxeSVM0aCwsVZjDnUQwZrVTcxR/rCil9r/odnL3M02WaNbze7Jgig8tVF5bN/6AjQ
Iso7MCTR5OXLEpDbgOjMsl8qL6yuUD70cgtxESufxab7DQ5Kf5fgyedUoAvpH4sOdDFnJSAm2xYp
PJzy1I55oiPHMIggvQS+7MLMOWAtghMcILbp9vUyKHWKalSMtzQ223qnx6V/o9wioAYWTnDvkRFy
yz87fMllxTk+E8F8H+NN45TNKTLb+OCgf8imDD+R+tN9Ma0noz3ophbBPBUDDkA1UfIbaj/BcAW3
Nj618PnyQyTmqN63FYFqwIQy2hBBQMIZHbRuJokwcQFWp/Zi0r0fyORJksL5FAaoYDeunvizuc5a
WlxecdMS4jTy3edsJq0a+sqmpE6Ad65YqG1h3hgv8V2AThpmerygkCLythwSnKPdwBbgzI840HCM
qHEe0bYX30YtErBRSrRPFcgoswXiYUMXFTo+X7KwdCHcjdhodMoAAOsxTRLUU+EdC60u0o7M+6EF
OkhtrbQuBCdUejrUdXNBiNiWY2z/RgmmBMVHBx5eY8musROWSqkAWQS1NMyhMEcc3Av87Qwm0Fiy
/ffxMLGrhSP5md2s1e0l5uKZj0UhEgtiFd/OM4ChSHigpro6ZvGKitHdU65gTJCUxKIdTBQ7dsaa
tTnEnucS3Cmn4Iwxl00bmEa12rR4mWDIKhXLo6p8cS4NmiOARlqOSNRiH/v1EkT4KeeqI1Rshgw3
mGzGIj8oziFdUA1QqV3LXCCEcNx9jg+k2ZGSqK+Em1oRasVGfyGNtQw3yEPFy4zByT4MdSu+9F67
fLfnoX4No9Dtzpap0VdmJPBr44xReDfHSWAfIambe5KkIIHlXcIQC1uvhknt6qg5coAGhkQRrfwa
enOHGGsiaGc3dpSeNj6eitcw/i/Ozqy3UWztwr8IiQ2b6dYGO85YlaSSSt2grol5nvn130OujrFl
qz6d1lGrW11g2Ozhfdd61oDGmDlrilw5EjzuNkGHVxroX7vX076GRwZJt1lg+DMmpi4ra7yZJkCn
JZb3K6UAqd4C67IWy5MvAKhZyewmjQyeWkEpzLNVn40NFn9d8SD5EMcnK1Yut+iC4ItRlwwGs0HZ
TTIOulY4u3OnbTplJnU0rEX6PWs747dQWV5YmTqN/bJecsJRLBw/Gn6gvZzN4gdhTZnuIRHMCBZV
YAJ10IN/Ufc3H3S4QY9FYzKmEvbD5m7S0+otxtjxkvdz8pAYFZOYakglu7lc7T1TWHZQbwjEnxRU
aegcV1R7HCRFVXBmxMrIkbHFfI+p7UMmRnql+SxOG3EA3lHpqhrp1jYNh1VZlTyMrkUswd7BGY2c
j6wTr6WFlYs8PiUFsqJxGmbkU93aEk2h/rb8hjqHL1Rl2IAKluHWCIJx8jKK9O+miPGQWn5NTlOV
WZyObbXw4ZlkGJ85DEhOi/jYw18WnCeDZnMuS6+wZWMe9BFN0MbAw/RBWQyToYySaXxIIp8TC5s/
yW47gouytfzW5hpOrFpul5RKhFhobB/C1qqkt0QVvcBMacMtjWATAxxZY+qdqTvLfKUzWWxaTWW3
CN4ieOs6R/s7k1j2lZ2hfG+iCj+tTwn5b5PPzc+Mi3Q39F2IjM0T1O7brM7MP+j5YcE4uj1WrmRO
dGDrtAX9c601rK2jFobmwtXzK8qkQ/TRann1wWLYfklYrCYXwFP6HnYt+3M8ryVSEvZ+2q5o6B/e
A9tjf6cFEusrBm+amn5uECCZpjL9XkcJgoWiNiDyktBRJTcDBw0F5GjYKcCq+vbQlLbzW1p18RwA
IxZeKfL5g14oqCZsg7nYkS7M1lizGsCVMP0izk5MLpvJphiKNrSs3lUhh28kF/cKNcGY8lPVm6Jy
Lcra/WagFYX9aFRsMkCgXPM6iAl9lGlOJ3bK5zFw0RSl8RabUf6SsD1iA8hu9Z5fF/+NygX3Q1gg
KRYNLri/Cdm6L+Q5TA9tMIavMQ4/8iUHO7gDFdZskrKmsFZD36C85lT0gbvcSn8SMDwTHGv0r5e/
O7EM9uOOzpKMYxBzw/dAN2PVPi0S5PCxHtH8Hlvf2OZUj99thCK+Rx1txsaV6EDrNayfzRcxdxET
o0FPd5NWRPe5VjIqTNVlXz1qM+WsTY2C/EmbbPO1b+JGYYmGXLehQBi8zb1qDtvLty9PmkQI5hbV
vakBLkFqu2qfhS32Vx5+u82skTNBYA88fVjM9Qtgg/HDGpr+qbbH5rnEBvfICXH8Vo7AovY12mua
E8hT6Kgp6MYo46rDTdPbZbnv01L9W/Vz/QA0mcgR9Ky+CglTZl/8ugeCGaZaNG0cxTAom2uJ/13G
UR+7QcjOfNMhNwaMHIr2XevwBm5AIoaQ9ZtxfOiazCBaj7K+yRoa+PdxQ//iYIzqmG3h0PU/M4IJ
fwGIjqhj8QnRbeid/FtKyK7LIsFG7vITPDPx0r9HqUyzDgn+2rXAoSJXxIS6KyoK4w4Lj++Z/Yzc
X6mraw6JEwUSGgsUjiqOKIummW5px7O8Uzt13TgJhIkunkcw9HxBY2xD0y7h1x5g1TiSKoE9VPu6
Iz1sY1Pp64Ag+MqdlgxIQS7/eHH667EqYfNBi4SKgDd8fEOaoocwLTEj13FQPkwo7dizN/I9H+kX
YMkU5AM6+pOe01Kkz5x7Spq9ah3pCxM1jNtKOoY7NQ0FOQlO5PLNnb83bgtXDeixdfcPfJBNjBAp
MpMRgWgmonAHmfAZvtboXb7SmSY08kE6jLZmo4NBun78GJC5xRo0dAJrxoGm0NTU1l+noNFHkkeM
7q8vXGM5hBNFC2aX4bRtuyT4mIUNmqGhn7/prVa9bwJ98gDf5Ld2q9KVIP51RwSR/+3K7Z6Zs3T8
dMgjdMxA2ICOb3dEZZSyUgBlhax/E8UEy1jQt3dj3WiHzzQMVlNwB2wNb01u3uPY191Gqv/uZIHj
Jhw0n2kkBJSfdBVgc6DB48wkxPUSQE06gqO8fMfL7mU1yVK6MtCnqmgY5VphRLKyGFoCABFOFdaO
wMWAONiCN6uZv4pOja69z7XSj+8MhT0iikXzrVPAP35AHfbzLhFjAR7C7x9jNtReISXW5syoDyjt
oF92s/o8WKQ8U9ouXN3q6z1TZ/aPevflRtAbo71GzWGgiT2+EZVEgnFB0mwN0bV/lBhu4GwP+c6k
Jn7I8NNekagtb371oFGEI+yjOMuv/1wu/ke0MfqqEdZE3jDB1PmTKZv8e2b21v0AQfxKe/7cpdBT
M29IHKCqXEkhiKylDkiy0pZY9EJuogWTnPjsDkGlO84VmciJEoDPEsE7egMbNxEv9fg5wk8N1KDi
A1Ut+jeg2HFpGcn8z5vwZS4UNCl4ePy2laxBKaOIWh1gfQGAxtXGUXmMcpGz8+3Mt3/9Iuh/U/ZB
RoIPFpfM8Q8qDGfAWT1DkaqH+aZL1fJAgSQ7VDod+C4iN/Tfr7fMbLhGceOeXC/2C/JFKXxsO5+s
iqED+EUPrIZIk9lPEZTC5MrsfTpHGQi52JewrCCYWcv6+1YMlmhYV1MsChx9Nf8l1uzqwaqFBaw7
oY7cBe3LJEiv2WR5kl6RqJxOOchTsAYuU4AtkJQdP+DSz4mVAKQIbzQ3HvUhDtxcq+rbQAfJHOjs
dC8/4DMbSdyYXAsjn22go1wN0QKMcKfBR9q6Pw7Pf54Ph/3G294MG/frsLny6X2eBo8/86NrrS3A
U8ARSV2udbd73XGh/X7/9+Xu65XLnH50x1dZbY1p92TgB7jK2LzDXwVRem3/8bmwnv4QyRYWASMv
abV9LQY1aDg8AEPxmm/jfbWdvvQ3xl26G7cIE7aNO+7RLRxoGQfu/EXZOR+X39rpJLYoN2FZaKaK
e1VfXZ+Dfo1vmGhucthQYfi9fSAfq9wBUrP/+WlyKZCNOgMEzZu5Gh8llma2lG2EP0ML3htWLZYj
518V9UyTKouOYWMzw1e0doFoUKN0e6ojjjNR+kpWhfFMADOdsQSk9+Vnd6pWXGwmmo0gEgwlMthl
/PzPYjObA+IVyDbbcTK72xHdxbbuKY5XiBlSWhhq8CPNlIF0C6EDS9LCjniO0ny4fBvnXiHAOEtD
J7bYDNd3gTl9MUvFlG+hftO2Gg4yzt+cOlSvLK6n3wNrKxYyrLN4Tlgkjn8vpqS4MAErwnmLiFmr
wvlQjrN+bSI5nblMwZjE2I/PG0326jJIRmytt5pky1G67/bWHMgMLzz1q40+apmnEYbxRmZzILZ2
kpGGU6r2C7GcIQRwdFYyqJzffiZMYJOqNRBCOQ8hOTxF1bZXbvXMo6dkx9YcFzp2wvUDIfJpQo47
kRWUGoYH0kPdOCEE1CquuiuDbZmujycKaAc8F/pvi/py/ZY71WnERI+Cfm+f3fsmKemh3oNc4nd+
qzX4x/TMx+bfx5YwNco6jHMYpdpqeiBv0IlRTfHGrQj9Qhxorm2PVBft2bmy9zhdL00NVwFmBqYI
1pHVME6SvkgsaAXbEGNs5tKljUfC6KqY6kFmNg575TLUPCsAgoDAo4i/DENFmOPlj+nMENd0B1eh
xielsYAeD3ElShrxKTSuRJPdTWBVvRT4w5Vxc+4qmF94lUy7/G81wqtRi5wsCjHZGmPjIa3TPHPQ
tSu/5cRHzVyoMVa4CkoN5vfVHitwethLOFygLIHua8i8+A+sE52mDF3PgYp45AEFpJli2/NOExqE
CTq3W5p0gPXsZnxo0YNvIeI70UY0gXqPGR1ZYu1AIc3q9jbtCPZaUN5u1tOsuPwmznxbHO5YKxbi
rgkW4PhN6Gg5RxGKaKs1lrXLa3R96I/u6Kv9u+ockbdG8YizGScVPq7VpZAakS1mMY8D2yrxXiN/
whVcEtwZUSbtZXAgJ6D+mtSzeUAjT0dPAdd4+fdqZwYFUnMLmDHzuLQ+uRf/s5qURMZFgU1pd2wT
kxAtlKsPRjFJpO9+U7qKHf6tx1BH/ZUsmT1D9JXJR/4ebSBKaDsE/1c5LrxLbLdFKg/1jO9SIPCo
9n6vL3GksA7JCAM4dYjTNPJ6lMRQbysCHSaRXxl8Z+YrfRHwY2vF8AIV4/iZtiQ6ZwAHElDrevSN
joL9QvIUYipOZ7QPE+XVoP95Zc97ZszgPVUx8IFq5q/VgE+LFmXvwIIM+QJxRCfi+6arkKvZoXrl
UgCl+QWrGRn+KKUj+1MIv65l0eRNwiyMlc1YoWLZGKKnOxCGlIpJ/0DUpfYFvesG9x8ggyxJXqNk
djw10Kuvedg4KDgIz3M65b7u8ohvNALNQPzRHL+SsIBPkxQltJPOXNW9pzeWBt0REYIkVKDQjdsA
EMt/WlKI/8jX0H8WlJHIwW0n7bFHTa5QjDdMbL4+vT1sVk0GTUNAUCULbAj+q0j0gB6R2maysXRN
+dKGYoi3onPSR7yk5nclya27IikNEop9dSR9bKZo19uVeESFHbSu7DVyoq22Kv90MGyKzZhpBQTo
ySK00oclCkixi83XrjUETFVC/nRU2dXiSS2n51mmUjtUSkiFz8oq5RaKMc0/JrH41nHCiUYIrdXn
VA1MucEtj5C6DgcIflQtFOOpSEB3eOowW3+wwaT1DcmR1UPI6bVykbiUPmhpu+ETsoeB9M0kgwkW
FAKflGAPau0yn1QQz8kQJW0xzqOKM52cOpuhBcQMqUiqwWKga3wifs0INs3UKCS2NcP02JlTou9a
EakfWcmfjqkqiN9qnyBzl5Zv/Z9ZZFAqarIhY4/s5BASXJrzhzo52Soue7j6HikSSVbpXBNokfkA
wLed0mrRTkkljQJGVImuWJb9uLXHdm73cx0g2UM3PheuwJNyyzEZQCT5F/03GHXImBRqFJU7jHF5
SA3fyu6zsS9uyTGgeEwIUPOblss8A6ZVSeCFuRo+9F1kFh5C+e4hJXlC2zeInhCXwSW3t4g97T8h
jSveJz/t3ipVrfRk2hGMlI9JYyAJ7HvkiGNFbs04KAVCAVmO0pvUxP5NYQaQf00yjLY18Ki5RldO
0ErTYDQ8Wxnmj3IMIBG2BCBGbkQpj9Z8zhZ6E5KFRf7YiBKSFr5NvXEwnOBJbScdIaMkyBmbYD0R
BaRhu/AKEhB/ZX3FUb4qEhIEiDTmURfkg7R7mLxt5olEG8vdjLmw8rqyqaobHxOXjca5IWqbHi7Z
WJk5kMXX5UVv3syU9el+NYLcj94O0UYx+CAvTgRm3M29Qlg8VLqJ4AHh97eGRlLiFlpfanldWBIj
hMI0dfB6Eyq4UaocWJtVp9RqKrjmM2xAeM03PYKI8tHuUJfvaT2byYPWTNY3ZL+Whp0vsvLDXPbo
ZgO+WFIca3t4CawikDcsTNICTxsN93AwzXfSTsr/QiWBlgwpFKiIyDBhuygtiY9SArPTn5wugVcV
jVqALSEKfgMTz1+HIuFUYgHpK+5lMzA31mrHWInhb6ue3csOdXTt+z/lRExSYyVkqjPYrT8VezC6
JX2TDF4yK0Ph1k3XB0+9Tbl8Q3tUhmj1fecDiaCPXqaPv5Ckq39T2Lc/h9mQgs0c2LOh08TwpNjp
jIzBaMUtIbS17iWqGfyeMK9/Q3VQvF1eX0+tdSaRY8APlqABFc7QamuXOUrMtAuVMeZGcR80YUNo
IzTlZG/EVkFP3mj9/4YMnTMVvBb1JL3qDyXUzdtJL2W3D7S62udEdl7DBZwgrSjpSeBAgOWWqjal
t+PFsgjtrh6BR6GTaOS3iY6Eejv1RoeJQot/NZmUv8BJlqTYonNSYfELRhnZQ4V0Oa3BaAbUmr+n
KODgHU9kAl5+dGe2Jhb9NUfSzVDpF6+tcLTWJkv0CGVFYsT5fTIhWIMJEDihOysV/SyIXACrfdu3
6o0BBlWAgTNYw/Jyya5pY73/DztO/aXvGyLtQ9MnSHHp6j0Zss+RIYQjfyAclDQnZsSQzsaqKoDL
ihMmh7akm7aBqADBrOoqoKOXf92ZfRfGe6QAiAI43K5LMIYEuZzNlEAwRtjblEPGYwYk+Pflq5xu
TbD3LQNQZ1uiYmA6fsXRxOjpR66yJLARuBhAu6ri3eWLnOmvHV9lPZBozQ6R4CrZ5ufz5vCx9b5+
vXKJaz9ktceqS6sjaptLsHXYpO4fZHfen36Tb15IoHaxXF3ZSH6SA4/3Wce/aVXINO0AOELLBYnx
9Ga3dctt+qAfgNm4upvvqgfnUeyBs96MN+FO2U47Z0+0nye8Ymd42KE2+cN0Y3u1q17ZsZ8OHHAU
cjlkgV1kZlltcUWrt5T72bqVOCI9q+pZaXTnmtXwzPNGJ4WLjiHqUGVavdK4QZ0YwmaC3JvWB6M1
1J0Zj9mXpiwK9/K7PT2Cw5JE7UixgBKdsFZPOiG5gHuoU7TKBYouY2g5+NeR+r2VXf0QZ6S4bjpg
I6+VUgfDjREHypWXfaYRuaBMbAyfFJGZFVenvthx2nEwIeBPLZmKlDQS/SH3m/63Oajd4+QPAFv6
THO6rQQPRQAqAwMgrUhv0wABCQHkWvhes2H09MGxlYMhku6Z1D0CbEWz6OeTmi7Htc9uedOrIYpH
UzORlNBCtp3Vx01tkXRDh+ZCuvQ+tdaZX2xixbaVlZPt2ncTElZV/JqTOfqBZTPeTUmvZdfu4vRA
QmOIyBvOsuwDTjCgXQkAJwDgQgUl6f27hBJHtbWgedA1Mho6nhpHEmKRrRydW2rXaPPLeRzYKYTW
1zrQ5Z/Lw+lMR4CzEeQWyZGMxtKaUdinIPWSGMykH6skeMjEuckaYkTJYundQJPjbUyywkHYleol
eTR9aeNw/AbsBkcMwSBPVu4DLMX079FFmm44WyUktfrmHqWKfCAMU73yASxz1+o9Ugvnk8ZwQHlm
TTMQCmbfgUT3bZ/ocgFQtAfEJdgcpzl9lVp6rcZxZgahe01vSLD80Mtefdt9h80w86H+mtSDHhHL
ljdVCwn58ns481lzGrZtKqlgCK31QTUdKpO+jJ2gFzRCx9U4PlX0Y9vkDWyCxiZvHkHfV40J6X4m
WWYL6zj7dvkeTp+svYh0qOsJOrPkvB0vf7OVjhNduRjdgNN9j0Rhe03aTm/GbOhwpkV05XpnOkSc
hSlAfMoDEDas5jKr13PQhBSRq1jYP53ZiX8zt4mvVcwpuwpT+WCYeoUWX/ZuGxvxwbfJipOJbcgN
wXcakrgp+SLB9B1y33G2WZebV0imnzWQ4+EGzYjz/9I9oEu47iA7XY6mTKc+Z9eFKL7E9jCHXlY7
5i9TL3PSFtBcfFFF0vwg49txNugW0QhaeiEfEDgNNbJAnTiOGdkousJicWHRGKn+IxYy+ErMSfWj
7nB/gW1ojNsQp1x45Xs5s99A+czUxVul8MJ8ffxap7h2tCCkkNkkBZLQHGcFG7sQRZ87tEsUkD8I
sg5s1OzPTTcEb/AUxID2W/YPzlQX45X1Y/lgVk9U446cZX9Pm3xd8SRjtYlJN4XZQIf8psXjhPWp
lXd0Ka6pc074jhLA2VLfstEALJti7fi3a3o0YfiAlNjMsbkDk97e5rOZvhhWEr0IUC/dhkU22LMu
kJBui+Yp1YmxaYRZ3lg5XHua/flj4rTOktRZHBQlnm8Eh7LkSiV1OdisHsoCKoB2yurA9Lbap7Qh
QtAWEiVRKIP6oRMxi3tPbe+KGLqV1SghVta+PBCAJq+M8HNfIVsJdg22rgH2WC+MnUqM+KwXBC7q
XSl2IdmJnFXR7wQo9QrrKcQVgAw7nltkjlbl/OzjfvjmqH2jej0SZtKilLy5Vxq7I9TVsSp8WITg
wgQJaqFfGc2nszFgRg5iOv0yNnTr2dgi7GUOo4iI5sRO7yluBK4p6mu1/3Nvg4ook6BhiEUOdDxs
nIqjO0yAZGsHRf+SQH0HyCjM32M4ml/aphqXoSTJC8DEcYWUc+YIzJpGcxTQCABtlp7ja1vGoI9y
YCUgBbfac+Zt72J8fmTvKljGEQdBB3YKf9xhAJ6eUgc5yyb29eqbLAiXsSiUPBtNWF+rFZ+7LwNq
ONs9ayn3r+VngebUdDGLdEsNJZZuhunmpZipu1iJoyPD0+Kfsjaw2mQate46F69doiajZ2S2dfDJ
McH+FjT/LklHx8BnQ+OEVYQv6PhpwQPTyiTEHTPH3fySUZjxKB8aRLXQj7y8PJ6ZtzhDwJhc9DcO
pI/jS5mTINQX4eG2cAA/1GWXuaTUJQ8FES9XZoNP4ufxdAC6xP4sM3x2/VfzVuh3vPxQEilbpnJ6
wpaXeQ4t1/gQiqAk3rTrYFGGJXYphVQ0bsf0sWw2jv6exDV1myKbw9cKPbDYRGoXfiG2IUDFbvEv
XWkpPW67eK5uCRud3mfgAgUphhnSYsvJVOvR7lvd3LV0o36gSBPvgCSa9xRD5JtQxC/NKdU3LG7q
j9psbmmFpjvyfJLeQwodv3XE5r7PbcXn4bdpFexJRG7UnR+1+tfGaVSik4iR6zdtxfinuBo7s0sM
IFADJVXYDCtlb9HAUrKw34yl4/8RA37EfZI6I5MTXblus7ReqafkmQOQQwWYTWE/J7kYpHpLERgB
21vk1xpp7VYw/vR99M4bNo3TSM2on9+NiTw83K4Yo/jPSazeNK1JMxi33/g31ZhP9hIpzoST00xf
9cA0rx3ilqGyer3oLTXC/+jZorNYLcn4yzFFSYqkPE7/0HRCurImmapMDO0GVkiAhZBAv8vj98xE
72iI7hCR4/5RYXEdD+BkGLu5qdlQORMeNgOV/b2BL/3LHKsm9drRMt0G4yReB4X8SvpcbiTSbp/q
hBHXqjPv0ObLQ4AzipOdWjn3OZW8K+f1M9PMp8CdQHj294gxVyNfN/xM6Sivby3M7x6RnyRNERDj
5cB6f0Qk8DwibLdxddCA0NmYPhXKpNynvTnu50wLt4ko6BhcfnL66adPCIQktwGEGcW69fvqkHQT
b4WpkSif+kGEYwxaC9cTWfCZmv7BPj2OFCvtONqRVkhm12QXkebZIhfB1u6SkRSpkdzpDQZ5Yobs
NAJU4pRF/BpGC+pbUQcGQ4s09kEXPVgTv6wVxRUGRAssx5xEaXvqg+HKqoucG+zxlkkyF3CBrR05
+u9oHrBWzkkSP9WT6f9q2rzrdoFjEqgsteqWvmT5UfHVtFcqTWcGMv01RIicWKBvrbuyuEUCuCpV
s5WzQn5mobe/OakKEpaIj4xpt9HXCuMre4CTt2FRIEZzsvQt+du1AtJvItTE8D62dapkB9+Km1s8
cdkW6/i1verpBpIL0DtcGpacAJn2j78Z1lWaLMwuWzuH1eT5ZED/po0hXiM/jH8osmMHaQRg2UGl
DS/JoBDwQI3SeAg1UmRqTfw1607dZCTcvRqVNf0Jzab9Sr9gfr88Rk/r05RF2RhR4Fh2+SgKj++0
9RvDiCpi34LGsOmNk1Goe90wDcZOimqKHkTsFJbLKatytnEeIZjwtXGg0cm+jfoYSMV5G2TA24kr
CIbhiRyC6srX/SloPJr4LE55nG9VsYjMWEePbzJv25K3p2MwptLw30jt+O9kZJifnEzz3y1jBolr
jeb0Kyjj+K2fiT9aDNNscaD92HIb4NUET2mlFX4jMWTBQe1LlMtDB7jwAA+SvbuznNCk0/ZPCMzB
AlEwsxpUKiW+LHAuSe8CHSJYQaPBWWIrQXC5d/RilleG6enBy6JQh1yPV8/rQC9z/GOl1ebWkIxY
4ftMHvpYhPdqJeUuq6Aw1Shr3Zl0Na8T4LXCjqaCg2/Vqwk++H/dCXIwPtClTruWfbYsoHqaM8WE
XfZh0x7daEazDzXlNogCsdf6cYeW52BN+eBWc0anLXWuHDM+J+7Vq6dsyYKHQhqpwfrV+0xURWMt
96A1wyNqBlaasI/VDxO8lb9pgkxsUZHAG7NUelABPJZBFcSTIH74sqhM3CbM58OQ+9ZNE4TqgyNp
TfqQFu/rweh2Ue5XEGzGcZ9WFIYmn9oeTTYV33ySesQv1DvEPoGXVTUu9qatdnYOeqBQW4jhha3d
2XXdvl3+KE9nKn4o3Rh0/osE7ROH/T9yETI707ZxDDY1jeO/wlxlj1SQdpxOavX875fifMtA03Tw
UsZqdwo2JqnbCFNEJ2n5idSEU9hivMYkWNxcvtSZV8nhi9LLUsTkl+mrTXdrKVNQoZ8jwNPw3aSb
cldNm2IPf1rzNCMYXAM6g74xBx+JJTtB18fzTTQOH+YgFjqXQuwKfUoLV6MeG5wZlOB2ZB+07Yei
etd07JSY7iXfeJi+pOMYPPtspjwSu0qvScoAaKqM7zSjL3ZjknU0crtcPejmVB1yAj3uq6kor4lJ
TgrIFN6XRW7ZPqHWXh/RxQT5kjJhtk2syfyjhnmauwCPlC9WmdZvToHSZIsms1f2KT8Fty/FtOiG
czIQziEtaSSBke/YG9SK1u6S2XC+hrSlS3ccpHpTChs3ZzVYYbYpkCq+aW2p/7r84k4KfPwC8mgo
Yi4fIaf94wlJdzjoh/OnbbaPHkXnj08EmE0f1uRQHJmja/POmeHP9eAJ4ONFNrXeHeAZG52q97Ot
qvW+3Eyj5W/lQPYfliVSBC//uBO2PFBWTqdL95gdLh7l1c5RRpLedqLkW+xy/s5um+4u6CLlrYPU
c4c1Fy5lgnt0Myo5ueYLNGZQQ0gSnaixhea22F++oWUTfzzhLY0aFmRGDcW39dE0I+VRcxLQmNHC
dKpo+++VUNOvXOXcz+arN2k/mXS5qIkfv1QiJZIk6zEmFlNt34OID75NWpVuMTOFB4zshkvEqnws
AIF9mWRGfzrux3tjVHqgdmP9cflHL0No9aO5D3pgOBVpiK1J990cDQPgMSwjYHE3QzdQLR9LbdfU
VXdTNbrzVw0cNimXr3rmUR9ddbVLw8aR+BBE+P4cNCeIcFV3CMfq2qPWz/04Ni7woQGiE0hy/Kjb
NEF3CiBl2zX6W52NwffYqEIPYZTc+k4UM+1G1nuEy/ClaafEm2SR71I2bIyxSXyzQ19c0f6e++Fs
hTE2saYyylbFIpI3K5HrIS0zgb4lMBXjxoAHf2XCPz05ovnFduqwv+T8iCX/+IdbkuTZsHfQPnBI
/N5kdvMcamJ4Aysd/B79SfvQSq1NvSLL8r2Wzdhpoa6wPrBFCzeNnqTPcYU6mYDSSbzXsrUstsRR
dM0jeeZxfC5+iP2XXsq6gR92zEO5xQsK6KWBonLSOzOpjMPl0XZmWqN0Df4YrLfG3yzfwP+s6vhy
Jo6DyCAmG1LR3EeTN6cxqm/TEe7lS537QWwfOedI/HK42I4vZRckyQYOc8hkBdF9PqUoF2GBzi+X
L3NqseUI99lQpmDOLnEt7DaCiGxzCTNnJJjjBVmZIFVCA+38ilRl6Hdx3xT2NupDIk5lV41Q2Qqr
9FKzIS9V6UqSnOMsW7hJBGKVmwpzR+b6JRkw//6l68j9MMMjO9ZPXKVEP0BEI1F3S4p85NGjcO4g
v1xLtzrzhilzUvzFM4A9a60wL8JCs9uIYmYsghy6mtp4uiIzskut+donfO7Zg0+m3kHkAfXedYep
NgDqhGmGYqIcOA0sR5asFvlTnlHvTQsBdW/WZ9fOC+tB04ksTEjo3fqBdJ7mKlDcTu3Z/dZO+3VE
+3Vl237u7vD/MZcj9dGpeq5WVVFOToh5LoezWfvdZkZq+kebA/MnW3VhP0zsy8xDDHPgsYx1WXht
mvfPpm77EBj4NHwASWrWbGxrBH6rY87PN3jWxTVRwpkPxdZQZcFspIWC5uP4QykCmFmLemlLnaI+
dBq+2Vm/2r0/swCww0O1vEy3yMCXcfM/X74saPHlY1dvc7WG3ZjxNYyO37gaaXw0A6LItUBlPcZF
Ez4WcGiBNztz+AGG9n0Wiu4iPiqvzc3L3LtacQly1HBxL2OHw/XxPYEgrdGz0i3uC2v4WsoWj7ta
JX8BJM87OUzdDWoRT4mzPy3HaU+OTrkfKJJ5V6aQZZ9xfB+0riTbEIu6NTezWiOAbuYVbFgyLqK8
ei66uNhXfhzvnV6rDi3s+p+yTNVNb8fhW0xKOir44Xdia1+1Af4NDmkAz4L8PR2S6K6w8beNHMi8
Vo6a181JcGVmPd2o0HYGO4ODFsWXNFbjGo6sY5Q5b1FRUMK2TG8PwEqdu1QfiR7CbrdX0sG+0tw5
HaWIPvgwPp8R1aTVBmIYCDAfkq6i/KG2D1NhyEdUOvLaTvh0n09DT8McvDgUNDbfx0OiDaLeTvoG
gpLvpD/LVteeiWxXv9vlIB9hJ8KngKnm/GeaIbhWaiqa2OYGKCkAL376ZoZt+LPBif9YAWpCrNuM
YAhJILLeL4+ZM/fJMYTjFJI7Wnnrd1CkXaO0almxexH+TYo9bKeEmf5tyBv9B4L1a5E2Z/YxJGFg
9GVjTlQRHc/jBwPfNY3YKnNILrM02cgemTUrCoF9qZDzd1urA5Q5ppb9LGU8fSHixJp3ltHrhUcN
NvGaSucfFGxzYq8Ow/K29uPkjy0MNgOXH83pCrQsbqg5OWqqrP2rXf3SayGnlIqzwLlAdTUIH4OW
wkWXUJv/90uRAkf1FpsTp7XVQ+mNqIsjncJMDxvIA0NImoEd95vJHK+10M7MEcybWIVobvICzNV2
RmvMaZQFHYi2kykqy1l7pm5g/5x1LbhVHHWCpgtNmq1UnCrfS17hlVnqzGNFtsaubdlOmdzE8QAI
nCgFHqgCVBB15QVN77i5zJONI/vgyi7xlGBlgZPgQlA72CoiHz6+lp3HyHXkci0/ye1tif76D+H1
Qm7Al7ftJhl1JdtCj56dHSdjY/AspqH5pkxN0PSKAk5ywz6TOFezchQ4sfTItmZmkzMOYa7WDgHB
gWCrg67ynECrfFchc/1HaYKi3vQI6R2SBjghXBmZZyZOGsC0xRHkYhBem4YiJSN5MvCxYKXT+CEn
tTjY2QB5EuTxV/QiaNvFmLxcHqNnJk6yeJBvskulY7bOcrADinbpzLNEhOF7JYVG8uwH9cpp6sxm
5xN3sOjhsJmR93H8ykbRDUkjHC4Da3tTZ5D/N2oIAVKBPjBvInqvB86ZxsGRZXVbqgatFSeOPLjq
EnESLA/0e+qm7WtrT8p8UF2b2U/Hr1QXfZZgbFFRWX9AVrjUUFPsO5Wa2T3EY9NBWVka6I40gfY6
Dgfk/WGWmyphEbq1mwJrEAAsK9y1puZbwSZvUusHdHywEX2IBChUk7fLL+t0Wpdo2GhB0YkgEm7d
Z7RTSX+qVPEYkWrww0xDbBKQTdzJBOK6aVMz3F++4GnTkIMpf0ExYSKjDbLc0f/syxK8PX2rEBSa
FZXuAQIygXzH/baZ9OSDCZTYztKvbU/Esro10nHY1Q0Jh/2oB8+d2ph3tJz/Xd1GDxPPvkFNxqRZ
tf7+9dkO46DTlE1NM4SAlMa2fiVlGH/4fPF/ls/L9nBXRfkukkVmoOpQqxeKU1mx832bKAKWMnrY
USP8dx2RKvQvMhzi27ZXWK8vP8HTiZk2GjMiW2gKKby+4wc4VE0zqLWqoKjrSevom3TYin5QXjE8
aiAAVGDsakDazdYPMWZthKit3eVbOB3ahm6i5aCojMqOCuXxLZTQbNlew3FsgvI/S3HEndPpv4ax
av+VcUBskYl0lEUVRRjK1OMLKSGFCAYTF6oHfytEEtMppQNx+eeczljM+hxHJJIquqNr27nSKgBE
Lc45euKzZaha+KMR0PV/vQpzIiMMI+EyFa/NlMY0qGrbiGRrNf9H2Zktx61kWfZX0u47sjEPZZX5
gABiZHAQKVLiC4wSKcyjwzH43/S39I/ViptZ3SVKJvXNp5TxkjEAcPdzzt5rt8b2Ii/cApFMf1ME
/vhZ6A24jKH4Wi7zhXffWE85fKG1k7FaNs2J5l8f+YQHxL/+LD9ZfZkJcmS9nA44mfvvTgdjIJVl
9Anm2rkMznm3zG8pTWX8S4BfZrk6T6QJFSEGW2J/JfS2ypBTBLSU83QzKKDCRXKqUtpMsNy832zn
P96eFAkGOmmKBgrA9/laLMhGklQVTlK7f03KyoRGJqwPhV+Oz7/5Hn6s6C4dDnZXxnUOT+W7h9GC
kshiUWohyVbj1hiUUYaFYYqjdNQQjwUTRQYtjrVx9cWMEjcTD1IM6SPoY/Mv4yTAJlDX0YLis7Pp
v7smRUNXYGbcw8aGcMHW1XJwzbT8zRH0R0oHn5czOcskdw8Wn3cfOdXkmpQ9OV6NOZQfA/b7MPeZ
r0AsRoVi6wWNByjz5TjJV4vCMYJvM3359ff+4xWmW0/NxP+wmEOb+35dwJOMkTHHezZBIttmKyUg
PQsJ1r7/3bf6kw3rwt8h6pfjNkGt710chOGxztZjtfGR/MrIaSs6aCqvRuNEpAja/zlznG9Vq7w8
pE9ln43+oolxvL5RoU3Cq4lyaSpIXUR04v1mM/jJ4JqlkYULSSPh6NZ7W382j2mWWBWlkGPn44YI
onaHHzZ7UIajfQVlCkOykiQDLMU43dpNQcKPQ5hueJlF/GXaw6XZx7NgXgTYsH7eXRYiGqpMG8t6
IxZZoUmz64MLvPqv7j4XBSGeFtqK1IfopL6/+AafRKcebXBh6NqXrsrbE3NwtfUzR/+rqykvhdDe
h8Br83rvrz18ULtj2tRsgtnKoqmw0h0V+V/uHIPOdfADsq1jpuQf33+gJtHyZZ1Bn6d51e0XTugb
b/C96NfPzA/nBhrqtJ5oQPHgIg5999zmlacWWMDtpvKb5WNf5tZHC2Tro2cJ/YB22Q1TVx/2CzBz
3Ayq/etXjSbwJVmSR1fnTXz/IfNkCtrGpYrihHVpnQYN96kkSqUFBfzrT/pD2cP18i+C4Msc//Lk
fv9SiMPqTBOkyZlmSypPHTamQZjTEbk0GPLf5upd7urvumkXmgsXUP9TdQYn6fuXEwBkgm6iEq6x
hYds/k3kkut66N3ZZ4Kp3Mgsi2kH287aWD6hNhi9qIl8xAxGQOzahSZwoVtPH379NRh/Hil+fGdM
CZAAMHB6vzv5M5uO3xPrQXuA4IdZAkve6P2g2wgqzDnYOOVCCMRSW+kNb8BtNyt68ZdqoA/H2N6y
X/MUleEuQyfwokZrPTGTlrseSoq5gQhkIsSvG7a8tHNWyAKM0hXqn0CNbA5VjbY4NeQHBBXuiCml
151716WdELYADOoN7VcCtDJjHR6yBO7xxk5nG5XBOEMo9oZ5rY8cPhF+NizAG2zftB31VCNqeZxJ
fomb0S7zKOO7vhZakBSARiZxkoCqyrAdwZ2EmQLusMv6QsGzR6WKJXtyh2vmUn4RCnDuM7pRaWWb
pDe1l8LL51OQodjDbZ9b3KRpSiC2nD3tuXXH5in1EpNMu2H9JD1hvaZFqz13eu6gE7CcrA2lWXpY
bQ2pXROAq4FUsOcOyjOno/5qujCGom4aof9ytgKjXOoKghLqmUI7KD3Ld4sN+2hXp26mSCnpINr5
bQdRgAw4PdKEGTzXSMzB9FeW+akTDZREtxnXK+x4dRFa0knGmybF/rUxjdRG/LwaHabOKZnNR7sr
aj5cDrY91V1oCqbdk75QMPsEHcCGfdP1gynChTPLA1pgEyv0og8fh2aum0gGI4kj6HkHj692UH2U
DJfJhmOsUKNE4EE+mddOPioiCh9q3c/8TdH1IyNV7pI08lGPQQM11aKOquOEDbizqRk7SDY2ogbo
4UcTWNYp5C5zHZJYK8Z1BAERVLU0HYQ96mRziXjjbROVGCdfCyUWnm66nmaYLoTTWEYbgKUKHIKC
EGbJRxnUigI/nThl0mAuUTAvc/tKpSaX+0CX/WMJ/Qu5IOIqjcwxm+zkodSNzWgIZNo5B6gMnZU1
3TZE/aLhrhdwCJDH08tENCOYhbw5aBU8T1mYJrP3EXxI0W6sLPCvOzVMVxbfprGRHs0zYjrseYkV
14q4217NXJ7qkjXAzeitoSxKP14hBi+hFD1r8a+Xgp8tUQ6lIqYA7H6U+98vUaiAFGNjG/Ss3vk3
bVMt90LowW9e5cejEiuhzyrPCdG9bGjvthh6CGatZwX2lLmKi1ltEzsg1ld/cFJn6zXOIxKcq8JX
AJSwX60EI4Z9qt8M9fSb7tAP50NQUKTMYlxiIEjx+G5JNszOH2cT509irckXPHgialolTr2brL8p
hX78aoGr0efxQSqx6QTvGviz3c8Vx75LdGnn7TqrSr51wvtddulPXsW4VDQcefFTMsz+/gLawep4
griOjeGO5Xa2U/shz0X6m3L7J18bZxAOlAw9kIy9Hy3DJCe4poOjOyRTSbLEoLYEcV2g7N5vCqef
fB6UTUwpkdtBEX2PFRwsJuMe0dIbx2d/LHNv3SYdotZf3/Y/Cm64IsxD0UNcNmgaTt9/bRJ3jShy
kshhZA+k+jToszdKL5Ufy6RJOhgJi+wBncBmDrVinZ96y53bzeLMBVkTXS8P0pLV9JsH5SefngMy
g0CXggL837v5m8j6ygZ7DrJjaNwYI58flwYgnV9/+p+8Ct5vZFaoXxhNvP/wiVqKoSgZ2QQpmRc0
HzhgBiS2/PpVfmwFXEyXCKfYNIGz0nT4/jsePDKYKtfrOLMm861ZElQTThbLN8+ftWGGlsUr49U7
YjAt3Btdv2Ui61zTCAzuBCmzLd119YaFrWjYO6vi46/f34/HXr5lqlQaIoHDJMP8/u3Zhe8qWdF3
MHqMhZv8gv3mUWWtz3P7Ti3O+hHFHwAoD0tjzXjt8OvX/8kzRUvRv7AqOJAiyPn+9UuzFyRY0gZG
XGjt24boViKolo1eQfX4yy/FYJ2WOx0zCqT30mFHlu40F0a3wV9FnCHwkJg+Mu6zwftdy+zHLsDF
YU8jl9nCRUD2XmFJ2muVkKtONVGs4pCRs/JYqGD9KHMn25tA/m+lNMq7NElzhsOm+4QOqyh+c+/9
STX+/oDLu7DQKSN3CLCovru4GWMnPcnRwriwwfLjmij9U1bK8Uvlr3xmTBneGM793PgnqF7WYz2U
Q33SGQVCgUNe/7hqjnnvC7e6BXNmDhviR3tgKyy2Vjgph760NWbe9TDXthMrNeuv5TgvFqmcKf15
kjfqb34yD2bUpm2mhXQN3d/cvz/eP+DQGHVwgAckzbb6/f0zFu7SGckK1AUGVkR1YW+avjA/4YX0
f/NSP9ZNl36ujQsMpwlayHfLkqN3FjYdEMurZeXmcdBN5Ydd0drXvsVIbE//oUPQPTv973juP3nl
S+MddwpNQoa9717ZHfoVKAkRPIs5j49NQSaIbSxia3m99Wxm5bK1k/4vzz5QnzDYdHHR08r+QZBH
TIjg7gH06ivB8AgWhvMEmcs5iyRXHGHK3xmH/2wkf3e7XnwwrPdcRiYfwfvxbUlZoUNq6zZlafT3
NdBPd2Pgy7S2fepL67CmVjqQZmZpaPYCLH5+2VX3XtBIVtOxym7zOaGgaDsNOldFbfPgjbUd4Ycw
+80yQMg9GLLvv7aiGT5k7Gp6VDtZ/plcowCeKWEdtwKrMkGNja9PhEZpkrJBK6q4S9uyvFqS0tVC
AhN7bE2yG4aw97XaiJABG1pEpWN/07xVNPuCxGTipXsBG7cfwBDmqlw/DdrgZVGnikTul5TjSdiw
Ssm/usoBOedRZ7SIhobK4vLA/I8B0uCAHYGXRCaXEuKK1pjEY0DEsI29IPr1gnrZur6/XohHL2c6
/Do8fe/npykmKV/PJ0kL26vOpYnZ7cLaGoj2TMf9RTOF78Ezr5O2hOz369f+YfemTQIJF9ooJlZm
E+/2DZxaGtoQBfSEucgROG+/4Resf+1O/+vr8h/pW3v7rw8j/vmf/Ptr2yHlS7Px3T//edO9Nffj
8PY2nl+6/7z86v/9T7//xX+e868kbLbfxvf/1Xe/xN//9+tHL+PLd/+gJof0dSffhvXDm5DV+OcL
8E4v/+X/7w//9vbnX3lYu7d//EGcQzNe/lqat80f//7R4fUff8DX/R9f+OXv//uH1y81v3cvX//P
/27+9vpW/e1eDj/84tuLGP/xh+X8nYf0oqW9QMTYULlI89vlJ6b1d2pDZjlMpWj74Bv5428NxXf2
jz8M8+8XgSbsGiarxABdujKiJV2Fv/d320eQxuW8CCJBk7p//PcX8N2l+n+X7m+NrG/bvBkFf5ja
6t0NCveK0piOGnfpZdrx7nzbIN9oO4LoJo4/MRpQf7jSEl+cdIJrb+Q0U09nhEnCfJzjoc7EIU98
cwd9z9kJD6soXMnxiKEKEcKKkKETTM77qdr3mQPlDttXLevllPb2wSN+EPsvPqCZgKJiSsw9F8Td
Sw8BeeJobynPakj2tM5QcLkZ6/rO68dDmWsfBpaWmANCHWn1+A3dzlOVdzep4V1PZmWH/TCtmGuT
w6z3zjbVnPLWKmrzgQTUy5Czs5aT5uaFsfPtcq0IOBVQNvU27wu0L7Tdw7Qonul6FKcJn3KIxDc/
enJ0HuiHkk1ZO58d+5IFFhii/drYSe7FLl2eq3Q0jX2tMbPddFKa3U7gGwx9vOMRWqo+nOdh2vvl
MByywWyA1brOi4WVcK+cYdwTj1x8NGmo0TKZE/+6zrtLsrpF6AnQjGRfV4SP1qt7pAdhfgYnOodG
Sd7Wdp6bG6aNJHWP3ifZBOx0BF9dERuG7p9cQzu5TZbi2hdyl6XOwRtooBXmvdHCl3Sm26Qwroq2
u/O96b4JQHTThTH7fN0gpkaDUs8PzBrykGO3FnKbSmc7a8H62rTBOclnsmmrfJThUPjpFogHXT48
vPeFlG9dljthMQdHE5v2Om9areuY8LqQiKtvY85n+rw0BI1vmsmuKAsD9bRoRpHfFLmp+2JTq35U
XWwlHjG7hB3mXk5S9EL4z16byiVSs+eQOm+YPW7gZqlqo903CZKEzQz5tf8khkF/IoPGya8qerbz
B8AKAE5mo1hcLqMfKHo0eeKUWwGeCoBp3dj1Zl7hk5aY06xuG2Q2JneYppPHjaOJvhSxF2QW/V/l
+W+zWzCHTCzopeEwau6DMSzyQQjLf5g6UiAnxRFnrW0/A9xaw4WxO2QHgynv/UUGcarG9OQ7TXuj
qYEBv5oqDzdeNTEMWtvqWq6+dmwIu3rUVWt/qsomvau9pIKYRnMy27OFOvNRKeIasVit5H559TQm
cQ2VaURAYJZS3yDsy6xqgwy3Co2unc5a13Os5NxVDhi1cux+TmNxz9nc9Duxru3e16DTzvbF1dyj
o9DoRdop8pfcgBs7gyfqYbeHlpepY2v78pzXvXtbaktVbmZvru4Tv5ZxyTAXo2FXl6BqDWM7G2Nw
8I1eQw08oZsLSwabZui2rXjWFRQpgYrpGWGYc2JyoR8XI8jiJK/Kg0/zVTKBOI/okvaAxZxDa9XD
HcFCxls6Lv0d37ONhXEathmhR26ozzw0IAbkdJs6bRGPOvlyoZnVYoms1mx2k7d212uZFofAzbTj
4urtJ1Cn5Q6adPDNc1ptM41d+zXrG8ZcTLzideYCzaksIt4hsd5+ytyOxGv0gSR5N6ozN+PqWDtS
5ZZ9kbZIJmVFmoDbFvYtcG93o02ZiJxqGq+6WdLtzKrpOgvsJFyyTt2LPp3Iacq9uzRXzomhmI86
rKmmGK/kunUm39+sdYCXrF7tvQ5cI0IWjg020FTUwHGOcq8jPzDTUTM2qwni2NclipiVUG4y0yNd
rAUGf0cQU+XVX3rlazcdyxNRS9y95ZRmlCrclRth+9w8aq61qKYv6R77YrZuiUEeWE6TZodvLIBF
1RqbkgRXS5rsCEmrbkZzfEzontF+Tw5AAsJZw2+pfONr0fmQiU2n2M1Nv2PBy1/NsnwjTDvbN9pF
O506Y7RULKBddYJovxVMalllWj0egY1uutyeQ07WfSinoDlTqO7msTG3QSmQ07VOGqMWNY9TX7ho
ARoxR8jB542dJ3wDAb+lZtiE2oL9s6hORM/uc+l9m2EW6wk8YaATuE/RgOJWokk9Z7b1gVLTiG2n
+OabYkeyzy0lVR61jl6dAHN0kZ7w83oYSqhOBCk3XWHu1HIB3DplXPnOAyfsBGu/oiGlT+JuDCYi
6AuD1nSVNx95ukKukrq0EM4X1msok/pOH1lwM4vw06RXLxfwFLGUaxIx4vuyFPNTUy7Pq3IfyCs9
eCVAgHVYeXwDCR7ZMpZj7if2qULXFSdmKhFz9q/sybeYDc1T283dxhzM21x1ck9To7yktt8YTlJt
fa9juUAfHLuXIrVt8hCHNsQWIgyaUjsPpv2VfEemvKKIU5BY27QgUBwG4SGzi+skpVxmgPYxacoZ
ncvwdZ7Ht3QV7an1+YbKSYuCSt9qc3ZXqfqsS7Jx8ZI0BFd2I+TeKY+TlR3Xxzg/+JExOToVqf1V
XNLRl+y2TPVnKZcjhj0rWibuuK6SH5TmHwmHDYkWRp/sMl5MEnIh9YaJY/c1scSr3Seb3BHP3dLW
gLzTLcOLccNAHYCNrt1O6XhvjbOGHniYT2UO924hR4mg0OaTt2T5BssXdkwXqKnXQhbxmgfB1TnQ
qcfySud0dMqPhvLssFDpNvNWM+zzWkDsT7WN26VLvPhNF7mFhpWEU1k4N7oFz72iInKY4h+ZHDlX
XsXy0pu4WIG/b3hPTUhp/AD8hF2iUnuEMXFZs8+kjneDweBVVd5BC7SdNblrjLYviAOZ11tvMB/z
0r/lYnzpLkHzmu3uAw2rPEPceHLz8zwg4iC5+LXM3c+VZgO18u9NaTttKMA6kizXQx+n6kqL8cYd
Oz77PHx2hJU9YXFgTLM4/R5YW8dDNQo4u9X8pPxVnGcW+2uLbM3HAvIMG7x2rMly/Ja3KQqdDglz
2aYWerxuW2S8GQJME0rM2Y/WIi0fDLgWMQ+2HSk5PJR6ctUItvdxNrqtm48+vw1YPHcGeeDzQ2rB
cI+GuDq6ermVI+edZCLjhI5He8YIo6hjfRWaRltuDcnKgp65ikwzYW0zk+bZUGsSa7U8oqp5Gacq
34m6bQ6i9LfDLIAs/2mRLy26ekVivFWZaCO/dQjaTdbNGnjfJj1/UrqjUIfCRInaRCdhcjKNh6ZB
Pkca8nPuG/R6q8C/8kXpRgO2knAS3Rh3vZ9ETso4D6p/c5Z6cPZLmDZ+299OhrmcE2Gkp2L1rOPi
GaR5FiJe8qn4rOe6tTXmvjiYVVndFKVsrkdDnwk6XZ7ovsywmmUZCdbjAo/xHHwj2laXRIjrc42j
KBWftDV3NnoA5y0wtPsg6LTYVqb6LPjO7vWkZqVa5UJ6bUZXyIAG+OAhOEEP6JnjrcwkmaelTUDQ
5XTq9nHDfrkZMZ0T/pEHQEcsGSbK0A9Eh6cRfoGveLj0+6JbnwURxdcJ7ehb1fcsgwkZV3VC8nwJ
r7FycUgvq01uRA5OCg750mUfJe754zQt1alqjAMd30PesByCWC7us8Vv75XVfYbbPp2WGjEFdJQ1
ynpjPXmJW25LQFjM2YYvemEUOxvO9z43kjgDZDwJt71icgwCKTF26OtZOpNmOzIFPLrJKDkRTCTz
vOhyuney8hlSRRF1AIfs3AzJb9g6nnYWZRLlKvAPepbtVq370PyLLGGM15WREe5tEmizwzXHM2/o
CzwjM7OGqKI1pNtxr5Pf9I2/Z6gdNh1v+YRhw/Q2Za5PE76EVl/EvZbZTb5V6wosOEzrxZXboAOO
cE6HznFea0pB5ygw4oucY9x8+eu4s0g81lMEdMSmkgGSDnS/9NQRcT0Je+vAUjgl5rC8JMrzqL06
UoF39aJy5hXDBGCjdK3MjZfFnc9NjdY7ZH3NOU7DQCm9vdeu0Fy3WudhmmE1F777Bd6hynYuM0iv
ZN6Sl2S+D5wrKPbM1NGciGlnXztnPR36+tB63O1e5A0D5jYbwxqbuEaLcDSvCTIuadatLGrBjiao
b2Qb12IWbMYdKTCg1VGAV0QimELI6zqTHlPiEom6x5IkW5eTRh1kAUa1otCHK4/46Pm8gsSqqlAv
hHAfQEzYvsU5oHPfjNlZCFKuyzMslCaNO9ct2Y/Wyqynh5m9ZtkiiCvqyPMr/3GUeeISS1f2O3aS
5dPa5P6LMWKJw80qp5jGcBqLQn3LlU/yvOIgjCzzo7TLm9ZSnxZ7gWPSYN/QpdxnQ9qFyhv6I3b/
CNXhiMKfXZHzTxc2vne0ZubKWj3Ym74ZP0mTiOqhZN9YBp8ht5iiHBZlWI/eE+xL+EiDA1BjUu2u
IgibFAaUzrqpJ7u19JAaTMRIjE7w5E3GPisNK7Yb7U25ozg0pAoAMpJjvW+N/pxONP8sgso3DvU6
oxceQNuSN2Wl2r1mqHRXBN4jl/jWSgnrMrO9NerFxivcj1mbwTVJ5pdhWU5JiV6PxetmbWySHddu
l2UzklGrWCOzAFxWCf8Jr1es51TduKBQclJJ8KzRGR9KN9YsqpbJvmub5FhZ/Sel1SejFp8sr/gA
j/6KedqtLZUTGkMbIzAAVqnyx6rtuhCUSHJsp5GGdlcRjerV3xCV3hUaRwaAoqDs6RGEDB/Ix+oA
fw3TRzLI5HECfoDWmIUXIgBuTSwo5hrJdQ7C2i8YtPhOsdcIItxPHYf6aR31sFzHG9QZExZHNvnF
LK4CWywvFJo60yntm17V2zZItZXzhH+Uus+pVI6Q+aDnH5qcktBGbRgQ6rClHXTAe/Q89c2VGkuK
2Ty594s230xS60+zVR5gHg3EG2S3Dqz1XeWaCGtmcZvyPpn0t2vYZcGHvBq2gZdCi5Tt8zA6L5ne
L/vUos4iLVJRB9GXtaC2LUQaZOs6RWVm8iLe8ky/cggJh2ApLS8h2m1e3HVkqodEjBg7OWR5jDfr
S4C5z7booutADXhfTYxTqo17x6nvwMJnh2q4+KsWSzIZXb7o3friWR0QcG8s6NV4ZtwrM7ZU1+MY
Tq4LNezdyT0xSDFY5Lxh581ZfbW2HrtKtjocOYR25Jl8yohQ26SXujFb5AjDjOzl0XeBtWfpN+bo
cmst7ZNlrtczfuRwUGRxN2C5T4U1AAWBN0Eu9q52piWqvKG7NKc4IRDlY+n9t2nqH/wJWDdvENuM
IV7HFO0avq4QhDU3GuZdTh3TC6lqn2RHLH1deCdS2FU4C+3MQdQJ86w4c40+Yb5EZtKD95FoTSI1
SXrjfZ3u5mFGOUPqjOItx0QUqQ0B3RRAzLD6xfdgQpsmME1rjBes5DSL9HK/9jD+1jybQ22hPR4M
dbenNyQOlmnctANVbocTOkrs9IM19U9iTCk3dAVTdczXvYEbiAHSeMZ+fNESIeMvMD7SxZk+m1a9
MxnntbOlkM6gsISgI+9cq8riqrF7wmhy4qOW66WByT1N6sVmTWIotY7xMEoVo4emLMaXc7DWhdNO
6epwtbtwJB8FkIurQa+0i3Pjo5UhRf2GRx40ShpnjnrSLPO0+hVVqc8kvfEIgms1B02No/MWad9h
yVrPU2dt/SDbopYQl7NAGJhDVCwMAbQ1ucFWRT63D1VJmz+T5vZ0YcLhwuGM5hjXQe6sHEfKDQe6
He1AZjHauSjq7EZvs68ecmqwSHvMYBtwLPtk1XHWa852MBkwa4MkoFylauMLkzJUfCk4ONs0BjeK
igRA9oHHKS7pHURBXu4D0dxITIJNkEb6NCCWJsPUEnBtDLRBi9lHa+VsreJbyVldymkz+BzPCxBv
jT3uvJrjvN8dfWRpYuk++W19njttX87tqRnWj76T7hNvvHeCsggZhX8uneTerGlocKigN7NUaUjE
fXW0uAMTAfhH51DT4KqlaWJEU+UmZyB+N51QgLeUWkKS4x/TjgwTezQB4DYMsgvXJOxovjN7EmuX
LsluMocfpkLe9AsndKupIz/FbT8294OAbQGEAGDBaaxsKIrBciaV+tzp61417l07alHH4SWjo4dE
uSX8xaZb1XFaTZS4GTkTxyVE6dBNWW6q7GkanGNgTkTXsAwI4Z9TM6D7ADkiLDA/HszceK3Bkoa9
aNA7kX+WjnyJHLO8+hzUBAWlDuW+QjmV8j4XfUuG0ivICp6MRUt2CwEodjJ8nQY39g15NRbVqz4u
D+vomlGDyPEuN6c0MqiJNXu+Gko1HXNPf+LPpixBuPeSLspwJ1NbtbEw2/6rlXY7P0iOWQ080/eH
ndXScy7sOe58JyrAXYWtpCljzMOLHAX6MVWfpmp4tko1nxp/vWkdnmrbq+xdAA9ntzhD6FkrBypn
Ww/NS9AMD37pnToT4HRPLWnlGDIT2r3rNH1MK6fe9nVTh1ozksZLwFvuNzerb8eBMA3KYeey5r51
wtSoqsAte25KUQZJ286vlEFuaTLF9YiKo5n8a3NEnGN6hfyAPG4a5o3MVneA3Zma9V7ROgp2oyu8
a6tbjOnBFDITYZPhndrzsDtdrKm10r/OGS0mZKFq3VcupRRNx4LTWWYbUXfJB4yxGmTTLeNEY9dg
UN/a+NU9ZuAV7R0bpJSI3EXP5jut0vPh0E+6B1+FSqEL4qV1hldp+m1GUHTnRhnH1fm2nDmDRRZU
IzGFlZX7Ps3xIJiukDTUxnOrlV/oQKTuySYJbPi4jDqJRSgwDRHWuoXQPSQ9wpO7Ife77G1Ycjsy
7Zn7PJH9UN9bCwQr3RoZPpQSuNTkYNTco4uhcWMjd72vCjEcF2Q3O86hzrpzRl+/7ku9d3d+MSoZ
c3rEEklRNpcn12/L4YWUIbhzLY7sYVsQMbLsZOZzSMDgM1y3VZWS7bBOD203UgI3BEtldB/sygzp
3Sn9rAeae5e2bbbu6XoTw9I4c0XztBmsmp6EwYpcz9txrNOMqC8I6wxMW3CTrd55NPRdI7uZoEyN
F2CHTGO6JOKERT81ryucEcP10OiE55WzPaYRl51QhoLCb0bwXxvLbkpl4yGu7FNk+MKymsNY5/58
8kYajl4jRWis/VZrpsYKe2UVh7YzmoO/FEYeViXk3NDsNf6/lwm3ZlqwnlMA5WFvOloZM5dKmEh6
JpjyGTKdijGF9RxdpIdv0PEcefT5GSfSRl7aWFhs8chwK26ypPGTj4sj/GdBGDAY7cYorDjrsmyJ
JPLemjc3epGrbLCukyrRkA4DjR7KFfNmAsCKtWApPKi4WRYVibnudKBKYQ2HNrKSrtyXqWoirG/1
bW743R770jlzBJfN4Gk8GuY63VWeKHcSxQoPaNoembGe8zQpjxA+gUKq6oVhOrR1oca9RkF1ApGj
R0XpPfXwGDZCU+qIt0KEsECmLbOtYQPRgVU2W3ZIzaydK8tmqxU9jeV2SUIa0JS5CbQQ31v3k2Xn
QEHadSPr/k7XBEMVMA2xYQngsjlFVOP5YFT7RrKApiNDlWHL9YIsSuTA66AhbjUEsJkwcwrt2AUz
dxOm27sK6BpOTlT81iw+0hoWh0XvNX9zmXAeqBT00OqXOUoKzblHACJONdHn8ewNl9ZMMx0TW4FB
M827TJv32HvoOiHqDHVU3DCJr0w5HqdBQmzSKkLNnbRFE5xwrLSWx2yy3ywzm6/HjICZ0Mrnc6UZ
j0FO5pYNnzKkdZDsGIzKTVsEfoi1HFBJqdMIJDIq7IZ+59INalOmLsHcTCzlMyFjra1vaMzRrRnJ
WpSzv0e1QHN/qoItqebNB89Q453U1QlAPIiPkQOMTBXmR7X2sdtp1a6x5nTP2Ek8Ct3FQAhh/yFI
xnOtnK/+nGztxp6PFT3GbbVM9k7grPqaMC2Iizyjt+6k/sabAMyIgm7xJBJr2tTTekDCvR7qKfCu
3MbOb9fS1iJnTYm4mKoniTpjn3PDMxgUfP99ooW67Ng+CqvbuGZHV9RDZCw7JOAaWHcC0zT28MwL
RESGlsB7S/Ms56JfM1DT7+reMuKh9GVEu0nb2kU17xBnaaS2yZuaNSYcsiR4hhiXn6BsU2eMzFJK
3L3XSLUEVVDlnRN7WaGKIkZbq3qHkTROK+I/O7W4WAFmVg4f5OKxF6ww6NUppaR5IwUxNcGScSig
i+PbSzy4A1rqlIEcnZw6FP6Qc/TT591gVtlm9JD0pco0PqyrW3YA5hGHL4vu7xwmOZFBfbvty9IS
obtmLnO0oH71rOYxs5aC06mWMTbzPui9tLeA2wFhL+lz/1/cnVeS5Ei6nbfCDXgTWjzeCITMjNSq
6gWWWQIOrRzuAHZz18KN8YueHtoMyXuN80ayn9qsuypFAC7Of853AmHdYIbBIYR95hut1MsuHDk6
tFK+pWW2bOYWMDOAPFh+aRiNhOqJMjPPYP7JrPOBVEy1geTevHA8d1+aygQ7LovZqw7cx7nMf+S1
HW1C3bzWdvkaLENzbKvme0lk/9GFYXob+pW53qHXfdU50w1XFpuIW7pepDXlvCUWCj2Fu0lc5mYD
zYTliSrYJx3ERUIH2pAMaVxWG98s6TsFzIRFQNWfHT0Nj808rhuyU+Vnw0B50zp0GGzCaNXMqWtn
o2a/PKR1uLUNXV+B1c37COv+1iMnwUGe08am97PPTC5PVaUQkSyY6uTM031btD/ryppuAZP/Lg0j
iFSk7cOo05KokSR+Ko+1Zw9vGREUshoDoIOwG7aFGUdWkCY+FQ2xBgzW1pZyhhs3oPyCah5CLq0d
7FK6gsgbx+Np9OydH+p7KgnHR3uIb3XXl8lVMuOCWr4jJGU3/mDKbWWUC/k9YKLQUivqzPopq4Nz
w0aa+Bw9jr63yKR3hppAzCo2nWX9rjKm+mJqX2k6vXRRfpoa+QtTcbXBS5rty7FoP/LaC4BgpAZD
71QfAkyfd71aHsZRMEjJSnfegp1+8VJPnbBX+w/t1FcJJziR6Jhqw03sT1gHGuOeUrqO0sIBTSeX
S52J8EQXNaj8Lg8+GCTyZazCuZGivh0E6x8BGXWLW7rhCZSMlwOayuem/cSqQMtvGMzuUfVivUX9
jB/gRFhb3UFwDKCJX8bey/aBghQ/T8VAZBL0ymOUoR3n2jFvvHhqW44O3YDC/ug682C1zRtPw6sc
qQLB4fhVIKMnmUGcTQeXY+1AzyIE7E9nscUT+nx9x4kpYbZ4/SWw+lP2GB1S06VHqNPOzk4hcQr4
u0mj4vpLLfItt+xfaxi4nNaXd8stMfOSNnYOThvQBxaN9qaCdMZAK30dfPd6KtLHnN/3wS6K4NR5
keYIFGcRV4mp26RS/1wyJIBgRaKZ+U4vTk66xUO15KbN1Yb1s4B7n3fTY7gW2YFj3QxiQ3zLgzXb
5RBPTh1v9dGXTcN8cEzTA0eJ8MTr427t3PGPqxP0t41bfuq6gjHcRP0rva0IxhATunJdj0XArX4d
GzKijl0kq1d7e8Ns4pzRpcjyVnC9i/nBSt9ddm3YlbswzNu7IBU34VwkMgpv5ql9oTPjtXa8chf5
ZXSxdFhcfBne8LLkZzs31C2aiDLHYvrhTbQ+F0WJjjgzCFvVgIw8Mu6MhzK7wUGduF76OcS2eSYs
dUuD9De8kbvKzS6Z26gNfglaPuM8gktq/Jv0GrN2BNdY3hh7mo9j6vuXvuFURqcSBLe8KHd/eqH+
JVvYf2j2+ieD2H9qHvu/0BbmXxPx//Xvrqv/xRZG2+d/efk0efWPjrA//8xfjjDvD9zVVygOR9s/
LWF/d4S57h8E8EBHkODEBu85GHX/coQ5zh8W/7BM4lwk9HBNb/zlCHPsP/h7+I9AODByhXBe//69
/Z84wq4+2X80LILIInfjhwTRQRHiMf1nbyRuy9KJVnz2VaxH+yvl/+GQupbx8BsjlexHMCTxEGZo
CKViNOhnqN0kk3UBKJRjLRyUfVEPvv/0rz9P/689KSGxFLzlGAAh/dk4Bq4hlf/4yfm3r+VX/o9P
zf/2z//tKbqGAP7yEYZ/RC4kD4AQzrVV/grD+7uP0PrbA3UlcRNnJcL5P56a+A9IzlcyOxAQIDtk
C/6lp+bqmP2Hp4ZOC2KyWKG59Ub4x8P/KcI0Zz56W6e+g6HvAg7rULaGLZQCixneXIbMbrw2aDp4
3iJ6cXsuYLRV1t0QPY3ENiq4gYOuuuE71tGhTRlal0OYDFVoLVnSW9ILf/z//zT51n+67vxbo/7b
vwP9/vn5j4/Qn3/ob4+MfSXD/e2ZEX/++19PiQisP645ZxgFPKWgAK5f56/FBSX7DwuI9HVFcCCp
XEPX/8rqQqrjnx3RQLiwvMI5o4jeAT8Kt/WfF5iOoYPTFRFBSzktwI2c+oyXna3Krs+ZO6SOPQP6
3HSmrnG3/e7CkYbkh5TBmXgMRM8Nut9Q+lGjWmHorz1n15aZiyzvyqxDDa6ieCroulkKjJB3Vs40
Tl1LGySCG8cA5R6GSq8e8UXsuYXYrYKmSH2mcaSpwa5FPHKoUyix0YZhXy+3gxHKu2/VbM+XDvOk
t1ljlJdjIYdl+GmNiuLtpSZf90N5GiNClqmlxt+6Dt1uqrPBOXT4Our23AwqK7ot3Q2UMGJLJRJ4
XHwPoWWzeJztMT4Fhem77Sy5JnDf4iKxn2Kfo19G485dpzCLnkcS/kxsMLT27Y9xdmv1viIQPPHh
xUlrqgkDfWEbRyIOt7F5L0d/2dlRliWeNFTo6GyJ+50MMWc+xtrvXvkKyI9gmu9mIaMBZ6d7ZZs7
acCZKQ2XM5ZeFyN+HOB8Swelf1axC6dnqWXwMK6pz9Qb709a3FILkh+Y0Ub6Q8VVDzfLsnckI7zP
Ug1Y2fIlkA7uwhx3XG218WHOBGImYY43rfWw7PKQ/HK4HbhILkd+WRxeZ8Vtt7EqQ9mLHnDzGu0h
5suhfYc2vCRqWkSZpGvNESueZn9LTnUd92asU85uEJnTdkwRRlihlmMBKHg9zOKKvnnmtksgZFxX
UfwepygjUQWGzeXwneXhvSBhdV17BFS+AUuEc8JBPBV80i564RChnH9Zk1cfImUz18jr+ojqnyGu
AefMmOg868miE7qQtMNce9TDpA9o0JyMnyejg9uPinGueItAg4lN+bAuTIw2zNnq71GvuVq1TuGR
JqLGe/XQNLZcykgJzzgHuN/PZNgr7mJoQot7mqtpeHfGnmLPlZsnXUwsmq+Am80Dqz9mXr9b85d1
mAkiiG5Q8+/G7rCn+G5r9GNDP952dVoz3vfE0IGFCme5ktdcCrDkrpHjchyXzIkS5UIer2xX2bf2
UIudXOshv3Bq5hwZcACwbpqSv+ImH0Kkd6yWGWHBVI5xFW0oy41Ut6uZVTbbIdftW9DWjf6sbcIr
lrRWiuBpwzxPQnLpgy2QOr94g6GJNXN6rvnoxK1MW288Uo+pmfjiJwaO4BTDG4P9QD7MhHwS9GF3
NwKk2JP/xkzcd57+ZfzWfY/XvD46vhIfGsdKunXSlZ1G67bCaLpWz3EHqT4lK2AnKQ67fYsOzsM5
4TbHkMccg9kp/OFBovVsnSllEJKhvcy0yoc+N3TjwS+MJ4PXE0MZw6SVdD8tzPlIMcu0RsfVYPzS
83UKnk5MXS9eZ2fWo2VNJkfvrMLsR+C6w3vlFlV3g0MIM3EmaHbfLyJEL51kDkFEwk84GqfBjzmn
wklvZ+DUF+yi+ZNtGIn2iJGvanHM+1IucQIs3keQrhWVqQy7AkYprbSL7YKTt941qOw7GwfWedWz
d1iDMnvAlOzYh2wi0LRF92hpW+iunrlCRLckBYoLCNJAbXURDxeIivodoObkvoXe6FhbTAEufg+p
S67GNZPGAG/TXehlqd4MKS0VLdbqC5HaqE+8GsjxQTtuP20mLBUMv1eusNFE53cDdPAussq6SsrW
c/aKvJLzffCQenY+RtJuZ7csILh7RHfPsBIHAIaLFZvXzDCUqVnJms/eyLyOgqWL6bX/lkas4bhh
Vz0mxbIwNZl7Z7xQ74NOjc189r85Q1s8rF2Gw5P5po2joJ1tf+NWDA+JRcz1cxss420xpPNzG8bo
yqOY3cSqfPtJMvi4h16RfmWG7neOxLWKyoSbfIDnkYlw0LDqLuuOET4Kvp+WKQSMdfEVTkBE1Clj
NMMffxtrN++33hJb/UNPiKnf9MUwtntjHGUeQ5/h3dFpjD7QreN/X9tQdlu+hrG2VlaX8T6oi/7Y
yLlL7CbjQ0RllEnkawGoAIXRvdID9UAlB+99/hSoWTCP75ryW8oqdRZpTSQzTttw3nbkwx4DvyM6
CMpLJdparMc2QmPARuJ7j3FIxcEm6pbsW+g35rVVtWu95FZNYXVDfuTXONo+aUp6YDajM1t82FV1
sK7vVVbGUb0feVPLXQE+AZFO8ahAkxiL+86vOov2pUJesgnDDZudNvFOOyFOXMYijXuMe+T0I1hy
heKYD5LJoRpV+9UH4/VLKJJxG5gpqLbl0NnHUVszQxEGMwiR/LcOPajxJRNG7vPs9KPvjRUsi2zO
6/glRjnc2DLTGQAJhjFo1Aopsxkj2Ox8a0NaH4xrtes5DH1zH+VtxLSgAti3nwP/alCZWO457yo5
Mau1asMi6DJqsKVy8VIgAZIuiXe0O9n7sPZ6ymtCq4Dp5pW2PkfjODv8rkSQnTIiaTgfaLqzvkxr
W2WP+/taqZBWMl32bPf2A61komILzkJzz/FpYSUsqoMBDdIlWZVz/ClgLSFuoK0cZDvhIV7tOhZg
W5rCProN4Matpryi2pTsiVRYYPmtXuOqjuddL6xp3CoDHMUrnC7GD+eWd8JQYj1uO4zu/FANHWwD
EYzmZANBxGgR8ks4sPuak+ivXaPUOHvgdFs+pphW8BRCi49HvHQk8zSICrE6df5q46f1Z+9HY69D
diQNNFxFkEXpp6msTXWBJFY+kFhZaVZzmm4+Yq9t8YxgLHh0JFmTrT/FLOJ24xXvjA4VjjGPTfc1
LRfrxepWvrWp8OJXa1h5hMOqap4gMkbfGQWIbwWNvt0l1dof7iUL1rZCHjWbri6KCHfAWuY7x3H0
Q2/Wmn25ZKFjeFWG+XuZyeyrzlMv2GIobJDGS3jtt7SFTs1NtAocX3oY/Gvq1gqooM2E+5O/KWYw
MOfNE17Tfj7MYcYBBXa194EL17L0prQUqGKm6E2FfcRa5ySCn3NSwvKbXT6ucAikTx/uJo8N1CAR
r4XLcKbzvndTWECsI0Ul9sYSc/1Emj5DvabvyzyvzmB+rnm+fCz0KKpNo2fFbMkmY74JK+6MmwF9
8VGL3pDxknY3vy6FSqni8deYx5d0ZrxPKUqs9oVBqeUjJg9kRBkcB16qx1V0zuccdF2K+MaleFtO
xN4YoJYERFwxwUn3iVNDypw8FFwK51jIc1qfGdZLhBGOvEUIbBniUIMTOorbm8HqXUGUYF3XgFpa
wLe43zrHjAl2NPOy4LzD+Y5US51YJZJxHDVG00bCCQG60XEaNyp61o4CzNPMV+ZPaVlNu9dN0ZXb
a2zTvVtInEebapSw2WIGEpe2on+QY69Ox4uyvfZzwq3GcYQfX24X28m+dMm89sFvpEzPyu+sw1Kp
9Gng6fEPrV+H3WfPvHTNknqKmp2grL5/wti59tjigyvsbZ3RZYlKRH0cIMS7/usV65JtHX+QN6Of
hdFWB2SZDm7M+AOFtsa6KcPIfKWN8O3zDBCs2XZ9QwXH1Or4Vck4FnttN86tz+nL3SCIEkwKVsEo
h2pNIimMFOl/NMqgsNKgVJf7LPPRJJfZyo8LQ7H5XOWTOaSu32F1D9P6WiGE4fCJkkqGcI1Yo1Pf
2Bb+HA+H5tVel1v73mPF5+PQ/m1aFbbPY8EQfN9rrK+kekjPGYiwL1RhguvBjJzdERlz82+BWG1y
Qx5sHmTRTjoPZYfFfp9FppfnsHGiL8h5bb+Zfbx+YVVji+oH1WGpaol1bT1RyO9u0xhx0/ADd2z+
Qzg+RPinfw3cFrGr4EK89DNXhhN5wnC6sVaRfc5tJzHYDcEjRBmR70EhSY2zw+QXbqAUZPK3K+b2
I4BNXIvcCU7VmsferWOixr5Zihqb2zS24ieOjck9R1NmlV9eNTT6p5WlFEwXHYJ6u2kRdt9jE9Rf
S2EWUFK6utGDm59B5UrObFn2FZZ+32/UWPvvLqXVhCMtId8AZgdAf7u2fgx0Hr7xM1sDDl3Wg03e
xT1Tt3oEk+jVJZOkPm3Vq7aUg/vHV3G4Y1XCmAzsqnYvdiz8ZY9Fv+rfDIbA/KWcXC0TUO12+TRb
Sz2cayvI26RrM65/22aNyuqE2m5ZFzPzPOw6fFgTBa49c8KAzezDpfcgO3iBt7x4zWpZu84WBm/r
AE38zkGc/z45/JJ3WksHjmc9rUt2WJHbZwrYwmL+ZSzV+a9zUJK4qdfZTgrlwzjDbPA0raH1RpjV
ea11MJ1qixDLm8cQhOZbR31zry3tj5TbrtNGR77hmQbAl0BAgtKVQq8ikK/aHEOLsbOIDlOXlmqC
dd6W3vf6fg5AWoZDEx1yIBS71JPhAShWerFndHIrLe03YdV0J1FF6JOIbPqRRWfSSJ+ac1yCzTSe
NgE3uYdgDexmN+Sri7/c99z1ABOkXHclxpZqQ3zQynZBEcYXTrzTNw6jmOqnoGqPFriCW6U4BW2a
pgZFyd7lhMDmW1J3fTQEdHATCIa8wmIs9k0MNPJd8iw0l863uV3MI7ffI3wqDheglIqXOq3HhdGi
B2BsMgHmWs8rDmkzzqdaRCWBHpqaU7I7z7PVpNZdMQeEG/M4uJ8NdmDPVg13iZkpoagXizq30KrT
zwjbAi6OJhvvaau3qRSM8ubst958h41hnr61eLbPfhH1Z6daQnkTRaO+gZay/lyZeoY7RS7hrso8
fZhjah6BfehipF8TCSghw7o+NUCRNHbdHJJbEM/quZwLiJNOQcSKedrakrSTcvy5+jh6UjfUwXkc
MCBvO3w3hptkGL8G5J+eJ3KaDAu5yGy0wBqAE1ITApi8Zvn0xWI/C+PZb/kism02rGLdVa1UB7oA
yV+qsEo/iC3I3xo0HRt9sd6NsL/VZo3UQo6kHGk4VYHHma2iNYCuYDNhbpmh8olGGpxYdkT5xZDH
SZgrpuvNMkYnJWnljFekhNvJAa62zQevIf1BVBNiHEkGqtGGHPiyGKvE6gBqbUaZivIDUwYfnhWh
kII24hLwaPecZB+4Y0fprwYW6EdmfK6gM0/qmaqQ9il0fecFkXbtTxwFVXPf2tkCYGSuYmr6lGWd
V07nw4HjQPcDE4UXfiihgyAppijwbkVGNx0XV+dScoedn9jU/O+9W1inaNGkoD1sER9N3EbLebAH
xki5Hz+C3h/oxyqH8jlanT7YlQvGrWPGzDTcUg423fikDfl9mzYAmR427ccKJbPHq5GnD9lK/GST
VyM3n5i9hEMym/5xpfr6dY55v3aj8ZbqppSh0qdmCUWYFI7Qn/7suxc3wOlnQwC/83Kjf6wehSOH
FoVpl6k4O4S5zt6zLrUwczhmcbaunc23mbb9oxparJ0EXvznGjYhSUqGzhtCVd14x6k43LPlx/ah
DbJ1w9qa1fuctEzG4dSbh0ery7G3MxkVOX6whofHVsL4hjueNGzPfeBPJzk26l5OaAtTULryOb9i
5u3ZSJcpuxpucp1HzsYvYMWe7WaJnl2L4w8vTHGgUbE8eYACH30RRQ+AXWhYnFvYijjSyzJRvh2f
Y79gbJdODo2IS1u+Esqojzi8OrlZM26/+8kwmmZrDvvvdRpV9psKQuPcXJF/A+sF3TabDEPcaWK1
qrd5dRUnth2uGr7UEGOh5CTxLIuV+A8m8tZsyqlaH1N1rcFldsh3hPhwGdIKKSD22oqYiCIzurEC
GitEWQGr7U0k4IakDd6xIG5+duxnZFUn+hy1M3BtF2I4S8+ZsVUtaJIcHmi6P/cNPAyyr9K+WEPk
pTvt1g4jcUqqmuE1VFWHI2wV8/q7bc38ELExLRjLF7Qx8IicbGq3uVtTIfU7yZBu2XbSQKMn0N3v
Bp8uZua3dWCGnRxYpu7CwlVVQqqmunTKr5tXV+beNSQ0T8QiWacCDP1YXDCF5iJAAXaC4VfX1NZ3
xmCR3HeDVc976Y321ZJYlk78uMJwL0g9MSd5aLE8qqReUrXPSu65G8rV/LclDzBXOnQ3bgb/am4J
ckGNO9m6BhRjd82PGybO1GMvPws0lzKJQq7AezOthC0wP8W3nPO7I2DEZtnnaNb3vMrLa52m5kml
GYoAywqI3ojSTTCEEuoBYXDvsDSR9BDmSjxOqdDZrmhc74Oat/KWWBrPMpvCNG9tuuwwZsSyjI64
Bqghm1GlZoy5vGoJ/pfqAwshnG4tIvWAC1+9ygr/+jYmmU2CGxc9IUpACS/0ug/wDZaJ7g3Q1suc
DEMd6NtcMqXutGV9r8aStlDVEJM4LuOizetiR9N33UX1B/gZ8JbSxQLuEfLjcOEuZ2HNPsJSb6ZX
uSiWzMnqrWXn9lGEj8ArGxJ6Y7wcWE2b9jEtRTwSb5Vh+ehVMWKcyGLWbroqo8+CcAGO30zlGatA
1RHw6MyhDrrm+9o32a0IYB0XUky7mH5O4lIEuOn3DQzxPmvxj7m054yMYICTeOjIak597eyR1uSh
KnpxiFwlbptJzUfaVvxTMNj+vW5j63s5GH3Lz9XdS9cRRy3JgJNIc8JDI20xHQKoUr+aCAMR5ie1
HKcl6A4EErNfeMG817JfG3lp5nbW+ETxAxV11TxmZAuOqVIN9+t4GM/26F5tOo4w4PxjTAt0+2DU
4wSfoym4laPGDXj16Idbrd5XXwpiBoi1UGdDzttAMIq9Wy7FW957a+NgqdOq2NsEb787SPO8Rnh4
HocUPNAZgbP1zjnVyHjWQd3Mu7jBOZnUqhiPKtJ2n8TELK2tI+PV3SvQpNWh8nQ7IgU4o5tU5N/Y
/9sWCCzjQYkld3GD9wYLhbedvdWgAWLbu50Ktw9/ITvWIxtoFBMIIfuk98BpEaIHVjN8QSY+GIi0
F1fM3V3WVz5gWY5YZg8WE4RdIVyMQVzXewYvZAVvgynIHnUxXV2tQaMNFuUuwJIF3wPxPXKqh3aZ
pg+aD7OXvJdBzrIlGUtgSIqCBIKpMz14ElZApDn3zdu186jDzCuZ5w/aNuGjD/N2uPO6uvY3w7hI
6zfrXvqx+lPQnoOwiC666J0H9HY+ArcWxyFriWRQyEs8tU095+znXdF9C2UVfU5+WF3Sqg13fgn1
Iu66ciSoEHFIXYWOjrZbmyIZOHvWe22u+qU1ggw5stCI26Uc6WSDfoG/ZVSyvA/WCNfnLJfmLPqo
9jZ50EWfLq+3vat8zLAMqkg05l1a7n0KAxLGTpjIulF44VbnDdbqVfXBvCnLMmJvwX4cgY01I0l5
/vf5WYVZeahpgDgvfTV+ruvCy+uVpEczJxARCAPhHv1YxDqJApHfVPCEa+gA0/hdqihpe7OjPyzb
69EZ7KT0VHGC5EH2mjV82XeRK35N7oKiohsW0jUf0GW4aU9kIvDvtoRIvOULT010m1ujQPQV3Xxv
68r7kTlTe1x7gQt+AKhgvKpO96kW6a3vXIlWIaMceRiLniDZise52PndVGzLaumKp9XgIWJvMkRG
wLeiFKzVXGA0tarXYaIljjgD9aeAxp+y1m/fq2wlX1zouHvPFYl3NF/YrzsLuszjSC057svOtn4P
XrBcVKnc9uxqh6N30CxqZjWsvPaIK4rcDnedFRwlBcX9I+oIWRy/kNlD2MlyvKmWeJxv5KilPHGW
UfduLJzopYG92D/4dqdS9n085Q9XzNABxcONDkse9tzuW9/cKKrT4FJEVMccokw3JBzyawJ48hua
GRjCTNyshjQ7qIiXhUU4ZfgVlL6/t/QUud8kmfJwR6oS03exOprGbZrw8ABXdmHDq/HV5G5RK4Kb
AZmYBnrMqhXOdZkqjphkrzxS617zI10jaDYVhMv25HWhi3PaElGbhA0PIkteKd9jrx8Zxwg9Pbtd
oe1NQ/97wp2Si1fuCSJybCYeQe2SBHEpDUwewCSceYtIJwF+gx3Xwj87s5HlKFysWx9ZWlBQjfd+
qlIvT6imL+KNT9FSTiqLOggogbI3B8Pb/7xS5aU2kq9PeRYNTZQRKpHxJJfOV+zmNhEQ2Ycf/Nnp
SZLnPF2tqAcmTdPn6iiHEPe4vGBAZ2iFD97BOOlmiohL567QV/Q8N+eCoGj1VpnYiNsobGT/6HsZ
M1Aoyk7A2C5oX0TZBY/B0OrmXBbULSYgzcLbRfeYpDlDgvnBFy7CY5c6o8AD2umru6ILp2/pmDrt
dy8b1/oXIOR1YSHCtJZ4dl402Gs7gJtubCKzXWVs5+z6cAt/Dg2g8u2aTl60M3gOgy3GNqjUPWFj
QQ17nP5AqkIx48BiPimjI6/b8uvc2F5oLrB3lLxbCIttoXFcS4rImbPDu2Njk9RZ/OpbMPbBp6MW
7mdAPcpjS3r8q12YpWy8YupGAmdtuRanAaU8O3EVd89T4Uz51g8chh2NM5BJKVV4qYJmlmCCJ3/k
Qq3be0YOln2Ag4N5m40mHBB6grDa8k2Cw5kRNqZXfAjperZ0Wx/8Rc8BNWxdzNCyAEVDXG1Vnb44
Th7EJxuRcdxH5XiV15E+XnPqOBLAEHr6PXfO6pyJJrTyzIfq3TBvsPWmrwcxJWOpVg8+hl/bL3Og
2/lMCXp/3ZWX9lvKnB6p9E/N/fqdEtUDka72szETVr+WxnUcHMsHmB0uRkvujvJcsVro09znxj5h
UpanoBdLwOwOqcKlrKv8Ql8XuynuwF/Hbed4ZAva8rL6RIy4HHWGUncVXj8FrvMDuu2NqGK81wFp
/aiUvNVR6OujU/UeGTNrPuWcOmFIzFwRANyG4ws5mQUeLhQq4CHCNtXJDsS89Wdt70xlWzfMZ7v3
hagrb++slxgTd9nbF9JS9lMJGlYnLdcHzsHL4geJkPNIHMHD7mvNTfWqMCRbRMva1E+Ad11hQriG
Pua27G84ijNAm72hWCqOu0H16kTLSpyfjHER4F94Y9+DeBMzpKjz25k0wGofOdxYhpiGhxz9kVW1
zPcwFPvgfuV2xcWegp1lX7TDlD9zUwVl31HG5R3TDFmHlHxc6/X7OK4uFAImRl1+m00zECTOEUUM
jjeV3OJu68mJTLHzhk6Lcb/a1MHFhwK+SPotDAkRJaRgRuV9wUAV7oYDCzIMmJtIPxKbohczyaax
zk5t2sT19MWPVTpHb7C9kdU/8/zpRupKRe2uzWzPaU6SN9N8lH6eOQ9tq8P8I8jTha7Cldw8jg7e
DIqp2tWxxJ3jcLNOxqDX6kAkG/d7jQXUOsBz6NG8GdXE35xxilt8tzm3KHA6jgUvRkzEzQ5dPoYx
81y06b3xrvnbtpiH8blnBlMy6C0ZA5EhLDPKSetyRLY/t7ITYOJb3/fUkujOtBk+ZrKsQiYOuda4
P8To0vIaELfN0V8EJ7y7Bndy+wWWLOWUv8xru8s5IigOxaGDnMTj4vnmtko5LaChMC/jioCM3T/U
sy/nB11CEu+3fV+lWSJpA8DJPNNfr2FWjhX8q83cobQdBXfXlmiPVU3lASqFzSF5Rp+3t1G9KCL8
qNbzdvJ0md8AwenlPSuH4jzNiJeJYK2ofIXISVDU+Ft+jaO/yYTdt87GMaYa4Yo1yrREg6q5AzWV
50qHv1ovHMJXO8rd7JaLbF/vTBPILCmLMPS2OSr2etOnU8X2aKWRrXj/kJjfWrpdFVXIbtXsGP2z
uDU+RpITRna7vENLc+d9rAZjTquMVHpoaQWNfw1YeOoxwc/kt+0xjgPAOt7iLzH4ptm/moPajA4a
s2N+ZcJzMJe1T6oQUB/Dq9zJYg4SYDi4qc8L5dfukVotOd5gJ1POVZOGq5ttcJPkP4eC8dj1sN6M
xI9X4HCOTw7Ykr7B69dl9vocW4PrHzDWMJTnpKQ86yBRY1xO4xhOBgD8vUsjQkgNprVtQ6AfWxV5
arqZRS+LnUwxc4UnBhiqPYZxNi+EFVvLJdtS6XLbD1mJHNWqaokOFgicIT2wNhjCi4M1tyoZRc9E
uCoXYX4xhamGbO9Gk4BmRyIYVN+Ks+TRmHy2fhdRKpC3eSu6L8qXma389nM6CZgNNqTNASQFHT18
mevkbUHorLMydiLLZwcV2xl9QxAy7K88GeM25aHCbTLsBWVDkJcK1GDmcsh6my6j6vvOBTTGfNYZ
5HzW0RKIO8IoJSRxwGnxQ+zGDduo7Erhd9uxM0X73IdFG/8WY0D2Ww6d1d5Wec0JlRYHYr8Kn7zz
WQS1xbwrQM2yb7JyFA7TVH8If491uMBjyK2m3v13js5kOW4dC6JfxAhwJrc1V6lKs2zJG4afbBMc
QBIEOH59n+pNR/SbrIFF4N7MPOmxXzagwVbPI7xbz9VwG9ugeRcew/IW/ERa/1fO4L8Pi11wCJMG
vROxGxRkCVe0Pa8zjoT3wbcqs/tK0koA4EM73mHUaAX7IVaFODqkINM9TrEh/2xrLkHnQDqz8+su
E0Rnw4Edf/F67Ow2mequ+pE5IF0ejYY/AtIGUM64TeouXx9SNRtSBV7jtR3tvbzrOC2Gch7vw0Ti
HZKVhvMWKFYiV0jduQh2dU8HIkflKuffSWRy78uyDA2vLKK4PG9SwRHwVgfRPezF8ODMR9clQR0S
OwD0UfPGitGSEQbTFCFV4P6paS4ZREf0PlKq7vETiIS2inh185rUGdfe9MIup7Xnlfvx+tkFzLUX
7WSDI3BW9TrddePSzWdcO56+jXCZkn/8L9VYB1o/WvuYxAhR6sxqhOGMdFI57ZW38EQy+mRJeZ5K
1TiHgl1YdsCqWNWvAvDiVg0NUwLvRCciecM5PDJV+NQbM8Rk/GgeGxSs9GfUtHpJt0M0LuYyxbmv
Lgb3Qnb0XN7Vz3PE/znFQvigy0oiwSAVoMAl3LEo4miHZ6s5MLdr0Oc9S53F67NzNOWtOtSTW6u3
ruka/5X3B76KI1L7ql7LSsl6t4yF5XVuKABerrmTjIK7NwUbEDwBGQ4/gppux7+jkiL/G3V6qF55
I7eIUV1gsl3Pu8YjN2N1cGBRWVnApWRqTmvOhuk3/HiuKofKYzf1xEM+6Y8VsFZ9AEcZ9PPrIKUN
rrU7WaqmGf1ZPEZrQftM5MaL+gQygZC60GSUUzIydEV4IDJfuf+CeO6I6wubvIQIAVGHzPIU56NH
7MorQ77Ip3JRdETA1HL13JxJXg8zwRwr+mbPOlCPv8fOtRjOuMMMGc/T4HbEdMNlkVBHaRAfwS+T
4k6fljXh90T4JeHz+10lxTqOZFbbuf6m0ZOhkDVU0droHkfqW//qJlU4c3tha0Vfqqau3IPIAit0
iCNnD+gPdkPlubQD7OtSBfY1kPXaecfprtC/eVVLvlUOnKTYcea69kgQp31TfkUjLLtunxQT3k3Y
b3Jc50MlkHrmLT9e7d/y0B2CR6YoVWvsMng3nkHb8evuKjxc1QkHCrg2xRmef2aeB1Jx31m15Kj6
o4m4rI5jnMwHEwz8oSn2upcSplhETNcTSCwRPrtZa/VBLQlVwf1KYY6cZP81FiZ4UY6Mpo0vHXsd
dBcFuzCI7inYXpTpo+NLH/uuwgI/YIywqzpmQMTWfZ8on1FbsQG0e7qqRAu9pBrla+b5vXsg01nR
nD6y9nvC1OVNX94weSnnj84DaO0mZs7bpGsWqSMGyoGHdgV2WTDSimC5unMfPM6qLQ59pgE2lNbB
4kno2NkKNxuZK53CYTPsBv1zY7L0lCUaGb23WgJSWPvHGX8YrFGXRCfrw3Znp4psRU0PymtA49OT
NChXSDG6/OqrMjoWox9dQj8qAvaZvX92Q8f5iqKAfz27J5iiNct/dEMa74pIit9cNwmnVqH7QIJ5
glPYhct25iQ6DC26X9SEAcj2sN45a7mi65jCf25GNT5J6TjehkYcCl+cCjaSz+XhMZ/7Zuf5q39L
l1ygHbODPrfJqN7EPHvbaG7iV+/OrBjXtIWeZ4SnGboXnH68IX4AFBv2cbkOnzGm4m1bFA1wjC7f
AU2D+5RN5gJFD9rFJG30E6BU98bk1LBBc1yJOJs22VW52kkBcBB2vwO2P6GIIS/DSPsn4jxantB3
cq5pfR0AQ8rkH2Om2m5DHvT7K1N633Ww9mTEEzc/6mix/YF/Hr9nLmM+GmHxmAx++UuRPxs2bm/C
Dzy0+DOCJeKKMMJb7yPKnuHBZlcv8tkzOjkGFW+6tyk5fUDReqs7/JftgJUmswC6Brx8MPJKtYeK
6JEsu9t12a2nbP9nYv+cDOLRn5k9N1OVxc8Ae9DS2mrq34UNsfLyBcubX80TLI+CpzHva3WrKCUo
zy6ukm0C3sxHHI3XbuO1jjdtk75fd6mzLI+RHXFMwFu+Iy7l3m0slhxOFo/nQ88+wVfomxh+kuDU
TEANKtrdkNz+T0M0LBVRh9l3lzX6/Fb6VcG4PuOQD0luY8Vlc3LsIxl8sc+qDr4p56OfrMkBqYyN
4UCxEF2fZXGe8WY8LXHTXJZUcmUvxwi6k8DYaq/eymeVCU+91Q7iPWuDZAUqpsP6wS4FI69uyLRJ
5sbttCIZ8lwrvF5RNRAKXysEWtmvM4aCxGkoD/JYHhFR8sweuTBsHllL+g+TFyBVVAQZd47XJc6O
ib7e4Sr0z4VfmdMoKppeNBvac8YL6AzFqQPVXtmz1Kwm60YNDwV/8RM/bfNWDEyoyRr4u9GyGmZw
SOSpUP70pKequGaJTG8AbyfsX2laPbojIemDiKL4VaoUa5kfOsGpHVvnksVz8J9gzVPxjoniLjgv
HsSag4/R4aPNnPpdVLb98JoFxPJMU29tXNRRd1nzE1dXpI1slKG82iH5AWWSm+YKtzu37nqlfTK5
DlMJyga4iktgUHa3AlvLZ6I1lKZeVf6+UVFCUIfMQ3IKLElDGFphBRQo5qMI0Fg99bXFWJRw0siA
x502LFdee2wtxcHWroHVmQzDJcD5suX2B0wi6Wf7WCHrfTY+/v4Z1C7ZQ9kcSOLCMFlTD1gkkJkv
nufqochMDlSFK8e+d9Lq1tVZ7EA+K6NHywmFxxOxk6MCYepEdSQfN8rLsnf20esVZBuCtgigRMK1
2LeYSvON37IizD28xTKrx+e0S9ZdXfrh1rCrPYR+GT8G3FOvab3aXQBxjnYXCKn22UxW96QKdPlG
9Hh6ju/kII5uLz+4vHP+wlpbOnDpDFign+LfXMLS5dR4jdgBUXFeG7IepwTCNsF3UCgUy+m5+Fly
2H4VNXwnDh0QBDzASG5EuyYm6zqai9042RE5Pwq/uz7L3mTX34HB3F5Ytxideicf6QPeRWdGmsBQ
BihNReB6ZnqaGApC9WEwDj/4nZ++D4lnw7NhoXUcYpocnlbsLnCm0mD+yIntPuYkX1ApuvTFZZF0
FnM/AfDoCNyzvk/cw5KJ4JizdP6LETMMn+fZ2DfWkAYebKGHlE62vvN2yxTX6c4xsnyBnxmznIlr
Nmk5i811KQPYkKYedz30mr+UQo5nGYXOhZtB2b/3pfLT3VgI3Z5Bq0guCDEs1BiTJpWn9ewyYBRS
8qWMIbAshL7osfYCoLWt55r/RoD2H3erREKAZpVsSkjsF3nVqKPQqVyOuZeJ9VPZLi7ZVs78+yd+
G7W/Y7MWDH/AVHkIbnWBQojmjxWItkMSJGUsirNdcFPviTbXZkIJaQOuiTIF4/pks3KcWF2mZfWS
CVSJ++zvZhGkuWFhwMxEnvqgcMcJglcRg+LeZMswcW1yMLMY7N8gvETQkbPcqJXSWW8LOA6m6cab
Lds0nxq7a8IXh0kBBRHwE7+I7idec8U9phr08MDdLM023RD5z+GcDe2Lk9YBxN046ZMzPAcZMFry
grxwNM50UQ0DyI6YuAFg+iTlXuVMMAr7IWfn7eRhX/+QjptJXHc47A+WN9EKm2CAS0CtjMGomKbm
KyhiRkhKHUO4JEVn/4yMi7QqNtpeeKE5vwWXEOBX4cB377RciwyuUD5xmjfLptJjBSAHtEcMeyKI
5Smbp/WCDFC85OoeLFlLYYOvzmqtfyaywOuwQp6nl7Z3PNamToJUy+HF5ThmfVs80KUBIisrg7st
cfYyrR/I0pv4XdJiACvCW1P9T4HYdDAV8PPnFgvmwDul1uj4F1vc6cCaA0cstIhUcr50dfXDLDVu
3HRCv93ZvKFOAAOw/iZ701mO8CVyX7ue9eEVWWZo2D/MJnZ3am7j9rxYSfhpLwZY4vU2XEjBntlP
9u+Mq2CdUoguF7pLK4lxXbjmWc6E5l3K6qcWv5XmUvDDlir2dx11aet3SBn0bwHVkV8IZLN0YbeW
ByDXeq9IT1xMnI67FWyNdScm2gwASnkZsCEnZlPZEMHIyMV1+2r2p+wJ3dQ5hLavvnsf5lBjhFC/
83Vkml0LtisbCWesJ28FD2UETLwAzYK3VjUmPUm3aA/DIKr56rCWzVA2qrrYE0oz0zdtPHO9zcpM
PXRzUMYvGcacv7iTp/IcWaVntDxO7XuMjnxGm+ffygSGbw6I02Mzi+hEO1T5t3TMdEF2i6KTTcVy
xRr8V5g44e1VxoXffK1zT9aOxVgI8CjCxAqQIFhjvmZAFx1vQ/Di4hHvVSu3kh9g/q3XIDTHwaGJ
adhNJZotFsNFAaZYZBbVW92GDuZ0hr1UnIaAIXcbkX4QB6UCCnXRJ8eZCZmoFZ6tKknr4rmZUKKP
inpS9enYbkGfo7wGwNA4x8XyqxAiiDcVF3qYycoDsoUrSvPcxa39u8Yp6WmP0oGZdOCEVYet+oqV
Ry4Orx9/YEsD08gwB/Z9890JV84QSzie2TvkNnQ+SIOknuKGM43pnw5ZEppFdc/v91OBu2XBGwbn
sZEFuOqRrieWmas17VEE7Gf2BNLBBzm5qVMUamz586noVZra7WLCBkK8Zc13mWYMm9luijxlLqGj
0mwFWyPaGFKfv1aBCt/qfBmW5SGKnZ79CnexYfV2dASMWO/ZdzbzozSkutot0mGg7/woGwRkfNiQ
A2AIXazC7EBFvYuKdfkZGdOZN3/I63IfkWLmMeZKExXAUZ2xr89VZYPvlZ9UzR8loN3uQ83B89X0
GBI24Yp435MH8LE79XGyYGmSICj7g5mAf+8lSKeJj4QKlubJbYOJP3YATe/e7NDNzgt0wDIKPlhj
ldFeJL1MKS1h7c7sFADvpJc1bHsoVZLg2TXHwmyzXU3SVP2zlXS9b1oLUDgBLeEGFmOI4oLZ/UXX
KvcvjMRuCAWDlc+LZzrMqq3ni+lhLvjxvMGSd+c9YNMFjnJWBeewwhy1Ee19c6UnyDRuz+oU6zwc
ON5KXXsGwxM/8E7Kt8mIanXBxI+9sMvH7wq9cVfhUvJ34JQMsaepvMQym8ShB7R98HXsXls87+Nv
EOy8g/Z0qYGECuUwuelhDgLDIZpiab2vRBY5nbtOhs7W4+sDQFU60Z+1bMnq0FxS/ooda4/jtC5A
f30VhyyRWHHwkC6o7nUvo3ui1XHdbb4kgLzLaTjQEtPP7IH4BezDYLC3viYeyUuhbV7wx2YXrwvb
twXfbMac2c+PFNzqT2sQDXatR03tOOQkfpFwu+nJd3ostEsfuRijsMcOZ5wY60Pl+yROMOqCEBoH
jkmWx+wOxg3tym151KLv+UvVas99LcunKjVMZnb2imf2/lH7MGJWg5Bkw+KZhjEJcsizqHFzipbq
o5OO0HhXI56aAXX1rofiZK8YjV87d0zIw9a9v10x6sFRrBOqCAEoVOLsy9ZL9orADLWFEaL9Ns5k
t+tir/jpu2W9ndIhcZlpKuS1GhO68wg9zBzrAWsb4bxYLmfNAnZbJKxeQCWZvDs0gSuH22oC5jki
cGbFvVChTBEtmvkeucWlX7N0uvdYqiTfDuR1ePlpaGRn5Yeje+QEmX4vLekDUjmYdjpqBD68dBHt
VlgH0hr+E9U/jBi6SImu6U5XYzHuunoOzux+fXnIDJxQ35GobyWq+I9oKkRC8nhY/sqQOO+DjtPx
VckpNOc4XMd3d4rozRHOUB5DiJPtgcrNuD2o2AYnU5Qe3EXlquDJsFh5bqoCYHIw6fBRx7a/lDUJ
QgguYmdVP5/FWqfniR6fcxjV4XecxjAMjWRbHgRV96xlXRJ1dlwGpAutEIoaQxIf3/GQlydFYPPE
p0TumV4m7l6GTdylWJj1zi5xEbKcVb+mt67HOXjSDjaZg/AXrm50giOeOthd8dBk91ZjENThEWph
D92YKyrn5aj/2nxm1GWmB9cyr9O6c3XRPZQs6/kgd9b5SiVazpurMEDtstGwBQmIupHrkGjJHNF0
AZaNPXaWOundNMLgngG9cmEaK6hCXoivgO1BOpzbgdrYXcpN4K1PS1Y9vgZgxEcSwJLqlOYm74n0
qZ1Mxs2aGOYG8nH0srglGb+ZFjTQr7lYQFc6w3MGmfawVo66LGPW76dgxIw02OVFEY3cOsAcCH+M
vX1c6oq8C584zQRax9POHUu6ZTR3DkTkGGJl6KknzZO39dl67uiBLKpLX3sZmHmTO/j/afdFRc3R
ttDP/Y+Bd5JhvRoHR5k4eJ6KYqSHZ9b5wFrYr7EasfhpxRkkdunsIkeneA2GrDuuaGIXB78O1+6B
jPABiwyu5zUuFzhBVdtuFXlFIk2lh1NQCovI7A1RuJwKjONEsqch4YLhBenORVY4WTFRq+1XLM/o
NXH+kCWXx7SO5K+wx6hL9YnwzzC2cMk0Jm7jDWhAPDG+n/0KyBv9CCo1ONseK9WF5Fl7kOGg9yJo
0vLL0kP5FnphsWIbQLr4oR13PhsduP6hQUJiUiw8uF08HZADwkLWf5xhiJ51tjr1SZESpiXDd3AI
d9X0rTR5woAw5EuzdNVOYXEGhmdmzA6do7otSB9x1ii8z2W19M/WUiv8WiCVPnUDogweB4COmwoX
Etv9xpcbbzR5uG8YB0FSuXhqjWgZCCfKZr6jqVmy303TZlckBj5rTePHlFAPeURem5XXyZZY2dTG
4kV9GlRrS3Lx+COcZUZH5J1QvkstmvI0ZCLauwhF3HsGb4fCPLM+wzFdijh7C0KXgdgS2cIdpubi
39Qb0NuORACA93nvdyXU4uySgfCh1P4iDh5mgrclW3DcsmATx970Sb4PilYx3xDA+E6clZiYGJOt
drV5oiGgiPZ5y8tjq0unYSvCbeNG/rjrgSot2ePMteXHpCHxbCIbSn5A2WTxULPx8hquGr2tw+0U
VeMrQ7BMbrG1+Vm1vX9NvH4uLykZC/h0LYL+Jho7UksiUJ7+iXZScjdFuuvPs9/PNJsTScfbi+aa
AIlCWqt5NkNxy3g+9Ak7wvAbc0H9YOIlvOdExoH4dxrGOy8b2/EQaYrInLoMHjGAsCeVgWa7ls+t
OU22bH63vqKfhV36cuZv+49+29wLFRuWgpc7CtO9dcTYHqfUlRfHN+rk0Efzydja2Oui03k5T90Y
svbuOEBJmcT3tu0p1uAkIxAQFwqQiqtqNRmw1tAZdjbzZFlHi+pfYRoGi24O+3+whLJgg31GE4al
KI9TyqlH75JRdtG+T7EV3BGCNAfpr7qsICxQIXepUWOQwE9ZnkCqVs9O0Ab5Ual7CnNyJ+JVUAA7
/QFibS3EZrEqwnKmFjfs/hCm0g9AQMyyJZ6Jj9JAbQSXgI+13mPs5iIiPJrejiTbKMKBSlBxD1SD
OSHqpWRt4InsOLWnJ+6tff8Z3MsMqO8p/PYM1j5LTmsw5pd1ceZfkWF9vHRCYR1Ks896IQn0cl8q
T586jhZSaki/LV0CXvVVLqwuNkyu64eLzYYnGuEXS2PGKPboSeUKeukdYoFl5BenHjh5cghaOz7w
LQJoYDjo/wFUyT681YUw7GhsgGVdeLD4axdsAc7MClBt5dn4zlXHnA99oMsJb+CnyYknYjoas7uH
TU7rFy/HAmGHgdzP0StI1aLCI4Oe8pkkNZDibJI7n6q225SsAiCFqQMfuqgeSEccV6/o//OioXux
GBVWWo4ClpA8CtgBapynL1XiRq9NbcBo4s3d2WZx9043dnveL+Vu8RIMvBZ72fwejng0wrW0Rwx2
qX5NGpHLBxlL2R19DoCSLWy1rOcphPKxzxeywDs0J+9qFNKVQ17m3PpSEISL4aFSM4Okk7IO9g3f
GACK4SnDf3fJWZR/O1BmPns5dZZDa8wIMCdYbxQZpIMYxf21KcE9MGsELTJQ4RwiE5roBIsdejJx
DLOdHNCCO6pmyZhAiSE0Y0QxYAYe+Nm1ZCgAxKIQjiHfdIvcsBvyIaGLDVJ5rLhRguFxCNZzbzpi
4gCXn5np1OsR5AA3WRA4wT0fRfPG9JcPYiOJ9uf2kYnSA/CZBPVrilnyz+TOIc8Ti9dNT2nYcaUE
4YbNBcXXTNm6JybQPa2sX87h4o1HPVMixJ0YtCFTLYrmnp+L82ZtSJZarlhYywQbAFsd2+5HG/Fz
rRkC9oLIwqfI+Wz+W0RnxC9nwUfp2RX3t7sUXMjJK6vdGI/6iSBScjauYH9UjTZlgMpFiPqVpwbL
7DqzrmmmrcXg/dYzzpyMliODjGzKY8GGGId/uOAUpTLWcU517HKv0CE5/oNDPM7uVs2OnNh1xG82
NEnI9alaecr4y0ReDGDrrk7VYz825pbxC79iJiJ4RsV0yHPXEzSWiyK0pnPyJ3Fi1YVJM9iTE0n+
mIFOQN2bgLJxO/bZfjIC6RQmR0o60MB+pf9RvIcq9LsfZScDJKYknqjD9XV9CuOOgG4lTc17ISFA
j4LcRICnY7/ID50bABZgoqEoJUYQqN9dJowElZXfHvo8qsNp9GOT7N24cevtYH2ZnhSr5XZfQ3DB
DxMjtZORHaNUu3i8J0loiGpbgQId1vmxc7Rwn8mfDuNtIGTypCQNdptkYun/LGKDrR/nZIDVAbHt
6FK7w56P3zylgMRaNYgQO8MaLNenfJ4M/4mIdA9B658z4tk790wcjkEgI/WA17mYrmJYKlx70+CV
R9XZJDm0SeiYa+F2qXvtVxEFSJgeTvzMtvoUsrf5iYO1/DWn1dhhOExwzHIWdR+9wxwlOLsLzH2Y
9QyFcY6EiOCGR7Kz7B1DZFMysd2MW9ErHyo6Wb6KqY7/+EkQvdR5Gnq31VVT8cBUgLuR031WO8ka
gZ0ra+fHBhzNd+LXxZPh1/mCr90S/o7rkmYY/JDLuI2GgAI76DCe/xJjUPb3vmd7uA3syC0gGpIN
22jCCIOYUSMTiSJrNaVpA93mG+SHEdthztWU8mRaFMd0PmT8B//WCsQNUrqT5vs4L4Y7utEl4lhK
myaHhRIanygMvpMf8YyH/ZhkuGD2sUjT8zIAw6TRsHuCMUpZ1FqCHtnx1VhyRjj2zqaZln470cn8
c6rW7l+U6Lnd1UtExLmJuKFtqM1anvIWp8F2FisYhRZb1DWO2Dg9zvlKRVTm0/m8i9semTmRMTvs
LMPXfluTvH5x4q6Ob87qY28JeWjjI11u5uKtDnjLxY3oaUmybzHjgOAtDCn+IWzxsd3AYql1twih
4x2e3rq9yNqKJxrwaJKopuylpeDjvcJnbDYh5YH9Q8v9IgGqtAZIdhX+v4hqTBDUqXKGBuygYmWW
s86eflHS04L6JuCZ4XsPtYAa7qXTU15m2UA8SLV7+s27Uzg05a2lB+kEmGnxPlHwE8zWFTcHWWJW
5lJHG9Srw0QfUCSWJcl5KcP1hMq1EI3TY/C2BEOWUmDBXEEOnPjvLSWUsbLld/wdkPDiwcwpArnn
Yre7TI4IDqXj4bTaUp3rRV+1O/vle9+YZkYnbWAUkdFKPe7HLd8vErob0EXoa+m+E/HhxYDvwfMe
3CFNHquMyhJTGOrjetYqfLmQ897w/afDC5b9mFHdlbwGEhZ4iBQg0vRLGoSrfnCJ2Y8BMw6JAX4r
ffVPcLULPnzVOSkmvSic0o0dRfIwTTkIoFa22CyI6lvDm5YmnT2Gl6n54wajOdCDJMKboy3WFQJS
JiQ4MKgVWWvDeoh+nA2wKQ8PVuqLYqPjYbnxQdEUzBowRvWc7movxRNfiGE4rg7LxI3SAaChxk+r
7ICFI7yUC/dxD3T/VZH2IGmxgEomz9thOnC5JETMnbc686LfU1LqJuC+QHjl2XNImpxgShEjAIlA
QJiuE7z+d564auvxVlF3Tukc4ah+N7JiBwXhLlNxHZgg5FH5lm13ObL5ouzGL8aj3zoDbUdWx9eq
b8X0i+xM6H9oQlm/dcgXKnvVlIdu4CVIONqYgion937gxNEeC/wQH1jhivUcaPjbi2tpRHYjQQRy
Alt3HXzY2lBWXMpm12Zewl/DPEXuKbcxAzcGKMQN+PicGwK/w/JngVL91qNtLRCmJoPDcNvUFTv7
pamq+F9tm7b8ifYg8hNOh5IGW3REDCQ6mmG/u2HZH5LOZ9qtwo7mQwPKP0Fuj/U54EaBQu11Rq2H
HpcXH/2AuEsiJpU+MATTgyH7ZP0dMcpe26Hof2YIUsVzPIXxIyuitdr1Y5/QDVgifHVbQhrOXzX1
vYtpJ+4viJq8ydAKnWtNMeoe32dNijTG9uyW9kSTSERTSNXCBMHVXmItbQPvwxkUhrAxUPFvwAX3
wW0qy7z8Mqk7I1IuGN6GeeZCHfHRyLMWCQfuDK8QzyPc/AOjLXYwSF68mg9QobCOaja38T4V00qN
fOhBmarZKf+kv4i1CjvFijVROGX4ntR6pRB1hvylsVbt+OZbwrlZyl5mKBHD+54PHzmM1yoti6MZ
c0WhI2cfsVKXwtLzaPg+N3BFqvT3QMOnfYGXnuGZjKICE6nhb0aFe/fBWPPCh3h+AdHkXspR1c/h
NMXg6kUWfrPWT25Yx+2unqGvyk3InRKuG27vO+fLRJ+eHu67kOIufsqVBNuFZXDx5XdpHG4I2fuP
XYhyztKERo7wP6R+PFMZgtqmbOkl81V7bxbygvkXXJL0llfYKfcr6RNBaFMsxzngvnCclZMFYFs6
He7rpRQ/DPZ6FopBAM4vxxZsT3zEYshxlD0rrErYJ9RlDSdz1WU9vvcJbmICJvlUH6HiTNWOUjVF
W9BcNq8rk/I2nGT92COBz9RpJyFtyskKQAKrWoyH8Gix7ewdhvy/fPAJSTnG497lEg6FYzUk2bmD
h5ycBqp1lhM5sPWjW8dpPkYqcILXqi8R7HK8rPWWgg0oBpi7InbwCWCFL9LmKx9Vk0fpiynZX20Z
ybuftEWOM/gLwbtNcZm4RJHMiMoC6O4fgtm443ZMzPqFx97+ZjygOlzbBXRcNsOUikOWhznutcPK
6PfmymplU4CaIA6WvFm5vxeU3FlHuMuzg+8KvHKli8cUNUViIefIDA+UW/rdC3V/BUa0e8NAkzT6
NrscfC8kmkbvlrp1cAlUoARzOALZGed77z84bgSB6c4T/lXCrUhc4ttNR0LBCVVHRalO5GONbbr8
pKI9OusQHyhMq4FulzqnrOZ1tK76SFpue3VKhSxiTtU9VE27lrs4gmyzgJsKxM9JtvN/mWqd02xa
T27XaYEV74SxRWE27b/w7sLdTnXfe8/kDPz6wHXUwSJYxzCfAlnQUZtnTgfE3NobHAWEgtQPjGZD
iGPynKgh28fUfRFUZvrksmWTSXXH3jJG4s9fA/a0Tipeane9h3UXv+5wVE1zcHJJfl4Upnto8WNX
MHbM65nqgcg/ZBgUMUwpnnUsu+nQnvNmTk9+m943/LiQAHW5zXuLQ/s79bNk6+GCuhad6f/CSPdd
rLcUMchciBtH6IhmqdOfguTlvJEaYxJPVzDdRnzsl5Zd5RYIiSHP2bJrfkagITDoTghxl1SymXxf
KHjE5+RBQlG/ltURh2wmIMnlPBP80QLI0l56HZoGkxD+Tq7rbXedcwHUtJiI+2i2G94+iehNp9lB
/amWybmIRqBqaB2EeM2A6G5SJ4fejLk9fSuQJa5d21UfxTjgJ+aHD/cs5AMxRpnodwo6U/xeGgfl
s5sin/hiiLPxHsfALWBtfG6QoPWLxjyPbTbu6z+gEkhPyGBmDeoLwOvbYEESA2LX/bemffuyFsv6
H52owQedtU58BeTYUJmGUMGHBQnQZ+FBncaeZuW1/JiKIOFYYqtyB6WN8wNqfUyXR8VxeKZjcjzn
7P6iw1Lq1dnVBDSOHKn0qXHTH544hDXydZ6qQ1Ird9lUHfWf8VAP5aHUpbiGY8XJ4HADgvfIE+XA
X0yb/1gOgyNNyWHgfjD37Ze05rSuKUtEMQKTIH5Zn/lgWhxkvqarL4CEVKdL5u2zBmsSMKueQxDi
GcmZvLZttDO6ayS6jF9+CzFJSoHn+IEarZ4bdEClA6J9jjOut9GuVZqsHA8DWOQ8S8l4J1BUL12T
xgBuwB815G/J2HBlQ0BDIHIJTh0Ij8zw7hP2ltNcjG9loyWhto6wzkstLZfybFnKgxgIvUfDvXYD
KsPqHd1eGXleXbIakLUi+d6xhwaW4/Za3rhl5LdRknGBVcr1gdc97TVBl6bNMzrx2j/BXcSDBSPP
JNe5jxH1mkVp/9IipfPsgmTEzOXkmooWO7b6gQZTVWDCcRqibn5Kfj5D5Vq2eeQTrLYaKi7xKjyG
O6zE1t9C0MArmYrca/5RUt48Rhxfv/zSJK+zE4ynwKGFnUgBvmZXeHPzP5LOa7lZZI2iT0QV0MRb
CUVny/mGsv2PgSZ1E5rw9Gepzu3UnDOyBN1f2HttNr4tu3kPnf+9bCut9ihkoofBd5q31ZclgVxG
TxcmiWH+TKo6Zyq51iStfmarE7fgxqKYrUPgaGYaw4iD3XhMHP6iIqu9L48m42+qFlyqnZzDz7Al
LzFDNRLhUO9C1kvVKJ5E43dkx6GhWV+okMX1xmJWUyVZ0K/hsaK1Uq8B+Zrdv8pEWfFDb1HgdiBw
pzxHa4cHnZUQN2/Ipm9FN1uRZ19FWQM9JKyjPzX58Zuf5fA0WG9z7SOx4LlgtdqbF8aAvJm7AVPE
vW9BuHlAfIgkkYSrhU3xUkT+exBV3tNMUdIeja6Wk/AaVA/u0l68wqCmsr0YN2M/wZPScUomN/lb
y5nEj+hLaZBUvw3GjJ+m4xhljRk0JHz7dazuU8QV4gTd0G/QmMF2BlfDzYT3Fsm5+qKh08s/HFVt
meBSdv/TjuvXj+EV+mGzBRAoI5t0aA4dEiEc4xGt5EZc4zIlJ++dPy19ABYkdL+Na4KjiAXKklA1
0U6kAU85eRDN1g7DyUGuIbodvAFar3aO8dDAxFhPEinU/KFHL9Cf4DdcSZ2zZOard/U0cSsXwTsC
g6l/5klxujewghqUxBwPhE7PzP/wc7flI2cEPJhuytF79AzrddAR9xrG8Y2mAidYJXVAZOF+G71j
Xc51fsqlm/2hcA+bhJPafaRkHc9xu4bXiXc8/JS6Vh9KzngwZJbpI4aP4bmHG3BQUae+DRioe41Y
or9EdlYcmsGY5WEQGBYRP5OnQToMA1zyenUsf5jCT066HyXqFHy1gmAyHHmLv2M76qcwXRH/8auJ
2p/+pWshIBq3CAbHJJawtz85uflPrhRMKVOf1LtnWWruFion99x5rFNQPK02+5bJdgo78YFRv5Ug
P0rGbhKSBd6TMNzyNTqfFHshYJa80hK6GA5jnujZGvMkhDc8EeyBOOUDT4NE+WcZzzxBBuXp37gY
bdTtiCdQJU2/gKjxh7w/xDI0jMpahEIJbsSigN/V48vyItM4j35hKkrxgVlg2/k0DGtRRRaW277z
Abr2inR6cPONjwpWzf9IJ2mWW5lHjH5NJ7PbGVvEdxGzZc92GUs7hGm2y/ZUQDmdD5WXglLrqzV/
okNH/tR3JXuwfp6fUgFZe9pic7KPjE7ZnTQ4A76vQXPrpWi8Gh4sYo6D0Cyd2N5x8MB2S4m4cvWi
jzmXLhJmnuh6+GoIsbyTOFMa1oVt4f9ntKyJ7c7TkoYNeSnPzBUTqdMnPFlt9Uoqc4xtgSpN7he3
zHaVC7x4n6VqId6rkzFxRLpM618bL5/zLoLVUVw4MAtfR2wM5XuE+oCFKOrZND9DsXQvrPvIK8Eb
ijTMJkGKHHoIk56XspFwVN4eGsFhq+jm69twmnFcF2henwjRC/ttOFn+I3PvtNiVDmjb38HNRx4Q
2KLBcKC0wX4Cg5F217inlMKGwMWmRaYXzV1uJSIecS0gMcKH6Rfhxsb0SbA8yQBUldZKEktkWS88
/15/iAiiK67beie7XYUFdE/Us6dv+onJ/t3A06MPZd/H1IEeg9kky4rhlud3fQO71VfcQQpZsh6Q
mbSB7bAMcQr9k8/dWG60aCShzdgJeS0iT5iD7cOy2i2jM0FFkwteC0GPDsioWU7tbEvifyRJecSp
t4zN8HicHOGjMQijkS1K7eKo3FROSkKxaLNb1iHyUvsKLYgUXv0WVzBN6HDa/Js9VoaZ17OBkkwG
kTbCTX5b0CRbpJAC5pTlZ3WNcG31q/6rVEtgjnKmzy8JcvB2IfSdfca2AkssAQkUfD7Av7cr+ExS
O/M27zpqnXgjyIhreaZat9uhBTUJFjCYZNguwDAxWrqu4WFIwvxqm3XjmIBASUbw+P2LqmEQHSH3
Qgzk2wXzEwJIbxumBP6DyKFtboi11LgdesMsJQ0WuyeHPC9YNa1+ak1gdXGl/SkOJECuiinGBcag
VTwHBWOLCytEKoLYgd1+pOpY8lchp/YcxtIpt2SrYZaiczrVrBMh0qTm4Octq/TSW84o8+HBAR89
LviASa7xiILlizchZprr62zb8OwP3IiFb28y5AcE6IUdnBbUI/P0QzYhfwkz2BWKm+PgckN83/Qs
WQceicvKs1ueBuQIOOMGHLQoZYPoNaqK6RtmilDvFv4KvA0NH4OkHXCiQRjeSgY0f7SXKfrErq9Y
xw+NeCNYMBVHhtvyNqdfpkktRZc9olBxEUosE7vpbMruGBexLpMZe10fbxiJfJHHfM943tPQWBAk
fWfGgeQxFt9xbPkfyGas57Z00YR6vQeAFxTJ3TxCQ8mhvLIin1T73YLtuumbrt/Te+Fg8uzaPRrk
DS95Djz/LsLznICTsGyIZV7hbZG4VA+57si6NJyi7E6dic0/qy+xY8lL6jN/oLksdLgv6OID+xBg
g+RrmkrFVHwuCQfww/Lc+zq09q1Kw4fADCE7zSVDfYi6wB3e8rhufyeHATS+465FmGcH6U0RLiBW
2D64r4I9enOa63XqrmSfvjhCQUjvsp4bEIfcdXy2GWKcRddXrnc+CFvy3G9KUS9+GBCLdpc5G4lR
jcBYri9R3BX9ZwdJdN+oGFZt7LQlmZ8rxdXDysA3iZxu+XBd/J7X3dcf6EPUSbaGV9sE6KzSsVNf
Xr1QbCjiE/1toWR5Czw5GJ/ELBibtFQ4YLB8GzWl7XdHzLaZe+o66o0x8lmb65Z/cVNZS/elrHX+
sCzM6GCuNOakwRwAjfgBT4NuTsZyG6Z5Ph+RJdwS6fswMshtVl3JOyeCTPMMHcNNASQF7pGLY60z
pK5IWHZMHYJPG8zFEx5OQuKKNmaetPYuTSPi6qSmaIClYxXjAYQBzT0U6PK/POYljSIie+6noann
by0j5HVzECwh9JuxP3jOWJm9qSAFb0fk+IQlQ1b61IELelW1uMinyo/EhlGd98A1EV4qWlh0JyLH
AtJE5Q/cWn0H53vucXT34hG4sUzqgsN6RzmxXrwwLpOlC63mQK70uiPRC6Np6iwllhNDKlnT2geb
ivs1n7Cwk+ZqvM9hwRNON8zPNNPcJ45F00cDaRVvNtkFF4wO6hHt1zdq1OkH3n1+nCHQMLsvq3OF
UuYoAAwygfeUZHY8+acwDIH/FFdb8yayB7vbwmKfbpy+iMVusEjeREWY2U+eFwXfvebERviTd8eq
bkKAGKP77jJRYFI0apfjYUiDY+D67LW9K9oHlQKfkklx/rcWXvmCc3X5gT5pQbzwU8GKDy+LayOk
Ri1ZxA/zZDeXno/9CdK2e6RMpR7zQAhhUrOLp8pM/reUrsIaEJr4LrZNsNxkIg/CA+ZbXCyzNQcH
MqqIw3QF7KwQk8695zR0YJQLOy9HRb8l1zNEjiDRjCJ9vHMR21NuAoJmk47CzMR5zdbKztbEs4UJ
EiRFxXub6/ytovUHxtbH97mq+otSBSgtipryfQyHj6KrfL6uEj1D34vmzklT77MF7vKaixlXJNnw
xTGYWemv3vJP5dF0kNnqPxEAJMtjxIu3E1x9w6bz3fBBNx2qmwAP3u1o043vpiEYMXIFcC614FsN
1fBBEbLsOowye7fN4vnH72o72FtwWPYtHAFCgHXBdhTBN/pYC41cz69F1ElMKLg1N7GbWIN9iWJv
urevnRayEZ7ffAJNibQ4vnFrmT7bjBM2q4qqxGPpxWqDjJNzT6LkiSH9bvHKaV/nIcUWtvNOsulT
0dkYPYI58Z4M8ZdUmUt7tsYie1tMcMF5Ze1dmH13NnrnY9M40WOIwfywVu1iTg5hSAlnkaJpQCTd
JI4Q7rng94FqxPLA2Xhi8ljEjA61hlc1byTPzmcQePy2LJqIZW8JOn5vWWOuRw+VxpPHZXWUeWq/
o34g3AK5MzvVEBRI0K1jmUzCizxayOEbfWb/EssWJVAVyHfUmO6p8UETV6NrBPp7cJGIu4lWjwiQ
L5qh2xQWcrig53M1M3wrOToopumsklYIyFhlOBH7Hk3MhIkzKx+wNIyJyaP4OWfXRF9vigxVmBWw
sJdelZPkA9ELPUVtH5FkTf/MrOZvIZ2amnb4Qm4479xqmhGs1mn8ZkUpYrXMelqvfykayJYYSPoy
ilqyno99TSD2ZoLMDb+XNnZEDjB05lgSwrMFYefeoKagG43CebyuPKW9qea2OIdYbPioKxDdukDF
YbvUO6BQt71hrO3Bq944ZGw8sp+CIc3wR85UTZ1bCo7DrCMtoVcncAg9STDj0D/G2Xrku453irzk
ix9abP+w2X67KAOSzjHWeS6mMzZrRpYqGORf5OT9xhpcLr+eb3UFulxe1iUmAnAMJpJRoCD0mJj0
lh604kID0vWR0fReq7ax664bIWpERFKPhGxEn1bvE2WszQ0Igcw9x5nDoepAtr63RwT8AySoLY55
qKaIau4olqo7f74a0gOUFj+pIrsYhzDeo5isScJTnc6ByMETbTnWf1KDDHOLBfgiDoM9wxfDxhEl
WKVF2GyBinIRR2F9KduwhH1ZVu4pYuT8GYW6vZnDEVs6NfEP5XvzW9ftQ3U1XPLqpiH/Y+KQNrZj
OV+Tqh7aXmcfEXjzzcBC9CGNCJgGmE6O5ZSBet1KPyatUqUtl3rh/TSWUz1xYc1nn0pLbSZQPZux
I/3nqAVFNBUudDkRghAhmOd6hVbcWG8is6eE8R65BWs8HBlV2Ewh+ZirZoChl2I5I+xBcp1LfAto
QnSSVyEjBArcDXV9/K7nDBPB2IZHVEBsimSF41ZW+qWvejpOIoN6tEf+FaO6TsWuDfyCQ+b/b0Rt
qn/spmLikZfMuddmzVysDAyO0KUDodcCXtdUND9QWAax4fG76l31kL+Waerek/Qinz225knVzxFA
cpqAeasRh4Q70a+5TKp6zOlbM8KCazgOG6r27lpZ5L9z6g4XGv5PRZrpoZeQkHHZUyGwISWZoNZf
7OGngsJP6RvTy8jb5iyx4QUwpftaIO/k28BXjbmxe/p+PXb/GBETXB6JCcDVPKrnIrAjSFRxcVWf
1wiAQnnFjY6Q4HGMuy++mIjh8TtVfWnp5IcV8f1Wdh7TbXhn7WGBbvaYdUY906pwlgRGmX8EfZCL
PK4oCUxTM29Rvp9vORdCAnmA/uz6NciH/VWtsKW1nLbGAiDULjpNrNpC3jFnmBDdkgYIKWvDSiOw
z27KgLfDppWgJe53rSk0VoYa56otTbcN5pGgCNlGetgVq6KUbRFXkdlFODMQy2ti7xsAOuSPYrKG
bT/FOF2nd5VnPmv8K7wDsRM8nOzDTNhMIevFeH4RKufzbMCcs2YPOM5wUzjWi7uwuxHClLd2KNwP
BjX5pwltdYqHODAHpyoPUCOv6qOS3we3uJs/pg0TsX3owmTsNJ6dLXlkKGPSjpCeCT+2LPQJ1Jt1
Ktg+tgdrYEbomTC4VJi0L6Hw8yTG+UZyVwwXLezd90r39ocFws06VIUtf0bjobjh1qp/S7+f7grE
WDHMd4K8iOhFCBtjxwGR4kHJUfFY3DdDUN14U9RttYmY98OCwMoBkCcdAnrmFqNQkZreu8rYoZcW
oyILO8ItULDvqsPMQ+g3/5fN6KLwSZ6ljc+8pTpGUCU/mL7wHxvjp3pgfRqX9RmnQLxR0dS/SyD1
uFPmhfn6Wmb9qymXlyy91ghkuTeHCSk3OmDPTxY4Q7tgiKoTlrPsUbN3+JSpuIZx1CGz7evCwZ1z
jk/cTZRcsNgPbBoYbUR2TfaOre67CBqoXEr9MsGs2JalEcS8Q0W7yhTzl6vU7w3fw1KfUyYfVFNZ
3hIWBPb1doWuviMfpf/Bjx0bNlpZwwEXFwjB/FAs9G6uJXZqmOffVksWmCN/xa8/FTxZRZ1uLeXA
/yfxeflSBM3f1IxoxIESKALZzSIcFxoPOHrborYY6yIrgdX9C5FifmeIYh+iKvY1UVi9eBqjtstP
pcNOe9+vnoeFBwuc2TgYtP5cx+MqmtGSJmNuD/94fJ3mULOwf3VlMTVftjHNw9qt6jGEA/E4oTqh
t9Oxg9E/msorvR+szQkxm0fuVGwD8JXwOaekB9KOiSdwu6B+pnH0OkYeihscjat0j6FormS9tJ5u
zDzN8ddInxeik+oxbyBasi4rqtvlny54BVbSeu0tIydUIuOaAzsksbS5KZaIm5cfUMr6KZxGA5hj
VeW5cMMcjl5b/Cxu7nCrIq3290Bq/OoRCwCByhOIsXfy6qi1DNa3fR40zZHuEIm0HJvwwZnA8UUD
KessiNbokmelD2TOoPW72Mx/C44NGDdUE6Mw4w7VQ0MctmPFtwhg3GA7VLW/K6Rv7yZN341cEKZh
WRAKuKdxzZnXoZARsYK86QeErHlch4jw2/h2JefYPgxm9v5jedqeSzEUdIDkfTgIqN3plrfwikEm
m2APyaT/LVBrPjDKIeKnjj0PuXAqkGYCeGALGeEuMonpDGMgG3RBSoUxO9vRY7K+96Nw/URy45tN
6K3Bq+mrpUkyuwn0wzRgGyXGrkOMO2yqwQch6HeFvNLiXDq9PMHkqskzXHCf3glgec0L2yxrQZxz
9f1+2TSx7UfuITFAZ6DYqGCroO/nX1cuhlN/tmpKLoKd+q3bM5rSCHmzfjnRK/AxcUjJC4STXJHW
YnsOn46lKM7G3CsD2FLgV7fYfZr0SWRlnskEbVU+a0pbptDFkaPByhzGpCITzzHCCszCyCPzV9iK
Mn1L69HEnxOe+eFsJtT82Fday6DTNhDq2onbiCRD94BEYJiOOe+qrFn05MaC1dGmdnHnpqmwAVbD
eoLwFhENUZ7KrAhngq7W1R6IXtLdzAagGYqKEo5/JBGdBw5GdsqNLMULRhtiij9Wknbw31SBRZng
LhTSU4g6qmDSz3mV6hSRBf1x6YPIgwfT7Zkvgwbn4lmf0YbEV/sKWZnPsbSt/qhTcEJkq3CdbGjC
HMx2yo6TOtDNMxcWLwsWWeZi+ZwxRUYj3X+W2XxdTlWuuaPDTcGsA8KgAsNg4m2Gztflcaynddib
2Ks/ydiw65NVEl7gYAcaE1fapTzSTZOuGCzTKu9h38nwsOhQRKcZ9lqKorOh5gQy456NGOlRIPew
ffLpXi/geqBBbixPDcNNPaRMcJDmtw3craiYn7E1IRxuTEAL7XKzj/flMIf+se6aeNpHVrHqJJ5b
8+m6I8zeDQXT7N3SvUzHHl8kavyqC7tLd4V3tM41zBHJq0PjfBUCE82YFgw9kTb0W2we2bB34Ht9
tcWIQsQD2chdU/vuY5j7y5WjNaBu6gMCVU5ow6Ll1CkR5HvHnar6lv9koAkd1ehxOQ4CQk+t4a2z
lvAJ/ZOZXogu6h+C0Hj8UaTTwC0RQh+avhaA7mImMo6rafh91GUUtJU9cbbn7SvFQjP+jnCAfkmv
wwzlsiGPcJNh3b9Dp9C9qypX4G6ZuD811jj8xR72kCNuVxStFYrSe+aIQj542qXwEdG847HLvzFX
hP3JYrq6CVQmHyTHQXUwU5WX+4ZcvJ8gID4nKTAiknzB6DI7lrDecgygBZ8TJnF9A0QsIMHKcgsv
WUvlLn8M5cfnLtPteIiXLvqBImfjpiZjkTGjGKihA1gbdpJnQXtqPdn+62GNMFeyLXLr+nWyb2xW
bV84SefnZVbWG68toVBIhgg+i0Y5hqfeT537ia7F2zeOKW9ydm1okifFUc8vL729p0vWxB0DAxwb
GP7ZYmgZ31XQ2awkw5VBq8gJ5NxM1dq+YdAJmPzTKCGqdtwCQ8scOvRtbiBokghu6+5JR5AhyU4K
9UgVuPo7JZjj1veD9Dz6mMi5sKcSDI7T4iYMYGejwGms4GXNcHXw/4EJhDDRrAW5NDrhLRkLWKUC
C5rg1aCTG0Z4VVAniNv88q2GlT4d63Gsf6xqNkxpmc3yzBazg3sIXtGPJ7Go4qB30vAFrnl54Rdt
WAx0VX8mCiT8cHx6uCNDQBchUm/QHhdNNO67RvnWPqIHbg+rYMieYEyh+xS25837Tk3MC3li8Pf1
uL0/i3VK1U3lQww+o4HNs39dl9dyZw3TkO2sSevqlAJsLKDHks2G02J2LsDP4XEHLPyuiZ8UaiMe
wKewGzUDESdlSVBVlISbiS8TfKgCPc4tNw1PEhHXjQ2Fszg43IrfxCvSM7PEDZ6pSoCcmur6iYfR
Zl7RWA0pOb6s8MNPY8wKI7KpHEQlZ6TFtcO5bVblhgdsLtCcOSnxFfecvE8YCeoPp/VJxeXpxU+Q
GZBJCQFi0Nm4EomM0BxEJ5MVRfbSLYyedyNIrXHL+EA8FsDE2kTzN7xkBmJXMgsv24KTde6sobCx
pmRredsODaVXz9C1/ux8q+teGac2t9awThn2rUkVZ9o+b6cxagwHJms8e+zEmhksKOxIDzX+LRM5
++xknBpOnppvp44qfDTVyuzTwULHSmiBiXl95rLmpFkaIqEh9cxBQYnFVybN5HavQMSC5Z+b1oSE
bGqHEd63FAatAqWnCI4UhCbY9J3tIJmGz5w/D2XDt1EuzkQokhfMMXCemEnSPLdxv1smvPwbBxLq
tK2s2iwHe7JSeTBFFInDYDEOczXPzkZNeviJHJbc+6BS062DMkd9K+bJJaqGrBtOTMet7FaRNhoc
hJFBQAVVgY+ZGC48V7OIkDh1lNw4SyWkvgDTEGEnrN6gnDCTdfiqA5NN9pG1wFB8seYd9Z0X4DQ/
uq7X+s+SYbO9sbtRrceq7YkeE+3U+MfF7mR04raYGIgXV9DpkNEPQ6FxWZoKG8z61lYqfGlwRRJD
BSMq+x7M2Khzxu3/R3gLexp+7O5idUg4kx4+yHrvZY39hzB5fhizCdC0KmC64Htw7MdFW9ie5gle
zLlr3fAPMQOrusCzi3Abon2MziSQrOGXhiiajBE6qAGyIdVDXRX3YecZe2e4iS36IrxwDqre7VLl
4XmNYtKSKa2YwMkuB/QHBz6pSZ3kMOjr1NlLm6XnRcBfO1XAcCgfpuZ3DtFEb0w3ICQxPoznnZM1
jAYGbwSa2FR6eOgghlBR1oaSuNCF/8LflF5m3wYVx50d26DnUjKeZBS141OBXvAkV1b9V6aafY/7
Pb9ttfNha/a9yQDT8WGdZogrROTpjQ++Zadbe8WNb4lzBHgw46AOELo3Ueq8Y0cd5NMy2j68Kubg
W5dzlzWI5T6EcIVsjM91wCCstR4dJOi3knlqua0Z9O2VJckpvGZBdA3KrV3FmPyEZiKHMTLX8QHt
GMt9Ecv6Y60N9tZakCR1mMxslbfdIlArGQeA2KBjvguTpquzA56mFXuudK1K5LErbqRWuv+VGktU
Xs/cSG3bXKup6PNKibnnM+h7iG1AQgTrVoXeqSrdTTG1oM2aevkKRN0B410xqth4U86eK14yRt27
tI6uECvjnJFPwWto6/gDcsw/KEceaFYzPSI65P2X48pLwNzWf5hpop5BCc8ceExU9ygfs7fBGrxD
GfEYltOSk31RFw5c/Zw2wFeiugNigOBpiYf/lD+U50bZAWvXEr3mLi7K+jZ20/LYVzJ4a6OKO5Bt
NrajDnrwZtIYxpEMRrnccCeEu8JHmwxyKI03eohdGGr4hw75SGY1QnBsc8PaERReTm14VzhYnIFp
oGAzeGXYpMAnEd6681OPmxSiwX1R5sFDjvrtNnKIH2I6DbcoZGSK4FLpn5FqY0yo25YXswoASFTi
sffdMl4VlLz8YdtZuIymWi4LBmXqUPEI2HuE62nLt6e5O5Zew95pVDl3u8Edi/nEOtdOE1PVAzBa
KgtsMLwbF15rUhgZLZdqb8J8tJPQ06r8LhfDHsG3Zo5cCYcLnkBNcuFLgTwK0Y0yoMoQSAc52A5y
4CAQICE7Ae71GVLPduvpvePw+iU0H/Xy0dsqb7bO2kfdw2xlw3TLrAVfR4Bhz+PZj5E3bLIUR+oh
s67sS04CeFWKQYrYVu6ELIChT4yW0vbig6dMdeXakvzD9ZL598Aprmu0If8vzjCUgQ5QyzUUiBOE
cEQ08wA/3JSEkj3rc/JvEU3UcMtiotHouUeOZNHYhhA9hmaE3PU1QhmzBCF/vEP3eZ0jo1naFnmt
F26j2hkZXwFAQ2aOajpp3Cy8wNFik8Z/Xr7rpuU4W6JYfYmUNd8W4lHMDYKFVz332Gz5eWcSO3cz
Al7sXriRcaVilwUaEoX9uEdz6V3gkMWs5pBvZIj9pCoOeUnJs+PMZkUphzyOoOimyOtD7iNec7Ka
IX3mZgLNmAMNSrzG9ZYj1qDJbLtmHsQBi6obHwRwo1Mbg3ZB3ZEbw+hEa3mLOULrw1CyY9k5vSKh
Ig56BSAlsvoHb7xmZkTk07/VlkLON+AaedZeCW8WwiDaYGmiYuEkUbZ9IFqGSSJPElG0BUHF4qYj
ctHFydV0+S+8DtDMTbSkXzYAMzQngy50AhKjYvsk0u7FJqvwd116oNpkPXHfo9ptafBDz7l+NhOF
b2s2YP2h6qww1HWQcc966QvCBcnlE/t2WckQohXx6JhcKjdeVyLq9nAnhzVBFkuLiEaZMpDQX7Mm
sLxdcH3oPOajgmvx5/LDfjWMfaO7ZpHWfMOhiTuapDgPvx0N1hOvN3bWcO4idlYxETBUBHFhEV4T
XPEAKBeeYgTPwOhS9jo8T3Z5mjQgrK3pl/jTSl3L3YbyahlCztr48E6XzmXV0KtPNKYg2qgQ7P1I
S0E4josagdjrLh72HkInVJ8iWloUGGMfMW+in9kNrQepya2ARG3GqAKhYbSblzc9wxGfwXfrF0c2
bpZ98t0AGZ9JVQ3j0Jgo2s1q4BGCHhOMW1ZcrWBvU/fPvkQnfzWPTjaYPA4/zhSBsriRDe2tQ40f
JayzOHEqxyFYJ8PmGMCkJiZ3x/fQloBpUuWdEK+I7OJF6OseWLX3hG74rT9/+o5o9R72pzseyipy
4y3ikcBnL4smi0CuqP/OuUj6BFJAeB25Er63zREfX+aiIi8SC9/gH7LAmvwdRXgnXguQ/faLQ8tl
QY0OixgHA89nghClKm9HtICAkCiEz2Vgdb+zGK5483puDhSC2WUMcY3sVOtgKwdPM0e3duAUUQ2n
2lRgGnzTLLtgbmHQhogCWc4PV6kqFWnwB4eYZR6Vgx+dl9pN/2Z/lORUVaL4XXJH3dZkWjNKAfLC
7756VUqsKJpKJEExWqCOrSpLFghjn2jx2p4xrgvtCKcrmrU8syxAGWHxzczAGCa1CrFSqoNznaHP
wlWhlgv/LHyKUd+q3SqQ0+1zBtHuFk99/8MidrYSShXtJ6OV9+MDY9syZ5M+NDBZncmnm+xRJd25
WVT7H1aKk+e0lJIBj9cZwt+BQ47ldk7leGsmDP7Jguyk2TFiUnqbYfR7RhNB9ys72HxW7ntv1eIv
Nx1C/R6qrAofoTcTV0Mehx6IgBQTB23HsgWIFtpCIJRjfiTBoP+zx1b+WH1BLTz1aClPLv5i5+hz
W78skCz/oBSl+rFx8clulFuv9yNFzEPXS/++yRTriJTDFJbN1FpP2aJa67budfWdkxr/nzdkhIJp
hUKWwYAiqoFYUC+B6R+gyzM9IZNxZ8FTM7b4uSoIeV2tQt4HLBT/ATdyfhGqN49RtqBQk3j9Dqid
gNjamSBVjIUVDLiO/BGsf8UVqRWHwcgaTZTUa57jUMxiAhXvhLkMckvp7D1VGuj5rmwCZGvK8lht
dgq41wWUpquSDsXhj7LpywmnsNWbQxBZuCUwo+j3uavfSo74f27EPA4MWh5+4cQmxMt3ZIZZHMcq
HJICjR12YWOHSbjkOZtVXAmDquPvVBcdYxT4SqtYqOo0H1KzrdkXKgjuA6v3XgFkPpft8gKF8bEq
5PxozQuZDt3s3CIvg/bT5dkDjtnlvuOpKiBez+WpQpB7ClyD6gLVcn7qTR/suWjKI6JsfSH4Z3lm
ob/uaPJIr5xD6wsho31DfC9HtDsGO9UT5SVBT+2dqF/es2B4mRpvQrog5VbkIryZsRDdBU2P/rmM
rHMTzXZi9/7nyrOyS/3hokHWJA3UPeQJBN4h5mnYzzJ8ZCWrMdPEYW4+MCy8s7OPfissT0/WAKuA
Er845igqSYSu4i8VAEvKHMPuTDG/3aRtVXGwjv1+ib3gywer9G7lzZViNbr1Y+OE9p2Y8nSLousr
jcisgRUZKqSrCgYE0xB9i+3pZeXSx5cXwWSKrS7BtCEJO5yL39YGLbcso3UuSVF5qiWMBrvqlkf0
g4RmdBZBQ1HU3aDHrm/KcpQ/SmXgP2Qtjx1RgQ+WGdf3gPcyoZMNcQr56xdd+3LiCsXikMMcfZ8L
vIuM9v3/QmUPN1CVrqTLLv2VFPNJFq3dTawjfeviSsIy3zdHdFzj24hKjN1urx9iHdJgd6AiLTsc
XjoS5ABp4DwBrrPwdzU/PIzxduhq99VGRL6N/MA9geYWR88M4i2VWfDfiNft0LmEBqFCcB5dpy9f
fV/qD+FHtPhu67wwUm/OgfTlgfgwfVi1jbEBn/TOAooSKC0PTq3+I5Ol2QGSYI5XMZW4MQZceNqi
kPaN8Bj4ouI6pJATsMF4Pak9pB4dlgqRLNUK8jCBEi0xZencVdoUb1CBKkTT1I7ISsb96ATD0Q+a
6Q6eK5TfMWAGQEQRs8SYASMuP9YXTE5O8A8WtC//4+jMliNFsiD6RZgRbAGvuZCblEql9nrBpOoS
+w4RwNfPYV5mxmysq9QpMrjh1/14pn22PJO/YWIObrxcvBLS9Syv2vFfRhImj3mytB5b5s47098e
f+HLvZMjab7skTxOkIzYZevpRG1T9F7nQWigo3253Iguc19ahxpPBBFTBFtydP2RB+hGXvgz7Xk/
i8IYf4kDklrl2lg4U3/jmPuS1ZJ+5K6jd5BpUaMsKFAVzYtwm3sEdmSu9ykFaJ9UpIC4ALgHy2k5
F8ALkle1e2lvI0qV7gUgKQVKo9yLOiiOwITbG5VkJEJLLU8LGaGwEMOJ0J2JcaQJsh194Nzbht59
m7GFfPGr0BQxGC8NEb0vI+fWgH+ieqAvjvIaB1sNBL+RUFFFCfSxsRLn6IJko/gbTCF75grlJtbL
31IkMxGAQYWLaIlT6fFDGCbucUpmPRayMWyESI9IldwFeMPpdH7xKA2nGdeIP7yujbYzTX6vuUro
CV3cVv7AQdFPuc0iclN1+IT3ZOMQ5bGKWj9x37s7D6KT2LjNkFECENvNn6Upn5PGBSzQew8tpFHc
NiXFGfwZOdmx1tzS2zp8ZEmlXvideBte2fIgyL2jMbvqP9Mxg0+p8UImExD8tnVLZ7/EmPpjOGJA
f/HN7KolFq/23BLmcC3CnlZFGyoV2XeR1bixsyxdFrycMnvjGtIcfKucdsVSwMjDcN6cvBiEedFg
WHBqRFgPI0MLGfOpcE02on29fJkT9SBThDGffaF1YUM77OEgcmRZeC4k/PVTGwWf2oX1P3CBuqex
n/6ie2KhaFIkADOvs1CmntyRNCDzwVgYIbs2w48l0a0Zeqm9QZyn2KeVIP9qG7dRz6xKSEAQGKV2
CB9EswDvbduzn2C9yb2A6x/i97aLgvYY6/L/d1KyGVyLPtLRVJ/E/Rjf2VnVZ07j5E8Re9al69Q/
U2FQgJD2J3WEfWktCrM1fQFhBHZuKwZLwfio4itbLCKhNmvzHYYtkv2FOYfmMFRXMisAKPKOXUqf
kButM69qiUyznQOw134PWeY8Zr6KnoQ7ZbgEjWRrju47HNj4HQ2GLTSmtyfDKNIvjbrwPImORGEJ
Nb4FRPlIG8ETZQb2rVBSHLp5Sm+2IdSHVeDHHXIxSEYFJw/Xgu+HyejUIQgg9jIL2uS+gEpcCZiQ
APZGtUXmqV9rx8QQm+t2XweRtYXspEIkN++W8p1gYE5oR8S1TYpukf1vHoEBw+mj7TsLmogouRLH
Fm1wZxVDdF8KH1hDTGkeVsXoUUlah7lRU5qE18v+JgtGvGaaeiZFZ+S0IqV5gbMC9wajxvQOTK2O
d17ApXPjmmzbhth2HuY5bR5JMbLOF7G1W9Ddr0bciAc4k/1lmvz2TKai/ZAdd0hPyHaPGDz/6eLk
GVgkZtrYv8HG/WM6boMVFb1uU1pEdbyksu4R4ItwcOf+YlsNbx9eg6HnjfZJzMV9DQnv6beCWZ9b
BuuTQR/mgA9Ey2Jst42OuZz5bh9sFCawp5RY5VlhcXiR7iDehqHz4Mibqh/2EanPYVN53IEvvJK8
o99X5onpXRynuWupz+CGf+LaZDJ21NaXt9jRKSfrf24Xbj8Bm4ZdF3lqP+LpEDiVu+55rsvhWKXT
9EFmvzr6QwXWjQ9WwhhkJ/oytc3yGHRs1c3JSC5dUNuvmeXz0/p9FqAs8QtekRrjk9HlxjY3ktcp
hXZIkYCFeRdikrPVJpURJLYqpBcDezaRP/b6DmokXFYn+W77qN4JHUWfyhyuAMTcZytdSWaljKKL
3XvJU1GP5Vu1uPZ5mmgkJ4ZiXUW9EEzlFkNFYr2jX6f8xg7g7LjLk9FZCHizfVQpJ3tNBYYxRncq
P9guwj7+oZbb+QbuctBcYlcHQp//4TQG9IHhMYRTEExk60W/9eOBOSnTJa06hWLbWZUR636chacs
VcYbdoz26rZG1jF11x1B7agrN9rxbEjmqUUSk+co21aZsGeMmLxjopYpwV68+m+SqOHgToN8HyaV
/sUvjOECxNfOJV7+O1cCXwAnSLcZ6BQ+pNL+GDSR100wu1rvyKAXd3STHHS4axovFvmUr7FSCsuE
a0ShV7vRNdUe1eAz94Y9DcjvydAOVGp4zg3DEyQyzvOc+W+qaBFwCGdkVHAQ1mFl8xlRtPDKHRVz
nD3EO+yKftiVrnGISyF+g0yD/VjZ6zQFJEzqkfvq0AFPNMhqX/Azd9AGo3mPdIBsVU4DlcEU+bBH
LEbmWN3didAsz8DVDK77s0TqKwp1SiERMd/Nkq6Hxt9RPxhh6YzHb9cuzbC2m+pep16Q8j4xk10s
BLeO2KcOoY5qhoUuTQA0B96JLuzg2mZD9z3wYnrQhZRvBLPG3RwPbAm4ibvUQNk8DW235MEGdbne
RsjZ33lDxTy7qelBoC4fUwIn9yyhSHGXD/S34UcL9I2wZRJSk8niLTeHW99AZ7DyJP3bWDa+KGNc
K7Yi54KBL7suwUS15Ww47xVu2F09lGMYB4IOuwQR8wOLR/fGsjI62XYZvc/teK3rZTgPGUD/imqc
n5ir9J7sB6fI3FubJOPIgJwiYO/4dEWL3BjOmCX7f7JXY8g/F70avskFuXUppxvh7J8tJgns7jRK
pLGcH7xITKcq5jW+PtcOoqQ1XFPGpIaK2RXPpcr/9FyN1wqk36PrEirD/glh3ZxIHhZl9hcPAId9
mhgrXle13+NE1SwS33mCnrUB/xz/Q9vKn7gVNF/zpOivaZWo3hZlvZOxQ8/oaSjcNgOzd9DI8SmA
fJyvgfHqoroUOD2d7besjMoXt1DjWwvj7Mi/+XIm+BQ9O9LQL1aj2ivP67Rzc58/xuoYErucfkzP
TeQjG7Cq38VuLd4x5HIDHcirv1T/z7sRv+rvkx+r8wCSpD9TqjgeaaIpHzsIoRtPc/3aAM4d4JMV
lcF5nMZfuTtyohBU8zZFPBVhqmNunqjF727fcUYEGStc+K33HKjngYYyH2aUuQKSF90kO+6LVgnZ
jrHNi4ph3jptjTt5LAGMC4nYnMet/Gp6VO5NBgromT7J6HkB83yim2i619jpN2pKvXOKYTDBaK/N
U8IK/J/dZtkDIOr6ivg6hxjHg2e6KqIXiB2Miwt/bdqb83ZAiGYPXfv72OmwCZq5DbB1LtFCuQR8
wBMzGZjS6gK7hCmKp8Dz8SxG6nlC5fxsXDW/0vFd7urCWn7jdbfSUJ/1jy0jjPRmdl9ALwCf6BOo
Pj681N26abhlidahthbuRg7etDae7AMUtP6iWgOKQzsrdrlQHDadVDS7Ny20eBnpV09n0WWRnUc4
0p7q15J2EzgVbNNw0cbA7LZgRUxAcVEFETjua40jvEtYR/MQod+5tLhY1sFHHCMvIfSVSyiTC8vP
Z8OyIUeRKA+2eRt5APpK57eZuJWTDW2KB468ACWz9pnhx8nm5oqfJHRSFNmJtRLBVVAobaGTkFBI
fSyV7afh2IomJPkE4ohZ4M3JAlKilknuh8jSLeolxhJM8SciV/bJ5ID7II1onOdRVXdgWy6Aejf5
NRYZ30igkr7NTf8DC67zZ2iSd+0n1skCzrnVPkyIQbf5L8Xo1VPSJexeYqIiGz8vsRqqJfix3MI7
GcM6XNVW8xaTjsYOoMohhCPJwoDuh/OCuAzsLCiumcsssI0zVkVqFOM5aHv33vLhshNpDfjgTIcH
HyDIkchUtqxIxeZor21t0IjMQ0Mk6X0YLXGF/SnOsZ6NfVNizamgwqMc91VozmRnEpZ2nwGy+2fe
Zta+HGb9H+MHjINiKmhwt+TOp5cLozPth/EOpbjea9xcEtWlG17oLyXGK+36y6x6Yx1G3dMM0eRj
GgHj4J/ElEabxNvC7YcDkivDc+sP+dPcLC4nIg0ffmuKJ9F7dGmrsvqgt7LaDZHzH7ivnoYOCK99
2RvfhqYbaLJVepSg1dYQQ/XVTxb7jLWtIyoTDynPTX5yjDBsRirr4lF6ycdrpwAKSOABMYklhDeY
HrcowUG2gaLpnWLl2TCOqux55ZFtVELrlqf5imaigTlC7KynDMAq/Buh8uGVDHf3WHHhpfM0DxuN
rXm0j5QkyDAgCrbHgRzfa6Jmb5bSEUCNhe1HFigiKKv/tvLrT7OEljoPtnHMnX56KrOGvgAevSOR
ve7MlyWhKYblyQbeofgtiWntWonGZGWOCYsr4KaCL/IrqDrBGMXudxroVyubPFj48XPKZAKc9xiH
o3fFNTTYQKj7IGhCTN0gwfMVRY26EgTXz0sSD6eK6aAiZkwFi+MR17eBlOCahpfBIkv7e9oulnAs
veKQBpF+cxmALpSLl3extrnAOHGwEbMw97aLmOHm2CQLsj0vIIccVi6i547F20MC4ufLL9zmZtQm
WTfV9t3WNF0iuA3Q2J23sP/qR5LNVQ21/OJhphehZeBl2AB8Wo6iXZLj2ECgZv5xPpVnzfbWtbry
Fe4cT6NKMuPaUUVHdGdKXVYbfTr+BVEiLHx3XsIvEaPjvqtTLFLB5NErsgZ0QgcL2ke1lgg8o+YL
bw96zzpj5mPBhsZfuvQsuq4Z7NO5H19Z5KLpDaVktZpmtOP9kAjVz6wXYhEmtaZCQ2PtmS520mOY
piMwzm7Ymizaqrg5/rU9YdrbsmBLBR3JZE1HqwcGyFmPEs+9KZWPMyHBOyDyySVvOvNnbiAAWlWo
0o5Ey5yVNpnAXEObZO9AwiGlQX6OKHTCBh5w8R6WyXhUxYrwsdZzGi8+rVjs6/OXPHAGlEKRlqy+
cpUllB0l2ETKoIufNWavO5wq/CdJbhA315Wxh8vIhUradnVscM4w7xWV32N/FB3b0wAU1ak0xEon
lcHyj1wIsSx/GfS5U4tYzpBCm1cw1+D2OrwAACrqda7NpIj8GwhdnnJCaoweTgLPCQRcbsCscTXx
1ICbK7piRVT0YpEjJpSTDiWFUUz/xVFxyCV8r0GuEbBtgOrBvzcP2uvJ/2RV/qnxADNkk0n0Vss3
DXyqboLLknb8XlKTo1Yb68EN59BClsQcgUEZeUGWAStl5STQVFoDfsh+mn3zX94bdMwQRTMvKdgF
8WRy/AYHq9TKD/t0FtAHS9c9a36R8koQquEYaQTd1aYhjcssVBntLU9U5a4DP9NcShHIIwV4ZnvS
eQFjUE6p+F7ZsdwlVFf/2q6WYenRMbLJWN+8stnuFzp+IFOELYV1+pIK0/k11ci1sEj85hHQhvNE
+Y38iGnOQh5AY37tIy6ge4GzmyZlUHAHt6wBBgUFzINUG1+gZM0T9F+FiG2VtR/iaRX+Xpbsq3dI
ihheKJA6aF6sLxZa9l9jyN9oZgaREwfo1PACCIw40GnU/A24+YynGct7lFszruV2eoFm41+4LjK8
xcgeH2QTaMYIIBFjTKVZNFf7ANTpprDsD27liDeqNA7cW4L3tJt+ZztLQ0ppuEh7I3sLpwyOLSkG
eg1IkbBZGJJnbC203WLwSP7ZI7YZvgxgwb2fmdP/A3DW2eVo3ky0m9e2vpmahbhLAB/03o0M6t1f
06ABEzmx5g+vd7GGTrqjRh7q8L7ExrYTo0cqEqIkDZexFWJQI0PsNdnR6vuCN68/Hix6KIF+eky/
GBFvzcB6YxvRgQYeYtYhMZ5P/KP6kZ2AecniRp5M1xefzjBEZyiEVIf5RlB/LU0bPOZqtaJFzmsx
MpuNZpD+NyOaHEwi7MSWwbnUnBL0l2WDozZW7j/4kzU9CniO26I2PbisBASxjCSvLftId+MM2G8h
TN6R7sU7Yqv/iBZa/40joW5+3f+NuugRtBN4UAwy/kUWonkyPKCJG6xey5EXTEOgN75PlvCfE9i6
oLhgU5Rrc5rumhJqweJABCkAioHg/ij97jfAthACD4r+zKCq/kXUn6M6KOfmgowM86iZNrZvHFk2
slIofd7/Jtmnh9ETJPq8nndQWtVvseE+j+BETgJ+TdhRzXkFnJGzreaIYo14jHNCO30QGWFlUX+S
sQzodhPI/sdKueWFtj70Tf/OCjbFutJ6FxjMEVnjxEy2zqJfxFLMzsbvoEMXmu7YihNnj1rPPgcj
5AH/DpdvVoNoSSOGz9n96gidbIbRfvdZ3TFUseuFDvAkmyC6GpP1mDHtbUYi7SEwKj6qvhh28yJV
OE9Bs0Nlr/YL947t6PbND5jEIcQtPIS943wkM2nTGnWRuxDYTubpHVGllREs/Qesu97ZXfWOTtBN
1kXYGVVHqNxSwWsRw+WjuRnqjvezkC4Fmakq+yLxqZ+qJPE+cBxc3AUfvujSlFJqF716FF/zrP6z
2vyxBzHRt8qykUjM9mJHZXawpXfCDOzsPN+t0cui5Ijzu9jHjLcbv3bnsB4668Y6xb+46XwBXIiO
zzUBaJHDaLXsVeLMF2ysfxIxSuaBDvQ4ZvAQS9l3Bsdli4kzY+k6guSgPW11b8bkbhcr1rfRRKcq
koDsRWSe6TrBNDU1ctdNjiDCaM9Ou5FJ1X4JLN2hbmvYy63GlH2hFFV6WyV5N/DNAHkrxGbycUiz
PHMPcKes53a1jpSxV+6DuXD2vQLuoVcWIccTJvWu9q4t1lrs/iLZmVQQI1lSDQ9ZYycImRM2sIYj
FwGcf1qoTaKKf6XN48N9zrh3DJVn3+z6I8Acve38tH6I7OENVojzEnc2Ml6Gg1TR8tpH9qGR9vQj
TLdENfYfJOoi91iwTBBEuhCuHeAyspBHyFL5tYfMc2gG40eBht7kOhvwYBNl8T2vp4eEo+go007+
UOaICScvdH3hKOZfQbHbKwKhrnOTPJIHp9rdNbmF+XNV721njk6FNJAOGMTTc1KNiEWOZqaQpmA9
REak1CuJL8paKoPpgXCIMdNWngnKJQ3vi9D8QCfsWLjgSqQYQyvA7bqBnzaQzxXptYXqFALvandt
0KRviTB+QOGP+uynBmBSwue/uLnN51JABT8Qqaixpaf0qhvV5IZLR18wojQSH2M678HaHi8Qg4xj
JsfmRtNN9oU6gv0sbR0+S7TMtJnrG0Ub8sGyVRjMf506dVDcOi74K8QNzsey6/2aFKjnWd5JBYhA
mTnmN7+w3U3gW8ad1w2+IP3d4mvKDhPi65djD95/avSxJol4nrcqi3vrxGodS036NfZO9OTxVrqg
2YZ4NfxHQiQPri1pts0qJx537GM+KkXOgTcsCLCBW0dKo1I5Fbjc65GELs8+C8j/0p6Z0A/afMf/
CM5msjTzRSxV/JEaVIX7kSW3+Od9Wpe879me/7Vaqec2QW51YL1saCv7MX0uFnWyPPh5bD+1DVY6
My4f2rLt2DhbOd7w3NyXVCJtl8XnZea6fhMyjvpvrNwJyxSjM7O/HY1DZnW8lVoZPPirh2FMadOm
tmq9pMamuDRTxwuwcctXdlc0/PK1nhyzBouS5G/c1jiQ2GaSFOT4dxA3ZOayv3PIPJTyCYvEU7yO
jSD4isd8GduzXQ1WSOahfqENPaJbnL6rnWVOaufF5FdLxrU/2NUoiB+Ht87Ac1hWvkdpYg2TqpHM
UiYb/DZYYS5oCPdJqLM5Th9+G4fBgIOtIru0TPaEWFE1bPit8r/YnpuG5hQDoI1kJGRD8DikmXzP
F2pxpjl7Ml2PV1bbuedKR2HR5T+9UewXsMKc/qA4Z36ZhPhcV8X/9cYyXghMwbbSnNdgc9TVCQKb
FUjaHeZkWH+GPn7yrGR9+Xm2+2D4cX+IRdq/8iqd96au4aw45VB8Ss/z/pqTyP7i7QBYk6T1PoPc
+RvJ6JamZI324zh89vbypLysfygmNoTbgdqFZPH6u2c1Bxoe/ziy+4mxem9ZA2bk0SbzqN1KPbB4
XDu7V15OzgVTJ2rv4hTd8gr5YYI7g32dTvXCQeOQej9Z3UwkZxridNN3tNuNqin3CNrVwR1Nn5je
uO6Smjc2bC9el0cEbuL+kptV/tazMLiNUtGMiuas2MrW+Vttc65KIyZJDFf5OPrBAdj9vyrzFkDh
/b7QPGFpjn01BZ1+4mviPNZGcphmwnXarqJs13ey3XWVBS88HbXBip2dkdu8dVidNngSoNYIht7J
LAGhurQi5c5aX18s7pUAozY3GLG2RdR/BY06Qjkp2VyVNSSf4JZnpN1khLuFrBStZ3JOT1QSZhfG
r/gwYUh5UNUnTilc7uOrQQecB7ylIdSF/cPmkgU65hDL2mfwrnpFBR4UVwOq4WHUuDkrnR/NvhVh
K53yWRHH3NfpKrxmJf1afcEwXHpPsZMdBflIkrtT/008oj3YjjGH1CgyfFsSHuI4No9qSe4+SgIj
CbzsElp2sy4VLOHWP0TA07993r/wBRLUoRbTa+WQJ2CD7f51O/guG2RLcc+bonu0iHpS34oQb/nj
n851yRJtlEjvibYwqXtBvErFDFE5UFPY5ek28tLmIRjUExbN50bgKZ+pg9yAhPkJVFVfoPzU+2FO
mBbVWvSes5S/dEbTngYvDXZTTMBTVsxtafwzl2xsFmdyQkwwr4monpqm41U6lvy1ThLLo2Ycuo9s
iolhTZi82fEVGpG6V9J4IU26KuF4ACz8z+t3X7zbKwIwCxhzcMAWR8NNnhdWZ7ic8noXY01/NqLh
VuSQjBkqzD3Sj7lv/Db7z8SjwTHDF3dwg/wwidLcc4J0ALFwgO3pD3W3U2uMz+k4KkqU+oUoGw3Q
yGXY9UhSeClCLZEgCtLWCvX2Es+siaEshIqfs2kcGZLX4aYXgzrmAgzaHKXNqY5dlgDIikD4eP5v
1CcPDlZ16LLsDHL/m+uAd1qAuxwsbbsg5HN/33YwlCeeiyri5QggRuyxRHOlRRkcdNhEvn713bje
pa6fvdIscW7btny0ZWv/I7bEGnTMok9EHL3iDOHsNaO/Z1/5HvvmSIiZS5G/GcU84YSqF9YTgZ41
q0XM1jtzHTp2RsTUCveA4vI4iM9gnq+B4WhWFqB2cpsiivNC7PyxoJ3gLBfwlDy5jfwTlLK/d4Z9
bYBFIC+y5zgRqMD+mQRDekl8+g4sBo4NkYHsacnZQo0jnQ0Z3443FnzpdmpE/7mw/kT+oO4c6E96
Tsc49k4lQuauRg9hljfpMaFNSn+DRuK6aRWJfSC4Vuz4rtUHOBIdgSHYiQ51fiCwJV5w5k76qAC9
8qFMk/EEJ5BPxi2MT6ZQqgZI5m1xoV5XMidbbqs8N1hOCe/MvBovlpzKF2eKhzfVuu21zmMz7JNF
vwq6FmL2fWS3ew+dwi3nS6GoK6qtktmQ4uVfQOEB46ReI2uS2qwdrkv4YmWcjkVIi1VzbZveDsde
fOdBdXb9Qf9V3OEu5CsFZy/Zoondod3/JnzQxSEvHQ/bZtuCXUizJRoOdGdoNtdRdMMdP15iFXvZ
vUCscULtogadPNFz7DdcmcnPokJskqbvBXuuWr63hFP2DuXcN5kaODyXASM9ftLK4R2Q989S+n/F
mCZoVZ19KMCV7SdvxvKdW4EL+9pDMeXqFS4MEgeUfQzrowRQNZHRimlWIh7QrttPc4I1RKgZ7dvJ
l//UkLbfcyn/m6veOxSqy/d4C5Icm2bJdxm97bhA5nnO3NL44zd1REHXigfAnU2C17coOoYo3XIx
LcYNAN//4CMTX7V426zwum1OtemBi9OwbQeqevjhgY0k672eu3x97uu4AV1Abt+JacDDoT5Y2yXI
Tm6VYkRsO4XjeG4fODJBPWDGx+lujvNHP1o1/CZCahyW9IcWr6PN4vcstc6wxHQVjynwMLygA6uk
GIGB9p2UTyTEDOXJg29O/amosF9tPcx5B1yBHUvitOze6dwhOQ2yx3HPJWCJWl8l1jfW6MaoknUe
w5SiSBTXKSZHc3xYcIfDtfGku1/K6Itpe7k7xNTNDQwA64hEpU4j9IpXMuESdguGy/dWKloQsHmW
d1NpfciTAEfrwD9umn38C+Nz3AcUjZ4hDvwhGFMdF/IBq1ERCbuEI4kAnbmgxmKzZf0ja+fO9D5c
8gmwG8Y2BLxAifgp8joPFZvnkiQB5pdGo9Za2SctPP05YWFy5ILbgYaV8f8ZBuPZhOmKUQEdElNF
aZ4iY0yweFJ2SBcJeZ4fInpEke3EtzZywBRFAcfWJySEuIZiskFzyA+mIexsXwhMMWQlEvFm5eo9
mytkyHkGIQRVwcYQ6ba/fVKCUgUEm00sObWcn3IKjDdjgoWL789ugvp/xcfkPXYYoQFFA8JsHdbo
s0tjFe+D/1J7FGFUzskDN4H3mNXXJgfjB6iHO9ypXZYRe02TR6hySupzEhXLJl1UscKUhLiMJsvU
nkH4SPLGpvkI+iuVABQVtfDVMAbq8yRSYnASnnvhurfFrhdUhKPZshCogiQ5Dn5LmD2Fou4UfbDr
0GGw8HLy/mG6IisQDc5blFgffKqrBo71eRMb2cMSyeWjcsBD1r3GLthZ5pZoWHUTuan2vpqxq2ft
na5XLBAR6Oy1T0SwmJQK1GLBg4++J+AOAPrgL1l3DUjcvKkAp4K8kZy+PD1zt/M77FGNWTMpZSA6
6dML6D5sqwsdLyOVn5G/G6Y+32frJBoBg6R4ZPJRWkgx7Ageb2o7Y4oMNJ1c0Nifmkz+sh34N8BJ
IK8E+GUwaBTD/VXgZB0cDLYLvff7wZUWdycXXy34R3inaVaHll+trqSl4g9c3DcifiZ9BdJLv3iR
PJOhpcNCwAgACM/AT2XaMrTUchnRfQa5QiBkHqYr79/2eSL4Op9I9Nsk1fivGcfGzKmBBjhQyOPc
MkucB1zFR0TV8phlAwUsFhWI6YSHcCgIsFCchw3airPLNBTZ3Q+mXQK7+SBNG6pZYf4ssXFQbUdH
aAHEstUF+lZiBc+zprtCTlS6FHNz8huavjDYGZ8xLckQNTszggjiLYAZW/Gn6sekCeluhcqiobFW
njscGEK7c7lgo6N4tHnyu9k6dqleIRlU8QWWIqVhB3eX+vlLRQv7LQuMu7ateudAGsZ7bKDhFtqa
qFdqSRF0uofOM9BX6q9I2/lPQ6sdtQZGANu0BGazJk78P7Wt3Hk/ZfNSXky48i8SqbY+47xAr1Bd
f1JlrQHGdn50VQNf2ycwaHWxn+ockEYyl6MOXW8hdbxjjVj1pJpK6zJ16+HdqvZlyqd7ZpnuzmrV
D5mtqdnOCicr+hCTX7PQsglYnswxdqIZT1ESYxJ0ITvsJm6GxzIN+AVOpvvfNATNOUKnwzKK9Nf5
xZthEOyMZ3R0E6tdAp5+08ETiEk8T/k2n6YYbbKotlFu5nhXzAL0U0TaGrWmE8XFX2jPdedCP+RO
AVRPyLjdFo1f8rbNtGltcX7Qcj5r651jvf7HFLB8NFwup323yOkFrVW9OAuE94yU+1GgSJ4Lw3xf
KeR7Kjz6fWxawSvW8oEkVaIx3ttDz8bTbM6e2fonhgmIIvkk91j5EewsKnBuACvmgsh3mxE3j6MH
l7dS/mTYSugLvUnzGXCNhy3Ob4YjnhUdsOpoq23GPfUoWYw+CrFA7h5k/jmXhffdUNV0d5bCfrfB
DW6gOLMIs9gh8i1SFDNtWVbFRHAiCsZLJIEAfgQsz8bp3jL+4I+2qJtwVM4etYLt6kIOOuRHtBjL
lEvGnFM8Ws6ejNJ7CuvuUfsw4tDEAJVB4MymMJ0n8kCldvPtLFX/n1/PxraXLfITJ1Xoe1yya55d
o0znZA/NA7h+S9zvCCGw5RnkikcrMG5xSnuzdAebC5t56s87kxTOMS0Dea2X/AuCe7xfSGuTPJTt
OfG6a9kvrzUkMEuxMoJ5RfmPsXT/hhj1MJD1puk8VoDacyQbxrIwNp5XthA3Endc/67XqEqLvyUZ
1n3Qji2utjRYyAgbeTh2kXM0YWjjhy3qj8XLDk5a3rwk/c09DgH4BoTdh4zgB2sI3l+NbtfqEVfS
vZ4a2TZOQFJlI1TjGNzqvuoR0MhP9uW7GrycXRmIc3RYDtgOZ1hocO0/mcrOHxcFzKBHfUa5YVHU
RMERi0J+zLklSAKE88vopcuNUuqah2ZGBR5bFabB4F6Qb7g6y3I81ITFH2L4Tf9ANLsAm2FqIScH
XD9wDj3JeQ6OLKgt/Gxk/JeJFXwv/X+SJvULFUuMHFDsDxw5AHDdjA+Br3EoJ2YE3MILITuv/mzY
JPiUvC5U/AzK3brdKI61b72JYCpqIkNF+zXFkUs8uma1GBaptJ5x7T9TlGGf+5VGEVn+1W8M94r/
km0mq2VagEVOMUASPSdsKXfUhuKiIKUw0LYy2sEe1Ob81o6D+Ik9DNaWT/xszGrx1IyC+aaFnG0e
q6Dzdm5Xl09lkE07m+DYHV6kG4Qz/3e16W1bwSLHMXZhydm8265su1CpRL/kqrCuSxbxuNppdiR4
WpyZBdmQeBb5e9ig62ad4ZbVEe3Z2sDi4LXFoO5aus330MXOF3PMcM7j2Tg0SmSXIBkGD73DcA4w
zMRfRPzknzkLwgSI5MXcV49yKh61o55qFkmQCgIS+bpIi/tSjXlIZ8raZ0OmbBtozwZ1bFANThXY
qeTGy384FWhverrZKlB+Urf/0hTaktVxrCPE8sKDRsCWsELO2SxVBYNXi3vXTvwhfGfzoP8fZ2ey
KzlybdlfETQuomikGY32UK8G3je39dtGTIho2fc9v76WqyYZN4UI6AECJCgyg+500szOOXuvnb2L
pK13I9VKgrJgBEIgdbDDfU9IGykpoE8MgkEmn0dV1WoPa9FiFOKVO4663w13ao/nCXf3yAfG+hWk
mBWX+ByjctvaU5RQhk7LQ92N5RGscgirb44cYBGcNd8XpvCIUrxhfNOWGo5TWY8XbZn2yQIwhCsE
+I+azdfG0EN1EojVOHN9YADJrNEcBxQZUzvfhn7Sv+bGVUhgi/qbFyby5MRR+TMJkSBtkIwy/+vE
CKvDA+KLC3d0A8yDYt5ra3kmnIlo1AGkyoaE2fiAD5jJvwQahHRPT3vRBkizF8X6VI/tv/KNcRfy
3DNZQcQqvkVMT+/hYBDpXvGT/Iz0kh37bNQWMyaW3cImC2Y7KthoPtLAM1Ays+NNyB7mXH0fMHdu
AwHyOlLQKnGONNzMlI0Hj/zsDRG32puzH0bhGcQXhBygo5f1M6lCGvOdyMZ9q6yDo/IMl2bx6FLj
4HbAtkJjiXCOsIqQ8kCEYzQhGMYIz3L2blUHN2Qkx09g9dt5RT4UXdpqgjjGgHWHDhNeylSg4vcG
b7pdsGXTk6pVQCOZ1iNSUzq3rm8AohVeeQhLxhho412zPKuujbxt0+j281DZeUYuRz7Hm2DqrXqN
8ZGXH5VGP7zCzEJDJMvevtFkpZ9Mklrmicw9b6tFDXW3gJKzJRXc+SnwfD96Mgz4wQU9zwGBw3vU
glZcpZF0b+tg7sjXQ9i/S0y8BHtcDEVDLyofrsmSqAXSqaOPMzltFz9RiE7uFvopbfWi9vNNa03J
u4qcdOdSzXif6QuM/dEaqjHZSbslcBZsGm4lj93j7Mxx/Vg2UMiAXAf6M1kHOn+IaKTKp1ZJ5luw
PMrocWBTKrcmMFVxD1NdUX6SFt5XpwGP77QbVGKpazMvumljAjurMU7cJ+ar2JdcO/TbFcAbkibX
1EPhLg7wpdMuIi6cBp1DDHi1ZDfYgV0iywvLp9aY1DyMNFWIcWZiRiPlmEud0nlB6opouxyApcUk
b/uVHHDeZ9SCK10tU3OePUdkTxOEHmvfxXq0g5UY6pK+TDh/JRNt+dLkZBCepbS6LziRnV1WqHC5
R0ybNNsmaMP5hSMjnAb6/XHxzZeteuTwmet9Jv0AB2tPI6vNVXtnZXYq1pCVRu8d+3pZ3buVUMue
sQQqm9Ui6FGu5wikTrWi6dUDuEwhvAZWgOEvdiQ7b0niW7W2JplNvH4dLXPKPpszIDJsQ4Z96R5x
pKovUiaE15uW8ylbFem+QSL6u5iBZnYTQiVG0YPe7bgkTS4R4ENdviUXo7hQhKbqQCE2svynE/bw
QECTXUURn32V+uDJAAT1ID5Htq2Ztga7tjF5xtsqHSIlel1WYoNWJ37nmOoSnGlX+cvcpH39pg2/
1RbKCU33IGH2X2tfByei4mxxzKMunG6Y9c+KQGcqvjUZCtFbmTcly13Q41AauOc3eazkeKp42VtY
ga5/QJDWOq8YuAmtlWTD7j2O59+QQg6vzGNq9S2eZHwzqo5DsmKMuwXPk56gFHX32SiKg331CpU2
oWMrq6LLT0/Fuzo3wCC90tRLSRotdBh8Ljk0j48ecnKWL+LDwSFIEnvKtrhW3HmPRc1rg3j8OWFp
L5FmRrreoQGauq+ZNZjwa0KM/XiyndFJb7JO98fBo2lLYFSTXWkDY4PG3AqDU4Xoyb6gtZ8u+E3B
PTbtQAC6ly/EFpB3FFGA3aGfchDjxawUkxujQVuU7OObomqs5M7OHQI6w9lJTi4egAr+UCQZ1FGu
Dxk9TKI6DoWdINwWdZgi1HHDSzgYsidU1qAi7vOMGNAumW8sVPkdM28Vv1noCOeVLIi/vq/dwErB
OYFJ84hz17fJtPhvfY8WfGVNuSHEq01f66pSm2IK7ItfVsVRxV73JXSMpyHYOEqcqPEYgZoFjnAc
QzCGazgPRU9kL00XWtZJGe/py5HCOA6hjSDYxb/Cmo6bhMWGAJ+uCdDgo08vP7te2LscVpIBT+eE
XOBYhfb4zXgRO21KUzXC0Zj10xY2PC3ZJoRsdFV+iKA6Bm3toCrL2gWFv13b5SkBvAJCNw17+n1y
eMwnJj9Qw4FCAUNwF2f5KnrVja+EjITtLpnK5Ko0iWKiWuop9pN9M9rytqEbsFxc4WUPKQwrXayw
VSnIDsQvkWA1VPVDNJO2gZSNbMaV6C0CnoqCPtR2YFxMG5jxQndura6X9FRD7d/Z5C6wfYvY+VRS
T8HShFgo9hEBaqeatvr0ifwJ6wWZM7QJMll6H6LvlZgdrRvBxJxKsnXABJ/8FNdFTRcrITE9S0KU
DXZQXtPLRQHp0IUKjVKCXRupaP2c1hA0VBt05rXqG9f8HPB+9/fYiUsSA9SAl8livooa507MrU1H
tbR1pk4+Yb27MsCOum56+GQ38dg7A6kZbhEdK5/DwaFHarBFNtm9uE0M+q4KS+rnq9bnqCVMDsuD
IjSTV6a/UYG0WyL+0DWF4FMfjMP09FwJ1IOXzruKHDuEoJBnG6arK60JfLrrRebjqo/x+BOK1nWa
lIgpd9wSc+VgjppQnvo4iKs20b6KeXZJZaKfZKAI/46OqZffofmUcFKM8Gu83oLmP93QRGm8esnI
rqMjuxM7l7GrvndNGDHcYWKycXEuhRvOyel8M3XsrQ922dB4Q+tUn3U+lq8YdiZOSYXVvmW2U2/T
OK/Ee6RFfow5mDD8VqEH1seqm/alAh4QMftx0fs3DEX3ThjAWfMi/5jkTfBdE8ZAG7+vzoDQgxOp
3OONjkUOC4lPIImsbt0GjWmHjydhxAgLVqFoaKkFmbfxX2AP3SiDCKGHCWWZB/cBT0Q7bWSkQD8i
45Io2FzJDBgzarQNBT7wc5Gb6Jpp0vWLf/akg/x/7DEjdTwLeBtL1Wf7NqhxO2EEtF/84ormBnNG
d9NZ4nybMijN16aeCUTAUEspmbGqrJOh1hmhhI27jji+v8a9Nvd8TUaL6Ij7q9R1ju418zVn5fRu
F+05+7dkw5WNq+6b0bhHy2c2DEdgQvYI1Ba5XVgrm6mJO7+6QnqvTjSIx7RPmdyP18yJW79xm+7W
Js2muO3oAgXfcoaMrByOZj2FOEh+2YEql6Yn7S7CuEIdZ1a8Mbhkw4xtguf3YI2xy5aDLuY5nHJ9
o3U3WsmKjCIru51tyi74YxHo/4l1v1q1uaXfOZQK6xGnPXDJNJG4UW3IsXs0V9lrj2ty/IY+GMId
G7obveuO8wnsoqYaL0UyR8T8TBpRkYd1Y9MQBXENctYS65UuH12AxDhGGorojed0WNjaEq/MecmT
ASHalc371ltNsqU6ry48GcFwgx3TeSZjhqB5O+nMMWbMqxmuq/A9A8g+b5DqGV4wfvjgHMALxa5b
1VtwL+jOi9HSa7edCsm4y1GRd6cGKrUTuM1cLSuwOTPCrDqMr6AQF8DDCx2WEAm5y2BgDgwuZzvK
v3vC5691UGNuGayNLuIzztAHbCvmSMRBh9aAl2Vrz30dnt2Jwn6dVoHM75Pag/FBT43DbzbWHljL
zmGe6NgpPJdSe62F1EwpjXHSdxS9/RZxMJRT423J6/CmzwYM7Z0l+A2dDS3s8bUvOsstNrhF2neY
6ETD1/g0QKcxWT+HXa1PdCquxV4XX7sWnuSxk4lssJ0K2KL+SvjSiY9KQvw4FkmsCX+y2DdWNIPR
RUbaG7e49pYbetHLe9gKu9n3c+3RA2pmQp/6hdwyLIfjGhWhvCkAI8JzVFGRYGa7EriyJWitV2Sn
wdHXCNrPFXgy91I6RT09xph6y2SdQaHC/pfWoa92ohNV85hH88gMBeItdahCC8tDUA/gZtzhSGN4
uEEZ5pCMPcOQsZS60XB+zAbNtIJEkpSt+FwTIeBt+oZj8zqBQTOjmxGxyUCN6WI8CXMdlpWRQ/W8
KaHIGOp5Paq53yQjzyRjOOLFM8LWeSkowHbONegknHr1NQGtcOvzlB7IX9cdKY5LOV2kZVMW12MA
8L7D2wM4OkskDIWGyYDnmqnZqBl+YNbUiHuRd49fmVZF0Te/Ilz6Fit8hrvYIQpy59BRDZCDJm3a
PUayZ6rvdn6R7WE8CXWhWU9KwajdYh/VAd6Ztg6wSTBavq0GiAgHz8ZCvE3KpDyjZMi2Q23rQzih
f93kJY2wfsK6s9JFpK9s0ZDbvDS3pE5zmA7V2LZbFH7ujp7+iPiLkWQN/yjp8+du8tP0BsvQWKK0
X+zvJqrFdzpGkJtLyzWCfx3I5OeaF0ZtlgZgUTh1YOFXsZcz4+4y+YJdV26wcfRg4wrrbONq52hH
k7K0NlXmiwL2X5ZlhJvD1UBQ5BTBl2Vqx+0AiqWXYOfCBUJrV1jOqQ6lfbWfMmjvMRm+eJlVeV/s
NmpuUaYvwLWqco9OgpQb5lmJiwBp7nfQ5CZUB2VPAwkqpIy4H4nTb0FJNpQ1VdvtVI1WnvapP144
xyXlC4w+5A/stYPGEtpxtqnUzF5QD77nkwiLiHQuJwTuJDuE65KoVMTUlTWnj6SEL/5+6DmwHdtO
Burgl6GonjF2sUZMCaigL9MwT7AfC4hiyVXCXVWnBRQdnn9tOz2VwRLGj8jTG/kIKG0kAYe4Xqpx
E1kwiVYlLr7xBD8zaohiLDj8PMMIpJDaON4VeFoaS22VF/cMfRf2yJbipkqiB78jcXLVD4gaU7Te
aTki22IWRiQM+aPtttJj90Nm14F8Qs/u1GgfnhE1KfFmTle/lHFo9rESbr0LHRH5KMqUfM6n1jx1
fdo9i8ZEPybIGfZnBYHjivT3xXf0jyNy91QNDxzdI7gzEe430Nj1yHYegXFq+FtaU9LBtbowerb6
2fpUOP18MTSQAgJFfDjG4BkhvN0EcAMfA6r1H7Vt6BaxFnjPYM/99GuWjv18nwHAv61Mx5eHjOES
ryuHPNzKqpYMG4rUwDoJJkigvReVzTYXuH7XUmTzGb81g5OwFsPzhAHui0EQJnZI7qP8wa9skMmB
8e1iSyubtc2eOFOEiKGfgZFa6jRLv584A2Vg2KGYqbIA7J4Sh8MghtGh3Rtzi/mmqsjyrYmIyj0y
kM45iuCMNF2SVTHBRFJse1Jazk7FPBxcH7HqjBbZ/baoE4PpAbuSeceYkr0wIR+HbcMw/ahzj0QH
8E+XxWESdKI89fJTyCD2a2Q3w6tvD7A46PHOdDL8mfhzBySsCcXYfSbItB6r81LTGirRdLFj3cUD
g0gCoq1q+ESkEXoZNEULEzygkgF2WmOjZQNqvNAnY3GHZ++jz5GlVZ8nApPLNToBJlNR346MKYkl
I8FZ+V4DWxq54HQ3CDPcD3Wn75y4zJ88yJXBvTWlRBI7wTARlF3pzohNIaqWM2BQmXLrdBT6BCvU
8SHuK/UaSZIJj2gGdPvccpKBL5A5kdgYEoM0ZXUFK3mFXXWEJmQRzCAmOzkEjYy/qkjUL0o2sIyS
wf6WJZk5ocqpf3ax3d0ksS/PVRaG2d4xA3FYBq8GXbsxj7/nc3uF9LpLOBCvZHl3OmDWdtfigDLU
iRyPz7OyG+cGCXZbH9yBb4yATMZrExUpdebkxzXsa8dzP8uhs47wFNrxFX+0sZkCUJyC7G+wlP8o
fY4A97nMaT0zJFlK813JVia32dgnNJocYG7ERrCxoPsL3IldRnAC2BQkRouVATN3GIYlHm4pQRB3
g0KgXJiSBGAl2bXVQlb0wqnz6HkJEt1xrgzR9vMQXpqKlKZtP4sUcPwSue492hurRyHL8f80EZDC
NeYE707g+uPdwCbx6Ohlvicx2qseSJfKPhVFSGd1NKEH3COu4vVSX387cMQIpwpc6pt2rDPrIh3Y
JsVBhMTEAPKfG1M9Ak4Eem0lCkziCo+ccMprEnRC2ICKDPQWHagSkaweqRhWzHFHC1BLpSZIbnze
UwDXlrAOVfX58GYxoIww2XUVfjW6UvEUHhYM9x4xcst1EC3Jtb2xa9YgFJX05egmzdFrCEKwAh1Q
Ls2GMT8Gf9oqk36RBODBf0fJgjHatLqLoUPCF6pWbFymuVFMwN68YILa0oEDyeialCEFfz6TjJuA
74AQMskS/zq4f6pMpVKyYTr8kuItz5sOtMQ8RKF9S0nZoSTMgAgz03dLmWLZwMeCcs+Xi8VwICFf
E8473VROvRM3ry29Qy4KjCNhM1nEH/rq6Ho6bSHFcDaB/Qvjxnu6OsmrH4CR8304qmrv1pTfPzR2
djSzxLEctXEYlOJ/zb9NieskFPpi2Qyk2+sN0e08jWNf02+FjnG1aYyZjdippBS5iy1dlfeOY/X1
rkGpFq7FUMjsaLWT7V2cShYI/MIU/SbZi/hgSGg6TDz/QFDd0bN/YCX1sz3GOpbNhDL/7I0hzOQ4
zep7IOVs6EFaTbdlZ0Ajr5ourL3nDCuofMJMkWfYS73J2qK0Q9VYAS1Df2jGNwaT7oY4QRvVPt2j
EGlJZTm3GQfwF8FJJH9ckiJ+8mjcUsfRPv5GLAsHPF+GzaNom6TckKThnwve60/4LxcI2TOSMYoz
GkeMVsWUrhQFyAQ3v8y9c1yG/AGZBpAkydjwwbK2VlPdMe2LId1Gi1t7r57Q8wHuhMQLXBBJSWPP
XfU6gedcpPWxdavUum+phFCUCFdN9yXrKQNaJgv5splaHXqIcIz7HAN+RKAVmyLDwJ8ua4ziVV9t
xjxxmlvEvXH+qYgQ836Wnjf0RFaiwV97QduN6zS2reAhsvArMeiXnBNw+5aO915in9YWJm3Xcd7w
JDGzQ2Nm0iNaqOrWmST8IkYO6oshDzDAIUXYNZFOrEbe3lpoZOTUOvTwby0RpMEPU9LDAkvHogxE
+XPFL+odeK2ajpyK3Bb1rdsSfv06KPrgu6R3KoEn1NZ6y3QMI1/YjcsWUwRx05qxGObzTi76xp+h
WsAeWfRtQaKOZho00wYx24zeDmMcMKbP9L4i5HSMZTmK+FAWMGa5lFIlngyd9qfER8F0ZEFbvAsJ
7nUIB8cKWk7OFWPNjJBG9z5b3GJdBQKFJcfGqPBfWjpWVO1VrqfvdNFR1VJ/zogoaD1WKS1JAtCm
4Ydr+IZrIWP6FWbq2+c0iwq5zukMvc+sxUxnLS/KOYfN03PLEfshWwaLNyuq30AmyUNdiX65qRV+
WqTUBQMgkBrhixT2RGNjEan3nUpD4qVjyuU8ZVHtvy0EgoThznEWCC0Tqz9MFy1SEGgySJ6LsgyD
+95CIUxACnj8Nl2eepHw629sB+rCi5wyEW3NMEPKJaCuLrpHtp0E/XUO0eHNqUNeT0w50SeWGP+9
nUdN8yVbRIDFypEPwlLGxhtRDwPdtWxBv5FL+ThTJdjHjiCUz6Xf+/EbeidgdZNqUkLD/cC9DGXg
YFuqUwqjaJTvjh3iYvZnLL6cWlX43IFm8x+JoqXm4s0xX+ZhAiHlCv+GvIn83IirA4CGafbGMXY+
0ArG1Om7XrclnxswJjEOHdA3VAzzba7m5g3fRjw9pX42zg1cCod/8totpQHJAfdbx2j9aiTwyDgD
RwQkq6/w+RV5o7cLdTP+m5CKcL10xo1/BOBFb6aZXM6TSEzJyC7tvGrv9AvHUACM1T6K+4TZTFPr
o3A4uuLqZfhFJPjkyXUxtv4dieAcvDGkMGhOy9z/xAS8euylM0BPUfnQDltuv2XfFEaPzScBysl6
GbGvW+sFA9o1lBa0/ORkVJJFqa2B9A13iL5rzqfZsRlIF3Kkj52IxvbQHFz80gMkhzRHqmXatLr3
jT9izqPestRPelEKp7kFyaK6ZEi4y63QGnskEFR46LidR6asysrCB9cC5GfHE8keW2tpa/8SJg0O
V84wwZpJJ1AXKG0QymIsfNZWNJWubqvRLpFD+6zMpGcAoiwDivtNsCj/28JkiXRu3oKX0OlaZB8p
lG3sHRYxqZwKnWzdLvloNlRGjvvVFPiJ15CyGRaDeAJKgoI1rhk5wWdYRTbGRJoGTMqe3M4ilKRm
GLrFWs60cnTyrYLI1jNa0tQBcNeQwDjRlUis7Q5nDF3ecDe6eMYHcLXu2mUo94xk3053CaeT68De
nv0vBXhhOCDAS4sds+kAPy3Bv6dpLIuXvGsahh9JP4cIPa+QVmpcBIa7iAMqhuMeYA70xDD73LOC
Tfd+apz0LJI+7logF5W23ioIa/pT1RsQnF3IvnMCsIZYsBb8bxp6tFKfF49e0WvE4fnemXo7XVbS
RVX2w7a9hPvGwmLAT4PgWw64CzofyA4/8TtPjVjeMC94IZikJI/6p5KMyCdGuFNIYIYf/gSn3qeP
de1LYO4IJ/aZxT3kVKyRX9kNf8tn0r0EiRNuPH+ZO9Ksoyxk2IpL1V35c4gkXNshJQTDCiS9IgyT
26oPyx9Z4BvaAAItA+7V2Nt5/kDH6ToFn0+ozVXz1sRT8INJnl9+GdkoiAhFZs7xyAqa5rkIIpec
ADqBl0DVNAhS6E/sH46/fAEbVuHR42CHz5AYehKKKhYd1aOSvfUmezxki12dm2gMume0R5N7uUIL
mn3ndDAUNlVfz2TH9AHriIww8D8RTpVHT4ybHK5pp1hgXYtsov0MDfMHOVSUo4nfRYyZkn5XG1/f
13JIj45O620tEvurxmWItR+jAOo4UozqG29xSCWjOYZebOGV3GGbsG00XfGyF2VBEdTzbvgTtA1C
q0DJxLSdwIXYanlsLFRfG5mr8b0I88nsU2JKZ8BcgSEhw03oSawB8BcET7J4wIsgsyFwpuW9YCCG
blUUSzLjymBvXzOf8q6cU04Yq8FRfvXMsM5fjiF+1JSiZ/ah67Eu1odIDQ1jpLm6ZTRZNDiEVOF+
6yOvevGtXkigTPOoFnRAFv9iV8zDg1c0/Q2aIn0gH8nCSpQ66C6KETLCbLS5tv8LWEqmGJY3t6ti
CGX2NL7Z2LMVfSbcqvaQ8wjH3Fd54LAUEkFZmCeGTdzj3PITi4XMKNympLApLMJ5Isqn0ACMOcYs
cSg3+5LzdeCx6yOIpccYwkPPthy3FuQYRlbuOkUUXOzLnoloiCRaQsNH7njIvUmlvPdDoz4h9iyT
jp5DUtMXWBZ0nO5B4n7gCslsR/4jgtz4dmnzrISz4A/Ww7D4I/F1tfHs+6kWnX1iLcPTSBXWfG5I
OnpIbasKXnXVW8hmXJo+xyhwnF2NL+SU2958J+XMfNaKvduZ0qqFHcI8dk0/zvlOr6WMX8jeWF5q
S3NqoxbU69Lntj6ShRm/tEx01shyK/WdOcRSnUhKNee8J0VpDd7WMJNKiJ3C2UyOxZmAhfSBfQGn
FCWBa21jXRsm2UmOzXLX5nrBUTPGvKLTqYaOCPJZ0v8l55AEXHLDhQfOpa1okidrkXF6cNC7DJEt
D2lnezrZhLyfHHVz1eunZKSyhJmyjFT37mw9VP5sYXvOr23tmwV1O3ixBOMQoVlGDZ8FhM30eW6n
NIQ2aLe0JdRocO3g+6KnDOyJi1sDyar22iW8IrdWvayYydQ+yS9EF1ROMA8XvAnhUv/UdtMPuCiH
asbViUurm+helsjoinkz1FFBNDVo5IS098BizN8+xy5UxNfOL4fpFr2OVYXfDYftJNgxS+MFQ4IO
Pijc+z3yZ/L0chzGd9R6C6ErUtsmzOBqwKU4kB6DE0PNVJ93dPb9ZdOXTvk5bkQ57BNp1QyTRO3K
fp+wkfW4Byf8SsVa5yhK3QOjoyj6FA2SFeswkxQ7VztRINdT3c9//uN//9//8236r/BH+VBmM8FV
/yj6/AEtSNf+9z+F+Oc/WNav//fx+3//kzIEIKnSIGY4tRlle9c///blEpPoxz/9v9w0zDvMYNWX
wOvqekPlM+4zOxNvnkM9gfkQ2zg+fiLYW9vMVC+NzxR/SplxxaiUfv9p9K8fxtG0ukkGMVhMPcM0
9cOHYZI3eyP7/qdUoPrYCFmZd4HFpts6Qz7ne2JzcCfXacSR4j+8MowApRxbu55LRoNjfr0NjmQS
ZEXW+MZZMd03+UwIj4dWT2svvOlH65sIimr/+2uK61/6l3vvQhN0fSHpnMP309z/Xy+KeopWEiqV
C3EvY3vru70HI7STKl8xm2UABTGMBIIV/iklHpSDDZbYA2UydmcXLBjJID3zjLws7YNHszahidX0
HAqIU73KJS3CzdMpqYanUfSBfwpzCpub33+JDz+ZaxtXMopWRjoSwZVxf/0ODjdoUeFgX2YtBlRK
1fQZNOKwbR0bFJrLoeZ9dpzw+Pur+h/unHBs4fj0zK4PihLuh6uWS5tGKvDKp4zsZSyQhZ/fDClG
R1zNS7emKayZNZMvfIx8slj+8Jiqf3N1V2rJ0+pI7Rr563fuke42bWuXT0E5dpc0d9VT2F5Vw8Av
/3Ap799dyleOiz7PM1zx10u1jmsxFpDlU9tRWRaIQNZ4m5pdn5pp12jbf/n9jf34cwpH8kAiO/QV
z6X4+NUU/KB6wo1xIWMUG0VkrsMW+hhrdKbFgbY/0yOP4/Hvr/r3G8pVFW18KRwO4fL6539ZhOhx
8EUZwV3KlCP6arG8r1FLB5vZmbV8+4+vdX1MPe0rAeJWfLiWTdShwkYXXLxohJ3hJmBUcMfF56xw
a/s/W1Zcbqd0pdC+IyTjVu/68/7li0k86R6t62sM1JUuAB3wy3w1B0EmcrDTUawTIprFYt7+/kuK
6yP416Xl/1/Y9/gVWUfNx/WMsJc4RZMTXHToD3ATXZDLIX0WwtRbkgjicWm+5J54k9c0pnXadiRK
BMAzGlZaDw/GSC0XLNcB6jyU4vb3n+7vDzVbumHl8zxtBDiBX+9KHVXh2ALRuMzADudVlHv04/Bt
y3PREu8ZZ2X99vsrflxpuR2aypdfwAZSomzn1ytGlMmLH1nywu8l3twCH0NHNwCdtmdo40OzOkjP
YniPDabbxeQgr3//Af7NE85CKfgctLWE53z4AOkgsKv0ob54/eQcM9nSQqqyADHu0P/hUh+39OtD
d9UFscCialPsa79+2TCZApDwlXeJishsKvy9O1TZFINM8/dFUp0rjnwrfLjuRogAIXlZog1olvzw
++/890Va8esqPozNN7flh4e/I7MHP8GkLtZoHCjGky+OVZa94+rniF8C2B0ye97g1Y3/B1eW7KfG
5vmyPf/DqmmWsTGqkvKC4oMBqKUmvZloPO38Bbwn06j7Jp/Uj7j2q/Pvv/Pff2fFlsR2yMIiXRDC
v957diUf20IrLk7C6VUkYznBnYqWjRu3w9ffX+vvr5GntU0UoXSYsip9vf9/WVyIFC8VZ+TgYiNn
3NmtuRZxkdqjju7WhT0lfzqv/G1z0GgrXc2KhinaFv968P5ywRytxeDbOZO90BLVmfjKxD1Ae7Vo
B8eBanZeB1s2J8gIjtUcEmRIZicUVGILlwd60ctrXNNvZ7ZV6Gyty768ieIG23tVRcmdiZS5/4/u
kOchZXegkjjcIawU3oeFZmjnvlkCUZydpVgOIMuaQ2nlYsMALruEkf2nV+/DL8L1XNvx+EkEwWjS
9j/8+jZiIwLv05qJpCGDuBjxzgc1c0h/ZEgBPN7f/f4Liuu68Zd1/l9X5BypAYr5vPj6wxUHlBIl
0qX6zOy4ezHSyvdSOsXai+zpGLuL+26NMiXpb0IIUuVdul+YVm9sapatcpzp+Q+f5/pm/e3zaE4J
PJCgFb0PzyR2lBBVFkQnlDJFHpHa2rjfx6QKop9Bxdjt2ETTFTNkZ8m+QCoDNHpOrSdJBJV/csmz
ffkffCDER77rAjDioGj/+pIwnhPIJTt+kjDPhjWEb+QJkiQuHk6V2PcEhCIiphkLT4ksztndqd6y
f2YVppbNkEumi7//RB9eousvJrQxBhI1OjAWi18/kLGtkYP+1J0FPf2dKx3xRIZRdgVWVPDdF/eH
LegU/f6iH/a/60XZD4TxPOTOjv1x/0t7Io56+hvnGhh2vgbTsZibEGpfuGG+Zz75BQZX+mS1S+gM
fe1nklSH5g8Pq3N93T48HJxiXdx5rCLKMR+W5bbPiAZqo/YcTdl87IgjhFNqT68mbu446kuYXtF9
SUbx9/w6qaH4ddmcaprlHiG5B2Kx4MYz1Zkg/bKMkK7l/wwHaE8hzOdVEHnx0+xqfYjdDDVITn8R
8eyX39/Jj6+4T8HMTweZUhJlxyP+68/XytR2qdmzY8VHJ9bIU5B0dHzPHqjXwnHdy++v92FD8Xyf
HwwACScm6RMid10A/rLmRk4TaSjv1tH3zWDjOKX1PDFlrEOMd6ssn9nB/8Mn1PevpzK2L76nsP9W
XHm4FOj0+91JdnZ10PS7yXaZgSd1sl17qp62gB/LPzwcH59Qn6sqqgDORsqmGP64kPl6zpF8Ejzh
a5+5YY5VTt17GcOSQ21XzbyDPmZZx6kVVce4HlXDOumZ+/zhy7t//yDGhn/isKsqbrj8sGAUNsKe
BuPXiSxAe7xhyhZ1lxxhec4e7vXtu+yFh8e4p923gb89EQ4eDN00P+shVu1Nx7jVfqWvq2iPQDe2
40+je41FQtYL/vMuQeiXXmrwIMHGZqpmvrUSCuhWIN5nCYr6xr5UEGSjdVi0cEVIB82RM/teF3FM
q2aQQRzfK2EfWzhFJDjlcmJiOielda1AYzs+jX3eD2R1xujs15ilrPDZHYFOvySo7LMHztewEScI
2b2zIijEz4+/f2b/9o5QmRvlujy22qZ2/XAAdZDsxUGMQMlrC0ajaTB6K2aLoHmcpfpOR8X/w492
fTj+urDw7DNOsx3Bf3yWtw8LS9riIyd2Lj/Z49Q9Au6tnnyjwz9c5ePBmnfxehmKakcQhqjFdWn/
y7tYgZJJUJ7nJ5QaRHb/P87Oo1duJNnCv4gAfZLb8sVrZFqmpQ2hVqvpveevf1/qbVQsoog7g8b0
4s4gK5ORkWFOnEPJ8FqbRsAYDZ0Yn/bdVckgfETrPXwNSv0VonRxFuGUbASZi8Ba/g7ySQtsjEbp
xdUXPmhMDLg3kX3wAtccPptVGp1yFMi9HM3FfqegVoQifVF6SV9VW2cgzX9x1Do1KZs6gSC5+F3T
+uMMNFgCizLSco+hWklYHc+vGZxKx0Fa4ch0xxWwj8B2k+SogkrepxRk3j+2r3ufKDMbA+OicmZS
k739DvTjndimHufNkwanFrhQePEYwL26PnTVj9dasWUdbJvKqwmgF6dwu1Y/FJ1Afp5vPjOoCOHq
aL8Yjj9ZpyAegq+g+9F1ePOSfFwBeyNxlGMsn5i4CccyzMLQa0xEkMy+eWKWEHx9B8DM0tE8ebzc
mlnDCk2eRHyA31+WgGs1mVq6YqE32CkP6pjUeDofNzKOyQnyie7A5ADMH1NcPgc+XYLJaWGXrquf
Gz9kGRph1yaen3q0yiXmwbs9a0qX7BExFi+kRYzfIMCGsBeWnp9MKkI6nTiTDbMy7SPAx2mGmjxt
70pqiPWfEMDQ0+ckd/K/dLAc/l44TfSCvDfiCigO6z9hPp3U4+NffBfR8IstVdjUzQnBbUddhLu9
OQJ7qIPMg4pWn6/DKEbHY9poTP420dSddxW6asb3sQFuuCcF1KODXVDm3s2OpQT/grbTTAqXTF+A
i3br2VZ29GQs41BrbqBDsk9EHHtxhBLI6wyWqn9XaQLKBFeFLKrZZ37nGpciN2ugQyCCITl9vMEV
6yeBImajOm3bJH6LLzIVKrO3TeRBnTkbwKlRDjYD0Xy2Zt0pXlq6Dv89XnHFt9l8fAib8C2Gvixe
jHasUwtXEm+Y3P6AxJMFZFVEXpzn0ak09Oa5MQIkJ8sg/vx45ZVHxDagXcW18obwft3utUk1BLKq
KPYodMPFH6IBZYIOcdMPb19H6MTAJpN4BmHw7TqGBVxfQ63ESwxnvLbMQe61Kdl6I1bukiyuEUrh
vahqLb4cgGtj6Nwk8VrHLMS7UKFicRyAI/2lBzq9xxHtSPQlitHf+IDaygvB1aWfJEyd0svyTgyI
WnBygplXgzDZz9XvKC2njO7C42TZAVxiEwRQoejhl4GvYJ+Zg3h9fMRrRsQTodrUfwgs9cW1nEHt
uK1ZxB46Uik1Pr04t/AjH0JHUw5Zw3grg1TmPtDn4fzmlaXl0lGj9y/Dn9uPW5emMdWKH3ulbdTH
ZIAOdAJy/jyOsf1rRBIQMY6gYPzE1dVy422+exZdcMVU0FW6eY6sNd6uDb47iJxu1j2bqbd9wf/q
w6z70AfGaraRBd1ZF0JTtAw1enU0Cgx1YV0WwIu8qVTdQ2FbZ2QOVS1a9u4eFXTY8UudwXm4I94a
VhLsyFUJwADhU+243V+dgqmfVEN4KXwfT2RDMF+hxbTL5zY6tzQoNs7z/mEkDSIf4Q2meUspXZ7C
H7GOLrJWFk8svDv4fkYZ0XOP4/8qG+mCZAJrn0cZuy9zCN9DhjIYTdRPxQjPzWOjWjltUG6C2hKN
CwNHfPs7TDtOTD/wTa9pK/fctMAvoZDID2YtDKnhrX7KGSXb2P3dHWLzBqGmSfCjUslZuMPIh0Zz
VH3DS5vYDkHYdjOIloGweucSYXuQIsJgLaxMXGrwpRvfesWWXWoEVGxIewkzFzcYmucic/XQ9Bym
vH5Juvdz2/fwswO1hcbk8fnevXJsleYl3WfSbEFxZnG+qlbznMSWZ+lzFX+Fvg7aGti9i1dQWgnk
GUHD9MHjNde+qewIabLJZlrLDc4Kj0wW9IR1iMQxolLFR18p3HcOeiznQHLRAZHN4sPjVdeO9Xcl
wQLNipdYJEoIF5WgOVrTm9TMUKHLalBEigOfUq0Wgqx9vNrqucJXyX3FaJmZuT3XLBVdrCi56Zkl
bqhFdGxPG187ReH0w4Bt0Xu83NrmSAtoylJao4cp//7Hde2YcItgpzJgkpiyfaujSAaLsXLM4S7Y
yEDWLge1XoMARZCELTPcSquG2aTHzMihb+5NJhtgW87jUy5yA9m1qf6szt10oLgJc+PjXf5uUN5k
YLI44+AKycOIOtXFNmuIEQIdogbPgBk+c8A7z2WxhzJnrFHtA6LOaMzU4IiwWoSVEW42ubhVPEcX
fY6bCEZ2n3n+Hf/fGBJPeAAn9TTnMFJ8Bm/h6xsAgTUjELAs4EqpwMISeftV/Nb3gzpiSHh2gCX2
wEHh0RDZJY9JblBjUjbO5y6M43gIfOgtAkcWhOe3683A8stqCmA/z9r2XzQ80fiy/GwjwlizNYdm
Ii1FyyXpWrrk1hkrVa1Nry2q9i80oLKntoV+Kmpmc8MR3y9FLYoqHI7pdxNz8b2RTrBgVkoEEXGv
7v2w1Y9dZUJGHfXGhteVju7WtFjK4OYQNBLtLxs8dWDFOIZGeAhk6IC+G+Uo9Kj9AmS8Rx9Qd45g
6/3DZJTdAUG1euPT3ftElqesIpMqGrbu4tMZsDDBSJG73hQ683Nami9JCRMvZTd/lxoAEfUQfoHH
1+n+JrMmWCOBjRKPL5Nf2CLzoJ8kmwXlu4/qPMKzJgYDNU6Rv1oFGtvN0DOYXSg/Hy98b6cyUONN
1zTAFpqzeF8bZyirCnwQKvGZbb6UZgODO3zOVfLl8UJr9iPzepnFkaT+zmH/cIs9ZF/VZOAvwqEf
PB0o4nNkh59rlaN9vNKa+XCMpqzkqkBWFo92ErZqNOmB45VhrYBps1u0R6M6ftKGAU67JK/6D0kq
sm9Dp8a/KEQYb02tiJplxEKpxtapnC9uJdWAUlGyyfaglJrf+fAXorREHv12H0OCSCzqcFMIF5Y4
tT4WpiJgVPBic66R2LUAIV0SSo5v9jKsw/tJOqFbOLSFjVDSnZ25FLZHgO18F+acPzFcVJM5qv8+
/nT3XppwgAlNHSggvXpnEQIJM0TnnHvp8XYoR1/VshO9TOvLzAiGDIvyjS+1cu00okscjS2M+wyN
jo+EieNpGCDPvkGjFB9Mqqp7unPdNyY0sjNkg90BaNlWF2rlOlCkpBlGjxIoxjL9LiIECJFOE17o
5kxjKbS5pjZNDt3gROe3HyoVSpv8iAKiufx8Yaz0v8cvPUaI6WcFrjJBSN0DPjV76FcUpAwfL7ji
QNmWA3CSxxaetsVT4SrwVJVljE/RAhiee+vaWeidupFhQX+CZvKo9xtLrhkOjXVqwTQZyTkXhkNm
MlSwtBme28P8HYCjfTJ1RhhUUZjQziTuho9Z+3ygHii/28SvPIy3zzs83bM6GZXh0TkFcAAMA0qy
GZmUwfn5+DBXHDSNWtJpGpbEW+rSmbTTWJVqb3hzYblftT7sD441FhtXfO0iwPthUXpyJWxAv92P
DVKrYG6JoFVJP1dupnxBoCA/BH1BZcRq9GYPPeT3wq7HjWh5xVZ06aMdImXTcqyFs4ZTP0E1kOBc
A/2b7xiGtb80hftV10BamyPTEbXM+x6f6Yq16JQNeIQkxhdA1O1uIZIQYdknpHWUxs5tkAQH0y38
Tx0EJYeKCc1oI6RYWxBqRNXWXb4j5J23C8JUwBj3QBbbt42JhHnUX/Vc96+oJaUn12o+P97fHR6D
bgzlQeAx9GxxMUuclxrXkxW5neFB89PurSCG7gaqjkM0DAwnjMQDuz4yIN/oTcgyi75+KeSoz8Bd
huYhbIaNA195knUqGHSLeLAo1yy+soDUMC260vDQo2aE3ahDqWrSoCpaD255aphjuKBCn37008p6
hh9N3eqarVxYACpUa0gBHNNYgv1Mf3b8qKt19HkG/xzRVffGqm6OYVUEG5tdMWliVp5L2XkEdSb/
/kekA5egYcGeqHtx5qhPjJpA09p19peC3OfXJOLppTV69fz4k6+cMBA72hXkgzhdY3HCrWuJXoyW
6eUq7MLQnLvdjFgFfC4kXa5PDxiSwdegbbVyD2G8eBLmEHYbOzfZ2SJw5zUF2WPREpPt+9udw0MZ
Q+NH0gNaM/gWNVIBvA/1+e23CSSNRVlVtutVffG+FOkAJ1+hkfb6gh4G/HHnokRbXk2YyzNyOr6P
z3bNdlycL7AV4krHWjwuqDAPaNrS+6oVLft3VEzb881aeS0YQNh4x1aWkg1/XWb0eItlAASfX6DU
Zmp6KoXxPcyvI2qaLaTOgR5CqP54XyteidgDPI5MOwxCg9vP5Sbx3Bslj2YGXP2T25PJ7ZgCRPrJ
QFgC7VnX8TeWXNkf5VryKi4hT9qyk8NcTMxr5ugeE1zqc11YJdXEBj4/G67Tx7tbuREU7vA1MjoG
a7140poIpTk/9tGe0iRWx4J/YyD40ZivjGYGvY1+/KYYg30aYDYgrZysj49/wIofYFLOoX7IbaAP
scgjpygVeeSXDFgC8VYYkjckGA4CHMg39FGDqwgET7JnPMupNm7ISs0Yb8ugE9BrEiFKNLeflknm
qqmKMCUKssTEsKAP9ZxqIwk1ow+OopjiwNgXhcnroGvxnk62fnTm0PlltsI+Pj6HFa9gA0SEJpK7
SgF58SGSUVHJpNXkCYCC9gvLyPZlGlsfHq+yEsHcrGLc7riHlaiDsj95stTYP+juaKJFEvi71smK
L/RJPs5RWXtdlG+Butc+Mw+L4CbRS8Pr3S5s5kA7XUbXnwYGw8ynqYbM4ZMbWNpftH7T7+2oQgwo
tFSMGzHbyl1iFoMwhhqqbBjKv//xzsStottQVcZPEEHUFydv9HMcawhpBNHW+33fTXNJZAl0CSkE
ntdZfMN24G8G8htPok5NFF6Yx0FKKMoyRDe6smvLK5KCnX8K0K5EbHjMeeYvVcXY8YyeNXNFp8df
+951gaSkvSSbAtjUMiom6Elmf8qyp5iwv0K3tJ6iPUekfZhKa3jXtfnWrM/9aRskUThLxjXAtS/R
HsxGBZaqxOjkhmN2zlM1OlZW1hwA/Kcbm7u3KANQH3dFAtAIjhcWhW5si/QRw22xXTU/Qi3K4fbk
isLrk7dMnod6dlAnFx7Fx4e6skUJKOQFp5YAtGjxHvR22cWI2/oepFVQplLqyl6QpMqLfZkkAB8e
r3Z/YWV1xiJbA8Mt8JO35mswuYoWCnhbqG6d1xRatKNfdgjYoDwOn+7Ude1eLyVynRK3//Px4vdb
lf1CmrPsV+gEEbeLF4x5iAFRTM+KMqp6aTdJ7s/0NQ2iaiN6uHd/MrEBSUBFUSKFFpEZAClY7BAJ
8lq/omZqpfp5AL5yfPOGJPwDp08IqPPE3m5oEDp8vmiqexPi7++HEkI3OvzusUem8u12Ylm8aCpV
GiFHPBaHJyKRlqCdJg+SofwUzhmc1LCAM6icbLX/Vr4TOZPEz3OPeEQXJhkPuYKMgNF7UyeiH2h/
pe/zWEkPyjzHG/a4vhSkeo4tm+bO4gRRCClV2K56aDqL8T2UIvlFL8z8CL34Fg5ak7Z9GyiTaRuU
7FTZWNSXIA9Ge9VwsP3eq9q2s2GytHpkTkf/r8KsrG9q7WvnIATVtqszihh2wJNyKDN9uOgpYjR4
1RKpWkR5H9vQvVO1GOOQSBvCanHXTXCaHklDNxvgQxiyM6yz9bFKXPRhXAcXANf38fF6936Ol4SU
kBCNFYlEbm02q9Gq02MUuCA7gFZDn4Kj6PzECyGTgYljPEMRal4fr7myRxkMygko6cmtRWDUAfPI
U/g5PQM2378VQM1fxiqEQBM6iJPWIJ73eL0VqyIqcJnlZVRUzmTc7rF1R7h1sqjzGkijvRxy5Csl
/fkiRKOd/4elgLQDiiDNvhszGdKyrEDXtYj3ptVrawX+1VACdEFVv/8flsLNyDI+YESKN7e7QhG8
g/kqbr2xj5r3jqK5Z2Jd7RM1DmfjAFeMRFB3BkJEbUowl327VATLRqlWgl1VI/TzSu1eBoHCqwjj
4aWuJsiq5mIrm16Jd6i12RQrqCYytGEvNhi4Te2ITK29YpjBshwgPPG5iCrSNT/mWmOMsa/8Vkdb
NdSoZEBnLFnOjdT/F36Wsnn/+MuuGC3BFw8ziB6buo78+x+RXteliC/XBWBw2H6nDy3iB+E1rys4
6chyFAhRO9NP948XXbFcUJ8MTsvpNS7q4uBFM1FpmM3GE0Y2nifEwE4RXDAXU4E/6fFSa/uT50we
6hJeikXdYEBqMVS1qaaRgUxpPkf+Mdfy/NqGkFWGiK5trHcfelBpZMRXtqJk33zxJOtdT+IYWrXn
4gBg6GfSfUI+41LmxQdkj6JLIxXEoPlpNu7N6kaJBnifuTR3cAtIC/NJQTPYGxsr+oQ5De+ZOLFA
LCcp9IplfXx8sCt5ICVqeXmIfWk3LOP2mGijrNqS5gmTWUDN4gT99BSRs/00tNDNNDWCJcEUOVBM
ZvNIypQF/yS1knznJzUbvvfeorhRjBsB6GG4m0LKrRmHEyTn0NLMVN6qIeDD9vOr2yfVdFYbrdgy
qvuPLO8vDoPIi6Ry2UXuwzqezLRSPa0qbFgyErjhD8wXGZ8nGMU/uTYE3Ihhxcmh7pJyY7b43mvR
F/jdw5ZtXcbibrcKmkmboFhSPZok1V40cfldG+roV5ErsMu4UsHYamPnx+PPvXLA4NEJqXlMdYLr
hdeK44qfMiAWHGiQy5lx67zLM705OEGTbVjy2lKMfMrQlpWYJb7doNNYVWhalKeGIjG+52KcrpCn
QEKoQsL3eFcy3bkNluAHwWjIERwm1paFnICnUvLsT14A/vhEM9WCyDm3LikAwwtSvMABGsW9KHE5
wjZR5sfHy6/sVKDmyufkRbAoHy92Ci1vJgdNPTeDgL4hGdkNaJXsYJfrNkLQe/cAeBvYq0HJntG8
ZXDSqIpBCJpUXm9CLQPDEfSCqDadMiST0LGqo9Pjra2tx1CqRHVAe0ACf7u1mioQqtVj6SHOYupH
PR80cQ7gjP6alVzkp5rrUmy8ZSvHCc6AOwnKAUCwrd+uCRIWXcAQTcqgNlq45FIrb963sOX9LN16
SN84euswBU3UZZjE9PJKLFZrEUlUkejOvcwdyuw8V6qbnQwJBHtp86rQ9gUV3w03t3aq4LFkv1WS
O/yOLf54rakJln3qUIVO0Ic7QPqfoKoYIddll//mirsFd1hfzpFYFfmALu1TG6UEketnXl0ZzYs9
N+WpHfWMIawqOw9Ks8UhcDdtAOuybUrCE4mNt5jWuP2CXe72Amnj+YqWTKC7l74mHE12DhIm6QkW
2Np5cihWq59zE4Yn6j9OW6ISXs+wQ3/rkAnQXofZcVC5tvVI+abAC1WejB7W3qOiMoF7bpguCOp9
MLqIYod+HafvtS4WEMsXcjzgu+MCLPvYIAAM/VsUQh73+FrImPxPh0OPDuyWhG7QsXMIO283mBgo
sI725F9VFdRRzIu9D+0p+/J4laVb4xjJMjlKKocgK8xFEKIWRR4yCm5cUe9q+ks5wbu7z4zahtu7
gwU3DzQm+zLLOYQAEY6DMw4bnm1pOfwCYi7+wWfxRBmLD6l10CLbo2NeJy0tArQGDMRRkU0Og+41
btW0y3eyyahueIC7oATXgYfDl9OsF6Sc8mT+uCB1hbTynAX6FTWmlmJ4NebDp9qqh+BElyIf3s9D
MjgnX3F9/1RCvoIOWVomwctQ0qM4hhD9RxvwwLuAn99EuGVIfDMzZYx83P6mMLADUMbldE3LytoV
QVA/jXSm9xZDR3u0IpEOYlJ47yDSRQ00Cc4lenVbdYH7DyJR3hTFMD4ytWWjSSM+UiIAxtcBezkK
hwVRiB89IdqfKgrVGxH+MkKSe5Y1FaycCgsfcrFnc0IxKtP7a2gPY/0+ydyU2a5wgpfmBEF0GKGB
WAOdDfdI6EUTLWMUJjaMYfkc8BuA2lHf0VT8JQH57W+A/T9CkMTsr+gN6v/Z85R+Seswfa2bcAsj
cn+taQLhs4i+eWbvaBFmZBPVZrA6qAZzgXBH1RxtstjT42u98g1xiuQXRGFkEcvirZtZOUiGob/2
fTm91Cnj0fB+oPOTjurOgSNwI2ZY+YiSw4YQ5f/rGYuP6MbMueba3F0Nvt7wqU8KspkuM5jlQjoy
s1OPAUHdR24SNepdkLam+uHxjpexLu6S7IJAkPuM2S7BDXaZCLjbg+aKkcXoPcRmPqUnhhMZvkkq
AX9YrkQduqKZgTD7FjXVvRvlFaLRrtH9wYiWzsSM3AgEcTBes8GMPdRgOm8ekL4dW0R0GiUND1Gh
NM91HhsnQ4uUjTh4ZXneCvrCsgoCW5w0uj99GULGhW52PsBruP13QdMxEDeruo/kkFpb4RlKrmCg
uAwo/CjGRDfBkGbBX48/wb0RgDZkSIRww2TgeTmuFooiH2W59zoLn+lQbhsg7J6+0xwm/g9EA4ND
EqSdC2uX3W7Nqt9bPFM+JDTU8MC2AHy/PQK4+Uqobmb3OvYaekGqlT3HlZO97zWoHyuHVR9vdmU9
2v/yrFmSBsnS4qG77cN4FNcmqRBbLgyjR/20ZpStKRVSgCaoNqLIOzwNRS52J3G5cpIL4NDtFrXS
yHwft3g1Wiox71FhnwvyD3WiTS4q34DGsgoLehngaaKI6HmKgCaPdV+/J9+1HUhpob6A8CP2w41M
c+00XNpythxuAK68NMAUmgB69pwGuhSeEoyfoBCvjn6vJi9ZqURvjhlMGiY2Y3pgWwFELGKjIY9F
izCUdQ3GONuFLbMhRTDZRy3Qxt2kMoP6+GPf3y9gb1QwyOWZwiSEvz350eRcEawJvK5A32A3lzpS
pUzHaz/sws+fq96ykf+azP4ztPAIFrlomOSXx7/h3sHh3FgfKDrwVOLC29+Q2fSVfaMBrjVqxaVr
UJRPojBFuYGKSR5Ae5jin97Y3cXk6O5KIBFAZloFi1tFINRg/hA5o0Ku6Ix0MAN0toq+QyUxbdy3
4lH/fznIJ1mWVHeJw8tosVGgGAIPRj/3kNGxPbuFyE/QC2xxbNw/+XAgYagOVXjZRlrsTCuTEpkj
XaEQrjRXwF7KLs/s5NtMjL3hnVfCOvwyqEnm8cAfkAfefrrSNxAY1TrU3CxrPhkJCp+5Hcy7UoNT
vB4Gcx+P0KXCM4fmOsNIqPO64emx+azsl0SCfVoE+VSiFuGunyqBWvaue227rjgNg/XBmeb42QeQ
cni80oovoE7CWyxJL3DICzcVpa41W7DbXHvO4+xkuVruagPBhH3ep/U+DTJmiR8veb85OH0IV6kF
k9Gzv9sDjmYTwv5BgVJt1PQXABAWY/padWGorN3gm1j5mLKaR81Jds5kE+d2LT0YMi1AXOE6l80k
jlXVqL+oj2h/232CXkqcpS1EKXal7uapU19mU4m/IhJobrik30Zzmx+SZRJu0WqR3CzqomwSZ23u
DjAdo4kSMVsmFcaVwoM4XNifZjQjRtj//QwWcUkhc25ds1I+jqiWVM/WoCbVf36lTJZnR5NifxxQ
M0Vgpm4y44eIOztAPmcwQt4Kv4uy66hPZXdytSGHRTmqERvaxbqO8CYagSjx7tDPieZvKP+E6ufQ
RY6gPGt11YQny0x6EPRMN+jfVLTdfsKJhRiiA5W3OKZDHCTvnbzI0NmDKGOLb/LeDpkSICQSsOiQ
zywPqCzm1mCivLqOpeIgJw+7eGAKxXNB8YPbSL88tsF7/wypsXSRdEYMnujF98iNQufYOa2oKf0z
2vMf56EdLzRJslMzAe5VR3/cCELu7Z6wl5EZLJ5/MxR7a4uKYiKBbScwu6LweIhqWmxqbtk7lcGT
41u3B3aK+IpJMnAtVLNul0LsMstDJUuvYzXpX0wELYJDmzjNuPeF3o3nsh8BLM813nRj5fuwUrpn
HnogpdTtl0jWzA2yukZH42pDCzQyqB6oQFGUAE0X+sjJyTEjBCWrHmnXGQ93evO+mT+Hm4B2Jse8
zKQCxahqymzj1eozA7JuRxxJi0cgDRNSLKkzf8jl2PfjRVe+q0t3gi4bdVj+vTjsDtx0UxjIVAt9
DKtLnzM3eFH1IoQvu3n7o0s5m8ed8iR9cGp3t182ChCEmLSmv6qVah3tBiVxwht3N8fGVq3n7o7w
BgLrEdxLgAfAbm6XEvA4T2MRttcS4CUSm2l1RABweB0DVfPyOE2QWU22AKZ3hynRKLKQQR8ReP8y
NhXU7Eyae8219QOY8Oeosl5FNbklpGpl8Pnxl7uLFKFdYh4V6BLoUokquN1hNMXxXKPVcu2awT0i
Kpu8ZkPp7gJ4y44To4uHKSF2dLpcanhX5sbbe/86yQwMyCVj4ibG+vvvf2SCSQRGCgWk6loYjMdD
ku+ezXxI4aCe6/AdE2PpfqIFZfIL0Bs/IFVc6SiNxFvosftDl5+amj6tBNlnW7zIiVsgsOxo9TWb
Dagn2s5CDAGd8F0Kz+2nx2cuDfTmJZTAQ5cKKR1ycpAlqr6zdNg3i7a+WpMBrDVHTTPeQeKXILaK
ZzmZYeVrGzd0bU0A5sQ59NdIRhbhVGBCq1HbfnWtGqsML2WmheNnu1bQuy6ocXwUIunf2gMi3SED
JGi1KNpC5Lk4U1+ko5J0VkWVqit+2cxT7e05sD9PHcQej4/0vjrKWjycGDKRlcyybu24jCPftrKO
UW6+cNzRqC3zNNinddtQf1T8SbsYoe5mR6cs3c+WWpTWMUwivfmooGzqx7vGqIr29PhXrRw6YSUg
LCDwlAyXnGMwuLQtotfZNUbq7Sv4xP47iX6o7MDw9Wdq/kHz9s9MRZY0kxau7LwtPnOZz5ZQCiO7
dmlWNTSqRy06hOi1zd99MzG/GC1CkhsR5u+JyYU9Y1OMHTNBgUkv746aDEZk0YK4zmmVZmI3c3Gi
cm+hYThBmSJbEHqYllPoGQbqRR9sO4+HU2VR6XmdKh0OndaahuKnhu6OsS8trQ1+ay/G6P10NuUQ
qC5VtzsOoetCRIcq2GDtwhIRs0+qGMf6Us122W4kQSvfTlLlEkPQy4CRQD4NfzimsDAakY9VCkS3
iC65YumXRKnHo15an0snjDdK6TKlWpwhtU+TMRC+G/DVhR8us6zQyihuriqtPi8Z2+YpF9NWj8aS
12CxDKN+4Ch40niplwSJdehCXTVXwxUhll5cKQnkcByrCI6cKkfQ7/YVgP32YVTQTfhUQaeqeQGx
GhzTBuKs35IZ8ZH31AsH/8ughW74LjZRhJsOlpsb9EKVLkD9LyEu3yN8O5bItCGlaV+tYcSnMxvq
wBM/ValxtKLEb89A7unxuZK8fJfXecVUIOgD/RKVZq8hEF0Ka5fM6SQ+wHqrwsfjp+78vS1Qr0UX
E6Gvf3JFU8Nj5utm+Rq6WhQdU7o2wz5q0Ak6pE41j19S04RgJtL1/j8UKbLpdc61tntKp1AxYLE1
wlmLdlOY54pXuxUcQztNh1cj2QHxsNxXeBB9Zz+aE8JEjx3EXagIQRxQAOaDqUzAYLKokeiNokoW
UvaLynD2j4JAeyOOmeMMcftcjlYcSMqhVH2d4yxreAlFBAXD49+w8vIxUYu7wNzJa5a5KNAazoG8
59rC9ztemlIfURAPwijdM8PT/Hq82t2OJWqZaons1EtimoWdM8YO+Rntcwgw7biYToU+mFJVD1g6
Sn9jlPxqqyDutIMS1ll5oAutVf89/gkrGwYnzk4Zl7ZJfuTf/7jZylCn4KOniurGmH81mPH4WiOF
gxgrgi//w1JANBkWIqygc3m7lJtnYrKjvL4iXlv4/R5ZNlEeIoTjmr/HOu7MtzYVGKAjxQcvJPkO
7WWRaOiquEwZXL6iUte8ZDUidYzcXlOt7l7QgoXeKdGtDfd/HyNLXA7mI50/nmXxRc0Y0iPEslCr
rae8O+hdq9d7WzGzz33QKPvaLpCbR2jsxxuPVg6zSW5wHlZKqvdclrZNB1jYIOty80Wgxu1FdF/R
2Wy3gou7p+D3UoIgldYrjPiLp6COQ7+BxsO+NKFS/TAbd66PyH8m7/WsNa6ZMfcbbmF1QV4eyUMP
vmTZ3jOKsKFroNgX25z/8WHkfhlQETtozvxvpqvR58cneR+DA6fm1aFgyjekQiPfpj8uBII5M7KX
wrwUqpJ80DpL/WZ2RDTHOMltCB3zvEC/OR5a/6orotV2qg9P1gFJXP34+KfcXU2J9AdBAIMmYRM0
Zbe/xO0aOnER6qvD3DBzb4TqWbea/NwDqbm+eSlLTnnJtqa03MXVRAkXbXtoJS8jzbmCAlGYGvZf
CE8L/YcObXX9/vF6d46P0o7k/ZGDQGgbOAsjiml+TqOqdGc7todjk9nhP1OLthRVpvocmiVz204b
PJlmGW3kWPpdbIHlojIAlodaLhwDi6XTfHZq+G3acygaKCDxGxQ+BnSYFcMvjwi8lQemXeH30UR7
CksNBc3KpwOYIsaIVE50tbsCdTkTMlH67NkBPjzIw7KyuKYQPpOauRUSqH1nfbDKIbiqA8qHqV/r
r6YWiw1vc3c15F6Qu2L8nG402cythUSAPgITEcQzp2U/hVVVXdNCjfcx6hAnZM6iDTO5GzogBILo
wuHVklORVJNuFyQcsPOhjJtzYJpheZryIqQjbPhdCsXlPFd68NcIiWfn1cJPgncd6PuUWAFsyLOD
eof6yR1DRzkjtkmxbafAp2Ru5Xa/w4SbqM4mvaLYIxkB6C9Zi2ujwB1stWNXnxv0GzytmfRdXYf1
rqki1N6J1n7kFIGP6jwYL2Phk2bC+nBoKxh+szKOz1qnOgfNDFCoCsP4A7Lc5qmxrOrQzEVyhe4/
eUaTEGlQKJQ/u22pn5LKSg6UXbVLGTb2zkJs9QQCQrkgIjxt2K/MWe52h4PnG5DRUCZYfAHNgUOo
UOpzFoj8wLRV+vxbRbwoa/3gJ137MjpWeVDbrn0mlgo3LODOJ8nDpeDEOCwd87s3PKm1XFPGsDln
xQT+tIqcc1hX8763ja1M6t5HgDSlK2AQMJAMLLmhNUb+xtI24muVqW7dH7QkFv5psOoxPhlz4Rev
jm7Hxnc/CPMZRD0FwK0i9N1rLqAe4c3hbhFF8N+3hx1ZyaCmtP2vVZKOT2FQNHvURJsXa8gqr7G5
6Eo7z5fHvnF1UTYMgky6/SUaYYA0tnbsILm6td720Z65WiveG2obhlhfNc8/E13P4mSfJ2bdbBGQ
331guICwLtkeAQIMPeXtlqehLvVCU/2LMkAH1lnIm2S9SI5UmpINU75filoiPTxciS2HmBamHJLO
2FE2uZeisdMLRUT9A4QaAuhDNB4fn+mdo5SjSLykEmBiCQhVbncVTKgiq8J3L/yc5hjAVn9xet1+
mvXpS53oyUZ7Z205eBvooRGZqMwo3i6XjAUaTCFjJinl1KMq6YBS+NQuSoh0llKKLdDX7wmWP7wC
Ewi0smiiEcPzH+BYtwsy+qb6pjEoz+ZowqnpV0U1PGco0iSnsOudigJiJoJsR0EtqHe1UMv8bzSA
B/WcoBppPzmDqUIqi4AJ/LIxDYQTQWw3fytJS/8jqUS6NZ4tAMwzCWx8NO3Ens4W0IC5OaBHlTyP
Q6LaJ20sk3DnIghQ7f12HCfEsGZ/VF5dhpnfQ1Jidpd4YoZxDys3PQ/TB+VwEXFpjYcZlHJwjlpf
ZCThmTYbW6CPhUNhyhCoh+y2AciUMKPFw9BbSNFT+wme1dTwz3Vdf+lby/5k+KPYC5MZurgXwDSn
fqvytbjRkpoJMBeAAnhU4BJeMmRq5JC/K8uwlQXwaqjaDyZuFAbjWv2qheZwkdwep8cWv7ImnJz4
aEMaPhC5W4tAQDkqrdmpnsfAsS9BBH1B3pXOUx2bE/zdQXIATbZZN5ZHeGOH1DVxHlBBUOCDfm9x
xN0gFahTc34qmwq8Lj0842PfO7OOeE+bFrTStCn8t6j94e8qUQyUlosmNfdQiNsfA3SPIXWImb3f
V5XdNLsJ3tBXs6ry+uRnoRAvQRk4X6y51oOvRZwpaYs7BqAGcXoaGmiXZ+FUvS9azqPcuQGay69Q
Z7XxoZ9a4XxSUeDND5VatOUHwyln7Us9FH32LJAUS6is+FNS7PMUfDUU5rPbYY6SQj6AJrBG0QLR
hwEk5UcKfHB47NXKLsHsiNIdq4MWNHl96FAlemoahtpO1AWTr30JXd2O5vlwhZh+Vo//x9l5Lcet
ZGv6VTr2PfrAm4nT5wIoy2JRFCnLG4S0KcF7j6efL6meaRaKUTWc6GizmxIT6Veu9ZuIu/PD2I39
c4LF269iNsxr9bbF0YPMLBG8WGdgxF/m4nTeHcolzQg59VB29fRglHPxrVW7+mBqlDMdIWZ3eZ0t
DnHuJ+oy4jEvpLrgui3WWaahBKSOZXxXNHKwKfQ4PcxzCMmhRn3tnU1RqWMXIV/Mu5Nc+iLanRO/
ymHT+rcVL8FHuR5hzZlh+z0dx2ushpdk9OuFDNYDsQLWMZsIRfxl8NESx8moMpQHWa9aB+xD7qdb
PxyVh05vS/kBVRXr29DYagCtrVSUTRlLubxCQjMrVtGkl4lbz4Wt3cXhYG1KGcKbS4xsqZvWzOxk
p01FlVzZ8mfnm0BRoOTHbocbccb5n4OC/G/Va4eq0KfvYAjKm77XsH6XtXRNNkRdT2r+Q4rr8kpi
Rwz868HixShoGCQfIIiBIltMTJ40Zjbk7HrQK/1hwOb3OLRmdaV7i8hXWF6RBUAWnKnHmm4ZmXAf
mWER5sMhsat+nenFvLJm6WdVptlOKY32PuiiaDNFMyRLq4yvLL7zfSWA3TwrWOUC3LRI7MQTbrXO
rPYHfZgnxDjwjfb6xDa26M0Gm7wuzGupyLf6K6SChI2oqLaKL3qViBinfC6knLgTN3jMyVV7ACGj
pSMkUfQugyqVG3fM2umDHODo00/OtfV0trXR1hFhKCkryr1ne0BSkNeH9aUcGmPuV1Jimi4Pk9/t
7Fxjcb/RVcoK7GkkbmhzCVRrYTImedq1h1AKKqwvKHzI2Devph6qSwJQc6PIfX2Xj9Z3ZzSvvRhf
0qyL9SvOTVh28OhldDNOR7opFL+d2rg9VE6df6mCUarWIK9D/1HTcE1wQYHoPy1lrmO3b/W+cFun
0x3kTlVfc8UFrHwKqDD1u6pr+2qld0ZyY9eq9JWbxSnWWSsAxU6LSZipRIEPoKrGLMPCoZxaEJn2
eG1lffdTz0058RC6KT4iLaomG1mfphKN4a7OtuYYKqbXtaP/zgo7PWc1E/BjiCjI7GckElkZDaWq
5YOBX9o2Q6jT7S2/v6M0MLiXT/DzTQQSU3D9hKMedKPFQVE3vWJMJLYPhdX/zite0v4Q6C9s9tg1
Srn4+3J7Z0EQxzdSeexZsPoo3CweMz6YuQFzXOQbU1X/PeL3s+7swQk2RqQdrS7IP6vlHF3JVy4d
a8VS4v4F0ExOliL6MoNoTZof1YWjHwwklVdlrgd7J8mesdcBU4WRkme0VXZUSkUaPEuIAc/zZLkA
wMun3B7sj7WazlutDK+piCxTmy8fxr2GAxDhgYHG2uk6z6gKF1MpaQc9sMebmBDfLVQEvwcziT4N
SjV85cl9b5u18SEkRLz1I8P4fHlGzs8Ubiiq/AA50BVkeE4/gXGIU9zXzYNfdfM6xPZlH3SDvQ7G
aL5yX7wx+eA4XoC/CGcx/adNBUZv64HC40bzE9I9CHruOn2MvapECUNGff/JljCOvdy/8xUOOAYw
P/kx8v9E/KeNFk44ODOn3CFzlBrRV+XHNPnRnQ5TejdFsXYlAfhGH2GZiVwMSm/nBaQadpk/QpBA
stuID43f624E2ghtubTazJ3xnDvsr/d1kdCIEB96G1qBjO/S613N0BIwJ8hNEb88/ph3ia2sGphM
P8swLMt7uArGO4sOwqoVQApBjdAAA9QgltWru3C2R6Pvzak6REmf/sQFxc5WUt2WRyeOu2bj+P30
9N5ecvMJ+ITMYSVEdk9btEapSafRx0qyr4qj2szyjgpF/RVdyQ4tRu2auPwL2/n1JSS6yKuUZAGG
hUhyLTZnktmVQr6/OfCHChLjmt5m6BUP0pMmxXrpwmeE3FfE1nhfJYmhuxJSic62zqzhs52qQYK0
Am51u9YGWgA7HUm2auqUr9xsyjtZX2I6QJggnoWKF/i2ZdGQGLdXiwznzwBAfcBTX4naVWDDcNgX
Nf5broky6WdzLiVvULv567unBhA9GW+ACDxzloGRbeSkwTiuDpIVDMp6bKW4Xzld6YTHcSjkdYwt
uv/uRY+kLW94GmRdAOw7XQ7CdDvzLQMDsyktvowDb6tI682nKFJ92Y1sqXm43MnlQUnUYKH5JsCo
Ipu9DIka3SRQUKXpICi5u5RC/6Z2QG12aTNvLze1PLNEUy8OS+hYAYZaQuxK31EbdErGw1Aq2rrS
9cIrJkfeBnnw90z688qZ9VbPiPIgzwFnFxX/06EUUJJBgxF/yBHbDL0aIn63GkK9fTLK6L1CnxYl
NNE/EN8CV4Biz2lrvTNFug3Ce5uO84AHQPZ1gCC86pHyu036Tr9y+S8jWZpjawi+BZrviIIvmiP8
w021r+rt0En1XdDEIRhiudoQJeSUZXDaGU2Sq0qup1vL8Sf38lS+vEtfnyKifQDTUIzIIGPJuzgo
bSK3AXBttS2UIYR7G2tOdtd2ttO64MxSmGNqVG7HEkNNN8hzjVKfhJTRLoP79CjIaSEql2WeuFWZ
2bBxGnX4aCuJ/bWS6kZ1fRRfH+XGkXIvz6SR0jaURNvDODtdBzHapiD3qvHHUGTTegpQEvRCq8w+
X+7k6RijYSPkKNHpBrODAhahzOmU5kraqjZ1rs00msnOVzP1ZpKGeK2RzmlXgySVSL9F+TafjPJ7
kMjXtMkX8Lo/H0By66UORmC5VEO3jMoJEpCFG40sxyZX4fjGyiw/hGCLV/gxz8dRtY0PrZr1+1pp
gnUFnnQVm1J5Jdo4ffH/+RAqmLzNBGuPTMXpSGRV2EnObMsbs/Up9JMTQ7EyQK+3q5ruxi+V6r7q
rGADe0S/cmiIUP0/C42TQiRRiavIBYsixfI9PGMDDpoiVLeJZQafEn/2bxseNFfW8+lZ8dIK4kFc
xNQHiHJeZuLVvZ9GxSx3+qxtzXRyVn1fZHtlUuuVE/vXUj6np+C/myJs431CVfrMUMgHslVYoa5t
I6tTP0RSy91VK+N3PxjtzTz71yLFs65RGeDNBQ4S7jL6XotHpy31rVOTy9vWfRPfjXH0GzHl9jiQ
avEu75dF1ZauiaaoYyEXxMkE1fV0mShGM5H27dRthZLpI/dYDAndmndaotUkhEE0y3re79S+lhDT
mK1dmps1ZVGpXtvaBFveRvb08jctqrQv30S8JDwaAB2RPVw8BY2AuAI/RnVbG217P3edv1Ik23bR
TFC2chs/J1lY4kLb1V/8QjHdwAjto2xHySczx2bKCFV/U9uxualyGLJYthr7ycQKXrXi6M5qnXJb
ye23GDvBnREibBUNCFvXsC23fWBnEJqFdSWCCOvc7KqPlzt3tpTQciUNC1SF2EhYiJyOtx/ZWm63
mrqFbaOQDWzA66nDLTxjfAu476+cAqePgD9DSZwA6Ig3gACOnzZXmPMIuVnTtvOkyzyrFfXAFVV5
CRzTmzatksiNS87Hy51cnj0sKjYJVx10AP7nUt4sCeGbQF/RtiX78yZUQMXEWui7llVOj7IWSYew
mdW9LzXXql3L858UI0wH+CQcooIgvxhezfBrMLBTsEt5FK3ALvYbLcaeEM0pwzXL/ikr5HzTmFa1
Szrtmib0+eTyIHgptlFP5BW0aL0vjbwGx5bsZgdH6LKwinVhaOExsYnTUAS7lvVetEfpTrg2iPiF
jDScu0VEkY46UjdBCRdJK1FB2QyJRGyW8XS1HfSWxxmVVd4O/e7y9J43S+6PbBBRDIsKvtzpoqqt
CFFns1Z2ma9JmEzasod3+7NeDeMmmoNrIK/FnNJLmiMpRFeJ7YnqT5uDVtEFOorWO5zP6lXjWN06
KXrtq5ZH4ZMhOe0uGW1zxUjLbsaM7y/3drGYX5pHqU7Q7+EHUzQ7bd7Ej6qb0DjYpVzsN11iYSce
ScO2KuMPUdbK6zRKvgu65OZyu4utK9olRyEOCq4CoeJy2m6Qy5HTBLqySys/+mpje+npyRDcI7im
bmeNAIsyc3YlRn2zUUh1AAYhthJCnTaqRujw2U6m7sba0DZSZtoI63Ad6E0I8Z8H3apqlezKcfHG
BKPYglQuj2p4F0sEeQC62JwzXd2FgNm22C76bqwo1VaLkXMweV55jt81O78ojBVcIPX35YE+X86U
JhSN9zwsNMg9iz4P6M2q0WwZuzqF/pV2Ruap1hBv7dCI3VkO32dPiDIgHB5WM+odmkiuLnVRpkjV
kqFKzF1sj7ZnFrZ9FwIayd25QvTSe3/nkMIhU4HdkVB9OZ1QVIxyae47c5ewhndYM9d36iAgkoM+
fMnYONvL7S04Dn96B5kQOgeFbVCKi2VbFfNIsBZZu5ksuVvF2nxbDkP2qBZ+7aq1om3r0My3aqpj
JgcycjtxCboxb9dtn7Xzbeyr/UMT4+7Oi6i418o8u28tWClU0kKPF2oWebVMbDT4wZC9L6YUU0MN
CRUG/hswyJJLTcK51wo/NneWMmT3RpcZnqYgClzVSHJeHqjzY4Vjm2KsLnNnQc9TTydm7n0lb6we
q+/CjneOCgdHAfZyPzQmUAcov16RRvYmqpCKvNzyIrp86SS0OQEeBVvO0jht2Wy4JUO7sHYYtxjf
ZocPcCutQrMmV5RPl9t6Y2/pr9sSo/AqSC/7MMU5vLV2VqDg+m1Bi5+szrwxYS14td5bV66mhZQG
y09Q4QULBa0fiI9L7c1oLjvTp8q/42rqHqSyv8+VLlmpTdh+GmonfK6c+KB2pbHvESxxMW2mgCSS
J20iVVeCr7OBBlkO4psAntvSPJP2s3qsr2UoyrvRkkwvrnvjBmboMXQa7fHyMJ+3BMeTiBl9Beo0
nC6nwwzUDf4zsft+cpBukOJZWg+lpe6jRDWvrNvljGpCqwLICoMrimLLA6Wz27mockfZq2aVHfI2
/CHZ5XOUjtmDksnTlath2TFa48Z94T0iY8b767RjXWf5Uh5p+t4UyhR148S3To5BpDTXyubyGC6v
Ppoit0oNWaDOKEAtlmpfT3VvjSyMSG4mt5xaU6yJ2ctaX1mHk/azznTrfa8BLgDaJFuui3w5tfnF
6WxMMWVcvTH2Ifr/G5Vq4wof09yLzDpatzPZtst9XN60oj1Ka0LBk+MZ0cLT4WxSLAZyclP7wG6q
VYfwjCePgBVXUmfKnmaa0l0vIYkvj5kzwwns2a+Xv+CN5UPzCiVF4mMolosQuchKo3Pswdjj4iZt
8r5W132rqHvZKSuvCqzqyn0kft+rXMTLCNNdZFXEej1Tx5D93Or60aC9sBo/ZnKDwopfYwV2uVtv
rFOSLQDyQSEAg15qBOh5qZoJOZ59MRaf5XrobxG9m371kWVfS7C/NYKvm1qMoInGb9kmkbmPNTs4
1MAwH3ToCB61en8Tsl2+vL9rvDPoHEcYb8nFFiS7BLmvHqCtVOSs0rbI7ixuqpXgXrzzGBPLkyQ6
yDTwkbS2uBNjech9G+DE3vb7JHZ9M7C9gJqR5fZmnl8Jdd+aMu55VMbJVhEZiZ+/upqyoNG1VA4R
XcKNYhukmnTsVFIFCSDYdzeF+/WLkzEHtHjDnDY1TVpnxHVo7ZUoe05TbbqT47lyS78c3z2C1AVE
TMHeEk+lRae6frCbwuqsPRWE8AOsfA2blEGIGiJbcnldnJ+XNEUSSty44KGWCcakg5XmB5q119Tu
xkyFO7M9tADhbEBxFioAWmjOny+3eT5nDiVqwDY8pxSyq4vza+pmXa3t2d+3Qa2CBM1R/Cz1eA9I
9Jry2stT5/TkoJQpKvWUMSnrLB/Xej+ifZUq0j42+8BtQAk847fU39bd8CVF820vpaa2gbisrbKy
EpS1utoayM2uJj9Ub/phbHf5mOg7NW60vTIn99U4g7ms0gBJe1vzqCDW3wzsAT0DfuPGTFGUkyQz
WJtGbD4n8WAekaNK1qWuD0dJH6x9Pmbjri8bZ2XU2FkPsXXNx+78uHSg2VPLIjjkfb+sZWV+P44N
4dANgYO5mvI6uLf0RLuS4VtmHTmVaQZEj5D0ofSyzJJrSpAakz4G2DI62dZK08Zr5rR/iKRpcoc4
6+/KikKFhZ7ZQ6VHsUc8PoTebKrg6uE4dRSVVezr3726AB+A8iHVIC5k7XSbFmbWEJZ30h4M6niT
hkgLTnFukCfrjP+vpjjthMoABfPFPi2SutGNYpL2BtfxHQR3pK0BOd0Eff4+v2nyUKaAdYDBpBAA
7nyZ4U3ntk4QWYlurL6BqxRL6t4JG9m1wkbaazYUPV1HnuqdQ0mjQOkpsZG54bJfnHhw/jg4tDG+
Qdis2Uad0Ww1O+q3uR5fu+GXJZeXDtIEWswsWJwpFoeCnwxNYfh5cjNp+dyuHW0O1ppdxBOyujaK
s20Tj3i/q0nkYMVTOz/Mpo9aHt7Z/DdgnPx9Jnt/BlzUZXmHUFsE6ny6jCwJfk9o+vGN1BaY8Yzm
eBzUsfXGJsuvkOHPYgGG+XVTi/ixS3tjMkY7RlbN7tw6VPL1FGrhigXxMwioo16e1QUQ4d9dg/hB
GRFOIOf+adecKSNvXyGF2HeF4eVSUayCJCzX6jhPUAfy4HYwgNEYuWVtJknrIDlIMxBpBCPUWMk/
OKgLfZqCvkT5hndRUabBeyNqRsTiuEZIguUOref0C30rL5VYQ2+GGyj7EHfG11FVgu8pbW4cPS2u
STeK33dyS9AeoAx2MMVdcV2ctoepTjDgA5BgMtPnmzif67s471BlyS3JRbGhktxBDStvJnDM3VFv
4oOJEd6VKPfsXhQoTLKTIrgXGjWLeQGQBQ+otJObTgaOOQfwFtEIyDYGe/y9TwjRFHl9Bd4IL86l
40zdFn1cYP13UyapehdkqeVi4BuvQ8UajqNfmZ6N/8J9aIbywQ/wFru8BN9Y8YLxxd0hakMYbJyO
94iMYNEOVXqTK/24sRs5vCliuVmXUzE9GlQ0r7S3AMa9LHnmF7iFpQEVOFOFG4fZn8usT296c9RY
VckAbmVuK3dwcFLjP0PDm+EYBN6cdqpXjKjzsBOuWS6evdwYdtA9XJYkhUVu6rTfflk7PeDj9MYa
rfFxBNq2CXBqu9HT7gs/Gb5qkpN65tREntniCPTe+4rmheMjAZ8uismLBdbOVTD55Zze6F3qkyhq
7LvGLKMbgBPXzADP4koCD9B/RFwUU/jXoqmyh5rfj052I1UhhwpMjc99geeEZCP7h/Sbp3ZRck3m
+CxvBCIPfDp1ZPA0nBpn4DxFBlCsOM3NWFi2J8fIOTZw3CFHhQVwqhyxlgy+odw56brXtG6LDI79
EYq48dXq9atl2eWxQhQiHKR45+FZo/BCOZ3u0ZGyHLXFcSfpaAy7FSCNXUpZ3WO9leiQzNldxDjs
p7LXv1Por7Zh60u79+01kqAiQwlxjIIaekGLNWfXsVEMBdy0TnPGOwXbAdewivCA7sd4GK3qWmJ8
OfMkk3hNAuEQ0C0YuougAQtlAq/cUG4cPTdWOsyBlabWBGGqLN1nqBigMpyb28udFMvp1QFOzCDU
JeGNEIlxhi8lBAz0dTsfAvdtWFYSAbsV3kut3CNN3+le0fbGbiwwB5EIPa/sqUV3X1rmBUW+TuTl
0WRazPEYkBiaIOYpiSHfFIFjb/EmRLLUStvPuVEjAs81d6XRRYBPo0wk7GxSd+IIXSYqYjRDQhIu
2bEBK7RKesXfxEP9zsKkaIUNRRGWd6hg1i1WjtFYTevkc3ZElaTbhXKruUE7hse6kWcvUWZpf3kS
F/ffS3vkKBCH5nVNWLIIpzPQPkNgTNkxta14ZTJ2u3ps8R6f1Ws13hdg+OmCYYGCHabMzL1AlHE6
bV3YNA22u/kRljuiyw0QtY9pnZpYdjU6zN8EHFcbp1sM9SCJlU22x4FAflTgNh7BwzbgE3RUjTUy
OEFpm1+6An1DC1a6tvKzSVlfHpnl/SWGBtyoynw41PkhR51+LhDzWYLZnh2pn2iWF9VwdZVGirbJ
0H7iRaDd09PqU6nXzhHpM83FgFq5Eje+MT0gI7k1qMsQnemL0ywvyriNQzs7FgGlPgrjvmW52YCS
rC/P+bXHpdg3ZxMkHFk4zinnLX3/ppbuWhOtGcE8HRJjOmKM5fzOO6m66fD9A7RGZFrGztfWsXzZ
CwwSJIj15qsM6eDN5fFfxCt/hl+c4RQXCSGWorJxpOsSfhTZMUyKyUaiSbrTo5osgqYfWqfQv15u
bvkYemkPEWmwV1TnRcbzdLrbQaFaLsn5EUBUTnYiVhDMD0zP8nX5NpIIVlrwcU+V3eifmyLW1kWq
5V9zAqcrC++tjnNxYP0D3lEIapx+CJ6OSqJGQ37M7fyb2eQFalezeROp4O4Gy76ywt5c5q+bW5w4
Q4dTnmFm+TGikLzJR7X4HpfTvO7Znl6hh7+abpLgtSKUYvtpi3xXcE0R4O0ek3gTkCXhenHa49xI
QBoOPQdDXU4HLXD8R8qjyVoqW2lFVdvJrsSm5xcIKgCUDwBLgeZk1Z42qDWDKD7Z+XFKEaaN5Cpa
jSJp0SN+tZMtxOtN5NFWl1fY+X1Jo6RHqMrAEqH100ZrMy47kmH5sY6q8kMd4rTmR2a3Hab2HnX0
aK2DdtnhP39NfefNhkFhCFQnPV6mplIiFAVQV36M03QmD22qe5TtesAYZrk1qj5x/biVXITMr+ET
3hxnIMkWqpCUTZavqzpJKIRMQXEMo25+jKUyu63bsPCsOsO9VA/qj1FpXtMWf6tRlDxQJCA+EX4E
p+Psj0qMcEuVH7PUUTZ4qXTPcuhQGh7S6Gl0DP8WC+Phyj365vHBwcn7CoKKcGA6bXWER4mCa5Ef
y9kYE4/7c1o3Vdw8NIrxG/tW885upK8VdP2jMivzF0Vp2hVCB9fqKQuiFJEg19brD1kER8AT7GSa
SPqrNSL1OLtLj1VnIClQDtE9oO2k9YJKnn9kempsgCCFWytyJqakKPa+X5Qbyr7hLRN3LeXyxryA
nYaJwb7jPl0yDEqTEmtnZuExw+7FMzt7WllGra2VWstQXFSmDeox+pXD9GztE3EI5XyAHELEa7nT
fakMsgQvm2PThwHWW0DJXbkr5Nblfs/upFoZNr0ROJvUcoqHyxv+rMO0DRBI5EV5DaOPdLokCCuC
hsdleIwsK3u05QJ6GDLp+zQfvkWAFe7mJL1ymi+aFKAEOO5khoEFcawtUUjl2CTakFb5hxLfrmhb
+1DfUhewbWEUHuVDq72X/bZLN47aTubHy/1dHOM0LnK/QuCEJ6gg9Z72N57DjPyR1X0oqrk48Lj7
QkgTr6qxUVykVcYrAfmyOcIhITwiUCCC+7Y81rqyN41CN9oH/r2tuyn8PhhJu6pwL9uBZtTuL/du
Ef+DyiY7xFkm8kSCmL04VhoU4sc4KPWHMi+LVYMC1cegip1Pl1s579RJK0uIE8ABKEpapD802hyv
nX7s9wXl7w+tDCB/JOd85VJaLpg/vYKhwkNVaNuKXr+q5Rl6nWWG2egPVZqniWsZ/SeJV99msq1g
V1SpcyBYuvbIWUS1f4YSuSPSBaDzzrgxU2JQdW5H/SFSZDweIjj+ZgtqWosj60r/luHNS1tUr8nl
A+KC1rfYhHVh6bmjDfqDjPeeN6p57GUxqhEmonqE7dO4jnUTqaXOToCmW8M2KQbp8fKkLi+HPx8B
C1sU39ihS1NO3Aii3JxNRrkvOy9XzMrDQwz9e62YVigpBxszruNNipbIpwIpXU8N5fpjBZfUu/wl
b4z8iyEEp5FC6nVpCZU0tjAmiI2H0AzytdFV0Y3awH6fi+KaMMwbK4sCjXjm8eQjvSt+/mplgYAv
lRnV14duioN9jkv5bzUL4lU+wPT39cnxTGiy7z4ToDKS2BdvGKBMyxSYGaQVQLTBeFCV4S6EZ+9q
jgQoJe0TUFrWWF0jXy/uFzGz5BXxooTpLoj2i1MB7zctTtTOfMCFDlypE7d7Z+xQ3C5a/Tj76EYk
RQHMYERd4PJULtQ0bNE08GWxf3iuCfub0wH2h7ZGM10xHsoJrm9qVijH66i5+8ixbyZfHlZFEkRr
w8LyiKp5txnCrPcszH1RqI7StTqrKiQjbKCoJiDRk5fyrgnqa5D203XAiufSJysJMhBWj9D7Ov1M
JU7CkFvSfCYlLjsH0qGpevAjua6cla9pwID7vI37L1lXBMb7XANeGqdZQRwm6gbwvbiSwkEj/4pF
5fNYWtEmwQ7ihjENVwk49iuvZzHT/3k8/2kKYCqKDjgVCiD9aT/1eJpSWxvt5zbSHS+SgdIPajph
hFso910sZTvKfUrp2jiTuTGOqu+6fcmXvqBiIQByE2KtutzaRqqMHQnw+FcxaoW9GzSz1P8ubdVH
+6EKlcF3JVQW5murUKyy193mMCPeZM+9QLEA6512W42qfGr1Sv01N5kEdc0JzWSNHpZZ7a20LvuG
Gr8hd48aZET7HnCoHN9NTRY2rq76AOHR4vDXrc8De395f5zepHwRnD0KtyIbbr44Gp1+WD1YTp9K
sfwrbqjouDqgm3Xb2JG+Mpqs+iZHBOzvOl1JciMCALWUV5ZAY59JAdgSIoK9ZYS/obsiiDaNw2c8
/kZXybLw+XLvlrvqpSkRKhBYiht0Mexh27Hhqin6jdJfpN3GDqtsBfvJTj8pamzdYxOJsR97zTKu
zPhZyyKsFNRPQHcgo5ZeRiAy286f1RhDSpxJPECx9r6sLDPz+hISWY3CxcpU61Z+7+DyakYzEPAD
roqCRH46n72PM1XmhPihShY1eSloDa8M0gAqaBFsL4/u6anORKL5I25IMjAUB3m/nrYlcZDRzaoO
3Ngw/V2RZ4AA0mJwp1KJPgyzpX+o9bh3G/QDr0Twpzc0TYO+5SYRK1cIhyzr//XckxAjR4UFum5P
d4Ez+euMR8wHtaJWeLmbZ20J5D6GwUQlgu24BHI1kdSBBcl9utn58dNsjr7k5QI1ks2N01y5m89b
MylMsUMEYVhlf5wOaqLEpNbnZAgp5lK9cU0zydwmTh3HHbi4rrR2NoU8hSgNAIXjfIIuII6HV+GH
POvBHKipGbpyoMsDraFc6mL86OsUSFIjEThfCAuOMRVHbdLtb5fHdnkdiNcQAZ+oQwlG7bIkg+R4
lmq95oduW1CGubO0TMu3oNN7a1OMDhZjdRHE01qRa/s5tHEccPuaQ+3Kbl2egjy4IUoA/KIGSWFo
uZxCXMZmyxms0O0sLdp2atoe2gI6l1lZOc5I8zVRibPjgeULFpvNwzlI9nxx4+JxYtV21sNgGLU4
+z5l5QO2wtrnIpdVbybhdZPXONteHuyzyaZRULGkXUR6jXLv6WSrfReMpLRoNB/a5qHPwnEdaHG3
1tPU35NA7j4GpjasDOKg3eWmX5btqwtQyCWQ3xLhNDRQEvWLZd37EXdQocmhqxPSN49yNTTjqh6z
Kff4Z/2TZoZjsRvTUf1utln0UcvULv9hpkp/26AKObhGkUyfDTmPFHe0sqm8jeJc/wZQ3zgqVjPe
110IpTwKjEHaNnBMxyfOweG2lSEke20LoezeQqqi+3Pg/tff4/8KfhX3f/rQ/M9/889/F7hYR0HY
Lv7xfz6Uv/LHtv71qz3+KP9b/NX/+0dP/+L/HKO/66IpfrfLP3Xyl/j9/25/9aP9cfIP67yN2ulj
9wuVB3LKafvSAF8q/uT/6w//8evlt3yayl//+uvvostb8duCqMj/+veP9s//+ovcrngH/tfrFv79
47sfGX9z36Q//nFgFpowqt/4m79+NC2/Rjf/ySkDfAqiBme2yPkNv/78xPgnca/QOiFRTX2NRZEX
pDb/9Zeu/xPxMW5Q9GwIFwAD/vWPpuhefqT9k1o6CRTuVTjFkOb++j9feDJb/5m9f+Rddl9Eedv8
6y+KeKz6/6xMEGR4rxFSc9yKaiLsnNNdATvFVCUlrj8bffyQtJJ+rBRTEiDJn0XblWvhTrfKuqr8
iUyXs0lyq1h1iW4eTbUsfySA+ddtlc+byE5xUcHUA9wSkVSujeaRuzp1zWr+omujuq6TvNt0ddsh
xlrbqywLpm0/atFu1jRpbSCjepicobhF8jTaYvLhbGe10Ffsjo9TM5ubQUl+aFY+7bMmohXMfDZZ
H5e8TspwxUuqWllSnO4yS042czM0KwR1exfVmtKTcK30yhIBL/zRD0VbIDPtmBtr4mRzgvypagrM
R+coukOOst5bdvpTmbSPdp7dRnX8nM3Rz8iqURzj/3B8+QvOSL1L3W+DkcJ37gkcbpLqEfDCLVFB
42rxHG3NcZZd4P5PIT6g655atzsbJSxSoob1jI7ryipb1QOR/Vu1eXHko39jtdK8Q/v4Zzjx4mrC
4jGw+uNYNpVrRYBiot5BTJQt5nVN/NPS694NgymCS8f3l7Ucf6pKJd1HWRR+gEnS5twrFOl8o522
MC1VtN2Kex6j4SpQY+r9o2VvM4dJqnVfuUXz+a5Lqmk7mSM8yCe5pbUmzZ/SPi8F8th25YFREP9X
YaZPw1Q/5lNw8OcWjFrOHwafm7lDFcPr6qW/lUgpVkhm9iQz2iMSt8OqRkwUUw89dXHb+tTl0bNk
yqnb1OlTNQ7lxkL556ZJ64i5H2XDRUEnWRXd2K5hyE9e41eVO/IsPMpMj+oE9bcRjDld73FHTuLf
vi7dJJP4xi59cpwkXDmBkrqZXNwj34xcTBx2mzRvyicKlMauUArQH7Om3Gp5VuwGnqi8O1g6o9Yc
YXdJroNn6+3od90tYgt65UpYtgBXRiTuIQ3S8idiPdXHaO6+cbNs1aizV7OjkROLfpbgTjAPLx5D
sx3vyjF/avz60dfjzNPi/LHha+Oq+ZbL2T1ZfiK5YQw3TS0l61jNfoKEep7irljpujDB1jVKL1oz
3uRFqm/gQ2iuEwaZl2FtH9blowO7BnMj+tvmybNaGJ8QP/ho+FO+NbIi2WDjFrtJQgofS8XorpCz
ZlWoBpCmLDG+dNwlMAMtlGp9dIi9eErv1drYtaMUrLQgf6wn9tnkhL+NSfnYp8iTDF3Ksovy30Zp
Sm4aSqmHlyiLEPHObSTpE7qxEuX7eExWTjYcY8jEuCPJKynIMV+OGVpe233uheD+dhjWFitfmoJb
czbaTY/z5boN5iO52mE1kv935cjSSL/7AWPRKnjSROOHSMWSYQYvsHISdAZKA72PAuluLw40wxuA
QXlywi8wtGpYVXY8IyYxpW4eVt/akQOhm8xgVcp+s62onD+3hfM3SdXqxpei376t/2/qvmw5chzL
8ouYxn15bC6+yV27Qgq90KRYCBAAQQIEQPJv5lvmx+Z4Zk13RnZXldWYtVmPWVm+VEju4nJx77ln
gcsyyElBZmoRU9gg2CnBMr//BN8kOqaDiGsYAg37osMFMDnXNcIjk2oqhrj2ve0LrmTaYD668N5H
pEXO/NrCVbAkSbiVvibfLQWjT7CfOSKJvvB+7MsQHr5VPLV5SeFXXOuCiMr187A3XbhgUu5JCcbO
G8u7TxX6H7lveY2cRbof0mE5gWnDdgFe7jJmiA5isQyrfC1gY55YVNrBho2EXVLZ59KvxzXBuh4J
ZQcWDeMddkzbIQe/8A18Cd7k+TicwbhUn6NMsfGkU1S21lx+f26SGTMxXjb0UTleqUJtYeUxtR78
AA/Zgnp08PLVL2NKi30Smz/UHv9Sx/F3+4hfeo+/+6/+B3Yb/7DT+Lef3ceAoKj//b9+6VDwM3/0
GFn8G+hcKE7XxGmskK6dxB89RupfGwlAjlf9NyDP63L1bz1GlP923aKDa3NVG2YYxP7WYYTFb2g8
gBqATQIlwfX/+hc6DABMv44XQFnBbbvKGtHRgNb6n9JUzNj5yK3x2iYYXH9GMN6PlXRRjUUejDlI
WvHEnSYwWE4ARrCMtOQri3t/l1u8v+EaYven5EWmC3KDNNL1dh6Wj6Y0HcwCKtlep0KTq+LeJPCN
bkA+z2jp5s7xe9Yn2jYTiZPJx2+ZQBdQJSqSDL8lGpSc70kC761tMVi6jkUou1cwacSbnXHoznGG
IhyAfDQI3y/BXeQDDi3hRAWv0KYzaXGcUjjjxHPL8MJ3+QOJkQkclHLxh/HiwDhrdemkAi1+hnTn
XOQ0x+kei8oAS63hg21OI97N6+kXnKAFNFUyuaWaPXqfbYtfJy1eY59OtwJjYulN0Q1pzfuKJCP4
XcchjOkWqk5wnT/rZKC83Logq/kiAZ+HKt2nw8bKAJx1oqObgJh+z5k/6Z2d5iEpC781svKKAX4D
qLfyi940DE/DWutAYia5BnujXmERukXiHKSg9E8wnmuUKKAO6Xh6J6ADLn0R/DTeeumFdk/dJG6x
Y9Pd7SgcHOixllNflIrLBFbgF41faUpsOFhwRNeDz119gmxN8FhQsjgRP/RqY1TQiY1up0KkqJUL
mUlYixSpLhXRyRdPqVxXrus2glwGt1ULLMuHMHT5ThqE931Z14CgEYvmG3AnvkzUwQ46NbHYBaPf
74wfjzcJLtu9349HM201iOv3cjBzswZTWHPM6TVgyV1g9QdcMGCNGmh/n6BNRJIY0zvCkW4CPvDc
lzwoyqtNyh0kkCZpWCgdGhE8Mvbk5oTcd3lH/NLDqtUdR8LXl0yDpF6vdLzVSXZo5x6kRLeRXdZ1
MUg0G1gmDVEbnxBjDoQehzJ8XfrcXdqWH9XMZl2SWLrxgQuykdNIIHeroe91apdwl6k6gWRRVbHn
l4jOAHQKN75yAh0+qUKd0b32uqNZXPtehLarKNG2shDep/DKXBq81n21xP72BF2WUKW3OB+Od+Y5
aLcMRH/bYe+XhRIYeUrB3c0h/ICV2h002KVpB0yxY3rjts7U8whXrCFeplLR9Z1a8XMApjAG8tSN
SPjeevDAis+URcuOjdlctqo4ZwFtv8DgrC1Bghh3/tg5TLwDYt/wHlEkEfWpREqftIsnfsCOGfFA
OkKnaFg/LtW2sVOaDMOOsGF4inHI0zJbjLlsy1hsJUHpYSdpp+Ue0oYeMRC9zVc06YPdKtpJgzMr
9utl6/XJC33xCJeZ7Kmz/hkjTjiU7eitJ6Ms+Pauv5HRgG5cTgWXiItLkZhAUwszDyeRn7GCtsx3
2JNp9EYzuhua+YTvF2TbfviThzxxMGC0qDa9IKUwpktyMqFhDz78GdBVajVeOilpCMxwHe5DMxlZ
jstIvP2MFdqn7QKYTWbKLaLkmcwSIOlrFXdxvsPqoPu59WuKOrfOGK4i7OscSx/QVJGonDz+s3Bx
/8YL+D3tLSW2NMQEQ8mV8LOSDHZt1MLVQU3p0HjOS+9axkBLBrJ/Zpy4U+ZZvfd1GO0F7VTdB7mD
icJEB1CwVoTIblwW/oGpXJWT7V6A+vCuAUtqdmW88H4/j22ylLGaomvmJi9Q7Ga1lCHMpnCJ4X/F
nfuY+RhWEdrhHS4lHixsoKS0qly3Rdobb1QG+nsWDEPp0k5tcMwLtpM0mbjts3h86zPtYHxQ6D0z
RNWuo+oAB5DnKNeGoJF8Bvh+pTpotM5Fu6gXON/c8RFGJJ7ND4j/zYeSwLQD3gdvqKjqpGlmz0Xi
qti3TB+6dbxkAgSHqeRYZF3TP/0FzoJq7lpMtBPiB9QCs9RSJ2E9p4k5ky1TN57n7pKCTApp6vya
nxiHlFYCcrL0MKLVe2CeGE+RpsNXCHPJy2agqi2nMPwaFdMD7AyvTevoSqHGFzzXcIm22QMI113J
gvgBVkHotjYyXdoi+dGv6P8zNM5Vhlm0Rmacf4uc4jS9DroLSgNI/mMVCiibKzdFA2xSsGKPRX6i
A89q1cXLZfJH8TyIEGK5OBdN5PnTGa7rKx5cEADKrVWACnsTbh/IPqot4kSkDkyNyIO+nNWAQ5YK
fXKygHc6ndYmDUIBfqK19ahUNFUeIp4wKiDKDvlcW9yIoldlq91ZhtHFX8ZH2Jpu885pRDCneL/a
9nUaAPpDXgdz7nJIix2E2HsOu99qCj3YUVHKYD1IA/O+BXZ4ntHnHukcDncIxpJe1UMstZZQ/SvE
b2JM36pUDc9tRnvcSLKhThaw0pcPXrAtJUz7WVS13aT7E8HB9bHOiEWFUUFE1B6Z6etT2NNAYJaE
orEMQ/PNZnhVdzF4W0OVQwr8ZTM5PUXoyps16dFb2CCaTvNMb0FVwVGy6daVmeYwwin880I7OCg6
cl7yzCvKhMAVoO+TwStT8Ly/MuyKAgzuoOftdNGK+3Q1Udy03OeXmYl0vkHfvWBQX8ZzAdnm16xj
KjwvOrwN0KXfay73/TU2u+fDt6H3a2ptxKuWsIlV4TDNzxtl/lJiZXXGakrAkg5NIWuiZd3KVPTd
HulPPRgAUfEcmWVJqrwT8KMPOQRZOBwHyEnoeSLRI21DyOTwmJCpwVa9uCc+bs6Owr21KFvu+GcX
zMyUoKf1YQkvETVXCFJrxyofW4LwhkLg72BhrJDpBZbWuJ+X1BhQav14rhCvOnTP3bxmP/hgH9re
n+EkFM3ZeoxH9FI17uAclhuM2+WXeMzGruoXLdWuEHn2Aa6sfxkNoNMyRhva3hLIOhWcIHpqypFf
kY7cXFNYXVi08A5S1MOUZuBEtVtUqqe9hSv+zz7IYNDpKe8LRaJ9DZCGHzzthzvw47HC8+bBRjud
yPTOhnhp84gh9LjvzquU+Un3oD9TaV8VIWo3BiG8MlFHiamCYmrrgg4xZmIhAMukDNniiOLz4rQ3
uFVyfF0Qf95Va+ovATAB/14H7XmAh/huhDrzphWh3Xlt7pF6yA1b9jBq8fy6I8KHLE6QuUL+0Qrz
1SXpeDmpbTsibZCeXE9CD7y66TCb0O2AL6syoPwHp3Fa9iwKbwG2ZJd2tQ4iu7VDbp8HMwYI7Af7
CY6jaqKN64svJlgtpbrus7F/IItINF4EMAuBh98kLAj3uMto0yMRX9YIroGF8Z7U4tOuBptWnyhc
MZoeIGTYpQrQHiPfNoKBkomhhoOG/pK5YYE0uc+jT7gIuIMB//knbux46Hif7gvnPWDIWIqSDnTI
0XW3r/OYLQ2Sbor3aQIGtSOLphAAu9y9oHLn5jSTFvaliXKNFC5/ITiZeWn9USOOiHXu03qIuIxa
Lt7d5iwErRF4zZYnCIQcI+9YyIh/kIixavZXRcpQB+O3TQ4BQprA5kwi9C3N0E8n5plYlrDthv3r
tiQrP5soQ6WEWCTd6sL1/G1bLJwLosyuJ7v1MKgdnNmKY+6NCLtrvQBe9puhMxg4hj0H6WYL+PyA
m7nP4Qk+VM4FILEg5jztLnm4JcmFYO4GGMJg7nJQPVg8togWV63DFA+3seqmBSAPylVJUinLFrYG
c41/Z6MnEJBRNLJADD+w90kCNNuFi8IShIxpA1FmDtc9TB/GahYT0lmgUbWV17q+DvMl/eytsPcc
bN54RxxaPNd0eMWGtexAq9ieCovU93fFMzTU8aSOKARODGUxjeZjQ/hycDCwF2RnvVFZGtF7lW88
ZDyqhE0PHOFk31lGQloiJhJ959rGyfMcJxSdpMmSsRknjnN3XdaLmOJYP+MYEQYndafaxpP8Cbc1
kycGJGRrFrHxRZUG/lhL06pZf58Iwr13zo13hRv3WUQErEZW/ZYmgeSVp0n+moQWhb1XMMHGMaHV
3ZhJdtPCrf9TIJwURhpIV/xqYz7MDUHEcLJjcB6bd0ITVgml7sE0w0sckeKDcsxDFTrgB9gWQEWw
pvPc6A4VpbYGXNMyGtgC566kDdFoFp5NGoEARAJ5x0i9nY+zi5SBj1u/9x2DEzgOVaRfzqwHJQ+e
qWkFGWWa7SbX9w4BVEVadZ5j8W7GmJi+L1ZPccMQlI7EwnGOv7Rwo7PlxFfNrmE1Yi0RQps8CKzF
ph1BSIA5UwIzhdTOXVoSRa8vqhDipwJYx3ey6IMXNDBKVTq21y6pY4fB2uG2FZ38XNYsn8rAo/5r
imRvDFaWDMXZj5m8Z8WY8D3CiAc0cZEEtdiP7K6FOq6/JBjNiiPkLQHOfQ1w8a0oOIG3RzB6F067
9GClbW+V79EOknsqX4aOrMii6Wb7wNtg/lTYeVbjFrU/9TDZHQvWtMwK4g94Whb0saCfRHfcdxAw
LwFwQPw3G2GjTrr+1l+AHD4mLuZVFyRbVI5b4tu6BTMYNBHaDv3FwOV6QksKYLCciIa5T2tyjEOR
DdYY9q1t3jVJO8ftzsAT/hVJ5Oqx2FqTIp7N0UNkUQPeJHYK7QlWBU6jkYeApCahjlXVJ+El87b4
EbHYJ975bB9gZQDTvmkJ720xwjhjbVej9yRBU1CCW8SWy1BgVY8Mt9mHEGmgr/02L+JUWOqxow58
Hz0vWbea8a3rzvC2w9Tj1BJh7+0QILHWm6LkKecQ/NbLFKYY8WK6ynIKXOqOnvUzhFmFcgSgv2Eq
u9ddX/S1V/ShAp4Y9d+6AWbQO0Zgl4M2FyeZduP8tYiBh5az8dKbpc9D8Ck7dDWK997DSrjGIQVi
DA7C9TG9WiOa3Kd1G0cgQUHjcwtr2fQI6EXfK86u1nXQu3AvHd4yxJKf0YHkx8Lroif435F33i3x
VYaTB2WEqRxH6TVbGw+cnboSEbvXYMdwcTWDffXZjoGPLkfIJg0HfUJAxnZHY9wHstDbmYAfV3hI
wGxRDuplaFeCHX0fz4cwQDTfEx95/JPAiAEMvskiDanoPYbItykjQKasDTBkDYWqh7RLh/t8plvB
Ki5T2JKUc7YMxacXgezEUFcn9m6dGM9qwnt3l41eIg6OemDDl/5gDnGbN37k2hqw1VM/yicY8r5i
hfHdM63/6niGdzKYnheJqHukHt4PCX6Vzx+c3x1EjpVF3vbrnUG79zSi0wY9Jrm0ozgkee4hMbD7
MjMce3DjmKz4RM+KsKrpodDjowqDHyLoz6Hxs4r1opF6+QiJR0FJnY9duz2CplDABYJ/TNfMVfAt
Xz0o5kubyHuVS8jBxNdExU/U9+4cj5Oz7FoCDC1CM0PknVj0VeZy4wo8ZCrYPhIpvwKD9us8o8lO
jCOylpZgLolIvk0pC7/zgGMomAuQJlT3sYSsgcnE2SsAoPMCwAnPlioxHUVWkJ6AEkFZirgRJJZh
hi4DDYE1pMYHMdJnH97rAF7QdOJp/+FARSgDGz6SXn5RGgNRordyTUeDcbyFaTtlWsFYC2POwe99
mVA8TdwlL8UwblMzjKvBV8hSFXcvbItAtNzUGefzbbsqnHHROmPFuNzBwhxOnOkjUJyLDIajG9Im
7wF08AR1K8BIAbJJ3W7sME6+PjrPQrkY9rvMX248PdxGaOFb1qflllo4724pnODJ2aWeuAxj76Mx
kHdYDKAtSa8BbdG2Y4oaJOXS4hj2C77JMt6h39KVBxCAJINrhMnTxp/nl2LN7lVQSCgDurPEIOWj
PoFvgKC9l2lOfoIqE2E/G+cnZzHlAqVBFASbttsgXW7RaoWlzLJDrgIAZ+B29Wn7oxviBMko2wc4
cV8DuHg1jrOjpB49a9nd20XCwyO8tfMaP0YcRAc/AeF3hBL8NOBpPmpYuB2Qz2ThLwxIKjN5VGLs
GW9CpAofQah8K4i3G0d8QZz+JfrWE3IkXdVuyPgJpmy/cH6rgmQ5pqR/lNDO1pghWzx8Ez1LL9FR
E13vOczsoUG3n4gUj7GIwRyI0Bi/lHwbayTntGXIl/kInvhd4PVPm+DAjey43hXMrp86zo9IjfgC
Cfk7leYkYHawj9h6BzBhKhG58Bigefc3hISstqd7geCpaAySQw+GzJkEMRIXRQK3OL0ZPGd2u0uW
cDy4bNxTia0ajiE8TqjeFQ+FfsLHjDAgxutxnacPmQo+Jo7mF4J3V7JxzMrBE/4h1QGyl1V4GUJn
7nJAaKUZ2bNKxWPSt19NDpuxAic4ug3gAn77gwOFYdhYpQKNaUvpjOtKcQyZ4kHnajhJEg/oRjjy
VWHrbXTjMljWQuSavHWrv+wAgNzNJH+P2ulGBsk7sqYQ/ABHjWtfZCpedA4r9Oir9kCD7uh2m2dw
ylkDfe5SNr8XxDK45dDjxOOTP095iZ3xXNwhb9lhjOzTsG3oFBPvoA0cjg4A9oGMDglY6t+iIZz4
d1UEbr8RVpwpeOVPWkq/nEYSPiiSR8/p1m9nO3Qhki/8V8SZsYYkHJIX2ATW3er1pHJ6dQcHw6TX
JcHdByqWNRlV2c5ACvOoW7KdorEVeD0XbwfGXFJa6befRgDP0LpHIznoivQjThq7TE99G4idghMT
mPzkJnOOHTu4hO+yvsdqfqSPbU9PksnnXGwPSP957tDml5OZshurxIrEVni8oCENY3gSz+kFrAoF
94S0rQmltkwQ5wRRAHE44rLngM1TBZhpKAcaBjcTmpRDLhCs7pMbvLhpifUvHsZtelX+1h+ZpuIg
sGXF5NJvtR0z0QQU1vRivmDVjPBhRu9M77+sU3rw9TjWMdCzG/jRTD888IsOnVk28AuEq3MVn+mg
sa4ny3EozNFl2OIL0T51o1nPHeIoVJ2x6NilGCDbiOk3eHn7h2nrb0FeP/REsEvE3dyA9cXO1M7p
VzizfovzLSmRkQI3pXx+2ZCr8Yzdj1+TaWQ7l6vT0i/wliP6WWUCq2QVnpCSXY4UUXB5JIbXkGZL
uRj52Xnd56iH2rUY6EWyzHXB3U+Gl0Qy7NRKj0uxw5b9emMbhmkyAryBiRS/lYUWr5LR3Y53sSqd
y5D05KvvPfKBMqgyuQr2CerIkcb8OwYcHPCevw8ngTwg8rbkbZUE60snJgzQnXlJ4zH9CtZhtMOz
hy+f626oCssukMF8brBu/O6SbU+W7L2lw6vBBYUpIr7zNIX7ZR2PMUuPC2svtt1+hL4llZicyGtH
QY2pw8V0R2zARKVNgd0RUPIYHrdM7qYFSeuJHGRXY53WngzK1JfIN2/9nMxNPuVfsrb/iunkZ7SZ
O3bNBJvC+RZ94VrZKAGgY6IqADZSDwSADX7nU57OGHha3Dqlto84RgEy/ZTdTxnbIQfzYqN8BpoQ
xOEH75GoDs1BtLS7Lp+RlSUn5LYCx6RDKUym61hhvKVLOqOwMAktr5izO0fAYBlzTAswmE3O0M7k
DTKH9gBgsqYjhXzjuUwvBe7yd/CH9EfgJW/+lftTwC5pzfFW817fJVg8edgwJi2tscwrbtFxDdEB
ZmQtXPJjsPCa0eESVC1r1ZcFHg4PpO93iFl3J9sNY1Jueba9IOph7UvHXTBjKPZSaqqFjwh58SJu
5Z0FqNDhGiebwAI/lnLuH+02LUljAmX6HSYpRx6FF4J1kczYz6yJzU8KpeMnA2Z/8Y3rf4Tp3JkS
MnO6vCSMWx8VIRsO+RTpE1ObQyJi4JaEXfDXZeSOwL0tOcFb0d8JQFtgW7M52gM0g3qGM4TUdzSp
EIrwvgpxYbDfFvCHxEEKz5NiDFdkWoF8oxK5CweW7xz1AbrDZ2G89fLkItrB+0bxrN0HEMdAPKVr
Fa52V7gWSPOMY23zT2Cdtbug876j3NwOW9TwbE5qnXdwdCHTUltJqqFt+xgAQgFqi53D70noSI1X
J64XOck3OPbhEDDubmp7EC5kB8PkDW4dYyRG9N94wuC9H0InCX4HvqwHeOknSf3N688wzgnCFMNm
JB16iqjbsb7lGStHu4GWVQ46YiBq8dCvkoxtOwNUtNuNsW3fxo2xTyTHxhZii2QJsAKRaWNSXuVx
+we/9r+BsvAPqZT/A2kL4Av6CLACv/fv8ySfPobuF3rkv//M39gLxW/XPKoYCtw0AvR2lRf+wV7I
8t+w1gI7EYFjwJSA8P8HeyH4DXwGCIXg7eJHCXSJ/85fiILffJgigCd+FR/ASqv4l/gL6a/iFQ+k
XWgQwY/8iyYJBugx0HXa7oNwebPUBLXt5mk/K8SksA4gBPK8RZOkdDjRLe/Qs6K5BoN5rjB8qD3+
GnPVHvAzx5BXT2sPH2AhEXAdDe+AjwOs1/3tNOWj+EDStT1SBGrvADPMzQKvixKL7vSwAMaDuVmy
oOnVQBF7lrykkn6beKZwHoXjLWcGxkGsmD9o4dZL5EtRIT2P7saJYfLJVOo+Vzf7JwPsHxEHHt7Z
qZAVNr8hrLbC4jTC+gcnwKh2uNOAWXIRY0fmy36A1YsflA7xDw8FQ4+6ZDLFTj00lZDJiCxzKKRX
t8l6MI40bdCqCvUQBIlhW44UTBUU+PHV64v5Ca1jCy3ItH6hBdKjN0rWH2DGm12hrohYPrgK2XIA
rXQkSsH6sCnkgP0mH396PqY/73dNNoxAgFKYDCSLzAKSB1NpRXCrAUKH47SnCIOFC0jW5gZYAiRt
Vai6R8ycpCHRcHGbgV5hmQJxMKCHHLxQLVUBPOw7x4bnnfdd9phjxt+n0m2XBLWu9rCiPIOa43Ys
k94uz60+gVJ1GNLwLV8wzASarBXAVl2Ns4/oc8Q/7lbkuJ0GsN1CBKMw9I7Llu9Rtp/JhNiDBeMN
KHkgjsXqkrLFVvDTIYj4sB4yMJazwPXeR/AhK7vOf0b+YpO6vj2uWYfD1CRRuUJFCAiaA62zcMEb
8qU7TCJ8EGlkSkGdOhuQALEWhPbF0xrdxcyLdx3NUSVHE53Agm/LeJPxwSKm9YvN3PhkgdvWpDPZ
zcRAI0I/ObcAkSaOrSygkh5Eky/GaLPPNqcbNIKAOkTIX3+vC/8NdfJZCvzv/wMWOWhVf78y/tv2
Q31+0PUvvC78zB+VMfHB67o6E+QxZANo8lGa/qiMIIjDgj+BZvZK3AbhELTt/8sdD36DQhvlDzZf
eGERRPAflTEH4RwqSojdQC6Hsjf+Vyojiu+fmeNQB/tXG5wAWUTw30EqwK/M8Y0gu2M1xG+yTYLy
N7XeV2w6xD9JOP+LgvUaCPa7sw8iPaI8hEzlSmD/k0ZnKGwQbDgmGgazcbwG8dikA/CzNFzd6xrF
313oYHipQnRxeljvU+jvDwsDWTxd+HzBsgR64nmggIoThq6Eg4gNJ7R/puz8VV3y+9eEiBnfI4K4
BJrCq+TlT1+T4ojTIRvCJolivV8Ql65LsRXdjZmXHx3h7YXmWIDPCVgDf3pm/sbp/zOH/3d7ij9R
+K9X6GrGmYLEn8QJ1KW/fvTQB46uOQsbTL780XE9v86wz2hoBLbEZjIMHnJuP0TbASEj/vwqe6Jf
YwPQSaSqCbhd/4nU5r94NBKc2HjU8KV+P4F/uRgwCwLtG7LjZlWhSeB5BUo+grXFt3/8l/9XHwMd
z++58DhO/yornXQwi1jPSyOJUNgSYEeZJKBD/T98ylWMATDch63uVbL2pzsr0xFbs3xaGsq3ouJw
cNnlmPn/8Ydc79Ff7mGKBCW0M9eOB14kv35IOzGXF4yuiDtqowt6oRUR7IN8DGEBUkdbOwM9wXH3
jz/0V/kZnllUEPAyrxFiUDJCMfnrh4aRbofZtiEgOfc+MknvtzwEs6MYuvdQDkgUW5nYaRGNmFBl
8uUff/p/unvXT0cFQXeHwRFmGb9++rahk9dTETYpImCSQmb3KTjGj//4Q1AO/3plIbG9qiUh/bpK
/fy/1I9uxMkLM/2+maS31i4hIKOnHTx9t4gD3gU48bUtVgBPoLtclIs6SA9EjBqz8Zob/aMIl/l9
9FcseicfFJry6h3w3hmgd7xN3A1hjp/A9+ihHGcWQZ34izLACKDx5StCmnGKdmW7mfRrO1kH9hk0
M/tc6ATzbm9pY5MUoDVYDxY7IUQcvxi10kbNUXijVcIfrjuoqicq/cqY3PZ9X2RwRuD9z2yKvWds
ydadNc7WK27zWjEU5aafUgvr0my4cNWnVQSH/F2C7G3giPwHlvjjDxjmA3CB4sRgpb42zm9lA0Vp
eysWqbGOWPrsxne8OEUTNGjlbKPt+xZzIJv46RPBvvdF4/0HBOwhXwhtbkrLDldKlPk4Bl9N2juo
tYZXm8GnQgLLwb+BoPPcCyrhGz2DvguPATAWoOwpxw6Jgp3WY51jCbwr+GpfkT+zXuk+Re1tPL71
gZNgV6ft9tEFqwcamdbXxCwIjKoxphsM5ox8hDO0fdMRh9HBRMcSEuckqWm6HPLUdGi64F3C13E6
AvACajoPPfBcj+2VTOBdBwPtvkrp8kaksk0aqasAAK3ViCJe4pQOjsqTiIXoU6SIuNweTWxGGIHM
0BLptSgJOCSNTX1IBiD02EM0DLlBVNQy9eZ7ZGUXgMtnyBp8aQ8yhhogBMexte3TarzHzszrcfJ9
YPXZCgBQ7jaqhzMa24/YApdsfYE1VTvGB+Whb287Zs7wRqEVgTUX1rjQaqwMzkE9WNbeJPV7ZuZD
lLZBBRPFRqHhEwPIaFDdVsbRVw48TjP/xtAQ2CXa6y5O7rHeeOzTfmu2jo6gN3TFfQqV5lF6cXiE
7uSGSHYbDH3SZFlkDzAHfEe0kuzltzniZ+2ZL0MHwKdb51PrD2/JGNlj3uHi8RTRfIFILBQShStB
80TLDFkoBX0Ns0unEtNQdXWTWzSYqJhakm0s5bz0pYzDJ5nExcFTvX8oTNHVLIZLRUq8sl3nh3xN
0Msi46VmJLrz8/6Wbi6slR+LBrYbfTky8GYQjNXrW0icQKwMiiP0/VFthnB71N4SHqHlau9bxT4x
58BMfTX2EhJim4F1y2mLDdQdYODVdsgaKsR6AerPS3AlgCmM2h60jG7WyR2mePmqfV8iR294Q4hO
ByJ4ctdvw4OHze5LAaLEfcj94qsF7/gI4OUOzIDifhDJiojMaUAIp0KIprLfE7har1GGr52M92m3
7AdGv7dma0sN/nMN/E3X1ktUhdHlRYbxWSYLv2kZLtr/oe48euxG2iv8i2rAHJYmeWPnpA4boltq
MRRzKBb56/3cmc+wxwHGt/DCiwEGakFS3yYrnPec54TmhypIvfnW+okAtCaiCVAVu6M5moo5Ave9
AE+eNT1NGHxRqeDTq2DhLXOc+mfmrgeU5Kus7wwGAe2biVfwVWC7EAFzbPSrLYHleqQsYbsdtfgp
cjuNqyaE1GyX9nq3cv6LumW1Y56qMlovN7cJcu5ee+NXujKGrL38sIT5B1aru7YdXoMC36IHknUv
iCQV3mU9XN2T5WI1CGEp0V+GY673w4M0U/zVRBMdvT6YELLMfnP3rbCqWFFiyOtU3WujDWKrJP2j
alxl+SVCOPqHcZjOpNK+yhIjr88VyM3mzYnq9VP1gmI4h+F9x4+Y6xHmLO5Zclzf59C/nVHndv0S
FokxuOnOsRvny6Plhn8HFU2Fkb80Y/kGZPZ/C0hzfvsv2xYCBrBDXkl4fGzSf98dK8qEGNn53S4U
Yluh/ixds7fwuvBSuGmI4cPW1RyBnBz6W6IQmNaoRvfmU+gp2o06jCeI+q3Vp3s9TTkX24u/zBm8
bY2rum2/FiTiz5TOWXePx73ZLWpanmeAxL/JubVObAohYL1UPRCefpzXj7UI8y9RbEYWj3K9zBqa
DMUim93uBqRN/Qm/Xcw73Xjuz2blJF50FZLkUgtTJ5sf1L/9SsjPGQGctFsbTPzF5db1iWGULXJo
5lPToQpdf/H4WXeTMIZ7w80YaFtg2dz9ytD5vm3nltIooFpIz8Zcgs2gQv1cjGpx4enlTIuDgCqA
hLm4vMXMGjxib9m4d4+W6k4a0sZnLhbUS3rStk9ibDpjL3KL7SE37HTeGf1ASq2F8RUkobP0PgPV
BaNixgmNmGd9Ye/TwdL+TGu/B3qvhCWSZWhY2Jx0qu8CpwTRzzjBfQEhUuGktyZ5j6Zos9G4auTD
FIEOoqyywmsh8xHGgaVxItFDYqLbpwb1gf20BF5ENYx6tL3WrxO8yA5MdMsnzsB1jCFxbeTMoWAn
1jeFVSp8ed6AfXGybD2dbcNfwt1gL56Oa6NAzO46ZKdoaUr5CpzDIlI4q1Cib0BfTnwLLFuUZjVj
ZmhB9XoV+iDC94M7pUdyj7jAZGUyQq/ydKSy0kkZRKSzWb15vVf+MrLVCoG3ZSxZHhG9X67fqBxr
b9bjMVZrS6GKcItviAos98DeGVR0SOdRUFUN54ac5q/LwMQgXWIsXc2OTvIkmkp8pkf+Ux/o2ZZ3
VdSg73ezxdZx622ilte+OwSpjmqnGc1zFaimKZCR9JBCEi9bmahRX0SczCpOpbLU9iMMlLhYOvr0
VYwIxngrAWzsiAw559LrnSHRlWlrRoJgw2MG2o69m2o9vwyNwRLd+ql+WlQv8XWyO3RR7y4W/jSe
hYceHFdFX0NWA/mV+TQRSJQYibd1NHcdIbkstozM0HhWvYEFHsaRydQ3yDqeMDk8IetNb7lpigcP
F/Ibf2Q2xzIv5c+Ze9xnv1b4LlYyiDz22BaUKNz5uFq+bhMjK9XdaveNFc0bNpnYnIcQkxQtme9Z
D7Aa52Q4yEgtPpYhFtKC2fxEFIMfBv7hYiZ6mlRyXH6OhctiJ9IZJ+1o56h6tWsOJs+sch+LDDUR
3w2JDJLIRN73LOm+h+87K18FviVGXcUAtHlrN3UdkJb4FKMa00RD9+bMRu5m5T0axQ9wrXwQcFK0
2lVmr4KoxaPKGC5rYe6b7iTvfBPcv86EhR+ZU/d1I/1L6BVEURv3y5RvUR2EI8KgnaU3Q2isDMOX
ycHul43Bx2I3NH7yvow9Rhup7tpMLgMh6lC6h3GqseE46UxmapB2+LYZflld4au05jN+XIcdf/Ny
ZiTUnKDhzYY+cVAJPl1mRS/UbVgEhMwKPiUAXnvas1S4P+q1xGSqaGCTB0bJG4vYjE5nTQSemEOs
/q+K6uKdFsPaX+mtFbfLaqSvW1hZ3jnk6Sh2RGichU2fyMhZOyXRlU1nM/eIQrMYrTyHy7Exh5Ca
1m1gWAqccr3TizUycl5l+tD7EzFY6OoAsFXDO8P82t+Qg4dqMPCoiW0DOVZQJ6hrx4q6jhtlMpm9
EURjWDhPtquyfLcy/L0nV+EEt8pujPkgodvcMiJxghhyY2FE9FGQiDMazqM4rC4BkA7R4zl0C+e5
Wmxiv6rtgyLJUUi7yPX75S7kzPRlWXU3RTBQh1/GOm0PJvH9Gr/cpF5b5dp3jpPCBgJ8mn0pVzmn
1SUPGOHylSU22QVBZS3FpYFh4MqHJ8dNU8LwYfuDKIyf8S5euv00t7CB4fdilMSg8uUrbztRY1gU
jpv4nUVY2GsyPHRCh49Nu9k2Uvgssshm0NRFo2f2tzNRHRF77miUcd5bzsnXMtRHCfMwiHXjqike
+nV4Fzon++pPZd9zB6i6l9UqpnynzKoqgIzw19MgsPh4OWlKcQ/EvNOfVq+db8NCYo7AHqj7KWjF
N0nzGRHfwnif4BdfDkGbsWkS83Y/DPyT067H6PZas+jLKDd61e6GgQLXaGpsj6PYUs9ffb4Uau+t
Qc+Ej4AFPQZ+uC3RYBXyhQA/v7wtJqfGak1ZsxabNqYD1gT5UnFhYIjPG5afArdTdwjoBSyI1DZj
CzM7Rs/GYK7dydnEhG3OHCQyji7bSTqq+rSzUe+zxSh42rOAjYhGRrIqfpG/MFvOOFZ5spp2rBdt
xftgm/WJ3hRyZxKSYUdXesDQd+uY40QILNuuX/Pl2SoEI0TaEdpHfLSXh+hyj4F19Yz9e3mcvNnW
SRnU9f0yhQvnCzZSP6Kmk5Tc4nFlSoqiqr5yRVV43MITm5NhHMYfkujanV2WDj92vyXFETS5KiJm
J5eKEfpUHywk+zGS+uIDCjGjcX/JUiBPUufrV6dokeR72+TrpCbuMdqf2MGFUA7IKaWq/tDgOsuf
vbrCCAw2+13UpqejrBTqqvbnyr1ajKC/lWgWj4NuwDVZFvMKrjvOzBRgdqoUrAVu5njSVdvHpEiD
J7YG7KDkvkc7Fj4tTfvCWyYCB2IeI9/weRFMqys/tV7wsDekyYJXLkXFmKSB3raXMbWt5uQWY3b2
FzN9V1ZbUmnI5qPjnM1w3SFa4gwsXfwl81xO3msQzE6w8NNptgV/mlqjccNtTKbCH8b9ZFrpmzs5
7Mo1xo0HKrxksPM5MMwR89qpTax+UjzHHNoOtgp7sSvatX/H4l6E+xUMXnjTLeMmsOaZcB4Yi198
mKlv3YxwiN2EgKcuWOJHo9rb/MKBBmvH3jcWrhqM6il3gmLJv+lKZ9NbapBZUZvn2EU8zm9EJsSA
/z0cneqbnEuJx0Xito/oASbTkzFQvnMIF84RBvnhH9NeouX/PVPlP1UYIKtdAKzQYyyDDLVF7Pnv
R3dYUxrUToad23GbZ8uBTx8VbkFzgU/wd9/2jvncubV5zQCxIzg5Dbu57uaeNI7idanCMTj1UF1P
Q0cAIHIZzhMXwmhj72Qh7F9lEejkT5ns/2Dy8v9uQn0pLPufRzC3391n9bfp9OX3/zV+CYI/GGv8
CcZiasLay1f+Gr8Exh8XaDPnv7/GKJev/Fus3vgD3RuUF8PsC1jswvT6t2C99we9ZZcRN0F8+89x
zj8RrAfe+Lcr4l+Dac8FofX356sUFMVPSzkcfSoUH+AUznc5l4ET7rdt5wZCPBgW7dZROKnajArh
huHBGkZx4IQ+P7ZScAcx2h6zWp0eGcQWOyTi+XddF6zJ7iq/FntWx0D6kFOyslTfVV64+EPrKm6X
2Ur8rMWQxKz4YHhO/oRtY7wFQCPBJzZkygB6tLHFmfImYOTwRGRw22WbaXxLEoEJz/wwRIMh/aPd
FvIhNMDmtWph1NmVDMXLIg0eJZblkxdOwZsyXOtU1izlpJTL91HOukp60fd78jheskx1cCVME68e
9vjghuvuFLsjabdgEM150b5/cvwCSyHgmUeiCOstp9r+lVRginltCUlOcO9q/MScWF64X7TfwFD0
5TRPPfA85+Ldx07Etjek3W1frKgVBlmMsqhd9m6fXkojuxoLad5O+MqOfbqsj1CJqrcaDeOlkL3n
IkSG6EOcUcvYybGIqnaarmruxZiVq7p4S33JeOEyBzzIypmukeW6D+1eMtCrN/62OY/clk49/5Lb
ZFyXY4h5F9JXQEqbO0c0S2WeWOSCVyyNJvvcZp9XjfcnsuacuNfql5aT4JYcXsHpk5/nRmD+7Pq1
/tladXPaprH7lc3UwyOXEXclS/mocu3db53wEI3niTt4WLF4RljWsFQ2gTXfssOx42o56TZSgRS/
x8ksUPhMHIXuUGNJDSyue5Y/cy2qSzW8WaMbnGq9TV/wicRXK2R1wNvAyULpObxjlDheb3Zzz8Gy
xA5nz7uW+6ARdWP/GwOnoVBQrQAFvbPtX4OEzgczDoB+3f1aOqsnsaoHNMVNpj9hhfI8bvN2UaHA
SGF10F11D17NSXAIkdWTJVLRigf/5AYU/uKmHkQf9Rmj+YguEXZeQmPpez9Z2YtCM4fIzOP5XFjB
9GwKv7lLKYT7mQHXOqSguu7KaZwTTMUXz0U/TqdNok9EOmyDPZ/AcGUp8neRrArBvWfxuR60zpsv
6+xJk7n8fTljvLoGLQginFOwW4FsT0SlHZAvZKYJt6RECrlftfKtdRc8g1Ib47m1BQIWz3b32hlh
fsrIs6MTDMjAmeKftXOdjhP7pm2YLRIWusFov1ev+FcEpkB7YiRYGBmw2c3zsl/jQhzIc/m98EG3
mCt/3u5Li28oFgMITHgyhvPqDxsitVrK7aWbuuVTZiUVXTPyg8tpk+T6MQ3U/I67osEO1qn+ahO6
e2gdgmhRzv58FSJH1tfKWttHCBRcoAvd3w2L6z5XZVtc7udBcTWBmrgNzUnvEaFyBy+DJteo3GFO
EFq49Y+rC8ndyzl++hxODiAAUNRDck1Du7jXw5DPqDfuXGOm2YxKJ3J13kTligRVk1Z6vophHsdj
47Un6kzkPZwD9UgplXel8DMWtzPT7zni/8w9X6HUkmPYuW8E+dQRw6j2cftmm91bOzSm4BfJZ3Q5
xmXP0PXHE7edABcdbuAziTFjjgvlhg+E2IPPJl+9g+Pa2Xde0/kMYadrT342pR5Ko1PXmINt71gQ
qY/HaXMJTdbmjVlP4n2QxuVCAZUbN59qOXvmWXMBqeXzt2Ok1kdps3KRg5TLSyPn4b0l3XKSk0E4
s0TC2Jx1+jCbS9Ld4mi/RDxC2cg1MCzvslyqPQXAICgYiXR3TM0W+AkINOeqGwquOrnFUljDIiTP
XiGciEFb58kpmyAeteyP6WaEjHr83iVPOaiHemYQpHL/zh3perfyspjINrneM2t0dm8qc3g1rab9
VsMwPOJjnT902nYx62FJGiULfjpVXf+Y3BqHt28COUsbZLvYlP7E+KzxmOi4bZ01ZIc7LKsYbYKT
tqfg2sMwdJZ2ukGfCIxfC4aWHcsknVyTXq+7tPHKeFCWcU1QsLvJMWzFSqYlMAvkNScuLcV3PlLj
syPm6F2FWY1rKF/a9qpcFKuTU5pX+PQtBkrw1GJfr+nJa1WQiMGWb6VrOE/9qqenGlzYjhujurWE
yO7lmGNdYOn1b8zOoqQ6n20Z7kSWzqemv4BQLsmIp7zUixfNTdZfDvZUEbGn5SSiOAPKJzoZtjfA
I4DXZNhnvJmjeSvhNn/w49u2Q7uN6go7qzXG5Gcv9L4svWgBPtWJUx5uv4qU7WfLSjTUjBHmafB1
ABAk3EamU0P2BMqveUemyLxzmprGgWFmgeosMm8HRcolFU6a6TrDI9tHqd+l1S5zWhI/aAEeHmCc
nRkaoRzeEOLTmFefLI8nZBNjGtMHwYmbp2WxDGqT0GpkYm0BYJi2a+qvgdapV+LJsFE2t39Lx4zB
t4lTPjIYyJ4EGerP1LG28+BNBlICkLs406H9rpuV5simJfybEft8LnOIgyN5wj21rTiNwZuop9Ee
+3NOFeGZcZKbhHgmyHH6Y+dwdytx9I3a2daoIFQzMCUZ3fehpMw3qgeQI9wyRoFW1xfpF5vLGFwX
RaMAu9UrAtKgfyn6YhWx2DVQEQlTIJQDhtKwX5rInOwMuEwre3InwrhRrjsea8p6z6rcvGcMeVMb
YyLs7sFyu6eVNqMPYI3rzZA27ac7OhtFPPpyj4AhA0TRq6c+CsfcYYqHlmy35ZV2sodlXUKoLVR7
6ohLsfdcdYaakPNqeEQzxT4xYQU1kbB0+hPxw70DlX4Pi+KrXo0eyu14DyI6T0yv/GmQU25Nf69L
ViMttxtT4ABUaYW51+tutxIiZM97dA/bI0tcHN4PmcP4W6A7LXGFCkHkDvv1oZuoj0EvGD4RyJB7
6yFvABEO9bhPzcJKyEBt51r4JUsZQMKk6jzS9oQU75p1Np7y3HYOXk8fd7O13Nez0g5/UUIrDv6y
6athKgOYLKhnFcj2HQy7fq/hMyRck83dNs3FtQQDfptzV6PcZsbWBg1qjdOmG77XgpMqCfBpR6yI
GXwDJTqic3M64uq0zkuVyVvfL4xHv1Q+zQ+Bu53Sjfed1EeXFrGcRwswXDFPJ7V581fm9dXJ86Wb
lGG/xUY27lK362NDcJTr+u2iRKwLQ/B6wko4uNYeobDRseZne5yqDPYJChh296x1ar3fkN6zuKkG
fTDcokbh1cF1KvyAaURnDr911ufEvjvT56ftly+bgl4cO7MiUGhwRnnFjr/sRtm1R4zbcP02Gdon
1jOFs4C40b5MRdUnbs5oKNpGkkg9QKL9oOoppnu+2lvYGj7kVotfhB07doJh9vb2YGan1Ky7vctf
h+OVRzyyeWI/M63502S53ULO2/YcqH2yKJO03nVt6gdn66wkVeFABNkWJDtTyHvEnrurbOuqo9T1
e9Av2zMSeHuww2W87pnuXm9rr2/JRch7hOv1VLa63tvmkOFbgjLIkuKcMD7m7B65c5fPWu4MaRsH
9NoWA3jeOsud6SpiWMHUwGSYR4LoJ3OeMiKFYdF9DXnp347rrO/dVoSPAUMTGkobT9xQsuLuIA2u
WMjLsHgncjhQSxhUd4vZOlfmEg7vYZgO61mOQIOJXVNdZWxyRLL2CzG++2xTiEo0shxbkCq/M06u
hy4TKXoZ+nRxDDJkvjjtShaONCP2ZzVXFTjXKK/Q95Na0jWLajd3XGos7d6zgNAIROKOUnPya/mx
QsrIkDW5dCyq9Sx88uN02ByRMvYSjynXrCYSAYO81Gzq84ZH4ccGyOcVzQ1RsTJJZTETOBGo0Tek
Ne2DFXzUQe8eCI/l5LY4FzwVEMASbdndbqM9pdu5U5E/jFLB4gyRrRjVD7U8YEPmhrXk9v06FR7M
EY7P2bWjFpPDN6SjNgqWxesi3ajwRCR3u+rtHKFwZpphxqzkaqNweLq3POYITTnnN4GJ2h0ZQqw7
Vfd+TIw3rH7xa539szQKiJMKr8ZhIHY6AmjLEMRKsuU8/Mv0nNG/YCOdL+6PuRvd155s3MCqsC5n
jBsa1AmH9Kl1jesWu/THLEYGHKbBftM225oEuclYAQ4QEAV7OeNeGnfSKDMasWb5GHprp2KyqcFV
FlbOG0lyAl9OLVDF6avsseYc6X4n/t9o/QM9kGInI3/ANJDtzWLIzIj103/nXpct+8XxnCtiW/4e
C1Bj3GMDgI6x0k1w6y/+u8PR8RuCBGe6cREuLDXFTGOEe1UO1KnFi1+HJ5AhHTmNqvGeNzvfXmpG
FN6oq4jr/cswzOGTwqF44dESPOsItVV6BU5WaFYF3XDKS8DHVG+UqTqP69SK18Ihvr5UzGXdYOIy
ZFMekBBrXF/5uOvrxQk7kHSAta4MKOpoyn4dN2hvsZpkfo2rJ833s+PY70YehK+bbFJQkPU+J8TH
zcTPEkYT7uscMjjjJm34pzDnM40Mzmi7QjOJrsvFPUOtsHbSA30doQpWZRQ65bMN0RlkRK2TwjZV
4ud8qBxF0v1Yo8STbNZz4veyThAmIJCGAfl+S41Xq6zSh9FaxmfwgykB+Km+SfOVOcFCeb1KdLe1
FN+hYHhuiBq5yG3blaYKbjtpkZjREB5IljQbQFvKqCHGZDwvN4MzTMNxbeFdRJ5Rq/tt9QC6czCC
dQJ3gBEVZ5MEytZmEhLuSK6iHEF2sLRzXQ5QH7K+eVALBdPklzH+hzMm/NZOgWmOa2qz9uEN8od+
+YIE0vL9asZZK6laL/W6O2YkTSwauEIJK/MaJIXZ+c+qrULmnL7H5a9iY/n06CNoUXm3FNoJYT5G
bdVUcJy4jMkM9iObKrBib1WtfF2hKRIlQla4ASurPi8Al4eS6hBGURR77T0emDcooj6vJJmnXRbI
4S5P25T+AWf2xqMVDkaCvWwFQ4O4a1Fvdstw304C8sfndVqG3x5JVDAt/nbPvGu8drSdnYxhdnYX
0+I/SsD+KXXzv3eM/40XevhuL2Tv8f+BrRxJ+X/WNP9lqL+b4vM/qpr8/r80TWjkF+HSCByCOw43
TIym/7CU2384Doa40AYwgIP80p3x75Zym8423NeUCLmm6WNW+YemCUUUKwQdXTCYeJ1RSf8ZS3n4
Z5XYf/DBGjhRTZxjFF8GUKEwvv9d2wS1NK3Cn8sdeeMCUyBob/wxatdtuY9S52Wxe1EtosKfXkAn
BAer9j4wySdlIW9yIT0mMj9q4q2g2l7t1TuPeXblw7KQg3mcCEu3XX9cloI8mq2dvSaVMmRN/UPC
d7mCJkgsFhBfHaaxPQwelPCi+rDrcMKBOEKn3h5451K2ads64zEHVpZ90pWF63tg8EW5ziVQDwTX
118ZF9nIYaIdi97icpTXT32gjkUZhLttHn+ItUB77Jbl1LuldZ8P5sj8a3ucJvfAPlHeFE4TPHpl
PT+gtJSx0U/VDmyLedRDz6KCc3tMRXs3t09j2r5cMKi2I4wHC+Re1PQlg5hZq0inOFOI+p4gw6Dl
pLhAmsELX0aju8vSzgWPJW+JhUwk07Nuj1JUfY3K2APgKk/Knzn11aRbzCaFYCOK01Ku75Dp3Ni0
MXVutUbGQcecTdAlpqQisVimA6nXkhl6Nl8NMoy6NHgZ6Ydjp5qwVpUv9FwNx9pW5oM1zh7qM7gb
BZKIQyoZ6/dWceIaNPNEsvKsqaGfGCyB0+a/dmL8RquGKC5CiwuLi67ZEev10TGM6eAu9ltTMy80
8+2DFTiLUY5ZuaGuRI07P1kFChGiTcYxvx1efAMCkivAVwT+ZLwJz54wbxovYYCVML9dJ5V4ZJWb
jlGdx5TehDw1eECq2X5jB0ILEZ0Uoix1cdMKTcxZij6COzD94PQZ3o6j0VBX2X3gsFy+wDGPx0ZU
L2rwHwVnyS12y+2+LuEPtVSeXKxxEH2INF+mYdcW1pWEQhY+R7AV05b61/SCgMmzGP5mjbg30/K7
CauDXGkS7WrvbLOwAxhExe0HeZsa4OWgZsGymr9K40c7lD+GQKL6IHJ95VRgRGkhp0gPKA1Ov6R3
FlM13EK12EuxjEdf5+qHwjp8BiO87mA6lnu6Wh+Jyoq4D6rsHmZ6nnAzAtlqSDeevSX9LiqemCLV
L4T37F1RDvatzU4Q48wmhgCzhTnzZh2zZch3HT6ix8BFMc0MrjsZhkUzTsGsw1Utyquw1/1P5qTy
RpnAMrcCIKQqY5We6DQKb6rRK3hJqxfw7V7M8hVX8DVzRLQHiL7dW6MDHVeOUb34CmxS3po8nGZZ
xjRw8aDQ6tLYWY0zaX5UQ9BTZ42MtPp9/UDy6yt05ILK09ZnTKlAyMyy2Ilu6rvYrTg67/HRQSEh
tVolBsrKTcGlMqpTa3yZCweOQGblZ4pumldqDMP76s9ZemMPdFBCKaSmAzNP6xOBrzq7JIxXutUN
hMvtwTCski18IrvGgL18MUVq3smm91VS/zm3r7fZAljFmOZRjUq+SD51GAF+8+j/OfQnGMykH2EI
JFkBADPGyur3kdGRWkSvchmKFt6nk1sX68Uo5E3vlGAfw63fzx3abCQxunIqzzZcW81QE8SzB/uz
AGf7OvhdZe/hf7S7EeVlZ67A7FegVEdLSB59J9D1afQ00fOmNcKdqcf8Rz3zHRGgJu9oGOLaq1YI
THbK51+UhXtTcue713izfo424Jai0vNpc4vpq+xbxPxmSpf9OjfhCQgXy4zo5Zcz+2Y8oULfmlrM
sJoucDHYTB4ndrvO95sLlQnfnad+0KKYQUcGgIJOC6fZdzY/suvN2Ztda/LPXLYtsTk4XQ0zpkGg
C9bJ6HP9YG/ae9Q9wn26mOZ3ChBhJtGMyXB2c3307cz5rKwUa8ifLhGP9wR4jKcClnQw8jajjeFi
JUGJng9FGuKbIrm+bwCfnlwXI9CwdtWN5YrgDRxOtRPNtFA+3HCPoEkAnVyUNVO0qk4/e5xiFh63
Sn2U3E3vLCubjr00xwc8hAu5R1UdUta5GJePg2n2wrrz8urF4E/fMQGZT5674GTuZLqXbK7YEP80
yqwmxoe1ntxv061nKEqp8YGzlO+zz/0U54C/gVtAziXVgGkYZ2KsuyH2A0ejAyn7esJoeYMHee4i
NnUc9hRO4NoBHhKHGIuJe4KmcvMJnAF+FwzFhNHxrONk76kMTzDdQKRHrbxuJXYu4eDRoEKA5zLI
sWNKvxTXdX0JvaLe7mvGdpFZATgGC9Ps9Ux/xdgJc7dI03wDmll/raIoufcF69meLesK+Dl/PhZO
GVGy1qGaud0pN+eMJQDGwLE33G7PUbi6F9kMP3pTy63bLy9oPxOIK5fmMD+FaeE59QMHIz+ZymU5
aN+Z0GFZ9ComG9dyxgyeSsDbOSfsI11JGE3qQByD3Lf2mWztjxVqXwyxGkwYyvTeFtBMg2z9TRMQ
YO10845C1+rFpQkDhsi41/ayM9vpPRXs3B2tC0ld7VPV6NO8BMfWN55ZynbS6bqdbbhcCJYcuYR9
lqq1PJ74+TnTaOFGNRNQMG0c1iV8hexCWugZ4THICfZ4Og+58t4yBSe49VR6wz+VooD5bbzAhxyu
UNQwE5zorOpbjZt8bKy0/IF2DpcPX8lb6vl8PKK5qxE0D1Np2jdyXQxSXk7xGmgVPq6QJaDKMCRo
vSWMIb0zzgQ4cObg8OhgwJMLh6zCtQ8ecyLTF9zASv+udvI9emtMgMZI5AILuc29feWJR68eUtK7
zmMunPfVENObS3anFtq8dsl7HMnXHbv5aKdWErjj3oGkcKoCiFncxGOuYNUebTYK8AifIIH9Fn2d
5FhG4r4BGGDMmY1alIJOJjHrOeXRYXoO6Jr5Y+vA7vB6t9gFdf9Mhqs7+kwAI1emO0mBE9guaL1r
/x3wnk5L/6jrp9lfjoHjvYcF/HXbvoXIBM3cg4iMmbtGX5nDX7pdH4eBPnUc5nhTWOmTi3TXD7SS
Bt3tzElrLuDvLoa6H9k+ZakqhCP6ZSp9mHqwUbZNOni2fEoxAv+qqOq9NADBWWP4gtkP95a//jZG
7GPKq3DMKEcn1mX46QgUUhd3KOj+Q6C8XcPR+Yz9L4Ep/rvPLL64PHUKFzpRgq6/dWxr37n6t/bW
l9lwtwQc7caBCAdslh0u+JNrz61T2LJdFzdqnI90Gg2YcSwqIAoyZaM7izeDCfHByRBDwakctsY7
tKubbOFqR04mt6MwNvcxKPyrbpwXOILpQ2sh40WTbRiHaXFRARzIr9TK3DH9bs4svcw1OliRxepc
9dylKURhAec1EP6SWGtgtjuzr543Qc/LlLbr02oR/6TTghNbnl1XPjB5NNhDaBS/6QTBd2Qp70Qy
CINuxYAY7qgDAMtc2Cq87TULdRDj/ZlvOhxlbAhcPmwvuApFGRynMPOvXFUDp5aBaF+ZwhKs0fVy
coeAiJijNohOs31qGXYdhqERzEbM9MVIAe6rKvSZgANqLZn8ntFrqa6xNP6oQgm0Y1uQNmmdA7d2
WHxtfucbLViaarLuTeCQNzZFlt8YGfvHtHHzN4ftbG9NxnaFBX8jv+QFNbQrAwdto9dnINg9lT0K
DHYXgvHEf7zFneerWNupw+mZ2aezgCehLcaJnYET6GhCF8TejR1kATF7QQrDOuy3+37rSV/gLzNv
WxwbO7/ryjMOeRNZPk3jrv9X9s5kx24kbbIv1EyQzsHJ7Z3HmKVQaEOEpBDn2Z3T0/dhVDVKGaVW
4t//iwQSSCl5Ly8Hd/vMjpUQfAdTPMOLzi4i99K7koXVxiqVuqmhqW0VBZyr2iUsJyumAMLOjS88
AvyvOsvcM9CbaB1IR599xekZhK3X05S9kn9AqSkWOphsjEPUoL+46gfDQOJeoV7r2vpMjck+jZOt
FPtpTp4riuX8+WdITpSs8U9hJgOD1gZKnwCTpItLi99dpNE1FDx6M4CpaRXumYeuMsN/UkX/xhK7
O1ZWbK2kM7xghE92bapu4+xusuaD5bF+6qtpXzRL/NeeMK62Ydrv2wGRJvRn/8j7dWFykQbrB2zJ
ni5Y88/9WqiGVWKv7G0UzPnWa6Ph4BI/+4KRh/BKMUfbHscCup171ybMCaWDKIaoyAo8rownBjMp
7nufIb6Jf2OrGRtvMq+vKpbeWc22pZBblBb/jhdYgT9WM4iVEpTcoCRPLQSDQ9lO1IOOo9ghRmZv
ata8i1s76GFCmu3rbI/YDpi+Dc9p74WvYW0hZJZ25ZxmlxoxdiU1RGFkNHI8cXRjM7VdYdvlc1oA
XKEfVfE9DVbBtpxjkJqI2wnImFyssCXYhzwXGroRthNfmd4MXzwGtet0QQEWeao/Y5ZNX3HBljOn
GOZ3OsbepmF7vE1guyzIddtfpXa70O4tu8Bm52NEYE8HQ7CHrsFI/tKmSXJw6nDA1V2l6q0cem+d
gi07NCP6K03m3a4udHKsfUu9WbMRnYe6CO9sKj3gLmh9weEZt6feLfK9twQIqbyxD9kSKmwG7wsk
uT3kynFFJSqgORc7xZLZ8rdNgGSGQF/hXK1m7H5LcNF+DzEOFgmzbEk2zu8hR+yn9k28JB9Jek88
iLP+uePBsGPOW7MG6cNd+B6bpJ+nxweK49JQrBXzOvEvFcsrduXDsk6L82dKSvrlhrReDH8JZ1ZL
TtOABN2tsXMs8c0lyUm/SX2alnRn7BfmDxkS3lqZCgKfWHKgxYxFh8h8ZNz0S06U8LwzbQmWhqdi
zK/eJOs34GtvTk3CdG6ZK2XvqdMlf5osSVSqddMthQfEU+ccmGayZFapKDGeMKCnP5Ml0WrKaN6X
oe++EJ3h2W+o/L7MtTgLs0u2esnFYmIiIqvf47LxkpyV7yHacMnTBu/R2mBJ2RbvgVufqMu99x7D
DQjkog4xmywGH01pyetmS3KXEnX3QP0m2ef3YG/1HvLlRKmvsajfMlOLu2YJBDtO0FAHRkgYnT99
Sd+TwyW5Uy4E4sSe706bYJpeRTS/9G54FyUgJdFmzopWqAm+1ep/3ZoIOJQu4hr/k7L5af72liXd
xyKk97/1b5iQ/dcC7PHQKT3Tdd7pF//SN133LxJ1Ls4Li8fJsvj/j77pLhWNwDIsz5coBb/qm/Iv
WAVuQHX1IptSj/o/0TcX5+9/1E2akOB1wOXAO8q96yC1/l3dVF3s+bGdx4ciZLucGuCERqMZ9hFB
+23ZCfE0RLa+++UU/YYP8feU/3JQnp8O4Xeaimkrtj9wOmzVBzLFBHngZQPXsekDeOIzuZRpVVkZ
r/s8sPIrrHcM0kYed8TQ4xzK/J8/BY7YD18dxACMTxRnh99LfvwUYGSaKmdKysz6mFT0iQl4OdEs
hrXyiq+FmJ+4Ub//+aCWt6CoPhxXYuEVnkShtly85H8/5eSKjYnlabU3XDV80ixUJ3+y8Wi6TjPz
O9jjPY/QkPws4OEfSVV3SIrw+tcEkCY8Aek4fW/VODhf+7YWzxGE+wERd7a9T2O8hKHR03WNZQKx
5ACDSOSPbsaa/EK2KWeVPpcbuy7KG+bemlpLO0B7NLR3h438pukyOjyw2IzYIEhaDFTeZ2ptUPCA
fd9Ea6onlr9WDkKY365Jj+XS1ogHH4r9ItE49aasUodxkakihqi5yD5Rrl6+ZeQ/6UIwnHXUeceZ
J9QRRlP0RhUoqwQs+wdY4NgU6ghr8Jzd1YG+IwLxTK7T2chcQWVmJVjjOlRw+sfmOJEvuGW2ba88
ZpQ/c9K6KwAVjz7y4WPkEAoOa6FIuNEDgvExxFaTCgLwZbZHrct33Tjf0gQ6uJvY0C9W035rwhAz
nu1uh8IT+6C26QZcGEdiotbLV8bPfMgUBmQf6C1+Gkx8nbes+YHEflOTf4qKJMDUylf0Zqt8q31i
pz7bj42jxt58wEHyXMi0JT9rn0e3hsA3GBi2IYgS5gGR6SUHnSNhXrUuq1tHRnhzir7ZW40xvc1N
rboj2zK0jlj3lFBOASyvOz0a2FXNTImlE8n9WeVuRSApbzL0StJbt4OtSEsyVsRSWiEdfCE1ArE2
9nUqT4HUg7yN6VcK1op2HZonqpLNbDtaODAV793mQSTz0D4yGjHHQ5710TcdEKK7No0EwueWgTh5
mTNh8wjKXm0VN9oSSZoKapAQOfTBLYW8GmMFXN5N9KjPkQ7UUxhU+iEG34w0bvA+B9mvYyQ1Rinb
WJhBuxpFwlI09lNR7heQusumo5QPIos9WAmVCsrj2ANS5OXeWN9JOOhP+Vxiy4kK0MvYoFsf2MDQ
u+bawgk1EBdPG6u8ho3l3ToDKAyH+UQCNxAUKgEPh/Vr/003eQF419ZFvqV6FBNO2Wh3F4oMkkA6
sIDaYkGtCSM5tbsRVAl8lTxfqarCYm1sQ6NOLTpZ4ulBe6Eyjjn9C/VTTyNDfq7HyWNIn4NUwKQC
AYgNcCTY07XU3q37zpjw+fmxh5ik0go/CaPL6iT4xk9DgPC1glbeijWhK9/c5IyeBLjhxFock0HW
PNLaEk07u27tXUV0FKyFyonv5UW+dEtEUWEeTWUTKbPyyLiVVQT1ssGhQw1sYfvh1jdTwcYcP3G2
bqEfTS+seL3ugo8j+ISR284fxxnaPRQMUk9NGQ6fVeXZj4Frjs1NWi5GeNtrMk409nyxGco2yV64
q1W6jYiSRc89Tt92l0xGzCQZA3VwKCh7vKYlBZ7rKBUoV32cdt4jXPE++aFsj79qFtMoT7wi7ZZi
bKELdDSnO/ZCjqS+ZDkUG42jOt94hG76p5Cd6vdkYE53puiNFtCiwe+/wjhBcLOhF2pgNxnMu5R2
p7PdlfGDy46YDj/Pr4eNYwRTvANNUn6fc9D8m9IM7ZYzmYDBVe2kP00pm+dtkQr9GKgGNmZFZrwk
6iAybwE2p+WZO9cOLwO2wmzrpuP84OAfyNcNDQRwwttFywza3sWuxawcTxiNCsW6Dwz9RvbAbTco
5dZt2LhuvzecHG1j4jH0nRSlzvZM9QPcsun0Kks4mk813lVqASQsBRT1bA8HoLlvcgXOU3n2ILdD
6ARfWJlQyxCGAcnZ0VQMOCbdhWey0Uhq2VCU88aCY8+sEtvEd2nnwT1Wu65bZl3xuIY3ZFLMIcfX
nHYCEHtdHm8R2PH8gd8XKyl948m1ZnFnEHamHcKJmV2ShQM6T/WwiTuYOQYBKfIcFYmwg0nsnFlk
KmLv5NKwi/oQpSPVhi0PCoyo2TDjNAwr6p7qKE4OkLXrYS28LrnFL1Pme6ORFcIrAmu27jw7RVFV
eL5vMrJWauVS8HGXuTlYcVUVDU7O2s6PAB8D3hamR3hJjFxIKKQd7W8GJU/VXi+h47VyRxxqvI7D
2zg120vbV210pyZ44Si3TrKnM2X4ysM0uiVCxoQzaeb44BKDdOjc6r7Arzg2I5ECdja81MDtqfIL
vnyS2S6Xy9nrmdut3T6pnuiEraeVCI30GAzavUni0rhNetG3OO+shusCDzk8Xm35DwrHUEQrHIEB
27wIYbUgY9u6f6blgIipIJcV7whu6k9ZGRl39WhqmzGy8u70gBbMFU9aYT84RVziT+9MZ28MUyo2
wqCiARyPRoxL3Enf8JJlNZRlUuiLGStKL5tmMjDeRGYZ7NkMt5A+6nAJ50/5DxcIBP7IfC5o9eWJ
Y6xLB+TssQW42Z5Nv+zi04iOwn9UPW7FTGwyMzf8m8aaxoeABGV7xnaYxTtYD0tuOXNy2tMcVaHD
OU28xuPRttcqr+Z53ZZE688BS8Pu2I0iZLEA1vCHHk2i3akxjQfdDos0YDXuldc4vAEoEfK1zqiH
3WAA6gwucms2Qbsn4Zv2e7OAN1ON/qZrCH3svFabDbzWIGIkG1gDzWWMGC+0teTRoe99g2kAgx4c
/LEFah+kNo17TptTmuINb2XfMB7udP9dSfc2ri3jXGm/3eJS878GnWCWbD0r0vuBa6iTWUs6yYTG
vBq0apdBwF2zwz8NYREfLNWREqF1kg4sOnTMdWd7vCdNTDU9xIM6vczkKV99buHVENj6p4iD8JQN
cXmsh4Wi6M8KDm6dbqpmwFhjKOuG8hb15smiheLVhJ/w9mQv1K4wmealaJ/rJhRyLemUuzhxbv1Q
cdGcDNsbT8hxvL4Xkq0I0uSrrF3zU+rWD0PrCwkYE+x4EbJwGKz+YQ66G1ap5a6p80to218rp023
ebHccUbdHnsqIzdaBwKOODaElIjnuklUtM/FdGoY8oPBjCShFZM9QK+mQ2yq5CwVDUaGZxRriay5
TXwjv8n94pa1UbVRXdouefcH+ihZFtC2t/eYMfoiuDYwIxgaISNb5T6L8RJM0Ao2eMkPJDAOveOe
8d1lG+0MX3zbCW8qnALMCaFJO9h0V3QfA8Uf2+BaDJPeWb3sDzwefuqgyvaubL92UbAhrxIeTBl8
NpsiWHkTuoIFezkLO+DlY3ziz4SnqWvr75EgKBM1JvSpUjAkj89Mmg9t3O1QlO5ZNVd4CMz7sO1Z
ShnuISo6E7OBw2srttLTPFG8gYAqsNpmCTmsYqv4EOtAoyGGlaY6rEjvsN6yZsIvd+UXDNcNnomH
eLaZskNdiJFaQCWrVGQbJ2lvxhi/NjZ4xgvVHGxT1zqAYCjv8e5yg5tRXJ+dODK/F1TGHmZatn4S
EEhf6yXXlrvqlfRGcG/XlnWmKwVwKpV1J2DS91lqVJAu/PgZteammod4PRJFfu3tKvpE5Pwx8ibz
wVHDeqyCeK+dYBNZy4PYqq6xMla8jlZg8zY2kNm0cpckQPQGcnTjtWLfNBjDNrqeKWNLhxvB1YOr
3rwxcTSERcPlYd34IZjuypavlT/ctk5w7OvxiCxT72m7zK6B+cOH9dRZroezIT7Uln6qW8gkdSAD
/DkGVYVgIz2vZ/7lW88sZCB85ejyWxJd3hfVys/p4FvbMTdXbh3WewL843ZJofMWAimkucondbYr
L17HIreZjxT2Ayma6ix8536a5QPRJL0vZuHdeKjX36B2sGBCucKG3Zy5RPWT14ITMe1LXYblJV5S
WkMKbx+OVJChpmUmWI+IdOSxoynl6MbN0hsBXNbodwAMpk07DzsqkAtexxn5/HUOPNwJKAx0nAeD
ziwchuWhY0p6Nu1Gfp9oyfviD33EwLLFVF0H+ZeplOImlpBRtsMknZs41uE6qVsy/4Vn3eeGpGoz
HK21Dm2aS1MyKz7Zhr0xT/aP0E6Sz9Bf3Z0ZIQTqsg83RgB3MZyHz3lfzNs6qOsTLspTRXvbijWT
vq9bLU9QnZ7MwPAPZELly2jhEPKQ+OiyreQWm6aiyn06OeCEVwhf/HlvoF0Ar8DOddRdS3TvZzXF
xStev8epGZwnbfOuG3zkhJBHP/q099RKKyIWOcAhg2q+moXMN6GpRjwYSbUBXvE5FQu1AQviVKSM
G6oSUh+3I0LBNCmI+YLp/szT+2z7Bduxmh5KOwmSa6HbZGdoez/ww6zNgQamKraBknqaaMHUAAbD
NWPFdJ6TLbRuLQfjpgecnfiTEe4BgjB61k7SrYnx6ZU1zeXJwnZpcV8Y/avEVoxvl44oeO8Lj2wJ
EJCYOjtT2uxAlJ3ZgjJLm0bjKeRuhp2nS/eblON9QEfNq0NbDD7qUkewyYa49ps1YLe43+hGHy3P
PDFMoLuxzdVxDEyTXETjPkOZsa6wfdN1BaUOW1utcatIH3gxlpUdADy9b3wPIKEbqacyzS9Dadmg
L/Jy3VqZsyEJEJ9mDA8POPbLk1d4Gw89/LmtETJWPVrCrW333qEwgTtNLvuDwgjLcxwnz6oZ1c9O
s3YQgE+28RzOCY+44WJXNqp5k3RXcsLfNWUc6PDmUSoGB6aN0zPdwVsNsBf3bbANg7k+IfSKU15y
sXbMOmecMotrV5LFomexpwb4EfPC2OEJr317vHOwLdrd0QjDmD7QEQnde6BFNwrAWY2MDKY9mzUa
2TZW1MIBM1tg7iRicAhBl0kalzy/ogKVSNTAVLpAjF6U7hwbs2Bg4w+o9N/8INSoyBMxQCfaAHmI
PXDGsJr9nYkx0uRN3sE5IxuhIrOavluDBQfP6ZpPaigpE09E4gImSGf+lH8dTDRiipncvtX3QW2x
EM2ZIcQTmyaaHuWXaExF0b5mmmql8jDWsvPUEYsF8A5GrVgci13tuY5NsHF2rZ5mXg8qA7XN2p7w
w4umixJgMB5tuLgjirnHToY7So22sYvZX/jXVAyNt6usvPoadXD+wsYROzs2aQ7289anjDi1Nti7
XOapEdE80ISQm7/zxlXrIE/bx7ZBS19VgW1RSGxMO+mMA7lVUj8wOX9WNcVoRc457WTzySrJAPhY
+Qevum21cUob09imRjivncZhN0t54QbSHRY0ngGrkN/wZfRpiWxGLs0mYdZjuo0+tDa551VK/q9f
axtjB9zOLwV5khO3Yrsjh4gt3C4MkN0dG0idE64YyIsVkedTOWIC1xtco9kEyju3s4NfY2aideTm
Lehk4D2iPHWf6M7m62Bsf/bnFGpYSF+UvWS8vG1I+RseQKp8boNyyl6wWTERDj2aKxxJNL5tGBw1
q5GI18YUFtdr1MVpvoGtCDQUbQl5YoK4UmxmVxq0GNuShYRFqcJxiHnJMvOOaLuFpfMcJzj1NpGb
xSfBT7tJCfrglErgQcoBl84y8kxiMONNN9CHO083Y+dkR6Xbt4ae1XQix+e2/c4pMJ6YsC3jcWqO
tFCD5aAwgaKjaiZbgwus6trotqTL8JMRm8QCc2dX5nN8k1lsObAVVT8t2qCXQjbRMersrQuIt4ck
se29YUEV6ngM7YY8vg4+JkC61DatZZanPM7zPZwzptkV1Y2Qw+AzrYxqkA/sc/F4NIa9jsxuemzs
0Xsl5sh+18vtY9dTNuEMkbUnTaPpUhbPtR3UhG8Y1SLMfvKK+Tq5HcM+PQuI+Wlzbw80Arl6tgnS
9D9VSbulUlF1VNJptoTuuqPj0ItTkieqhsiHwFTQssSY6ZhkAAlqr54UXY8VG20JX+eqOx3qDQ73
6S4cpKKMgqviGb0m3NqW2RwM0gzr2DHlxkglgCNHhk8sFNOj5yVc9MKo7hrqoTzHXEhVWXFfBUIe
rTgcTzl2fGMHxAAek1fUG/KRdMhQfUbzMsxCqp4V17PRRxGaZyyvXkybEgvtOTyJ2vH3uQOwf+sE
ntwPsKguUdYZ2yJK3UdMN7OmDCrl+5GMxbFbDYxr2/7FdGX9ec74K24KoXMlLcS8rTtk14pGt7tC
sxhug755hBpBV80E6iFI4mwJQRKl4XlgEUSo072zzFZTnG27QjRbEne7NlDqmzbhrg3It4dUV+wM
jGLeuGNIkRb7wx8p+4tzygR2gwUk3iuivjeORaqEVF2+M4KZh3826We269Bg8A1HLinbCaGXSGFZ
drSDZ4zIvyQjM1qBvExcr+5uJvbXl4DP/4SwMW5dtvdflYdMuXaj8bNbZoQRMq3YINEUsiNkxrsw
pmLYUBjxCCUciRi1p9Atx3AdeJHxecKFxdkl79DllNvJeXb2HWiHkxUyJ1WOoz9RV0eTU5ZYP8Tc
/iSFWmAacEt3Q4ihf6wj92GiNXSt5gwO84TfI4QUdRyUwaPfYylBgzAa30QrFYNceoKI8mNxgz3Q
eKt2crAXogmwiuMN7NN/vG+qXlwKZvKHcCSIKEpFP/hcVsc2X3qzpKtvx8jGF+nn1h7VLvg8RUly
I1v3TY+ELO2EslcJjf3Ww5vxve5Vv6P2pb3p8xGLL71hW1nW44rWtegA/GO6H0L1ZUzbvciNjQ5Y
05HUOBFewzSg+2ETlu2Ra6t8cLu8PGrt4qSje4KFYTtMtBNnSciuBysisAfVPCiD6vC2keV2TJr4
0GUFTu5ZvRSE/I9B4ccXBFOf7GZsg+3K6jsT/OJ6bgLSwvFSCGQUSzO0HLI1E1P20dDcIBnq1v7m
YVPcF4QKyT5XNvSFKKi6H+hQ83fsH96plb21onZ8Yt0j6nUXd3obep5xm1ZGfzRASt6YaFe4BqHC
PaEBgMlk9rDG50W0udUXbHbFGdERH1HhHBJV+og/wxV7ZrD2h/ggYwNzedONd2lIpK4k+vgMNQmO
clv5eUx5qAVRdQS2fz+FTcmCNOdxWk19sh8bUv48R5tRPA54cNchHcY6aiQOCs7OIMYbMqz6kOlm
3wLRemAXfD+awxKvcecGTCoUuStRM7K0osQEmXlW7K4pM+uynSeDFOuraX5FPuj6rxP7RJqBux77
GcwncMFQjtZGAOl0Yq1unU3k4ZNHb0d0dGVkiS8ZGaBZuksCoY5+sLCYXrUb8M4iIQlYzQWZH4Ik
zvX4jO2SbTixOImrn0GkF63KtL5UtkvHhkvyd5m136eTXaFHjnlu3sYVy+CdxJ7YuJZkgyOI8XUG
ZCZSgt/g2ZU7WoLkG8bYjndxNW5QNMubxozEU6gD5yR1yN4ptcmWD43h3ocdPj2ATNaqQWZbjX1f
sYRjLbDOi749Zj43JsFSgBh2Oj2yP665bGbrvnJHUEuSms51UoX2vujtnA/pqPTBMUYfJmMyBFet
UnUgHz9YhGWX6iELiTQ3nepupPzr2eL9thI1dyMuSfCKiY7tbdH10VZhbV2XlL8/Ib7oXc4aDs+Y
HZ6TiQ1YV8TVc2jyeGfEFJymXIiHqTSxsSEX3SPuuCeRkjqf3NxTXMaePsjEDvbkA5z7nrfaU8X3
hqnQptnhvaI7qGXN7jcdH+g8+tp5Zfbi+fAy10PX+/nK8pfTUmDV+TrjukUoTrDdrPhEbFaUO31V
fTs/W7R4rKy+tjoWjW3xfSLPvJt73+f6YHPqkzBEeuvsAztsorFRBf9S25Fxseq8OaWW01+y1A6f
Qxiza/ZN5ga7mWTjlGb9k9Ky2tMbm65D9MsD12KwjgoAatikshBtGI/j1G0Lz56iV4glV9rP16Q4
23FbJk3APiPzEJho9zMCvnplO7VC7Kz0vE8MnQ3PpjJhqBZIgeG6ZaP8U5OQzijhHVOEN7JI6jxi
WOp3oDZwFzWzMKxzERo9pqHGPE9BGzCJYMLmlWcuRBi+VHDVgLa7+ZCDV0EGcp1d1NoyBSMk85sJ
/vJXuyZ6Sr7c5ck0wvS4xdf2jWEc1nuPZOwuGFtxg1LL8t+ULA55rLX2S9Pk8ecBqmPrMIgBS2gs
ZXe5KfsTmfc9pkPD3Kp6VG8+nGTzIUNu3CBezk9tRixoSBdhXXjBZnDMfVA1j71JE1rumdtuim/S
ftlPBQ+1ZpBJ/HUTz+VT0sqvAX6swK6v2E2xGoeULMBRpOdidM48G9e5mWdLwfnKpV+GyCLyL5Pf
vY8YiqyHP49RxAJ/uEwp82jcwOx5Nd0vrL1y4W7AOt23opl2qTlVO28e6DSqlkr3ZbRTwcVLyzvX
KBlgwLiZVHwT1dVOj1AKRj3ah16Lh3FkGNa0Xszuel7HHeRQr8Oui2yFL41XBc5fON/MI1EqDj6C
f0RFotHXVHAHOf+df4IajZvh8lG0OEQNa5/Q+caljmOvSMJha2exfJTsArfgHm5NA/iKH9B3wz2y
6bN+4ww1/fX6pg/lzMum+xmU5d3MToKaoTi9N5gdt70GNp1e894FsZk0yObxuqnH7NBOpryLBv9s
5ZoCYFG/WGb+zfb9W3cSyJPeDdXw9AxG8ieVrDXWVN95yJIiugemcK2L8XsetQOuymhVDQu62pZ7
KG/wDemZ2AAJj085r6btjEYG1oQdr7K85JwA/Fqzc49Yu8dyw5A4vkZB3IxsqWDwlUO9oV4z3xV6
BJKnL0jVCRaKyP4+u+jumXHNcD4VNupL27KCDZlQr3ARcyJJ2axFhUWxKLpnzg+Jr/hstfazHcR1
TLqO2klKg6Y9Kz4KUmtGT+k4Jld/aIdnboQA/GoJM7XruUJnMgRwir0B1ATkzfUYW/Q6NbmPXSqb
7Fv2rxbVoc6E0ohGSzVsTSCbrHpmmTcOCxsEX6B9dVGl+CvKkgtBh69GTeBk0SdWDL2/EtS2fy7P
r7U2i+x7yPilPWU1ZdN8ddZhdzG9COoavpdS0/NAQXXr0PbA+0RQXC3fS6ynpc8a3n4wsbjTHj3X
8r30ugOFGl0YENGWGLm9+VPzPF39HwWGOMHplxzimoXUiwDKtwvdRtVf/uxNEUu/xd/MQH7goii6
6J4Bd9+7c+WXXpE0awJgWnF0sAmD3edOrh4Gq2HzZLKdGDejX5qS+sSeM95OiL1bti5zRzFiEL6U
uhK3uBccA9Rhnsv9SDHM8FAyJsfaN6BjrFSUmPm2tfsxJT4/kL9xg5IcTBiPzcX2Sv4nk4OupO0e
vwg5toVSrFzxv1615N9eNdxb//8Q7orWu/z1x1sX/5rDFfydfxnVAvEXJUyeZwpJX5BpW9jR/g0X
9P8yhe87eNiY5gpvqbb7dxBXkN7lrU9ogpy1LbwFLfn/4ILmX64EPOljccPM5ov/iU/t75empEkH
giVHxjVGBNdbPtuvlTdFJOjmNug5Qzdx8O5MKS2rtsRpwzA4sjNn98up+Y1F7e8mLelI0ySq4riE
fn1oRsGH45W2lXXAu6MD5Jtx7VCg8QTboThOM6ylyY8ZwuZUMP/5oIvz6z/3378OSgjasog1s9qy
PpjxROcPbJcdyCuNa1y6PFt2qZ7NkyfP/uH7/d2C934oQs02BjjHtPnRF3PcL7d62dNuUXuC9mdd
pJdgdowN3HGHRtSMvbnl0iirZLd//zdGx8OnP39Ta2kP+uWr+qYnfNfExyi5PkzH/XB+jVaB11C6
O1CmYpLTs7SgSG8iurDF0UuipmrSh7TNmBfH4bbwBSp3puV0GassU//QOiQ+/NpsF7A/v1/ftIeh
t3/4NPhhq3bB8x96AdmI5gV2fKteiu7UCItFJh7u9NLXQfUl0fUP+hXVHmlsZjc/OcRhQz9+oBHJ
/EqiFt4fI0N26swRnM8Rg/tjSwkxxsJaoi2OysI/B7fHIPwQJJeibIxjEfvYQ0SUC1JVVXiVFoLD
n0/4h9+b821RWelSCuNb1n+n2F06Sqhz99tDpjSzWsZRO1XNxp0AfMxLsmpZjqjYuYHk2nwrbb/b
//n41odre/nBbdyODpeehPL+Xor0ywWX4cPiXWcBZAMidqAaRnzSnQHMh27gDcRPuNBhGztnsIl0
5DaME4rSBSs0CkK1PQPxR+Yn495HqvvCdZJH/+AG/fCAef98Qpig1IRrg/b94AbFXqYSxaV4wPIF
sp367E3njt7Bz/txq5Z4859PyLvJ9dc7YLnmoPVbHHS5Dz/egbVSFoNgGq/RNHzwK2XT2RvFuvxT
3jJIqWQ9fq6CJl2aaK3gxsxpmMabFl1aTZ0bdnF1BNPYfest17ibQTM/5q42v440cLOMSvPHNLPq
F59qjqPsdPrDtnJIMrMSr3o22O6P5DvNdSN6+7NDLpwMSDl316HoeyCWQf7456/7dzKsfL/DAumS
0fdQMeVSAfjr88bosaH4RpwfIGBCA9cOtp3JNdZ/PsrHH5FzamEtQf+2vQD2wgcOrU+dnh55Dh3Y
CEVfDOSLOsQ1yf7TffMzdtJ/PtzHa/r9cFiYl/uKSLf4UJEmRzg6c8vh7KKKrrSVnfhgFHjaY/8P
V+dvHlC8GJY3LJeMJ8XySX65e4pRlJHddfmB+Wx0zYlMfUo9M3+cjaZjm5zkj4UVJw9//nofnxnL
11ua3xzuCu4I8eFs0tYYmLkqqQ0nufiNYbtPloo1IvlXt7LslcSI+XkKxvoFWyxPtdY1/ukH/d0Z
Bu/BugSENfLX8oP/8r2NYYl3mUtaqJIGMQ2z4rrRJa0NgnDf9c/f9zdXD78kPYB4Wakdsj4crLdT
OjKyqD3UhswfnWTgxk8Gua9YbcC/Uur7n4/3Ecu93BQ2yywa/CCWcII/3BQViC7Uh6I6mE2DwckB
XKC2MdbWboUFqi/Ws5HNd5ZE346NNIw2YeUnF1AVBPr6OPHTY0WW/4oPsPumcS99K0SNpxM5094N
iWdcQkfVL3/+0L/9RTzPcwJelSaaxt9/EeAmmScIgx6AhbjIK6xMQpmX8Cid5unPh/rdRU8+bFk6
0syLWfnvhyr9pOmoka1ZDrXh1RKdxfBkHE6GaPyTg6flHC8j4z8f9DffD1b2UtBHmY0n3eVD/XLF
zcNiKyjJ8I3sZXbSLsPrNNB7XLqhcfnzoX5zf9kEdVyPg9kslT/+/PHUMFyDhRcqrFu7wkvTS2HP
/rZ3mu5eK2s6CptZ09rVlXthBBb9wwX/u+/K0YOFDs/C4GP4Q5uzHAzm+YAf8bEW1GJdoOrBPU6q
4B9KU5fv8uFtR9SCzliAXVL+19KWBbq3PCyLg8M76zSWtMczZWOx5Juz/TmiEyvd+CTvGan840/6
m/OMO9gSyNMuS13nw3XU+Fk+u4NXH5LG7HEAhclD3FBOA5iHEtR0XhINCco4XOo25t7LI17+f/6p
f3cpS9Y/0vVp0/yvn3ru/BADoVsfnP/L2Xnt2I1kWftVfvQ9G/QGmJ6L4016K+UNoVQq6RlBRtA+
/XysHnRJOSXp7wYahS6jPHloInbsvda3UpMEIazIjG5icysydVslhuWtSsYivykx/uL2smJ6NhUG
p/lg8RB9/yiHTuCYGDrkARpydEUzkhI7sOGO44aM892vv+FyET/cYFJPbbTuYegHnNJ+/DD6uijt
hhCIAcXzVVa1j736bdH0Fx9iLwczK6ClapMy/OOHYDVpvblKWRGSEZ6PtTRe4IZhBvz1l/mLK2eb
7DsYtxhLRh+vXKnm3pAGIb6j37hP+L9QQktpjhB5nVr+5tn4i1fDZi/lTEWbhwr5w5eCx1H0yD7a
A0cme1+BgLQ3kckRY8YifU6NxriJO9Fn9Ph9EFv/agDc/PP2fB/U+1fX04WQ5S1fNmAF+PF6Gjk7
lB6xCZX0vzdt774aObverz/kL559Z+HTeYEF3u3/7OGRYTbBaAbVgZEKj+FM0TAnozolGt6rKhoS
SNH3/a54+YvNnHedCF6+GVvVx3p+dlN8LmVcHQwQIE9Yfo2bEILDQwia9pD7hIv/+lsufZOPLwBo
9dCJ6KraaFM+vABMlq2qnH1xyB2HlLBx6mMMdZmRvvMyBI8sDBEpTlE0PM4yjG+ieiD6HVsLwv3E
y5t36Vrl/ZDbnALaegr2htQODeAhffXcjNofG8XgrCkL4AaEDRhIJ23I7Wxs9UDhIp9//XX+4g1w
TYohb9l7Tevj3uT4ptJuTXakLREMrGTpO5uAQO1nwBr99b/9WcvCyMZgc69oBvz4FAZ2KOFUFBS3
vpFstAXxdW4NLLRLL+Lf/yiSM1ifwKNQuS838bvdfTIbXU/YTA5/dDwUA6S1GaN8chF4/aaQ+CNU
5ccV0eVox6mXFd/HZPlhe6+yxBjMMeblGhNaHIsbg+OrL/cWI/YX5u2L56j1xHytcUDAgZ1C/404
pfJeGXjUIRa79g3o5vlCB7J6dGea1ltuCQAlYYjXX18Ye9kMPvy2rEFU2qYNNw9z4I9XpnEn5aFr
bw4VyJ+zHBxSSkhHvJBqhDc9ZBm+LzNtHzRqNkgEVmysRWvPt0mQNmSKusk6tUx92wo0jxV2rTux
DCkI1lUnP+vD2yGsgQZnAzCa2K/OA+LF3yza1rJQ/vgVOGCyw1PQcLT+P+WMJWeDghWPPQAvcnU7
gQsMiTkjp9Kk08Lyc2XUKS0lnQ6gkK3Xqczn46+vI1nRP7a26CJRz9kYajyO9x63/sOiGtZiklli
iUOgoWzARG2S9BpqR2tB1ZIQyIzuGmRmupr18BTkRQBBtc3MjTem2btdiKexxai2ph2n73H3ZbwM
uSbGTwC/mdp8TRqbf3Z1ed3X4GPnDEM/7Bxj8F4HBN5x2p/ppm1a1d81afKlntJHxtw8Xs54TKoI
femitTUKUh5jlN8OvNSatCssjiZAVaj1h75JtwSnXEtUMImf75WcHk00Ln30Yo94IkuocUV+Ow39
mSix+SjIpQZE9bklObOP5uuJJka+8Wv/GOYEcuBap7c1Hee2eQrhlcvBX0svvFB2tk6i9qjJ/kOb
t9W62eVJecSR9q2LUVNWaJUVDlMv3XpB/9nRzPvQMnmLVgHnBTL4tc6NrQHfYFUWxmEeyLHzqoM5
qGTrguZRUY9YLtcOSkPvpSM7FiZX9EAowaZAwZJAOeC4NJcjzshUXWXaSg71bFygP71z24jENLDz
iFmZIZKl7cWvTtDcTpj06Hd/oqWxkba5C7wLgsneMuZZc5E8NFN/TF37Sgbzzmquk8Q+92H7eZxo
sPiETMclAWhDsYffvJ2AY1tGuI2TGCzWdMb8VKCUJS5DeydZy33W3A3yrEzvU++/ubPbE17iXROc
umunN1cY0PVoTa99iQdTmt/C7n22nVOHL5MFdQNPZl8y1kIfeQzwBfu1OmcR6aKTEz6h2q9WES1e
xmiXQFYDDpfFCdvRXUlQc1BmzbYXyYONlJOnmEwHzJImseBmE9crEwFtUvRc16m/Ljv/MeFxLgF+
d62CN09iR1wcq3mGVmR9JXBt5xkEEVhjjH5oAXv7j7JQbzYaQ1y5zbo0EncfoK52fOwTlfpsmPYq
GheBzwQBrBJXzO44/cbG3pVXqj0PYPKYBqwjuWDJjCNtn3XqeBezQvZbs83W/hnz06UzInQW2Lqw
QZyaFrEnxOZdHz0CV0QZ496HI/xio6wvUfgIsktHeD3A1IMs28Jg+4wE4CuzCAKW03NNxrEuIyTg
dnUmnvPSQ3y2qAy2o8UIj2XyMZ+be3Oobq1IfcWFRJTMgoWLvwHQWEumWZbm3f6aWcXZ9RCM9/lT
bn6qF/AUr0mWj0QL90+Rqg9GpF5BKgEVdRv8i+n7IjOMySJyDPGW9v6FHbebquUijAQB9+0WdwXI
4zQ8dxOh2mQlJX58FEWLGkeV7ZkoAcRZ+pKEsMeIaKFRkGvi9c6qrz2+LCtIhHoNVAhEfj6jv8P1
GGJjSIDRDEdB1qM9VCu8XUeTJrkJ23zmAsqmOJesIzDZ4VVCdt/0fS8/O1Oqq32J5p3w2JG2I1Uz
WWI74oouy9T7bNf+KiixUuBknmp5l7kFpEI/DzfYsldV4myVLzWIUML5iG2h8PZ5GhhJF9r378uA
6Sh2+Kuqla89ifBPoWq2nOh3jRnhiewv3La7a5S4pZvpB6QmVr07HBBPS369YF+DF4Phd1EvytxE
swQZHRrVgnP/qnDfiEB6ANpxhZ1i18rkMHuHrml6nqhCbGY8eNTLq0ymt2bxZol8Hcr+k4qMg+rG
20lrWC3Bp5xlFdU3DjnxVcwUAALS38YK5nZNIoD37M2BdZxsF99IKM6ybctrIDr1Lmp0QECGagD1
VIQ7m6VSD0nf4oPzvAR/Nwo06IbInjHDzbRv982gxauXlrnBJNnPNjqAEhROJP91M+7uOCqCRwts
2Cro+HqzKwj2aMZDbFtqOzYWyVQwQcr7DD/wWyhjJCQ6L/tv+A7vAGS/m5awNwSFzih8QURORdQt
6gEG52R/fyHV1jh6OVYtXYjgqrQNLJJTLx/IAn2LYt4QPCTkNStTVSuXQdQjryiISmgT/hEqPBby
0Ji7PZY8KEQss6S9NCXgRjiE5ALHxkMjpuzTZDc27gsz84EZjMa7Zyu5DSPNYmgW2aQvvKyMHjLc
I9c1dDBKF7cWWztsSXKUGpyslsqbt8YiBM87CcM1DnqNp5CDFo3ouP8SNU5h7nrIKeAEhxdFSvrr
NPPhK+1VE154NzuqvCFJmoYUWPnYSRHTtr63rQeV39FAKaHxlv1nyujqq4Uy6Mi4wYGOWsqnKOm7
JfJHX/p1FCNIsgvJPRpSuO3xvQp44auyGni55sjd2W4oUFgb1nitBgAD+QhpYTVPc9ev3EgRxllm
pdilJlGvI8zAjT3b7pL4JW4MAn4uMg5zz5mPRtRs4+wUIvY5GoildnXlhpdTVGFRqoUOP/uu0R5x
r7D2GOhB0qH/FEgfnBZ+qBMpKW85BuVdjKz/gGqK3owX3rujQNClq0PNoeBe90X74OWBc1Az/cjO
Fri14O73VxWiXUSTJukXCodhg0zTfqV7pW5TByzS1LvFiTGbfUzIaoYnahnbmabmhRmnW0wSD3Pc
55sOL96JSVKLOc2AaVrnNjEvFtGPAjTKNlN4UNeiGBsuko+ieNdCpyO/A7lrEeZhQogzk81Vovuu
26LekkQDgJFIlsAoHa9J6sWQzYZiaSN8HZusoOvlgiFE80iQFeYEWafgA+aQSOu5TC469PybALT7
ZZo6UHnnrOw3yRK6DtZuwhNKaO3ZcW0ssJmLawf1zguBVNTtsMk2texAFvOMW0d0dUuEYu8YT+GU
QquM5+cWnNQeYYv1DS1r/R4nBLUZpi9e5+Y2JjeEIx9F9N6KumQXSze/HudYXgRE6ZgsGDoL1jS/
xBoLLn8fDLh/IADuwwy1EUZW85WopPFQp8l4GqiR75RbJpRDBsKWcqhJhB3nEyQjQO+tx4lokBa1
o+7tb35XkcvMZHSjzFHvIDk8K9NhfmfUDXPpdtQz2LDUnM5F4A4piemSyyVIracmaYLHeDC6Zxcv
5Ckhg73fepNX4y+RZn8YNTb9EP0lcKiRg20xmE25JZsLxVuFpHsFY9S5nryQ1BavcsfbGgPPMzl0
FkAJ6CTgHnp5kznwi1ddMxqvVj5BMzHtFLRSXz0hywzR5JHx07Q8axtYd8TXOnG7WLKIml33GGL3
BI3k25gi+0B8Un/yolg9GF7qtSvc947HQ2zLG692Utx3KTmzq6KK0emZumA3V/OCXByaPttxNI4u
xoqEcrODt5lhz3rwZESpxH0ujtw8u9mJTvb7pKiqN5++1X3PdOBV1e8jWP+Bxbn8xpjK2QbQBovh
QrNAbqIcda5yWHzHIA7WKdTANUrX4L6xquisdReuApKPwMwNPYt56jTxF79X0TXeX7IGBYlTWhK9
sQo8s/vkD9V4aVV68Z+nZ69NykM15uYap1axc1o26ikKUNajNt3z2nY7Ytm7LVr1RYhtdwSR98bO
qnz3CEZh2UE4Tr4MCEqwfTGpuc9UFxWfSoNwd/zj+mC5Q7XlwZfVqtHTNw/TGByQEiBrOcnPHqeS
PbPW/NaWXrtXYSDvUfoN2yow0rfJrecnOeTltmnqvbbt8rYL3CegEVSfhNds5mGpD1N7nFi9REwV
3GE7xW1Ep/WzW7ruZRd6yalyOh/OW4ENeoRgePQmx4RhyjgvXxuzo8/SbTNy+mqrWLXAhy+WauG6
mfxWnDrtefaWPwDnIxnRfI9pmdzOIDcApUEJrwzBzuZFELFNw8se7CEwd3HijA+tMMJ9nIb9NiQm
hzR7eUUaFuIyAOAMPetMh/ekH/jThvlWjLUUt9dDGoyYOTRGoLW0jTTbD9qiUaEC51tqtsnOLR2F
zp+4J/LYPeLRq7SxVjLFdBHDggHiS4nC1S8vXNM4TEyeX3G7RkdQrjlNbReahB+TELNJ+7a86KdZ
vaVxk6YkHXvJDE+kIUFkHOjUbZIAgPxIHYS/qaxh63TWlfRT77GPavRY2urRqZUZfIMMZwiLqei7
jep86W8FguJbuO32YQ6FONrAHiGbZzYa2DBYJah4ruTkLI92N5/biq9J7D2dslGideO4AE/cdb4o
WkJrfN71ejIUAm4yTAvssfiUcHBXdyaF7NYlFRBpDilGZxasb6kT1duZauVMkFtzEAhVv/RjwgNP
tgeyzf6odRThc2r6i4SakzOnU15TciVbRoLTOoRQs5Gu85r3Q/tstmQ+5HNnfcoU7FwdB0+WtOZ1
WDT2ioECcrYUze0xGzFvTqIqSKSO8oM/i5Q0EbwxQC+NQzZM0cayaucipkSwhwFTQE8XkcLTnla9
x75vMMSH/ksgCxKXikDUNr2cdV6Q3uL1GOmD3rkuitS5c2BiXBlyonUxRKTvdEtcs4zVfYtWRq8L
G7S+qEzEHeYUkpqdiOfUaY0N2Rbx05g36tYYRI5LXARiVy2XSAXFRK8EG1+Q+WS3tiByiIpj92MV
r8nNfHCtYqYDNHFwZRZIE8FK6uwyAeCEyzc5YfL4EqZ2u3IUGGEcAubBqgXBQQMSZLC+ZntHgfPu
G5V46eeac0jaPnfx2H4O2uiVtkK/xo/2qizWXzAxxAu11ksMQfjGYV3Y1kk13wWFfsK0HhP6aGS3
aTcTIyvh3OwTnJuryq7J3uv8YdO1KIQ6mx4rvqHq0vRVtHV9TaZsUwGZiBJvlxJBsoMvuMbX3/4R
wnpJP2oPgJp4k9iZsB41c/KMEzKBGU0LwKkeygl2RK+0PHGuJFzbxYsdOVhHeAc0eS7uawcgi9pu
JDXA5i8Um5jEZfaZLED/xAnX3Vitj30pnMUGVki4NXJl7MZ2oK0AsYbFYFRbu6qXQrO9nPKOYIBW
P0Vmz0EFktfJjEw4IaZFRp1lZZBOEOVG9B1i4Lau4T/mUzWjyTaaHAanRXLcCI15rYoErGVn+Je4
vtK1NYt+31eGsYdaD8arrwJA52N1PaIu/ypryLdBPd53IvZ28GzMXdpl1TOArn4/jO64tcXw0ESj
zbxfek9lRrZFmyRLlhdOr8RAP2zCO3br6VSa0jza5WBetdjQ96kQ3QERKS7JKswIypXqNHPI+zpk
jrnTfk5eZYPxIerC8REnXQR6yCBvUbrg6gljAATsvGQcVjfkQMzbUg8LamLxjNKcbisyQXME/UTy
lbQgcEPVV5gp5LZovW5rD417jVB+sceVXy2V6SeNG/XAit6fcCUyQSIhYut2XvI6TF4OHbhGa207
xRO9mu5La/gC07SffbJxcLqNV++7KnTOeojVBtFgu7K9qD8ZvVVHh6ymrSzcUW4n6SjuXbkkKKR9
/U60SLZxJknCDuDxjoljZh5Mu02vIj9t1i6uSwLZ6HgZaUcw50Q1nYIz3xEvaW64ZeU6lUZLCa4X
p0i4d7imtIisELVeT6EERAMMjgdqCEJVEdoUnyQ1GFPZ7khnzNcOrJ27sQBiIjPWwqEq2q1EuQbD
lrXH5wyzyctKXPpEzBMpFXJmjrKi3lmaUGMD6dPOwKaKy5zCHl8HhovLCbz1TeD3/pl2fbubfGfm
OV2sUVNYbyJnENdW5ll4PwfjYFDVHcOig5KrHUKRADTfYZ8i2ULTM9AAYFZI6kgHCMfwUBqKwawp
6XUooEPI8C9Kkb2ak+lflQ2wZaJUrvqaAr835je30URdVsUl6vVoZQ+2/S7SPl13TT3dYjQiMY5u
6ScH5NS5xAVsYxXqYLeYfvcY93Z9Abh42qRefaX7/oXxMFAiZT7XBSRcoxPlpkvtxYXj67UyAeCW
Fvxp19bFrQT5ytA2MOGSWl9cUhPo68Vud7J6O+Ng3sR7k/RM3nby31I3jp6IHYOFkmdfC2+Y8dYy
ulqLfIa6kjEHd3sNJmdOq7ee2mqnURweLVvmN/gxSGGzWXMDk2IFDT1KlHVTNe6L22OPGKoFO2bZ
1aOhQDqFMOl2RQzZNJkscjRguAE7SqZrxGyvYSKnTTdnxKNAoXotiPxdc26yDlHqQkmAgrqqKx92
IL1z2i1V7qwyvwzYPvL5Jei4WxaxsqvEzZJHEUUXVtHRlA4GAetg1EBZ5vqxqnXNhiJiOEFOcRqQ
RdHQmeBil7b/ANh9P4lBHSM3BbYd9e0X3RFMb7bjlShJXDFqHm6vi+Stn1TeV7Nsnmx3qC/IgJDr
DFLUeg7H7BRVsb/LA5C2BUaiYTf6qrtoY6HupwKuSAcyl/TNErPVSo5ZcXYIHMVvkL7PMBlXXWVA
V8PSsp6nvjqZMSM2emFy3OGqsndkf8ybvMLijRVkKxcemm042KM7RZct74qD7bnz+0hFemHEAcT/
OV4QOfre8WEZoTZAsurAaFNWIN6cGNSN0xiK6oA3L0pDj4xEZuU3OUoxtIasjs/kDQ/kkclTV6TN
lSZW+oyR8iUq2m9plge7oGWgMHjtRHxLhC1nGKrTCL4XTo70+28MPixCtxLRP+YAzJ7LMG/fvOY9
bwPOmp4wDzb+SlyePhAde64+E8pMNLbjd6e2H9xT0YzEhNkTW8jg13prx5E6xLmFGcrXib83KwtD
xXKWl2kiaOX58V0ysHjFyVwuDsb8nt2VvBxgJZs8IcM8Jr9PrJzAFbtSaN6kAigIVPtGUTCKQr7E
1QCxqdExnagi3WL/J7TDs4hKCKLXFpr7qR2imPjxhrEBKtzrqYYBsILKdeHBrLwYRJmv0a6JaNdm
+IQ4obcp4ROcMKwVZTSMjRpAOWj5qS36LXQq9BYeIXLlGlqDmfALNQDflD3RbytRY6iNIGG35Qjy
QMu4JsgxoG9eFDepFxC6l1CCpzMDHZfYtnWOsXZnirk4ouc12ThCXNAVwX0ritmRCNwoLxzSMgDy
+boF5ORZnUUESJ5a2y7L7uhZMRzGKqblRDkYBAXEwmj0Nw7sSLzrdbnjY4arOFTxnqiX7mqMS1xC
6ezCUwrWFippEgCKy6DLvvRkPKyAk+kDs6dsB35928w+4RSxSXuiibrz4ERLJot70w4w1UQLI4+z
k3w0ezLlG2ifkCm6zNjiCxphE4zZuvI4SQvTb94HNA9fwOLnt7nRT/TcATkKWqB7y0+cy45B5qea
iFGWBSptByuPnX+TCR77IHZfILwQFxDV9qrDQ3C0zKI8BnjjEuE91yqsjwHZb5us6R6FRV+8dJ3+
EFVKbbzGnbdVFOrPvU+q7n4CC04+j8v6q2rX2+MX8+5pmxab0sHL6siyu8RdXJyIQZ12qe2mL/T6
YQuQ60NnGY8qU45YbQPSZt7tECuz0TfhnpPWYqYzklPHU3qmMhAHIYMIME5irFvtu6eqmk1qWO08
0lKgxRwK+9ymvrr0+jG4iaKE2f0Q8RSKkDq8o6W9w1cGu1v25G0QsnIL9cO/GSey+uaUjo6XtN1S
i3lnNfbEqQeF030h5IbALtIw3XA1cg3vTe1kpDdOif+WIfDJVtQv7U1tj2wYLUMmTd1wirtEXbJZ
M7wL4+CM+wnnZU3S6oHIvuq4ZFJB52vo7wAjiT/NQUqueNCbx1Ak1pNFj2lHOn0fUUmkEKTmfuaI
jOjxpY3RPueZ1DvLjMZtFgD0xocAq0XUQf4MFqW9t1q3uUo6rI2rksDGZD2ykolVNBtY66KkYFaS
5MTCJWLiZ7d+XyWbKUzGS3Izgo3D3O2rTsk18Jt0CY1aBlKY2ofr2TDaWxEX9rkkFPcht5KCaqKe
OAsySdg2qd+fC3+AuZnkuiNCZ46Yn8ykrrwNWdle5MlQvZqVT1R56o/5TT+ldOThlGT+RaUJe1qF
jcgvVAgwD34MQbubYAQF4WZ9s4BmWsJmrR6jZh6yMYOwCg0SE+34ph6yjq2XE/eF2aHcJ46zNuy1
NXj+oWnM4G0CwXUxsy6+E52ahGfqMP9gOS776miAaFh3ECrNtVe09Vn65H9tMmU0D0aSuk8Ryalf
TeIY6RbGSR6yhiGXGViqXjplgrWren7dLjfgMnRIfws3cJ5KuJ/vAJ3MF24yPFo7i9rtYBvuqktz
yLOIVUBSRP6SwaIcA0UoOvNwpzjS0b8v7EOcOva9LFugB6lJYFBXZVNNNrJwL1NVIVsYTK2ol+CN
O5sUkzRx9sn4WM8hZoZGVDgI3D9+LyfuAbqQXg/Vtiqaz2oavYjg6p6/Ss2KN9Qj38QKomsHpeGl
10GPoI+fxgfwnuOjiO0SQmE1Rae8nedmZfvgVy+TOiAiAtlnpu5zJseHJDbJ9wgqFDNZ36fqvs9l
Ye3cKnd3Vc58f9MLp7xnVpkUR8JW0mytGcA6G5NpWEY83GKXjyOXzobNWx9j927hjDBtZUNI0c9X
k0UmRRhX52BQ5X0T5novu2r0tjrouCBqUlxSC+VpQvkvLXfHU5pbO7QTVBaVQsVTMLoCb5LQ3Vhj
9CzvaWkkn2jDc4KODOnuOmswX4QK1In+eU7gXV4+YTAmKDYiCYl5qND7uJ70VzV0+gpW4nTyvbzL
zhHKnysasvx4YgGJ+1jEK6GOeE6XaPbLUfBgrrFqocmOOvkZe2x8GeUESAT4ZnZx0+c4W4miX9XB
lLxaBnxDb8oVOdr4dfotFCN+5zzlgLSFD2Zj1UWGIJgxTuI+qJjrA4sqpmoDD5WnMYk9JCsq5P+2
TpxdYFF3nugIZNkaTmbLYlEqYsUgID3kQ62/EhUAMzAOHeOLYaPQ94TTPNDVNDjcTcLfZGHhwBSs
++GxNZ32mZACQGdWHT5xZvCvcGsuPKMiuhStT33QkLjGJl8bDBQV6xUKGurx2F4EdKVMul2e5giH
lUe69wiCZaVZSK94DzRQHpqzxTrvSuTsjjUlamPLmOFB54Tw9QnLMT/JssjCdakRg9PB4skiCNt9
CunQ10CNHG5Eky/Z861ZcjOJajz3GU4NZ2pVfIfYjn2XZnB1nWF02DR9mF5GZVTeRLoGTkLMkmut
yFnSgGYNQoMVmNstYrYpPaEV9p6cpuIhYBT6ubS1/+Y7aX6RysSmDQkILuTYgQBeG25QrUpO5ozV
pyyfmDGYvDzE5HJPczm7HUnoXvSQLljqKoh4Ag3ZcBNqADcY6Uguyzd97jnzqiZt8ymBxV4d6FEN
jwaRdwcTrdu1w8DgHvMm0cwDDy7bQnyZBn55P3lB81BgmVeQtVTwxmEHAJHoNe9GpnGjUBDMBn4F
2Dy7lCBbe08dTWyfcGOb9G/6iJ9K2L3UWULa6ogfNyUiOm0I5WuLGObN1OWHNgR/e4HVHkX8wIjj
JS15tAumV1foUPR+8kSxE2AC3pNiSj4xneJyBpY91deDCieKjjSZtyYTo3z3h4apQ4v8Ls1EkMYV
9yz3vnR4hEmo5P3WkoPOVbhYsEhxLnaLrhH8lapre2sVA+s9H8IPjabhGXg6beEhstt77UDDIEE8
1zvQ9s5TzQawi+ZxvDC9mLiYGmY0qeYjkyNLj1uKenagwudf03E29zbE2kvfDFuuARaQGxXEwnsp
yrYk5Q9eHU1U+upLh4qbNFal3os65TDUVhXh4JOd++V1CmZ83+hGHE1DiiMAG/Ok55R7wSYnfUz9
IU3uoFXOzoPjynpOMjgHejOLr0vPZ43MSFShjwBNsiLd03CeOFKa+zJH2OMlRnrX8nxfQyuPLwec
iludev3BSCyGZSM19boSMxdpsrNKn4NeqGkT1DWd1toIY+M0VWYJ4F/wwNk9sc7rfiKIxraZuW7q
oqHYNumS7lPGNShwunnJTilYScDMofLFIYfTRXfNwygt3sUlMvS6J0dlw3XwD3ETGevCqdpmM7Si
ZSKivJNgnsDEPkRhalvSe3B5uvcwjSqgPaXwvpRsKFTJxHMcZDJc5hWiqQtGoWxZ2sdvUrsIwSke
8kM05s6hy0cPhZLHo9IzoV3LkMkHwi72CzOdhkfX1D51Y8sm5YUOUndnKu8ptIycpJaEh1fnETPK
VIZ2Skg2Bv811aF95hjfXU9Nr1eDTBe8u1I4uvLRuqFHdd2RXrDCeW2tfBQTUCtG3DByNE5dNyi4
Tdjtd15KODNcI1rOIzlK2aoKetZ4wrvn247DUU+LelTmOY+4d1dzbGGgMQZ6bNtxtDLjEuWBKDmz
SCbteTN7/xT//1tpx5fZ1xYNzbv+r+WPfRUSl3uS6v/+rx/+7meBxz/8Rw+i4n8ff84PP1b99x//
OvkmNl/0lx/+Zltj5Jtuu2/tdPdNdeU/f4X//S//f//l//v2x095mOS3f/ztK/HeevlpSSbqH7zV
SKH/JcdefpH//WNLpvM//nY5famrL+3HP/BPMzY2tr9bAZ7JyMTLhlwV9ejwTel//A2bNopSf5E5
osxdYkP+NGOHf/foGkUh8cJYLWwXkacCJJ/yp/7uYwEljMI08TZ5Xuj/O27sH3XjBrL4xUHMb/Cj
SJTwhLF1WEsIbyrFRUzhceEiRv6dkvNHRfyfP/6DYha8T8JBvoAmZCtxjPPxYnLc4jANA3lklEsE
Lo8hI+NVU9e/8eL8KFL/8yOXf/6dIDi1RdBLFchFM9oM65JDAQEJBYVACZ+Sd77xZu9GZ0ZS/Mar
+LNr+EEnToCRJ8idEAcEbLG7HliZzmxoENi/e5j+Qtv/wWL951f6qOTVOT5aQBMHV3ULS0QyydkP
LWmpZWL7w5ky2H2Fg3mtSuIiqykPb6TRG5zFlGH+xvbzo4z8z99h+fLfXVajdA2e0K45+O6ISm4w
3cTckprZPeKqKv8tUfefH/JBzJ322qMXGoiDkzj9fT2E1nteNiHxG4lB3+fXl/Nnt4tX6vtvMjJI
9wkvlYcmq3HFD04nqHgmv/kPH4cPHtJlhj96TPBoDta0QEd/uPXYRc+//u1/dh8+eEto0+het4Y4
cJJ1HyncZ0aMdRgAKg5my97/+lN+co2sD8uCCQ3G9sNYHCwIWVvD0hB66K7+5ln62U//sCrkHOqs
LMjlgcMCo+W+pV6oCKxst7/+7a2fXKQ/hPzfPawgREd3MoQ8oJsah+sEEL55zLWPbsfz0fGsG9lJ
k6ac6O9gihXZ0WIULU+BVrK58CrlZlvgdjTWdBZBkRop6ya6OrVl/e5X/FFb/q9H/aO5ZMrEIHA0
yEM8hwCTOmGqlMDVxK3QguW5+TnTxfzNkj26FHb+9ATfIxIbeuYcIhSxKf1/eDOWa/jdtfJcyqOw
WIbHxoC8CllhcGfUXfT663vxs3u9/PPvfnxXkgmcD3lzSERS3zH0Z244tegW/7O37aP/I8kkbSJ8
AYeScAjkpVZdPQbgF57+s1//w2KhBxAFmHEwUZhl/mikbf51mJrqN+vdzy7Oh6Wio8RG+1OACI0m
BQ3bVBxd8jQI/sPX+MNiUc5tENWLtTcEdxaDVkqaZxvZnf7Nxf/Je2Z+WCbYYOcYMFhzmFrNnHcI
htmlLTdAkTbixHj/9T3weVT+dIP861X5aLuxTYihZYDVMhma8YqJpfqGCs0Kz4pHtwRl28GR/PVH
/aR4MD8UD2R6a+KozCXvEzXSGm9foe8DaxwDerKxtjYd39dARG0D5v3NUvCTh2Cp/r5/QxDbNZYD
cv4QkVsa7QI9NtGqihKI2b/+Uj+7fh/ecKcdB1SfgzgkhYRqv5oIRzG2+ISR9VclJwdOTL6efsMn
+dnX+fDCE6oh7RgS6qFTMqyhIJOxu527tH789bf52c//UCOMkvYhVBYq1gLyPvFiSry5YPzC31yt
n/38D288DQ+JFjLDWxzRokeZyvmTZOPf3GzrR2vTnw/zh1eeQxuwbjMXBxiM894ZdPg/nJ3Jbtw6
17WvSIDERpSmqiqr7DitncZnIiQ5J6Qaqm959d9SgB+w+bpc+Dm0ByyJ4mazufazqt9KBvl68r1S
kSfPQ1ndjRJqQSJMq7KGL0MGyC5Srr64MuXvH/61gLKmBQiBZhYE+EQeuH8/Mk3Jv4tvcMelx8j7
7PKZeGxNDaHnibCDAf2ZoxxWHgqDO8klE+LKnLA387+vgAPSy6CpK1yUC6oBJoSIfTgw3OPGJwmp
QbaDJqFVokPetUmWRQGk8yXw26AR0t9vv9vrAcVtqhpKNMqtY9hewFaZaEjMUFMF+b8a4faDImPv
QcCvo/ny9o+9Ph4Bsnj5pq1HZCbqCkeoAVU/OeitY4K7dZNdmcMvtW/NDrDP9mBXN3awKNq8I9UK
9+sj6lDffvrXJ1Qe77/6bPnXcaumbV+eVchqSNfiaUZ5iZzru6lrQ0AFaS7+zCsvKsfXsaaHjesO
EnPwa3OYuiaT6L72U6CvNH7pw1tzA62yYui6fV8JB7UJdHy5PiBhqFVqPLO+88BZP77db5fGtzVN
EKRsmhzyYigEQC76ioIK/4FwrYAVqP38B5QN0dfR05mAIUiY6QOq63E7/fZvXxoR1vQAURdpoKZt
zyhvYFA6T1Fx8GcK09+32399+uF2jXrcjpB5+DjCtJtEXg87XAHOPCrvcJs6ADL46e2fufAaNqBI
VoCtjlnQnukMNmwMyu0B98rtlZe41Lq1U2hQq9XGe1jCwzJ7gHg/eACEtLt1e3Yr6LNwzCHbwhm1
lf1yhzrxBw9atxu3xq2IVyhq6TwyovEdg9OD7HWDitbAsfW9w55FPByciJ5lj24fKH0ncL11oE3l
tmNG0vVl6wqkmFh7GJs5VDU/UT8FTPYchINjv1sBjltkoMpz5GMLvTUfG+5tpy4mV3dilwaNFdWh
8YIWWh08/baA6FoGqNWBnZbbZ7XCdqvLKhZNjZNQrxuk+EN5MChrSJ1aF/tE9eyzFqh7R94kbs5r
kd/V8w7VbcOvbm1bi/kI0zBAoDEhKMEmmNPDR2MMUfbr1roVqRM8clEeNzVnb+UScjDo7ua2r365
tW5F6ggZepX76Jfa26vqwaZIchgUHt1at0JVxHPeU7hqnFF9Rz9D6fZOYld1BRp0YTQKK1LrUM6Q
M6DbJWrjFChcPVKideBP1+Arl37AClZv5tUQ4C7vHOyueQt8NkJs390mYJvo0tE2EmogzXnsu0+s
b08AbTj2uhWmCojbOQ4Bi4lDM0PUDdPE9R4yyn5xHJJWqEa8g/Kh6xuwG6GzPbZwjMT9FjQR352G
jQ0s4OvGgx6yyzNk7hsm4mb4Mm2+upJhv/BZbc4h8JlgmlYYlFAcDtX7JUQF1TEcAmCB3R7fitgN
qhQDeyGgSsqg2w5j1W1LwiZAjt2mytAKWt4LaYJ9StC0pucGmIB7XkSL21RpgzdUPeSqgmXOmcJy
F4yVpsAFrOwcn92K2hHo+L7gSFFgcBbQofD7oObVFYDLpU9rRWzbrsJfUL5zJrj+TA18hH6jkKlU
ydsfdp/QXzm1hdby2jBfxRXg2Wc49xIEbt8nOB38qFEZwMf4s0EV2rnsRn4lDPZZ8rWfs+IY1goU
svsW60reFuKwragoTOo1ghICKtVrQNRLfWYFs4GEDabV6LMVThAHv5UMtTpMuE0V3Fp3xwF8MV1i
MCGgBQotm+k2HrNrFJ0Lz873D/VsVUdJMYQhNSZRWJv36To1/Z1ADYnbVtAm78HYiE80wESxsTwA
Rb5Tn2BNA5OUt0fTpYe3opgIkIvoFlcoSAcCQAa+Oa2iHq49/KXmrbUXd/rhQEuwG4Jt0dERf3Y/
PBQgTae5A94RlX/rPN2tTSaaD4WW/ec6GL54vNgFqygvruE2g3IAlhsYuwMDGiZmL2Y5DE2zZ3OG
uPivNLP6PJI+K94jS45E0xTVGar36jJCwchUonx9QAVCjjIGDit53D6s5VcUjVVfUUXeoUZzoFF7
jJjBLQYP4zOgUdy7gU4j999TsInrFP7CPYoE13FD9VbBSv4bFesUtlliDP/M7TpEn1ezoaCPhT3q
hLccHBGldle+K9/oL877lRhk1vgFC8Mz8NuqzuDzwVQECLuwuoEeAubvxoiqS2XNNn7wIX5t78kE
yEtaRFkvj2AZQ05OFgg3d7EHq/srq8v+y688Ed+/97MxD/wRLYnWNc5WZnwca5J/QKLqZ7aAmFwb
OhdJMZQ0gk81lHlZ36J82W28WpPrtsFGBdSl5hwW2k+BiDwRFM1cWXT2Qf/aW1lTK6+XpVrKvDmb
YewgKJZkO2LDDpcDyOpvp94sj25vYU2qQ+9HUImX9bmKUKESBACpGDh7XsvAX4o6azZdB8ggDGuB
qEVBxtGrBYMhXUxvnR7ehqDBXY0DisKqs2LzCrzPOOAiSkzRNabqhadn1s4FAO58ZhJlY/AvLlOf
ReNhVHD2c3t6a8LbshkGUOCqnQsApZ8y6UO6FfTizq11a77LmJePywBoG4r55U0xb33K6zi8Np2+
Pj5tZOcETEHYBcDDl1LUKNEcOvLvrDZ4TL799BfWemYFl4cajYoSM5zZWkJHXrWQZyYsL6MYd6u6
+vb2r1z6vlaUwSR8KRnIUuey0fwdCiO3h6jKzZXWwwt9ZIWWqtiKbJkazyjfBowB5iYmgzh290Sd
Cjh/NW3RT1dmwUtvYsVZDe7aNBWVl/rRVN6jgPXfPDal2wmBWpO+CaZiUM2apaigXFPobmAU3qv5
Shhc+NTU2rSUfMBdXE36MwqYUa4PazjJ4VOpdwm4hk3blR66ILvh1A7mthVVDNHzeUABynxbymkj
qV+R8gkFNHDS5qCso25tbsF5qkhc1kdG84nfrZwH9YcJYk5z5VEufKy/pMrnS1ZY6wl3M80ZRLkO
7raolP2OFdxjVxaPS+1bwxq1cgLmMUAkR2v1fZ7xPg08rB0Hwz7anz28h10aUD+DOsuuY48BHN4L
iKavhMyFJ6f2pNXkFCcV2AXKOlrPW0TzU0DGza3f6f6rzx6dD/icoqfyXBoE54FiLn+qIGzVbv1O
6cv2o3HiBCfcOI1634c834eTpGbN0WmyotZXDVB6obuRxSmKldiPZQ3iFK7u5vvbrV+YrKg1Wa0a
wn8GL7a0aMAllysKDpOmQCHtcWmabr6hYPleA+te+srWZBV34QyvAT9KuzoPjyvKf84ypvPN22+y
x/MrWydbAxlQXIKDiibPK8pG8//EjCrau6Bp6yX1UL4znpDfW+o74XvBlVF7oe9sTPygZVl0MQpn
cw+GhvXAGU9om3cMiroAkm4AJeAK+PbbXei7v04pz8bwvEYKjLbCgwFsAQW2ipe+OmjqD8GV6fjS
D+wv+ewHAETIUHgEDkFfo4gsYQKmeEe9wn7O8QesGIdehfQtSDAwrs7yHwvACp/93o8d+2d/rWeP
33HSFOumPYiqGpzO5i04FhG5dt9/qXOsKDHzmi+EbQAA+tsEV7clvhl0LBx7xoqLUndlCBYT+KgB
TEF67MXfw4TkmkbtwrPbIsBYVpr7mSYpSvX4igMLSvpPjHbMScrI/5opPOt52kEMjWlbnxezAK7X
imz5hR2PaWD5Bwnf0Wn821rAqALsP97JSNlW5GcBMjKqEvLM8R2swV8DlAGWiSgB3EcpMzA94z1A
GeRRSjP8cXsBa/i3KPGkMyalM1vy9m4UIYwF+lH+dGvdGv4ZWXYue1icUc03TzAEXIHnwhYdTEC3
H7DWON1PHF6H+AF/ENM3YFGaL7MJeO3YPHkZvkWOGnftZWtaoybzA+BRYK/A1K78/6Ph/z+9Dv+7
OXw2SBuSbVOohgI2ZfBbAmuuNu9Q7g/i5dvds3/FVxafvzqhZ+3Pq2nDsMryfXjWKGZiPhzggS7Z
DjAYv0aHv/Ajtk5P9FIAtZLhGwSNwl04m4AJIVXHwb2SSMm4hZot1INydPAJqh7PdEIhSgOHRJhg
Bo43kLY2rwzBuGvWvjjX0YYCHJ5p4MWKLvzx9oe4MNvZMjwyo5JmqdE8LFh/dgoJDdkxt5s23wrh
Si4jENPATyyDaj/BWKw4A/p1LcIufV0rhJfVMDPAY/IM2qYAPKnepvUAS/PpMS6CzjF75VtxXEhm
urYF1yn01VgByRhJiTowGIs5jh4rkr11EargkQLZdRpO3QSV57wSt528b63DrVAR2IyhOgdyG1NQ
9XoA+DbHRLdtTdCW8wIREM3P0xxChAw/QP6uVgWSxC5jE4i3l5Oc8DmpelAMUXzhPW46hqtLH10D
nb8+8JktpVshCF6DRebwdA884L5w3MH1IX18+9EvCB5BRnr57NITgQTmDR7Opourk2wj1RxEiRPs
3LVxdMjVxH6BbaXzRxREej83HfjdXl+HHLXTHQpsp14+wljC+GMOscE3MEn/yZex/FDLQnx9+w0v
9Z8V3AEFV7XE7f9O4yBwZuuGI9tQ0uTW+v6rz9aHEAV/IKBH8twXMn5HF87TeCuvCp4vPbwV1U3l
UV9U+OQeK+J3HMW9x3HOGqfrxP9xYVyzjksQieQ5iLM/HGjxBDkTdXLrGTukcavBRoWjfzchle5n
OPqvADVc6ffXJ1UWW1trPW1jHvnwswZSH3XmIfBEH1TnMZQYNNNAr/zKhe63pXA9YwRalAEjE2Qj
mRY7KAXAkWpw2t0xWwOHqsOwoNJ4qQClEtdLwYH1S3F0+gCRFdkolkHeCEC61KgBhXaagTq2ZW5R
herGF+O+mzGVFhEaR+Eg6vSbtnzXbIy7jZ1o/+rPoqpHnfAcFF6cqrzL7+lq/NvOA7jWrWOsmNW4
dTNNG8XpNOoQdgJbCO4y2O5urVshm+uQg/wOZC8dmz9RUzXwTAfH0q1x8rJjSDGjFMUb0O1wkr9v
9AJ2TVPn6dutXwiqv0Ybz7qddn1QT5lBvqsVKKhiIEaMgAugRrwFWn1x7CArdHHJZhaUHuBEH1Jy
nmdAMBtgN5z2cnB4etlDU4Ei0rho4lQUBUjDYyzBOCH1lUuYCz0krNx2EAHAPGZZlsb5bi4LMAlI
MxBRziRRdbC4Zf9h4PryJaQhZFYoCQIVuBaoWVcpcGuOk5qwQheGnVjOu3xfskqwLccFFOgMmK23
x9AeRP97YGLCCt28LmYgJ3G3AGDI8qMHZutsFB0/ubVuha4wqMfIC5qlC6jzCSqJvw/bGDg+uhW5
TcsBczdofPUUAXwx+8YK75fbg1uBu/uJYYOwEyENnDoolerea6CQcFuohLXYxlszgo1NspT59W9/
626rFrf5bo9uxesIMEhI8zwGA68o74ceXo2JnwfQJju1b6vhOiqBS+42L+3KlX/Lchb/rMry2gH+
wni01XA1Y0u8qjBODeT69xUyZWc1Ecc1NrQCVUfbsq0rlkGAT/tbXTIPvEu4WL/dM3tEvhJLtg6O
1AAxBmC/pHTV9LhBGYJJGXSdm7bUy7FSZeh0785sSRwpVQ3JRb8vKyi2zcCaXUye37z9Fpe+gBWz
+YruBgzRS6uWrOlYii96unoqvdRFVsySNiq8AsJtDB5/fIrGDXhZMm90BKcaNRr3vFtBAXN7ESuG
CyBH52XKs7TqAnmA0eh8FNC/OH4DK4TDeN4YiiDwJqIna4IdRP27C6LMba8fWlEMoj+JNwH5Tl1Q
/xZwq/w3khLS7Qhny+C2GvMbAx8pZTyEi7zfHLJ5dUsRM1sFJ2BYW8YaV1mgCHanfAryI5y3N7fh
aavgKLDRVcGUl4IHS4/FEIOUV43U6XYVb/9yJQfesaMzlGXIf9LuYwYaa9I3jXRKbzNuLbYaDjdt
1OHyyAQym4HsqSuQk0xQo3IL/gWF29C0JVkSBfdKZBg7wUyyA1VyuV1h5XtlZO5z5SuzHLdCGOTe
JjYo203zMTcah0RNxncjkKYDkLAKuMZ6qDyYJuiyLK7024UpiVuRPMYeH+t88VJF5hFEyXk5Q+u1
fHl7nrj0QlYk0zGnhqG0O/XgGP2nMRt/bIcw+OxjM+cf5gAmNX5VrVcSo3+RBK/1nxXZXZRhgjVY
+xu/C0HzUhQoYIiE6uxT63f6UxBqJKP6eODBvQK3GtTuxZD4Bpxu872ChwYsmbSp4I5W1v78RcKW
ZTxWoYJDHnQU4eK2zNtKw37YkOKTzEv1KNk//VhCIemLsfn2dqdf+KS2dCwOwNcMmhW7FB9M1A3G
YWc4sbiVyzJbOMbaChtyBsS0Huc/MSv+W7qydewYa4qgETBroEbgsAvPv7O/9PKWwATCsXVriui0
Hw0SMtwUjmUfw8r7nOW1W84ZfJmXk9sA7tGyCSC+qiX4LavwK8+6P26f05oUFhh2aBqV2JFkEzSS
c7Xdrl3rdumOLM7LB0d5aL7C2BUH3WD4nZPisQj7K3u2S+PQCv6t7HEXiBJ7cOGa/A4+Vwsg0NR3
O93a1sXNLKIw82uss3nDvlPhxZ+QgAlTp063dWHZuI1LI3ic1nLsEx2sfaJ641bXyGxd2LqNPcdt
eJy2Yf8fPML+gcWgW7fYUjBMeNVQtxCgBDhkfa+DOjwTOTkuf9QK0EjBtQUVTLt1VZR/zVU2fO/y
TLjtEGyJVJENuMwiAG9XUTi+R76ugQ91RU9un9QK0VjIGtLjLEr9vuYPZuybjwCAtI4DxopSgqLx
BUBeHPbHZlLg2anq/dj6tdu1EFT4L+NUww6p1DNmARmGW9qv7fohrFhzpW/+upi/snLaGql8xo3o
IivortZR/xbQIlTvzdTQf5S3DS2sYbZPxG9P0EHon9kczzdhZfL6RFS2eeCZAimQosrndw4uUH8K
GTD1oNHDPxY6/Vof4Ns0jUdjev4IP/OIXXnqCxMMtZb7AgjuqV01AN2UI6/beDEcPsNhrd228rbc
al29SZe5wFIHW7Ub3EVzGEPCc8RpPNrSqop2EuTqOUolHI7hRis/ZJNyzD3ZWqoSFF7DtyBLxe5o
2LSQOGlu2hu3R7emgXIOAP+F9V06bvCbk0EGw8icu2HJGLHW6XkUBXjcHGYN69p+CFsVPShqti9u
z25PA0VQi6yd8OzBRpJcwnoOzEs3EQaz9a8ikjTXK6bf3Qb8p5/L8Ya0Kntwe3ZrEphYs3ghzNxT
sKm+ZaSDddu4VUe3xq3luoU1IqwWsBMofB+uaVP4sGTMTRnH/s47z/LpQ+jBlmzDzs5DWcCNAHHn
/Wom/tXp0W39F50VIX6BnV0MZmOqUV2UtG12TXe3j7tX5kZb/bWa2YM7xgQNZDaP3ymYdj+Jmbx3
Xe91bgUTzNZ+eXljwmGJo3QFdve25fDTbDh3Q0DAYf3l4gHjwK1uah6l+RT+w4LqSWi3Ik/2F2z3
7MMu+E8L0yNsfE0o3slqrG5hv+G7HbcDK1gjFBZ0YYlNXqsX78asRO4G0D51q+EBLfdlxyyAT4/C
gzN5jYq3I5xM7lEucU1ueklQ8LfS7FnfTHCEBBi1xN7a76sT7JNWBCxf4cxYByZc0op6bDr0nion
QKirqj5xwsUCxCgcqBK30LCiGsgVnIl7ODctXuyfcGlTw9g6d7xAsTVh3hT2QeaZKEX2pf+5jJs5
+2be3A4QthhMr8GaiwjDlnnVbRi39NjBMerg1DG2BGybPaJZiVw+zKIHFLaTR5DtC8fG93zIsy/v
wSYCYG7kR5mOu9MkUEi8hm12hYp1Yd9jC8BME5qgzwbs8Tu54nJVk5MK829u/WKtvqh/QJk8GUU6
L3ooD/CJrwooCfTQu41I34ppucwbsONTlML0BAzaQekvSpfjo9vjWxHdeigjNQTuKjzq1RkSF5VO
G+3dTii+tQAjE7fKEkzwdFFNfgOz1+oE96lr0KZL39WKVdh1w8U0xHflfV+m4dCiiAflkFeSi5da
t3bLQw32L0i86HcRfVpjOPHVoe+GdKG27ktDLAOf1E6kXTYU3yHvpp+XqW2dNuLUFn71FGiCtghD
6LtN/hkuONlTTOFT4TJkqK37Iv7kL62vsDrCmbkBRGOdn0KdY9/s1r61+voDxeGK0TCNlnWSpxxn
UHkAWFR+cWvfiliaqUAwOHCkcHvmTxUL+ke4KsvPbq1b4TrKsWMjyXFMwar0QEQVfVJza5zClcZW
uDaCxTkMVuFYS5ouKZZhSOQM5x+3Z7fCNYTPBQ9WJdIGHOpTrDfvXrdZ/8mtdStcYbtMy0Ixke6K
+mMnPXo0Xhk4jnkrXOca0++wr08tp0cdguxEuL+5DUlbzQV3gLUq4OsMQQgs8GBbShTMwQfYCjp1
ja3mmuVUGr/dF9ei/ba13VOs6a+3m359N05tLVeZ7Q4UpcnSsc+b76AMmyKNS78K0rhXbrta0E9e
rt9wla8Wr0CuaIGlOWw5tExYAc7l26/w+kxMbU0XMnM9hJKhSKVPSxy14tofYLtZZLPT9oNGVswK
L4MbFLzq0w62WMmsdDrEjkc5WNK87Bu20nqZNhGlI4uK8gj2dkiBqY5gtuHWPeTlD8AEK6rGPsK2
T8zg7bc+3MfjSTt2vhW1JYU8JJKYcVpQTA9TVP4gi3cNC3/py1pBO9AJfiUrdtvbEsBOpYViDwhV
p4QRrAhf9ktXjqACwFAqHY2n4VTkhUdp+qtFxBGa+d9jLrUFXUC3hpWGSXeawz1Nngf4so53AwnX
j17UltldFMB3AXT/7pvcZthzF9tQwIzI0/6PuMVtUzDRcfwKImfwQy6glp8zFrW3BfRzv9cMPkwQ
tMN17e0hcmESsFUaeik8A7s1LBtLNX/lsESBxWfewRU3MKv34+0fufAxbelZpyc6a7NGad2gRPCI
q4xNHWSfZdRtoNvyMxh44US7YK+61vPwlWy8/snG2U3tTW35WQSjFi0lQRh16kPH1wEVNOanW9dY
E8ywbV7YDnWUkombGy5y8X0AoMfp3EeFNcNEAVZrH1qWVKGED1DGeisF7AlbqEzcHt+aYZAFIVUL
aEpqwMF44lAB/YhqOn91a92aYaoCcHGw5HDsX03+ay50eTtkkZtAiQprisnAS4EAXiHXlZVyhMsh
JMEJjAF45DZB2iK0jYh+jRusTp5G2X5OewK8M2yunTrHFqHJTsRlNkHP2ZQwjsf9dAsShlvT1qE7
BvBgEn7N06xrNVxruzt4N4RuQ8YWoFFVr3LOPJ6iRHnBhUPQPQ7cdFeGzD6FvzL3hlY8VYOB+5ha
RAoTW367wHrmPzL2g3+gvLmpUacBb8oHNQUZGDnaLVdNQyvMUBcPprfpeBp5i4GrMYvWZFmXxe3K
CqZBL9errWSh6WnBkQsvsfuI/I0/TVWg/ZPb97biDOR2KDMidJqP/MqBUjigUq91u72mtkqsYx1b
yS61on4TJmppfvfBeg02tX/XV763LRKrYJq2DQ0aZwwU92SdypUluhPMKYlDbZ2YmXoYZayoGihE
1H4EMNAkvCXLP04db+vEIlyjsjmKwnRoYMKrYB8UqEG5ndlsmZg2OA0uhYBB97YFKfiKVTqCLebY
+r6heJaYC7e8avuIhSlY2C3MxOm/WRlf43Vd+qpWFOcj7Ro6BiyddNWddCWhdaOz22nT1oa1a8O2
ETCclG/Th4z6bTK06poi6e89w2sD0orVusOOW8FaO51bVjVnXHqOd2MIQ46EmLb7Ap7TOCZcsbZN
clJ6WRKFeT8d9xsQ2IDXbdklcJ1u2kSI1byHUUPtJab1so8a9nFLUs5RoZzyWJRbYV8hY6C9ziBB
GUK2VhQAwuI86FYgSbm1vHLo/6H9gj98t/Q3WPa+lWxwe3Bb9oW61Hg2HJlVWLaTNFbdlOqaX0ur
/r1ifOUT2rKv0K+7jRnsyWYK+6BTtJVaPgHiNshDBHBol8BkO/iU+2UnUVHNpbqb8xqn22E3G0tG
Lif/FAYTfMA96KnX4yy65YGQ0R9P5dLxBUaAcl1OvdnWXz7O5UePwFl6wrYvCWpP/xS19nsnVSK1
r69hIo30PFzg0iVWcHrXAWCFSU179t/bM9h+jn+lr8j+/2fTAOy3awUDxjA1gCd6sCNXkTgwY+J/
Q9Gwxw13Gt/e/qULc4J9mc2mAkxG1fN0LuviJoTT9T/xGMAz1615a8oBTFFgt0OQW/TC6ZYDs488
nWMhO7Vvs+uoHeCcSbCCLxioh3IMmg/R5OP06fT0tpawh1lnDGUoNlWNgGvruqqkIdwx78qsj5w3
GEBxAb/2pp9+BwjqBCkpt7okyqyFpNxzutKEPA1lJhNt5EMcRL/dusX6qJUYqR/3yLDMER/e1QDr
IyT9yG0HbvPnkCsmgej7EDw1NX4ko8f/rHCReXJ7dmsh4Tns5w0X+KQzI7+WEs99lBCKXSuRuTjN
WdM/ylAnjfxDiAtnUd3Tcpmfyor05alWmYqTAHLaR0jAow96rTb2DkmMevyueQ3w6ora94fKkPpD
EUZtf0TuYvmke6n8o9lK2DsruUXeAXeOAy5q/Wn5AMtJbg5zNjfFERcHTX0ce2CDrgz/v9ekr01D
VmdBXZyHcL3imOYKATFyKM0f1RDGEmh1NnErjaxgdwxY2DfcDJl7yGAa1KnlgXbTxFJbRYnqLpmz
DKXaxPfgII5hPGIudBtptohylZmBSIyItKS9Z5Kg0lNwCFTu6P9BbR1lQ+cYil7crAwjYyls3JdT
EfXixmko21LKuJwlPD58npoICD8N/PAdTCwLt5t5POXLNWgDBhCbrj3L4Rfy99L2SHHi/sN3o1RQ
W00p5NSP87JybJGYSLCCI1ujVefYOdYc1UJbnm/hGKaZwqYX3pSyflJtVjpdcVObN7eJCZfPw4i+
17K7pYqPBxGOtdv2whZTtrDd8ddxwORdbbhUxJXZXdM5Fk9SW0sJh7IKW6GI4eQ4Qt4BnmgChxd5
fHtU7gvMK3OGLXqMBviWjDWGDRv8nh1WVYOYTFD5LO9KPoV/3v6V/TO+8iv/I33cRtMNC+5zJ9LN
D+usFAUhOlDX7osvJDxs8SMokdxUJZaJvhc/+2atQA71G387GFQOHrZM8f+E3zS/So4MJsrGsT1z
ezFr+aiigmIvufG0LYZfRRb/7LUjhJHaIrfJC6ooaheeQgWbfQS0uU5xpe+7RZwtcosZ09izYjtj
pkDdR0wG50nx8uTUL7bITQ16nes6oGk0xfOHRRX9Qxxlxbe3W78waG15G2VhsdUypxCVtNV2UCpv
1iPqRsanDiDv1S0BaMvcAKOaVNxIvAM2lknW5Q/MtNxt4NhCt4pJbgo50zQrmuwki3w7By1zXGts
oVtWZWswBTVLs7AIbvTsNyio9B0na1vm1oJQ3XhVxdJxHnSXrMbrz3NQul4n20K3ENni0ZNov429
/v3GfajB4TR3ZZt0YS6ywWagCQ2BkgVLvX4OIUhi/w27B+nbI/NS49Z5H08OskyPhWbJTfEuKPM8
oX0TXrmy21PPr0yjtoJtbuBxX89ISftDo82hb8ohPIBjtIENRqKW3Qxk6n+omYy/3n6dS4kcW9aW
ZXBBM0FEIdkPkAXIt4EPyYYKkD97aur91ES63M8rYzXdBGsWtgU4mEgQHmnm0yExyDEFp4HXZE5M
3ZTNlynq9LsyK/wqwW5RLHeopsN1+NuPe2FesElpqlBmdzuk6VIH45qEkN189SFJ+NV20o0WTm21
3FAJE2t/wawAd/JjFwzs4NX1emU5vjB+bGAaKZjXGG5oahYyn3s66c8c5Zluc76tlauWSIAc5JMU
rJPuCM78eFd3fe62DbJBaUtLZd81DK3PlUloRfL31HMU2lNbK0cnKIdCUdMULBV6S8uYfI5MfK3e
JrwQWdY6Phe4L+nB1k7rNtbI3dRl+702fVUmKI2ZmiPzw8HN24ra0LQB5JRh0jRIO9Ng6MMKXP+K
Zro5DSFia+dCOWbFmgmSRgpcsRNTHE507VgN1zDkr49RYsvnSt1g3t9H0RLHxRmmAtlRQVrh+PjW
tZue/E7Igfq4L4yig2KhOOJjuClpiU1E8/K+Rj4TdvGLEuNpy3x+rHTndgNP4n1eepYHrIZVDiEu
4VOO5f2AKzAgOTVzusYmtqNo5VViMLCsTWlT1k8F7PoSkdHm69tT56WPSl8++hapkunGD9KwL+av
yNoX78tVX3OGen1/TmLysvW5jpAPaYYglW0HvfraDfVXIVn2D+gYnZeMg5dNiTdI/9FX3TynEmRT
J40tia3IzinhWzEvAeSSC247QAA94NJ4vHXrNmu9XzjTbCnGIGVjU6RdxW9Q9ua2zyK2rG4bZRRV
axukZT8tjywv+M1M+HhyenRbVNc3gsRC49ErKfJ//SbYNKq7AWlwa96KY8NZvcIBBKsBUv7fxmKY
UJ5KyE+31vd5/FmkqSmaW+xA/BRuyNWNRs4Al4alG0Ce2Io6iuU9EGHkp0MOMWYCG98BvpKGO86g
tqCu2iIQrYLJT5cqyI5iVQsoK7GbpIPYijrBezlAvRSkkAHkv1oVctzbuCaaSGTFMmyseDM3WQC0
3trdLfBMSoeg8J0yNcQmpQle4BRaL/iwXiu+9j2tfpsyn9WVUfn6Ok8iK16FV8k215jmcg1oZeJ7
cbUmswdlU9IXQ/GEDG24ugWYLbBTbPAkiFFYyTa63YKHsX2Q3XxNM/W6vo7Y+jqTFwH8ozw/xf58
Xe4pKcTH0LANWH3KZ3nIJlF3Jx9FKOTY/d2rOkWeLWMrZ13ObV37aQ6rvA8+NfJ+nFTvtEMltobN
CDFHvgR6HSw1+bEZ4DxQbdviNrhsDduUawlaWA6wu5j6U8fVLxjvmStD68IKaruK8q4D89kgLjI2
z7+HzehHPlbXvBoutW6tz10d0YFoSdJeMz+BYWBziMP6mowK9mF7BPzv2ZLYtqIeLtY16K0kVfDj
7KEGmJuNJ+A+FdWUQGW1dKdVwo/l1t+A0j3wtZzXXWPiVcfNkNA8TOAxQ1oL4Ni/UWXomORsQ/KB
LyImh62v9XzKujrMEjjR5lD5cRPm9yZupjyBpl7wYzx2mX8YBCqdDsjWTfEh7CIxwTiuy4tDNJZk
O8i18Jd0KIpmPBTN0GwppzOdzrHEbuw0LXyKEg6DvAkY4qlubjaqIVbZNuP3dyhJnft3fTW006Es
cJvzqZcw4j7zHBmBk5oMvM9KEvIwyb2CkHeTUaDZKjkbhRvLrpw+5TAW+e5jlzf+004wpkbDfFYH
Mi3eetCF8cvfdGZmPQx6zudEgy+Yf4nzwc8TfwtClpY4/i7JArHLE9Ss4DiFY1fR5P8oupLlSnEg
+EWKQBJiubK8zfbz2t4uiu72NCCBALEI8fWT7zIRMxE9bYNQVWVmZcpAz/4S+x0HFHF1WE95lYbC
iUzPezOeREwCeccHsrO8A4mzPwjkqanCB7uXv40ZbqoJXPEbyzadJilSk7TVv+EJr//Di0tkmXJm
6R/K5CyvPGkj1DShNp2NZCY064IgxHwup7G9LDOQwHyDkXNwgv0+H88UlqE9fsTAJjmN586gzYno
b4Qxhj4nSDmMc1UR+sIECdOnDtFTZwRCWnHyMEWvEB/IN/m+szBYHyxjCqQs0MBGXDiZFpk3fRWE
BeKGzE8zOGXKigwqhcdYQ+frpCH/zQOfrrqc0Us8Vk4j+4vOO/enfd+TNdNOyrmEW5ndD3M1sk+q
62i8VC6E1Rqbxu66DbJ+x0/YQM8FV8n2awg3/97U82+BpvS3JvA/KsbB44saPLNvpl/8Sze34bvz
06xK5kOIVRauuj4bWkVg5UzhEpe1XcSKJY7Icwq72VM7Y5oAyJGONh9n5l8YtCTsJJsZiMkkIidO
bW0MK6gVQIXgSNZMWVP7Bjyy76PhFFFbPyAMujVvIeya0zId6/kDWsmuKbyP1Pyp+CCbA3ex8Ycx
oQl7UbJb2WEblFQHDR4Th3YKnHlJWCXomSPZakN6YmunYkuSALp6QbamCLE7TbJu2iZVpgm3/tTb
eWvPPBI4kji7VQMf6pnKNE9wv4NKJ9oPWVvHQClHNSFpaptTNeZNONAQQpDWsYJg8r/W+zIlL86M
6jImSap/vF1ZfOjjLlB3YY3AEbSD9QTiy0b/FIDEP2yMxCMdeLeV8Y63e0qWbnmoQh/hfe6bGkvr
w2F9XveQLV9C4NHk2kLCi2hEu/h74xn5WmK9wxACzvLRIxKdmy7rYWnVZ50b+gA/PZwtrvWMxMxC
OHznhzRZjHto7ZwGBV6mTEo61fGP7E27fHlMvLKA0i2JDzS1w32cLsAioYwgv7EAQaO8rrYWqFbT
DGnBBprqMiD1eo+0J1C/pIP//13XW50+3vJ8O5vZgd/CM6sR2xM+tNOrwCOsizAJWgKnU6hM7/yy
+zZfo22DzRQl/M9i8YljR2e83SY9jery5uY4HlyNJ/8s98aFJ45I3OkuCof3WpOya1b/O6hGvBcD
Y1BXJBWSA1QWif7mutm7mCVluJAQ8Ytmi7oLDJgrjVeWYCNogb3Gdp8slIL9kWzdH0bkYf9JtmSZ
7xrIytcPtTCzPKiuUdu5JVS46VYd4oZmYW8sYOCkhqA02GXb5Vs8r10ezTL6SARAy5IEnf0JpHbF
QoB84P3fpDFzaVqZFlszz8eYDchtn+FPH+39901CkKmFj3lt9b86gEIwQ8wCVP+J+JTw2DvwDTuf
BvtYRbOuGCGTIc2Dbmlyr1ebYRoTz4ApSGEcZM1bGi1//CwM/E7ch0V8GctifMxXR5MxhwOVKSqw
snlbO7SDCREljkxd4VGENcbsLq7uVE1Wly82Io9IKYU8ekp2PFbXY+s7m4KwhnMQJAQZJOzLyVKX
VwjERQmwVRnbhRfIbfuFClZfNtuzPICrYpVVVfqwb2auMkRe0EKArV3hMkde3VL/ZiGVv5EmxJ6j
NkLC+kqGrA9QbmrHcKMHdZOH3eRfxmmevhDatNwNigWf7VBPXzweZG6bZs+DMO5frO3wC7YkPXG6
fZotflmQOpp1se3yMKqjAk4wLMOhZJcW2ijI8LcYJsJK/YJ5Q/xI1/6bdA0gW98hwUE597J1WACI
UjIVtYQXyzhIkFNzetIroFDRQnLAuXzuVfvMW73lSRXOR9LP72OzfwsbsHLDFuDRwF8yI3qeLpEi
OOFD1/xHZikybapnFYW/7Rw9IojqLk2j+WA387jvWzpn+xo0f2GGw/ZSLDr9pdKwAkoEH5l9XUvR
jcmpnRC0rAbwNXwc23x3e/cfvuyI5ru2f/t+h0dakHQXNCe2bGt7H/gExQoxFV8hAmO/5TKcOdse
285uOW2D8Bq59jiG+7PGhsEZhSK4j6N6P6yC2SxYEveybH79slr7TJE5yfGNLQ+S4znV6D4y02h5
6CNMMkG9xDmajfpDdt6/GNDcl5jg+DbwiC5G2bdZUMHxe12tP84D+96rCA/N1ZlI2ynreXfwPZyA
OMwVj3zg/kpJyrHaJKcqgxxvzitG2TcslZY/9cL/wDOL5xCrTMdgiD+gdVSniRIYrSCY/lQjPTXj
cbifIj8MOotDuEbjQ8PjmdlX3aQIHEHkAg7d1DzGUvk4S9Kk+tIVCtocTXNWD8amJc5ImVS9Lequ
Ztc5qNXvcJzGhz0irFi74BDG1XgNGZrJeW4vAo1aTiM9lEGkAsRydWiR2Bp+TCC5T9bUW9aO3RmT
sbiXzl2bmrzpmoUnfDwlrURcejc3WSfpnm0iYLke64ud5Zus9JpzxLTnmm5T1iKjECyFai4uCHBz
L/wzNMtvDgubfIDssM0c3cYSnMH8G7ucXdEnpKmyxTXTKda4aYlPgivMxuJHTusQhWJ3HzuU7sVa
9xOycXiazU1lh3z3i1O5Z2z6r4HuoimCZeqb3LVxXSBowmQzrABxtxjxXYVbUh03MGYtlDkVD49i
IfOYW0raE7PJmvtabhmnQmQb2oKc7es3Zsk5hMaIJlHWYxm9hfSFJRapLdudUFNoik4vZs/TNVY5
s7gS6Uary4I8pu2KdeEmgygxKgKEhBbLTb8JSzKGZUF+aSStj66XNq9N8w3PJZ3B86SCjWFMiy1e
+NsI77K88YgYwl/C4v00cMkW2OqH4SG1erwT3XJdffqr2dvr2HWXBWlHpyhtZvWOXdP0Hv1g2D8b
+GOgyCVu/kQEs/N5sPFuwdcyQBi6uueh0l4VVI4oDoIPKSx5E0XLDpBac7/uU3ows6UPrTKizpBN
FCU5d1vYZyExKSaNlKO/6HDXZM0Mm2OLR3Evkaj1WdmN5iM6/xeRJirjLiD3Zk/Kuonv0ACND4R3
U52F6+TKOkg+l2q69O2MUIsWTZpG7/cIz/mwHIk/DlPXPcLq4Wvm0C2nQ5dm07rHY4a1zyRfA43h
xTRhHot4wtEQE7qkILikVTzS0x52JM7GLegvmE5YBymt8P8amM0cN9mZsdDWVyVicsaMMOP5YdW8
QfOKnc48SSp9aMJwyBcdXkdQaBmp6jaL2agPNh7jdwZSEHFWyBwdYaqVtTLEn8Kkm7Xe4Nl1wxyc
66aZCokKuuSB0PvJMpxTmFJygQ28zvzX8sayvKFV/yJ3BYREYAbLhjXt0kJuMBI4WxHrp11vS5ku
myxaAx+70Tf9Vx92y/3gkgVhUbpCmsM+FIau08G2Ck0QtggOFKDdL8OG6YRbw5TpNJhSo16XpN6a
F01T+kzRU6BV9MTkJI7Tc7P13S9kjUOohuxcpJ62Q3Newtk+YUZbH0JKUReTPTEzQlANz0O94hGv
TRK+rnYe/3MzPFtH3bMT07wNMmmG+NygEb+HgSzPm20MXqbO6SPXFAsyCw4+hRYTNuXDOGbTJmhG
4cVos8YM/U9AMdKm+/omtlQUyqoBmI5pL9BuKmytmuq9lbD2xHZfXwflElMSZZHS6u9Uuf4VNGR3
b92K7jiepguLTY8jVtVzliaUnNOd14VTG7lwOauzoX1cAqFN9JN146JKbeIoxo0db9ABwT5N+rCq
C3jTyncnVJ9k+Cznr9TXCIQNE9o/QJrS/HJyDj4Fr/Dsatuad84nikGaWILmP6JgSVn7ERljizW9
dddT10Z7Fps5OgfVFN2NazV8iwpEP+Yc9E2YKpNSpvDnmjp40BO4690P3oj5JKfFZMyobn7YOBxS
M9hLkXxO5lXn9Ux2VCfVScw7EY3BAUjMT3xLMb+4ab1s3iRXoAH09y0SJ0Pw5YjDXGmHWCFbXdaN
9iKzJrLvKDrJkEfRBIklfDKrODMp9hI7N/fHDZuhZ1xxyauqY/1BW+YQ5kAe5AQRfmbDHWn0G8UN
KAcXF3pKcWOG42YOKMVuyFWzXAl0kwWa8PQ/bN2OfYlTOamrthx7U7d9ptyNAAwgUo9Rcll6xTn5
g5VOhyj59GnwC86tV1spoiXtM+UH3HB1vKs3hAne7R0CPKu5/1g4QIRsW4PAwC9MDbykoWbPNObD
+rW2wmwH5B+HWGfTFPFA/Z471wRPW9vhJo7Y2CyFdoHAnpKb2feQWv/pSLXqzPd9SnCxSWQtuqbC
ZCJJ9VaLxgMG4QQ6/HWoyCHhUbpn0y6ma82meilcEmIaBB4igiyuYEycrQCADqEnyIWHBG14l+M+
FbGSCIURkBzcedaijWFc/PRoRPKhlaascbNc9co03s/EkbImaRWfklD6i8SC4fsKdqmsebjeCVu/
Q4GU3A01ACONOyHD+pjeYS4HIAdeN2PRw6j7HMZO4xE1rDp1va6OqCPqYd27uYiYN8UUVuFBBV2E
Xa0grDLpyFLOnTXXESRTjiZZv9uIDQeLf88Bv6jCIY73VgwtUIaAdd+ASddvCA7tMRq7quCT60qP
CzPnw1ydgbFhvPPAUQG9QBA8+JuHnLDPCk4QRVxH+rWRw6gzSOfrIa+D4X1FkkLG13XvM1i3RgfE
9O2HUeNGXuk0FAuNeNnBq/e8LgvLZtwojyJZ6gzKYZzwqXUqgxsi1wXFJVtMTNKzDK34B+2oOKFR
Ss96wOCI/+FzqPEjwcfeFugARUmX5h1zKztYvcTPUZw8xmaoPshuPpdQgX9pdSG6aIJ5VCvfkDam
zvCJaues3RCSminYF6PtC5scaxgYdsKAJnf1zFWuYiSf9czhFnTwLgVyZx7g/tJlLFZrPi8QO266
8dgiX/SfVdA+n5ANcEfYzA6ahPIQKWx8jLMcvqpJoaHekN7SkEoUO62XEuaO07PpJvE0oAb/Qswg
bL9G7k4jA1CxO3mKbd1cla077KjDuGlr17c9pEEWQmmGOzxsLw2C7T+GsSkNms9bN6azvZmikhpM
7DO4BNz+usDYJDBsNc/tENsc0cl1udX0J4qq6DgbHJGGjSe1sTRjHC0Y3du1hL3qvx3ms78TDBWX
KER6Wqh1mw0iMCXYBPtIbXxUWmy5jbsvP5L1pr0eD4Iynre9aDKyeFe2iq+FnPFrBYr7I5B5etap
f/JouY52qnHp8v4uDsO/vnPLsW+SxyB2+A2q4WlpxDUOMSg6sQI2ishXlYrgGKYKqCosAq/rGHUA
RgBxZ9pWR0kYlnCSBfs42GF9c4ZfKb81UELRHO7NXQmV0mdEGrSUif7mazLndI7/NKpfC4Yw8WsY
aIevZJoyNe3LZwsrsTL22MBqNMud70XusIF09MbovOrhaltvCZxE+d4+oD/BO0VxQBD9HnQlYAB0
Xb3ALAFLQLycmcDgP6gO0m9J3lnsnQ1wrb7hojTrO8s+FAnGS+CSpkB+oMnQP3hoVtSXHSsgTZsW
5WTCx2HVaEuVeaPb8JH2cY+OYVT5WrEWmsDKHFbb2tJo+d0GGqLiKCxXOE1eK4aoRrLSZ4vYmWcZ
RktZrys6uFqrzLSIaeM2OZBqSwsE0ienZmxpVlP1peQgDnHkNp6LVJKPCC8BUPVav8E8+LzgdWcp
gQQYRz460FDiPhj6Lp9YMx7gTv6SgPaeVNVle716gxreJpcFmWlPQarTvDUBriSxYgNqq/vxPCE/
/m5MR1HWosJ41FsYrbkJtKGkbMqFHpd7RfQyZBHcfz7R7XyjZ9WXiSt/HfhC8oh4f4dtp/qJjuOE
+jfv+OWAFPc2I07wK0BW/bBU/MO6pH2ceRVvN6zYbJ8j9AC5Y0biB9f8Cs83l61QwmRQeqzfm2qw
/xKrEY9qxiqPcwCrp045fulkirq8QqxMAHnV8ZOokDFw3OA3gS3qeVEKKLhcn3m9T/1hU3piP1Wz
25z0CWcXI9zCciWB7WWSodfJooam/bVzjavvQzKxDNNfV+DNWnyCqLn6+5ZCUp9nHiNkGEblhr6u
Qar+eGnW+CNMb+1F5lqRXHtD/dmruFrRpqAAfs9du7ILcPQ1zrGSdPuAIfo8EKSp7lheXuIQvWwf
DEVIV4yjNzjuPeqX2BaoXyEUeIKI+5oGVr3KOG7NC4dR5HbYqmqQT4gQHo4LUZiR+aQxai7dOvKH
Zhf2IhOIrvEhiKcgWIIlS0EV1c8bVhENkDrXPYxhaJejZ3S2xTTavroEzT4PryZYUGdb7Rd7nLCA
oTK9sU1+TTKktgQECn6lncdfELowTDS3LivbFEXS2ohOoH8OJiaw4Yi9vEeYPMGiMwOn4w5xDLD1
Z5qR+363NWTai8oj9ziryb6s/6jeUYTxjUTukDSN/TWlaXVaZNu/aN7v/V0ST+qxQlXChxGJejzP
xDZvS19h+A9TH74lXRe9Wub6/Vitt+6iamJY++JrBCY6RqNDLi6s5UNMdFsaPnXRTB/VzXr+YCPZ
A36ft97Drw86+3Nch0o/oHaP+sQGuBifO9bQE84XqpdZoURSTbc+tsAL/vZ0VvdYSxzAaLUUiwtI
aE8SRLR6jeADzEt1tkSGKSQ8tEoVXS+kOXHcFgBJoRU/4a8Vrw6TDD8v8HXlRxJF/RMTE6xk+kV6
LLrfnItxQ8nxB06w85vCetiL3Tq2FdWANwSO39qfWSwBKTB2M/KE2PX41GkaAyPqQ/Fqw8qof870
8D9B64gcHQlHtCmTePRtLmPHEVy7gYMYVVc5dGqD/GyW3tQPGhnAYZHaZsRnUhNr7gzR6pKOo75v
4QMZlEhRGZYMKWAyeoqjac3bYB74dSChnQtfm3TIB1L/cJAeOudUqqFEKnv9koqIY1t61P6EQZbR
bBEMgM9iU3jotyhuGbga/a+iDKxInQ6uAK69u0I6vf1bvI1fsQTJ/EGBjLsIWrfkX0eBH5d1Olks
STeqOcZYxL5oTLnjTciUvAcGXOO9b2bv8oFvdP7b+yZiVZYo5eyVLHtPztEeBfxZi13UpTNwyzt0
3cAuuKvj9TJU8KDLUuqsyT28KkW+RTx+wssQGlxLMKIRaRNs4sJEI7FFp8QLcmesxkVXUyAMdA8B
r7G5Py3RuJpcoxeDMGl0slF3cyij4CcAphwder9Uyc13EyarfwVID30H8mTkz4QAASrqmbXtk2l3
UIQbas8xMtHsb79HfRC7iWHzFwa4O5XV3OQR0szfISn1H/CJ7x6S1SWHpdvXXxAkAMCeULzvfCym
PscaX+MyYqRB1E+4sj8GLePLAK7sbViXLj23zbBivKdBHLxYYacH4sXQFfhm6//wDvZPpxIRn0RE
CJwezWZyRnT4uGzKP7cbePa6w3SZkU5hlGAd582ZaAmsCdh+3aFDBWBTdFTF7ymdlkc0//wJtJDU
Wd2oRcELdE3HDz5sTZLbdDcyjwDh3pqNap3+o3RbyYHTBjGn6czS51ot+zHGZIDg7Rr7Sl3r9DVK
BQgEuo+HwAnPcWtuCaD9mtIhD5RoyXmmMW1A244T04BYBk0+TLQyvLsedqjI5l0SeQ82uVuevKUx
UPt9iYK/jeib7xSA7/0s15jkKcwvwrvBsA3qfuDWKt8AIYFSVAl7xxw32dK3SrzNJJrOHhOwP8aR
St957zDWwjtpOPtq77r/FGw5Yfts7I3sBStwCrZgx4zld41GOBHVWzNym0lKgrrco5sN8rCCmc9W
J6dX2Gvtv1P8U2Z7JRaecex1/3hdB+Y4zzi15Yo29WUACoFZTTc280Rjz9uLbaSXCncYrgCfABIb
cE+rElbXbZC3ymMNG6LBvjmZVfhX56r0T6c02nfD3PyKPrR+pbLFg5DLZrCQCCL2bwfVSJNplIMJ
fHyQpCVcADHdiRCUS1vJ/iwddvqzsPX9Eyb6/c6KPb5zLYdXHeJPtGBFO3K55/3Q0v+wCyWqA3ND
rZHY4FuTCwjJf+rOzH9ZP7DxRq+b5bwDTf1vNFLJknaApA8TxQQLpLlD7e0nHaDUhht9ac0I4JrG
gx0K8Om9zk0a4broOEFp2sHYSyDVTbpmFZHpB4C5qrqrNO4PwFE9qU7Q043QfTaOYrAfq/bfEqnx
j+53lACwgdvPOoKyzEUwuGfWeJfco3iCzaBzBzaQN5Sjj53dmZBOPFjX18vFWqrCvCYdInam2YM7
oipSvwYwdAwnGsrHIyw+6V72QTv9CCCff0kX8+4uhf+zLPxUAzcmjcEdDoC1qo8BhzFxnrYgtXN8
szQsKgM6DG3k3vzq2rD7PZt1CC57J3VykG3S/4CpX+NsX9I25zphP7fxI80hwe/WfOilewzmWep8
EtgMzUGk464P5PweddBfHMY2WbqjXAjKcijkAE/kPQIITEB2o9uKsUtaVIHrdGlhBMfLzQAAK9Gd
d18baOYMt0sIVnvqhkMitMNNqzZzxSVM7gJHwOgm6/YHuHHa5zRcdgCTgRxeETuKEzNOAcEjdWsU
HC2dsE/tBIkrgHHtlLw1sB4QZ1yyXGQ0IjPU2LRRv2K3BO+WkKX9G49QcmAhYd8nwBZammLfJix/
L92QPOxTtbqCjnK+ijpd/+zADvbcN8bTQ28dJkSztTMIYifgf74jzCfHDhkl99sSbBh/gSMdZrP4
O2fxRx+BXQG2x9qaSk5Gtb251/jxPW5FhS9iUrd1toTIBg2NwcnAXL5tiJxwBOmVK/pMgzkbNkX/
qYRgCBuncOsysqVUHEySmp9FCsABATxuwiLcu/UN5LHjh6DW63q4eetUBdnjBQoZboZ3WBlX+1Fi
ZfVvtQZmyXSUWlauM5q3HEaVpn1uaTOBl9ANkD+iAErgWGsDTKYdIe7Fq3iYNG3uh7CDzD3QkfTZ
RLFmdp72YZpBj4zo2/fV8bFMatO+4/sIgrc18azHc0psUmwYv1kuGOshKMGY8ZGYnaan2QUwkWoS
dDSZxFqefdn8Hs7oRrUb/tGh8+kBf4X9xOWGZOxateCsxm4MIcuIKxeXcKXvuwwuAU0MBY9Q4YGC
gV5y4Bf934k7tpUTTsKaActFOkbgwGSVYTVHfVGTCI91jvcWTXu8+78Vrbh4aEcMbRg/h3m/QVPR
tlxjwO53qQELlm+c6blsKxAex8DL4dFhN/tXIuubF8g8h18a4+l0mKAKWYuxHURfLJhCgg841c3T
M+29i+/q0YVYSwZIG4oDmSuP2duMYfcL9LjBfxmipPshcd0HV7AAiTt4gj3UHh0p9qcy4AIoTHBV
MslHo9FGQHECY9RL61FdCoS0hRj0E+g98qhCobl2IMIJ+JCGzLmADLB68Irg4uQtGV/D1oRfPduW
bwhB3SnVfR3j19t7aAkY69azo13Y5t538Y2Y8wn7W6tu5ajwMzq6Hd0entCRN5raPZuDPelKs2uW
FKiTNz6iHZ+Qizm+NaYG5U04G6+WNPiho76pa2DC6/I+kgp+heNm333EeFMgzsTu56Tqhs+tisM+
r4Kt3nO8cFylCGKPNrToHXM5rEwgKgvWpUK75xCO9BzTOBgeG2GS9eRxg6clmZue5qgAw0NiVJJk
EVY7f4DFOJnHaMkBACg7TresoHAq2LIN8/1iVPOo9liQzFmG4dfhui1wRZn9DnUf51lgWJwzFQEw
hpwvfXFQp+t8GeKgyZsWmw5Zv+2Ar3qOXvWSGhUAmPZrN17YtGAcxOiJazfZh63NgCHBrrAfcLQ7
SkLsJ7ZT+xCuvvXHCn6p5nNW4PLOYA9RVGLokXwGJJaaMknkGtySNta22MOW0uuKZwF7bslUmgXJ
OK+/lgWeAyZrUnhVoWyoqH5ClEgFLV41z29wmqLPQ8L1k05q9xuPCm2xwNrAck4WX2t0CkP0GyJC
DplCJGaPvehpiEpwoSlixDyX/7U28kHutroWOUCD+JumlQc9qs2Gz06T/X4K1/HeCwX6JFrWpuyZ
Zt+Wtf41iDtl3qkFbXeaUon/JTDG2J5cgAjxf8miWiwaS7y2cgoWE91VgaHbY9IE9t8irP+b6H6V
UDjd5nSCu6A6LD1jG+R2gW6LOeaskEFXmZLAbOZfQkPw3tEUDiRDoQ2+IB3c8TN2KkJ8+SKXKkeI
YnjySiKfK4r1MeHin9kckmTWiAQD4pgJih6f4EeScdg88EJD6zE8yXlK1APD5x2VbcqqD2TS9ONb
skgg6AahjKLQQcjv0IGNwQukMuhyM+lF/c/Job9WMZY4it1WqHNmbz+CNeR9XvutI6WxtX+NoR1Y
8UtUmE6qqlddGSIKsyoY30WcD1Gz40YYed0jrk8YmzkTAfKkqFN1RsGPCkDSUS/P80z0VwDScsuW
adQU8JVbYBEzq3ErbR2A1HH4Gu+aIEi3Us0Jf4jqsf2wA0NTH0yg6VkQyx2CPw9WyO3YRc4FRpZX
qSbPz4pMtQS7M0p5gtBlR9cWUwYaugIn+Rf7FT1w5BTHOQ/tLvhF97ffAmN++9JtJHoeUw3MUXC8
n0CqolesAcM+rcl5UBCNwfVpHvEYgK6WCFSfHGo4jy1Qro3rkyaLfkDLNbvDCqfuBD9kSv9yKZq3
wfYS+MVGLIC9YCIH1J3GHNo0bCFYGLBAVIKnTj7qtbKg6eN4RCsGn88RhKhov8kQLO/tcIOUIPvu
zMnUu6kRhjIAmlRT0thDSldrD/VC4qbg4BIq6FZ4i8I3R/YN+wfQltZqsrfnjjH/rU3q8dUvCLN/
loLjs04ihGdlKsTWXVZDTmKKKB2b/7k7s+y4sSzLTiVW/EOJ99DnyogPmMFa9o1I8QeLndA3Dz0w
mxpDDSEnVtvc5RkSo1G6109lZeRHKCiSMjPg4d5zz9n3nbqtY/eaoXj7OyumXHftmFYbxVDOAWcE
qn7sZimKcKuZT1SuJmOsMLHA3rm5+BxSdiXIh6IzUFhrmW+WzpkuShaup6t2kO3ziB/yIewNUaBv
GN3aZNGkuVKDYkNEJcOsW2dJSY0yT1XP8IsWkpNoFMa9o3WIxlFW9+enFdnpll4paln3zbx5w2Ru
qQ5x2fTTmhmPyfAxr019J6gd07U1aycK/JKrr3EfOzeDTTOKFcGFgl6UCz9WMxre/EXmsbeywtTc
a2wHUEcvm+2VF5GZCjpVocKNBK6LdetG8l3L8ul2aeMWP1MjqmXd4z59z82hqFbKtth6aFgxAlq/
TCELaj2tbzHBLi1SisiTyxgj8emtt/PXTMvap7B2uJH0wcJ8BRLliMmtzIPWtaevSdu0A5VXDZCl
ncPqPAtzQ660Xmli7bFMadgY0qlUEA1aRaFG0WJvELimdpMMXl7S5C9OvR31SU2MV43GI65flc5F
6LZhchYnHaeSLAtrYmxo1hEz6qzIWFo6LjcVGKTkonfLWjJIMuW00bPU63hCn0rtwuojc9UB+Kg+
F7hHp5/EZf+Zp/xDNCrsLcEr8k5hiHqiwsaz/mK6Zfv+x5ICH7IWs7ZM06QzpejEUpxwTMNZMVXG
T5JXv6TN/4Fh/SNYlMQ8CzXnRN/aIQXrXou4S7edhxXAZ7VZrNaFYVKX0gLPLzTT9atQudmsk4Kl
pJuYFqsIeL6Xzn6yNPuPhc0+4kiZIiaVg+uWQwRbdBLn81qkP9vT8U+yK/aHRBXFv8xcC8VElWbx
mBajepmQzBff7FQND0co5KY/9NF9xJNGsXKy0jOWrRin6DhrOfed2cjbP/bTrR/DW0I3RhB/zbKV
MyFMyxj0va5XyR/LYXyEn3plokeSzdXbOa31QO9EuWEBmPhjoZ6PlNO88Srdzfm3V8IrQD7apiPZ
wpPGP4n4/5N78iPlVDutWGyccd4ysH/R88HvVXn9x972D7c7fYZRsQ912XIrfkk9L2CTdPUHL5gP
93qt+h5r7GkAmNk5ezmlCHgZ1R8icciPfNMJV4VV6+myZftfeqwi1WzUYv6xFTXyI900W+o8ocCY
t6ptkje7bvLLxqjib8sR/u11+vfovbr69Uhq//of/Pm1qucmwbfz4Y9/PU9eG1IpX7v/OH3bf/21
H7/pr3dVwf9//Cs/fAc/+NsvXj93zz/8gQE3Evl1/97MN+9tn3e//HT+iae/+d/94p/ef/kpd3P9
/pc/v1IDdKefxulV/vnbl/Zvf/kzVeF3l97p53/74sVzwffdPpd/wmXcdv/5v1+e8z/Nf7pI3of3
9u9+wvtz2/3lz5otP1mGZ7N0HFnHtqTBPTG+//Yl18bKZdugeXQhTumkklBC/Jc/C+cTNkBWX0nT
ZeOWflqu0Fb9ty/pnsUXLcFox7ThZfz2Xvzwcf3t4/tT2RdXVVJ2LS/ux3PXslzbtlyXnZSmIaXF
//14bKV1MosE1v8ae296bldmdmOwgHZeYw+XV8Rp8m3sVvEBmVlEgbBPBqG57tWTmON2U3Tj9D5q
HepEyFJftnomGx0P6Gd8lWXln4yAF7ITrJwc5YJiM5pec2gcgfGCqt/GShfTizq62bybaDc/OSw/
PEV/eXGOxTvsGJTuwnNO59F3gVrPriKvJMG1rksVPp4Mn5d9mtiMWPXmjREG7mMP5z4D7lLsNds0
4PkUnvB1qAkvZu0+V2NH5fbL5fK7bpnL+r287Zr39+78uf4fcE+crtp/++0y+7tbgkHlf/6vH+6h
09//9Qbw5CchTdv0dJM1ZMI6nf2/Xv+u+8mxuMZtHAS6yS3Apfft8pfuJ65GdtpIXRceTQXf9O3y
l/Ynm7QX/7FdxHCdn/fbv+u/cfkb/3gNOisPT/fFd5dGFJYh40dLnsZG46Gy0CcTw8MFkmiq2LFj
tzlIpTtvuLZRrEmTuBk6Mntl/cQoRHefoIF/1nTrITZR/9Es6o6yrJvabOOwohd3keXE1x0BwRxm
gjOcHH+auHYRsut1rOfel4kNUE8jmaEbV/N44vqmKTx9JYxekKSqavd2GdG28VKhHZ8VTWod2mGK
bqLaETWVOlkmn6mQTexP71w/wp/rrImO1AdrkNFn5cpwZhyGZY9uKQ5NDNs8YoRZzzd2Y83JFWbc
hFbAUDnGicbx6gCwSVquWptQybrP26zB5uuWdxnDsWtiOcuVWVbjwcCwzzQ3b8hhqNw3Frs8jzE/
PQ12NB8s0/TO5CiTHWrbuMrrUcOC3bKDQyR29RL2bblh282wUqzt2mYirs5ZbzYdaazjAKEOPhLi
WORY8blyCiZMoiMiSvJi6beWmuQOz6DfQ89Ye5r1uTHtyFcuA7IMk+5utiwC/7md2F/yRKt2WRSZ
Z5MzkV1S9K+dY90qNbJ2I4z6ldnrCxt552bVuB7JAdM6L21jeg1PU7dczvOFmeHhdPJuxpugmXe1
6xDWsBQNMi6eYWvYmrcu3EE9dLluHRSOHgy9Y+fsT2OZxq/py/aInBMPxkFcwgaW9zqjyo2z9My2
q2y5XgwPncRmMBCYGk0Q8ce0valpf/HVDQB9VetVLe6gmDpBy9i8Re6L60dXR5V2u0KLopXG+hdE
B7dbV0NmHmNGXg8Oout6MPUHHPbDcRaZeT4SgXsIh75c6wuLIuBNgwhpaoVtFifZaojZBWfyBtBp
xjBKCvshrRLb98bY3Dk22hwXJUcsRm9niH20pBGRFuc3MxWLHgGWmBuO+Bt5MTSulfnWxSWayBjN
9DFjlTCgck8LiEwUgBrD2Tm5C+1o4KvKGfL0DZ70uSnadaJGXe7Yg0K8IEoZdzKYDG8wmJT1ZrFE
yL83xPWAgKeMy36ecFzgGGeI1+XSIShrpeiyENRG0rKFOI/YNPEZedTBKZMXQ73ro0ic5Y2l3yWe
rVE4lu4Y2B0jUx/12xQ3DTZgZ/AJ1shuo6lUdCsN/UHjO1V0sLPMJksQW9VhZBayKSP3ZLAUpnYt
Izw0UgLz1I1fbrtR6efMzrqHyEvr80S2rsaLrHq1sgQLcBxWeG8N+FLFDktsGYjRTM+1fox5Io7l
MR9001tXzOAYTfIRAZdmTckGAKmLajbHHZO5WLvXhVGeo003HWZT/ca0KsmhpFhZFZcm+oRReuPe
tgZrb4S1+OrMXnjNOuKiWc91J+86JELSu5isxDoWs+sEIXlK9NcwbC4BYgpyXBheLbwYtczYTdtP
rzSlLJt00XH9ttPyqzgl6dsDkxj8NBnJgE1t6/S4Da3qcpFCu65sApNI0idLaRyR2Rn7al/bhW35
fTrCSq7T3NEZjabTyDkciafOPaWhlTeWB6Lyy0E3XKxRXTJxp6b4eq+4uOYzqRyFN6ha6nSd2Whu
PLpTb614umBfgbCwa4ckPhr4H646psfnoa3w0eVlZQg/7Ad5Ng+ZLrBzZ2lQ1q47br22cPahxl5f
vwXNe2GFwjnTmaAWq7wQ9r7F+bMuIqsKMIOiuEhIR9eoSVhZPOxhe6EN6HJp6SZHF9LvWeFqzYNi
X97M/YiPx0/C+aZq5T0LYZJb2yumL7VrK2BJY0Qi2dLkbgin8f33Fx3/uAL/oWTfvlenKrf9H1CS
CJ0C0fH+ZWFyfO6TJsm+r83/9m2/1icOVYjrOKSpeLyeygmqkF/rE77CA52yReci11lwA/fnW31i
yE/UNGyXchkDeqYn/1afGOITiSOPmppvNC3qlN9Tn4hfCLcfhSAUP+uDLhIyoB4rFLttlI/n8Jc6
sB44neIhf8mGnKwpawgYxSsGiElC9kOUPOWLQ5Uxg+YwjsQ1B6/mp5jTg1APnyNZiZ0DvmwNtghH
qCXK7ULwTo6FPGJcxv7KilSjLR8zW24877rDktvE7pkjmm2mtLvF7O+xYnD+51dLp7ARs65g5WSX
jJrmIObQconOG+4NVry3yQaIZIE5wIB/n6XlqyqMfeSRUZjitDrjbb2wRXvWkTXxC7dRzAIoothN
t4kM55j22uQvnqQpAfHC44pfhhlkFedsCO7w2bRR+6419Y2XjwQ0XZ/dWwpvRnLkmfQwRMtlONs7
Fb85XgLHjmAmgc/bJWTqlz6G8de+ZQRcuo9jbMmVMyUPibhUhlUHZj88WyG+b726b0z5ZqXjtLIM
Igz6gmO69HkWp5RDrjxvrEw/TNZ8CWxBC9oI67fH8kefBd5PDHH1fdJVIpjl+LmorQtW14wHOrH6
0SFwtpqwIm0x9DdPgDtWA0wDoAhQXgMnqVqcr5ZdrkJUmNSfXBngG4230lEmoZ2lda8WEhwXeLn4
i6K9K7KxPZhMk3luKvAOVfU+h0l9X2gyubcrcpGi0s9yInuUB/MQDL/tCfldDc3/ZxrAiWP9L/qd
pi/fk+9PldPf//U8gSHxybA8soc840/tzn+dJ7Trn3Q6Htp9z5Pi+37H+qSbnDUEfj3hOBwtqFjf
+h2+R4dk70HGx2x36qF+33lCW/O34wTZ29B59sGK5tByWXr4oSNm3Ygem2Is9ksy2b4R3WtNNgd0
Q4AlvfnzaLqE0dKzbNjXOju5HGagMCnqi9lLf7IY50fh4du/hD5OksJDjzc/CHd9G7NyHZf/vs7G
PUVdSMrcTL5YXv3T3eInjMzHF817iPYiHZNek4/k+15Ptamhx0Vf7Ds9pDQqAznJM7iexs5oYrGp
Q0IRRH/zC01EzWpJqhmdL083i6SLEX3rBd9dLd+60O9Flx/pRr+8dB4dKEI6DSwN8Onr3/WejqdV
M7YT4iDV6AWR5T1iO0qCpjb3sU2Ci0xQvO50+/5f/9rTy/zwNvzwa3meff9rNTszxKzmfD8yj8IZ
jt1OZK2xEq77EzH2H3y23/8m54Nw2qMN5Vkj8n0cjy84JuABD4i+i/OWJz99VfrpSvnb6+IqpqJ2
dfuXN5OP9yNANmy8Rm8xAuy1PCQK6WTOejTDfE260K8b6zOd3BZV52sT7qFGBFF2qGNTBqzmfJQY
1bYFA1QLz5lbi6DHdohBm7HhNu+SmUhTCU0Cg4RvQjmpI0WSd67WZG2rG2FJcdWzecxnnvmCWn6p
sPz5VSoeQz58PsGK8lDs4ni458GpNq3d3qeay4k/9FPAxpNhLSx39L0k/MIBMVyTxvctDwt1ilN0
PUn3gh5JBqMRVp+bDnyM3w/lF9lqF3OfVofZiO90PPMbKx0etIF85Jw4ATyaW4GHmvhlFJ8THTj3
JnNLwLf3Q/RfSteRFHV2YL65Adnm7hgkEAGbiJs1ETciwbl7O49PZXUxBhVp9FsWYR/xc/OsJ6TS
GJ27QX1o/T5WvtlgnSDat2mT7p0O902JaaZrZSMVdAvur2XVa/EXd3HAGPSbatRpJDB8N8YUuDym
sOA9ihJUMUqpH+nbqn215Ug+SkvCHf10te+rusaq19a7qfV27SnzaiaPw9xdEtp5z9gdQ2LBrrYu
rSBL2GdsAWZPHJMm3uz7XV0mLh2DcR+JacuF8qKFsea3ivRhnz+5FQnTSNFQdWq7tAv9fE/EoKDF
9BubYCtTyke9C/Xt0HK/sDgDP3ALgATd9rbBWAQCQV20EUEIFFtcrVlHPLENcdMvuFlN/kJlf3YE
14U390WgJ4X7uetJq8k5fZKVjpuSBhCDFT5cr+bMATK15k0n9DjgQvLwiBwm17KB1rifNXmaZdre
Q5aO99YiJgQgFKm5sPJ1arSrcmCnkUePUTvTbjFwNdpIKSnUYKVPQan2qaNepzSYPdfvM9zRQiek
TKPosDq5i2NjrcXdAXCc8AmdHfHtRLjY2fwBCILw1fUUk8vpW+eyaN1rF9kBy6yGqamT3DVFsHTJ
zYJhYp6Sca1P+Q6752cb/iURowOnMwgDjCmqD6YUU11zbMWt9Mp9NL1FsTzL5bTCY7QlnFb3EEw1
ln2UL7q5rK2h2bthcy7ZTzLnTyTqSbR1/qBru0jcRhzo1WgGcDd8kisY0nV/ch4ncToBqkCq8AB/
dTXnfUBkxp0kuZT6YeJ4dXVsUNx+UXWFw4LUsG7ZB3YqbA2cANq5axESxTBmZhd9Xp7VJITt+CLq
t5F7EwGEMpol0Je13iGETU90tX3Hq8v6s15dZvWAG5MqVj1Z7vxsxs91/6bN7aonjailpIzeOk0P
cnEVifsF0lUxrSdCDbq8YtEx/3VaeRr4JKLT0VtaIlHFX6fFIWGyqbs3TF5r4q1LoR07OWzc+jAV
N6WBSd4TwTj4A8wLDGgrzISm3V2UjRUYmrOeqLY1JE6owBtp2IHmPcb9Uz6tieghdxDgydxV8sDb
67XTzWSemKbMuMeLmo0qYW4G2KX8GMdsBfApzvfLfKuRaJX60cSzHmaQA5R5SHSPVTz1ITXYaRZx
CQ/FpqJ16asYbMmrVVBKGw6X0Rb01xqwwcYt4ks5DCua5sAevXXX9MHpvSzYJZOM9gaO00piNikK
tniamOe5TT1V4mnfGIW8sRQJ0+i2dipM5e7ark9+BbmejHij1LCp52HV5pFfho8FhuV+CRYPgjAo
Jtz/h5lMikgkjAJ7hU/l6MrnpDn2CXyLRPN7Tz/rYrFTOgntkMRAaZ7LOP/SoDKSyggs/Wwumq2l
L75mN7Bn6DeQKUpS8nA720bbwW1aKe0KCzsd5s1pdj/qGVg1Gcil35ijIhz3zOJKmwgnZ8p5SbDS
Ni9T+SRwwxSF4Kecyyq7SZP4wmuex/IyKtm8E71albvx7GYNyAtqHHlxkn2Wnqzx36+c8AJ4+VYW
ugXpxDJOMmKI4so/W1m5t6XA5QNLLW9tNPkO0OV+BAW9qUTyVDYn1ASZGbz4Rrup85boUeQ+6lFk
r4pOzCQK5w32XQRFAm49h8YyC7GZipOPI/qqCMqPUbwcAGjdTmbkHcOTo6fKswJYHdrnwOow96sh
h6tGkKOyt5oZuetEa46VrvlTx9ZptoGtBy1/DxcOoLQBR2CNR2xkb9XQiB2hjGtiUmdgNM8EeLeg
06Ptvy6VyFX9XVFBGsj0DNthfuSJj0aMRLQWnAtP23VKW48s6wNLtsPxXt6eWJFBFi/HrO/SNX4l
jGBUKJYJZkXXj549qq0wk+I4T2qs/A7AD2SyHqzgfsjbjWjx3Cb4Xr30eUZ0w34J9eMtXJRpr11O
H3K1n4vBMe6UZj/gUIoDj/tW1G917pLRoYXm7MvTu6nD7coOwekihOdDNkGem+nem7XkK8Zi58ru
l+KZd8dRX5b6stGGgJZ0VWEk9AsQAcDayLFBUjnDPCyS6CEyvGYVIRjG3oVG5m0Q+tloOo2fChXU
i/ewlBkcrYjHKeKyP4yfcSStqqHf204XvlSAYGYc4bdCTN2RXQrqilkahJhZ2FexatLzGTvYSh9c
zhD2JUIMauaXeE6rh2SuNuDVzru2u5CGk113tquBhyseRysEtDMStMVegejKnLFavNMCo8mP4CXo
44Cvd6lepEukGKjjVejU96MRm4E1N8DHUpRUGCAJa8yZwnDCy/lSeriYCWbDphnjJrDI+GKm9MKj
05TKR9LREr/2smVVVIrn7pDrG9jvTykGNQACoJ4ZQWjWShtHHiWyPZS9Pl9XnXioJAHivtEPDbbN
c61ZuF7d6MLBN4lE7b05oBkRywvyuAr4NxFHG5YCZUlRJtXWG2f3QOFlnmhJME4aLUJn5ETmCOFs
8pTcV9UAMMBoLtt8qNeqBA1B5iT16gvOwbNpse7nRRxK3YTylGTBXBRPhkOqIO4eIRCaq3aZCWzN
JH+Mjts6k1JtI131a0HReg60KIcuh46MD6B5CqWF9utNgk9gwj3IJ7lo17k39q8dXtbb0vAezILN
gMT9KLTNx8gjYQ4C4IodeGeTBQKyzIdnGCLA1No6PU7V1KycIbxcsA+bBWUIaBBfZmx+6EEIwPEY
TowWKhGJ0UnrWCTWOg9T3lBhGMOjm+aqfMIsac94KSvFhoY58w74u4RDyFyCU3Q14EPIYi2RPJjS
1FCe8tprYFyAiOjwXrMWHIIvnWJ8zyWG0b6Mb5daaFwKSsLH44rRredUP6TZVqj4lb2niRc4aXTX
d339XOrwFaf6kuCA3wG3QlbPol0KcNJXwDF5Vb25t9qncuR8WM29MRNt76qLRvTTgzOJQwc48CoT
M/QMJRhLLwDlery8Wn7MVFCVVYSNed7XGNIPZXjWz+5uymkVNPNcaNajiesWw3BiEcwyGbzIYVRr
13ySCGnnNEhUTf0caAy3gtzsVrk6N5uyXJ0eaIsHfZaqoF3cteQ24sbet4zKwurQevX5af5Y8bzM
ifF5mH+59z3rq0g3kBUxEA/mi9FvNagVK6Jwg3ipYEGJCZRgMfhEuuRUBeUkfEuBeRyJZ4gHgAYJ
/K6hqm8rjL9ZHu+95EotMw5b49gu6ko2xTna+lg/qOFoz/Mqo4ow5bM7XukE5XJ32Hgs2YCT8Zwx
oihIb1n9az+WkHCybrsgSipu2LJvzyKXoJmELhHJl2QpD0SYEh+0VXR6MoJvsWt71yrhq9hYpVNX
kLnzll2V6CpoM3OjewUaoh54SUZmlh4pf+zH96I9Gh3xl6TJV5HqfI2Ta9D7YwQMKCvtQNkjQw9Q
qw17zE81FWX0mpm2X2t7Bf0BOFbKBtCiOHZJvjPNz4Vw1mFibkwi9af5gqZMSu88DewT+mNZtvl8
53BE9Okl4ZsjM0UfJEQeJy+G+95PZ2mZzhDEzHxbD0kNziW9aKZzLaQMm5QTQK7LV8B5roCfrJd6
cc+nlgcqvjEmOMU7bAjjlCoZfcZ1F00pjmYT/wFvw/+NFPjDMOKf/qD/B01DJhLHPxcMV8/FSzU/
f68Ynr7hm2KoO58Yf9kWMwhOSPvErP91AiF0+ckgFe3ZhnEy+Z+8E78ZhMxP2In4mgncywCtiwD5
TTEU+idT93THsyzKFttxnN+jGMqTIvg3dQWwCklAqKaeYZCvZQPfB/FMcn2SDhm6Xdak0T507DL1
47ZdOcViHVU9jFflaEV7B6bRriPBfHSANl3DmHVvpzClke/H/AqjvqRYttpXTeXaTjkUohASo9FP
cgg9ymus64Gabh1NMFCghWz6xsx/YqqVvCcfXwpzb93wXPxwnvdxptIPXl8kKm53yhuSN6NpwdiI
qtobIxwqkIGkpZI5I9I4W0eDV/1IcN6GNm4715axJNtp1sUFogsLXgtjZ7IYZlfLtv7C+FMECftw
t42RJLtfzlxSEc2XsdXHV3eykm1FbmPPwHC61vsq+Ykx94PP6ZfPyEFs4mPiEjKkdSpmvxMU+6ZS
7EckjNI4aQGNZSqedZZ1BjV8qd08zQRcpd5sYTcktHOsIWcshAoWCZuhxJhs+zTq6/V3V/jVr1fI
9yLn37/ZlulyvWBfs8zTvPvHf1Ouw2iHQtPiHeA3NJ6XrqOwbs9Hb5SbxQbkgVk//knd/g9+qWXZ
rseeUa5+8VEK7GTfd45WY4zgg/6SdLWW+8lCRboSLNq5yuay38EIAf72u18s7ADuYURm4f4yKvz+
A2A3jRWVC79X4THwCfJjDtCq+3RquDr0qn0C1/sTjRXX+gfhk5EB00zPI43jIAoyX/jxLbbr3CS1
mo87p5wOOPfaBiZppB/AL3dvNCfGq9OE4ssI3YrIpx5uWaJV3zWNGZ+RmaHdKDqSnga2g3479q19
r7mMFKsEBIS/pInXbGvyVvR32pK496SZ0xXMluk2cQHZ8Dh+be14wmWB1YRCGgrTYjc77CEhUWeo
rw9sySM9Paj91JAPS9K4vAtNdwkMmExP+exU28yOnGfClH5TU9hkhRm1vtHiXuqcskVcLAbrTDKX
v9M7FXNi1K6FJOa4ra8tdR20GsGcuFhOfzaiCrpk5c7JmsVzPVqYNW0rzjPG8Fb+zF1nwmL1wLo2
zdDtWdw+a7t8HsYnTWattXZ1s6E7Lhx1A6W8fBawg1nV3oSTCcMUzdKvyim59AbUNKIi3aXH8qY7
rTYMYC4lWChvROFNmV7MZLP9sJiY3LFr+kBEKz/qQKTnVcEsZFol4H/eKkfpG7Jbza6NYecFtTy5
ksLmIdObR1PZJJEiNLjSZ5ZXXCt3BqyKtnSXYyI5Vo1RkdY1WPPgtty5RtzY1EEyvh76eGxpXGYH
ThjvQivA4oF5h/vA/PK9lXl9bhKT2hLuNFYLnYvvFC2EGrPsLtukDDvmsSbYrK5Ku2y1WFUIBEtY
hyhOwze6FvOOjcDW0SvIxLcTg0snbjTcaHZ2ljpmNAZdhDraxyK7q6ITPcFr7WElQ9cDrVMaT6JL
JG0lgouTyMCzIidYGu2KqHS366BhnCdTtAVxY12VFpaKktzQQZqK9E7VHrBBvcyZfUYa5w3vTrzx
ovzSYB/XdkmdLBi0FqYHYPcbIHLFJrK617ZaTF614657Od6SqlHRpkasdXgENHhxsvLOlV50y8ZL
eEJGq0CPusN52dcg3esklitv6dw1H3O8cQoTaAsU0z5E5jNBQGbhfG2m0kSm76crolMtSLS+uwNb
4riBw4cBBKeoCPlFNffgYnonedqbw33U2x3S6+ISma4lileWRmSOlbmz2Dx46yy68TKlyA84bdAI
W228bEwDKZ/FXWunphnuo3reGk1a2VtPE+lVSQpoI0mbX9pjA3w1Lt/CQYuJNMVhkHFCXIIc19hN
BK1iyJYBLYvZXlPrJ7lxnt+ddiZF32dPiYelxiyvurDbm22lrxiqPShdXbZK+yzhYa0nb+jXjNjj
O0jQ6pCWqrsF1oeSFTPppynb6QUPpF2TO5TM9ezF70Meqcu+d+AnWkYszxGrENzYsV3vjN5JAFhW
K+Wmrl+2yWEuw8bv62yT1+VVirt3L1zNIIJfLNOtzTb6AAwed0872GttXqyNlGn+qAYvmVc292aL
vwwcjU+cuvT8pnBJusqo09aDMRr5uiGyBqaQZ1PAqVetirmMdxDxpps4LGlIe5fgN3BMXFh9vu5N
GrE0cb3Eb0zv0PTMDc+EYS4PIBftVWsmL8PU6FeD5Rb2bmgN+DR9Zx26MT4yiZ2zlVAufrkk0kET
5t7FINLuuk1yfHhuGF2WPZMUtigfptK6L2U0XUGdOJPE/zatqc2Xo66mg+mUL93waGqhu+qFecxm
tjn4rlklX6NMu2uBmmypDVhxn1pLQFabFCUP23Wk6st6RNNZVGXdgTAJ8ThAWZblcuE6FZ+Am8cb
OYhiK3hqvQJaLC5tA+Kl6wHIGMIwKyGY9PmsVnhkyvSOC9fZhBR/O7exInp4obqLzF0iiD04Iba1
Y+iHBLd5tDKpwgpfVIq+jCkVDhbPTm/IKE33eh1WZzoOyN2JcrvKBUYUN3aOnGu2r6O+0oyWokGr
YGCQNYzFyDLGAR9l9cA+Dfs6xKYVGCcteWF5dudjoW1uzEbHAcuG332MY1/2YeCm2GHHam7PxGBC
HlkK82KpwnnbStYZd8tDMfd3XjcwCZ7LQwcRKvGXoq8ZYRQJCVWx7I2IqUxqweBL20Rf2eXY8XFo
Dea7avzCs0Rb22qGc3qy45DLmc81qNiB0cirmsY6bNPPSR9fF51GLMhtivjCBQS+LYS0dmzzWPUQ
oW7SVlerUOvyzax4bgE0ah/K1gGN12t8ShPeVofhxtCySSIUr3kGuTExkvbG1bXihoL1Ho3cWmvg
uLfs0rCu5eJlG+FA6Rq6xoV3opjINEO9r2TtnaVwv7aYbgffcUNU7NgGFsOLcwwjOUyZ/BwV5X4k
4ZvOXzw8MGyA4Ng01NdkdK21vYRR6QsTwRqKObHvr32YXGfky3vFyMp0cmwwocs6FUPrXwq8oasu
x+nIgqgTY5fjaO5fxjokCO+hSvbYV7wOnG3uvshqwEs5qHFvaIl9iG1lHTlux2Pdiz5Q/U5ZX8PC
tq8qWw13BU/TdcrmQXjXUYgIgCa0lKBelBwRg1rjmhy8/YinsFprqU1/Elv6Kqq79CIHxApA1/UH
jf8pmwYINTOwwnmOtG3pinKXxCyEiTXop672WEEfhIsOLHFIj8rkGT7QhbM2E0uQ67jXSd5jXQLX
REJfQvH0KoHQ4MTjE8FTGdSAWdeL4dwnWXPXVd1a1s2zIwcqkmV5q8fmFnBzdO1GeMUdaZ0rVbUB
OepVWAl0PrdS55iFINr/H+rObDtSLNuyv1I/QA44NAderZUJSSa5XC73eGF4F/R9z9fXxCMqr0S4
STd4q5ccIyMyMQScbu+15qLAvi21hAvEEzUrIHJXEyxSZwKIZnS0dvDQol4vkCCn8Eu/qonXHDwV
XLvn2PTDeuuTrsVfeLjbXEbWp0TVW6q5pluh3WX/laCHKseIqbVvbg0v/Oqzu9oCQTG3fqh+iC3z
SaSDuve0pD5bpkIWjTo8NxacQ7h251rrk21fWdUxtIo/Ox+qcEH+NpaXa8UrXFWNKDBjf7fYZCU2
q6g41Yhpa8TTkR1+hhv7UBlDT7WZiq+UvbGB3Zoe9N750lCA0ZTA5hmQQjgBxQiL8dto5YfAksNB
quw5EX/Z3XhrCPsa1ohxpLoHKzvxrSsBe20XgqWUTRPfOLEOvNfKnT+i2nmsnbr8PJD3WOTyS6UU
z1GdASSuaucB2sGRLjDZ5Kb2ibiKAiCrua260HjK1QEkVtdMh8kJeoZQkM1sFYq3NcraXIzdyWll
4CaeZe1z2x9AzVLkKyhJEUbwcSJVYqKZwYct5SaZOyR94fxoAzJle7Xa5xSy8P2qroIpAbMtEUZQ
EU6qTU5OhLJiFycFfXaq//51RaXsyhrjc85x3O3GwXgwIc15VRMdiWJ5dNjRb/BSGx8KXv6pxeFw
FM10stL+PvS+yZhuLSPgEOexR3JIINGXe8QG2BwDTDvjE5vC8QG9XUepF2WK2kC1gnaxRW1HZINC
AVxvTkLNDiyst8lQzwk6+nVrh+Adiu8GldaPvseGqEfldx+jgt0WdX4fDDkdeDbFdRZ+LXkwO99g
FJaj89hy4NhnXRVekegT/oEThPFbVbuiwgO9zSrNO5bjn4MTuAB3G84MvhkcEwVsyba2AWl0Vnc3
Eae3LYqKbWFxyHoMOdm91k+3lEzCA33i6rqNYIDlQRPBgBysm9y6GfLYOvYKGzChdA4fptbCSCa0
Zhj8jWoU0EcVJQBmhJx/awaaf8iRIH41INVzV42+5ctW7gKLPqUyaidrGPc1+5VN1mfOIzuKnmqj
tWs1mFqZU9ET6os4/5IJ9IgFBo+NGImU2SDhm06RsAD9096O5bgJWh3OSzlon6g+bAf4JqJv0r1Z
q5RD9WskjMlnrUrd0Omtq3BOZ6jZw2TwfX9UTnuSaAuyJ80G0+x9M9txZ5STumXlNXaqBlXTH+A2
pWgMKr1C0DAaJyCEaqocI5gHzGjFvT5SA3as4rqaXKurn4j7OPYW50Gle0JP7qI3ue5MizVSBh+V
CIFIkc52DTJmUbgcPdUINkM/9ZtID2b8UkmlFw6dcgA4hAAGuwg6KAx02yiqoHFmZXrufsFcgu6u
jj54PdMeopEuGIjkoe7tXJF78z1XAQd2QBY9/bF3yk9YQcHDXpMiGtGCxCfffBARbOLhK9GfjF2B
wkAM/rS3tcc6GditjW6hoSedfZEaHRmPPafpq5+YO8F/atcxzCt8sFeNk544zIJSeSplCnLc8tn6
2vde+NTFVcFINk5WWwHKZOZJq5PidEct+sggI6YufYazm5/CUf/qG8GdZVznaND3dvGHNajala1/
KSIyEboKop5xD0X/SvB1/qhBMz53aWbdeb53MsCqbJspBoweFY8wcR6Z/mgVQ3cwTtLzbXjOjpmw
itsjh42mbTZE8KRiY4uYicGhZjXReWmDuPgzTOm+R6N3K52ag0+lHkwph6ekTncQofKdKtHcDr2D
Nt9G76GIEiS5CDh/w0K4gRErHxSmNmrhpCBsxxI1AJCR4qYf/eCHDaSJPgrg98Br/BtIujtvQpic
kvNNLpCFnCOgJL2T4M73iWDvS+pKs83TWaUj1QdVNfpzZqj2GZAnXgBao2avaLMcloyDKeuPkdS9
XdM+1VNtXXmp4LBSKTHF7ER+wXtAylM32tDze637nCS6cqV5ivOYDp9LaThwVIL+I2xOpEKtRg0K
ZORDoXez9jdoDmpkxZg9sCfG0aDayJsN/YTMU3X7TBm3Ueud9aBnk6hpQn6A3Gye0ry+oaFkQKZW
qh3MJSjLqkJohhk0px4f0G2JF/egy+CPCArRY+r00YlQtOkhtWepUWCaAtHxaOd8RgBqOXr1496s
FPE9pABhWg01syYkb5FGtBdAlMCH1kNhF0XWn1LS5x5VtbWuhTLSZbTikSWDrnkte/9qBBKCFqC+
TYfRR3KlVfdyskYwf4iFsOUxY9hqdOeHhuMSkBRfadZw6r1Su0GQjlNGTsVDqMzIVew+4QZJIvRU
GQ7d10bVTJwzBqcbKzI5IJdZfCo5fx/iGm/oEMMtBFfgevro3+imb+1Ds2h/jnbtfBdFBw2DXjF7
PnrYYOa0zLgpSYLA7w84b1MpIy0gX4ueBkOE1lZoI1sBBOz2Z6g/GStobMb3kQ71j6NL8SzySf04
pjO7HJp2cqcLJb0nNiv96mQZAh1IFptJV4z7kHAS4IJs9sxUopGIM13RST5IAcySf1LTEVIeiyzu
XVk7goMH6rkrD2aReshL04t3YGHZeOQjZ6Y2FafW82yilsNvsmrkju+xu4t08Sz1Sn5NOedvoBUZ
P1UVEgWqt6S7o5RLGmCrdNmJXYfWzTXQnnUvmXHDKhC8hMISQYI9Momm3RQ6EQ9blcfxh0DP7cBo
0vAaThwT0qJ/hLLx2YRvp5EBtQ30DEQcuJ52O2kxXc68GJ7Blfm3uh3pB6UVH4OA8I2cPuuzpzfX
CXXJPY//kw8mfp/Si5ae4eD76Vo3VdGNJwWnd/br5qkdSy85pV1THiTJwEcz6eorS0wP1lCDTHYA
M01R/aklt/uOHe34UGlORA9WiT90nP8OneStzLEyx9IJ5G3ij26cVQZtxT47zcdxMCuTceYjxUlg
haj/QfT6904QO3ewbjfqKMctok3zG28x33Yy/oMTePAr/gRh6aDJ+E6phH4EzxTdQcRBiCeYHzHj
BaXY+XT9ym6Mb4Omqa/0sM3uqy5RPih46Z5ZB8rHPhMe6O+QIvVY675/7HoBYsVSoxR9hhIFPxDs
1jY0EZg1hePEZ87u8ZZDjvFz6NX+0ah0AuAMDR6co9DtpIW/NcLSvlIUMpVUxfY+9L0nb7Q4hn6H
DZuDsodhnlmWZCOqfQfslrfpNGmwiwb2axn0YXPHapOUR7IUxlNkwDKeDJKSOTfEbHmiPv0j9Njp
d5mvXStTEH+KO795+lXRR+nfPJVTr5z6wKmeGz8oaBnXM9Eub+/MQW2DHYF2+Y6agOkqhqoc1HHs
vngQ713DGKcD56Xbxk6LL+3UaHdQb9Jwm3Smt02m1HwmchDlUa8o994Ad131u+ILYXL2LQdqvFha
5TQ3GpCSinwP5GKbIm2m75URU48nZAcm3zTYbg/5474kYGrjtGG2L7WC2k/jabdl6GdugP+XehOx
VViuktsuIEdRrXVjFuxl/fc0jryDhiAJsWpffIlH337wyAC8irVC3ExDRvYNKYrdnUNgcLCZqpTS
7CQ8YgyaKW+enCZOjwkOLQJtIrVHg4GYAVVd4PxUFI4QbL4Sdp4B2vfW6L+PYEKBrY8ZtKJWfgj8
kbaJYhX3OOYM4CXKt4E+MUGXuW4SlDfqd+WoVdhZcqxzYiIhArivBDpNOz/Sij7blZGa3yPwim8L
gEUs7iL+RsIk7fo6tR+KWhOnvrbEN61UfQyUmrkfDTEdBjPT7syMRXh0huKLkvJf1QiFL+zL9m5s
bMiaadE8NW3o3dS5eZ5jDp70JG1uUpUYGgCaKmFcrZnYD0kgQjIJ2uxoQkgNNhTy8hPMRZhdXpYe
wgLvJ1ipgkIwR/2nFlAtnKGSNLxN2Br+ba8b6bZCnfCY1iy3R8IXJozISLfYdyTT0Qx1UkxrwFVd
1MvvDeBaZ9PKpvhSjN6sumyixtwoEgyp2mXywSPDXKPMnxVfcI3aewhW9lf09IIgPo4MRy/IUK6a
aWcdIOiZdxmIhydjoEK+82ts/Ap621MbEHqpCLLGAkMbryyL6gjrOtt5HYnNxvIj9S+syb8ywPwv
zHUX+9mvut7/H1nwDPqMl5vej1X4f26+ZvHrtjf/l7/a3raGUU7qwBnQpRj0vbEj/G28c/5jCoKl
/qJb6C+4AM5/oNjZNNkoqqgWnjz6f393vc3/4AfTObwJUwW7hqXk33S9F1YJAz8/dzV7dXDJoBRf
NL2LjBgf1sFhr1Wd+eBYGMgbi9wcgKhw5V88ld80Shdmib9+iwY+jg+DxrSzaJSGQwK/lPr8XqKR
QTOjZLf0ttIrj0yb+zgS2l8aDT6i3yM/fve30am0Ndro+E+MhQ1EDgyFTBbQRnNIkV1vUOBN45RD
IVDpt/+0hdHl158mpUUpEx2lY/yCj7zoSxuhhEOHnH9vAEy815S6+kZvsf0oe6Ehxkk877aK7BxR
XFTVcv/vfxzihNT4aUFTfPEOByV0avbMwz42M/D3kmhLiIVqhrY2zG/Bq9T3qojsU5R40fe3f3qh
mfj1d+NoUunJa0LlD3/dmBXALxVTAnT1lCi9ZSMaX+lFG77TYdde93/l/DMcM9B6YFNVDcrpr39G
JmMCprAZkJHj58jZMd4QZE8kTlqKRwpv9j5u7DzbWMkY31s1Z0LEuSNa5I4i3L/+izVB49vADWvS
i144frzGaKIhxWRQKqg4qFkr2z7I83f4UfOn+UKL8usPBoYDLIc/HPXL4ld8QSsN0PCwp+o4faK2
NSKmqskw3FQgnuly9HUWkLBr0Q61dNv/SHuj0d557AuNwa+bwNurMd/QGpwNvq/EFsg+UI803ITT
cgC1qUd+0kd4yqL3IwrkZGFmMDI//Pvna0imIlwkfM9Ly5hN/V4ppmTcw5oc9r7j/9RG513V828e
L68Ovj3uwH/+iANjgEQPs9v3BQeieJbrMhOt+FTot1rM+7MHB4DR6+dXtUbBEXr+VHQKeG3q03b0
rOT6Xz8wpDASb6HDGCTW+PWvCItwiE4DFTrEVDVr9nHbSqTOO3P3b74FqkZMb7ZEcgKq5vWvVJId
saF5dL1rm7Qzze9QFrdh/jRaurozh0Y5WtJo3vkC56suhoEu8Kxrhs4Eoy51THrMtjasap5gP8c2
QTPY+h2zDY5N/Z0ZfCktmr92vgRDsxlvvKvZmfpS2ZJQmEUqDa+RsjEaUUB0+lfbzo1oZ0+VquNI
NsrsOGhdTIki6TIqqnKMfmp1UZ9JFyLxLANJP5zsnAzz49vv+DfPAZE+6vwZH2Rpy0ExRaMe+kJv
9hX17msO3NmB041zjbwgeOdF/5rAXj9zXqTBWuYY8ABgArx+Dk2ndnVOvOfettQtSNAjK8vHUOmu
NdW/Id6HHNtI7tMicGPFK//t7Grx02j9BHMrBt5ZIfjyJXStp420wOlXS5M8aeGltBQomL/9OP+x
EbHA1bKU8Bs65IJZofjqV2jJyyYsmv2kkI6WQ4bZ4G5QyW3z+6NuK/u3f0780ie9eqbsvalK2lJY
CF8Yqa9/0PdwnzZKlO/T0QjAawx00bYqu4luUwcN+b6BHYgfhZJTKkDOliA5TiQCOxUpK9asXg30
jV/zNR4Em3z/WsA9BXtbWu0NqA4ENXR2Qas3U6ftfJCDhD1QGuYAIZACUnuP6Ck2pocwxxvmMwsp
oqjPJbiT8BD2RWfdSLPuflAVBo89gS96mIbAG2+myUmd2cYY4hVCPbRrU5uEzSaxhYbiRm+1PTUx
EB9VBQofHbJJQh+xmKG+I9EjCu6hF+WjO2W5ZXP+tTwdR97IXw3/JfiuIZjg/DROg8Ipa0ToY3R6
SPKy0z6iaIgeY9sbfIpiA/qYXpFO+piBEUD1k4A5x5+XGaZP07BjWijsMqcR78/AtaYGsr5tzT45
20AzCJzO4wK32dwMtMEJfE08ADqgD8JM3cKYih7zoPSCrWfK6CvUaLCNlReOP2s/jUh5IffhJ5ks
pFW3TLTqlUJxOzh5kIBvohnyvyHuLTf3YNSn3dzUpi4a2zHVm7jF6nIn2sknCAyLUX5DrRF11AbS
okMYmA/AIrnL/cpQd21nVjRdnE50W3qC5BsnLYvFTpoFxz3yLtr41CnkYJ6Ep2R/AAWegAaBNI63
c4DzN0RDWnCiIBDLfU6Z71Dpnkr/3tYETpNBPjcNUmp2D4RA78kRiOwPZL0QZSoboTzYSkyAeQ7f
m7CrAU47Udqc12dBAm2oWGtUshsQYHWHpiK8ckObz/laWE6bHCtgypTOE7siYYyqqXJN9Kchuf2x
bbZZo3m3RtaNnovLk4C0ckqUayIdiDYget2IDo7ReLmrdzDwd4KppkWj4xn38Kz06pqKvFlsIJIZ
H8cEK8S1jYhkpJccV42bS6M9p0hx5joAvh7Cjulp8gWPYmsTy6ruM38Q57AD3zskZQ1cChnCn6z7
4zMTXJAdQ5OwdX/MoPsQgS5L/Bitbh2C2CuJqkztKMUCloffG1tGNI2zsflKe8UkhHzeSpPwlFZ/
EkwmnV2dFDQqrIFrDEWJ5y2IAgqLMqCQSPOqtB4HfbYalbYdjTuR82r3lQH1+X4aJjq4uAFyDSu8
3hLJbBaFQkPPrOmVNmpdk/Vr14qJOcRI062gDUEKt0H63Cm3cdHjyUSgj8kmKZW7ZkyK9rv0YVM/
1YPjKBvHaounwsqt4TOhevXD0GHeor2nMz+kgR7y/Rbe5B0UWPAJgy+g1eEB5+L7tUz1pLetOYUb
QZPjBvWC96zXupXhG44waZWqMTz+miz/VYnhf1c/+P8NLTifrS8XETA3Za8LCPzP/9bN68Z/5Hzg
Z08sJIqi/+rmpf4fkyMC/A2D8+1fpYW/dfMm/wo6hzavOyxIvwAY/083b/9HM+FvsLmm5PAvoIIG
y9b/LGsKl5Vs1dlAv17OWGZSoIWOf69mfX/Qs1hewY/8m7h68fh+6eqLPYAmTY9JRfHvPYf6Vm/g
BK6iKnlnn3Pp6ovtcozoKPU6zT5DMAbI2UbQ3z2juHrx7n5T6rh09Xnn8aIO4MN4tky4fufCowDY
KOFt2Vbyna3qpYsvdmaAPepCqoN5NmvnifLRExvZ9/Tdl649//MXN25HlRWWhjDOKV3/gSDTPn7v
OHnp0vrrS0+VDkwh0o2zoqofTY+JM06Jon/7gS+2rf/zLS4qEH1uOZHsFOM84t1+po/SXldqk/3h
qIM8kElp7pM81w9pVguSQDGVIgaM3jmtX/rLFkeGKvYplZnSOEMNDre4jK+mTnx/+w+7dO3FHpUc
zqL2Bl6IOfRn33H6Ta7Sil518aXnVyWhprDMXj83ahbvwglxJrW5lRdfjF+piNGGSSDO5mh9L8qJ
toX+c919LwZvo1WYgLxMYKzkTU5mf1v0QqybGazF2CV2hFaHF4hzgycNhzjZV2Imf6279cXgVa02
8SkdiTOukCut9x+Cyl75wOdP6MXYLcacYPjCTumx0JgfPEADhAc575xBL3yIS2S6qSeW2uiwD8c+
YbsuzLy+b9nD+yvvXry+e1MvCT/rquA+GptgS2qbxBhRPL391Ben+/9OD8tTvULcqilpVyGyjz6K
uHTgLKSEq5BighJGybpDTy//J1tZtq8RzWmHbI/9GKXDI2BGhDBKIcyVf+liSEs6ucmgNOXZ06Ij
AbT2FY6P9PT2X3rhNS0h6203kjArg/LcJN6j13H8QL26ctFcMtZ9QfhU1BT22SwdoojK4huicnfd
jS/GNOhyUkMKm4AoKsBPRkxW0xB777z/S09lMabbKdRMJcXInIUWYhZj8pxdREqXs+6VLkvvhJxT
JSbC9CzjNryG4RpsrS7QP657NPNf9WJgc8K0inbw8nNG3R9Eh9HfmoM+fn776vPM85tdnLlYl/V+
6CbbgXFDJCQ4W18HYdtm5rWJdHv39k9cevyLsa17ZUcZYbBxaph7j2PzxtHXvtrF4kv+pQfT17DO
LfHRR8Sjc8Ripqybrs3FWKWtLUpd4/hYSnELEOWm9ON3uHAXHsqyLZXNXZyJ89VZRKWFfhKd4nPl
FeW6+dpYLL8kISdlVWryTB7wyVagZ7zXb7rwwcw9yZefo2eQcgmNW55D0oj2XuygWugSeBNhq70z
Xhe0/v/O10tauaUQj4xf1T6nki5W4mj1dek3j+i8G5CbYWjtBsXPPoV5v+2m8s8p8vVjOZjT04ib
DvlMoR0bv+DYG3WZda2hqmNBRCMUBEP84Nf1N9VUSfkq8g/45E42lN2tVhjNqSpT4VwPofi06svX
F9+PERexHqIdI4uQI5IZJdYhzNFGrLr6smurSiKxCATPzo2Y0BXHKPEzFffOuqsvph0I1l1RionS
SRt9h34NJFE8rLv0Ys7pcCUFvlI6Z6n0z7pF+WPKfqy79GKuSbIszcYpd86tKiBfkDiIyGLlmdRY
TDYYp4wgGri4b0rXcglgfGf1m0flbybhZSnaa21hN1z0LGWi3plAiPa+qqEtAdOxb/q8/EpDx9za
imac335OF0axvji86w3ecALC5NkAkniD3C2+xvmH7WH21bz9ExdmuLle8XKisA2tM7HFOeecYQVh
JrmVXbLuzKUvJiEIemYckONzpoEBGigvy8+tV3XrzgC/IMUvVlw0tmzRddZEOy6vS5H/QcbeO2/6
0nOf//mLS5PNh87bT+0zpobwDscQWQRIxF3Pbrt3Fi3t0m8sRm4cFISQTbp97mI0wvFIvG9hAa4J
KPh/bDIzf5B2BVknbT17H2gFSVe4+fd9nmlXE47e+3RsSN7KpbUfCmDG6z6HxaAnkgXQXqGaZ0Bl
gPQMiDNW8bzu2otRH4eWBfUrYofhxFe2imS2iMjYXnfxxajPdHz/nqzZYsSVOBg5gcJB57yz/bow
SJY9oQnF5tirpCU0BMWD71SdZxhK3rqJViyGoI5aWBFeKM7tTLJEM4gZKQfeturB/OJPvPiWM/LX
ZKd51tmPk+YE3/Mpccp23fKz1NJAaDBiVA7WWfe6D1Yq0AFX5rrPRSwGIUKrqE8iahNwB11wUrss
Kq/efiaLZt9/ty6/+CIvHkpHg9wh3Mo6R0af4DPr/W8G7oFHEuMrBPWo+UnBdpoPRuIhX85D+ZhP
8jsSz/QjiSYN+vKBsMtyLK2Vb2kx7uy4HQYdYuZZqKLAxaAL/HudsSotbxYHvJ7QVH90sHwnKdkJ
1pFF9xusi/eIxpcGx2LkaRgW6U9bCQhAGR36ukKZrwIBePtVXbr6YnPmOYBRFVsm51CR1q1tV5Ca
jHrdAqUt1lct0mg/ctI/o7N9dKR1DPx0t+q+tcWgRoRL+w4jAWG7IUDADW3ufyUm+e+3qy1W1RgO
gz9ZWnJ21OQblo1DrcXrhvOvXKIXwyKd0rRu5DidFUX9llUEHlYNHo11T2QxnpPJrP3BU3nYCoxY
q+M81UeiPq67+vz9vLj1muSjRNdt7+wNhbejf19uk1EbV977YnjK1kLrEIbTWSukA/0MJ4kf2e91
IuY395uN5Rws9fLe1cBSAcLiLvIM9eeUpQ3cnzz7UBLdDYig17eYL6Z1tadf8r0Xz6kv8JwPUtrn
sc18N5+zOQc9qVdefTFaHTtXksRM43MGz3CjeM1HkoPembTnN/mbp7TE6LQ+GpGspkDRRoU8kYAR
HFpSf9ZNBepivAZdG8dT78VnxUvqYwrAFq+P+s5jufCC1cWQndChW1GBT0uaZkSaF9jfW7PtsaTn
Ta/SuS5mV6pVADxeNRrURS1NNae+1T3ct4rFoXDTCq3ZBWMhmu266y/GsoP1pkD7GZ2bViHXCIw4
FvVVwZ8EYC+GsqLZcW8QwUSKRQGZownGbdeYwzuf0aUulLoYy0QNgN7PFYouyCP2iJzDLQ6X+JjW
qndIg7q5BtqB5YcEo01eOcZPMjPY9a17cIuhXnkY2jxDi84ppjW7RYLrVHfrLr1Yh+MSHIo6NPEZ
7veuDfAAefXzuksvhnWqQKjptXo6G+gWNi0BbW2LEGLNxUFHvZ79gkkZDC2tozPWGm9jZuiBevHO
wPv9nKEtZbGCVycA1Xt3fGU/lITTG5a5dUcOkhxf3/ggh66ARz2cZd/VWDv9O2tI7VUjTPuHAJ9i
C67bKKL3HaTVhua++aUZzffE8L99MMJYHp7VfDA8WLaTW9deuR1IYjnW0ojWnGi4+mJ6QOaq2I7X
jC65XJyawapCKBLtmg0QV1/MD2ra2HaRmqY7tNl00nTSapJwWrXUc/XF9BA5noaTOpauYnYfZUKl
PXC8VaVqLr4Y/lLFskQ+l+WGsJ1m5xasXd/s14wkrr6YAZo0VCt0hiPEGrBfIPXiQw/hYsUw5eKL
OaAylSip6Yu5vSm/kOuIxr1o1t348nwdqW0RZGaswxCrDqPzlHn5miKRwCH3eoxqxNJZVmYLV3dq
Z8aCkS6Yhe+U5y4MouXRutPrRJucUbhK1EKEKcONKpGmrnre/zhaZ6RVAR4Sblh44652JFmZervu
ZS7P1ijTHXSUtXCnUqu2Q44SE/ftqhMhD30xQO1MCyaNvDg3N4LkcypsTMzBpAbqcdWjWe6XFcsL
5/6s7srgBp5HuElVWC/rrr0YQ4HMYVLnE4+deGqsuoAdgsRYeeOLMWSA7casSTlD7bsBwEMtdyib
Vs7pYjFzDZ3oB+o7wo01H26hn1wntvlh1WNZFhD8vsoj5KBM5nlYoFIGV6p2T+uuvXjkTjeyPtm6
cEsQ6YdMUWnvO+F7DrNLg3TxzO0eu/oIfdQlDlJAc27IUayjNau0IAr39fSShZM1tSjJXIvTpk72
Gb2AlR/iYuZKWzyItMCF6w/GldqZt3qcxiuvvdi5sH2XFM0ty01a52PfeIeh09qV114cPboUvw5W
aOlqgX5fWdOjOcp1C/+vUvqLs2uhQ6aMMmdwodAn/rbCM4dL2xyJHFj1Jf6DXcohH9mSwQjS89um
MJ+jNnledenl6VVNMt8KPRYi6TmA9xqQcokCm2bd1RcfS2TZaQJRd3BNAUjIV2sgSsPQvnNkujCE
lsfXqCC7LcvZyeUKgbiysA9DJNdNLMuTqp/oEx6SVrjt0Lla01+NIMfXPZTFLrScTAsHQyfcmidz
UIzWOZf2fNxed/nFKucQqz0oGs8cp7y5zT09+oghS1n5zBeTeTk5OlimbHCTRuoHmy3vHinmvzOk
/V1DFH8FjbwYSQA501pLy9ElR8YgLQrmdaYSkbzuySwm9AYkPKCKcHBTq4/cwBLVFR1f/+u6qy8m
9MYAHYCNU4fcFtwBVr3+lUm15tqQzF/P52S2AUkje901O9W5doIRhpk2GF/WXX0xSgljKCw0Qr0b
QasA7BgkT9KoVnVyBc6/1/dODb4guCbSWTDIG4KgCAR2TV2YSy/m9LqXoQEAYnSjwio3CiQJXFB+
s2ryIlv89Y1zarFKOK+669BIPzn2mO49UJyrBpI+Z/O+LK7qpelEvsFDV804PGlhW7leCsz07Vc6
3+M/ipI8mcUwlV0f6AknOCYBvzloqtR/JI6VPmK+rd75A+aH/LufEK//AJK8EkXmpuZWMgNAZYfV
LsFLvKfWAAMQrtKq04zuLEYtUS4QjHupuTIPvhiyvPc8/entp/T7BeQfFulEAYJcZobmouxRz7pN
Zc1vLGtN4QtGw2LQdsLgWBfOV+/lg+oQ3E3czbdVd740OVYAopyq6QcXCnP8lCZBj0pI9947Kc0j
/zfvdmkIlmOryjrtezdVivGx0Gq/JW+wBEIWCwU4Z1rdh5UPBQmpf/rp7T9png9+85vWYkBAOPR0
Qn9aN0/AZREC5XqhAmmn0LTnkvij+0Yr63DVUgA/4/XHOzZ6PsaVwYRqdh+USAGcEq7aDer2Ytoo
raA3yVGE9d7DH87rbz5e9JW3vXhGkdMbpTHpHWUDRHNd0d2Hjt3t334BF0aDvZgzTNRDMMqJl8GA
0p6ED26Ws2a5ag9LDunrJ477iEZDa3duU9F29OgkbbCBrxvI9mKO0BNJmUBNezcxc31ja/wHENF1
j2WxrpvCKwYF/JjbaL2yGxLQ2JVMq3WPZemDiogmsTOVrz71c2S0Csmvaj88rLp1uVjYq6EfyiTK
W5cDbHQFYMTbQCez32lNXVgA5GJhHzAswiVMehd3ZPGxAQ8CnDWqCEhrAtsdAEWtsoMQarYYrUqj
jJ4JgdUNJ/GlMeEvd/667fIvgM7LdbgeVYKaMgsWbFib+H4BOcM7/rzuBSzGa5GbiVTAXLAEQIEe
DOd2aId166JcDNeOsUScedm6sG6TfWZU8IUd+WPdjS9Ga9oiylC7tncJOKyPdTHYtNyhaq27+mK4
IsPoLamXvVvOOYkqXsCNapvVyqsvBmzudVHTNG3nTmHZbkgxI8PPya3D2/duXlimFqt6W7dOnoho
cCngzmFYvXHjG7l9NVpevG4FWaIa2mkK+s73a7dX9LtMF3/Spl3V1SK3dDFoMyLjrDLmcxdF1OzN
lkwL07T8dbPZ0v/UpLh7G0ByQPLG/A7oZncVN6Z8Z8d5YYFapis5TkCrPZl6d6yKfDMI5zEKzce3
X+ulay9G07xgWwg3O7c31FOU/tH547pxOudSvZxgbCMWmKBF7+Y9XtQRdB18zTZftyNYmpNU2Okp
pObe1VWygNWxCXcGgKnjuqeyGEoaqm2U1ky8KgnMbtYGtRtWcBtXXX3pN0IKAHS/AyCqgp46hBOR
PKVdf1138cXa58ROPCjQTN3S1p761L8jJmTdd7hEyvCJkwgb8cxzkWb7KPMAQyjjO/PLhQ9xGQVl
ZGHaR6reuGE4tFtfrTJyS9+59oW5a2k1Ss02VqBrt27ZOMM2LarkCAYc92YfravJkWb1+ms3DSMI
/SZs3Ei31QMwfHkMAUeu/GIWo5QePKCCyW7cZlCnG28anmHg5qe3v5hLT2cxUKdO50iLOdqlIhrH
0NT95CFWy+hU+4JAsrd/5NLrXSx9ss2zAoJQ44qouco043mUwbrd3tJv1I6Iw9HnQrXQZg5IhTo8
Jmz17fueh81vTmdLx1EYdiEEt4D5kUDNm6HqnH0/tPIwGKn9qDUi24rCV7elR7Dl27944UktTUiN
IUQxjV3nVkWFsMNSE8ip03tcuEtXX6yDojdHLRJq5QKDIX/Vvtej7MvbN37hO1r6j0L4HkJtKBtb
mTCAkYKibltBNEXYVe/sEC79xPzPX9RJVRuxQQKW0IX5M/zMVTK6+5ZRt6lA5e/f/jPmJ/G7N74Y
ybbTtLloOMc6ZUSSaAQMpa11cl5CaP2+VetX5qgmn9/+sQuvYyn/U1reMeik2MV+8wNBNTGfKget
FRfX/wEes31yB0fgBMhpg2PhwHwmTW3dpRcPiZM9wC7bCM+qHAkzJVpoxnyFysrLL+Y7OXVJMqY+
Nqr/y9mV9caNc8tfJIBaSb5K3W07cWQnsZNMXoRJMtFKURJFavn1X/UAF4g5bjcuX2cCNk3xHJ6l
TtWKiGef+We9SrepaVD0vbxE/tS0VbmT9WFo4y9z0rVZ70Mmw+1gLD83gJMaYyHl+rArpo7BtkBi
ARwZjl/Uiksq0FUvUCr0HzraRL9W2k4gyDTsi9Pe7cId99C6GxXZH7pq+gd8ug98uwaGe9VwoX5o
RSVB1PuGDGZ+qDZVPxbTAt7yuO6eJ7qoJ7fdW56Nd4lmKJPODzRpm4/eiAyrEiL66rZ68vLSTCti
ni2m4KvD+MEteKLZB4wqsCuv43mV//gcHI/l16rSKA+yZ+qBVn30N0gtIY8ADYcbEErrm1GXV+EU
58N47Ycsu4XKZlzMk5weRvD0p+0ADnoq5PAFim3lpzkaBygYgrTZJWDEn2WZMfRih3LcFMvBRXWq
uZdB4MzNEuyyWtgkyV4hKHogeqtBc8XWbIxN4GbFdl2taaEmD2IslrdyvJf+Z+h/XHnBzgf92gew
LDiREQgsxoiB6V5DeXFZb3bw27tt2y6q1T3jZq96bDuEhNDWUmh3b8Xk5pTtqhok7roYSpZe7sVV
JqHui9E3t69pl9SgEr96Cwm8vKFQNtm9x4XsmZPh2jU06JSWq8QYXZ4IQHzAKMzLxvFALKv1WEAX
Pe1YWkNfA6pkqRH6ShRy4Z7Q83//M9JpwIUgKwKhIMiXZlVFvXQW0gnMgmzTMkyILdXJ1MZeXkuo
mjet54NFcL3Sg7u0det9jTWoQqnSXg5KPWg3y/GmiCCC6PY5rffVAIlUyi3ycuktz8hzs7ItXUB4
OBTLNIOyKQzk3bwcWmpHEsUoh1wLjS8ciU0alGjlA/WIXaseinvzFwW6OKfzsGtmwAnx2LDNyyEg
cm/26TRA0sBt6fMb8scVNKhMbnsBywnm6KOBshyj0Bp0W9t6Tn2iW20Utr2W47k2fOyG5Lfb0pZV
nrleN8lnDxPhrMzaGFhKcJUe3Ba3zDLm4yZMj8UlyFFBJb0+RoF+dlvbNsp187pF4f6BqOmTFgkm
2Q1UK90Wt4wyicOyTciKGzhC2Ckmt5CacryClkkmxTS1QQNVl9VsAcQRkWzoyOwnt41bVtmKcBx1
veCmyPUWaoIHTEq6bdyuw6kWbWovIkU+0/44gf8EXDEuPfAQ8mUvbQdPWKBijl1Xps8RQEAm+kqo
eMGV2EW4pV1KPUG0N98aGafnZxiCAU5ARGzbMkthwJjpKcrzfdx/LwXGKKIdQqdOX9Kuwo1ltHAp
mvFhD7SX+jp89r3kGl3O2bpfiavs+hufy74q/X16aHf5pYYGyWmj+ycexdcYiS+du2WdapoVdJUF
fmCo17QO4hEKbwiw3M7GMk8w1SI0iRIwOVVVmTY9FPYwOuS4uGWgcb34u6np8NAwHWZ9OXXphval
285t+2RnWqVwx85j3R2hI8TuIpRprvjb88V75bPa5beOBOGyC1Bz+c2qv8cc2qNyH/QtBOvitJOg
j79yOS/cH7vqBlnPFRN0UEKmYYu2HDT9hiOIXvlTkiSwsbfP6tKPWC9qYbp9I2YbHpRi7WO0U/qe
1c0PwJbjKyHp2b+8dl62AQ+th2HkGAQuUaTSDY0wdtjLqMmbYfc/jYAuHUaQbZ/WnoCZ9u2/6oJl
2Iw6EBM0ULXzzm9i+IQBcdBQe9NPt7XPv/lHDFLTZlwY5OseoJId3OoxaU8z5PbckrHIsmnaxF64
7wXSDsjyQhxwvxubzW1427f1PQZUl5Brl2d+yKr6MEQF+bT7zX4FhHDp0C2bDpKy8Aq+G1Q7mqfI
LH8tOhZXrumltS2TLsFYKMKgUSCSah/Hpnw0Z31Spw9qU+gs/RkeISb1EJMRil/tADnF/bvb2taj
O08BYEKNUA/AlfwsSPDod53j0pblao1ChgmgZ6y0LO+jYBwP4BW61jy64BdCy2qlMjyuPGYeQB9+
lmWEgvmxJgaK5QboHseTP//4H6YkBx9Ka+fxSGhVYzKij977Sn9yO3nLTH3fC+ZgG7cH4lOoONO/
dKJ/uS1t2aiHFyWGji3LV+UlqdL+PUrw5OC2ePDyTOJxrBLf1BW4G7YGoprtJxDHOl4Zy0JnkKIZ
sxQLOE30Y7sX30EXPzh+S8tC11HTslk9nk/oaKZ+oD5Cg9mxGGNP/831rms9CJ5XNS7KNvcTVLG7
0G3r9gQggoVGzVM/P+wJuydsuy+a6cnpa9rzf/1Z3wRinfKBQjw3jTYIRaPU6eYU7fm/0RReMo58
eqhi/lcZQa9eopB3ctu5ZZtQ2kCIluw9eHvGxxrF0qa6ZpoXIih7+E/ia7Z+gxeULMk/A3AwmS6S
vzSEHm4ldS2Y2rNuMV/jpNg8/ApF66OZkxOFIKLbM20Pu/V+soDptGgekt7Mt9yvMyNEfyViOruo
VyKmwDLTBiqlYOMZMNhNk/Cm9lgMcG/sRpIBna+XDkaosGqg9tQ8BBUFpzYYFKCd4cj/69vjbkJK
VvVyrkH7wJ+8Ehq8jLgRk/g2Yc4A4Tvo/ZD6Yd3rmz0ufu7e6DQYfVb3s05FDN20G1Y/BH31sY6b
3/EmnYBeWNt6S4MWOq8TNfWDKjT9wOu5/yuq3MaAsLplqFzUwiMRTiVpvE8A3v6ae/P/0776PyIh
pHsvT4WquvXCWtYPchw8vHRkTlVXO826YufWO6rCAdy0IakeOka+sjj6ojsl3XyjPQCsk5lC02As
H9oNpIWQyL2NxsIJW4eNWwZKFKQUjDrzrHt1kbG1hOSu5F+cHO+/pCR/BEVghAqaPsbOSQ15VQbV
0LRZIe/ttLo9ZNjtc6UMM0XOtamzCTpxUBrbHOspNkUOFZ7cPKFQd2v494Dpd6MvHt02bhmoV6q9
k43keVQnN2M4gXgBmsNua1sGakyymUHVLPeamBybdS4PcuqdJoBD6J69NKIoqkXrb5KiPMa/ogZ3
gELTs9vGLfsctILUUVDSvBWLhPLvBuml1vXELfMEaIBHcvWKXPaeuuXch5Z759iHJVaYC3U2UAJh
fDGP6Mq+r82W/F4TVJkdv6hloXIgPkSAmyjfhpGdoN3nH3XLf7uduvWCFpVqvGVewxxN2We6De/3
wThF6MSeLgx2UEknSxLk5cSHVGZBAzkml10Tm+hGK9J4oBZacqiH90dzJljTlTi5LW5Z5763BYGM
1JJHCwPi+PwQhU7VPGJPFo68gZBY6S85ME78YdpDMp66cqZuXFLQ13lpnhjCYBKES3Ne722bCZQm
s25WTs4ckqovFwc3L+n2MZzz0FN9Gob7P3wjTteQ2IOFI+QUwWgXzLkng+NalSSFDKabSyQ2Imls
TGhI6M/5IubbXXufMDH0ye2uWLYZAwczrKgl5wMLKwgxhmUKjNKT2+KWbVYhi9aJd3Ne9v0pEfwb
rzy37iOxwUi1MvMKFmqVJw30w4OkO0EcwC3UIjYcifuh3tuSqnwOo+dWt4/UCDenYo8Qtss0DUIW
Ko+biIN/dS7Kx67h+uB05PYAX1PrBDxU7Lx89UsQFFuThbs9nhg9eWlAOzjFFlPHKgfzx5rFrKMQ
nVOf3XZuWafPTNugoChzDDBAZU5XcRZMbuNMkP+13s8oVvtZJVbmBTfppruDHznR22Bp6/VsWDVP
sV9LgCWCw6D/DpDduh2JZZyaCxHPM1ZWyVqeRLkOhxLsAm6LW8YJabNohN5yn6+8EPcYmQqaTEM9
XByd1rfBRprrSps96PMg2aDg2gSR2m4gIrC7IXeIPbIzdqWBHPo+5/3evYt3HR4qvjiejj2xsxFv
XrrAH3KyFzFECduPXsl/vX0yZ3P5b0kBGvEvzchbmm1C6oy1oQn8rpjD8Oc5BJNpuEjHh9QGY+1M
kS0cwz6fVfXeaJX3jLgM7oTEBmOhl6NMnMR9riZULlIoO/kshRaMdHMENiIrWMuw8+JR5GZAszYL
p7X/fZ7Ud3vxINP3os7t77oA7+wi87gz8os3FElqPBG4BUg2LisUo+KVX4qcC/XUxuMvHY1f3742
Z0f4yrWxQVn7CGT7NjQ6H7fvvSI/o4i6vUnU8mC7iguva7HyvPhZvEPifnOiRcNlsVwY+og6mpZa
5wZcd2kfkawpJ7fEgtiIrCah5RL0xZwXOu5/omC0PyNLenI6bhuTBb6MMg4IrnnNIHpRhtvnZI+d
QBrERmUlMytrVkR9PmwjPwrVrbdoWlyjr71wUWzGgAEUPW0dLVPuT8lQYyh4kftDLVV8Td7o0g9Y
j2khwHeupn3KWenFQ4qxjvi4eVH4y+3kreu4hcBRL+Uy5HtSPnRm6A+raNwAcf/RIpe62iA5u6u8
qccPweo91EXjBGwktig9E7HQoIpB7GWaJ26mmzie3NyKDUWKO1DcdaqFG288miFxfBKJ98PpuG0s
UtXMZuyDesxN5AFbsod3qxrd2jmYQ33pbcG2tldeWI55O4brR1YEe7Y1Q3nz9tbPq7ziEm08EhjX
Zmi8eEM+94TLA5eGfZd1tVapmKnO4kl3WSOSzjHksCFKu1rHoh7FmOuEDem67kocGJCx0+Htv+eC
RhM0E14e19RAQTgq1JQPLdX0790Hbd8HNhf9N/SumX4WyWhYCyL2kvY3UFWEjBD0bMjwZSE0mN5F
VIYiq31PDe9Q5W76FMU5qGLPUB9HdOGHezZz8ILesNZ4T8UI0sEc5CtPq5r4crcUGxXvaw9SyTem
rzaIYEPlOYWUNnUayw0R37z8+3RA5TaswZBXdLgBqPvbtF7L7i8QRWPq7uXarGAmrLxhzPtR78m7
lUvC/oq9GukPk/N0Vqfb1LMEwclyN+h+7E5TofSSLlKFbjGvzeiqynYNFYDZeVtMJxQtf4Cc3O2N
tvlcS1kxo6CJmu+tOjAuT361XBnDuBCPxtYb3bB+KSa2j3nVYh7pOJW82g/zXjcj0hkPfJ1vX+4L
r4Y9h0mk9AfVhmPO9ujA/Z4e2gSikU6L20Cw0QuEZm0w5hsZ9Ce/o+Ox0qVy+642+itIfGhctjPs
vqnGp16I8FR7unUL7Gzxt4QueweRPZWHWyFTgl0nEETI3A4meWkVC8MU3qxxb0CstaZhwd6BesPt
TtrIrt142x7MGw69KzBfw02XQpvATRmTRJYvRN6kq7FfR1R4YpUGZXxHPXnlyC9ceRvZpYtZmMIU
Y17sXZwRlKXuaE2hdSjW4sqN/LcT+srjZAO8gq4Dkd9OxtwTXPzd9uq3EUV/CxcPKvm9XP+CkG/x
3vMKeVhX8E2oVuhbzYk6+aOuPorQQLW+G9D5BH2juquKgL2roNMAmlv8rysHccEobYbrng+hrwbY
TVm1v6euM1ldrOuN292zHEtCZ9GSkLa5CeuPezhWh9gAXu62uFW/EJR7zUJhk6B5+acqt7thdNOP
IjYILQyN2Kutm/Io5kedtO8h7/HLade2fhv1oNIdKznmgWTjPS4ev9VKzFfu3KWvSV8ae7L7ErVF
eHLVLB8IfSxizy3ptyFo7ZrIQmo+5nz0n6iukgePNptbxm/zz2PacwWOt0QFLVyRr2ysB8V9++R2
4uez+rOFqyvw8rcoovFethmrWJdqBiN6e/Xzyb5i5Db9fBWvIBQoyyknWvt3nojNh2Yj/TsVx907
EYXyCyIrfWVq4ILXspFXZQn1LhlPSIw6r8ikBsHw5kngeAEVdnsubPgViIZ9Oq3DkEe+9w556c00
7W7pkQ2/CivRD5wgOKqpib+0qDl8XJNhdvM1Nv4qimVVtR0+MxSgvUzWqHwb6VjLtPnXu6mt18WD
1dbGk6dugZA2LdmPt6/QBaO1EVgok0Z1VQiJdJ3+isqlSddBODENh4DDv7z9iyyLjbTIv5LJWw/F
BqXm0cSO+ZCNvMJUjzcGrZY58er3O0bbMfeJdN3tXKzXYyei04tCQ0Du1bcBwbTqjJs3s2FXBWIi
0OCYLk9Gb36nJM/QXp/c7rmNuiqHYl0wwCdzFkYHiMd/bfvui9OR2KCrvZLoGjEsnQAudqi78qfc
QU/ttrj1eIzLPBa6HZC8EIjerkn5Xe2BY3xuw65CSSBLW8N1SRDr3AaR98gKubi1MmzUlZqWgouQ
9LnRVB434K8Odc0cP6f1fpSNPwxxe64DevMPWpXv+9GJuCskNuZKxI3pQC055LyqwptFl2EasMGJ
fh2rBy9Nv/YWSCKuaMD4Ld6IuvTu+nG48hJd8Fk26Gob2yVsyqXPveHQRVGMCfuwcLyHVmAH0jim
WIJ3gpj+Z1epuxrsXW5r24grVU0Qc+IoLTbhlkLdKZtKx3jUhltVtdkTL4Yb14p+iUFmpopvToZp
87m3QEAavze4JknA0zGjUcIdz8PKDosB/ItDXXc5Y1hzmIsuW6Ir2eGFaMWGWrE5aIOyT3BHSo5I
hTZ6/T3pZkyXeV+e3I7GMk6+UpQcJ9oBiDZ3R481D2u8jG5Zv608hjo6XziPurxHxcyLijtdLF/d
9m3Z5lTt/RYQvG0QdngXbtGpoOOvt5e+dOzWsznNJYYdh03mA7LNuznqx6yZNL+L6O64ectAG0n0
Oi4FApZFBUcMt0YfmmFw4mkJuI26kttEBOrEMp+YPkViqoAc6eorpa5X/RYWt0aA/M3zUUcrh7wv
45s2OfSV09wtVrZeTz15bem1dZUDBkTSrlef57Z28bZY27JS3SexwcTMkHvjplM20gflX2NEv3Qi
52v0R3pUz6aJ/AkeETWcb2Am+lBPk0u0gm1bxqnagNJ464acdfqL3tineKp/vH3JL+3aCmtDw8JZ
TvLcIpqhKcIHVLrjKw/++S78J6XDti3bDId2acUghnz0yZAlYRV+gkxUc8OSmR9YXCwHyKJ62ViO
19oY/yZwr/2kZbOx2UWtKJN5N87bt00tmO2tRNEcNaf1e1H7+HXjT+ngzeDMngRvP/GdIHyVdPja
TGz9lPSzzlBN0A+tX4ibtmu2JyKi+VDW9FPYTF0m22HPFOft/Yx59rRtB32Y1MBu6mFqbqZlYadm
K75LJbwbsq2kdHliAs6sW2BIEfvbvIk8TpKPHec//cJ3GXLEl7IcEYt1GXmkH/KQzCLFDJIG0dvk
FCtg4/ylZfChLqc6wR2bFZJJstM9bSYnshwsbjkiwwGfJmU75ElZQqBW1dkWt+3ByTpsjFnX9GVQ
0LbPt80/0i1o0oJTJ7w9dm45IykN5UG9drkvgP7wQBHIw/oft41bzog2/oL5yVjkpT9+S2J+uwWD
k2Q39m25DDZOomUMRkOb8mfpiR/Bwo5u27Y8xoZ5T15oHEnjx/OppccVpYeT29qWa6jp7INngZag
mgrkXUBkd+8brq4Y5wVfxywLSqhnlq6TIm8Cv7vZlq273QEWGHZaZS2NvIMX9RA+NLETc1/AbVSY
J/u2Muh35JMJTHXUGoNysfDhi5yOy8Y96YqKgQx9D5cQ3IQUMzLeIJ1godi89cZvG03mQiAVNHX9
7EWLOozVzm/cdm7Z1VYMfTDBVvOIgKbUNKRK69hpugc7twxr39FqIEHV5iNKzmnRBh1E3+lHt51b
Hj6JwmnuBKoS0hu/1WsUpHzunaoS2LlltpDS9kLgqWVeNaZAWn8PSc71ymU5f7dXnl0b96QA1giC
quwBjiu26ECUrjNME4zZOCXBXSS0ei/L3jEcsqFQNW01pM98AVh+/bkSd1FCvrp9AMuKW7S7Ad+c
Rb4tfZuGfbKkZBOf3l78fP9eOSQbB+UPXr8JGgDRtvFTxfkhbtgN4d1f/n4NFfBvoea137Bew76O
63DeI/wBMyPrcUnqX33c149eh8FLz1T+075AhbX02RylrSHtfQiWB/DX63B8jAqKnQz+Um+ZX1Tr
T6P87hr0/uLWLJsHdYIP5QlUUWp/V2NqBrymXVkM93UPzpFMhEKS0xQF9e2APOWmolN4H1Ev+NZv
dfiOju126y1d9UFSmhwA/HLTDeE2QJUHZS3M6Il8p1t86EiHYSPlVHoNuI1QncmeRE2Ed1hDc+sU
L0GXbRxYzLdv1NkvvPa1LX8Bms8EgnpKgkjNVJhjWvpDAd42x9UthzFOQRLqfkDZwceU97yXOl2V
Y95hk9ZHKHPNQNYj9SULhXzkmIBg1Yk8DKduPfV9UektoUTk4b5ksiO/i8Dbrzz0l87cchE+b1AU
EKgKQBQYV6WPmhS0bVcypvMr8soHtdFpxAyTl8gevZeyqbId3MtZv4XQOumEE/wlAAUNfvqPNLXr
wb0XyaTNz2rSh2kW78xWX7syl/Zv2Ti4uOoE7QCByT223EHAYs/a0Q9hzCN1S1VspFpdhwjBZSPy
MYnVc7fUj6E391+cDMqGpbWgbBIETMU5upE+oG/8SzkDSeK2uGWtCzrha98v2Pl5coLK+455j25L
W6ZarZGZWCG8D6iCQ1mbNEVKmfrx9uIXHne7qRzs/RIov2/zbl77KCuHlpwSqI9/kSNIQjRNtvtV
h51bCmB3wgqhaBWYoM2LTYtsJNOT6qjbMdkUBJusGtZgqi/XWyUzPHw8g9iPo2ewe2FADPTJ1iyw
rIiEnxeOioIfLN2Ve3/hK9igvE6gBtRPMC0QmB+LbnrPVH8rQ3asMSsXJG4c/9yGsG3DxGNSwALa
svjGS37P+9kJMQzXY7lOAVHfZQ/ZeW3zT0Sq25LHT2/f0QuxlY1aMwYt6xhIRBT2RpT2q3Do7wgg
QDd9q/nXMmLt57d/6FyzeMVD2wC2HuTRUHDgXc7LmE1pl8gRLc+tv5l3stz127gCm7/KKWUFaYEB
UubaIMq/7aZXftpuh/K47ys89wJV9MF8WJeNfKJzBAIjU/anefZ0CvgHz+q+BhFsXHpZ0Df1U9LT
+h66j04twoDbGDuPwLssCT5i7wff6q793g5ONJFY2krc1l6DK7NFmyCi4tQKzPL2U/T329/twrNt
I+wgVj9KuWPt3ds+NuEcpsMiGzfPbgPsRn9f66qu4VeofF+UcQMsczKf3HZu+XaUrKVB3w4hpBYk
a/X8N9q/jrUcG1rHwJI3iYk1eV0FQEwmZk7DergSzVw6cysM035TtbIsWzR8t5+LP83ZvrSuO7ec
CdDbgefP8IfNHJzM7P2Ya+NE7x1wG7YWV9W4JCu+JycsAoOX/KbK2K0FYePWjJHL0I1bm5crCU9F
kcQZ2FzrG6fLEtoBGA/8kDbwEZuavM+QLHgnfbNf8X0XvqcNXRtWf4MEDB64aNurW8lZd4cS/7Vu
9YXYMTz/6p+BKZfViBSgySsS1cc4AcWyn8TlcWulY63YxpiFlJa7obrNwxEcl2v3CfMlbv7Fhn8O
ca8VW02NXsfwtE7tj027CflyGwvfNWIJxmVqc7XS6miU1BmmeEq3eMuGwy99Lb0EVdYcajtJWkf8
XUcwC+F0HW2c3dZHHPIiSH+DSEJGkEBSdIudCIgwymxlMgTV3GCArHke10AJcNKkROPtd9u5ZUik
3KQZoT10BiHE9yzoeEqkdw0GdyFcsTF2o9+OyIjiFkzOfuqZ+OtcqAOZxHPDm8XxLzjb2R/2tFVR
h6J/1OY7pmKnGpz5bf2X2+FYpoqBmmAeBw47avpn8Bb3menItdGdC17GBtrFMbDwvJwRRo/NkAKX
vKYQ/HMsa9vAL7+LvFVpIKmFHx2mOHzegsjtVGyyLRPJIFAM7jHZzTc1nsRC3ZyLbwVGi4+CswAR
Yd6s4123NE9tt1ybK70Q0NqQr2llajbB1IB8Xkzi/ThQ+lyGfXWQfQ9iUtJU4IJKQhWntK+CH6vW
xZWM5sKHtmm4WOitgWpWAab0CFBiBaLnPdG/na6ojQgboxC0ZDzEFU0CeoN6R3QzS6PdbMtGhImR
dxCpWdvc84JbMxV9arhrZGNDwpIZmJBIE4RNrQmf2kBGh0AZcyVCuPDM2kRcSTnF0OOskISNK79N
qq18hHJ4/Ft1cEqZ0+Hb4DAWqZVoafAXTJ1Ke92hwtevbmdvw8N6FUdTNCEeHuLqH1GwfAHxouPG
La9vFjSq60m16PeivbkON02bOJGDB5xYRmwk25Op1iKfSm84Bklw8mnk+IrbELHF7ENQC8QIE4Mq
nxeUj2O/37p9zf94e9MtSwlTWuIJrDYgQ2j+HjWgDm7LW/mNjLZ6ihqk7gEmNTOI6XKZNgEtXe9L
8PIdjJPNVyIaRF4n0WdSLx2Sdu7E4IyPaqU4FK9sPdaojZWD32ZR4PVpXI7XmsoXbJVYOU7TMT3q
c+QXgDfjrtrn/dZrRZDFbeCdXE6f2SCxcA7iZuvmLidRNUKdOpPkqvzq69tnNkasDADyRSewRY1/
6vpUxe10HNu1/1hXg3n39v7Plvnfogiz0WIVKTrA8CeU+sk+HNneLpnufY1gDRdoofSbLkf/ym+9
/mAxGz0Wb1AxbUKA3XlJ6MNWMXHH6sgtOWE2Y9cEVtquE0jFTTfcyObvZFqPb5/RpX1bBmz21quS
JW5AwhTro4n8+MYbi2e3xS3zDaclhpoK0rZipjJLgpIdVn91mdYPmI0gwyjBMgpIzOdFEIiM0Lk/
eKH+5rZzy3Z7sXWcFXuTr1HyUwzbAtYu7iRshp1bpkvGeW5FMqOwgkHy2y4q5ndR1zsVVpgNqJoA
j476ZunyQRVLamb+owqV2/e08VQAOrEloKTJNZv53QqNg8NGqtXN3diAqqabKJ2gsZ0H8fppDJbm
COkqt3YogNYvPT2dyD4xgrQE5EvluyqZxKOquHLc+tnL/ZlPQbJqUASNs0XJXyxY30t2TR7hvMFX
nJiN7NOLTEgTNrjmY7DPaLVydMJ3H9JsFG2c2176yZWY+98232s/ZZlrva878RIgrLau69KkLou0
pYTdGjXru3gCyflcrv+EA1ciizovSgWhKsW0troVkAe6n2iQnKAlFdwUU8MyPybVY5jo6LBpoj9y
kCSBlqLwb0Hjn5zkTJpTAZVXPFkKVOSHYNuXY1kU4WnhQ3fsuSlIWo9zdEv1gvHnGSzax2jfniuv
F6epWWV08lc5rBna58WY6nUBK2AJ/duntg4Ey9bZE+YAhKf3ISh2cPpBUOFIyHl2qgbZ342YmwE4
+WqnLGVV3N3VyeD30E4ak+JbpH3xGbo7aHD4qH9+YYHaHjENG9xRhkCHEDo8gvK1d3s+bHqzak/k
Jlo8tSBvyINgP/RTfyVEO9/B176q5coW8Lwknj+h/WFqdUowtAetuY4eY8+Ud07e0ga4BaGa1rbG
HQ3YjomPkXyVw3wNP3ThhfoPmI1GDcWXQtxNKc/2NZTHdhGDy5BawGwomxhBaDEi1cwF2HDTZxIF
TqMqWNnOF9gOzpQNBUXVbuGtkBukxHA7nbIRZvN3VdvAJERQUcExqs8YCCCPC1Py6PRBbSRbOZlm
CIcBMLlA9lmo4weFCXOnJI3Z7F2xR2mDIitCP6+8TXhfZai3uEX0zEay+UGH2pyQmIbf1ClszD0A
PG4ga2Yj2YgBZj0GgDjfyg3Knh4pn7kpo6e3z/zf8sMrhmpD14CujtGaRHe7jkr6PkRc/A/a0OFh
BRYv3beCfGmF2rJ5IPImhDM89QsJq2z0t+Su6Ze1xr/Ev3K7YHbfKu68BpRaogb8XTb3URH8UFNr
rjiMC4+azSmW+EVoIkwP58LzSqi3sy0ANyo6TodxPrdOgxECaG7XzYbWsVAsCdKLJmdVcS/j6pGt
xE0mntkUYzzsluAsipAv5d4i2BJIT2Ufu1mhzb3Yo85DkIA1mKNRa4qBvQiYotWp1wS4zcuQpRpW
HZeU1iDyCQno4ku8fCJyi4dsaFtdLQsk4uGdJJd+VvQUr+i6XMu1LlmKzb1GoRfFu2lEiTza1Oe6
WeObDVCiI5DIiqUTinn3G7SZPohVQIJAdN1jzyaVYha5mLIh7vTDOi3hlbt84X1NrKhpiQQrd33O
zTj7rirQk5ZD76FEuqorb9QFa7HxcAZNHo9XcQ3CCbFlBDO4ADGUPUZyWGzarJKDGziO2eC4cvWL
dY85Cr7Jfm/wp6V1F175Ky684xZx29s+8sIaNgaODjKZIG0JW04WlLKWBpFbq52KTcxGv8UaTWKu
gQ2HYFBy5GO8HWnrPb+989eJswJmc7Q1e7KsgGQ2ua/8JUP8CZ6MyhjQEEEnB4jxTt1OfOyadKfR
lkKncfrgtWAuffvnLx2cZe0BpA+EHmq4kjj4uynbGziuK2nDpaXPdvFH7tOHG5uTBEl+F+mPdIO4
IcT7nDSScWrnH/1j8W4cEauO+Ca9WkGuNs/Pq7xaTP8XHfPKi2sTpVWL2bbCQ5gjN9JBlHEsks9q
xTRY2rC939P/cXYmTXKjXBf+Q58iBAIkbZWZNTlVnt1tbwh324UGJKEZ6dd/J9+VTVc6I9h44QWl
ZLxcnnvO2vLuXx3XozzIFenkYxlV0hzqPZweiNnZPZ9k8EUtNdbJoOWRyog+bcCYwP1PSQajvP6f
QdLQL+Ph6imFnKwxBD3KZ6jh3SVTp6GPod55TRAX9oh3GAeZbVdQEYriLGVbkgW7XzKFOTeQCBzD
XkSiQDfPB711n9kceDbtpFIM4NdJl6R4hggS5NSmvjoj4+QlHUATl/VIxrUPYo37Y5G20bvJ8ukf
Xce1537jJJ9XaugQzFv1LJb5U1K1UOG1mvmFby6r16iIF4h8wRyUh9KiqpFzeiv1fG3FO50ebylb
K9yen+eVbidL6QIRSHVjo7zSuEvrJWQwdc9Q1cub5seGNz+Jcka/UNAF9BB12jmBWOEzCwzJRKLe
TmH43m8BOde9eWUAvTqEtFvVPEocUnio8F2czu7NaTrsldXls4yNOqQTOcT9uvrNFJd+i2F7YNWc
ls+LGr+PtFqySEXLyatXXKIJeDAfMZyAj7n4qJLmXZf2H/yadjq8rlvaCmbRtG7NIY265DhGid++
4uJMCWr5ka4WQZ5WjTnY5t7YcfLrcJeZjgynFRRDg3xBpfmBBLLMmDGb3xx3UakiDmuLGAlfridy
5lhFn6p5mfwOe5eSgtZrJPliCyQ661NhjunopaGEvdbZDes9wmlZDMUzS/r7vlsfNrb+4zdTnPOH
NX2kFroW0LDf4iMT04YK88T6xbUuJNU1/d6EBB9e77hjMIK7zlAyL6kwmriUFNsHJDQ1hnMu1vC8
sio8JFRIv7DQxaSqAdX31VIF+dCU8h5GsNtxBjrs1e2uFJmKk3iCa43Ma2XeBe38ZumF5yx3Iali
R7Ui9HywhuoWZ5tGlUpgBr9J7gqR2XmnAsXFxXMg6AMnnXowNi1upGOvnG+uEFliFE760pTP8bbr
UxWWyYG32y09zGutO5fRNGoQQ69ofVzfbun3Sb74jaWzOuGyWxYDQTgRKfsgxJz35a1632s3I7fy
wixxQwQJEB7WI3vPoZKd1TRVx76rkzfrIl5U3bZ5L4vlOZjn5TAvvee7qluWMeGkK0C5FM+2Ezs0
EfflpGxbHb06zYXyN9ESu41CPXN02lhsdVbPym/XcVm1gGCUe5ZACSUszSEK9icbhcrzw52jVbRK
rypg6jkZyqNh84H5+ZTTxMXV0nmNkQgiaFqKKqva/WtU9H5Pny6uFvbQzgxqtF0P4pyW/UvXQvLB
bywvC+6Xi+i8iqKGNrh6pr0qsza01cOKqMzvKuASadXaBLZmA1qf1iUjqTi1ct48P91Zu3UttKJz
q56bagyzogrEYZ5gU+rXMc7hCtNpeFpadMw+NF9gKvY5nQov5UNMFueiobq0Af6nEeKBVH9gsv1c
sFj7bcT/AdFIO6xNuGC20AhPjMHTCm7Mq09cDK1DgERNmOBYtXh8kOFOszWZPZ9+XKUyrtpewDdD
PcfBxg9mjRBEFgO/sfYvaZtXciIuigZHjhr6HWmQVwGRGZ4Mh6xPtD3ukC/y7HknYwQRg3StCQ3y
CTZdQI8VNOJXzzte6CzUJOhSMWmtnruFt4c9Kj+OpP/Hb1yd05XOBO/XmqZ5gUBmq5aHhKR+izR0
F2mkTNXh+T2PIfmH+ql0fpjilflljlwUrSmTZa2LLc0Da/ShGUh87OXmd2N3SbR4KlmPh068sifj
SZb2zRC3N3rl9cx37BJoDa0hVGbWIAdV0N6xsVsfKxlNj4uY+N/IVFV3PgMbu8/vEIJvpFqGFAIC
6hjYbYMaiyfcGbuo21aucbLjmpfDW2x+qmBL94DyMq8LduwybolKkyYwCLLl1oSnqYeI3tIG0Y3+
/99F4L+7QexibfMeq1LPWKpI8FbHMAy7p3qrxGGtl+92HbD9hNTm0O4ss1XO72I2vNVtKI9bevFm
T9WHYhXi3m7NcsCzLHiObv/YRVwf+p6H97Mu/tKzVh952T+QaXg7VpCRCTkoTx4vxZmQpgLZlXzx
GmWXolvtpvCOssu8wA+itoe1s+g/+bXtbDuCUpokJEjyraT9sZDFO4A0t/SvL428NgrOvrNXui3t
vOEmxZpzYqGR1WJ63hjja407O0/X9nArgTx7Lk18nlhyoYO9doY4dWKDqQ2KoBFVmushWsdM2zAw
B8PGxq+GKHZJujRdq6GgJM0h8Tod1jn9hud+r80+dkG6iMwDmeMlyZkKlThOS7mWB9IG8Y0I/nLa
vTKoLkxHBobHwhV7cl2r4SAhzvKw8rk6kUntfpuDS9TRwtJymESaDyLMdd+Cs00av0tC7BJ1Gy/3
bdGo+IBgjGgyFNBDnsWmRjGv5ETsGmFWqYHehbRpvk+ih/Ccbu/aoE1uPNtemfYuVxdTOWsGLb9c
zfbDEIR/b4x7frizXNd9wR65G6wouh2b9hSawvOcchbUvkOyMzIdFhRjdxzwJwodyK0H2ivP6rGL
cQFmaOulqjCiy1wdbTkndyPdx0MjrXmiXVEfcUbq73gqCmmmByEf19gEpz5O9X2lcV4u8BK+MXVf
N/aAfkH6+4VLChLPwkQyj004Ppmkbp/SFcm2rNxDdWoSzXrcZdTwZVgH2RyAkUdLxlfQUEdKRPmE
97ryWEdxP2coNt6eGrVPd5cn2DILi7K+JzU04P+8919ZyS7NgksymYuhT/J2itqTpFN03lsrPsEo
Kf705z9xZba6EEvDoLov1ijJS8X+VdR873vh5WdBYxdikVUDlcuhwdFVdOwQdgPPFiu8Yv3YZVhG
u4MnGOskVx39zFGUeZhD89WvUy5R4y93cpECKQU1FOeAO8Sp0Ps9yn/Go1fjLhhooYoVqTlJ85AF
b9Jxvidcf/Br2kmvIGQLYhYj2ux3+rkdJrjSLINffTr0rn7vlKLBStj1mObRzD7UZn1ssFj9vvsy
/3/p70VEdGDdhC1TJu9kQ78vKfXbjV0mUFR0jEaCpke6PVUyeQmq2LNpZze2U8GhI4WlE/G2PvB4
glohZLH8uoT+3iVF2Y/dopMkT8VaH+UMTtr29Y098Mqid4FAFsnGdkij5zYBnRXWzQ6BndhvErqI
VgrvxygERZqTXc73EuJ2KHllH//cLZfJ9kps4wJabKHW4gk6wX1TLPdrU4UZi+V+1OuOHaYi6Y17
7WXFvPZ3nLGFCiXKatmcIJqfkUpYYbVXQCWfmKMQYf0Qpgvo1QLOE3/+WVcGxAWxbJD2+1abOO9N
+C1tq7eCEK8MYOySVwn0e2gRDHHe4sEx42J+u/Pai+2IHfLq/0SagC2F5Uw+cPvRjOo7bHP9Qh0X
yBJxMQlVUZxLYye/zqIoP8Po1svXksYukSUoS3db48OTTS5HiM791fPYj92MXSBrrxZqpETjdb8n
2TllgMn+PE2S12elK0O2RqygBXxz876K2JuoYtVTWVXLfQTLz0xHfXlXkzm4a0Nlbqy3K+vAFd6p
5VTYZO3jvGw58ph9mZWNeoltlMd4uTlSvXz680+7sgJcETRdpgnuoXOcb6bmzyYYyUEHsR+lFru0
V3TRmi7EEud7HIN77i8qqjbwOwdc2Guv+xkIVyWQYdP6qGY9nsblln7ntX5xzoGqK4ZBxEbkACnO
2tb37SB/+HW5E/PzslhqCO6KPErK9LhX6bvu4h7t17iTYa/nsd/ZLDgyC9itcUMsPoK/UTceZK48
7cUuzMMhukGnusN0SVnYZW3Bx7+KlEfPqR2/dqTfTl29Tycsljnr7TK9QbDlpygWu7DPnISjhaQY
z1GqpI5TG9V3jGrmdza7elTz0lG17THPySYjHPohe7uHXXTrSnHlAHWhHE2LARa1scjToYDEyCaq
IzSqcWORQ2jf73gq8owXXc4fRbI75UnIc0HY+IGL0R4s1+bGAX1lXbjIYqlI2FQVEzkv0uQ0QDfR
hp6X4f8gi5Mi27JPPF/a4UmZ6Ieab9ViXPtsZ83psERlMMqf83Dc5hOnW/Q48tUcvRYdcxcdpvwM
sP/S5XY+dKxhRw5nYK/GXWZxCSLR1w1Dr6xrnSGzFzxGTbx7tn458n65AqihNcNCMFti0sHat7bk
Hgnof/0+3bkXlUuJIvkqxWYUwDe5ozle/fxqd2IX6JrTXau6wEY3ijrMzD7fDU3huYu6RNfQTyha
73aeqzEIj1JL1ADAQdpvurhEF+9tt5XCos/X8iVexHowCpUyfn3uRNCdRImJFg3mom6r8RBOoESF
ZNyv+iZ2sS6N5Cw2R41+X7YPIfJ32cSYZ3zoql9t7TJ0pG55XoaBfJwG82OH7rHfDu9yXWrneHkC
Lp+n0zY+yiXp7iD/casq88oO43JdMa3LiaJyHXdp8i1k5Gz78eufh/RyHX/lUvQfqGucUMea7DRn
dU3ftzZsH80ghwdl68pvW3fRLoQIax/CiwbvciaA4licwX5e+N2yXLaLoeqJ8CZgeUQg+6N4d8er
6JbU+LV+v3TaLxtYNOxJE649Gi/XKYP045Nod797lot2BRR5l4AXl7kewrVgRb4dXr+eKRJX+wr8
lSRQxeZ5kUC0qNEHEKmeH+5ErzPnmDKi4zksd34OVfW1pvzGzeRafzsnqSwUiQaNr47q5O1uq/uF
3PKiv9a0c4xOuyxaU5Q0j3THj3btTdZ3gR9HELvwlpbFGlfM0Bx+bV9JGRzHkL38eYFe+XCX3aK2
5bwvYdAzp3DngMtVm3WK7Ue/1p1TdFnoDgK4Y/lE2r9SrjHLAbn53RdcfMvMKIBdcL3N8Rxgs7pS
KisT5rnyXYCLJ5OBYsjCcihgmwz2u//stvnbr1sug/HLwt/7WA1jurK8a+IXOoQvSc8/+zXtnKFD
2SVpuQiSmwGOpBk0KvWXliWLV44R2Zrfv3wLh25RYU/zUXU8Y134pk4nv+XpipUNNBED4iKKEzQ8
irYOD7oo/Ji52BUr66a1DKVqo5xL/YPhyUVrzxXkLH0FoUvCYKqehzt7B/HYNylJPSNFlwujy1pJ
1a8knxgEKeJFI6+rEvngNVdcNKzt0zLd2EDyWusD26DqWPlJGcQuF9YBOKgj0qNpxn+mqvjQQCHD
76sv19RfFk9L8dAHOJ/mAoYAEMQIfprZM/PpypMlw7CU0brRnFRTeGq65G5JC9/GnVUfNKmq+lpF
edG2n6O9gdJlNf3l1ynOsjcRtHaWCXWU3Wh1ZgfxziANffBr3DmSt85C0yHRNI870f4T1WHxUZHi
p1/jzqG89zreqm6m+RBs9iFa6/fdZD1fLVwcTMqQhWohJN/6YLuLxj44Jqtf/Qle+H6fiCzaor6C
jHs+mfbTEvew+Zn8PNeEi1IVpmyQY5lIvqh6OCg4TWY7AZrh0+fCJanULptqMrjU6rp7sWrFCur8
1G6FCzZB5KkRe0XDvKwafh8HzXSIElS4+X25s4bUqEpVEBPmzd4eJ03PAav+8WvaWUIFtGkMbXWI
3XDPC558WZrVq4hDuPJg60D73nK557WFJ+4BlbLs8zRb+enPX/76JUu4aFMzMfibr2GYR5BChQxW
NFlUbcso+KaKvr2Rbbki6y9cvgmg7KLbXeGvNCWXBxYZ/UGHDYwl904fEsjrZpa1UCfD2wmh8BWA
F6UNsI3ugdr+5aYoTn/+uZex/u+dUriyKmFTm7RnzZ4nMBu9TwLxtZ8TP9lR4ZJWkN4vojmVW26q
3vaHcYAGb0ZaksCCQyatn76YcIErYyMRj2G65+3WWghGrOLQ+IbdwmWtWiMnM46Yb822vqQgUA6s
Lm6cNJdj9pXed1GrdknTLbZkz+MUGD+rqP5azIqetrDhT/PQVdxvqbvIVYj+UCWNd2TJ+PY1Lvlw
IJCNv/UccDlfXvsdzk5i9qUvk6rcc8jqLycUsFQ/yz4R/wag+B5FvBYY9rAfTt2yk6PgsGBhMQng
B7ZXkVckI1yDSkWHYoSIYpjv7EeMrTgbwtIvtyBcilgRO3V4PAlzyJLxQwMf+Kishxsf/r+apNc6
zzm014DEBsW6e76NoYKYGQQwLNTNz1OxdUdZJeU9NygMXG3THiTbSabTqj3UpINJV5nWmRhlhyd+
OhZZMgTRCTK2eEstFvgwsWLb7isTRs1RtkNz9NsznBBmXZqOjrq2uY3G+TSmeNfew80vTBcuHGFK
Iy5V6Gi9VUWGl/nlDm9Aq+e3OxeMMBgaGVptLxQN6jk3nRWJ8jyuXZhLU2DI456s+VrjZarVEJeE
oYTfl7sQH4jbtB437EMBgQmxrB46/OO3PbhMXrrtU1Gm3Z4vbPvW61KDJ+VeOSjh8lYtE8mqSLvn
cNX6vrzb6+pfv2no5EMmFJsMyT5iY26bHl4AAunobIbfpV+Hu8CVDneNiu5izxlEB98kqzEHNsy3
XKvZ61umq8Q2y6U1Rpo9F2yiGZzr2tNGu1ukwrXWL///y72unnra9T1aDymXmSj6MFt47ReBuVxh
gDqArdBiy/tJ8U/VSLZ3YhwDv7nogoUdT1hDg2TL26LTJ72hHjVlk1/NnHDVsYJKs64l/ZIPjPxD
yVAdu5L4aZEKF71SdQWMrreom2iW6jCuWt6DW1Q3DopLWuiVc8JlrxDRRLQtJpsTUcd3VupIH9My
jM+65tV3HtPhycYKJEE6Tb6/yInjZRKtBoJuc24LbDb9gFrvcPPKmAgXukIyo+zZqOYcrML8KCNC
7jgKhf0CW5e7itiqhYTKaE4HApvJMo7vCd6oPVt3jpHVkA34hhjzumUPevoIPN4LvIJL9+8rd4xS
Ou0dG/Oxlj/C8qWELZ7fynKpK9bYeJG4meUt3+/gnTZk0xq+eG3GLnQVLDuqTeg0gqp9E9fWZICv
yhvffdnQX5n4Lna1tUPFUaI35qkZhjtutukE4CN6iGDu/dQukn6P1XKrav3KzvkfEGohuBQX+CHR
npCMN+ny3o5j9c2vm5x9WaeTsfsUDajJmfdH8O1LBjsrP1gJcfTvc2cTnUIdVjPkcAn/ucow56iX
9vtw+nvTUVuTsYtZn6Na5gsP7LcyDTwPK1fSaKqXdCEtpnw7jl1eUWGOl23Hb6m6BoQdDyIZBMuQ
px1q1XgYZqkt/eQqhMtBtVUxDxaFTzn2supNvAMl0YHxMzUXLukUjXVg1bRCMK7aKyhyzyiEsNN7
rxF10ULAct2ewjc9N/V0F4SNzmBe6Vd7JlyKKsZVX4yL6HNbxcHDWKXN/aZHzzXqQlRRQJQUtOzz
tqUfUYRwaKz9/udeuZaZcbEpizInDGXf5xEdxYO08UO/Ljg6uoOMuncB4achjb8KtRZPelLVG9YC
ftpsc+sd4cop74JVW2GR8lltnydEbwYlLZrdj31C/22Lwp7hyqpItupo/V72ReU5FZzFDXNqmLsl
qclbMo7nrhvMqW3Z8OnPXXplR3VV4mb0W50g1M1DUNzHJZj+MtrzDuASV+E6V2TUk8nH9otFgiPr
xna9cexc+W4XuIo7Tvu0ZV0O88/jQCZURtzK+1xr+jL4v4Tnm7Ub9CxqdMmafLwj+Merq10nwMHE
yVbpFe2i4AcO83XGAuZXrCpc0spEY5ByYU2Oba6/i6FWeooIkwe/T+e/d0nNO/m/4DyfY0kyo5ps
QI2pZ+OXcfilv2torM06IF2+Huo2jLNxaz0Pr8g5c8EqTIhPoi4firA9i35YzrTzq7NFGc7v393Q
fiySkjf5WJLHfZk+N/aWUvO1KehknSCn3VQy3tu8Esk3lKGprF/LD35j6UTHtWgkaJCty1lCPy2B
PVccMbhX2y5f1YFqDUu8y+UBE5XOGlOpM4QESr+t0GWsUjuzUFOh88TO/aHU1Xaw4eZ5LLp4VZF0
m2xp2uYsld+DUu7ZPI1+a9+lq2hFi7JIIo25MpLTHgXjsSalXxLHVc7q5MRQ9Hjp9SF8wBXly1BE
938e0MsCfyW6d+GqMmJlRfimc1Q6iL+7JOBHvuOdYIRN6o2K7Ctz3SWsoO+zRVJ22MlZ8AlmFhCc
TQO/+xp1lmgAMrKyYtc5s0tyDOJBARFt/SQFhSuhFTZiJoqoNk/aZTvETf+0w5T9xlK61vPOMuVT
IWwbdCaHlMP4fmJ0PcYy6d9oCWrfa3Bd2OrivI6awrLL6Y7ltI9TdRB9V5xKG+5eyKJwoSujln1N
pgprSnQ5TJMf5l3cyLhcmTeuuWPRhTtuyHWTW9qUOcxB5amykb3RN9daF79v7lU9WSPtaPIGYsS1
kWkW8PWLX787p2lSRtAQCromL8Jmf1QrT87GWHmE7/OtR5Ert3LXyXGFCEi4cNnkJDDhx2BddZlF
9Tq+KasEvHFQidNWUHFjl3i9s7j7Ej5WZhx6CMrlW7u9FeU/4+6HX/L08hd/iQ2gyiCUsqbJh51/
SYPufVTfUpB//aOFq/4VDoqCTUu6fIxHfZqG895TP0V34QJegYbJLvLSiDu6Ls6aankiRHpesFzA
ayrDpU/XqMmnroACRLDUmeoDv1SCK/6VwHmItJCCyTl52RLQhkspPJPHLuNVD4sZ6VqavN4k0lsp
rR/HeeE3vvyyMl85qlzGa6JxNJZBr/MJCEzyxCgvqgOoyRUWCzFXPzU3fhoZwmW+BoBqy2ZaDRHc
8D6elo9m8TNvE64Q2DomtI66tc3rpv6ObNrfJoAEkNe+4zJf3QpA2nQIQoq00P1Bi2r7VI9q7LMK
qph+0byrBNbMupaEIEaz47ocEr3D407eUka6smZDJ55HJIIymI3qnEQsPRAxNyeTDOJG/1zZNF01
MFYGPG2mEed52vdv1lW2sNjt4GmF1/hqORAam/ut0eQGZ3LlhHflwfjYheveLy3e3kgH04OVApND
ESPR5c8/D/i17nJiCKY40ahRxREZ1FlC4V1BufLTJeAuFNaNcoTzMBpfO8bODZnve1Hd0ol5vW+4
S9+265jaKTRYBlBzOaVF/6NhU/lUU6pvDPbrfcNd7qxJY1jUjKTJNV0Po4T7ALPNJ59+5y51NqXr
VgbNqPNFqJ9FYD6PQX8joHp9jvLUWQEzLHp2ta1N3vN1+iCAWf7Vo9pTZXXNh6wr+xa+oYkfS8xd
nGtpFjng4RzDwEtyL2xfHlPJCq+tgrs015K0u0DCHVtFNf4s6fhAoBLtFb9xl+FahK3MvhmNjHXR
Hm0RvRX11J68xtdFp2yrUTUH37hcxzQ5psLEpxpqKzcOsisz0yWm5hKGJDSddc5t9RzhzpKlw3Qj
g3qt7cu0+iWemgtGCkAsOu+seOxGUWQKzu5+4+kCU2W7h3EnTZ2vLHljw/WpmWavmz93Eal5myuE
JqTK276ApFnf2YyMk9dNAk/Yv3dKQFM21/Fa5bD0aQ6gfYKDIrvXFZS76BPScXaad1LmQyu/1Lgn
7nq60fSVvcAln4JJlmZEeWIOg/IQ2ejSyEdmhulpDTvyTgUBgRu3rr/6TXonJ5VCprCV21zmXTKn
D/CNVAfkM+WN9Xplw3cBmmJUWvB6L/N5kt23dZuGO0XJ9jTBd/LG1nll7rscDZfVpko7lXlbSpTn
jNV+0D1hR6/ucUmaSeoEyrYKrfPtcelscbK9GO/9GneW7Tau1oyNUKjpWN4aPj/Icfcz++EuSUOE
nSTTkcorEI8HrUSUBfBQ9tsTXJKmRuVsu8Sbytd0/rsuYCEaFx/9OsVZtvGs55iC/APbzT/LcXhu
ovZvv6aj33cEyZSZklKj6TV5mHX3F9XBv35N09+bhqm0XEbVq7ycR+jzsB1XOOGH50GV5ffGTWR7
I7sgOMd6PK7N+LgQ85ffdzuxJA3WEDk0NC0J/Ux3YbIqgCWaV+Mum9fjrF5EVao8QMruZAEkQ3Kh
9MOK+H+QqGCZu5KmwZmH7buS2VzOiV8k4PJQqkV1mLI0OCelid9OWxe/VbP0O/RcHIrOq2omU6h8
7qLlbVKw9dSnCfPKu3KXh9qCeCVbxxV4KHKpPi+hExuS738e0CtHk4tDFSXWTxPh08u5DIosDVj/
lkPHuYXcP53uZ7xoH0ka3LrZvv4uy103QKCXS0LmNTjXfVDygw268tgpMb0kehJ3SLa1d5vpg8PO
eOG3JbuAFAlgW1fGZXDe9rl7CZJgOuJCIb2qD7kLSBG7EGXHGT+ImO9jod7FEDn789BcOQZdXapC
dryBdDDOEvECef3uWFJObxyCV8bB5aNYNCIUaQOVtwmEmBphzN1OpvpJa7wG6SidswZl/U94q/VL
MHMXmxJyTttpGoNzazGLkwqWnbXxK+rlLjdVsHTB7EVujVhzgkTnOzOoG7HblVFwsSmZTlEFDjE9
z8v2uVmr573a/OIcF5IqlrUMWpQs5ExucWbW7a9Jcr/J42pFhesGabkWZy4Lt6coFi9NOvjhjNwF
pCi1YymgPnWe2/FRb7LJKCGh3wnDnWN3ZtBC5mqV57puHvXIvm6oX/VaUC4hNRZxNC0qCs5gJn8Q
s5p7SiY/pRDuAlKwk2v6YbfpeQqbl4KAFx6QT/MLzlxAimnMbSoHHAEGsgyJXr7F4ez3Fsz/w0el
pi+HtU3PW7V9hdHM+8WsfuGZS0exaSqlDbk8lztkQvdo+b4NXN3Yev83Jf6bSOYuHqV7/JfCQXKG
2E6bbySe7pYpmZ9VNYfzU4lLxH2PkvkMBrvyPlY8eIctrn3cYE2ps7qUDFq3qhUzPKIndlBlMmep
ksuQmaWefjDUwXyKu6j+txI7UxktavF+rtpYZW0jkMhRaTS/lAAE/45CBrgp6GsN1HGlJ60SfZiS
cP5eJGa/wwsDqoLXpnlbFCSYM1tNK5xZEQlnJkinOSswZ/JOsB2u2ZQehEpaCCrpcM1YUeB1fh3i
NyAvqq82CQrocyYLv6PrXp9VE+j7AGq6j2JdDT5pTf2oOe7SYYYVMIaIInhC12OZ7dWIt3w/a0fu
0mEbHwHqD6k8c7i4dKvospliF/nzKn/9eYG76JeJ26KeLx9uUPT+MuC29whf0p9l3KhnRbvp4c9/
5sq54MprjdYMvGdCnkkf3stEf1wR09/4Cdfadm4HpdDQv1mG5CxDPOwEejtx1vu5xnAX9tJNInYw
E/Is5uhcSv4ZAoV+karLeskFCRqdjslZk0RmUfAxIORW7d2VvINrlZh0cRdi8aRnWaMGfoo2dd+M
Mzm04+7ncMxd7ks0yzg3PWzQJzG2mWBbXsEA129MXe5r3UHn1oFIzsjKPJK9IoduIZXf+eAqbNEF
IHRc78l54st2vHhfHfq66/3uTq7ClurKKSgg2H7uR/mj7Mi/sHr98OdVdOX64XJffJ+gUBVO8lws
rDmWii6nOILBdpXAuydtg/1xh3r+jT92ZVm5HJhGXsZCLl2erakosnDtO97EfrlgV2sL1eVsKErs
OtuUjoc+tSe1xn7MIHe1thbOxqTlIz5chvrOhOZZjdJPbg9mqb+nIlCbQuHEjNFd2oRBiyCpTlw0
yfHPA3ylz10SjDdWQDYAYdE4CnkISF9l6U6N36JySbDRxPB9jHl6ZgbvfjABWbKdVZ/9Pv1ywPyS
glcVKS/+1+lZtDN8WMIfJZN+G6ULgs2FHeqtQa9Azvgh6R+6uPe7rrgcmFGwjwt2kp7h9JSjxhaK
HnzwS3O4AFgcDO3M1stXC1RYh7I+xEngVwPAXQIsqcne9tWenjsYzxQmsBmDqYHnPHEOVEw7FcmW
pWfbpc9tMw/HIqxKzynuJNzKLRohKqDisy3b+7aKlkOVFJ5L30W/xqQqdF0qcS5t+SZq5GNiPeN+
F/myRSk6wQtxjlY1ZC1Z7+mQfvNaOy7zZUhBYG1QiXM9fplY+7buFr9N3JXYaiCkHcZVKc66xGpP
qXgMWfvO76svsccvK77BzkSSzcAdcQrOwfItqvePfi1ftsdfWraSNG1ILn0diPD/OTuz5jpxLQr/
IqqEJBC8ckafc2LHmZ0XKp0BJDQwienX3+V+uqHjuIrXdBtjoWFr72+vdQsDFZynFvm2bU9nvz9d
G5iXtbOJb0jmRVAGGKddlYSvBLr/TrU/XLPWjJQ3eoLXA9g3qBVjuc/Wk92k4uIOPi4I36P0RxqI
MpuTKbqSyMTfsJbNee6w95R5w2RWVGQ8xKyPUGcMqMgKHGgPU03LEEVqne9m1YTbNtY1GcJEwuIx
1dFtCrPnSd1tqzyuEZC48C5SGs8lcTxCyMSRzKpX7rEvHJFrTCynHS54lAmsw+qKZkuWwe9lm305
rBx+nxpjbdOoDOf4hnzH95iYJ4/VuGnWrSkxC69yAHVpdJstGfeStOORRctrGcoXRmVNiVWlcl1Y
FNGtGfj7qKpVBupnWyJojYVNaQi3nphGN2nSHeLL7+m0bMt4rLGwwMNDOwp4dEtxeYYOzYB0TZVs
PCTXYFiaFojMOqhaQE/v55BA1I2zbWa/0ZoHW3QFwfEBlJ/kdQDFnMZBNuJVzOOFjrBoTYRpylqn
B8yWZwopG56dKEQM36IsxPm2s0XC3hY5bT+QHI6pu7xPW5nB2Co92bkfd2HfzBun7WpF5F0zkCDN
6bNT3H2w1De0Vm1q6edr0kpKpBfa2fNbV7Kbqd0tzIuNj05+X8eJnH1s64TdyADYLYDjM+vVazzd
n9caXyNW2NMk8ZbRWy39nsX6FC7Dppsp/w9hVUd1BzqS3lBJPciovJZT9Mqj/5wR4P+BmblERSHF
SMeutvBJnX+xLmr2S0X1posvX0PNDZVW9zygNwTSd0vYXbauNr7Gw5waFYFKFr31BmMSk8dapxun
Cv19qoQIBNJpmMMbS3KfiUBew6XYtL3xNQlGIlnXdRjO2N4atU9LLzJI2NhNpTq+ZsECVlP0I5Xk
Vk/0x9w2KIzIV178hcmyJsGoF3wWflluskzna22eJ3k/qGxI+bYojK9xsEhPS+lrutxc3JgszfOn
WqWv3aP/nNXka/2stm2tLJJmQfmsHj5YXqhHPTblUzTJ4swb1W67FfA1G7Yg+YilNk+oBqTv0WAJ
WLTfFOjwNRuWUwMgcozGWzLo+RwUzu2EF9saQfgaDiMpqhihw9NTJvZ90jVHLQnfNjPXcFgv5qWC
rCpGxRtk5V0pMmvDV640L83N1YJdtK/aBZfIm8RmszOh1edOJsVpKCv6yl75wg6frC/ADOXXxKL1
uXCAWaDstWsdfe12/dL7r07UgASa1jMZb2IWsN0Oa3ODrIp8GHJeb4q/+RoJy8uqgQtHN95Y2TTn
kS9oPmPzNq6Qr5EwqMs4aGRjdBh4hExT+sSE3xRrcvGc+fy/m1+jnYLXl57QtaKgapCKrIVv06aL
H18jYYr6poVvz3QjkRuODBY4J2LQuLwlwOdrJMyQNEzqKhlucWL3rWwfRtu9sh2/MB/XhnZDw9K8
Nn642WB+m+gy2dHCd9sm+1qNEem6ruc1aW+6D/befocxzKaqOherlUp5FA96mbobTkbYfVp3GIdq
WwUZ0n2/z5Sh4f1E56C98cAVO14kj4Eqt3nd8rUJZyO4SRRx3a1MP1bEeFx7qo3jvYbCgnQg6GDA
sz13T7Lo3qG9db9pCq6JMF3VVaNL1QHsCGQGPc+G9Xrb4lkjYaVhSH9FRYcbJvCIkpJdEDfJtgNj
jYTNkzVFOzy/eDksu9rll7hndFtcuibCpspBGAS2Pje4jL2piPg2p+r9tgF/XrD/t10tDfRSJ/Tb
3XLou2SK9W9luvH8X8NfvvE4RhPT3rwhP/Mh/kD0+LTttVcLE5njthp7PDrv9H0+n0jfbbou8jXg
5aO8rFP4RN/K0Bd7XctwB9OG14rVL+yDa8ZLw1W5qeGleutQBYNYbhgfn1P42zbCNeWFJJ3TURHU
tzmdPlAbvinr6sOmAV/jXJwoeGy4or7Fc7wctSE/gkVs62aBm85qEi51Uym0Ad76YvoHVrCPBSwZ
t636Nc8l8jS1yyzdbQQ10frpMI/TpqQ3X/NcKiorCO9P9ubhcXhN43S4I6HZpgDJ10RXDd7Dc0BL
N4S2cof2wz2f4NS37XOy30ecaSlDikT9zUIa+VBz5w8iacJNeXW+ZrryUcOiYaLNbZ7Tuyi6sSF+
JUR5nhH/zU3zNdJlB04Vahj2luZV0B+awQHt6Yh33wWcbR/DoUzOYtRLvXFFrUJdUaXw9Ax7jBOP
ySEXPt1VXftt00dYU140MhDyjYW+iTb43lhhsqTJzbYzY0155WgcDZcgNbeidR9DOBTLNNwWzK0p
r7ggSyN7Z26B8Ozsofet8yXdFvmvIa9olinN+97cughQch+gSzghyBhuG/LnK83/HXfYH5PaeWVu
kSH13g0t2i+hz7/x6avDdJjq0kBU296WQnwzbr7lHnKBf3/zf6uuf5j6a84J/FGSogvV3jA6/hzn
dWmzxrbz3nNj7iHtJY9REy5v21H4N73q5oMJXXgX2UDdJiF6GIJJbfbPm2GajVzn3Q5ajM01V34I
D1EL6os2ZsZoQ456pznCAaeK4Q0sZ7fx/nzNUBEPx6ZGYvWyWfwYeHhq/Lwt17CWyyqpUHMI+7Zb
1+SZq+GuGXm+LQ3P1wiV4cvUhAp5JE1zWHA1D3m10aCcrxkqyZKBYS+br4MzZw0j3F/l6Moff580
zxPvD3NmDVGlSzUOPlTLNZDDD9Ol+5Gm21gMvqanPM8bZKmr5VoSBt2psIOoFdqTtnlO8rUKhJuq
ZEpkHl8BIdyDoxwz5dSnLcPC1kspJeiXSdp6uBqWfC7qUWZtgfLDtoevQtMSAUdApqi7Niz6iRLf
BfmdX9sevboxOsWHsezlcG0w9C5jdtD/NF0dbhOwYOt5XsUSxhapGK9UU/1Q5CUUGge3KTHC1hPd
qlpGPu+6azJl42Llj1bn5PumgVnPcwHdhMH4tL2awH02VD62LtnmZsnW85yhrdvQZHZXL+cu64ro
rqnoK7tW8sf1ydaQYNk/1wWayF1hewiTkvJKiZXZUFdhVkXjg4RJ/DHSr8kK/Xk3YGtqMLcxiSpw
vldsaHLHwjLK4kTL87ZvsDr8UpIa9PvN/upZ4b4KA8mrIUT34rans98PbjangwstvkIHxeaHfK7y
UzhM5f7vT49f+A6rNQu7Yj8EaeivPZ+Zy9yYsJ2A2keRhSO1OyPoNqkVtuYGedQlAMNJd4VVUpI5
qABlNJ/tKwHInzOzbA0OxrGB6Ixb2iuJ5/y9hOvaVdc2PPYJaI1XfsczJ/jfM4Wt+cHABdYvSTFe
00mHO1jTFbuZ2uDNSL3aV2lZHN0oWJaMIQWKXxTbLnJsTRZCpJv0VdyFl2jK68MCfeNDMG0Datka
LGxhE9hMyxBegqJkWb5ECD03XvrZWmNu1LwEfICH61LbDCQ21Nq3nQhrsDBuWQzfNzw6jYGoJL01
WQ+7+7+vihf2izVbaOdlGJygwzVdRtlnDE1116YS0ysI7QuTdY0XzlLGheCIQPVQ+jxrOlfeCivY
1UwJe9z2J6wWdhXQmkyGDdcplr+4gDZhDxDh78/+F9j500pYHcelaaG/XHTtFdFJmWLgEXDOQL2+
lVCGPCChW59zeGfdjbMyu76ozZEMJj8wZ8zPv7/CS1/oP9dTbfyIr3SNjMuaJPkW582myylbg4gV
nabezt1wDcIJujvvlNjWYcfWHKJqFgjc8R5RjKnegslgw7baC1tTiGOEoqmF9ck1ioLHORXfeLFN
OIz9B0O0ZY70V4u1AHX5WKBs1CXVP5u+4trnE1rs0N+dl+ZZCftbNz3SoN+4hNdyc1qP1vdJGV5M
ahDQTQdm0k21EbYO0POQTdrOBbYeI3Qm6nHHR/t524isly38YEqe49mFl9OzOjHuqrHehEyzNSKH
u7lioZPV1Vv7xEx0lYy8Jg75woJcM3LMk6DORUoupZ/fpzz4KHz1Sqz4QoyyBuSki+Gg3AfkUrDG
n4MFkQOv6+TeeBLtAZ8tHzaN/RqWYz2xbhE5uaDBIcur/B6diB+3Pfr5T/u/7EtXdbGCcmB4yVP7
U3Vy7yED+spu/NLIP58y//dsFUxzFI8JuSBd8ZMI8WVu89cK3i89+/nf/+/ZQV7HhS0wJIWt7xtD
oz30S+PDtkFZRbZYnpiHFC/emPqtTBpIHqbdNtKLrfnYFvqtqskjcoHrz0PB/NnP2xoG2RqRBcmb
mqTCo5NJ7hIWfSti8lqy66UBX51rruUD7AE4Xpt1WZ667wGuSZsmCl1DexWrE7R+MnKJk+qD1fWn
xNlXIpo/vzZdi6PJkQLWa/HabAnvBpme2i7adP+ha2SvhfaRgPELRqT85tr5kth403ZI18Qe7BPp
oEOMB3XVIel3k5HHLTMbZPDvy4blKmgQ+T7vJNUnUi3ZXG9L96HN8PdH0xnNHa3EcLSqeLC6yiTT
m+6xdE3qFbMvI4g1mWtHhjpLzLTsl7J7TRDjpSmyOtkWMB2jrxSFYl7xoQxmoK7LvO1ySde0XlnS
kZFW0kvq8yc1pE9JNW06keka1fNJM05seF41TX5vR7mLLdk2tdeonnFl2g0jpknucZ/rCwm4Mxf7
TXNwDenptKjmAvWhaytreUajNdt7xV67C7/wNdeUni4mTgITYsGn/mnQ7WGq/Ta+Dc7jv0/xJFmk
ctVSXdOWJRkz/J96nDbFbnRN5ilJ4zwoTHiZhwBWOv60jGbjo1cr06opl8kQqCuFdg1X2dQ9bfuS
q3NSUGfSfMKDx7rDBut2xieb4hK61muL0BIABW+/XIZoYJmK2wlJbYAi2158dU2cAlrlUZiq6+AV
XL319yZumleSMS9NwNVBCU/2Sshc2SsWkHYZgRkqy0By9tu+5prDgyTBMFak09ehKpdzXMASMx42
pnTomsObiqpLo65yVygIzhlT0VtBUbnZNOxrEE8HudFmsssFuhFxNtOBZFRu80mjaxBvadxAlTDL
xbB6z03+kbHytbzCC990jeE1iSHtHENdL2DVU76gRNmZaNs9lq5BPNIliXPwOr/4fpr0LmqVQGu0
GrYJAUPa+fddKx8kdquw1dc8iL4GYCMUUdtCfLqm8SYdkDYshL0qloPPr7vpyGQ67/8+X56jkv9m
c+gaxxs70gE6Td11rmv3baw4edc6L98XQ/qaacNLX3a1WhP0c/BkYfa6jPNXrcwbKskmbImumTzY
e5M8nLy9pg6i+7wW5K6KGv/KHeXfrtw/DM6ayxN9pKZp1PaKLkyzF5Npjszx+VjoOdzRiA+7onEk
z0LZ9x+XOFlOI+bwtzEY+y+oCxRfKA74fA8R6vxUDWX8bWqR44jDtrQn9BP0O6idhPmBkqjdF7KL
j0sX2Vc+7Aujvub+WOmDPsW4X1B92kNdrcraqaLbdpn/cH9MzhEf0eeS+CVTpj5VffjK3v6vTsGf
Bn0VPyv4S/VoXXNXGWAP3skcoDsoei/OKoRT/K6Hkke0I6oBqQuJprOA33q9C4J82g1pwQ9dxZEW
jHoV7KlOQpXB7737wHRIrnkxyFNZDGRfAUE5CbSqfvFNIu5DptDBKdO03efhjA8TPoc1lvHw0+jz
8hjRqH3T0lQdDPxk7p49o69507xWwHjpW623j05WqukwnLH50Y7plfhtYh90LXwnoGfhbd05xCWc
PDZDP2W0T8Wm4iZdi87Jfhj6tMB7Q+jjPh6/VAnbFpusecQUGhO4IIzqmsfFfgj9E6xethGxdE0j
ugrKf3kUVNdmat+nZQ4NpPyVHeOFD7lGESsRUJ0ntLzWaqyyPmnVCUorbtvNck0jGjoJW+taX5eg
YW8m4SbALhsVMugaR2QJidK8TOU1VuI+JmTnoX/w90PmpWFZBfUw0WZGA5y8mrT/Jw/aj0vIt03B
NY1YD9DqDKSUVwz9WxEgpSnMtE2/FBv678e6UdJxaM7Ia4FLSTYb1MfqQm3LQKz15UqO7SwwY3Dh
Kvha9Uj58LLduEGvWcSiN8FcLH1wYbP8TAt35dpvyxSsYUSpSxiAOdzl+7ZTMF6Xd41h8dttM2UV
K3TBrOMyGcrrGHT3xMLyVHX1tloq+k9+/5xwB4i44HVxtbSc9r62aG8vlm33nTV5yGzBC2hNodwZ
yvwgej3vjLHbkgVr9tAyqIcFSMdejQ6mg6N5ktFFv9805mv2cOnrZJmwii5IW/V3UbIse9PSbTVm
9I78PuizS0btyzC5JENX3nrbj3fEpNtUSehaY82UM7oCIQl1aWGptXMqYpkvh2Dbhrsmpqxrw2oE
zH/pwrTadeGyn5oy3BZDrbHAuRBdKOI5uQQOVu6Ki69R3W/TvqdrMLBrYacEydbkIgNW3ucB+xrE
fbNxNq4WadKHuknILC5xqd7njo0HHS2vWfA+z4s/hH9rYCopdYs2wTy+BMLxo4CV3AUIVbOHGP6w
7bOuuammDoNqKkl86Scf7sOGzh/SqU0//X05vYCsQtLi9xnPlqVhsGIVl1Z0VHzloRDvR52STHta
PNZE+SyuXH8aHHzY9104v59LPjz2EAT90aNvXx95hCaMXGt2jFQ3vhM0Jw8cceoR2kzkY2jS6jTE
S7rzaOS7S+ElCXYDGqJ/f/8XDus1qxOVQ8iHpoouETP1PZhS9qZzcbKtNkvX8BfaKIHN5HF04WP+
pQnce3hFb4sF1qRXGGC2PIcxl0BDqn9JmmlXxOlrQfpLE3MVDNgkBU/cTNGlAXAUZ6aJlx2N2/Bd
KAe7LSZYC8X1NIIA0uQj5CmK+SnxyXwQunwtJffnNgK6VoZzBBJ0FvI/F4l6+LuqKaY7hX2z2DU+
7diOwKtBI3tJX2sjeA7v/rSUV/sECp9+cEsTXcY0SfcOH+VUsqDaQ01aHi0ilO+vzNjnB/7hF63h
LBIuVa9G1Iao9uHw3vFEtbu6teE+0a3ZOTSLZjOL3PvCQBFkD2E/WmU6dB5fsGvRVG4AUu9ly9Uj
7s39BxlNxYeqmtNHYF+dy3gzMKxHQ0BtLCNKf1AKf45nHxOiywfVB8VJ6W78oKNZ3HnbwhPkWXL1
iozBx0Xx4uBKV53MUMytzhI2hKcU1nSnhgX2o2YuuDkd92MWCaYyp2X3uaBQTnxlcF4Ym2cI8/+q
uBZasFo2+XKx3gJ4D+10EPI107oXvvAaIGPt0CJtUcUXhVV94rJTx8hwdzBVW7/r5KxeiTn/xSv+
9IWfX+D//opy7lRj0xqnAtrIyF1txga6DGAlshFKMQfwTfZz3HTNdzI10aGi5c+QVjwLzawziSLI
qSvn5BUk4YUN8j8kD2/CqgAzfOnc8qMLW5HlBkO76XOtYZ6gcfNseEsv3MdfJ5Pprn9lX3/hW61Z
HhYUlYo14nYSWPjoWdnuCBlhKbbwZNeSdJvyKl1zPRC0jmWYNxSfqmK7IO9PVmxktel/yD9YVaBD
TIQXrCXxCxbW+bFFU+E/fx/85zXxp1m22uK9n8NC+pBfIp2mnwTppwtTsblxJdyhKwp3HOtkvgie
jKe//8YX5tKaBmzJMMdD1fCLQub1wjFV95C+y99uezr9fdWEZTOXS2/4pUl5e5HQcshaGabb7g1r
v9nZxYzMEWMXu0zWZq1DRFKMCf3495dn8b+FuT99j9UBglx3rSWyxRdH4rLgu1KhjafdjXUvCMtS
dHr7d8s4xN0PiRR2ajO1qGnRGVVjQEwmExrB2XGBp6+qMyiQWRW/LVBYHPSu7UI/lJCvjhOU7BbX
zWG1g9uH5p/6f5dg1k8oof4qfJMWU4YKgl/uVVxFxfeiXipkpaYC/f1wH1+MsvdUjvrQzik9FWh2
DQ4dcTgspsHLsxljkRxKhka0Pm/aE0r4N1rNCopxFrq7Q20jsuOmjPZjJDSujyUO4LSHCP8ZxpHR
TSvmH0NJcr4niyzHzOdVeURf269CBsuPfACHpn2vsoak/edcTPm9g3vRk4E/9UNTWnIsBZpXxyU3
6tfcza3L9BTr/KGFj9cXkyQkOJUu0vpB+A7TI+sQ/RlMcqmCrGJh85DKqt13hqjMoLduV8wV3Itb
Hxlcc1lzk6EsIZjb1FkV6/d1tfBbir8BfX1lP+10F+b7OKjUrlLePIp2gooebRtxrPE53xJJ4uE+
1fnkdnlkowe08uYPAQzwztqbMMg8WjZ31YLGrfNSTbR+DxQbUtqlSb8Eqm2yRBQxhdcF/cgLSb7n
nP6K58pdaiXbT3DyK1wmuSZyB3as2oPejvam7rp9y3t/VEnRAf+QQY48snDIkQ9d/anuNIVUgy4h
RtmWKfXnsYST+EMaTADwYWjQjGfV5hP72Li6EYfAWfy8n6PpOQXNbbUbRGzOjYzDO3wAh7e0CmD9
XT0WSQALBCR++kxCQU19yotkpFfRVelcHrBtOtXvAqsTewsT/GjGpBt2S1uQt9IUhMMl09JjXjgD
yVM/ch/s+250xV1faVk+2Mm3R4n5ftMzhOo8qzsokYla7G0nWRbhPmL3Vpu2fhRVoskx6hpBjjZF
nH5U0ZS2+b42C9IBGfLnrn6wIvDJm6jJm/KTr8LU/tMiuhq+5wgcyc6WtmoqvEijgxPShnSxO2lR
RLrE3Hp9pHCKao80gC7pt6Ef5PI2yC3UOySI/foLHeZqhH6TY3RsMopaxQCzjGGwN0qJZrcJJSn5
XS5FKG+h7PC/GgxJ9AitERJkM75FdCxlZOMj69o0OY82b5OdJTnYsqwm0DrZDd2cJm+gjJ8WTwJY
bHsE5M7sQ+LwA/vFuKCw2TjxPn9Ep75gR3De8Xgsm5rLn1VsO1TxcDcbioeaYR6eEj8M8cW5WkGL
qzYSmYa68Chw95ABHd5WiS8Oqg3yEWB30Qwi69JxjD9rxlj91MwQ+HtMuIkQsBB4xj9wH9bsvFgu
pl8wBgyGR2hIygZtt1NQ3DHTYcaGpVLlXR+Xdf+Tpa1ibxICO+inqk2n5Ix2Fxl8LAyvET+6TkwJ
YAzF+C4RY51/wk9Z/7ZuIljhZSMLEnsvBen8SfVz7A/cdMR+0IJP/o0IMa2vwptAHBoaz/XnGJW1
CBdNXWIaQ8wgPdWVT5s3Cyv68pwqZZovZEkofJZ53RXhbmgb4osMUkosvhOq7+2PNlfPrSQODSUn
FerInfVk5uJag7YMz3GZInAHwj3p5W5KzTAWuyqK4JbTk4k/b64exjaf4cvo+mPtm5rdKDajOTo4
6XJ1qSS6qT4PPI6rjya2aUyhVzTCLiujegGxo7FVmLsJf5N6bNF25A55mnfRnbJ5pJ9gH9eJSwkx
wKNsy0if9Ij/H62ii8sP8WyT5jGnEBLSmQor6s6IYuB0uY/sQPSZpEpO9rikCRpfZ40Pcx/EHHVA
6IB6E59wDqFlIEyl7O9G50f7U0CLMT5TV1M4Gw2mKrKujdt2X3eVDn8s7RD4kwnTflJZ24phzuIy
CvZFF8K7c0eMa/w3R8VE3lptKwuBaQ6trADXGNIUSFDFSCB1Gmfiki2hw/mURkbm/xSxHIN3oglD
f7FNXE4nbrRIbmEVDsl35eBp8rGvKByJFLRL8y8sbEf6xgje9O+4wiT9NdBgEHclCrcNgZMDDfk/
nNC+PTO4XZBrZ4fJZhFg/+anGIZhLjM2QAbxs6CyC49Ogph+U/Uknm5jw3A3yvRQJNU33/s8vU9C
3ZVPExbCUGZcjF3+MZllHhxVPtL4SMU8FTeJ3oFg17A5jMq9oZxdIXkzBqeq9U10LWhF2dsUekx1
jMYlyM13+xz+WmihJjhLyHfolRG5xy8yVbV/XhzdvMvRZD+PGbW0JeJA4zCqbpJCnFnulqKIhx+L
abrqm7KR6r/1iwwEbmdwDvmYuKQqPzAHQOSn15LNbt8mQeyjYywZMkmHvq/D5FaV2GQfKTzJuvJs
CCmTcedo3zdnXzYTK869K2a9ZBI6rvEXGTGeH+bFpUbC9ySuoymLFyOjeC9KSSKe9bQOhhtNGpln
Fp6nAodtnnd1m8Vt30bhAURAnHT7ktnI8ZPwQ++fOknGKTrB1VfKIZs5ILmvykdNP+9iP6BMbuYc
PWBZMttiiLPYhvDcQAeQnE6wD3RddcpZHBfhXsZpEtgLEvOePdLBwIZjx6Y0br4pY31dw8s9LOXF
lT1z847LUJsl08koKrQtDfUS75Oht6LcpahGkpOyARRvssCAfblbIK5dnUVgw+FXROpYnEYqg/pU
IvOU7KMlbuGHK4xCvDTJrozkMXQiLzTKMfDyO8RqWOaTjseKPgV5abvD5BP+Sy3Chj+FGVh1rqcQ
tTjK6U73UMOnwRQRZOBCxU/Qui2Sa1pQMp27IEqm+RwtIbskaDOfcVyPpjrmbTCQj5ZVxXKI0yCP
1KmgUwWnrS4Ywu+JoeTMecjVKYGaqDoUVnbRsEsHaKm9kSUJKdxN56nTOyTpKECiZszfFqawyfvQ
DEOD3gc23wW+tRDT9/FO156kl0EW/SlFFNV+RQEXzBrsn03CT9HMW2S6Szul4pCwBNBTFhU6tacu
AIEvMqkkDF4mNFQkwK9skyGoGrk9zVVP6bsQFrdFcGSCNNPFxE6qxyDsovAKOQuKaA1LFy5s6AK0
aflPEbCmPSdSXMKEu7uSwsAFO2zqnsY6Dfy16ZZK7pWYaXIXhV2b4L91Nuhg3QIJxX9gq47Wi2Uo
g/KCwDpmX/oWJ9cD+D5D3+X1Qqo7ONlgAsYgE1DS6FXUmxMUoxu8SVLxxZ/x/abqcYkjqFJ2Rv5A
uQmHocqXcwERvF9CdKXvsnGwQ/2Wxbn1N1GXs3pg6EiKHuYJad33MwOBewaiaGSZDbqM2FVoNs9H
NM537mcahkF01EVPkifuhR/fRx6M9/u8MG3+XeFd+zirhFjKr3kvIGwNVngp44fFpMqha1LrnuAv
I7HNSqIl+io6PmP9tt0whTskbOWcOcJFcZcgs31UkwPrlOVDLU+0GkSHvWKq1EMe+yJAQAkL9yYG
0CBTA1jkMCQJ5GKjmDRDuCPStMF77xpZjweUJPKoPj97mZ1SkeCo7kWepOWuhaMEQ3C2ROJHbtHU
2eximB2R+3gYI3lHpyVyGR2H6bQYrt4LZQpI4VYC17ijU47LJBsJLPHe8KS1dZlVKjHNPc0r7cLM
x5BoxfkctLTDhwsKtbwxXVh6t1P1PGf49wBYlY5K/9jhgMD2B4Y2b6es6KTds7md6h9RPgePsBvC
5d0Q0V0tovR+wY5G2wXpOh4UHzBrQ54JVcfjHWwhXJuhi2wm95DITVCGzdMoLW4xJNs4QoYBbiMH
PFifqwmL+EMp6nSc3jQ4FJq3o4Pv2F57rckjAoX/cXRlzXXySvAXUSUQQvDKchY7x/vnLC+UkzgS
ixASAoF+/W3ft1S54uWARjPdPd0dwRblcDhxihTJ+MuK6LPsNNlszZ9tMUt/Xlbefktzh43hgokz
Wi4xYOuEDIU6Q31N48eANhBR7wneK91YrBcv5roxzWaDhvoL3pPxFiFrsDfbv8X3jv/2cZ+8+yzJ
PzGbopidikPprNySdl/rObXs7wEjnaoDiXhyC0mOtrJ5K9KpQvGh29H0Hrs75pyuADLMVcB212AR
NFrp2sAdb5MPEsmM3tXgYp0RdZSGnHandLXJ+sSKxSdPsByNfnbG5xDKCAwGeUWPqRvydwzGubtf
hxlOb9Xh4SDKqz6yGTKcFJDVlNUyndxU7q5wN7lT8rFQBKPNsEeP+qStk22OYl6qHksAP5BgG/k6
ovu0DjCG9u12M7vvYavhWnSyK4guMibNsot2/oWUytw3A04Ee8kRV7jeFYZ7NlYge1zdm/lYS4SC
aIRDRdmXwdjkZJxg2p3H7UNTFsfnI//yTan4HtnoHUVWZRajazQcTZAwr/AIq072lJUGWXnrORsk
k7djt5RePLwiV9hLT2KSpRMKbMsSQEywV3iwDPabmlL4fl/h2IebtAXewC38/UsHiOAuG7+8JVMy
x03uV1ZPVNCktgPZf3Y+j848SdLHaT2iqI6QZnUG9E4/DRaq55PrTX/Du5LdI/mhAP3kjqhy20yv
ih7bW79n+nXlbEAyhAWkUU/AMV0Zp/A8KQmW/3TxlqXpDhZimj9pv1APZB1iE2P3UO6iyJ7zDSMW
WpK5imNMhecOlRYitIAgsMUPTwu1qPB7G+hdp5W9x+laENMDwxPg3EW4DjlRVeaCQ/fttwsjzpTd
bmHHfOSqgoDanvt5E3XMwnJZKPsKHWv9Xd+hQOXxpqtZaXaLY+A1sZx7NGyQxOVpa+8RfkEavti4
NGM/VHlCfQVnOn3etnT+uWwLipYek7pvedxkLcpupCZe0tx/t64YMJal4jI7TNxhXEgje9SMNeGh
Ghzs6nMNw8mDAu+AZfQ7lZvDKwfNOwpF20SATxJ8BlF7cgOxmJi0ux7R/gcWil9do8DApjh+n04P
exXvS4vPH4nPS6UGZ+7hQZ5gCkjXf8Zk8X/ziPKRdtH2c9SLr0xqs6fMzv1/Pe3bKyzx2rs+NxPq
iVkQEGWySvWxaI6OBjSimRINBONom2RhoguWjNf6MD1auiyb3K/16PNybqGc7qEQecPCGPiJjIpT
DmvZyzCjCYTkbg9pxSLV3mOqRm8H1dEZ6q7sPuGFnksG6O8s9JbBBZVSh/DnNs3V/bQyOI0ZiwYY
w236hPSkDtM/3+dPyCbJZUmj4yXFzudZC74N2HaA0T1CpFktekOakZr5z7T5/H7NsuVVINwAb37S
gUvJACRLvAwnw8QO9dOcXlgvVBMKihfdqukydvZA8lvh/EkhQ06WxLTyU4yqe+wLKn5oP2RlskVK
NVTG+n2c2v04DapfsruO6OHUKZetdZyO0ysTYn6e05F9tPHc/YPrVgQDoAyNWZHn/wUkDtMbYEb5
uCHl/OoTWUTlDtOJGjvp6AGOYdXnDhzQh0MdNJcsAOWqeynac89a+NKl80hkhfyw49IWsZCNJlHk
S06GPq5njcTSMl+2wwI56tepHnB9NcgaO+Kfi9pxL5fdeJD7OOXBvSfMeX5fsC3qmhFzzNJgWoc3
/BIK+UADFzcaZ8MKi00+AkNSxx9CDvUzg9LglkV8DHh2GBExVm7AE3BPRo3juX11IdG0tCtdxn9t
1w9zRdBDIRUw2TOISR0Mn5GVtTyJGC2mC/16d6wJfJmmODfiAWTYPDwEtL+iGVwqHtOkmIo6CDit
4rdHf1HluOo/smznVyj89CnJIvuvdcQGQJ6+vYOq98seGL0qq/B29KIaAcf2VQK5+SPlHsfIb192
Uzxm2P8fbeQR57czbkvLiyKv1oXPCiucPTXXkeP2a5SiBi7hydyhg1TsWSZmyW6RdflfwrtJVhkM
iEwZw2r2J5lTjrcYBABpIIVBm8LxVHUz5of7hR5v+Q5zrvZTG0tZGeeRQOCgT9Eay3XaoAPfMWVW
x1ZsKw7LQn502q8PKArxhzXSf1qwck8+x95gSciAdzLywd08hrU7L4X8k42O/UbLxr9PRHHMZGLa
ovvDS/0PaSBZVCZzevS1QJ/0sIVFhirdaXEfiyVBMXdL8jIgBXUuCd5/WYZtFPcJOhBZmX5KllO7
L2E6iSXd9DWLtboz8RcEwvHDihLfYnLoOxVAjdHIsaJYguDf4aWcjrVgKyTGCfYLWLV6OMU9OEYG
OBUhEmwIT8vOUdnyFPXvKYS1jX7s6OrumN1dM6wSG5iB7ABc88INRQNph3tN5h5m9iTdc1a2tBXF
cwDVegHigdkMRZG0AIbyUX8zjhBT8emILhziWBRobbLkuxRz8RiSXb/puMMEHrhrbZVyCezDGSTH
r7gO9sW8joiG/ONcv152ki9pEx1qeqEwi/4VacXP2uauu18NRfuHTMJhuRy+694R80e3mmCeffZG
iM8+DONwgbgurJXdAe2dMoWNTaxCjOrnCCH0I/aupoeZY2GnaZmWtgFmkW3VhBlE3AmA8usF/6O4
SyAums6Ux1lfp5nVeE6kM6Lac2LnJsugLq4k4RIzB9QernY2pc+FP/BA8b2lKbmcwiNRUC2XGpdF
e9rpjitLpzqf7r3o/UfHlsWW5hjTpMxMmp9Jah0AlONAE54uHvrjrRs8BzYrZC3hmxuaju5C33Vh
xEkdoNRIrvjcRNYwRCVcuwIEn59cTK4JPrqPaPVA3kc0JreCYifh1JJ5Oa58GHR6nYqU/7Cr3oYn
nnUwyl6HMOFA4GbLzBXggRwaywGQXUK0b1mVriq/b+V+YKfEcFxDU7Zt8SN6r8NhSticrPJtJx1G
uH7zNVJxvu7fpNVFcRFODN/Tjsj5uXCxjJ75ESdHhQZd7+cIKTruNBw8flq3qf8YXMAgzboDcCbc
XAZQK3Ea/xklRwdCc7aIJnYz5NfEWroi/DdlDjPtRva6Mx1/nPto+23d2tELG3TRYMIDsIKtnnks
8cDGD7b1tOZh7ZFDmh+brKcMnYHFYKZPeeHl2WLTkiM9lUV/wsb5DYhEnp0Pao7rl71g/4fOlrxs
VijMQrZV32aCUMUnLim5AoJ8kqOnjzEsA+9ijN1TqQ+NtUqbtBxg46QkPU/LDrHq1K3i51yMR1+S
mG5XRK72aZV0uziHxEuMzEGxhpjFvslZ+29z2qeY0v0+mZrtTJBzxOP5u5mXpKjR9VoN1bpe5zNC
TgZcySsGs3IekrzRACqLUum45y9bKucbQqB6Vy7oLBXyVZR7kRO8HlBdvDrreAx/JV1BCo+y8OnD
nGzWNUWBTd87ZlD6gfLm6C5Yh8h59E8RmjWSGHiNlI51qaz3LOitgQaz6C9DRvKsAjpK1QlOTMrX
E8m6ovICO/zZ4jNQHkd26DJDfOlWxsSjotJ0Kh5YHu1VlObdn50Ow4YZoyPbqSdWc3j37eh5yCFO
WTIVPWJcKAXSPM+ClEJq5a5hmg9TT/qQeTmOcJqrlYF4rfnyW77CxDF7BG7N6n6k4iFvU7wnScff
M5cAr8ox5pZwvWjVu4jcwsphL0a0en0R22rXaT/UDGzj158CDUjpi1WY0sfUnek0BVKqhY7Nzpj6
2a7SIcd2xdAvFwWaZSvsy2r18YuRlWGpXoFAqLxFy92sXYdKgM3FnDxJsWdvYwgD7LfaeXiJhu1I
H0w+7geGdQ+PDw1qAqGpLebAykCcPJ81zHBphYPHp3KZ2y4qwaQdL1qYY62B6eMeSFbgf6VDvKK7
EjHyD1HIYfoX6Oz7EuMl0AIya3xIE9xM71tL+6SapnSCEreVUXgymWiHs9XRZtAhu+IbVPruqV3h
m9ZkU5fndQfNmqt3Xgyhsq0RLzt2OrbqgL3CG4g1+znH/Mgb9FL9hY1xf8Y9j5tJGHWngIthvQlT
4xezsMnHzuOdgk/dMbJ7abxc7o4OgTrg04AzXFY45u7N2B/jhwHY3QiNJA2fZttPquLj74HB5g4A
PN46euxvMG7CmuCINZ38NLQmfVwx2lxxtDpfHzQ1YzVZrCphuhk5hWsRjZa3WKcuO2dKj/P1Sxx/
VCAH/MOUQhZwDwJrKn4de4hBxll03ygYVn3Osz3+2CATcfJki996AXZMdCa+QriQ3a8+bmEDObPl
vIe2Q4cOMubTZRZvgcj3GOoZOnPwwpnB3NvCT5NlS37d2qV7y71/TFqW1oqlw3ZBg6DLPjmQlhwb
97fQ+7Ld4Ik5Jc2UiXA/pFlyzQ2135xX7CxJDotYwHKSAfPlGIhgvLpfNR40AFIdYwTlCy44dHPd
Uqo9tYAdAJdWY4cViTOE9clfCav/qNwikDOu67d/yJCOO5T6bSi16Nr3YzQ7x+u1cF2LyG4oPN64
G4v27p9KCzTBrCecleAywbJw0fnb7CajL9rlw+seSXCcWBf7b8fVhst4CR0AzD0FD2zy6a5VRfxy
RFT/nWREmm1OdBMTcGU9agwKHUVnSHPJG5oQcRfmdTp5ih8fEydPS6eB+RUDLhkFkqeceC5PgIWR
4Ob51pl6BbL2MgwFJjERED81WtLe5k6j5d2G3X1s/WDq1jKGWyUaVTnnSTi1Hcz9wFmJFlG3RXLx
fNre+b6uyMaGf3mJXRN+84rPF3ognBHcTpc9YgID3Q3SrJpGZgECtIL+XMZuOzklxDOEA3ntMu7r
fWb++xotR52AcX4xPBofFYMxLGBOfZG8jd5x2qEWJTnU7EDD4vPaWtL4BQAC7kJxHuk64AR1LcaS
XPCkUqrDuVRhQgt3YNMj8/Ijjg0WL1muMbp164NVkHvmLfreKga1dUkWYADEiu620ikpAYnuGDkd
fBJ3m9oS0XldjVwhWh/KvGwQhdQJxRIV2zm7KN3ulxSRJagix/ENw8Zx2nEinjYWdRcokth1HL+y
jiMVzjAcGb+5kRUNvM7/TBDjVfivWMeabQtjfD3AEPPQ3VHrYi+ehp6Rd9/ppAYxSR4B6o4Pc6fi
P3jZaR1SqStKt7atd03AcohElJpKgqT00DbtsPUfVAAzpIoIRJHEsuYiLKjiUfQBtVkLQLP7QKic
Ome+zU9bDjkW3ov0L8fS4SqbQAEP1j2sjJ8l79wJiDRo0Xbfa2r5eubu4FHZtdtvuOwBmunXcDU6
/YuG+9MIn71gQRc2tnAUeNh7cFYeOP0bEYQDyR+Suov24poXNnpYvPnIZj03g5FgV0RbnI5RRT+C
pbhocJ+nb0AWljNAq+EOMfTyBM2hwUV+9J9J6vQFOGT2PFr3tvCxex9Jlo7Vih4Au0lLC2e2Ybh3
nctf4rHjdbDAI05RVqhykLZISq0PVR5Q3NTtFP/BRtmCz3NjdSisgnxFHhlvJuzr2gpClqksPNt8
JSGekLjssbRQmwGqJrM78YR0g59JDwOxD+knusMklJMpSxvBdVStMiCs4OzdiotwyCLwMU/m6In4
ptYlodHpyLBUBVTKOREYDoBi2/ctFPt0Qdt27K+AUnsNsuqwafGfXLb0DxsOLR+RLs5No5F5af8h
xjS4odz9wOZaLtIkt1CE3H3knSH6Dh83NtVZAiUBaG47y8fEDBn9Fqwa6lRsKvl+0DiYuwThj6Mp
qfPSvBRYJrO49rYYtyQZTez/K1YrzWce+cwc5QQ7fQs1L76AbgNel750EOfIak17AUz3iItfqxvR
Q6c8Fw+gP4e4sdvU/n8PsW8S7tyb9GunSr/kNmrazfRHBVCXo7VMHZTjuBGdwvdls07kx2GGFJxX
i5ip8aETrXnHQDmjRxpRblTVjeF4Jzv2ip+LLvfyBE+rmFTFaOYbQJUEcoahHeZ/G8R709vcs2N6
iZN+t1XR4eLfa8u9RVIhDmv/TS+zUVURw1wTcydorLTEtTxNj5NzAZ+0CEBry+EAYF2NPragGiii
P6a7oqApErZgXyx+uEgf+SO6LdK9H56FuQwrXODfu8ngZUoSUE9xQw+f/ATxmsdPUKIM4p+E89+/
lUOIDXc56NS7emMkxzSrgTBckR4RUwSEyxA9ofVxollyGb0VHm8JrG/TQRoCYULHhxbmxozB4jha
u+mUO9cBN3Zs21NV5TJf91cnQc7U3QLRE0IDETdwQEqr3a5A+5KWrP9iP0PA14DP00hF3Ecp1hJR
0JA+4N53tilapLr/GFg0+c8CkFKewDPP7vBTTlbYuO6VwbUOTBnXUwfyb9ln8Z32ERhxWIPQPLqq
WS65qvsZarO7MYHiaAAZX7j2VhxMxRfIfexxXWy0KF3zReXjw7LbvThz2eezuXoeC7RFIs/Cr3Rb
lag8odiTFdMKpqlWCga4/0lAW/R5X8kxm3pf+Jq18MmASTYsU+PAHqIOfe6nwo/vapLiE9pK1kIw
MJdRJPZvS0w5VfeYSTHtllMCn7S/7GCMLSe6ZV2A/EdqQBb3WOkV2p72bgMGthKRjTcDPmz8AwJr
Ct8XFCz2r48dATGZdaPvyIVgATRV6BU4pHLgtgb87bVLVJfHTYizacLsJF3kYF4a4ghow1nhYYrx
inqCAe4yTToJP4jY+FzTxeXd8AKy4PD6IScJV6SG8YgJv7NYZPvHiMDtAQz3kY2/dyACqzl1lAp5
mvNuN3O1JCyYmwggsEuLIZjUO+ABdQ5fW/Mvc6BoTaF3cqYCHyowGcFJkmAdtMd6QgnTxOQf8P6B
Nzh9Y77VuTvsDaL0cbrFDKOZPuEu5flYtivDfHJQ1Al80mqcf+Mw9+mNuKQzpfHUp6e4dxKnfzBU
Vlu85LAeccU/IUn3saH/2R14LsnypRoo5AXiPKcijC9ttuC6DkTZJxSTrL+C3FLsdci7tX30ZNzc
LZohTr3r+9md4naxqoZknTXwA2foTTaT/5VFPxTlTnuDIyrQVqBlNC56V6jZusHfP65NB2X0iM35
nDZxRsL60KYAdD6YCNn8C4qv5K+he8gBLYBABazt8/QbA0mNmQPUBj23mYXgKtbF+JLPXRGpcs8Q
5FhvI0ksjATS8YeEyGZ9LDBeHBWIUW5uUnd5dzoozm8zFyCBS7ruYU4qA8N09u6187QpYrIvJeaH
8Hho7YMuN+x3hKrvgb8+RVC9sBMo5k2VPT3YgYZkN/cmMetetYjzlRfYxSH/msgjGkocHuxx6mR/
MSLy6XfiM7J/kClP4vpYMZADHN2O9z2JN4vmGI6NP7e40GfnoVijIuPXgjrAfgzS0ioZRoY81YTg
KAHI6HHQOw4Eu0gyVhW4x0KtdQHJHAuSu8uEFyB5awcGlGgeo7EybT8+LWlusscF3S6aFumQAAIh
mbobho6HK+Kd7BXq9ewPK3YiGwg2yI8k49urwJOF66A3B+xaVQYxKCf2xUIjwP9mwOZ/ty1OywWG
/H6qsTALZJATtIJXDvY9vYMoYXtOu/QAyK+mvC1XRrYHP0T9cN8PUqPboGr9SOeC7g9kL+Zf4PL2
v6rlaqiKuZVpqdc0BasnsCYSQbxa+aLd8qrfeqlwcTB+AcyIf67ohEE14WGJsgvReJvHPGsmobYz
y/ne16bzgCHI10HWSQE25JjtL+kdMj8X0Om4K7ZZcEChyfCeLJv+HEEU/oX5sQ6vAXk1v44IWwfP
/TiY9t7aIYK98BFtxakFQ24b6CbDXBfTotCYeCqnB2Q4eLy2HUCUE7a9+uglg74Drk5hsL9ByX3J
jL/g+qXcd70C0d/lDMpuEMS2YGJETyvfrVDAsYMWuszjnA64UBlpHwHgYtWrhNx1WP7FDsk8jYSU
Bc0WKdZiqCd2qPgczTZKfhDdavOOU8X91/oDAC5vyDA+FoCxbYkHp/jnUszD7y7WJsY7FFZ5ggXn
nN1DQ4aruluw9pUVg+FViOLkMlnTL9iqBLDgFj0/b1liAG5aSBW6J5HoVLwAqMpeAMEO4m+2YKYg
a7/90LBtfMZy6T5VcYb6gI2pdUHtj9YxehGoXc9puwtecb6xvMl2OUB1yk2Udvd+nOn4fUjnCeVS
yIhdEEC280uRAzI68QzwyAkKL8S4CuIhUVFHztIrEwYaHz725Hg1+OpuS3/oFHWJp1N+LE23WRht
UCFM8qZ2gLv7eUxUoPWAlb0n4TQpmhSqJLxXQXlVyaM4AM8iPQDClRKe8Fw/ymOQ7a+RjT3Cj0e/
tXmVzW2elgCRgmmoyTi75QKt8aMavL0q3dEUJLQ1qEtrXyx3Lj/827wEI8uIJYssC6PAOmhQnGd1
rOLKFSr9ZTvWxZeATbMOBAfq0P18LCG5h3yUDK8atxI07VN64M8TM4DKHyysOm18Maf4NTa/2dqH
Dn9F1sH8NFvb6bXYPX8jSOz5nhi8yZWLPYn+HcjvwL/Z1H4mjtpfOdm4Pu1gsDYkm8+7aMYA6LiK
0JZlfxLUPiS6rwhFjV5yn7HQbEou5j3FTn90GuFq0v5FznHGv4eZbc9WJON9hFbnZZlzAw3KYPG8
xpYd4BhWBKuSKO0XAMf8WPDWr+Nk5FNqppE8bjF0qN/GFin1s4KiBTfndDzMEdoqiLP7YXgwToJT
gfIT+1ZKjmPDeCThADC6wMCWx4K+TdDNXXXsMvE0KSsrjymhnDFMb6VnWXGxE/Sd2xSZH5SMS1GO
IpGPcwzTnSeGqijr0Dv9E5OJgADApOi6NECc6Tao0Y7NpD0WjFw/9LIiebqjiE1JAUMYuieoUbkM
P7Mj1pBrsQVZQ8hGexqXhYhntfVWv+Zcy/5q5Wi+en8clTIcFPDSsVH2smeug/Q6gcDvLNH9K1dy
5NtA+wKs8hUTSaEbY5PtIU0mdhNza64F+gUILYoooS9QtOxpjWFrWd7DmEBeyX2mxrdubsnUdGKH
YicGBwNE0LeLeCC0II9DTCYGhmFYhpPwrcov07yx7htEfD0A4s249h8ohd79NMU467eWBrBCaKQc
nkBQy60FIJueIIF3OaDHbcUXF6fN2UInL3ERgWO6FNpt/jpC2fvSrxBvnuZkbsca1PAhnuLQguqW
EcSYDwpkGKxlVIzZvKQ6If4lRCte+3kQzmFJAjcfu4Hgxh8xdQmEij1OFXbk2ZKVUxucuVG45atL
OgQZQLA4aDmBkYfzoiN1GqHxuRqPUlH2WLfYKjSq7mGJlvXO5jDjmbQWzwVf9J3bksyURZRBDRQd
UE9ZcC2sYdLSmwD/Vek1Sv29sS2lP9BRHFnFo1TTaxpY+NfPOEVvPozdbdwT8wuhVsDMe+03UWFc
98fNuSKDvgJXh6tAxEL5h6DRuL9fwQ75RplouXoYHOLXNJo/sfbLBfdL+vNwIKntty2y+YwgKIL1
JEd3coGCn9lT4QOHsWBAk1xNXyjPHbBMBLmQVoZzGi9i+8wLxniVbj6eqrVz0xUyBPtidJRK9JtH
ehQ107i6KsjAvHza1gAVAk6iw6jGyT9IJ1SlnE6GBj/cpKAbTEbvqYnm4rooY8ca22Aiq9oBM/gf
vNXrLxEO10DnhW2ENGu1beZYYbZPR5Vsp0QsMxrCaH9kZstPvegRwrOtK8zAXIxiVWtD3NmERf9F
hzU0Gxv8N5bG6oSFybXe0d59WwVwTY2dg1++0D1eyHmABVKYdZ0uTj3FPRI5zyMiXB5BjaiLjHf1
aKKONqhlCTjH/dhOFr1Q2RehuLC5P57wKbu1QUs4zlCTZMRVmHChLqWzOK0CfMHzjMvG4gHGRfpK
drndp8W81pBUwMd1FyvEqqktoOjWA7eABYPHfbEsKTgRbW8pC+Inm9M9+a+3sYvTs8cSUfLD2r5D
3kDvx2/JQthrIrP8ewvlG2IzGQ5XmUcgiXkR4ExnVZ98IgssDiUpNn+TTPvLSAeIYFQAQTvZL9hg
GNU9vNNzgc/e0j9UD5k+gVzF7gDo7VFV2wRX+qsI0E+oOBHzhbSsoGgJEnhVEZF+wxNDG7DbFsKq
ITawNCbpQ5t3gEizOY3ciWE553GXh7vhm/yAbAuWJrAgCK9YPcRO65DbIa5auZJLYFAbNWIcIl1Z
6OUC/JhwV+RhEVfho72cMX5dIB9fXvVgaQtMKduOF55PABoCTPl0OVgeHQ8QzEIXjqYv+i/bKOhw
b7evuz7oc5yw3J1BdB17M+FKJJ+ErF8BDVA6DRWACWgMPaVjqB3m3OMRuDDEaigshs1NFGLlYTQd
464I2OvR551MaVQbsKPyBeRSt3xbowKDRQlyz6Cx7EkRFXdtL1sLsc+I6aiA4ojdc7eCIT1wQV9Q
BiHMctPcYsD0envCPJ9+FPOSYeMo3eRejlEq3jOI2+4Ij8wTg49X2qTB6vgB7eba1rGGRP476YYI
sCCJ8ob7Hd0yXtr8YvBOoG9Dgy0rhvERtFi8m1Bjp2s9SsUzbZ/C5GULMG+PDZDvRbRQdEBb+4pO
ZVvxfzuBlYxRT29wKOXRnZ8x8TVLEZv/0lTvNQqKeEN0BFpbWOp1aL+7UGSVmUBJyRI6bRQCwImo
4gQkwAN88dB0gZXfGjzj+INgMGnkmjJ2wlUJrYKAbAic14BOurR+gPLEH1DY3jY0rFmF2xRBtPCh
N/0phgjkeIpXs8QgTZB8c/qqw4i8AS1J8pKNUDFU2CWJZSNCn2VPfsdqeDln8549Forx8Aghn/RX
6CK+QgsITtWtx1FVdxtnS3o5xNxh9iO7T8+FbmP5mWDlAE6BCJJCMwTC1ZdkaPOfhc7T7CmP9ZLi
UEcywaaRHkWdSbKv1bq3Q1Y5FIWpsrPDmklpoH0zz4fD3YvSL0aIsCr4NJLpf9Sd2XLcSJZtfyUt
31ENx+TAta4y60AEYmBwECdReoFREoV5dEyOr78rsrK6OlldXbf5ds3yRUkSDEbA4X7OXnufULGB
IEaM8ZB2QahtYNtzMHa9C0RLM9t44nsn57jgOt6Mpu2fq75p4mvR22W8Y7pj8myPdfqKO4x2t5O6
s9z2vXZp3waO44/PqLFOfVXNEtGHNiXYJjhrB5dtdypqTSrozYRlyqKvCgOwLaDjaRYp9WRh2mmj
SsnM3Ne+nN4SRoRGqbeq9jDY1AubBCdFJKE+E9SZcbzpmmGsonXSfn9fr2NhAL1kCTMiGC7ap7sp
qIvvBiK+uqnTxFc7xwn03pPGrDdzU6bGJr+4DDgvV0mk4yzDPIJXOfQWz/8BZ+bcd3GbndNGooD6
qUVl688ZsMm6DjrqOUosIS4Zs31Et+WtNxJp0oUn6TnfJCXzxg5j01bxjW2s5sXsOdQ2QLkJLXbt
EE1Yf2lmld3WdS31ZtSe++i2s2FTo5t+frYYfO9dzwpx4i0pJD6vtU7lQ3/BuBDo0JBPDh3tKrJy
d0WOMpb1mhtJcJIu5vWglBvflSto5UNFwX7nsOnCEGCr28auWtazlWeFjHxk7q8ctkjTs2qeotkG
znn9bBbtemxi3KDfLXJcxnt3hFyPTFiO5NYv/Kq8WZt2yo4Sg9/TXATug6lqOdB+oobeT1WW31lJ
IFEV82LKsLQFWZyESZFIfWsYbY3dT4JEhwTqVeKz0zntRH9/Hsq3YM7a/FsLe+YfXA+s2KPhnPGt
dTUXDwis7vKS5MtMk4s+ldqC3Cr7BwPj0jursgiQTgwaa9EKCYpXyR5b8Ygtd63vqM/m5R5FbKoi
ki3Xnz79O7SkDpPcsVv91i3Core+TgDuW5nOtn9TQwA+gqlzkymr4KlGC7VsH9TYDM3j4qt8OnMI
j6cjqFo+E5biYp4o8vYmsBmwssMkgXRHGECj937sG8aOnRGXoha+ee23g/U9HvKmO0l6FID7bZ2+
6XQ2rzOQc7V3XDPp7gxw6G5j1KSSb4dKLRQUc6KO+bqql7maOPpP0NjxJ7Rb1QDsGNkNbsXk52Jb
1DrVIFyizEfEeJwdq3eEsJ/il5XpKcV2AMRB8moYFBaA+5SbIMnj4hqThk1Ps8KceTPZ3WTsFgWK
juRlQk8Usy7ye4NpdxyHnU5fN0PNedTqS5lArrk4sNyp68q73JpV/5RwAHQ42eRZHjZ+jNe0DFyP
xpE5rtamH+IZUWJOQUxIVeIPnTx3uC5GkJudVaVte/JjDEYbRuK0xzGO/YompFszB8MULUCvMVW3
M2/XFLJTqIaoRq0fa5MZBZHfYVMY0DWBRX9Ti+PW6oGr9Ci+J17uvnF4htjQU6UipiW6VgTHZuhT
gG1uG7e2/aOWsmYPQGLgxqDvsUuX0sL/NI7tZwOLqd76JD+1oLTMKcFRnTQ0SMjcaGP+1+RuaOY5
zDfCnop51KIQt+e6oE/Evq+gZEXCqUiOceQs8XQD7EECFsE7dR46KqffgX7mIZ4nfvPkT9iqdtY4
69tkGPN6p5g29eCZqf1aYIH6towO6vMSoFXcmOD6+WsWC1qRQgMSBhyvf5rAKDunH8v1LSOsJlKD
M/q3/iSQngejHM99App7Yq6G+awUlcwudc0OSmRoZX5ME2TIhr5BMhTbWOXItFlObtIec55fPWDG
D8RO6bS5BiYznqyWPkUU1E6XRo1E5AgLkJgkgjd3f7Rp7DV73QFTb1J/4WGd9VZlPhfC88S+Z3KP
FeqSgyaW62laew8whDvsZhmN+KT0tARd2A5UZVgHXBHrkDPB3J0BMTRvdtBD3FNx5JMLFs6NzzEF
H12Eb9nOOTKixC5RPwzu0ZC6s75WaDbhUMZiusfcJ4fHefaT9Lg21ux8InxnXTZFZ5Tmjv3evpL6
NwJRxfoWOsAvz1VssMjp78W5unFVly8DpZpYI7zcUINLnzn+1mhZRE1ku163hVO0GLHQS7Nt+dak
0aO51ak05y/wm5eOMochAyq9bXyM78QInEsSmuxnBgiXAU8ygkBBg8pCf25TivTsuvWUjexVd7PY
mRU5U3qvVs2io3NfMMbcZj5YSAHQgc8EcJvT/TIU7JSFhz5axabTLmHuOqq/ptPq+wDJldsnoAYS
QAOnV92vV+3IA+1+5Rln3ZqeCR8Y4khZ+zvb52gHCOe6waNZm/2wWSZnXM4UZPrVbQL0wg0o9Rg1
Ka3wYNPHEA83opSuN214hsjmwGjweWspA02nWpV4CIjjuvYWH4SXGnKxoWgb+US96n/WPMH29JO7
k102+lO/2BC7S36AAC1ux146YSdd51uHPvI1AXI+jZ3j7LQjOTm2CO+oMRDTXh8bO2yhM15Ir7gT
lUjDxgVIcf0exXIevGrnVkVL4l0ejyjNQXmt09Z/nBIn2Dvt4IKnFFYoLB7SGTTpS8IjkUwj1+AB
VrkUHRK/9slhtNNP1C8R5v1FSVVxbaGQeOVdPfnp3doakrjvpo68EgRSKSZzU2/HpbNFubbu9Gro
a4rFAorrYknZZHOuvvSxRE1OWzd9tVWLY7DOlmhdBr1NKq99XjoTRNSZls+IqP2TZ2GH2pRuLb4G
nT0fAntGsq29bGRsOQwkZv9+Cem4LdwbzTzfWAxgfGlszCfs1TKI7MLXV1k3ls9O2c5fCwIt+jBl
VdjIMPyqFbvreZU9lIqoqueBFbd1GSHUosGP8hNGJvHdyBjtgCHHeVytrLouTJknm6pdxs+VBg2E
5272LgcxBnBT/6oOnm6jwcBfWqbW3Hez7gFEOVpFDo8DetJ4CJnamKaPptEkX+t0FmVoqtHZFoJB
hWVgi4fWVJdtyyfZrE8MGO3a7m6LrOBhoxnV9MVZcvDszFuTB3ba7gQ7uG6nevF+WIbJ4ZLqyg/J
SWJ/6JR9mum9XithWS+2Uy53tQRiMyHLz73lWgLEcYjRNUF4PyU9HiYsM/lu9PocZ76V3AW8xBsl
V/UTew6mHBurdK81Z6OcflDEoJ7kymsJFdrYqbG8cBrtbwaqIToF9bjFEp0/DzC1T8kkvC35Vjry
koS57RwDHHPT+27f70rD8qotbiF1w9zfwrsBWWX6ALUYnZt7ax6sr/lsug2CFMryFndlb0baaNZQ
FIt4rApaxjP3yRKZNBmmLzTZPXGw0KzbCP/x8EIF+II3AyzIxpnSbRiSBM3vytTfFnXjTTvTznGk
m0hNyXVqtHIK47zrtkrn9RpOcUuVUKdVG9U2EOJ+XPt5T1oojYqRBK2LjhYEXz0/MdLI4BjIirT0
dJEGnGY9CHNSECEY5G9aAq0OTp36UWNCs5xiY8AdhxJ/T1IDlLe2W5N7WWbTehqa2o4CNaKIZEZP
B5UyKCy6YeQRPQ47MfpkY1RDVRz6+YLaXBzaUV+VHsVR4BRjyHNt3E60qA6tmqdvmQZJXtwBKZ2m
rS24qQOqsQ73NZndE5PhjKYDSbLz+RuiJ8EmFiUD1gIE6UveYt6FopsrOERZaLxOcdrjiu9zQaFe
A8hU9DiMqY+LO7Ik1kPXTgBn+WKceF2gQpO+cLgmLjcK6ZYh6XF59CDOToRrzFd2inVqSQFylLmw
H1i6R2zK2yY1d0jFYHBxsLjfYUZmhU1p6J4mKuAfJdvRt5R4911l2dVtvwbd576QLB4965BORL2v
TXnJychbo97qMjEecjdo33RlVTtoTJrUk9E3oSXp08jVv2SMu0HvYJaKOzrSRv2jwjr/tMYSwcQd
vI5jyQobF7vQhkUq+l3qT/AAsWUgiXsvijFth4oc7RtSrwqIxdzdK3poEftRfKek1k9B49S09PL8
iYrdfxwrzAeoi1lVRZPi/UNDpPuaIR7dt6TvsNIB+99mm2eIoRwgD8xc31e3WIEY/KYNJUzNpkoE
rQa4Q5qXdZ/k4ZRPxslEm9j2sznTqO8twQBZi0GcjDHut74FlrU3bXT+I51r+GhrsY2MVktDA5SG
VG9uJwntcJxEXx3ICiw/2ZkjQ9Jf8hCvJehy0EKnLEbSEhrui/WVQzECe4C6mFFAHPLBIr5gpWF2
y+asP2fa7e+NDpcvlpSmCGsOwQcnsPNlT7JbICJ6y2tyLEgRSLmze3FN0X4REGnsnV32vWfszUMf
taNKB9riXvVizv56OWuuZHKtSW81n9BE/bMbZEP+nLSDTZSCnYd92diH3nZa+YWD9lrx3MFrEWZZ
0x5WD2MjsTmYXmeXVPNibcblnlKCty6tTGvdgo316uDWkDOAG8Knkk/NwaGxVarHUjMoHhrPog85
dCtpSuQcyWTvmfW0brBxl9UT8dNTHqos6S8sRJAn38s5zriT666nhS0JS4kfJo273gy1bjM7EnZd
dfjUgqVyCO+gKv8+ZXlX/RwqiZpKE7Uoj/py9VPna9M4aFiZagtJu1A8+5RJl0Sa2ujPXuAJ6ysu
USlZerJ22/ugNlMnpeYo9HQqnXmWe6ZQBhWj+XhHwpRt1gvTQcjL5IRZ9gds3vU9HezgvmeM9OMw
t4u166UGcuCQu1TXxlCN8xWGu/xTzQyxz+vk6TJkbPCcRbZXzXFUEhByaFqnvcrqgr6XqImNQP2F
OF5YmmFadP5zNvSQ/g6I0feMebfxyW44sn/JCWLxINJJe4SP0vpVU1F3TKWY1SuQLclV02g51pXb
B7Hc0+hz410HInidFCJ7XTCBPNiGdj4PFBQIk2AGVKNumjmnETO73vQkCBA9o0XvP9C1nbuHPG5C
RPgyGiseRq0fXFG7dTs/p3SOfHD4ZUe0FRQ1sv5w39A2i6xhNW80ZvBrBBwXBR51edhjWgkSKriY
eQfYJ9gGiiTmXJLOP1t0ib3XCDcLq9Edj3ks3HEzz0QpYerNfoxe4po0Uv35le5f/oCTd74N6AwV
286dqTWItaB6sxr3EAu7qDdUhO3zSP7TfpKpd1XFWPZLRq79HFsafftEzDOPaQPZo+J6N8HgS2tf
roO6EQCVy27xoBPygCbELo0p0ZBWcryDAahtHVR25IMbuicoAL6Xp1FjbsmTky1SJPrgxqcqB4wg
nGVvD7W7HTvYWXJAOLyytO1hs7YVj6igW+ChB3qy39IVj8IGB+uy7ztpIkys+rgUdH1pJyXxKe4R
dEl2nV475kbiZi6GYD6OgZZRT/kWuX1e31KlknUCSVCempxBIogo801ZFd3Ji+P0pm7yGGZhsJ9k
ZYjilJcV9tmRNvCNP3TB3s4DMmMM91GYjT46seOigMRFcCo4mZDWoeeDzBfl3dVdHKhr2gEcZLCS
59Jqtp1eiO8JjFQy3GKFae/a+A4zxnqtFQtzGP0mUkpUpDGhDZN2UZ2wBjrUdzUQb0qQx3VGwx2R
ZPDEV1KZORvHWVq9xeCgqLdL/zVxhjIMLqEhYd2V8gt1gNjRKVy3mLXVbZf2GkhBxGYSCmMYxS6x
c5MhvHZanGdorX1jEdhldq56WTARm8eczZSz5Nhux1a4B2ce+xaCtxz8bSMLg8CL0ttByH8uXQx/
nug+V1YrbgThOsRDrPO+Dlb3ccxM9Z0BvP1d7wX1kbXRPDjraj+kKelLbJumpzcM/ZDZpmOyEf7u
Iud1liif9LL93oVRrL5jG9dXtlpmYjYpdTYsJsFTVdvWFGKTI5VJE4RwAzA1yRBOzz9VU7fQPSF9
jqOfv/SPgbVUEcchWg1tMatvDfEvZ6IByPoYZv3gCpJCQ9Wyo01ymPaqWNujWpzgYTVq75ZgAfeB
gt4403Z2rgRkOLYPPuj6ZA5wm53d1sUeV7okjHgpyqsaUFmEC62V7OyUZfva9b04OLAFlJzJMu1z
Il/2eJvY+XWPOZCBm+NmzYb5kNJLuvLreN76PPS+u6RNP/pevdASqXGI27SUt4wcHMK0mtiRZ43D
Lc+Dg8VoHBwmMeE3U5o3X5TbQUF3GDI2Lmzm3u19Vl9sylbvnMCckoPfFN2j7K3iycTsCgRUG5Fl
tNiiFH7ebQ930G4mRfuzUTgv19pU96TOuWdf/CY6z1ZHU4uW4Abty6KuZdbnTe7bAxCPSzBBvILl
pvlEbglTCuD0nHi4WnIUyrq1g1NJvMUTI3aJoLBQOG6T1hPnZZTzi+rMH3q1sxfhifReDmlx63lp
t00saj+zGMsDSq93jR6lIgYQeSTP+nF7aHOHtLSYKBWUq+7y3KL1DUyWfI1T0xp2A3U1AYA5oDqk
0qW1zqJEyvtiCu1+ntVoRMbi5Ne0FzCeirHcSRuULWn8ieArEmd+sPHK754BmK25U29pagiQeXec
b1Kj16+jsSRX4zrkO4z3Ai9BQ1OjO5B+STsxrDICKJ1jaRHpo6OAsPkc03pG1PS3PG+s9pyzWaW4
O2a3U0z9AFkuN3PRVTMdREO68Y2ZFg39g5JBI+M90Frm5CHxElX52afs4XHIcg7oHZop6UusLgiL
6o4qanXJxYjTASMS1fOqbpA9i5IngUVVcMv+ilt003glzNo1ciWDFqOVyIaE0++aFJG/Qg/dGyA7
zdv/HEH5T9I530+DHpIZqEEyudWKrZsARK3DH/yxS7+LGsUXX8lZt9aJN+dLp5ZT3ZvHj13a/mPq
J0WakGVZixOWMyw2e1UOH5xvIt4FihoCtb8oevdEi+OTuogBypzbD0bfvpsYlxgxjcK+sE6JGm+p
dT+zz/2L/OB/9kG+CxLVMaAJmJN1ovbB/Jo8GAUA7YfebvPdVAlvNtHeLbDzpoq/OYP+KrnVP3jt
d+HNqEhwA7YcaYkQgmI34pgZH0zx/4eJxzY2NwsE8JTCKG/tzLKJ9PD7j32Y5rvAZnBkH3cO1nKO
iphGigiY5GMh6ab7x/u76lqM7pnbUloTv/Ri5/pfvNuXC/w3cbPmuzXZi8ZMzVy2Jw8t26DjxDhU
joFDlJHH+cGJFea71emQ+ulCffBLRPHTbqtbvJXbj92J71bnUox+rkTdnsrA/1r0zR3MzM+PXfr9
2uzsoajok5zYU29NSrhm+tjcFPPd0ly6kTwzO9Mnk1xvf7lzdfGhnG7xfuQxIV4ZztNEnxKmw20d
cZlTESTzh25w8X7qsWyF2dEnX1j2vn2L+twdIdjGD32U4v3g41TBaip/nE/ePF0pkezNJv/0kY9S
vJ98zCe5dj2Q0KnmrMEgnC9KDh98x9+tTN8mUG0QajrFDBXcAS64O9lp64Pv+LvlmU0C9zAwxEno
PL7pF0pXUsCzD+2aIni3LgvM8J1rw/6pi++2Hb23OHY/+MrfLcycrgf2HBI43RTzSmA01AaVU/yL
x9bl7//Hx5YI3q3N3qhaDpPrQEofkv8MSAJgJT74kb5bnn6g0oIUyIpxGhL4OTn3TvP6oRvx/QRk
I1F+MSV9d+ow1ezsspCbThCQ9LGrv9s6nWRxifQlCJoHOKZ7I3nKl3z+0BbE+/rHLYiZhKvlFmN7
ioW42Hskh9mCaJqPvfR3e6cvpMslm+aU1KtP8MB0g2DVhB+7+Ls1WpMpkwvq5RNwfYHxOY4EpsEP
XvzdEh1LlVXjxOaWmeUjaRlUkfX4rwahur+NQflv7nT/3RrFEmPaOnd5Y/AcPlpGvm+c8RnJHaig
ZWKdEEZzAUDlsZXraWkQIFS9nl0/qNYIf37yjEGsOOYuspmMVUCtc+mVU+iEQ6B+uIvJeEQYu0uA
dx+uvvgU9xAReN6fSCzEq9drGK8RasvVlnvqNGnZ8/RdLvQScINtqP39u7kOitvShAaDBFpuoNuz
kyScZ5OmxrEcnYesD25zBv6M8/R50SmNqrWAU6LUW2t+bStrY37067qIBs9MdsMaBFHRB5e2cPup
ANfflckorlcjnY4CFsb17A1Z1PpqWWQSrdR56ok89YNd9nOzwSZj/CBSVRJy704n6JyTPxEyAd1l
71uS/c44+xo6TjnBnGl2G3RxfEu+4M5M1PQl1xaOscHbasZs7uCjr4Tfv6ywDUdnLG+NelIR7XqD
+rxZXpeAk4FnXlV0GTozbuVBGASc4FGjP+Rnl+RUKSaM8ssE0GaoBVC+tsnrJ/kdw4OzqdL4nCUj
AFxzJdrySOFaPyx+HO9dA5TFAwu+IQoKq5AGmZpIWHOsu8m17ybfnSOKwAoTnlxwx2CwDWvkqB3y
zxh6eVB+zjMn22aDsReuudwVBAaRaXXTBsRSVk3+tJaVH3I6q3WEGHwg/+GxvUyqX2osaZw3t0Hp
F3pLXu2dg6shBLIjPKZf9GFwc6LBi9Q/k3I373KhzwbeNbxEbiiSOA59Pv3Ctns8VvTB8aR6yz4m
rvHg2QJyu5YRrmH1TF8x27QTsiiA1CgwgtDsfoR/yjCFkWgUkhZhRt6MuhhiV8Tg41n9lW8ruSBn
Ox2xtQjbg03Cddvp4RwHw03DHXlJ/Nz5Adlne7/nqEU4yeyG1aQPNJrOc1I/zYPei8If612D4OI5
gVfeK9iWs3bN65x4v50igjVMZYAPRJBHOBHeeYVlZAiHznwSFpEazLWCMCxz+u6uXxVgVOALEljZ
87FPOsmeFPI9Au6FhPB5V9vxZ4Ceva0kJldJI+o44jPZdkidm8SDBuNdIGx1NN9WZ/00DIzyuQsS
qciGVj2BLWI5I/pqQnJr1jEaq0Xk7kbo5VozYIqACd2tmM7Qy1Ach8k+JUvpvjjjiLWs980HvP7e
2Z0bRE8CQavPMxEavAnOHCKBBvqBRJBrl+aG9RQ3I+nxzbGwPfOckZNJ50eZ0WgFd52Ro7jM+Zmc
JNg3cfRsSJhgmSJ1oTPwDIld5/ab0SlyPgINeZYlhI5gAseEzo0dXvwSGAuWTwXxKlE1Z6ehsK/o
s3+TyeTfkBtKJM7Qs7z12q4va1aWeM2zzN2Tp26Fzcz84alLT5Vpez+JjNf49skNJbk/gMr1XJmt
UTdl9tm1UPq31riYESG4124WWP6WQGc4MSKOdnBIsbGtdXs5Xn1NUwYFgOsxKxuF/03EtZETgtE9
Z5lZHISq0Qkx0Z2nNX4uM+9iulmBvxz6P5FVNSeoFRYIiabBeGlmNc4C1yRIHutwV2WxcwDdfsV1
Jp4Dg0oODpgBmyjl3dYgBYoZyVle8u/JvHVJD9gtszYgV9p4vDyZIfd8LAZPKRaUna96ufWLngAS
mfR8FimOJZ2Z9Vnp8pbsqfiaLPxbg+d4W9MJtG0D4tVKMBLijjoT9L8V5DJ/EV57qIv+wA1m3Cb4
IKJYpiTJxggCS2uHTV/B07gd0US4p1jTcbf+aGuniQplFw8TWPSGA3vyIlDMH3LT8V76ejSuzSaw
VTiPA4p6GTTjdwN8pCeqpO4e435886vRuDLp114pzUeJRjKeEoOcL80nuu0Gud5zslgjYI523Rpg
lxsg+un75PQU1ZPHjCsDqt+ssFVop/wq9KCZEMnkerqs1i5YoUHSoK+Jwe7vhhl3UzEwvsx2hgQy
q1/4ZJzGC8hbDr7SW0wO5tBln0vTHprTZDiTDgcics/5PAUytIPhS6+M+myTznyaqjmRp0L5Gq3G
G15HUh3COhhWQCbHfcTjCVM14OpCXK62ZEZg0yH4FaSeXA8hfCIMyMo5BOAd+7VokvNUzsfJFf0J
c2WKYbVz7gppMnm7KNXRqM2zYq7IznbVKENdJXc0Hxn6sjrjDLOU22nkMUhhagJPXhlEMXdfJeMe
wmLpk73bSjKSgv5xSkvx2eQjhY+usLDg8W+c1m2fCMRZx62Pgmlv/dySL+V0ydPuTNO/6ar1QMit
PjgutNxCpv6+g/m0ydktXpMihfYgPK9GHrV/klXg3zc90uhQZj9sEx0urEi0fBl1bV61zKh+mfqh
2nWYJrclD2TM+00q8w0HmzJMs3GApc8IE8hLMd0aI9zAGFdE/sjBt9GTrEdsL+KYEMaFd0+mT7Jr
oXjzCr22diuiFp1F7AILZ49dDehKJKjd5sO03jnmSvWB5sUDLVk3OCNR7EzCN5rIaQmsD/0a/iZk
oka5YUBGda7MsmcHa2xxxvASQOe2tbpK0oU0IMbejJ9mPGWPDa3zM4B4/YQXZdwNrp08FxyOOS+M
7TxEzFzRB1ijpTkVghkrprBTl1k+CnVuTGueRnnZbOaWWtpYHfh4JzUAEIJdFndElXva3s6Ncz2T
Q4r4DvVdzOWTo+KZJPj4E/KKIfCG9OXeYk/lmEcUiD3yG6CSwN2y7inmXBbCYdZ3Osn5DCtp/HXi
4L99X/5P8tbc/fXsqf7y7/z7ewPUArU+vPvnX/Zvzc1r9ab+/fJT//ldf/yZvzw2Ff+9/5Y//ATX
/f33bl+H1z/8Y1cjBOtP41uv79/UWA6/XZ1XePnO/9cv/vL221Uedfv251+/N2M9XK6WZE396+9f
Ov7486/iMj3x3/7r9X//4uVv/POvR1W+/hKmfYZn6lX9ww++vaqBa5jun6TpwuV4UthYPql757e/
fcXFrW2Sfm+ZktziX38hw3tI//yrIcw/OQRxeSaVLN+Cw+LXX1Qz/u1rl2sJqHff9n+74t9e4h8+
pL9/aL/UY3XXZPWg/vzrb+Pp/l5H+J5ngfrw+jxGKDhSXn7Tf50qF9icGIvUEcA9HIutsuhnqKGK
rbxt3W2TBR12qhbTaU26gsM29lwmjn/lj2q6Z7TAjBcD8GJDfui3XObtMcVluiQ2uaSz9ZAJUhaJ
wySb23Yd/dSZs/6O3idCFxI4u3h3axRadQ0m/HvL6391P/7HqIb+tcxe6182Y//2Ov7S/PzlAYcj
n1n2/X++TbmXVct3vpa/XG6tX3Y/suH/g5v2Mvjxn9+zm+yt5Lk7qowGxV8XweVOv/zQX+9X2/qT
5JYAHQ4s27YDn/L1r/erZf9JSN+2AseTUtrOZWTs7/er6/ElblJp+dIN8J5Trf9+u7riT5aH60p6
vs1acLzg1//N3ep7l/r27/erJMbSE4SjBZZpU7P67wfATwwOKbLYcskLswpnx/SbIMLeJffluErS
4IBkVwZouD5jbfvRYCpDmdxOc4eUmcZredUR8LSn3/y1M5FuRMB2QFE4hLk2jsG6lKEFlL+1+EM2
ozI/1cmoDxXx6w/SEHJXzs4KBM7uXFQEyOWwlcrs5Y5pmAo7I6OoXJ2ok4/8q6ch+dk207itYeGh
JlOXHFviUAIQwDJfI4iXlkiuoV0xpQlSeaVbfVpWSqKpamGv1SeCTlKOpwrCPVG3dbk+Y/Z0tj0a
6VkC5hwSO1HwkUNUz/0XFltHiEKujkGfYJuXZLrrWV0Fro9Zn9j6xjeJB5Q/RwYD7NzJbH5ABjPc
wu4eypRwex0E11Y58fJT/QVB9KF1xCtil9qqwL8isu8ld0uC7QHSboi/gQk30/GKljvlayHTNPKd
eqTki60UnnE1QkageZeJSPmz4KgIU1g1P7RjeNGcz/0hZRL53p/Ws2gNZtoY1Rhy7m12lgycU29m
1MQQRo+2J2hfU4Ucq8oYfTjP4Gh4IwVFLac2xM+EWYRZIE8EPv0gOqi/GvArR8QNeKTfoTUTgvzq
Guttjd2XXD3M1njdMQ+vRXebIjnusHux97ozMD7c5m4Q/d1iT8U105e/to2NaZVUtQBjcDOQl5VL
guNlcMjW8Yj/bCRiapw2U0OCYluQN5qQk4hIyhCMHsaZvsCuNbItp/9+I9aAzCPmJ9G3MB7ZiIe7
nHizrwK4Esq+Kw+kjsRXSYflFsAIHlz7094cvNcciMIZs40WxjkpxdYpO3zFRJUuIwOSLxPOUnBv
4eEMc2mZVZ+xKXFS+VJ2SPaTsx5w1T4tsNIgpeSWVqjtuuMskziHCQsapk9iHUUv1kNsA0WZ5PAw
SC0bbbJIepc7ncQEVpyjngcqSB+ctTFPJcmUVyku3MeWXLeYlbIvBsY18K6TFtJjWYI079aOY91o
7ad+5t1rCcgn5PegiMm8VYwM+J5jQsMei9VEJSOGOHNsI8ecYVBTCnioW2M4k1Njn6AkiHQL4IoI
MpPJriLqFttuaBsM0snwXzmhsqfsOqdX+4lkPgzGQer9mAuNbj3sxlztsXc2zH4zSDD3LRKTyWHc
kuaAoYNRQ09OIxrQ6aR/GQCi7qq2ZbSe5eoTjswsjKeUsYv2uOzBmTiqjuMEyuUOy51DOgCus/GB
sUkQHo3RqF2g8hcrVipU+XAgz/lU+gHiYqPjvQOUG4cdKDiMW+nizCYdgTERnJzneU/kKXy8mQCN
TPlwsikRvQ4sfyKbXmakHoLRLtc84qm1tPQDxoO39RYslgQebzU+kbEyEliV82RJ6QqkDB7ZEbf4
5LGmCeEmRMDy90FRxcf/S9J5LDeObEH0ixABX8AWhp6Ub5kNotWtRsEUvP/6dzhvOzMxkkig6prM
kykdb1GRE+d6/jOiNby7idBCAj+qaHGU2K0eID4o/aRP9QjBCi/xT0zG2OwSiOTcaEW1Z1NyDkiQ
8Y91I2+k32khK08EpYyVcun/awjxUk2ahTCcv5zOta7bBDiRg+GqI2A8oIu9/9zJuWhekpGVqu4x
JwsGKxvT+wM5S/Uld6rhQBBhFU6tulHGa5Hv9+1Nek75ZgjQOAg4Yckkg0C52synDnwlXAir2VtW
b1yYUyMh5OYAqVbYWObVgBFtJI4mkKUd2zktXTitAr07vIOB0AlU+oQt/u7VnQyBPFoaD8pXn+s6
HuW2vdK4x2knUDnSoVRuaABuR0/JZbQitnNDYKahWqQXEstJWkz/7Qo7gIHJr51dkvQ+CjFvJVOp
1M9ODgrIdhp5GesnRVsbt+uq7RuDI3zEsmURYqUy7WGY3oH5vJDKGgJ7fbLHbvhTA/QOSk+7Q8mb
AL/WI40MJOIltJFfzhxH4Traf3XKstz4nnLvurIjCRw5YCKSbSafhLT0B7+urUtDnkRIYCBQTnx6
Q7QuamaIUyNJ5cR9bVLvb60WRSqd85Y0y7zHuj51AVI9MGezuexXBpPnyUB/g6Cbka0u//FweQcf
SZgJB6DJbpqmq9jEXR4kIDCXgJdHe7dhQ0R50SUPRjnZWKH5zfvFCQDhG+e1Gq4mai6LAnNOD+VQ
ZFezXUvU5J6j9hLafCTm1nvGnJT+1ki0+uWCGeKIy8WwtzsFcyxBXntdLJSCfpW0MA11Ukhz64B+
w/qWYsUE2ufud3eXsPaj5KHxZy5+ayEFsB9M58Btw3lcoLg+IgBdD5BZ2tcZh9ltxTT1gE+GgwK9
D3Zj0iv2SB9aHrf7P4P581N3MzGsvnvs2MamENCke6d2fmCEWWFdO8SWeNNJQl74BIlkR3W6ZIdV
St7LshufaKK3uIfVVAza9odYSqJOPZNE70WO6iKNPvuaOex3teW9kPLD3ssbvpMqRZxZkcGt8GUR
KbHRLIPA24na72LNddX3xIz1yoP1VUNXCviKYDfTc+jHlukabEDHe5ZqFLfSNw1WCJt7mPQMzIH8
RBc/HJdm+6TTJsoQsl/ajdg+GAZjWy/0V5w1OmGc/j3Loap2lbPU70pBPy25ivnSZXvVZvbdQZlt
yXEbZ9wKEu6QRnwPo/9O22XrTHKJLtOYuJvtkpLRQoSbhM7uNkRlQOseYEbdsRiYbm0/5bWjMc4d
JikDnOJ318eR5vg8QxV10Po7Q8GP4DXraPK95USsSlNGXr8WYS99lhRWnx5G3ylj0/KeikHIXUdS
3n50egk9jUAYs6yy/WjM6hdMCCgp5DoG06y8O2MhiXAIqb0P6oOYXqq17tqnGmw6qsNoRn2qDaDN
t4EpBdMsYTovba2+Wjm9wKQPMl3shmGCiZPGiyT2ODWS7MiXSGSDjbTPMBQpAvr6CgXbeR+R86o1
Y+JLAugfUixcMMhjdeorOT3WvfcAQhwPeeF4BQPh4TvfQOlsvaFBFNAN4ECNV4EzTx8HhoXvAFqc
Nwse+oPL8gTc1h1V36A1pfmvX0s+xQvWmiHKHBws9SQKzD4rGkJzNovQ8addBcU+GqZk+QsRQD9D
XthZmw0WGfY7rGz1J7UYet7BOxg0dqKYb9BUI39J7kY6EO/uofZ4SJ2meRbLdkS8/gHVCVITcywb
icWdCJFV9snMvY9sWd5np9l3jn6bBelyZADsdWgXvJlUut5K2kc6+ns8n9NBJfJX7jrkCbJ/g/vw
NI+INhPVn5j5Mt2FdUhAaTRP2bRHxA1Yz40Rf+/6WYvb6o8+iqiX+rmoQBvxy3RfSvO+xjohA5LU
0wkD7OSpf95KDm3uyqDibSVl7GY1+RxuvXYlEHJvecPJ9U0iIO5G+folx4lBv+9C1jKCOjEBgKXq
Z5pLN6oXQZrRODqXO8WX2CY3P2Nbr+HerogIPSBGWYLAM8eCiO+M0kjI/qrBxSJvzX0Qqf6p9Vy9
i4J1Ztu4oYhNQhg5Z+WhTu13gs6B4RqcYpu/co1m/42h9mojzhJw2mO53PONyqNoMmylMPIL2adR
AVT8ep+4HQBTGo8Y+/JDJZriccEtM6bzTZudS9G798Mx1YenwbFv6YKaNJ8Xc58oJuIdUbj70rDS
Z6Vm/TfOuXK3Fbkf5/r4g7msjSvSOIIeVmhkICDhZmBQvZIEHAMgqUKEydaDUjYIjfFpKQcV4GM0
fousbHYUT/Inz9jqcd7k3xViyYVc0mPLHjGYpne9yqs34s92s51HbiX3BvEpJcM3boU0YH7IyqVo
lpsS7V9yHxmqWt1wqzauUgvDwX30ruLOcX8YXFJrMVNlmuxgaLHEda1Ljzy0huxNx0xIkarqn2Ts
QQevq0nMRPrWs5ZiyM+kf+wRja7DSY0lBEgma/vMKK7mkKe//ZyUxWCY+3xjAtslYWJgMy/hLf/2
dB2m9tRlQJdhAWPaiCk7gWwUpXyAS7qbWY0RpFx7Cs+Qfeid+uqyTXhZ1+7J9YDYiap9Asf8QlbL
Bziwq9sNS5Ck2beDMSNI0yyeNf+g5fWJ+w0Qmz5mp44r+OpNFAycR9lZWmQDez27T52gOPjN5SVh
b3bw2wp+0mRw/iEifkfRrUeKEfpvhkRMx20jQiuFUlqLckbm9OFDXLdriEn0l1KDSVjOgEzdOhCR
F1ZjB4KMC2hfOrzVs2/jw4XCbc/pG7Z97bR465NZZt+unVSxTo7J3p2a32yV7mzQH88hwmieezyj
lnjFBUugs0MJ3TecRQlmMBt/b2Awer3oLvFKbVE+ahyUCfLqANgb69nfE9gVpU073PHuITOb06K0
x/sI+DdufZfIirw8ejaIDqXxAqYpa2pnm4pDhrnoFRMOsDMk2zvCY88dg6cUShoDbNRRoWuZf8as
O1qihZWv6/nN3solxtE/hnk10lWb3Ytf0M047OLhqhEINyf+wZs891D4VUmH45dcJQaHq789Wpp6
c4xKxJPdXLE3Tbhay5OVtb9Gu85CYjq7AzMKjFgZfdyZTBQ6Kur7KmJbidmP1xMddZd7gacrCmVl
vxGRWb6J3uipv0ztOPRl/26Xorqwx2qjridxaRCKt3tc2ybCEZDE9iShkWWQg6LSYCdaKVM+Zg30
gNbI6ojMFNIVyAi+1NzzP/6q8sM66HnAtmy9KMd9a0UFC540mu+kNrrXQnPNuN2y6qdTlnsCTAPT
abELnDAJdC1LychPRhVZppVw6FjFrnar4gPzg//Z3GGapvAmGDzOT26O+rHwyoGhjmh3bCaZtXs+
NDXlgeyXen3obQWYfOHaqWfZnHT8xbsETFS8Efr9XchG20M3IjNtbeYkSErcqnw1U0SwcBOmeDlY
V7rEj45jyz6umsSLDasXE7Atn+a8tp4HCztX1GmLOgzwVHfreGfgaGsXOrYzPlpYSh5pwL1LXemw
dPxBnMF8rmG5FphBvZExSL6QD7cQPkucEwsv2ZCWtnVYf8ioOWLW018nz8iuSUn0oNJEcc3NDPC8
AfoH2/8pJ1GdDExNTR8tsaCXYfExwui1flxhaGVlu29c758zgJz30rvNYpk5WYkYmM9jZT6YLHJB
Pc6LHQ8ih72qrwMdc7vN3zaLFpwfgAQqQ5cH0Rn5M9DyD4uozHRGya+XjRcD1eLBTMWyhzNr/G2T
OyvLyLn+XceGwFlUCaZMkhrKl6Vcvhu8Lxhi2vSlJDEkSldBJqCfJp9AjGvoTQgKIpO2+t7O86tL
TcWKRBMGfT1DlyWZBSYtNlZmkX6amZdQbovJjGhwrr4mSKN2NKsD1JSbBJGU/QGn3cQB1fCx2dmn
rcAeQN3+hsdIJiifzpl6k9EZNO/fQ1NiJlk/tbm7+EliMCbCGdpOgExTvL5aZW0RiCeLUnQygL+1
6XZalScOk8j1d6/QLD9gFQXHuNPs5djOZeoHszd7QZKnbF17I42grWXXYdK9g8si/t0aDXmoQPjz
iRnbuePZPqNnyx5YaS/PQC6sd1LrH7oWQy+nXMK53G7ET3u97kYDybsx22RMAk1iXtDuTzyE23pz
RAFFeankU13jWdI3KyG6RLN2kJi5Eh0/Bzs7Dz/MZpJoM5btZIN0OiSjBrhKm88uhr09ak/jYVXi
5lGGtpW3sywiFuplSV4JM/9XU6ZFyUidEEKp34LOl86+20ys52uKqbQY2dvqvXbsMMiBG2HEHICK
aEOTCPpwIeElXn3iLB2cHDpZn/uicjLiCAdvvlgIgJLOJRK0lWFu8Tfrgnq7KCEs+FDPldYsLyUZ
Epd+ScwdZI70uJnlvGvoQz7dvI/LwdpAXcoOEBRcDkrfR/Yvt0KK8rVx+ruZjWi0oZm9o+uUFJ6L
sK6J21pnEzMM/IdePw0s1q5Ew60P9UohSRNq7s1mgElupgn4yu4waoCYQDmJnZMIvmA14csng3Zl
FiczKlwiKpTefholgOzm/9RCpQetNBhJ9ElPavo0Qokvyvt+Wn4tJr6q5FW7B4xsp3SuI5bDNvzc
fDOe7KU+LiQQ7+piIXi49TG/GSxjeqOFaj8wYR4eWkCd+tY8zKBSwH2lManmVERMWfxWA6foNmPs
qvEXj/RdM+mA5dQGsmX1DxqzE7lHcS+ciNNm2tdeVv9jfME4WHuBoZtSt7bp38TliyCxe1fBVAq2
DdrdzAn+buj+aZjsZ91psBHZxT+MZH7M4Lz6xR5fBLaOQRkYxRS01vJtVHmyS+biuUrSKSbTfn6H
m1fcBrPVyzAve8BNCuWZIT8bJilzYz9rHttmdaq1/KyTli380v/Xmixyxy7Uis0M9dE1g032Z+Fa
gHb8Zrq5A8gCRxfqZHV3eRsOKdnBkclH8oPG9WXdjCFe0/XD7gDq0Vn8M3AukUickCEqyku5moHU
Zm8/M3w+ZHnVnpem0ohhkacVkg82QTUf2L1ypoxpdS588SnIzvhrMtuck+0N+nX7Cu2dhLSstIzz
rPpvWnMjKAnFDfoCC3a+ZgYhknBkKH+xbE6Z/dglPv+6yzIJu11zqvXSjzpSjcTKmz+0waCRLTFk
QCk3jpxuBRl4HVZ8of3UrWNQigLJ2FSMRhuvyKvUN7HBRR/WCsEboSKjBeLmTsbnh5NRxAiaQMkw
I1iT/HNCSiAHJk4Sbm3Z/HUH34bolGrFKfGIs41hH3qfxmT1TcARWf9Z/M73ohbA5Td+5eUE6nMO
J82QK+Nqk56+qIZf8MQxJ2/L15DiLuRZeddFPRpATHN5ArD57NTbPc9QXjgyGLPptn3RaU1esGwD
f1wsfV9ohc67Ovg3QnLUC/wHed5URhq45jsy1mSC3T2B52fB7KLRIW1pN9arePQN2jxPT+WZBKic
yzB3gY8b+IdzVGpaZj+Nm3Z2hP3VSJJ4E287bbrvI1gR+1X8HWxeJbBmzMLWnzHL1XsjdO+CZ+7E
/6o7AaMTu2Yg2ACDdLv3V5MFDpFpIbkizNQAt4Rrk8q93s8AOp2nwZjyI1baOk7XOX32ScxFbCcC
R+MU0uD8vyUJltekGcQuYdNlUn9xuM75fnP6mNDqU1fY5WkqaPSMFERem08Ri+U1NpIy3y8mS41S
MduG5UKcfN4+G63LyE0+GYvu/5mmfvndExZ+y8ChlEG+ObjUt7yO3Yo3zoQX7oEHTsYnNa6P0GQ4
Nax7qQLUA6TAHNv1zEs8E8FLJWfurWyTxz7N3+hu3nhGkQkaiCks/VOaeLG89HX0tmNX+U9gSKx/
zLxA/2qOoUc6EV1XYCFlPGqKpyJxulcPfcfR0vW/KamCQTkBzwxmKz9AIOevSnQzWERzyxfnx964
jFuYsA8d+xzbxfA+Nzqj54TsX1zaPNCj52xfzNur2FiqlUe7GCNiJAgKM0FJuKNkR1NgoR27Oqpd
FBMSfxdY2PoZ4/cx6RMWQz49M6c9RNBJwXMsWuOXsVgeBH05Htvacx8B6Y6hStS4c6c0/WT8DRds
uUuVFuF+IH13OWH05N9YlBpXODE2eemr581eJ2KQADw+F/BtPtijVdFGMUt7XF17wqO2pgvbUvtj
NLUTj2kDL8gsdxPFVlo0xlEv8y/m85hV6+ov4VaPXPAQgzBWti5exoztCWSU9pDUNNQ4IPw9WpRX
32AFYCO+IqDR+8tFWMbwkUNir+PSS6prbjnrmRH8End6373YbmFe71/mIFL4mgAYgqEtn3VdJ5yo
3YC2oC3z5jIxyRIBT68huiBHacOY21T7pu/7SBCEEZMTcezdPAtqVSDkEm/uUp1mIBmlVrDXdBhs
S0BDQ+mVu1Z1vzy2QzFGe4vaOW93lp+wam21R2HXyuTdsNUDvuGJnjs7OEgAITNaK7R5b/6iPH8a
sokYGDRMv0Ae8N9beRLZs1M/VwpE6VIU0Gg9lhy2KeVlxsf63K4opA3WVE+6aY0XCAAC/ZZ/aAke
2MGcNGAu6WDAq60pX3vKxkjhJ48W5WtHb/DzlwEn0o7HcMS7DXyVrGdin5RQTcQpaEV3eu8ZP+cQ
Ueb+4e400VOhSTUh3NuBd/ffw9+EP5G9EH7ini2CVkDJFpcGBjVSIUl1W/a/0u0+izObCM/Gj2kM
R2ILuflV1rx10rsOeo+Uq6aacQaAe1pUJ10AbPT36LpWTHxgpPLUuJmpXv+pHNSrowAfC663jCpB
Y0hIXn1cE7+6eW7mnJOV67/RO4RT6TN5LnejIsTO4r7M6ntyq0GD9vSalX2GmiW5soHsNfn7gJyL
rZbgNrOGa71o9ql12/kAh5B08KF6pUfsYVWYr9qgIQB26sfK6FE2oskOUh+ZlKC1giHA2krC47Cx
vgSWlTDpVWNMv1RJLhxC+fD1/nFHMxuCCgr7k0vyVgCLQt93TIALV/uLmEzxpyG1JKl3CPK8ZekN
339jqm7ec9fa5Wq37HHddf41jOPPMGPhrysa9r6kQajrDy8FvkkXosdmafWPclvCpZMnH4nw0Cfx
1BOjBXMcUV1rvrYSesuQn9vW9TNK+nl7uoNZb5QAdbyZIGpyAoIlEOe2R/SZIXYNoCTkASloR9OD
dStcnjKQJ5z5GjNvzeqP5IrQqY1PPu6OU9bXl2xqb2nrZtcM3wSbUQU7omkZgcyzYhEs7LeJ1ckB
pnD+kLSVFokuZ5ALDJUZaWV5p2FhwuzTLC3Z+qlYYKS8pUc+oQdvtsGHeRVzXhhcmUn6rn/fAdqs
bA4zmus9qRrj3xUH8wFl4/BcgAOmgoUpGOc11v6RdPrYqWqxBTOQGKIqxJfDdPCMS4rxNc6Unkw4
JOZnxtwW6j9qEa/u7BcPMjzb66U5kODlQpeqqrNHgMCtzYyBeqkvwk3DSa/Wygh0kHTBYGykoyvj
sa387jyij4wg1paRT9wTX2Kve5Go7OHbQeN88HP38w4zjYukTANXjKwvXBaPwFLV0a7LLgbGTPyj
6E7GVmn7SjKtLLzPviHAdlokF20+xcREjTEhcxr5TiCjQZzHapOHVHZ/e1PwiSAeXdp9PpTPwh2D
YjozbQulibAB0BEfBp2x24B3/DD4gjKy/vy8vDoeuubG+Cgbpste+6I5jFSyledTIzXDYRY8wIQy
53w3m4xaW3M/YI51J+M2LN68q8lgCk1/fud1Pc368LJ5I/qLxjwyrmW6BhxrnSKSOWKgPTQORdyY
w36Z9fvrz1a4lHEFJZ7o8Xue3Z0URyYeeVQApZR5bOALZprxLZDjm7wpuceqMMXF3vW8lIYTg0ni
WOQ3l0O7J/eHJpNsYZSbNAcMG7STNGCNWXzMLr7+nKx1g7ITxKFtPJhqHHhmyIx4A3JbBKM2EBpe
1nrI1PQRcoq3L4pyuUkM3ebcjIfcYVfEjInPUNfftlnby3qpHlMN7oIBlyJqbE8+mGNbR43fWwGi
GpIEB+jb8AcIZmXGeDVmcDoiQxRSG8Sidrld4MFQ7SNsIjtEmJ0ch3akD6i50fS+/15chx2tXj9s
QPfRa7sz97j9NnisUZpMlh/cFqgFKnBm9DX+XnbFJzRQ8hIJq45LHRmz6PUfDwHcQwZrJcyWfqSV
JNbPNsaU+bVw3zdk0bu5ZMvHYL1ddcgy5Ofmgobc+rRoWOq6QvoPk4Fug3SPk2bNMEBarBBMoQm5
BOri1MYhEW1kuyTMGl72ly4mJrdkL6yVROKsPxnEBcVeAREvzSAo0oSSdupiYwwshmQf/mocMUaz
op6jvB7N/5iE4AiWI+JrVIf3czH/WVuwyHYRzpMrOWpJV9x06yrQQhPUEKu+ly+oUJy92ZrVRoU9
XV3X3jk6Y/7afBaGZjxBG+QGmLznovQ+0BTjQVgY0RIdG5KGNLLdo4LtMv+Rb0J7aGgbPi0I/qRz
JZ23H+0KxY3dZ+ZtZvpz38mwnR8jgYir+WfR5LFQhG5ymCa9D2Gy2jCpcFY4kjXA4mf1fR38xl78
3Kds802Day23VgirpZdewF+9+BC1ziMy7tBxUQgzqqFTSzIIuojIuTTPKf0+aJpQz91Hd8ke4OM+
b1r2q9Gm/dKn+E7cx8wWz8iALWC2UguByGVRavgvKXEyQTpMbgwCRrFvk9sZVqkiqpnvK1gcqf8T
INwJBtZE924QtBXrhrT80MFj/lYZ3GX7Sco037GWHv2b8hiBb61101n7MbEWTzVBm1C4d6oZGc8Y
3Hp3sEg8Y9CqY0pSOJMS3b13Fm0Nz8YwfYk4izcy2sx2c18JyqxI2+3lsZtS/W3BV5xHdP2OH/HD
eZ2dOvGeyW/jTdfdZueQX/1UeCo9UU2KXeUDFKbN41yaDCP9wVSAAi/xAqIoonoozSMtahlNra1i
cZ9yGigOwpogvBC9GSBTUYa9TtA2kXYBchxyXzSyEPzkpWjc+xFrDWFvmyTHyLS7SgSMscj8lalS
/o4vDAqjO7xPBblRAGEASXcqfSJBklOJFUQuqhhx14/et9GGTwy4o7fGVt8y8d8sK3CR58eem2uh
2Tf6XhnOK9X+o84xtAzzU84DF8K7PzVlTaKT+SCK+u0+Dd316NkAHBv+HZNX7nSLVYE/Diy8ENa+
kcrVRWLRbgAfOBRcBg4jez3W6d0zMjOWm1u8MHsn5z7dEVkG5joNN/e+KJ7Q3deG9Wxoa8yQVCC6
KV+LCvECSMWXWks2dsbCj4Xm4NWwWgZeNPCEzWOTCVXb4/nqB7nXpD9qAYm7BKvX67fSCI1qxOqH
LYym0EKdT8/YXiZBvYoBo4jTXloYJtf6mXrSPYsRcuK9nrgY5G2QJPTfKzWlu8ZuzV0NQicc/eWl
WmnmBr3dZ96yxCLRgdFIWDOTydi+0VI24pN9TxCZkT4Zox4KK2siInfM3ZotJ+qS9tw0tbbvinq4
8ImIILOIsk9HSdjR1ngX8hCGoG3mj8YFKprbehNqCfRpyF9IBDfiTljdebesb38mNgtQbdI5npYs
e9SmnjON85lIbD3u/eQPZCZqOplGFfqtgzb5BHlBzWOvSlXGuCa5+Pr8xRq2PyDW5PoUGiYIa/Kj
qiJFdd5cBvXbnD6OTGfvhigQ1SPLF0Kz9Btiui50TcJQeqqWEz/rLbMw1pHAKfe90+gze6E2edw0
kocdfJNRByAGU8dUACuF7r4ySMYVZvmPncy6JxKoSNZoKIXoPuzvtNPnswPg7urDUN1Cdyyz2PcS
52i7DaWRP5Z4psYRIYDKnyyCLs+0Q/O1MRGbBwtqF5dNuhgiz4XOzxxsfVJ9MfydldPQTueJ9+pM
5iNl5OZF1QAsloJxYGNKjLbWfKyyW4a4QOFWRuVa6pHGipjdBQvRSOO3j6aOOIbV6qp/dWPK9ovY
qBXKBDrff+aEVV5n/1kG0l/JVm6Ah2E8lYtx7q2+pj5q+iv6+SnbDetdA1LykHpBBhv8sTDr7akh
A92HDOZSjNULmd5h2soGIp/vrtxmZkYhk20KSCxHNOrUDvCj1Ygd73MXjf72p3HWYU+i3BR0+CPI
9s6o2mxcGmDf02jcsBFW5U4K+pVs3Pyn0TV6yKWJfrY7lmWxnVWTdcQ+Z/h0k6hDNKZ9kV8spD2a
rw0Jfg9yphwil/4yk7nwZEzmuMvL8TfJMRjH6HByqOGh8sz2pAqlHZaEnbUitpGRA0M0dPo+p5H4
HOrNuBpDdky1Gm+RZzxCXFwPU13HViUeKiLIEzF9SGpa+O6x5S+7fpjOOt8OyMHftZ++5x37bCn7
iGnAJXH94wJFSTeZ8lEbxk1O9lJgTFqxG7kdyXBxrfTUpuMUisXJaHJW7bwRWB4RQGTvqYLILytn
C9eew89c2JizQZq+4LPumpp4h2Cbxc7AmIZ4kBLIZyF4mpbUeW4l29Cglonxuxf5iMqhSaZfW66J
61wlOWlFOf3RCm45IgGljDtLH8OB4lYiIOmSi0EyzQcF2JPltYBVUYV4B3z1076gcyFOsc652cb8
x1VZETPufq4t/F4MNR6kqf/UGFhZ+R31HHB+Xu94SG9gTsN+7pDz2Ret7l5Au317bL6oKWz6Rmg0
9k56ibZbcq2BaHz3CiHOvhVEhocmUb9IdVW+z5UTN9PCpY1u3jWjkVgO73cJFLo7WIPVgcCurN+d
1qnPZaCyk2lmWyybJ5smrzyCZgewblbLY10ZD+PcjXPkM4+8uDOD6IDmPv2U2/0pLWv3V0FibFAs
VXlkakIKeGZRD3Mninl4UCC13lRRUtjLDOlPO8qzkD4p75MBuFDTzE+Grs86m6GTKHk9aBC0vwAM
NTTtWe2/KYJXQfmu6mQ2Xn5YnMoPE2VtHzIzGXuwQP5BTlFfbfDJrxm6WZYUmnbEasjn0Ri/J8f8
0wAgCbysyglvrz5B7NpX2pX1XTfN5ICEuntakQLtezQt34SVaMexacGs6I39CLrSPJuQ0y49H+4D
pzKbjK4smWfzTRZdNR8FUWjfQ+ejCkam4S9GznfA0M8C1XypzE3elLZCh1VdtLppHoN48w/14Ovv
+SK+czkN52lm+uyWqLoXPvBb7tyTnxb7SQ1pMR+KtrS+Uqx7kchq+cL7CoheVXSWLsgW370Uav5H
evVxG9LhvOpTgsRkwmlFuCNRPI69/MwVerCsXCuGTISwJ2MXOeP6F5wiFDYSGZ78kTCluhgybiyj
fAKvy6hR9wxoqYQp0qat7ktOVDCdsOOSRVT3kSmKd4SbztdgFxizG8Im+sEb/woOODQezjYCbmeH
ysifIVW/Gc0+E6Z5awgNiQ0r/65TjbXCbHsnV/Y/xK8nw4EBlNrV2ihe6MDM2HDTaVfnfDpZ1nzl
EwvHmWyyUHoeuEi1vtWaRf4M46GQLK2jqXkEyk6lfWbGxnF8f/fXfPsUEnkmq2S/Z9JSvQij4Cro
Ufgf+tn9kqPvXwi+IBJvqao3kMd2sKWbCjfMgrTd6FCESDm/s+mndrEXTabCN1szEwZ2Z+6sAZMS
8yFkJGD3sqiytG03Ax5GVytLcYDfyfhlsfoqRjumDtY0OWzXDXZVYhOf9B7sjwf3aFjjeWhNVFdN
Yo8HV3eSs1G09l4MWnHMaGSZfhjJcVV3oJsxTrvWz88OzhksEQO+KNkorE8Qx8iLCefajE1W8RMW
+QL2n/QeCTKAwjwIbc9bsbGU2pJXs6TsqDx/wHmB0JKSoTxsm0fWgUCBDYRA/kYViDbSZAAsGLRT
+2Gwx5ClxU4nuQlT431KiGaziBNCk8ukkbNbT7+Ym1AcuZ3+oljnh6mW+mHvunc4oH/yLYzI0Nqv
tZB/MrjNIevJ/MJ61AfCPVsxwbdFEzATwTIsOvfgwbCOG3QS4bQUf/CC/CL/6RtgZoFwrh2PPVGq
h0GzR3AOjrED6fjqYnH9tcCnRI7NYFr4b2NGYHde65+TDzs9oT4IM/0uJ279IxnGt6q0X4iHhqkg
eqgEherDCW8P43bnzaWQ2JO9AIW6rZ8BdCK56It+rzQ7iQ3AVQeL7C098NBGRYUq5zezap7QH2Cz
ZIqIjva+k12ZyOr56gepVdzYKsRzW9qv7X8PSFU5zxYyDjjf6xbXkmrNJCmRoQzTxmCAzx1uaz9H
eqeHmk4Lm4GE9EdLBIahD0dUndmBepujx928XxisbO6zlpFerbWHds680HeLCvVhhpdE05wDxFPn
gtOyirHZk9hoAFCin+ys6g+CGnHICvszVQSJTHVxJYRJv43j3exJDiOfi7nuFffPztexWtQOVQ06
EXa8w8iZgyh3sdoiAioY8aTS57q9HsjcaB5ns7Ueeg/ZvZWuLPO1YRl/ISSfD93ULBfKr44dm/Zn
m/5H3Zks142r2fqFLm+gI0BOd0f1tizZsj1h2E4bJMEG7Junv2v7VERJSMuqwuwOT55MbAjkD4DA
WuvLzudDgIjjxX5n4fnH8BUVzpbO+y1dLUm8wQMo+2L9T9jO/8q+987+rB+G7ufP4fab/f/Ae0cp
3Gqvm+8u639e2u5+//v/8d3FCo7PkMUw3rEQOuuzG/Q/vjsZ/V/8b4RrkRD/L2xv/+0T5eH/DWER
lfDDCbxJv/+j//LdSdj4CP5hpJgSVMYx+9/47v4Yq0Rxy+aYQ1kOB0O5KBiaz/G1G9SNT7BuLD7B
SjhRcGIDCxWYdUb0xzHrWnzzznIj+lEvW/NGYts5LOi/PYPnmG4lcFbr5pMh8QZyKpPKsxO8x/tK
KyyjGcdJ0o4IgmsjwUHzPD17pv/lsH3uqP3zWDE3rqyXRBY4opbHpef4looIh9GjWWX09e/tn3OV
/vTHnP/IH98+AOAOWy/9Pwr3jhbkcXkcqRW3iLUTuPImBZE3azQA4xuoTWKxg0jvw99/8LU/yHEG
24jYSZ1/cCpjyJNxvYnoCQGHRH78+w+cH/Of/qLzDz/7iyKcfZNh5OFxNr2ar2ByB2jHmp6BJmay
gt3S0SCHqO3belU7UgraniD1hsTx779Pz6/xnzrgZClZhW/bsAfRfdQIeMcFHcJaOP1lDW9n2DL0
DPL5uKrgBjE21BxH1jSQnAQ6YpVP8h/eULjDnw9BqddqKsMZQwCj2Z53zS8Vzvkbf99rDxATx/PG
G1TqHK0DbnjWXn1GGDaW22ks3v199F5r3ZkbyqjIId7C/RG0yflPbEabmzo4Hwd7Ne8mo0E5GuKs
PIQaelDTJzoDH7Skm/KbeSInGa0r58JahgOHoQm27UgWCGcP0jY4SfPrvpOOxnA/HK1lgdkA8VzF
/kyPEbu2RSkd/v4Dr8xtyimeCoTTsEAwRlIhuDj9oHBnN37i7RZDpYZjPXW/6obLy7//2CvPOnLm
HgZzdA23PO7AIJ+R7/scsIZP1TAEv/zad6aaPiIjmZcQESgNIGGrFgGSxXPTd288jXM7fyj0s6n9
eSXEDfQxI4P3sgmirTrNHbUTvNwrVHVwweHo8e9/xms/w1/+DBc4AkeGh0qGYWTDRS2h8IX1g0Lx
bfNhXvzqOnImjbaZ2pQvVZRYZs5mxDVD0pGMH/3+CGfWmCElBGY4jBMWLLh56zvFb7RYm/bp7Cpa
3hiq194oZ/bA4YU1kULoTVeK9TKoNtgQNe3K3d//iFeaV87O4oxeIxgcmYyqZQt2+4v4AnO3V0wz
hQL35YMeQYdXEZEymUo8gaHUINmNgbKevXcmjzHn8B2tRZSIfjJ4Bmu0BMgZWPPN8wecejYInGrj
BaMf06qtLy0N6/mIm8Vtfu83/k5BK7bCeBssMkF2Zv5JRX3/HhhU3Kf4Ne8UGiglILUTuHotMpzy
i2HjSwwHJixGfiV2Tm15PmFABNGCad2pxPTaisseZG7wkkbRvbU2n9+UP8xIyqkyeP81DBh4xC2k
wZBYa67U+yrYJnkFqEBljotma/0ZeXz861jruX5jJn9tz6OcwisXnapmmzEVQlllr7KgR8YXfNEx
tnURYucRbAe5CkDOeQZT4An3wlodJMw6zcOEJILRb4ARC/JigFcAGhTk8WmCg/YRyds4MYlUyd94
P+h5GP8wvNIp0HAalrxlULhxAmr0caMpDtkAZ9lK3IFwEF8hGG1+WRDrqwsBRFR4t3DO6luUelR8
jgxCc97oyiszUehUArdTaCGl2JIhhbxo5qqHUgDAAa9CCM+/+nwLjaPNaFLtlgQDy/aGI4lCGpjN
vVqXzjwU1XDUNnMucG6T9sAebvFPuyxz69d56cxCZXeO9lhw0dnBtJ/ogYLDrHmk//HrvTPyiESQ
kCdrkWi7RF9CrMx3PYF3xK91Z+RbOOMKQETiBMdg0CCNNKoAaUMCQP9GhbwyQ/wOwnn2aPu8Rbjm
AmnDsEIJCv9Z15Hvi6WYLTIGIxOU0iNkWAiItPoHSLo983wsztyHeweEfLJOJhJWmhGKFXZG3Y0i
8Fx9pDP3bQLJK6NEhsLYhvQo10kfNth7Dn4PxpnggHqB8bNdtgRBfkOCOFn4zjpbvDF/nh/vHyaW
0Jm3kE0EIiK22QkcVzgGG3DRkK445fXquxtuhC+2Bk6LZksYvnnBBqFPtRZvbYJf67pTzVCZ1WIp
9QZp3zrcwppPsLWA8aTwe2/OIVDP5yKIAAfLO8x0QVrFlwxHxLiBikTiNzT8ZesFCXC1nfZbAosh
fNpxrfcTLohPf2/9PCf86bE673ydQnGz0WBO5gAY5iw000kMBoLlYVbSbzYNndeeT4gHLEw6Jxwv
/4d4AJKTwqnp9zkeOq/9AE6PgPRgThoRStxIgRNZrNBa/X18Xnl3hPPa06Eq4YIoxkSDN3Sdl5W6
tUvp13XhLNZYqFNjKB+SFvIpuu9C1u9VtpjMb0YQzosfIjwLDkMc88CZtlwZXNDdANxd+r2Ywnnt
cT4aTBRC2VMHS3z/AKFPVL6DHRgSNL+xd9Yx8O6mVk8MGdl63PbGhl9WmPjfePFfe7Dnf/5slQlB
XRdRlE7HtoSgFdn/UPrF8ejZdadoEYcggE6C3BQWqS8d1NLQYiyp52NlL7tu7IYU3B6g199dR+jB
WXIAia3fqLvVGkbpGGV0OsYzDo3ZufXef2CcajWIh0nB55qOSwGZyhgZpL1IyIG9+s6das1EGDWE
EbQu2M82F+VJ59rzZOscA/j8jTELSKi5RuPxNlZJqRCJmiHM22995U6tLjBPpzBC4/ZqgGd4gUBm
Ry0itv0GxqlV2A5ZDe8KENqwKIDGl/8c4aP0HHWnTvutG8C2ncdjhTzNnRThl9/aMr+eO3VKIN7j
a4Ysd4Xc7APMQN/6ces9e+6UadvHS4Hd5Ah5TJzhmhomsBG+Y8/W2csXRnGAJ/IgRtfjkcLH1PP3
qdKlD4YCmalOnS6jYLVAy8lGO8iUtjqS4QEmEkh0/UbeKVXWLrCYWD0lq6jqDkl1NkzszIYfXs2f
kziflxNFliWwAYgk0GlfXsVFTw89glf8NpTMKdYR+FBc8IZjMsT8K6wl973g934ddyu1xz0wksqG
JM+CO0yPX1YGWZJf206dxlDqKaRcDEkxA+eNIOPHxgDf6te4U6ewvQbwp45jAodAjjA1daPgMfbs
uVOnuL6dLQgYwbEul3/ylT6xsPpP0PKLnOX/wQUjc6oUVigdYL1eEzR7tqvDsC13KzIU/aZe5tTp
pMMxg4V9SOIY7m8AL2D56PON+u00mFOoY1syUiJ1O0HCHyTfkF1lUIZ7DrtTpHAgt2rKO6AzV2Tw
VZVF181bN6/nZ/eHjwMXgRjXUuQ2qIYE6c3xLYyI9LYMUvvk9TpSp0TZwIYObAO8jlmKdMZq/qwi
L6ATZdSp0U00cZFmZkRoFtxRoKt+KdvovV+/nRoVs1jmHAbaBNG3j2Jcb0PR3/o17VQoEmRTPXA9
HEkaBPugABBlI57f2NSpUEotwDgBC46SIPd0VV+iDlxrv447JRpk2Kd3DcakzOr7RiNYpsr8ZnIX
OynsvPIFZ+rHBpEe3cyuRei3gv4+Q332CWBXKPnh0RwTWembqFmSukv9rll/H0I/azovB6QUjui0
rT5uMOIX6pPXQLvAyTIuEIto8BBFZr53S3wfbdJvniJOPY7tZJZ1lkOy9gV93NaBJcXI+4Nfx52K
5HW61AUiCpL+nF7BanMRp/Fnv7adijRl3oeKEmgCc+xuwWv+JmLuubC5xEm82G0LA++QZLlEcmcv
ziGs8L34dd0pyggpU4MIJ4TvyQd47yOcBPs17FQkss8QGgz1eAJNc4XggN7uEH7w6Ne4s2LOuH9f
V7hEID20F3OJu/2WF4Pnm+Ksl92IfA/waPpjVIbv+Wh/5AJccL+OO8slpGQracG1O3YVfw9CxY8F
xDKvtv+FnKSw33G+UBy9Mk5uxkgXV61YpNeo/As5mfViKrGfxYsSIr59I8XHUmZeG6x/ASeXeBSz
iVH5C18HALpFKpsDww4o95pa/oWdtPBip7jvGBIt7DdEoz3hAP+jzxOFYPDlZ8TEOUG4MsZlhHv0
0I4m3/GIKa+tIY2d8uyySeFMd0HHl+X9iOjvZQIg0q/nToUWFTL/EUPcgx7Gb0sIDo+RUsxzxJ0K
HXUHbeQ4DbB/lfciQJBQl3ltUhDc+XLEuzMlTQM2lTAGD8lcQTFLRfHLb1CcAl1xKt9H1dBDYCC/
6H65ylX44NW0K6xauiE1EQsAKKAIaS3PMXk1sjm8tinUFVY1IdB/E+Q7Ca5htkO9NXeKI4zDr+vO
4jla1iOKe+6SBvIXBE6MXXAdTGT94Ne8s37OAcesKEY80Wn9B5kr90sfffdr2inPAQtPZmXTJ0bq
D4u1l6Sq/N5DV9s0pZGRRSm6ZIO384jobfjRy/qHX7+d4syBuOu7BQp7pBbtjVhhLH5r23n+0//9
VUVdFdMc4Dx4QtpzklVTOO46JYvbFs6f3YwQx3Xv13+nSENTL7Vpwi4pc/61zMQTWAFeiz+NnBJd
oHgspUo71P/UX0x9B3szWAqJV8ddAZNmGZwFnKHjgj4hkq2GJ9l+8mvb2eFmS2tNR2C2CpEJhFhZ
PgI7WUfI2/FbpJVTpyLTGsnvJV7JBUCCij3mrd+3OFVOjYJB2eKDGU2na3w/kPxdyqXXNRRVTo2W
0ZpWLfKtYSCqWBJEbLhHCH/upfSlrl6TqYmEU443MSXbCvtam3DhKRijyinTagHlc+mzLqknC8vY
pE7trP1OhwH6ebnQDZ0YR4E0nwTT4/W0susyXPxqyFVBxbMuEc6ku0SlZ4PXtl7HHYLx/F5zp0Bj
vCUw45suoc30ntP2piODX79d9VKX43YCDNI26WX0lNPuvjSt10ccdZVL6SIqo23RJRIjg4xGYCBa
JIr6zYeuomfgBWidTdzi3iZr98hXvB+D+KPXeLtyHkLwnVWHcPlrZA/DKY+DiuNIAuk5ME55FkUM
VVqxom4Q9rKPRik/IIBr83yi4uVLPhUh0mBAQkq2GIF1tBd3WEn9bs+pK+UZgzpqAEHA69LEgiAb
J1pNj1yfeDJeZzgwEr3svjIVg2CxQwimGB5y3d/PZnjweqyubEGn68zLUreJquOvNaL+dpmAT9mr
cen0G7JiEusFIYlaZ7Pa1zj0S1JgfP3uP6grNVrNiASgKrVJhNykdj/NtgL+Ss2eH7vSmWNoxYiY
Y4SPdtnaHyotEYXfZ+HJa3RcsZFSyxKRidhkLCXSTCX08Bxf7X5j74qNhhLqu57XNumF0vD6I17i
G9DagE/69d7ZBSxwRnYzeDwJYrzgpxyqj0tJ/dZqV2tUsmZG7vWIca8je7H2BHbRssku/HruTDUT
n/hqy9kmRRpuTwSW6wuhIkSJ+zXvzDUc83vIVjzWM4+mP6kxQohimDay9fwBZzuAS0TT1HbCyPN+
vuy66CPw7X53CtQVGrU4Mo+CsQImBzHyX5FKtFyMppr8ht4VGg0kWNaNh02CNx5RF5C+7IIVIB6v
kXeVRt0a4I6+ROvhhFDckNorU7+lYvqtoP7DB40rM2rzBVLfiDUJQvkQS4XbYgRpwXC8mL2uYm0u
KrvOD2PVI9uhh085GbKsDR9hcQO3T8Rh3z3E8C1fGNxLNhegdgu5UyUiLgDVaCNExW+iaLuPc8uC
ERkdbW2+NRkQGgBcTwgho6AejEdlx2VEKj9OyfYSt9TLJWLqoyJhSLwXl2lTzOC8EZwmfEa4bLGe
kAEAagVHCtG4n8t82E66jZGNT0q2jSfgRJAL1k/g6HxdlBDp+0HIoPjeU9i1k2gDbjzpgEgwB2Ti
hQjpncJoXwMVafZyVXq80LTR8c05axhdbjf2wKJ4Ru6P7C5hHT/H8jRxtJ7mCtwJhMMIHR4nNQsc
YZcZcjB0iVRc7GdjJDlFXQ6XNXLhOuTBtLrvTyUdFLneMNozcrDMhHi5oLrrwAABLI9MyDIrkDy/
IRa8aJTfLsSV1iA2apomOzVIF9Hjpy5qN5yh1tHgV7muuAYpmQPU+XGTxDjL24WsuMk25NZ6vf2u
toZg5EIR2SZZgW4DjBqQvWRpCTzpfu0732bISqVbgDzqROoqXI6sr2HbRwKVaQ9+P+DMy0PVzmmQ
DU2C+4FfSAC/CoPeT4xOuTMpWwSsTO2qmgQkKsh3hl6BBcrjgv3y67szJ09hu/FpZDYp2xh5yqpp
Oa42kTnqdwVOXR1itYhRAsXZJMgRa3AeiehfjShwr94LZ+S5SMFcQ/h3Asz3z1SYB4Tb+1WUcAZ+
wh3hUjL0OxzTpI/LqzSkfsfWwhlz0HP4SnG2mcB6DvRNEIORWCJF0G9M2Ms9d0c0B28OiSqaIWJo
Me0vhH8/+rXtnFsVMF5PtSJNMq6jvYN1ML9o+FB5LrLOrjWTOQHnQ/aJRnD4jcCXFXwd4/DFq+/c
GZfZ1iV4nRobBEIFAkXn4pgjtsWv767ey6o5LTaNJRx3NN0eijLwtIKZ+B27cWdkZgKrdAiYE4yu
ZXkl+RQOOyShST+NPAzfL9+Zvqg1hEwNXvZ6VFdZzclXfNOufkfBrtpLLVW7VT32fTjKWi5TgShw
RQblN/v+Jok/u8xnvEQS2HkOKPJKIyALIfjjAEKm11vD3MWjows4OVGTBMgj/plBbf4T+aeVn/KT
MmcCCxmvi6wwNgFbfQougVaie5LOc/jG3eErvjrKnGkMdtMUIIyoTjbgzrpHa3JEXaaqRjL33DfB
Iwxn4F8C/AwSdGvivUYUnzxlQQhul9cIuiT3GcFUdV11dZJ3S/C9Kmb+owtQfF6tu+ozuIAlGQvs
bue1BdkU+fz6HK1U29LvY9eVn0nCNxxinBfgdKDpNRhtcIatQAATv+2JK0DbyNjBT8tqQGFpDlws
INTIhzNi8lwkmTN5yH7D6COxLVlHhPJm2/gEb8APr+F3NWgg3yEBb9yQoN/V/X7R/Nc2AHDp13j0
clbS7UZ7kEeqBDvnU8nMFWO934e6q0CrgHzVM/JJkkFM/d4EAhcZ8/bBr9/OnAHKZKfpPNUJstSi
I8JA9a4Kc88doSsU6wtRN6KmVYJN/52atuuy1W9kuZwnhT98Kp5jg56LfvWCe0bZIb25X1h2Rcsu
2um8mf0WMVcqNhuZR5PhVcJNBER4EUXtVaZGJEn6DbuzORGgAnNZkypRYV0AvxRdGEFXz3fRKaLO
1lqncY5ga5HNNz0IdXs1FNP937t+nu7/MPCubiwGDHyaKdb3Ejg8bKwI0p4Rx02RmwnoaFP7bfZd
DVm0yjRCXmaTkBGcMQQrD6AbmIDEjd9aTJyztSpAku0U53g3Q/YwDuQD8uH8JnriFBXCJYaIdOg7
TqnCQ97hKH8bae33eF0ZWY2XMTBQBR6p6tIP0xrYhzoL/dxMlDiLcJnXSA9mfXmeJaN7W/EwGfIw
8hx0p2otThcAkqlLXIbjVKJpo/tA6NxzYNjLKWFch3od17yEQgARTnuYD9svWxk3k2f7TtEikAbk
9qErk61T33F2dFup7OnvRfXKbOamhImJ4LYaDkEYP5u02LX9OP2ceeuXhgHO0suRAdC+rrP0POw2
SnHg2EdnbPbo9boTNyMMzLpx2Tp0PtXnNEXK7A4pJ35rCHFDwWK5qTXscf5G54GuhzqHHgEBz3Ux
eX3iktip1miaU4udLQgKmVwPkSbkfQM/3wefJ0tcVdkqc5wjzG2AkHq9NFcFoeSOMRuOb/Se/3k+
Jq6wTArOFomQ6iSQY1i9aymtR0QeTm13wofYyE5hLGR/aMNyaW6CFV8FN1YVbfWF4QTnNEq2XSoR
rOEOMZojEgrWwJh3FYjjDHnY7ZrvEc6fbt8BRs/HU22x5iLyv1h+8EqI68kWw9WaZxNAseOMJpCB
ke1IlYvtEWD1tbg355yKRzCAbH/AB5vY8P92iGEmUH7eFTYLtgP+7T6/5SxtJq+tHomdaQa6RkAS
YEg+6pQWd1Ns4huWM+23wCLd+2U5NYEJEUQ+mYQt5Kdk7X1M9Xu/18WZY/CtuVaBnE3CN+hsSyYu
WdO/FaRxfqP/vXST2NkYIPWy0lu/mKQF6Zdfdv1WIhB5herhMGMPD2p4LMvsi9df4orkgEcIpZhC
kwQ2kEfAKICttqX+6Ne6s9/O1nTENyI3CfgK2QFh/U9Dwd4ap1dKKnK2BhTEs9F0IyjJ5Zg/QFUt
3kWZXr4tBQ3eOIN57SecSYeksdLMghrTL9zIAygvXZvvpg6H7Zf5DEfbGx/Vrzzy6Pz7z04cIE9A
3rgs9VHng0EQebgAwFoEAJRVWwRIEABsb/xFf17CiCui0xnOTtKuxKDVLIDQTT5hIvJcwCKnoAOE
duAgoDYJxQ36wOfTwOkbE/RrT8IpZgVMS7TBg3swGtjzSwDBwlMTxbg/R2hzSbzUBUicfvkcQrQt
wVkPEHWBIEF43fXnuFVs51cNTmH3a9zm+doViVLhcILmGnBc8KX3Xq27Qropx1EkH2mW5CISJzut
1SGKc6/vOOLmgBFpaVmqMj3QKb8iYAKKRvqNuauhWzkpe3BRAOPdxDGN21OVM6/vQ+Jq6FYEoeV9
bNKDydm1CoPrVvqd4iGX9uWbAlkhOdNb0oMt5vaq6PshCUL+4Pcond19GqpsWnmAl53q/mhtJ3Zr
XIqTX+tOlZIYPLMQAcuJynt7DdXrU6tXv3BY4mrotFQ6AOshT8CPLUFUGOoL0pZ+UlTiyuiCdcHF
XtXlSQ6c3cFmEdjtXX/0GxenPJeCgHzFm/gwVCJfTozNH20HBJffsLtSuqyJgY8UNeApQNiZskmK
rvFbxF0p3Zoti640NlLlMOa7eqzJfivDN2beV1YMV0k3QZ2/weGHIuqnZgfV2N5KJAp7jbkrpdsQ
GNZPg83hWqrWfa1t0wIKWMd+gjQinTKNqxWeCwN0UySaje2iMu2um8Xkfj5IIp1KHSWYqqrl8aGa
N9yM3UMF8MbI/D59+8M20NXSCQCjEfAEei4Fbg9Ek7wKYTACHJY+Im2oSfIQieQ71U6gb0icrs37
djDhhIRMCy5PO8akPW6WavatUiGbkjTiufI6gSeuCm8Ls7lF8np/rIEE2SMLFxkTIvXLUSCuEK+M
ATDnEYi/uVo64MUHJBYHxu/6mLiyHj4zvpVm6I98rjJoOIZHGDaXN57aK8XiqnrGuUUIj1r746oo
MCWAAu+V8Zz9XFFPaEYZ8BajvlUIgJiH9RfpMj93EnEFikvQUkSpDOcv4G7QlzknEZhwYA7UB79S
d/ZWZ3CVjGimDkCISqw5azHW+yyUlP/w+wFn/u4GM25TCsr72GT2WEViBgdReB3vIxX25XqPXXjI
LQeClZ7j0OawhfleKC/JPHEFilZNok8HND6NiOMuwYkGCY35yR8RFvqy6yIbEXAAiOqRAYiw54YW
OxwyffcadFef2BiwUQhAJMeJAc8RAfRwaBdB/NZMN1NSQz5MRMCHYwOx1K4xnb4rFR8++fXdmbzF
bC2n4BIfgxhXTcJs+pivoefAOLusvJtpg7t1EG9Sxd7X1WK+S7Ipv52tK8ELAFFv05KPRw33zAGI
qGyP4vW7vCeuwmaDDSLNJ2yslGXf+4o/VCBIec6QzoqcVThSbizIKTnIIrvFgpSeppDR/f2Rnlv5
w6LpamxKEGyYaXh0kmkZTu+zEUzX0ypZ2Z1EZ7EK/v1nXpvmnYebTjwVtMAfEbIoOEwMaJd6ATTW
r3X2smBtlqphkGhd6zoHoK6A/KNZ//Fr3JmGDaD3GfSM3dEudt3nVQuQUpX6zZLCmYJjK8hQAfwH
WjyAQVUWsR0CjDe/adKVJK4Vl3LrwCsbQMY+0d583GgR+j1SV5C4ZZXYGpz1HG2UqX1VLgWw552f
fB74y5ePtFZADaootcegCrp9sQHhxO3ql9xEuHzZeipE2VEQ3475AOrlFlblPkJyvd/C/ftI+9nh
1EhXHDl3OjoVRb09bsQunwoCMJrX++jKEVM+z3SEWBl8Jwo/ynl1soy+dUb4SqFyp1AFpTiuXuP4
JAIcnU/Bj6asH/067lSpQQpNCn6GOiHnKy130waZ7JAt/We/5p06pWXDm4108Sm0VQ2ZIzCF2Y2k
ZR351aqrALM9SNm0sfEp7umuiNlVSTyXbVf8hSCudlgZmq4ENqtnxULtp4wlrvILfIY8zRQgzNs5
+sjMVOxFFs1+M6+r/CpImQ3b2ogDUrgu6s6+J9IvTZC4si98h+CjpqrEQUL+UAAkC47zvder8i/J
F2KEMmC0xIHJsaKJsCV819lcjR/92j8X17MJoLa0BbqzUSfR0DNtWfTi6mzVeytP8DwJ/mHRdhVX
eWBALp9Teaps0F8M6TRVd70iWh/hU1Xppa62ObsdtvR/8HH9+2PyTz/qlK9aQWecirbEN84y18ue
lnnJ7NEYVB3Qp+liyl3bVMDV7GreYm1firWr1WVzJtVXJ3xYFwY8us1M62WWrkH6jfMZsruaQFsN
CCs47/O8wybHtjcGcDh7O/XpTOXlEoCwaXbdVoLcviM8zrnedYOy2Ag1Eo9uF8Zto79Z8O6AIhRG
5dUl3wwikw8rPuiVPqztNHfAngOF+oAIuXnKdyHwcWDU1sAI9zXYamMgBWDxiIY3F9Qaiej7CmeW
AxjLeVeO6GCvmvqjZRV2vYUqol+VrfCPu7EV00FCd853I0bI7KcJoOhkW8cF1CVDABb81uDQVo27
paOEzuCkA3T6pc6FiX9UegToB0bODeDpHdK+ivXzWUZ3AZjeuuxqhEb1e5Bhe2oO4Ptt6RH8YaAX
A5Yu/R5417aI95Oc17A6sGkLyTWNJhmf8nDcKvir2ma9ACWg3itpJ3lbkDGPDiTnM99nSrbYhYFG
e4gqBODullbLtoZ+s2jAOB5ifByqPU5IFt2gZ23dKfAZpYJvZMqTVChsGzGXyGq8wtNqsnzXRdjZ
7WIalNVhrGr2tR1A25vXbVE/xnxb+cl2TWjutg7Y009Zy5S640PK+c2WZtGoAXaGR0WcYgA3kYiw
STWWt3BoRHheFohJdE6TLdbjiSDVGLuxijSbuVglX+bvbVTljd43Ew6DLxUcSPEjXdTSr/uyFiCJ
6Sg4x0CWY1nPAVwsG0RbSNBR4zQeVzzLprlkwJdu7BIYvijbGWnikzRZvW/kMlcdPr3XoJ/OO8up
vyZjb45zhznqTjZ6LB6XhekaJAhdN+xyCjcu9o3OBENKbLaWB5xCZNGXaOB1cx0vG45pzkx1MChn
O+AwfwfOsWLYQQ0D5xy0TM6Le2oAhj8hYAWY4JrNFKfaZEC22oZr5mHSsFuStQeLt8okQtZIOX5n
JfDkp25Swj6osKLRIUv7sPiOb5+oRNFUopkOfRE2/Z0ZiZaPkGe11alYFWxCcUOa8GoLgWO+odls
tn/yumxGOGa6oBF3LYo2O9Y2W9mlrWjRPmVBFRGG6c1oGe5UBW7xHRkGQ7+LIgW+eZfquNLJPIOo
eUW6XDSfi1mu4R658QRudD1zGiPaOZTlj3SYtdE705roe8hla5/gLgfkGbdLWLugpm/WW+hY+wj/
cROIH03RTdtlxey6PpqNULq3GSrpRyHwml9ow7Y7MFz1ibA2Kt5F3ajkkUS5zT60Jlu29zNk9CzA
TTRyA0BERhKxvOznoa5/GdzcZNeFbPmaAJBapknLYtpdj22s2L4QXLAvgPaK+B86m/QOFvLgCtdI
2w8YCKpdAWrlQSMgKDgs+RbNV2BITNsFwoP45zLORXywJRyD92rNyvqO6jSnl3OTj4C1t1mxXMRr
R2Si5GLIE5GpST9kbazt3q5DgEzEgsQ9rAqV7KeraevD7rYn20AuuZW2/AhwR9q8G8NYZSeSmUYd
BkCGMXfOYdRlJ+inaXfbxpP8USIToN6nOF+a32UL6TCVZM0yH2XYDJ0+ENxWTdemQMDxKdWjhYkB
MFr9mEV9LC6B8bVyN6RBJ79nWVzYPfC3Zih2UU1TAvaQ4MtlX1b9cBhmRoIDGJaMnkHIs/3Chxg9
OIREU8QZLuhFDiZztyuWAKTL+hzJs0Og3Wbu2hnGNODIu/krI+ssgVfTNXI5gVOQt9gu6Z8pSljt
izJj1V5Wc9g8rS0PQwQcVRUiz3bcbFt+OQ9wmz6u4NN16S5rB7Vgvt/sDDx2MWCZnnc48Z76H4YO
g/4wZVt8DZZFh1XBILIm/lCiqfPTtMMI8DpotgoZnjOrQrBzbQ22fUxjc5wmzct1p+kQbdfz0gNl
vVuAl4ovSLpiowg7W5Zd9kCtBbuty/PgQYamY4dMyDE49GSi8UGt21Z86sjGi4tp2OY4GasmSA/t
zNL1hoPg9Z7QvsgfcNjLVrPLy3KIT4iO18NVbPAZc7fiECU6CZNj0RvSFHjWoBLZclNpUph9s3V0
2AvbqQDmha5P8xkWuq2nHwZiKjgyajEM7/MFt1QXDe6Ni7sGcXd5u5tWAYoOwsV37dzFFCzcuB/e
hX0b1N9YvkTljSw5EMy7OqvK7B9eRhtehwq5bf2x0YDDnvCXLcUxrIzoP0ozZelVr/OCX8KRKsvb
ESh7ir3ESEoJPHPA058b8pIRbN5nRXjRN7nWkCDD7IIXJUKY0lVWDKu9sEXFIe1lkPqSY2+BPtxN
w1qzhzqIo6upKuNPEQN0foeY9DB9FDQrg1+Q2j+cRa8XiFIBbnlYO/UA+efyq+lbMh9ogAVwPxW1
+WXh8vpUwYYRXkhMz3Q3xa1ZL+hcP5lOFAfEIecf8FWDjKSNBAASlt1WKUCmGV79igB6cAdm6rS3
PTZrINHj2vCkh/9H3ZcsSW5j2f5Km/ZUgwRBAmZdtSDpHj7EmDHksKFFZkaCM0EMBMnfep/wfqyP
q9Rtpagq6ZV2zyQtUpHhEU7HcO+5Zwiiwjd1EcHV8yFJh9nfdFu0xkVdN4Y99mLiwb4aA5VXl6x0
JDIQLIPedzlxbDNfdBOhLeMNjFRyi17wpkEqcXBfxXBTLEBzKs8e/+Nmk50satROwBaili5FE+v1
U6u1tHkPAdF6DUtA+lppvWRxk9xUfUuOszEBvYLOVtHjBAbWQaQ8ftzCHmYwlcCufyIh9mImomDG
euhYHkW494loagRep5WZbrfA8d3MxZA7Ul6rJuif4dk736UOR3zBup4W9TR+20g1ZWtf1l+QT9Jc
x0gWrnJvgJ8f2kSvMSoOu4wr0nQZtR+nUEI+ikJrY7AvtHAchFdfi3WQjT6InyLkrURF7VU4fOMz
xXkfQCF1Vo0BqbwBaVieBbXL/AP8GltnAlPWrSBBNLMzT+22fE+H3u/lbEFdzioY9N/xySZVPi1B
pR4qpKjPX+jYl5k2gaJV3rerg6NKKRGwjpTxVMnTFoUWCeJIv3NX3iT9je9RDP4YbHpP7daHxdCE
ssejqiBN70QwlfeRUuWCBO9yGD6As2abR5gQJNcVqcv5qp/Wdb1N4YKgCkREJ9sxhlXOnPUu8hGi
7Kep+uQGLcmXuqLzXUOj6V5pvVWZhwW7mYFYb0vybQzrKXy0CGQMPlGMwoKPcYKTFLZN1jKoaOMu
QbB2Wus5yqVCAu2pqjedT5NLMZ1KnCvzdGPznlvXNFdoTjZ148GJuRe4bFOdzb4H1Uqy20j0Q76m
SEzUJWh5OL9dFjSuBP24cnmkt3S3JKJGOnadl3743CNRLEuX2h89eHTNOHwEG2/NVzrGeVTFbQJz
E4+4BD2KDtcXBF28KQlM2txayC5WqOyNQhTgLMLrerDBWlS6Igfmwb9dSwxF4yGxuxC637zr9JTV
FJnirU6GZ1S9X5KW3bkQwQyhxRaN1wsTu48W1J/JJ1mLm5mKfJxC7AxkN19VbTcP+dY0GDUg2fkx
7P10xNig1VnYdPSqjZXIkVK+3BvS8VPQpIPOiRxv0WfY+SrqUpbM+MxIP92qaqogXw9hBbtXounG
G9orH+CugFPBWSSSFs042WXPwjqe78KBaBg6Y3AvnmI++GqPxOtQ309RRT9xg+idwsQlsCVeBza5
XQdVpnuiGx/dYaBJhw/GJtsdi7suvFLdOAZLZi7wxRDjxIUmAhxIfjWHCr3JNkhxLnFkqiXncSzv
VzCrAiRDY/d+MJufILjvaBj5HDaZZZunIqzVXWuAYeLhyW7a0RW67W4PLW644yUdhkKTMlJ5WFdd
eBM7dUkKThB/DoMTUHcrmQuOqPOidxMJHV4EmvGht+mu4R2subINSeriSUHKS1+kScZrPTiU9Xkl
myAPG1gPYunyZc5Sn+CQiBw8Kg4y8QpFZboQ9ILSYpILnwDtkVNE48Aea/wy5MGN2Jh5xJKpaNfK
DVftgvvkMyPaz/sobbsQeVwa5nphXFNerGlXfRMzk5mh4bZ33C2fkDVeRWh5WNmYWwe2Hk48jZK+
PtFaecz+y/WOr5fg3U1v9Gw4b8mOI31oQfmGUrfQW0zZi+/mQB5bJKnbJ9eV4fxh0C7MMciZoi9r
V/o5Z0sdFKqtnsXiXDar4G1tobMaMZfN9NJUh8oqGKTE0PWj2KP5tlmhshQN+QTab4sYbRIdojby
V8voxM73KT23VIiPHQqqfFmbrxJG1nchIK37KowSiZgC+8j8fBpH3Awn7uX6PVRN+DINjFeHqK4g
L9gas4mbKYj0PfHwH4b9PbuBc6jLeLLCjcSR7Qply/QiATnp+zlQIJjbJc1dAMpFGbAXzgeTrSO/
wcwKHgPI3KU6M0SeccTNx1Xz6Bmnu9y1UZO0Wd8vFtwbhJ1EzAe59EiAKFpsHTwf53FmlPWhdqnc
YWEgdCuR62lL+HfOpX2Iozg+JaTFgqOdRqh88tAx3T+HW7fc8UQ1D5IgwXzfu65tp2whtfAmk+jf
1v2KPMT1kMyRfEnCRZ1ss3JRNMOU5P3mtmU/IKb9tIKQGz/7gKePsvMUQQORHdLgUPbp7LusxF7h
MH5YK/K9tuVqnxlLkjWb637hICeHs1+L+uJwcezWZYMRENfhqpAVPU0Gq2yp6dgUMpnD4DSHMVTc
UOx7ctJVWIpbEyzG7mc4V5CXLemiJBdrPNuzixWTX9CL9RNCM6IgOqha1fF1s8wd4ovlMONoDZVG
Gr3rFLmbqKNqB6+gdYDJhkmq4xjMovscYGciyIytNasLz/3oshXAeblDIH1a57pD1e2zkgaUdtnK
Vld/Wzij0/W8jPP2FVFlHgV+ZTnD7d1hIzOVNRCpNTv4QpXRleZd3TwsIdCs3TjEtN/bFAdfgR5d
psfpQijdTWkf0TsIuRp2BiOchkUoFiaOIaR6y48at2h/54zliuSrkHN1MpOhJMlgNcNR/21N1K0P
AHvSCLgOSMjb2ZjO4CSqhhQ1lOqx9R9bwC/+c8tacYxHUDSo6X36OTS0Db70mC8D+FlGhlhPjFWq
HKsDlX9WurlFAox2SzH3UvOPCVwq7Av3FeGfjJlE1BQsnQIUK+XAgvkx8VuzyCyIopSiyil1n4uS
dtGt2fiy/ojLRnTfdQ0F5Y43yMb8sHbVImChwUZ9j9Ry1i67YYZf8ZWog2i8T7A/cQYTqi8FAuKR
UsDf1QDHiENDSeUPtK1a0hfxphc9Zl2SJBLBBiM6arQvzZSvKFJRWKPusf6hsSgR/ZVoZatfOhOM
835sAiuOxgjH8Iltwutiirpl/tIKBj1pUrXCfLG+nea9kqQPctG68FxPskzyCTwAe702TSzxkaQ1
5K0Gc6Ncq3lChzUlMBp6cVssOLwnpvJ6lNF05cuFf5hotFqTWbZt6m7tui7TCKDNIESUjiJ1jjfj
fvUc5QtHx+IPDVmSXZRscZBVwqWZsR5FdGad9eYhDX1a/ZiR2MN3W0tIVSQenl5jJg2iUw5b0rOv
K/If6yajYyDKE1LG4yTOTbc1ATqslQRXy4ZlfJVGLExPFtdL8yq2uirWAe4nd2Nk9K4Ops2B2BOU
wREdG7U5ATyOo5Fjt+RwDaPPdLagVc6+kuooqssdhUdmQ5gWj2Od4yJU/QvDZIrsm6oabKECVvvd
vECfAywjgLBzS6uwvuWNJ8CB6rW9hbzBHbuyTobMsdKdRgL87kZE0kZHFN3dF95Uo78dWm9OdkqH
rir4ui45Yzg9gDDK8gvcXNCRyB5Hat3o9sZaIqCQgL2OP3Ypr3K1rYjbgaiJHOpU0+5mstR0N7p0
5uyUGpvXSC+83Y281U/AUuiuDyhKMfw+CT+uWxrrvFti/8LgsfOmo4SQrIKrTI2VjGon63za7ynC
1F0+oWEdc455/YzURL5gaIHD06Am1UveOQAhOTyYxJJDyLXKLKywgqe1jbpcgf8F5jlsc6KbUQwW
qKENNtGfUj+z6tPi52m73mLceM9wrxmj6z6pXW1yS2dVn0cOdhicAZelIEmDM66c47sI6ZbFPKZL
A1+OEqHQAyqL9CGsKDCZ0qDZzxKkIp62pgwWsGanbitaTNJRKpQW2rhv5YDEmWPUAkfMSnif8LfR
AlvDfYbuBamNCwHtabM4424CLkb7iJlbpK893AxQ/Hokod7GDmZNOeda+bseI9Gv8Yb29ssgma0+
VqOEZK61SnVgA/bxUx8JtDjIBUYn0CIpBUAQUhVxAM7qY1UD+gDQbPatcWuY4aBYyjrbAEizok2T
qurOq0+BnmRQmYVftFEDzUfgK/PdquTmH4iagvSTL6fB3bm5FvWJVwJ9za53ZVsfZ1ktYYVDN2I/
Wo/C9ku7St/Pu00oeGW347Q9Y3zQgy81A2fql2zBPa8PS2M8tnc0vUS0ontMesIzLBZwm3AGo/Ns
8IlLn7EffLcTla3QufBwWK49d0P72feAZDI0si6+CYMoGd5UI0RbtGOpo6cg2vr5diW8mW/LETlv
Dxy4avQLmuRulaF0+MEGI9LDEsqO5HEMu+xr3GYSN7ZcWOSLMkkXrnIkZYH8m28hCGuPM7yNyCmB
TxM5M5iTdCdUTItCcB9ZhhuhgLJmiaIebueq0m+E0bq6jbZyAAewJO1wgO18EN1D9ZgmY44Mp81j
ejOsao8kWK/3IDWpPsdMhLmvg+9NgHjDzfJj0AEH+US6fkIXkaB8LEItVIMGBkVtf+uA/rU51BHW
uAyWPmF0BnWNoXRnNhgOAfJUq6+DasWCd5WU9srLmvtCM6XaXUcpn4oIeTK2zSbdr9Ue1VSHtiCG
CRmok90l3AtZZ2PRVLVYTqUF8z2HykMKVsBHgRi4opc9ptEYZI7ylMwL3XJgYio+4JwcMWufcI9l
QFHDNoPcc2uKqR9ct48XF05vac3aLkCdFMaWIvEVXjg/VNt3UGO1mG9Zk8897sQ4DzotrpJIRety
bENO+YvTyGG5vqy5ReGN13ET50240PGOpXW3fAzwbgSuBnR8o9tfvKhR5M98m+Nbd+lPzmUwtgsu
GrBdYQ+1llLerX1oUJhpB4eDGYMlgE1pjkkJ8zYjphfDt3rFkQ0a15r25E3bOZj2Dv6xKA6xzQEA
IGtm1CcjRsfvWNXMEtcib7bvbYVZwpem8WO7j2U8BGiGJ0UHJCknun6IUdrgaohEGrO9wtE+vVUq
Zp5nFhbs661PY8efQgBrNcJbgN7brwJmrO2LCtwY3I8S45qHWTSTgSPAyrsoT+cJrsQQvSndHase
UysskljRvU5R5CU7pCC66Qz9nmQ+3zABGnt4rOm0TgvCEsvPXmEOdI1KgifXrYtj8zh0TatPqaR+
PAYOSedfKCHo0ZNhSSDJGfvAZV0a+eB6JHDweQiccfWnYEOqYC5QBQy71fVc39bGQqbSM5LOT1sH
9lrOicGIpqbdAIMYLQP7jSdGlU8UAFEeDUgnaObtFGwI39YFhbtfd/RK0jVDrdFseZgu1h3WcRD0
oIGR+6uuTTbyElaWsVPdYo6XK9JjfL+DGphoNHgDYHqA92ZhwX7SUeRymvRNkGHP3STKXPCogcF+
Yk9CEKOnfR2EmNYkAwY0a9YhII1n67QoVugqZfHBLk5sBxUvARlgyBZ5J7KWSiSdoQMLm2sWamNe
mIEn+lsqY9dfEyDb6b5jlROP3mOwUnQSGB+0haCT3dfD0CXnUnZD++g5Hsx5jXhrTsQhEAdoBfjl
yCNfN3bfuLSXp6XRon1GUQsoCbBhstYTYAXeA2+O4bBWk9xhM6sgh7dGsqoCU7yUi30L6u3FgDj9
DMtQYsJcCNhA9rsegxzjjmnvNR6sTRul7xeNh4aJJ1YCIsmjVKyPFI8d0ijBqnZ7xuwD6NaMnbwX
25ZeM3RdwTkKSsCIWULgPRddhnA8uiJNkqirtkkndr11I3TTYbSO9rOvnQB+1zpYc+wtoprXKgs9
gFhMKCNQpshk+AyLO92bL/0c8+h+hGmCifYXo9YQ/dvCEM3O9SbmJhe9922x9vqSB2dNcst0GQ/H
GDpcf5gG5Wgh51UN15GBy0y2lC0Jj/GmGL0OTBgGe8wWbV10XAoU12oyCvAY7Wv6uqRIfz+Xm2yW
D0CVYwu4vCr19p0OjMqvqh1JdyQUEsUjqf063UDtr+1TByvp6nkcWLxch3Fg1h/rxBp1Xc+uT3eb
YxwAiMCMOsOgzmEmUsPXLiknG9840huf2xWBn0eNX6Ep3BZFbQ5Oe4JZdxxfOJQz3wvQV2+7Geni
z8S30txou4XDKUVcHSoCwN4lNArCrkh0N2ncfAVyEgB+YjxQBhAhSrDcDFjn/Q7DpBZoA47QSzPj
L5WICPRM8zUIQo1twicNmYNil2cnFHp1mQG5FXcmnbsANgF1Wn93l5vxe+oAtkEDzuRxGgWKEIKT
rnukWkfW5bEEfK8z18UwYvAU+U4p8FBS0IgFYMVQOZW3UZVav8f5CQvDuRvq+c02i1quxy3t2UdU
AUm8ZM3UuNMKQHL5yNNezXe4riU9GNQpWQ8XmSlDho9cioECoMdli7njPapikZ5MBYHALUYbPXTq
SC3Y0L9PLVpzhrzJmNlX54KJZ9ADRR6YpmqBWuip+gB2QyiLeUau+4cGhERciIjGgOWimHkpXlJF
BNjEA8EYCjBXqafRZjVkenE2coz/aY6RtXZv6JYlMDF0pcS+oiXb6iBLLAgQTcZwvNotk90IkUYG
b3nl5X6BqhOZPsMSJ9VnCKOBTGfOI3tmuurRa9RN7ifYfvsTuuGFhYWmFRgYf47p9t44J1njoR8H
0+2I+NTET8n852jM7/1yWEfnxaBB39H6A0fPU7M/qT9575YzwlBOlHWa7nFLEfSrYiY3BoflH2Wz
/wu3J1wHv+X+oOuOLOhcqLsDbIKpGmt77n0wwqbNgNoCTGxu4Kmfiim6XwxQohxZuAHJAc2i5/h9
/tGFxvhPqDrvrXXkAqCtDnS6HxEF2hU15AM3YN5NOcoljO0wcuN/INP/F0yk8B2RUk9mNTGlyR5q
+il9tOtYukLJOokhvUYnBhi8CjoUhcs6/DlB7nszqwbkKhzmEdsnHIEWFp4tuwmw1h+8oX/Bf3xv
7aMQh2fSSjDQLvqvrQ5fPFfln2Nuvvf2QZU89UqWbI9ZF+p1vR5r19E/+eLv6Fk2DO0wuoTtAXft
wHoExhoC3/j9BfWvnso7bmW5YJDBRJ3sJQkMrtS5RN+Ny/fPvfo7EnTUKgpqDZ4LOjUY21qBiMZt
fPz9F/8XK/S9r0+iMa1RS4PlUqUi+m6Guvc5SdYIoTw86lWmHKjMB8hJmPpT2XbkvcdPxaVPYXjC
9sgSZR/jSZvbJgQ68/tv6JeF/k92N3lHjU6blSbzKuN9z0UFnEsMqweOi3/e1tAmLzEKX/yfIQ6H
5KpWzVOz1U8hVho7lKZ2FVoFWe0Qbfh9mWmlosymqIj+9tv952+ySM1f/wt//jaqVdeysu/++Nen
sce//3X5nv/9O7/9jr9evY23r/2bef+XfvM9eN1ff27xal9/84cdymK7Prg3vX54M66zv7y+fBsv
f/P/9Yv/8fbLqzyt6u0vP30DsGsvrwZbreGnX790/P6Xn35xBvzPv3/9X794eQN/+en0OvzHzev6
9o/f8/Zq7F9+CtKfRQRahkipoKng/MLE9W+/fEn8DO0z4qZidKoUJedlkQ6IDK3+8lMa/hwmYO3C
zUSkJCUXV0szul++RH7mUZrQBE7akFP/z292/7c18rcPA0/i1z//fW5sSn9zUbAYiqMYXJ8QrSmM
WsBF/O2lVccS44/g4lmSbEOSg6Uijw0GDXuTpO2h6soUNmRzPc47HWh3O0nm6jPZSNFns2xkB1wB
Qv1MljQNMzuh7gXc7/stC+IKpJs0FfXHmQWQPo516r90YYVmp7LlAg1oQxAqvYQE/LQmko5klIEC
5MAqBa9d0fuE1MuP8DxtGcTMHUg9asQE36SgWEYQI2Gdq+EV44QthW1j4x4tWwubgvact7Uhzz5m
EvZ1tejPPiAb+sUqWPdmmy5zQWCiQCq1qU7oK5pvkd+OnCWmzxu4Ip3UEoO8sSbKYfSThn1RSXhb
m9pjOhuRsLsahH0SOFC6PVW6ULA7Ok4wy8t9yAa76wl8PLYqCIGNhqDO9AhzR5dootcF9jJfBj6r
w+gxnIBD0q/+rf/W9rtTbwOGe29v9uZV/X+xwXBn/d4GU//3/7zbXfiGv+2ukNGfBY/pxVbgb5sq
jKKfBbh4JA5JyABx/e+WitnPMPUkYcqx2+A6cDGt+HVLReTn+DJ2EdhxAgUx5Mn/xrb6raYq5ZQl
jCFIE/8ClUnf50C5KLZ6S4y7n1c75oGR/HYkCKvGJkn/rasGPypBsB/OFR7iaGHkvVa+STGRcnJu
HjDBekBI4cchNR/+7mn/k0PiH97Nb3/EL+b2f0dqx5T1QjFwoKU24UfXiKOo188bpmT/3o+JcaJF
MTxDWcwYT99z21eAj5W3urmniIYIg2dS9TsVNH/QsLx/M/gpGClBghqBjBgn78u8FafzEmIcde/b
Y8cOYryl4x88r9/WSuBF/fIjwAfkSFem5L3ZcTcKTX0im/vhmgFo+aNi6V2DcXn9FOuKMEClMQio
v5zpf/d5TJiDEQsDlnvMNG/SQZzcUu+Y689sWu9iOjxbDHbISLJRzbvf/4z+8a2JKEK7yrmIkih5
v7C7ZSDedVF5R5bupgWb0wZ/1Pkh8vK3l9LlDYoYAjXBCSIO0vS9ZLNJaENkMKV3aQs8rhvgywtq
Rn2wEXiy4wLjrS5e209RA1AQ86oYvKsmJFlUCZCWhE+zIZTtjbgAO9O8AxG2zLZZ1HtVV9+YoQmw
sgoAiiBpuUcgwmdCGkzgFtzRBWxn4qMeZ8APgdZwLvLRLambJTcOrgua+6mQhvEzKJIp7ipnwPlm
pPPIdg/97Tza/qkStbpa/dLJHMOiH8u0gDMxwPzklFKF8ovN8UE0fNlr70i+eNoWMtDPYIbPVWZ6
g9SruU44Zvnj5k/tFkPABwD7KoYaP0u4+qwWwa5m6BGAZQq8QrSI2xq7BYY/us5HqJ/WjIA7Axar
LT9SEDMhWrqEJKVxdWO6KQZ+NY93HEL2D2lLRlgTGA5mlANjHtoKaKf4Nj3H0zLdVHGfnNJE6p0z
8ONoB5he1WBpfa1FEp04HKsxToVvGOt4+h2VtM8XyFEKqTzZLRLz7ZWHckexkI6cd/QYADPea75+
62vAGmaYP6cVNERx6+xOXPgL3VpNV0g+53Cqrz6QSH2S1XCRYCzJvoGrXe4xBThLI8EtRioz2BYU
KM44dXhSZaxuiAmGnU3mKV84zGWtHMFX7itxM3bxdjvV87C3bGoyB4lHIfU6ocbpWFGmTXu1QHqY
eandYZxbuFFihoNpupUuC1v8Dkj1oTdT3HZHxNaD9Mg7/rBMI8I2FhubfBvsS2gJKHRB0+4NBXk2
CsiUyYnbIxznxTnsXHwdak+udeJZ1nZsO8GBSFyxsqr3ydypfFsIL6ZBBM0+MIrHb41jN0IPKyhR
pMk60o4fkpjEWDIufkthKhzvqgt4ZPrtE+L6yuPCtT+tjMZQVpg672axfRipmM6QZfgf0vGvc49Y
UtgtJHsjRJ+jEVj2bgjNZ/iQk9vWszbnMqkOcKZqd8j+piDKLCE+05TerVOXHJvUUPBUE5MBuZVZ
IidaDAzfBnrTi1gkOL8Gp94IS889DdP+hwC9MFMM5Noe1u87KIaS84LtdtxC3Z1azCmRhrKq44BU
IMj34D6SWIw/TBPPxwuv+ANswMEerGJDHzTGbwC2OcD+gIH8Xc4lBsdS7boNTlFgrYLa3xo0Rytz
+cXSQ6Mb2g0U9HEbK3NwBBylUII1iofcX/V+kG+AKjWm/7TKGLxVsrR1sFiqp1e+Wr4bGHkYURwX
DDjwsZJuvA2WeTq2cTXvuARDuBVcHGlt1ptkwSXv/YQPPBkk/nJCinAE5XTTSZ11IGbWWd+F+goV
jT/DL0tna+iafSg1TmsNUs6oqn2sRtShSR/C5XatT5OJk8KV6wnKgqF57ZNnX+J3sLXMy7Ier5OV
YzxDVZ+1cCfeS3x4GYe3bDM8cc8KSAZ2cgGD0U2+3s20/a5l+WhpYgMclmP8JZKLLlIzP0OhgWHH
UAL+rkYIu+BReQeeQ3moMTXKQgA+J9aCAp/4pjrq2a2HfkSMFkhA9satasuB246F7+BzAI6LBPvB
dvODVu4bxmngD5WW3+sJoS481nGhKFzoa5PQmzVYmiO1uLBi6pqD6wJw1TpIj0iZVjkf9FyArCoq
kKEwZuU+BXlNW5xboQ3Ia5AwcwZ/Bu5POFQRugUPFEmhX2qqtTng3AeZKZn6Xdf1ah/1ctwTBv4J
opvG+9CLaAccvTsMyZDcQK2y7atp+r41SlwLcItB6SNjDlYYvMFHxg5zNyLXFxG2kKconkEJV+/Z
HEqgsMO3aCYu36J4y73lOBPbrv26rL05LMBKH8LJz28gP7cVKHLxJbrLzU+zmpozTr/pCDiYnbG6
krNDdFUuRxZjjN/UV8B3PowOUm4FzloO+RwIeuF8gCVyum/nQR+8x+DU0BW866oRV/AYX3bBMNZ7
R9cGiivAyD7Ag8TgRXyuAbLvxkb2R3D61SFOFvk5XMC8TMYWTK7INfeg5fJdrcopp+i7wBGQDuqC
uc8XFaPVAwEVJDyFIMIhUOkTiMsy78bSHEx0ufJKnG05wwgo7zCW/RSuLYuymgceRzvugmy1cNqE
tmffEZ0ciKPtoxhB+8xYt9b7GjKS0zYt5NZ29yNGZ80NiFj+m0EiNNQ+whW6meKrZJo+TFCA7cEU
mnE7woQTuqW3YQQbzQ+oiHTTjyCwhgTk09nh7JpAlIXLf26b6g3sW6zpBIkrrBzIIagGMFGDHvMy
FtT3S0q/wgtNfo9mHxTUlOaOp834FaxHEImrJKiLIFrUbdrQCEc16656OpsjBiRhHoS+OS+c4NE5
1AxubL45hDfSnTYhZeixTftQgSWJZ+cbeQU4vo4y3NpTQWBHddVHDci3yEqeswHqnv2IeuJ2RFmw
Swfa5SC5Qc8gdHoFG7hmT/rqm5QIDo2XKTo1QfzR6zG8GUf5leBNgFxrMKBewTQGFR5cM5fBu+Oi
3qHjI4hLILnXHe7rAUZSOSsT+zCkroK8kpHbsLbdmQPBhXKKrRygXC9w/zkF5khv41NQQWVilhQD
5xI+cVj45mHpMH+QJRy0QfBFEBSmlJC4QIhlHDE5RYDqLh3n+pPnQXPsRQCMWld4aRZ9IauVICuM
IPoPQbADpy8E/WAFS3KufDHNUN/MpvnRxKV+rVj45i//eaYLLBx7mqu2BKcJw85rJv1rk8C3FeY5
GEHzqDsseure0PWFqCE4diwl3+Kmeh09DV5ncIT3LoZ7T9CS6Oni0A0rWHguZ12z2lvVAhcZytkX
naDyMMewvU4t93kN/lbua2Xymq9BbiBM20HH0xVcDygtzLzeu468SojIfFZJ/TWk21vMhuCoQOG2
iO1dVuDjaX1eANfukn7WuU/mr7RL8Z6JxwliIbHLMRfD9RjM/haGlyyjYFsWazQvQxGokV9BznUH
BuAt7TF3JvFOxy9afsKccldDCpoFOCgzP8fLHdinSVE69SPotzcdBPYkncGcLqSg6cEO64wqY9z3
aGgyPMUI1FzvCtMS6FeSFKhvouc8FhZc0rQJbhr03v9N2nntRo5k6/qJCDDIoLtlMp18SipJVTeE
TBW993z687HP3rullKBEd8/FYICeViTDLvMbr8JrbEcMnFwW3DxXKifJHZdkVxqpuqmrsljBGu1c
PVdVoija3luEEYZtTw/GM1WoclnsT5sOsNpe1w2xMhL1Vy6SdIfYUbLqAD6c6YneIbaaOWdVa6q8
lAGzpsEy1qPJ3qSjMW/l7HMz4wu2iVLzVY9pJOoqFXA75iIt/MHYCqMKf6Ba07ulTqyeIH20B+3Z
rNQYHoo5O85FqFhXtZPOqyKflYcgneS6E1I8RAg5clJtOjY8rQDJY1SVzzrbBHmRTCY/bRzPgM6B
QqukfTvZsnE1XRkv03SEjirb1xwi88UAyPEySuWzKYi0ogxywUJkiwBLBcUustPOJSoqvLmE3ACu
lqZ63hm7ScnbezZJcjFqdnURTiVY56wUt7UkfhVFZ/DIhntwqQc2nPTUxrGvYTMmN2lDyGqOxY8x
rNk1QKcXhdR6n9f6Y2m3ct1qo1iraf6Hpm27Nh3IYAAno6290B2huoSdV2Ryuk4rTG4s2aSuWkb9
Ohz8aS+KMWxWKRTeB9iL08bBdz10HTRwVkBG/fNQg2XJMeuAmuk9Orx97d+YKVynPjCCS+65addX
KQBpI0ZppgLqRRBYbEQZ4Z0WgKjg0vfbS7xkUreEEbFPAMSDeFLz3HIlHMLbptGN1yxP4nVWopWb
0MO/X9TrroOigj9jlfZ9wV5Z2zjeBWxIOA45FYF90ajgh8iOziCIGtum4RRW4I3OhGq/gYY011We
GZB3tXDbVGHoxb0ebAgRjHUOPMT1JYhtKSMHCopGZBFkq7kodRDWRXkZR7CAknoCLV1V0Wasppdk
gpQTx+W0A1D+28js+dJp2O9tETr7MDLCq2k04PL1eeZaNaGiLnsIYFm+6ONpwUorG83zZ5R6XT/W
5rsRRuy17/cCVPPkDF5PX33XQRJ91eex3ejYCmyrGV6lUfrxLp1E/xLlOjAWtQjWWqJ2uyrNpxtb
D6eHmG7lWTXTD5bKHLsOjctLwKtkxZMEDTT1zlNqVvEPuvyAKa12HLxQUZJtZAYqoEPC0sjRb41w
KgJvhCXtzr6R3Oqi3NVE4GUiMKrjzJJlFVtitfDMsPUMMRSMBEn7/CeIylB0aeJvDb0ZvLzx9ZWe
R+UK1BAss7mr3BaI+KZU5zuyLdPNa9rwzBz63T4x3W7yfUBNkRie8yY3F4BAcz3ndNZjc3HeSkdi
5hRNObCu5cqJjOLcxwRjl+qxcdlbVXxrsnn2wCqCrWx4r4hE4yuEkcerajYkHojjz0xDCqB0onAT
dtq0dcwath8K0+teICKF3gFRYNKBmDRS8wzMSuNFJmEoqgY6gAuB9VeZ7QfO7dZUZtsbIpFtau5I
4AHyEOEjvg9tOHRpOtTnpjomm74Rhcdlpl1Ycd2Clw7CqyI360OupfqZyHNjPZlIwWmFKby0SfNd
XbJ4VUwC6oYR5oa5ib3eTHkL3Gfh/CzD6LdSqA2VIILXTAHXmAAgbUHYrlIhHyENprsKcrCrguQ+
10Aqklg6D6RShVv1RE59GzprrelRSJgr4fk9CPPZ1+VamwnLFz3sfazBWJRax61g6xz9iHnJZSS8
wpLoSAZC9cLQfKWacQ9ygjjM4F0I6nm4jJ2+XNmN4UDYNMwfEnmGrRFg0BBBxl/Jqhh2oIjLVQzX
aDsCp3f9WSED6BTjx9hmYCWiOSDfEm++oier0nHkRRanL5Nv1PseW4+VPvvjNe3Xcasmw+/O6pyr
qVSARBnOcikWI4oZAFfChSYUKnF+XtDB2QEuG9YIvYarZrJwzvJjEqZQwivtLPkERxllvkgzfmpO
B8Q58bNbJi5gysfkFebgsi2yX7LXRy4o/YpDYl4gUpcADFDbtQYUDTqVXtLpMHWvLsg9wxLyG/Zr
iCcUEDo6m0ytKhH6NQARrPs28VdB36Wu0oU9J4QEeWwVZSWtGZQfNATX7NvfPjoS8GI6E04x+2HO
CWvDhETeH7pg5wgw5R1mxGdFMCQbO8J0qoJSWYhmr1a5tuNgrKJB7gETGtd6kmT3ij1jpNaWD4lT
+2uZl4Fb+rPpIokfb9Cj5wtE2lNqKoa1pTRyD1PoSYYQ2aBADhA3GhUCWwLIBp2C1Ziow2UpMTBF
gnOhoyprNc6aja3qA7UtoW00dVBC0NbauO3D1kE4OQ+ZVNLh/aAm7WryFYyaRAI6vPW1NTJ6OVok
S2QKbdCN0yHzLB+WFfwYY8EWcmMXGj+hR53B0AJlbxXdH70x4B6hhe7VqdWsG0G3KbERq0h6mdwW
MTGTBT9hGwLY2ivD1GDQPeS7rCuCnVmBreqlU68hrLWXfAIIhFGml9jSiIvRH9vnOBY/+xKutT22
sJ5lDmlxyMD0S3CXVWjJLUIq5OZ+MO2oUJGeR2Hsso2zC6cJy/siiItrRA3+FIJkCaprtzJ7COXt
UMfXjozzHb/TgYdKEyunPLruh6K+0kqq8YblNDdR3STng+xeLP7D9UZ1JNWi5Jq8BdHY3g6uomlO
iICUSdKySooNCFRnl5RNcQ52FMGAFhB56DPdQKPiM0vLrCcnULXndtanNRj5zp2biT59pVuwsDmY
cVha3NYQXS78wA9W5Wh0bsWt7Mqy/2ELHG/zKkZ9om61XdBM2d5ilq7hjnEO7LgGBliJQ9naITCA
RiWg9KPtABB/rQgV4IHfOZu+tRuX3gFfU0nc5uau25lB2m+qyP5ZSa3d5tS8bnB3GNdOVOmbUWPv
gkoMr2Mj6reFP4ptIJZ3ilxuA+1VrAtg92S3iL8Q5zyhVF/stN6gW0euAlF6Cg+BFMVeV2zzMpdD
4/k67M951EwP+G0KM3YMthDJQ9cvo2Tvpwk1h9hOvG7SpBcAhdkFEiWXIusAhw/UEfI2E5tyosiA
Q3X9Bpg+vEOVOfdMNqorcsrUfrQUiEkPh5VS65s5pKAxbEOl9IIKYgbi2QUCK7o7wADF/jHVLpI+
RczFEiT9QEwI34I8PwdTq22CTjwlYUUxIfYXlGrbudEw41KTKMghhB31ac3JXVOtAT+q2nhmhRhE
+cpMrcEqygvNBhyAmHa+hR+fuIY0i8s5hSjfWmayqpDmuAkDu9gNAY/6rOS/5yDJ9ly03QZ0Y4vu
VDedxRINk6CFbICheLplIf1dHyy5Idh5r5wN6Mlpb3uZBRI61M3xbMAb7wzhBe2+wgyRPxyAlLZD
FUfg5oXCuErZZVbcAJwcPPJyDtwZbhjoF56mTknEtpNJvCp7I1/3OQWRKqofCHZjbyJ/Wk9j7Ltw
ea19oDvidphgHgo5uLgODYiQELEJuejL2NgLkza21O9I11Oy4Mds1saLUlfukQjq140F4rkMsJm0
/U5D+cPK3NFuKEPN1atMqRX0SmOtB7USbh7P9Y3GpbZyQK7OrmZNv4em139pvdbdjU4zuRg0BLsE
HqJXyUp59MkQLiBP516EALZHOE17fMSKraYWB+LwRs1R6ZDKi41cJs32hlfabMzdIPzohhpl6BaC
tZW6Ml2GAqMEpcdxBiKXtR8zq7sH0qxz96jd+RipctvoATL7Y96vkrpCQ1GFDjFq7eTqdlR6Dhzz
FegoNodJ+38okP3vM1r9MKXqpyiZ5HlNVfOuq3Kw1F1jj6syTbrLwtAUDwaMvlKUQnugw9IDfCQI
dPOiCugc5AYwTDgkflacAa91kzZNb5ADeaz7pcA/zGDVQ+yOZm2oLyyHOkluD/VbAnjvGt5lda0V
ZK8QBAeMp6OHePbb8x6FLzRhcxOglT/CB0dtwvKsin5/rhHpyC4ofkiZa/DtVLtFScEJQP0uXte2
BQnSKNSrfHSeJzGb2yoeBHWolKgQqRTPAFJ/LoZ5huRpVdtYi/vNQB6/oqyquo0yJRsdX+uLMdZe
Q4QxUsobgNOnPoQJEyFjNbommi7XNcJMP7ukUK46gyCrHQGBqiCHXc6Nf6OTIm5A1Wt3hi/Aj9cW
5TFqBsjLhBhI2nAEztvIHK5QBG42SBvNjw0797qFQhaSFNr2hT6Uj1WfB54t6vIe/QdXiu7VL4VJ
K4K3Rjei9NmOVW0v/HC4Nom3XHwj+p0fzopnNJH4ZTuZ+oe08KeR+MMVrTX1F/JF8UNsFh0QfQqr
ZyYCHy5d9fC2ovS2xXIVoY0I7CPy2Vwh9kaAIr9i4z3oTQHXRAxddq/CGnNlCCkYiOKMyBZ6Vxgg
WxCR4tqqEWkAc/97oJq0brOovtcUvbuEppx4o3DaLcAQw/WtOTtv/GpJ4KY2Q/ujL9KRbGOO4B1S
Ppsaml5dbRnX5KNv3KTdta9HAtGr9pbGYrhLeUKoARNv4P4o3b6gjmbqUE8mOHheOFMqAsXSclHL
+NBFxos6ROk5OagJwNjvr+sFuyIq9HHChlKjH0rfLavhxaA5vA6NLNzCVO3BmKVCuZhoRnh2W45e
w/a6iQdqDX1jEOzqS5ASQFZEja6gfKVML2LprKcKWkNWYL5apo/qhpX14zWEVmWNCIV2JnT472qq
iFWmUNmGZILuaYaw3UZMjvpnzgaxCh0tvdWSNL6rYXddAyDgKBCJwBpqnPZna+trzYrW6S9FjDM3
MtxEx85grw0jlO4o9kNetKh7aUUq99Shh5tUtdnL9qA7Z9xi6Sqx6vDRiZLyTJ+79nzgTV1V8bww
hGzlspg6UK6i3UHMRJmV/tea7K2mgKWQnxlFPq2KUtPPUdJptqUdt6sSewtyhsTaZjCrV10AZtVz
0mH60Qk71mikUcStrRD6pIbqfWu3YltExHZFp7ce5Db7tzL17cYs/OVdJ0/Tlv/Ko0KBL1vwvTp9
tDIpf/l6K3bA29+wqpnP6Bg+jc78AK30LdZ5iiy1fyhjqp9uF9p6txorxLDIEYzihw1JoyhGtd2y
0XGoUlT0Asa2GVcqxYWHShHyLa60KfIg9tkXfhLqxB5Uu4rIzIgYkuCiQa7yMKVzRuOrss5s052G
7jKytXKrYid3yY+b3WqM9XSrZVWyUiw7xLWxELtm9lEAIV/qUaGMAx15iGScti1rtTX9oP8Zxnp8
gVMcpgkNDZxc5MhfZGbq6TQPr6iJzCjtmH0AvZj2JAyAIqOZ5yiPjeWYCDqH404LinoT0Vbe9CKn
txiqsyf9NlzbShieU1/Ozyjr5HuDrdhvZZJ3eygwFfmQhcrQIBSXwgz7kt7JoUr6cRdTeF5nMktu
SecC7mHZb0bHHHaGIAaXvga/WUprk7V+sCmyfqZpzxXSoTfiSXS7YDsU8y5DRtizB42cAeWSVR/Y
yFAkOsJ7iW96/aDPG/opv6K4N7ZBYafrDmKL7upVTKLu1H8ixZmhngdSoxaOjs2qXiI9PQ8gGqbz
M0hN9Y1yuNryt6b6rodhuu66YFwl6FJvwqQdyDkyRJjVsL5sfcRf0KXSPMUe8o3VWMa5heDcSpot
HmO8bXTBozeydPR+5jhZY+8MT9zJai+CyLPVO6tcqSXdKbWdnhF6J0HPUMqLlschsuEL1fmq7aaX
QaBsXtcLmb0P7ngy5YM/TRlfZCaPzLh4daoMFbi6AseQ6BElDrSeaJ3CiSya1xQI341OU2qdjam5
ShyR3k6dYzwlbTY+KI3RVl4/Qq92glTzGlgFLnyJxq1ais1WYj4ZTYFtQk7ejTxJCPW7185hoCKG
EinUuWyLPiWpFNTz1lrU5UroRSqtn2cFRne4iQvFAqcN5dEbk/EXrnQ2hJC4wJOoMfuMIDeBb0P8
cjUFAjq0Jig0CrPeaPbQ7rDAahm863dZMARn0kG/1Mwt7WlKhaG6cSiJcRxruO4q2FeQmcJzNFTU
X0oqibOMxi82Rj5qK/aa7o26BouJrOceSUEDHZHMPp86AwyCLYpHp2YHx8Y0eZMp21Xtq7j3qPS3
u3CIzzK11OhHmuMOphzsG0W3Ni3YnLUyFO2WXzNuJ6SPNiYUuMc6Xxgiqi/P4gkpvhTJqvsgC8kR
Yqg8ZkDrEo7lCxKOnduYebZKSnR+Mqfrz8OyyTexaLOYAltysALb6tmsxFr4BaKqGXW10XpWOaX3
ypTGsGo0+yX0ZUzogMJRWUbFhvR/2GajSO7gMTo7oVbRy5ggr4cIX7+lRjeQembtevbL5D5HaeuW
qxWlS+iLEN2cQmiJm/Tqdaf5mTuo/YCi2hxNB34QHVwYLBrErwhNRmoKbMqaVYN2RnA52VvDKKuN
0+nqGrPBGPl/RZ/OqSbOXh9atPY6OW0MPb3S47y/HpXSWLW1/pZZ6D2gV+NfDXrenmP4HO/hVLc0
q4oFjqMYr2oHnnQsLZVKImR9WFRrKxzm2oXm9jskW0A2TglWuobuqgX1fFZzN+yHVR8ZpttDtiLH
HSnltQoloyLw4zscZqzbJB3iN+p5XYdw8Bzd0Hr0VxNHZQs4DQCr7SBLyfYOVw60NLfQ6/AqpfVH
tX5W92gL6Y+iSB3Iw0lzyKtegw3aaTeRqtPGLM3rnmjpYJDuVWByUlxFOo4pdK18iZ3Vtabq1b5I
0not6h38/vMgGhbhuYlDEmbl5Jm6iiQwLs/UUy1RUTe1xXzAloUTX4UZ0oN+8SZRfaDxoujnZqGZ
P8MeMe4pACxbpkvQR5iyoV9AW8+ibis6yzlrRStJUe1nRGgWwmw3Vauy5iop0Y6p4gCjj87/HQUc
85j/w07FgD11M7I1OI4zQX+zSPfRD1lEkYwIer9pD9NDWbbNTkOhJCWhjPxthjgVwg1CuUoioL0E
ifVaaRuDRldT3ReFwWT4+tRujbpN//RC+k9+o82HGMWqB4yoKHbFgUK5sqRDkVq3UMIA2RCy/jOv
B5D/Duwp0ID0+nRTGgsm9L1kr7G81inIqB+Wcv6oTScE2D+SDz7/dXCr7/96X6GZA9Uy/EFH9XYa
KSwgiOKH6rpwDhhTngA3HsHzQAXqCFAioWAheGDB2f44mjLoaLf6anabqXukCtV/RLxZQIempqpg
bUHtmDreaB//vGGMUonohNz2A8ysA1CRExDQz7/f0mwkBIGkm6btHINZoyzONNsXxi3wGKQHVwvr
93sA4xH8k0/4MMIxlhXhrAI9TUbgRgp5qAf/p8kl9w8H0YBG4vriCMMwNO3YlhLml6nDRK4PFt9g
9uselJ44BcX8SPFiMTQ2rWBFTFonYNOP1nqskNBTtaE8qMawbqkX9ypIhIeMfvz3X/NpUTRbXeDM
gFlxBpXW0QGJO6huPT2GW2zyHJX60j+i+i0f8vHvHx8RlL0qHQXU22pGJO4Mp/ITH/BppnQJe0Jq
OohZC+Opo5lS8rJFRq2K7wZ1eq7pVibiNRPWDv3XE5/ycXcBwaZDahqaJZkssN/HBn2qslgvjsAx
q3yLeAvq2G1yAoH78WOWIdhY2oKRRXBZaMcy/XmX+WJqe+dqdtzxrZ49v1ljIPH9kp8a5Oigz1la
SF9nEImGcuXRy9GjlXEKin1qlGU23+GYSQfQEcgG5wpthXm48rWVBhqmO2EU+nH7MmF/MW4A4ROS
cWTU4+2ryxlNrDC6KyL8foNxqK7iqQ+2/2zGHFto0rR0aarcwM7xyjeJaEpVreYbOg4BrOwp2SZR
nW8wgAQuo6XJiT297Nm/KWC2AMKOsxLXJIdPCvPYrS0aEMaMrFbcZDi+ZxtnSoIrWy3zy1Kzgx+d
ZeYvfTLciwFi+omhj+hn/39sS9o8BLybizz1x3XzCxBq0tTFTW7tEoXeikouOTz76U0632RhQ4z/
YwBdhTgt6TaFGiKwWt7HSXTiLCxOUh8ngbKFpTlgxRH3/fRciAFtUCqA2aEIH4W+n4cnpyGhvtGa
Jx9Z0gw40/erfAS9Xz79w4jHzwed9DgctDw7OFrtrxoZX9SO6VZT+IbGEl25knSMXs6ZUjTnWdkd
Tgy/7NXPHwwu3ubO1yz16MRMetTSGwyyQ1zVZ/5YPXUzgBdK0H0URTDQfdPtekCcU2meQdi4V8ie
TvyEr+ac2IJ7jjDAgUvxcfGjpNZFS6Z2oC53NSrtZZ/G1E+1+Y9dzE8wplamEz6jonxZjIZnwEpx
TcWiUhw/x4q5q1HMtZE5HDN7JbT6nF75v9gUjiD60XQOPWSfjz+w6wPg0qBqDgjOHsx5oWI7jtsu
+ts5eD4TadnabF+BLp24aL7cHGShgrcf/hlv8seRm7IRiYzT7JCAZGwmot+cOxpuRmb8KI0nvf9l
NxfKeMIMVmhfbIr3wy7X7LtrdCKBCeuSTeHLcZUru6p/GYdfU3AwQgcd4CffBzjeXFPFBn59Kp5y
Pl9EdMTfffTRdKtFVID2zLKDklAsmOPpxkCHZBVmgArN7KU3waq3qIS7QwiOiBLcK9WL32lv3hmp
teKx21RohKAjRhJm7KVKFWQUJdih6nUIawVMq3pjKBMY6S5flwNj1HN2Q8SQkYSSqiEeTAhmb6a+
+1NkYAaNPFgtIAtuPk/koOQw644Rr0fopr4KR7mW8/wEAOzcTijH20MJnrnxsiLcTG3u6TobJgiT
1aCNu84v6V3q6Y/UD+7NXL3xk5IAnn8NDB6l/ckTZX5mV2Kdm9WjMH2U9Cmejrk9U2o1E0pkgE/g
S6D0g1Cnjy4/KDaEjwqkD03td1/JZ2CPwL6Hdl1nCEFMxXlEy5baLniEILivoqZbxY32KJrg3LJ/
J1SxUuk8mBKhX9H1W+TZSH/pSaKLKehF9BdTIe9HZbjI42pd0Ilc9Va7Lpvg9sRFcPx6L1eh43Dz
Ql/VkcA+WnjugZmau5keVNO+oU6C5JozltT4lbMx0LbhBFwwA+tnzls9ns/F6P8IIyRkqbs1vvac
d8oBtNepG/LzYaALrAnbXFIIqpZH15NeUHWJZFEekurN4CVgnSTVWUX8qOKNQ61QmZ7b/l7Hv2Oq
tyem5PNZoLoPH8sg1jCX//XxJKLHEfcm4iwHtVfy85lGyUZX8A+LWjnTwx3VP0ibji+z0wKKsury
uk3nF6qH4dkskCRSUt086wanva6rCfxmhLg7jj1yow5J9/b9b13uoo8viSFUhwV0HIjH8jgqmqyh
E3HfNvQ2OEBls1GtfJ1pJ16LzxNiQC1GFpEnC76YPIq9QgdU1GL0dChR7UGB5dkCH23o9kHvk3Xc
Nhd05Dfff9hxuEc8wpC2KSCOsQmOWf/KVFvpKBgymQdtDwxLOVcrZXj8fpS/LJ8+zh9LLUmBTSoH
kkbbx6W2QXrR+zWKQ+3so/4tKh7tGcqZgy65c4NauRd3l0h00xV3i+qKtOSlRhbOmPOLerz2BxB9
fu/p9nOe0DzM/4xUYlIFVWsBAyOFzQchLdAv0KNdjWpy48QnWKOflx+OnVhY6UwVmcTRUxXFQQkp
ayoPs2zP/Sm5QcAwgvuknHIX/OJRRH8JejmxE5RFsvuPEzVEhag12pGHPAX+kVC5eqOqn+5axXob
8zG7jhw5XkL5m84BuwBgisZT7t2fdyE/AVovB9JyyJmOfoKJK9CAXGV5iKqHaTBu82ymSl+5AFic
9FWq6Yld/zlEYjzCD7IAg5zTPrqDFATAVSNhcoPcMV/lMKfU5Od0HVhtuDOKUfuRJTUas6MAS4Xy
vPf93vzyc3X4mcgGCE079rhS1I7eIsJWHDI0yDqU7hA0zm8juObUVNS9DHKvc8wTl9/nc8dH/0XX
XE4EecHHdW7U0Ac5skxymKKPmXqKNf7zAOvDGMc+bJHll8rct+VBaluHcms7yVVpPICQAJuLCK+z
zgVC811+4k754rSQcuvkdVKHbH0cdpe6gL/h28yocO57W9CJ6n/MNOi+X7gvEiuD7JG6KzxwGMrH
SWQVAdzQcqs+NMK4bvz8Bxq8wDDSXRA2dyAIPdVy7tt22rey3hS4ATV4PIw6WH8nK28R/Tyxk5b3
6uMl9/H3LDvtXWSZDmU20QmvCWix/OB2YueA5HCVpt4Myf33X/85nlgGs1Cb4+UGAXt0JY1UaecI
zb4D9sd7tQA507V7tPl2LYTefzwUjx+39rKaVF8X/vG774om7r+JThePX3yH8Y1zSAQWfEGs/Qn8
yToxi59PBi+SIzWSJhRhPiVtujMqGPAxml7mh7yXd7oenrhxxHKFHa0U9QdNB6muU8M+TskBXEgQ
knNzsLM/tVashP/qaH9GmwywhFgwejI/zIApYyf8F1/3fuSjPaIDYgtse3nim3JXicULCA+QEwv2
+QCCx3WQEuRCZSKPHxEcv6wKDIdxY/V9Be1YNy8hbmTnc5TOJ17Gz9uQwE1FDMUibDE/rZYS96Cx
cIE+dIY1E6MAXgh1uMLTEBZeWSXziUN/dMbo8kiHRSOSVjXt87ZPAmGKDuPNQy/sfKXkWbmdO1Vb
J+lUrvGx6mBYNPo/6kpQOqJzTg3RMai9aotawccD4GN+BRqwsw6233QbHxejFV5lyXlvDJh0Mr9n
yaAkpzbp0bu4jEqpxkaTA0Ksqh9fo3pF5SQdVeWAGO6wV2uRbNoWUlRXCFgeTSCuFSsaHsknYQsT
KZ/ZQZNkq7pPkqfZSgAsa+GMoGM3pAc8mYLzLG20mzmIeGnHIjwrbHFicY42A79YsNsc4jyKrcST
R5FDqaZaF7SFwtl5Tiavg5pT3yTTiXft1ChLTvPuOpKVMaPKmyuHwbHv1LIs7sxw8TENQuVCVQt9
8/3td3QfUTfkc4De88YgdSLl0e2H5YK+ALSqQze5yYhnyonDeurvL//83edU+H+JSnWqQ/WrhRgQ
/seff/ROlONcWJnCz5fT2kpB15y40P4SY3t3l36an2W53v1+9CYRHJ786uDMN/aDIw4k1bSIkKyG
/tMD4C4gzrvycVZu/9vCLFfFu4Gx5RmLspPVARqOGL2yO/Flpxbm6Kouy2ygF2mwMFxsIApPVUdP
/f2jW2WapxmdJVYmn6+kvFWD/7axjCO1OMvpWqsAd3kgTAKle1UqJ4770TPzPytvobalUdawj3PH
JmhH6BNKdbDtu6rYjnIrmtfv1/jTdf/X4fu/If5Kl96tsZr0fWoVQX2Al7mOFzhFh5Wm/ahoJaDY
U627Ex/0V9jwbjQbZlM7zRxFysQOQO1mD/H++w86NcTR5QUE3dGn5bTDuM9xcBIX3XxiiK/31d9z
dnRhibgO0KJgCJjmgIEd5V/tq7///jL+u1nysRjLE4iFhyHZ1dm6u/tvM3R0YeGdEIlkZsnJA6PO
w/N1aP/jFxxdWQNC6WaU2tWhvtdGbqcTC7D8659uRFtCINEIMMH5f5ygkmQTiY2mPoxZs4XzEsbY
5BVPGB0dvp+qL1f63UBHN6DdIBmASnV9cKxrBd3EOTgRg3y5W9GfoCZF6cb56+5/t9SAjaYYH8X6
oGa46vb0JqrrzLr8/itODXK0nwA/jSbyH/XBjIINDIe7pLcgTOcnCv9fXiWOxCZAUGwwjaPgBFBU
LydARAd7i0/HYK5u9GmPEPj3H/Pl2i8CLeQWoD+Oa5qIoip2brK1pDiL/XP9z9x65tP3Y3y17IAZ
iH4d5NkwKf24vzKtwgxH7+uDYl3CsII78C/Ox/sBjl4+gN0temwM4DTIYPyKqvrEAF/NEkVUqVL3
QULgOP/KjDpgBufykD03w7oYt5C8y+JE1P7VvkIokvAXdA9lpaNp8tPWh3RM+cPsLpT0aayvWnEi
FF0m4vikSw0BNgmSiB7W0V1lO8ic9xkVbAjP95pTXSiqfWUYi7RUcJZG4ezKpaT+z5f//aBH10tY
dn0VKNTsDevV1ZyX7//6l0vz7pOOZm0KMn3I0FY6TLZnBnvkBwCytd31vxgFBX2gJrQe6UF83MJ5
YMdEpkF1mNZhdG2Hr5KcRTvxknx1TmisU2azDXXJpD4OQi7ZQp4QbIDkrNzo5onF/3J/vfvz2sc/
P9voCEBRZfGDDuDpgceqUzffz9OXGwyfqWUXk8kfZ55zRqdPkyMZGyr341xvbZyI0O3BlX2rJTtD
/1dT9n/jHceMTVmb6ZQwXkpYks13UyVW33/RcYX7r6iRHN7SSaSXO/LozFgtvLAWLOahtnYw8OH2
gytqkHeApwpT9EW03vcjfrlO7wY8Oi9RWADyqhmw1dw+vkaLJCt23w/x5aFxLNonBu8LGpMft4Jh
1DTmc4ZQYNuNGgzJt8qwXGv//TBf7oZ3wxztOI69gXQ/w/g5fmzNNqi3lbad8DVA7wUbB+3ETfPV
k7no3CIwyToBYvj4WVWGAx0uWOWhyW8S/y3z14l1gahKegom8dVJfTfQcaXaMntsF2wGsv+g0KXL
E0Wqr3aAoVKWQP0Uube/mvLvwhjVyDLowdyYtr6xTcjJOOac2AFff8HfQxxN1RhHiEUbGQcVYTEz
3PanLrOvttjf30B/8+NaSBQJ7N6kTRHA1NOyxJURPCqJh0EmTyz7l9OFpjevAPhPyk8fh6JKHvZ0
6YtDMcNQeiX3zRBi+34rf/k5f49xjJLsmwSNJsgEB6h8Uj4iyFLJtQ9D5cQw9l9X5PEbTfj6v19z
3F6ycLub/EwvDqrICqgUjn2VxlnnjRWo3Aaq4X6g0naF0VB0HvdgyhG2g/VljfQfqzr2SlT2wOPw
byCYae9rJFAQ5msWxH+qpNFO6m3gylIqLhx2iWJXkLOLkRRHs9j6iQgMgMBy/p0oinWIjcD04qmq
DK8LLSQgcdvFsaTXnF2epd3NUAfJOoSSiNglAmWUTxfCTSi4VITlBgaZUA1rFCLyj7TuVhNCnh48
/HILEeHVbmv85/4fR+exG7uxhsEnIsAmm2nLMFGjnDfEUWKOzfz0rvHuGrAvJM2w2X/4qhiJBkmX
fTbktWYyQ5gYOxDLmYJ8p4j6Zdts/3pOxe9pIFddSODtK5Q4EKGwaZgqTx+2ZT3VW0X9O+iBC7NE
I1oETgQSAkqZJJHwbLCsBCX6PPsAogSDvNZLttbXBTRLJvF1GFCBjML2fE90dehYkFpoVntQoYBV
FcYSH+BIt/dGU35jfJER+R7nwyGnvjchze3rLh3vEvwvB6ZnXSBjlN2TjhdbuZUR2QCYThVmRLx+
dh5p9mA9KnNSZ70l112PTMoBZrXHoiZSaGSdPAgRNx/OkKi9NY9d5BgUfV5DLsZNTedUExsNt7LU
op58esimuBPG/fSpZGIHtTWKP6tM1yAdaWev+izhOtoGi3zrMoLSSzBpyp65wXZNjvRtTFjONYsI
QU0Wbl0i/EWuc+eP2kLaqgNy5uHce2kG3A9FVcdYXiD13ZRzatwYSfXXCVpBbIu4x2mc0FCuoCf7
LQefWsO5IJpm+D2sbUQ37vKZTR4YMSAJke7GdrTWmYlOiaAw8ZL+khWue7rKiA6Wt5LySPWSD9QW
kPO6L74diJSM1fxINpukmwHtbBqvIlGdOGcyrGWU9+uPMZ/nOPGnen3uHKQVfcrWUJumSOLiNt5b
eZwHrrdZh2VcfwiKaKTrXT4Ut+5CG4ZLGaYliMXWwB7sCJFHrqqHo7KHNprb+E5kN1NxymCMT/DK
ya6gCyqEsScrkRxqNcsDC5Sw/aDdkKMpTXKWsywCsxj/+ln77FaLoS2Gnn3s9JhBZcXak2pTjsfV
eQcstdo+HVaYAaih6N/2216VvePrphJk6hOQLVmq3ddz456Nthl22FYXXI+klMYxW84ztKudje4L
xFiXXJQjfzVPJ9TiDhZ+Z3KYE74AlGfO5yJylvRYDAkoAOddqcU6bkOxHAXyWgYGZnbpi3Q6qljE
j3GyZUfVNphzgKLeeSsxe2+DikumGRBrXWX/NAP0hpTgmJDq4BouM0H23nRvsyFt/YzcHIWs9W1D
zCWGS8Kv6NwvmKn2riMiGLiFQUqtipkQNm1/BkVB219PLjP4m2MduyycERNniSG9d/VpCdPGrV+T
ynZ8k3/cmXK0wgVi5W7KN4eAaLOxn4W7UeU4gTJtNnZtc8U3tXUbdqNe+pDjBbTba5Z5IQAIuBOI
ZcVmTiHW5MbmH+E94FNCAN9E6da334lGTB8IIFhV6WisF4zdGgyW85vSEMA4Oqg96ewUfUFSBubg
1v6Q43TdSqTnrDGjhp2SJkwH3SZdN1yBPIjjM2ubwjnpxqeEDaHdcI3lj+3WnFKX+/NUg4Sxmw2t
Ubex2lh0sc+/Ed+LDayXnrYf+ZiZATZG4DIqkxifUMFqJmA9ODYDQEm0jWmaEub34jjqm86L4HqZ
4QZtcFdpWJHZvJNfVbzoARrAIcg6Bz8kYWqZFT9zrX5bInwsV+Y/k6W9me0Id3Uxv+u4infK4Q8g
u5aUs9t9YwHufMeIEYP/75c38zzcRjZXKxb0n5gLFyS7wU1hdX9G+cqP2SEOyEUqcAXqm19kYPwS
UuEkv3qi2m5t7m0IM/7ccX+YUJezdAoArZ5WgJ0gTtQL/yJPYpkBspRZ34Bg0cuXzFEkBK2ufJ1U
962tG8Sg+B/rkvUTiid0AYXendatSc4J0yGM8gLe3Ajtn5YR+SbCp9q3TJBBVzWRZaLFM3i8xDzN
qLF2BoP7EGCzfaoT51diIeN3LJob5XjQCGel+YwDdZYB1QKHgr2o5KrTyuw23xuzlNGU0yHUeV52
0FTsx3wU856KU10AIg63bSvzU19xBl9HezfMDLFdLilpmcb64zBqw8lOHI49reJ/YSQjkZDv2slb
9+Cfll1Kb4yv+DyyBkImlIgo8W1pXqM2+XYypnEON6WMp6zQxKdtxkkfEHrM95lGJnTWvfxVxopX
vMFF+ltr4R75sP8mLgw9f1N9Th7y5UrlNiZiuR7Lvl7j/vPyevC7VoAJ8jZ5S3wW2xyhK9s3SExD
BpbFDfOqd0dZH9Y4vq6EUXxcs9kjfNsC5hU3Qmvi/mDbq+eD4erP5agl91YGlsQjyh8MymSNbSkI
uiGfK326bxW5w0xI8xCXOZ/Bmlj9qW4lO6iuBWrAwvJo8KGxc+mlO6eoF2Z7ibUbSnKG9RXwVZec
AQycY79kuzZwnBFIUlqXfjnU22lx5LIzejM/KkK4t1MhWblOJEDqWP5WHVu/ivTxSR+GIZpF6b5j
eC9BblKq4fprA6eCUoPrnUSnbRvvCr4iCT8SBuTrNut5W13YCKPMycolYnrEFl7x1dfri5DA1Wat
/GvhpPppzmhKoY4Et6xld1sDmqeypuLAhuh21zYjD4syVXIjcbwFeYOJb73uP8GnS0JefPGTGkq5
Tywl94NeLVEJxILo4di+1qieD2PVuQE/qthpxB/2Q01UGmPV0MNmn7w7eBV8jdfO+3bRSeIH0kQI
u9G7B6PtRlKfyRYuAw9tyUUKZntKnL19NVDj/rOJGRPELNYKDOtW0Q3QN858oxihnMhZfxBdFz/H
YwKOaOyWfVGLOMRXv0Z2wnKxV28czrHrQezUqqvab02edVBHjzLlTbgOXKYKd5lwUk0xVj29fZbX
GHZBmCoaNM4gsG0sRi9mvrPzyd1nrp6HeTcR6PfYUctH98muFUC6mLtkepWf+87W/Zqw9/crWIIH
vtl8F4T9q+MhOXU1V1vVs+is8xZO/HIqmi8gzdaOZV4daVwsd1m+VWG7bv2djjAUkoTH7+qnZVOd
80wMz/jm/9lKV1yCxh/YgMllXcz+MvWGHha6+Fms64e2sCNjtwYx2Rmf5gAAB9zPmh6Whc4cO7mC
a3yuSHbXw23KTiqyE85Ud8i2XdtbbPmRhd8hWl2e4mVtAw3DHz9D+TJ3ogjZTPtzjZxZDovrJ2J4
d5ApQoM4U7X7bvX0mWwzEfqFXQWHK9h+7pQdzCBrfH2Zx32ZeBlO37Vgo9UWCDWTJZLmhrUyi8vI
kXxPbYXoG719Op5XS1BL5OVwyrKye7S6Kj+Q1qpCzaw33Alq+Mcfft0bU0GEdV5X5pbO/1sDneJP
sJTnq2MdpEERPwOU2NCH8zPUNM+gq7owqrmJCKa2aQ8rpxYvUwVylMBMEXpt7V603k121sYNymzt
4R6WHoWB3s3Jp8opQnZFv84PLZybnjvr1H04ZX+zLNYnsbuWbLqb1qt9Glqw7jeQC3XtYul980mg
/vp1ZNDnVyiGgVlYU4RVE41sqize7l3Ti7Oqcte+U7DTLuQPmSvb0vErOB5HayAjbkA9CgAhcQnZ
bCgEtbQjz22bQ7Fltm8J7aNUmHpLXIJHt2X5vOgEBY1bpeyNjvAr3GJuoGmk3LLj0s1wcA9mcWRr
Yo2mKk/vRTvl7MnHvfOEzxe6dy+fptkd2H1nh5XD3r23M+cKxqe50PVdpTCid87wISyDvQG2Ft1T
yw3waE5atuvAzxzzkvyBxtU6tEZAzSwdc+tfdCtYU7X5Hk44P5EQidm4qOC9c/nR7cIj0N6ax7x1
3jzb4WFx+wS0Yk+cnvPMr9P4o4xR5clCGhCkkVAW8/UkJD7ut3aeUj/RSKTASy+dWvk/htpXP1eA
7PLQA0nJ9d7V+FFFyWUGrBEHppWvFzhRFvyW3Nourmjvi678GIGGH2ab6LU/moSqtdLr9zP7qk/O
ovdhCngkEqasdphceDmA3yb+zBeT1Hz6yj2AHRpoxT92mizfjh5PuF9ya2+JpgapNaS3EFtJgyab
JarAc6aYc0E070NFMN2oXRMo2uIcjC01fS0GCcidYzoa2ejcFXHPs15fMayT3XNCctsJe7VC6UIv
eccKD4BFS30kjvOrlexeGZQip2WutTe8VNq+X7Xmn7ci085YSOVzMVvEzaButCod8IegrM8mk5w4
50JgaZ12AI7BGhB7u76OjSLsuAXc2DMsEt10zavy2PRbanzDR5ZOPKFdkVPMs4YKAO7jva4W12fs
ZUTINvXASvLNrwqYqK5y2PgxnS2gxWOEuW7+egm4obbBHSDqBDkiV7gQ9uTPsgCbAgMDZdrbzFBf
JdxS3Vx2FQUGRO5pSrAT852021DbquVpMGhvdNkwHXqLpUigr8lNryxgG5XlwgnNxruissY9adTx
E22Ce7aXXLuFLAnJebbUrkL68Z5y3JxBkhRhvhRgpPluGfdcdYGdoBqmM9CMT0Y//04zbpB0mDx+
lnK7MdInRNaxC7WGgojPxSjEB1faiXOGK9C2bfAbTXO87YfWiVLCiKGRGFhFsWP7cy/IgWdpWvBr
ut67bGywFP261V/WlnyvmTG/JEbdHAdLQw2iV2uTHVlVLNtbqxMteMp0sP/SwsKH3S9mGC95GWE4
zrCyxsRIBK6YqFpVc6sG46cXmf7s9dR63PIoy1KAc0U8cQBsLRCdYrE/a9sZDle38sPmSEGHuYcr
0ZgsDdeYtVuABK+evr452XatNVfIoKrlnqeV2t4ZZRwUFX3buebaSjINflrRNEGPsmRnMxn1nX5Q
UFG2Bxoa01lPCM/EbrLcwQBWsBHxhmSVnh4yGScHt6v7x9RwnSd+FdO3Hb6ZmUuESqGXh54VLhIw
g84tymejDTjQMI0Rw3D5NuKFjNahND9zMQ435hUy5Xd4mBhfliocOEbPkySAVA4KxpgevxngVDmh
tRpeIqiqAbJpWJe9cVAe3zWII19bX0wRjCz4Da7J2bl58y73nDia+/Zrmfr+hWYTzKtkTXasK0J1
lHyw67rKx9pJX7Z8XkI6QMDcTLeBQ0Gcmjak6Ut7/J0NpwxaUbSHdOwlZw+fmQ519tislnq0plo7
gx9yzvDV01tHltuuKtwi2qCi08Jt+TXEtfrXPsAxN3eFs3BVHdDpUjfTwkhinkzrmxfLr4fOPRhZ
DwuYHdMyA9V0SGwjjuxrbirJMlxqyVUvYbvjXVZDBnRq3nU1qCB+PjvFoWN0UaJ7/1gD73baWPNM
apb6187dM9voKZcuNe8M2VS3XAunt6WGsGf2cepTPMIe5Cu1Q9yC76WwqQq21i4+UMMnu7qeuGis
VhVRziAu0VcgFu1Q5oehabxT4hh/XbsSNWy3LWg7C+CldP/aVu/gsZfFadVW60KQqg7lMJMOSxKz
f+yqcaGOLwcQq70Ehk3meOdOyYiUK1a7tlKxb+bVFytBKQ9r/5MuEKaAmgjzZNd88cdNfF9BHj5p
nmbnxrFd+AoHzG8RW03QKEvcYXvrItD6dObkZIbj4D0VcCBvnA1aON2D/mSMywz+1x3vnbJAgW6D
smGXffJNLdVeS3wPD5Mp0oce5/bFK1znHdMBXSqHjX3+uO1dws7bDjqUdZCOWkMw3WYE8N+MbEOj
6jLyIdSS0QCg16jqYxjs+Ay1tD+kqegOsVDpPVBXFdZig6PLxxKM+WyczYmPJrETznG9s6JmhsBX
xfm2b3LPOBsAT+B9itY3TdQQniea/f8+oT5Ru63e/mnp6NCCbRf7OMys+RHEZamM+9pOKJgsqtXm
AyvJAPjclI+jnFkcyKR9nBd5cNvsubPBs6SNGqNSDlRkepofWXLvbj00CSeDZu15A5DMW6UX8o+1
qfbDdof3uC3TswAbiPccAtqS5T+JWhi6z7SA5daZNU2q0dotmYqhRdlLSASGdlVHQSCdQr9DSMHz
bcE3WRNPj6rGHA48nOYO4ZGMtNpoT1q/1E9GnDvvy+Z+OfXC90XnvAH0Oewa56ot1Gr3KK2u4Szp
6meWJFRowL6ncveGQBRa9jEZznCT5aoMrEyDnj4uXaBt2xLmbekB/dfaly0bcK/QnUAqYQ9x/MSH
ISj7ytYLagWPxQEZH/U2OUihbOsDz/t0Yj9nhG26GNdtVH1+4QUnry1e40g8Q79LWxoThhNPh3Vy
rrjXAnxUJdj9RlAeVi0VgEX3/YdMeuoBR+yq7zSBt1SPZfVH95VwnNtLz1/Hxb6Yqp12dSWzsOlM
9OcQ/1mdkfBVpYXsGoJRqE8xyiKvcHbQD0C+SL7id+CY0xM7yGgHkqEP3Hhd8PcMk3UZbVpzmwED
tVHiPe+vy/5L92t0xXxA+gVgyWJH8WgUdcV+J7CRSJ/bemcKM70YfTOD93XgqHu4GPrOkG+YqN/Z
Kda5tLWfVpEq1GQdHQDQVcNRdsRftXmJjDgef8zKEwmt3ZVSJB/a4eR6UOnqKwF20If+3WARJZz6
itoJ67RRv18ZoLN6MhrJO2KorT+X0//GqeYPcqztCbEXng4aT/QzP7KKHbslwfVFA2EIlp7lorLT
gNhqgoOYO/BH7oDJMyo4fCwy5k+TaHqGBmDuQcA6uziv08PcCiNoWNo7YmuqTspm75xnz0qJhI52
A2xx9M4tOvEPa2vxa7o21vtVZi+jl1KlmPNH2l49AXLRzYBXgXxy6RlAXB/LLMRYtMHHryoJLL4y
Y1/P48eFsuLWcjcQbzSnO/WSkS8fd/nQDy9sIuBxVpkHSE2hR+lSUz8BPXaPC+zot7jXVcjzy2K2
reJjsnKrMLz0NWbwH9RughlJWO4+NjTtQJETH2GXi9DKk/nFbVCFbexWB1qiyn0+zrTzvKm5crKt
sHPbr0qvv4qmEoFJorqOFqfXuvNEPdlHZTzely742tGFko/UKadySo2og/ZGr7f4GgXn49RWJT0H
yXhFmzrzC2J39cc5NW5X/03k5Z800Zr4pq5HeO0Q72cStdOQZfuezfjbTbNXckwy25OUywIX4pZf
Fz3trkrgB7E1+2croIbXMHdOmmy+4zK5tihf+7cqP9vdTjxdfwFy4CEvDts+S9iJyEHA68mlOm46
uNmc3bCuk/xA8VqGwuzE3hbAtAfGS5DnQPwntuB+sdRQZY3c2zsE/Ldk0vw1L16EYDgn+17s8tK1
HnHYfa3GdRICcayRJKLxFCFBokFfIqBovOoi51UcNtQygdKzX8judVA5Z2e6r9i4siDi0vE0Kpvr
e1XG76yXeRejYugTOKuW/rVyHp9z21WfAhJl6K2DKXxPbuK2yHvPjOJuaO64LY03rpF9uqZ6TVod
k0QJHXgQE70w3MjndGl6PuA6CzzZctY0HuktCajybmz1+SwbkI30iWe/yTT45xrd6TqjQzHWTUIr
eOh3+bVChcLGzMQE/mtOGDOS1JjxayEXKwVtfrpG5d5q5DtlGdGBtAvibeM6kdkaBS68Vn2GPydn
KLdTa0zoVMZsB66PQLeqkDmtrCNUJr0cjEW89STAXLUwc+my1DnjhvngvDf2DmORwERccofbIQ9j
UqcBKj24w6pkEUQnq3ItgCWQLZOnXOuNa4eId5NfVpP6rRzqKLNwm6hR3OViYeOrm5PfxVnSCGvf
VkeMQt47jqWAIYzFT2mAxXR1bipw5XcGil3Tz9pF/xGaUud20OFCYujyq4rEzPWtw/c2M3+k3Fym
HrowH8F519yTt7YL1nr+NDmqwhJNQQAa7Z+roU/oDbtbI7mWNA6TLa7ujMQVFyY5zcXiPGFOZH01
1MbnPLFX+NQWpHnLI62uRIosRzCxreKCUr380JOkO0AO8k40ob+GdJzpBuP2dPO6i/ks2R8Ny2Ea
njpPp3MbFz2MQyC4WQlAwHKSFD1WMt7VVf8Pd4YRyc4jVpjz4uZWV/oFLOwJ2rfTr4xlxjdZQQ6a
Xae6aGNftefKKKqLzmzJIXQ/LMDBpxxjFh+Hlm943RK9ujWX0rhr6eoHPGTcHPVxeJmF4o6ea0uU
eTiyzcx45XFibm3MUzRaVn7aHK842fr18t3zETBnpZg2km7XJUUa9t4w7PrJ6Q+McPDrdXXKksZS
HrXGMzj+at33aLSHcW69i7p8JSXtnpxYpdGWxcYB75918BaD21w8LO6O4eX6OJkEpQdnNo/2FXE+
K1XdNEsPNVi5W0jAaAVuDMlxkVKLNrK4kVKTDfLAc89Own+BZvqzUVczRoHOeNKNJGKhF4mU5jD8
7+FFm7SbHlLRp32ox3YPdlgvkkuPmIFpjWP4jNkh+av4nhNF4s2LxckWZXGYBpkdruRwSp2NwX7u
US7gK4qKBe49mIA2mFdaWhJRDC9WFhCAGPRMJJ3qMFnokzIbhMFCU3c3JLTIpxy7BFAbKs+irbhA
DwuzjqQI0Laq88Ie1lm3MuPfXCFXwkcv9nMP0RCWc3Nw5VQ+CG5q+yQfHwq0uPvc7hDkyFJchvwa
xpbmFIJm3s7EouXJtq32KDUAEI0bozfss/4zzbI2ShB7BZI7abB5lcH7hRcBtpwCfZY+PZkT4xln
RpmBFIUdtnhQkVVv1yUmQVxbWA3z4W3oYRnjlvOKbTt4XmJH0yTT/VzODJ63t62b+gMqoyZyJjk+
kihfGR7BCcu7sTyYgLxvWqNvz6togciaU/fQWjlY4m4due5tzGi7JL9T/fwkuYIetMWkQzZoEtno
dWYt9X+W16vLKiFO1M5gH9VqrE/tNNJ64oYRONxqaoiIsLequz613Ujz5p+ssOf3ZK7t1F/tlSOo
4FBo5+SnmlZ7V7hZTB09F4y6df6D6QpBrWf5QGmR/Bsss96ju8TLNhSMepMuD4rcmW5rAytFamwo
0Oq4I9uWeCfMd95JX3EyJUXekuOtntaxLdCn8F7eVLHuabPi1kY1dN8X7XypRVUcHNcdr/dEjSQA
g0NDMZty1qK8zlC5Ka8NDP55TX07t17KdvT2THz6U2urq2ey06mDJ9gU9gA1OPaOymniQMvm5bZd
kgZVwNVVYHoNMjPvTyvFd091wtT622IZ42i7Wvk2m7J4mNZ1DvQ+GSOTt/BdTbs4KiYGvoaV1Kfc
K6wTsMlsn1fFSy6dkpJU6GdlGQt/gAGTW11I32GAw/SJrJ89EzVkmLUeDStO3opk/amH7gPSSBoI
znL2+xTts6nlLiAlRaCG1+kqOWHbxdHvkK+Xe88p1K6xNsPHmGWEGafQpS4VsLN1ZWxuLy8gstne
99ISNHwqbmc7ruD3C+0V292RgOrt2ohsx3TgFteuu9sm63MyhjS0Vl61ruArDu4yvfH4VPdUbOLW
g2L6AP6hCORCk458jreLx9L9oZ8jgBk7DeOjwmNPxO2Pq0KmZq7WZ8/t7gCigSUTL4ZLPy6mX6NF
3KWeJXgUzE83Z97XWn0HxPpapXX6+ybn7Mar4/FEeQOpgBF55kPZmFlPo0+QkaUPhKz5urS5+YBB
sriIFnjwlsJN2dK0i0TWYpCl9X5HMK7YeTV1Inmr1LdsvKvlJCviJbYLsGt+m+mb7viSpSHNL3Rt
QlmHLfYYytua/It15/8Hgf+emiOIvRzujaP9ULc4TF3aD28ZwX3M43gpOLYPucavk5j0glolX1kv
SK+slu2wAS0P7K16cOdteLP50UIvZ0ImdCM+azhhw2JIP9juASAv2caeMicUSTo/x43j3HUpT6hV
0GbKSf4e28HZdsreWJqaXpuY2WI+Y5AT/Zj5E+nTkD5YHLj9VEVeKoajMZbD/ajHw14VWf3sTakZ
YuAyAsIwSFhhhtZB3M32p2Xo6jC5q/mewJ170Vo3CThqMawyPnHB5JQ09lgeChTFVeSmdAzXbuz8
3J7cq16teOwZ5jxO0wR3hbYUrpYrS1sUF9Pu1L+utuobOlSSyb8TP690yny7m2HmJjWN2Sxm1slo
7IKDTv8ulEvNA1Hmaxvi7r0U7nZY0tzZmSnFac8kstFk0AApNADwcWP/HZr5LdWSZyyFaH2uaztL
SWewd2OXBTV7fu3JVjDMdupdpxgoUiAxuYAUemflc/+lD930KnRqn5x6F5/AOkaUKuwWLIwJCmVn
d5SLCWaR0QnGYk4OKUC70HNGESUeOwmV6/54c6OexWj+knzIie0Pzn4xzDwQoovJGPK6ZCwkHnJu
Zv5gM83APIP3y+DGQyYXsDuzi4MwW0b7Guu+ZjxPAYJSiNJVn4/+hCTineUoY5dNzourbOPRlK1x
oPRiZ8cuOg74ljeLa8U3cd5t1AVVjmUqfsogFp8ZH1Yvg8WyRb265Y2wT+xK9Qklbf6GUcgJWv44
rJZR/kiXPTOmFfqjWXySIKax8xAPd1wFgp6HVaf5nBXGpWAHYH7Nq51gyYiZ4qWrvyeR38bbCgH9
PitvIGPqxpmGjd/QMCiSH/wVvCphipbw+K8jfheh7AtbjjvL7g/SfsaJhc9QhIX11IqzZdGVvEvS
k5sdQMhnjH104Nqee7A6bng3SHfwRnFLrql/pF9l7xJXnKnx5z1s5cGufjzngbrLz3RKB3Vj9Xux
UQvp54EmaD1GWX8Q2kWjp4VezHlo9BezeN7quzTbK4c+n3VcG8Vg7beaDyXtKKUFBhvfdXOz0l/K
SG/eX+fPI5PGchqYkNCZ49XWD38j/pVU/CotRBbQjzdL9TOChjLiW3r9ouox56Hg8thhSftd0jwn
8l3rbkSbHy2G17Z8cDpvZ4/aTRNfd26aqOUvDxY+RFF81sfdon5WGhhWwYojhZU+v670qFQSzRPb
BlRGJlcvetzlfBD5Sa5nN80PnSxDSx708qFun2uenJ5K++IOdPuBA09DGbbmDRO/wB3csJl+rp+a
nf5txJrqHODbhrMnsty7pn/TOS+TtjgVxn4WZzxix6oEk0wVzcEw6t95io2WDVWhKCq9YJqf4gQk
yUiDdfnhAPIrcXJGunKyPfUz7x2MHQU8eL1+beyjTSsCwa6fxTOSiVPK/hHfGN4jIT91ke46ca9h
15YfSXNfiuOQ/lx1FEBDgtniD3jRDDx0F6+6jsI+aLLMzoOHTFGxfOl8S/G8Lq+gTXxmHUpeYnff
MtMi9q+xmjPsc7ZpKisaxE/JVLXirYrmINs05IeXJr7NJMo9NriKi8t73EZ5J5Xe7RrqXZQdbIRV
jdYzxJ3kS4qb5kif959RGMWt6/JcbVRWxWXGHu+i7+RoH/olYO3n3rW0oDJxuZcIvVnywqVg38RG
d04npLfloXRqf8bdmLbZYRKYwCBOsrjLcOmacFsuJoI6yYnnvUwdB6/HkK2kpRr7cnpBTxCCrQw6
boP4zzNGyzO0GBZcD2uSgSd6Whi7VRcbGdeSy8hS77n2RtK+Z9rrmpcCjKZXrIEa7qzlRfceu3if
s5a5tX90Kvda/6pvj4b3wlr/Vv7NSGsYYDX4cKDxHfQpZ0dtf7UhGRa+ivUj614yPLCTfoiT5WjP
elBABu0aQGIedg7a91wWmCUcV5ZwpD7hG2ffp35S4lWZYaNrB+62x8a4KnjQDWW/EnlKyZil4Wei
0eC3U+1X9tdi8/HlNxuf1pgd24SezhoHBAMorrV7doxCY35dCD153g8+T96+9479w0pgkLA0eyXU
CWS2m7EfwaPmHLcrY/njdTdS4s1ML94quJFwIPIdoGAKtbKOMqW9TiylYSf13fihsO6XtDgU5qfB
xvtagyBnwyFpP5uJyOD0PPd31zfhQhOR7ayw1FgLaH2P6HleciOtBOsqz7irdapExDf1epGYZ02Q
EUv8ZiH+ydP4FANWd2J/yH5AWyeDGWn5uUM46Fqgc6Z7gah56hmLMzriysq534Vzs5173Hsr9tTU
ChPztW4+dJ2/yELBw3pAY+Ob2DH05AN7thNFg+MWQLmEaJa4n4NxXU5dbot1CCst/lJTG9JlRm13
sdejVr2N87elH9ZqL7g0Fd6p9v411j18tCADJ16YDUf0qadGrK19jVtuxu9XCKBoD7xWs2JPh7Gc
tWBxvjfO3Ln77otnx7pJWXqx2o9k/GCzLCKMx8WHKZq43XL22w+zdnGXA8C9weV5uB+x+VXvWvPR
0bVpJfWt809TTwlPypDtqmpv5K9q+nbqdr+yeMvmATeEJwntumPrsNZGNOg5R3bt99U/mdw7qg2Y
zzKpAXL4pNo3JEEVBlgaDlDk2c/bsJVgZIynr9a6v4pWPe1g2Y/l8scY5D+Szmu5UaZbw1dEVZMa
OBVC2bac7e+E8jiQU0OTrn4/+vfp1NSMbEH3Wm9s+h9Utwf6Ctidq42wfqqFVtlgv3SXvOPy5BQf
iMP3EC/a+X6tXrSPWnZ9kO6V223HPB0S+Rj/dcAlfw7ibQm2Z+zr5C0fH8XyUSEUMYezwYyVeMFA
HaBTINbIOJEkIew5YqaIjrzhVNL1tufbH0J6z5qotmV67uzyOpEawxef7phfQjk9jhM6Qg1IWN2b
ARBkTtLUWzZRGex+e/NvjwYlp73dnUmBX5Nby1zEwxAu+a8BA+FTBTeguJ5SZ4uudHGNPegi1Ubv
KMwiGa/3tJXtK8FaRV0lvHZkFkT3oXwqpf5cTHvXJ8fK/4AwYJUud5X7nsa/8n4IKGqvDv2Xf+yG
B9nyB2d25c1Y7Qe4OZyTxyk9SrpT2kZs0vVy0/WMy6vNqVpUnBm3A8L5qbinYspD4/TqVeR+UFDZ
PPmU9rQFX/Inh1hAQSmJyHVRbiUt75wtdNyFwfqZuM+9vuTBL90q5XhK5gtNpxs53N3eNLhpXqIj
DUa9dZ+1T7EFIe96EaWN/Gu/TRktTHngJFP/LwANg0Xh6lGhSgjBz77y4q5Fe0Aa5CojTV6Ae29Z
D4t5VD2rrDg4s7cbuTZs/2QaEBL9zsnvJSTJtD4iVUWtfr+op2X68kyemM8y+89IXcRwyOzpGGuN
O91tkQBEClWQGD8n77w2V2n8NFCEbUr+Bd28X+A+Rj0fmvJYdS/CRoT5JbyzdJ7i6ZXSsyY5ru5O
peeKAPp1H/iQzNV9ADLbTA9lfnXQ32bDf2U28BCcXf+VspaZWyxLcLG8utZLkl/1eBHJablJpoaP
XJ5IytSrz7wSZQRP8YRuCvkUWPez9dgCq48u7+PHaj4EOmKRQzvyzX0E601gNUWT8e8sqeSqLz4d
6m5JwYooCdrcB+z5zvCYFmaUWfSg5Q4yiZ3s8M+gkoq5nMWtwvCuor4vaY7ae8rFdBmt/xId70sr
AKum51Dds9CE0lOsPfVmhMKYxZ6wJbpd24gxnYEZ8LpmJpCCtna2kvSeZqONxwXs108kmaFFfbWX
22mXn2aKMsr+O0NLXdWUONTHyvxNR2/TWe85B4AlciIU8xD0uWKAn+EVk+lXL+nWyBaiuZaHvK8I
RwXCNbnm+PFBz4rmVCYfMKN7HVxxWjAVJLv11qXJ0DF7kdeipZbPlix32dQ/6YTOkNXhoEm2Kv6c
XdT802vc3pWxGxod9D1o1er+jX21XdPnqf2KU7JbEXnmHAkNCKYytpmABXCvrH6XoaU/2eHSSqpN
bKCc5vc+0VYeWMgVJYeetl67kge6KamzSL4dG9Yq/+3GGj4CLT+KGi5FtfX0aSTvB56bY5emD/Dm
mn+yRt4S0xbugR/l6nkcP5x2L4cHejFQYnBoxztV/9iw7SrI4D//Gj+SmlSPOH5FJsMu3h1TT+9G
86fDEh4HVJreEox1pY4tCKjAtbOxbgpf48PI52ND2xG6kxuqn/ypmI77g4nczaAFbZm5y9KXxVop
DFQR2N+lH7o8mjnBp3g7SPvNKrqvVchNKfrQsX+66i91vbNLO05CGmlVfkwqYzlH+AYFCOO8jhSO
XluDSzd9y4LX1DIjTT9atf6bUYfEL/XyF3SUFuK/MT81rdGaj5oenPVY43xZ2BBL+V9C/7Pa5qs4
jN540fJl6nYSOpcZmFLwjQkxzLYj1A/lt7r7cu3HrmFIsyFqzl2zK80H7e1HeXQ9/P8U5Lh+hIYi
HJgPZZ3tNQ2+E/I+SzwO6qyds4Icl+lPZbvhDHQ8GEcLmrQFxM3NVw9/v2HuEX9uBHsUqZFhjviR
NfOmDwiz2zYGaKPfZpuyHD1s7PJx9n9oKPy30qvjVE5YOfeN/YJwdZM1M5jPL+e7E98r42x6xyrf
64KGYT4b5Lm7PgXun6YTHvS/VLsqfZ+8mKh5TiKMSSeDxwemgKqjC+Sz7f7WSYta9AWeJEPwhtKM
7Nq8/BPzneheXPSq9YUwEvgLnmRxL1skXwd1K0zyz23P3uNexurPlnKbUGykwKqyF6nhlOiVabtr
LF+LyQ3H5X7oYkh/RrJ3E9XXQtanB8DOwscD0Md3XsZrVz9X45vRPfvqaVr2I4ExtY8UnzA3dXJL
/kJ7Vf2nxfbiBOc+E8cGqKRYmH4wIFblG13eD3NGRs4Zq+CmX59K71zJj5x+mHUZQk9SFk3zXzqd
BJVnK3lDK7Y8G2C1Yp1OmelE/jeiQm31IaHenJrdrGHF5eau65+Aep0SCiwz95Sw2sh+uvwe5dO2
y6mCTdqDzt7GZsHgoGCuv7PpK8CsnKI9MOyP2vrXqXGf2svWFkeKYlB28Ryvvn7UBiXlxPTLBtlG
mUaDIm3EGHcr1WGyw4nhUFlcTP8cRH2LKAid1hd8XieghniDxe+NqqFw5ZRGW12c4gBc3/DvMRKG
a1FfymaBLMf9CNRDCVS2RNbYn3rSzPl9eIqFp8BS5airTYCrNo2/2OmiKiYYt3PCIhF/vkKYZM2R
4YjPIMFOBA5bBzocOWCRV5y8YTkM5CqJW88arYLI5Ie+3xeWQCi9fpux9QBjEdZIYZ0x2Nv9EGXm
rUFo3Ha1c+gWXnZvmY5+k3zoufmAzTkE6xj5Ulyahtbmdg1BwjZyKa9gmZE9zifw/U+X4VAG44mS
nEf6VrfTtOyyNu02lteQdS0jPxbHwTcuVZGcU9vY1VD/G5iMX2XIna7mp2QRsPgQVZMVrm5/7Hlr
soBoosr+RP/CHEHDFTex2uAMCQkwfk5te2sqcVfb3X9z4cvIagjcDcrgZHLZovkOhbY3nWFHa2AE
oTsVGP7+lupx6J+lMzIer/XGCm6bXPkBLXSdsmJnzrgGvOW0kvyCJu5aBvBDdrCvlQlFSWWW2d/V
FbReDUOv1WGO46uVjeSoEkKv1/5eUwxZG+O2gM2LBf1rAMuUrJ99TuYbn3lFV3g3E85bJ+671Q6b
kQtzKCy8f6hzrORsJyXtSPmrSVL4bK2v/dpHAX9HII/USxIGcx45HBwd7a/rsiLToZ8rCRBXrHvD
NS99Ux3snvcUTSVxW6HyPaRaxWdn+Ieime6UOYeNO7321GnCZlL4vgTTG+r+g1TzEz1R79OoT04R
b+2V/gKTWnEyT1l5bjstSOKOTCcE1rCoS4OW13kQ+kfH7j6wDApNvHMq3MiFWK7YFSXxDajayRPj
7pW8vYRBndOSyb3AFTdI82qLMZL/626jxcDpt2jMwjRVh64f6Kob9lrM9JVRYwmzRyP20bOarcQQ
aBe394fPzo2MsPk3oP5yMr1Tb65bwqvvZcO0NlrT8wiANHjtLjHA4wSoz+zO2xIAHljqVyzBU0YK
ceiOKT+ULH9Vw/ftV1HrckUhr+0spGc24yO97y6wQbxElBChrEH4MQ35sZjKbaDKoxA1fs983831
J2xyuY3XFIVwa+yUgoa5KQ+ternASwCKTDPlCPEOutiJNEmEaZ4IsDtqEmNuA8lOasnsXPgTRWTJ
Ph7nZesQOtUDRJRze24SznJ/fXWQvo4Dw3BnBIqGS6iv8daOHoAECqHOiIuOxUINE+a+OEhZRtRt
vz4iG9KsdLR2S/uZDs0tNXUPVMSVmxwrQqWS946Hd1lIlTf1Y217NBc4VbszzPzZHt6KkQ2vxytv
SryC/Do5Mrr22R2Kz3yRkYNsBXHkYa4SugwZqXTLPIdFFBlkjfSs2s4QSrFZXhRMWDtwJDP28Hjk
3B+dbh8WtJN9ykth1qGP1gEZK2ZutOArp3ycUXDIm9B2DBgsN65KT3U8bPK43dYNnDY2B6ooEUa2
oWq4iEh7R3INLt9GqfIPFuAqDRZRPs6U3Hkbq7D3nl9tLbe+Z7484ftly2IgHowwIQvbt/C0K4lt
CO8l3T5hVoOFOXQSww0gMsib0C3xZg3dKcjHTXPb11KK0yuzPziMu0pXf26P566y1w9zgmobl7uR
rXAFkm09ZM8+DU3ojf2B1paaE1NiI6p1Aapn4fezUlRngY/atgNZac49yyDVmqFpTDtOhqONuG7p
1dZCoRdM5Vur85OecxGimn1Y05geR6d6alzEiqgn2AoxseVO/dFjTGNXg2OxUcbmprhDE3vX+XzQ
EvEUdwnULCOZy9uX7nFoRVMO67vyLQKKYlXaxvEcEie+s2Nvo6WPioBG1lLiJqMqfEIW7gHHF60N
XtLj7xxoGcUrP8GZo/LiyzGQs69x1BK5Xa5TFUrDBdPIq63Eq9wqwbWLRTT1t8i1wmS+7epdaNf1
Rfj4jk1OlqavUSpZmyCVPzYmk3ApnDB1IP6Fj36aq1TQBFpKTPx9/9swgbd8XmOFtZfteZYqilcR
2UB7rWnfmcD+HeaNTTL2dL0q61w764ud2wc03vvW6p+pOHmEEb5r+eWMs9xrI5qDBjw0nw4pbfbJ
IPcYp7ZYyiJIuUcxMKrCQfqYBAkmfSQ18rOdUIr6sH6mWNk08GPIFNY42Po9QzkzXKqNp8BmdZvq
48DEThMuLbTurE+lulXYY362vH0w/3O4vcaWH02O/EY9FpFmrJjzcT3wpyaxC9nAKOwkK+J353sh
eBvF/RfPHgcsbmIHDfLgDR+l6+7sMn+YAOeGOYUQrvF6JedMdXvs/dA7Qyjn4sFxmqOpccY1496S
+RNucLBQmFlI+6OQ1tF0gr9OZtSEF9hw0vq5oW7lRq/bAgBO6i8S0S66pRYndq4NoTT46fmQfUVT
MUpDm/PI9T4WAwx+6D0CHI3PCRlhGJOHWOp5hhHi36stOKXgvWjjy6oxqk0Diso0eQnq+W4oNR5C
xP9uO9QbjYMBcVazB12G0cgwDFJ3neWwC9wNDhZF1Nc3LsUgWAB1/jw1tE8vn1Ze0AsyouVxPRLx
sXJbYVZqJuhBnOq0hwWIW/IZXETdCm41SoeZJkFEazHLKc3Ah5tsc/H6O9rt90T/nz296APs2o8/
2zs3yy8zACMOlKhN5LtIxp2OlXM/TQ3IoU+2RROw0lADDJ0cS88MRzpCvM7fJreVsVpY43GnCrYJ
qfp74bqhcv0NSrOj3WZ/je3/Bv56p+g9aSnEdBxsDU59mhRBGASIzlZ6cpPycBPCMPZuFx/l2Q0D
AlKS4DCmpYBM5nVjuwmNxeDvjcGlDRQ2gE8mt/vQwHmTsao6akF3NLB/FCnTHI2cuSREo+qSCE3D
brYCPCD0zcLa78YS2rXHYV7Pqjk6KUmNRCx0s8vc7YCukKGw2kDiw7j3yhqNpUZ7ntcOcYgE0DwZ
C4Z9KpH9+6aVdKzkBWezLR6R/720ZaUowPZvLNFoPZp+0/o7+o2HfZWlmDvH0v/Oe/+fUCLg19VB
QZgki7+tNiyW5V44ce34XQZWcSYwqtxP2Li2Ex6ySEqEQjZdL4fYq6tu0zXFV04x8kMjUYAhIaKD
Zz+m/nBUlgld4CwGC4/7oUenO88q/V6LXu9xGma4yGtJUaYqqDVN4wffNHF7JmvKc22nFso7cDyL
+Arhv7Wtsj5w+PtXy1mqAg4MIhDfoc2iT9OyWYM2FGOcn0bLPbUBERmOwllNRz3OS4pxD3hdqruO
hJB9vzr43dqOvnFZDFFXeKiaemR6M53cXA32inao9jYY1fq7yvql1hGVbU43tu171hdtwwi2RsTx
SUvEQJsn8anP2OurQs84UwML5glL9ROitPSYKxu5khXTckA9WP6CYx+9l08bLrmTAdCxGdgku1jY
dR5zcjl8Qk2S6Tq1mfctK5fskkVXj2r241c+Q3sxXSd2bvOti9RpeYb03yUJVbve4pH50AcKl7cN
j03GTPVNNem6o8mv2oqSPA+MSV96NqYEWVQPqDOSPoCTcpuXLip4Jqqe03NJH711aP6KdWDFzZqa
JdSxZIAI2yN5JBxw8T00pWoPkxbPyqfb2JEmQItr3lVuGe8df4QeJ4vknZgb7tvBx2/skrlyDbLW
w3s3BLtVTeYH1HPwousY8sNtCrSQ+DnPqlfjLrFa5ywCqV+H3oICDqr1yA6Js0fOy2NeGOtf3Zfl
h0Ague/WeTzUsKU0HMiM9yOPYXSI/mMyn2zjR/aI9wNDv9iJBc0S0MpoFjhzdcZygcPgfw9+TUwF
h1uRd5iYO8F/3E7fhcAsecuAPtiL/Zz5nbV3JxQkDDBtYZxQqwjQ6R7E2k0qjioTVBhAsHzDTIvg
M1lrd4dmLrugi7G2lgVH0eJOZSirh/lINS2yD6k1HGDj0vPLdMKV2LyKRjCjjgYndYHLRWzK3FF7
J8cEj4yxd5CEuMO+ufE87RR4/4JMUa2NDWzcIG7Fn1hQasJPnW3L1p1BMxLG6iz1Q5PWZRBbDqCa
OO9n/gsOKAsKvBGVvrc0AcsbMnMgo2WCzQ50Yd+P2S+lXBkC5wlsqC4CfAsdBFhKbBd8R0uRbNnw
aUy79+nFoTa5rBbu3Z4AiCVFYOuDh+a5Xh4MdQ9JhydIZ9NDZqpbthQ9ZLnHeOEF7aFtim87Xl+q
YsbScjdm8uqnpONj0CSlI5gXpH5Iaw6JajjMrfY5Z5iaNkPKYVrdPNFu7NaPxWz7XEt1i76e+toj
ncm3qAnTfTVmDaZJk/HOjcFaizjAJtLL5Tp4VXvsm9FHqAvOsJ0t43MM2GM1Q/BHsZgNtktrPE6v
pAmk446Pro5Zv3YcAKCvjIW62Va519JPXSY/dpD8x5Cy3plz3XyUoEPO8pqURAMymqdkbcTkG2A3
T0IMqBxxVRz/KdGVT0L78e+wSDOBFY+zoxf7DzE34fM0OersGOgKK4NyZ5LvA06U26lRrmY0u1nY
x+SzMdc6Pn7UUvXjkSxJqP3EAQ9h9MndUKRTYNJDxdAR9aok1wDra3uw8RaFlNwAsC7JAkWSd0Lh
xwVozWcLsSPoVVivSbrja02ORtbBCokRU3ld4PBbDdM9T8Q7IHtiXbiU6qNSHzscJNuJ+Li7zkFI
bDGkIXaGoR0ppDLkLDbFYDA5y279MFb4bmcybJ4J979l5mkZrCwaiVdCFsvmQolVDJZvmJtagXO1
dv/fdEsrITauD0cqmA9DYMBAWnm3m9IKN6RIO/E1mRXjN7KrITMnmu1KxjtMFAzqOP0oXRPkWaWx
xJiL4ocXXxQ79LG8QrrCVwTXjeg64zaiWRtVNKXxmh9701RMyonhfa0ei3YpdMJk6xabxARtsP0Y
T4geyjpss4XkIoHHIg5w46K168I+VQniBfmYYB2hjK1FM6HVEG8AuPKGXtI4Vttxbe/aafgVVO6M
T5LRDBlCnF/VZJfHXuHTU/iWHGD09D7I+pkiPSOIXxPDmv4qLnTiwGzrX+17P+BZQdROFXsWY38R
BjH0X5CMp9H75/oSkUHVkW8tDMtAYkvHEPd69V53rvWI00F/EBCEC/cmlJ98679haHI7ysrJ5LQe
SCVLSDw7QhsMR2iXgt9nru67m/oxt0CrPJacyBuKalcm3MV4tbAtO31w7UoLJWNvnsti7m+OpBaN
ZdaB3kgDt01bfvhrSWSP336xwmrESUnR8vozn4yKLuoQeoCIJj9PizuCC5hERInWwXWWh3aVf7HO
blOuO38j8v1pF1RQc+c9BNKY7+I0xtlLKUgXeqIbh4i0O4cLrZU9DwjOK/AqEP55ls3eWs3JP6YK
h3M8x+2J/BaaoZagumKrdC+V9kl3mYIphQjF5PxWIYaNSAAARKAJ3bizUgSQ/pSJW9AQPDG+iTAX
5BdcGinz4DFLAkhrx5h56yRovwFTIslpSebgsxvQbRJcIXeumz0kQNydNsPE+ogHdgoQl7ihznOa
A+u3KN0n5U5PnaNBCtvxak/GpVZF9xbHbo72oQMd0KPN3ZdreJB+/KmsXkAeO6/TkEKEedUb7Yvp
nZMm+tWdA5JPxAxqa2NZp6z+cWmbJ0xWL6WPk8rBRsldzmm6WbvufSBS+b7KmQEdaZBylBG0UzjN
9CksvxK4lfFU7ld8g9WDaMu3LrlZxhYPWqueDNND/p4j8U+6Kuz0Ck/gc2f4ABWbahz+yrr6FU5e
g02hFJIubHRHQhWvTJ7oMWxtg2wGwYMa780s1pH0PQddv83QPQ0OZYDMpmHXGfVeZvo/a6xod+sL
/24ZklvZZICOwcmJdVMpOOLCthQS40WmWm9bB203qPizMWjM7ZxXtgnd6piUCub9n2F7VVQWzDjl
iva6XL3vDGBuVzfZZ9vW2EgWFqG2NNZNTmpLqBcP3SUeT1gMQjCiekmr77YS1RcBajc9dwFIGTkK
5sxLPNT40mk5ua0FItLWXvtkWrnJks+htpK+lr+AbrCAco+hTOhlAgGQjt3hZscpdnFqAK/m/mwe
m7yeeP9jE8GhWmIidhK04m/sIfKo2pbEicFEPjg3cx2Zckz3BfZ0sh5XZ72ayaS/S17uIjJ8431a
5L+qgPQlVa7eUZhFlpQ3ur+jXeomrK3pYRr78c01AwTQskcqdcskrgpKaFgX+xeY3BeBcXJbxoa3
qXNr2HUljD7jd4rXQbzZKWWtBzQkTrQ4/u/oc02w9HikYrBIIwL1WOPcFVtw6S/VQ78AxXVe0POX
XLYoIp4hWOL8Li36x1Vh9WOasxjNis55rNIaeqJaBHwp09OmqMl/bfFlwEbxnaQjUqSsHzzglO51
kZP/aFDQuhvTsTrHUlsRo00H7Ek7nO9SI7jxnDTYdXGgfotbahsKFEbG0TOumqCpH5XzF42Vh9jg
XNiiVfWj3gc6mLUHTBz79T/prM7WqMTAYiL0hTetCUuHB47krOkgESndjYHsjpmf+cdSKbByJ8fX
Og14PVG2Q3zM9YOaOGGqEcAN6NK+gcjYjhRZJcB7BmLP2/lBBNT4QdCNDAtPu/dNbXWfhej7U6eC
4rGf8/jOssf8XXhugLfX0OFUZMsuIM5aRLF2Ukwoajk5rvhe0akZxMJtREM3WpUHxnHEf35wEktH
LhhZmHt2ewAoQbJgCc5ynw8Up7Z1mupMfmlBxu/iZhPugIHOLCN/Lf5f3IVIEP8CHj7qQHU0ZwZI
W2DGO3M0f1c9fMgFF77IxfKfD4Bztmfs3HDxzYn+uuJ5FajqRDnPF7TccggxpUA799XL6makwUiQ
SsdASGbI/F/rKEYkpq5NHwzOnze4vI7M0WFqj8sT9i0rnKGrNjjLzA10PkhrdcqC5RYoZLThXGRy
55jC15tVWEPUaw7ddGY2G2LsQ33Smjt/DsytEBCsul9aAhNAslyULZU7RLz4hH/ErXdWtMD8TRaO
537WbEdDZqy7jAH8pyCd6boQNE5KTMf8T5DPRc/mtRTOL+ll/UalAzwVQ27A2FBIMtjGOt7NHnGZ
c9sZz61XuNtCzhhlYrumdn6ypP8ldZu+MWoEH5PFBZ6LzFUHTJLTu6qcfN9gpsHyh7sYQKhr3lcP
s1iNUGLbE1i606Mp/zL55DTFIZbu9NiVREnuqgSSsA0SLgprUafONnKiAoSB+5Jxm4y18sOZOqIj
GnwTwIxL9k6B8cIGgisyRKPabmCb1PYWq3oWi7mcPWttIgZu9m1Ak1Nt1J9E7xXbyepfyt54F+wD
Ud4v5oXoKvWK/rm/h5C28SEmQFhmEZ8DDHzYBLvkG/zGZX7BnuK3sfrulmzcWbqINxqU4bNpVgGC
NQGyrMq98Hy1u7yzf8tOubgHdHVIK2e1zq6VNMPP7Bkyw6Hq9yTGJWZYtFZ2Voi3TpmH4qka5YSe
KSfjZsBR6pXLHKp8AWzixEmXu3lyzKc+difniJkpDjvfKvOdFVv5HOJGQdCRe2osd3mmCZApUZ4R
g+qa9rlzsDsuBCQd1iQ2nx14U5T3fbmjCJo2W3wHF1osoDZz2RBAYJg0GQZEohIKH5Vra2xXz5s8
ICZRALMsrb3xfEleUyFcBLeL/z5k4PGFZSfFtrbXN3u1oZFIk7IBTeME5eeCIKmN2+IwmOZXkXI/
Le0C/9B3ywr9mbfqYy0ynZDz2iAgqOaUwvhWE+YENnP1TTUCvVvOfZoDTMUis7fziEhm1jByxHyt
EdXkas+hefsfgldvKId/ZlpmexcV5dZCdbaFNqjCQTtBVK1F+bMGsboUbR4TKBeXkwx7GzZQedJ8
WJ3Wx9+t3F075H5Usr+dqjYd4P+gpXpZMyCkpntPlXDw2AlXbwM50GdnANlNyPWWLLUu81qur2Ty
Noe1mcyraRsyDPx8uGLXrnettRJn1JvzAR4AGEo68b9yZOgArmRkWG2xxw6LhKPnfM/yjByueshA
4kS5L/3GDLsJfB0bOYot3zdpM3YFik754zDdXPK6cr8JFSDNzQXQrwh/XPnI8H3r3Bn7tPfSUDI1
bNUMnSpns7pb2wX5gl2M6AlTLjSYqIzjHnqkXswMP3uC0MWTyaudw8lxYxj2m1BGdXSDtj8P7u2J
4l7Yg9pRrtOLapfNtXnlXbhxUACbVQooShwaTYNjFRAkpP/zEr7qfq2nG6pbRqbI0vfZW8SpElq9
VJonBN1FhcBSFiw/Bkxp6QgD/WbaEoxKGLJP5Anps9BiRa3+M9Os+5kWEoNA5PUBa0lx7pKqva/H
+VtImdwzTFQ8V2iaA9V12KTW+hDIdrqubS3PuIBJ0IOI3MrBJXbGTmr8g1jkRp/TvVWwHg1uc7Yf
GLogA/rKhsTcEm6DPacjHRhR3zqhSCZJmZTizbDWy2Yh5mGX9LxsJsD9jVVnsiyS2wPMcbYsgBkD
Lpv1o0i089qnzGtTijWjHgdJ+qMf7ErXqQ4CCGuD5+1DlumtpEVl5HRIAXBB++mWRrD2dZ4LLiim
FSghUmGyxp73DimKfylCsk3ZTPFBVPhI3QoV3kjmB1wAi42ZTQuTd4EhfQ6yHfyYvdcToa0EJDUP
t9Nr4+G63NTcuhFVPXB2Y0NylVb/LcRcEWEa38cSZ3u81PlWkTuFfiX94wwiHNecP5YRebFSsX1I
p/KVYWkIfWE8lzZz26aanO49kWK+D7pEXNY6+3Ho0ORD+kly3/iF2M3zxPMdpNOVrdHZUarbf3Rt
CVDt2MjkWhPCK81+q9WHJs4G/dZyj2wtCi6PREsZxyR2enzLKVyQcIjT87zqRIofUpJ0Tazb9ca1
5c6++McOC5xkG+hVmJ5XyCcKfFPJ3NY5ptz7DZvwZJvjW5LX8b3fa3VpsnqM2IzQ9U1V9gy/gWtc
oQ/OCDNONyu2qM2qsn9BlTXnsVHlGXEGH51EJQCABKF0owfzUhYtOIs/uEweCaGGKDud8plAMvug
19p8hA9C4d3XiNFGrArodm7fQ2LmDCHrQFbWOHf2f+4k6nueOdIX0vSXOA3g1MxuHrzYRiCRNdb6
l2WDve1tAFTlALZMA9YatzUsoOSaAZ2g6div7GjGjr0fO8q1k07BtnoN+LpVdyHfLj3quiedJrGs
8yrQ2dikEmxQcCIIGxpMF4iUNjNxWmy/w1OpmS8ts3qetXMtddJGgmTuPamf4su7Scqbm7OQt4eh
0XEVEl1X3MnR+GeWk9plvTN3hL+2KspzczyRRDLREZh/YbeOw6oSaHktCnIo5xA7WqSWc7qSnJNY
UIStKD6zskcS7JCY6+n0i8CbapegsSD6rJgvTd2wXgwBqiaDBWCbOi3TvEBOEUir2mdr70XJUqph
hzYNhnoN5tCWBqujhYjLVzN85jycAyyyy8VfapK9YidIbyd/cU1B/f/RgPAKYGU+juVaqLONW05c
i3Ig4xwOFXU/3Ft/sIZB/Zr9kD5m0vevcYqUWNGU/EBb/C2tKlYx11GRj7iHl6ZBt45oF/sRtpr0
pizXecdsyV7TnuJ6Th9MH0tgDaBMrgnJXFZb/ooUnhUsG08f7DZEOcmRhBA4bx2t94eUEJM91lg8
/jIRRJAEIDYt2agyWVmlGND3hoUfqDfBblHPyq1jJ18lssrjKk11Ifow2ZK+beLh6LJw4lQOizmQ
57Gm79mb6/ek7O1dEmD0LZZmwiuU+tFgLvaLalaMcRMjlmkM5c5appsSk6+1cprPPPGRBfsGz/PI
K2Wb/Q9LLdTqauGqIZ15ZxBa8myNQ8C7LW62BJT4vB9kGE39iIuDscd1QI/LmPTTarAH0j3cnhIP
QHX0boHAm5zElNMYuUQ7UXl4K5zixcYvP0b9mi0f+Dz6MPg/0s5rR25cXdu3srHPBYgSJUqnlTu6
u8tuu30iOCrnrKv/H60F/LtaLlRhPMZgMIAHYpGiyC+8oYb2HGZut/LsWdtcjMR/lQPOwqRotemT
GBJI00e3rjkgiZy1x15l8cFEPn6teo3uMIpSB0N1zn0v4QisZF7SnCvzmj0U+cZA07vS7fEuDUkI
+m6IPnpF+pPjGM3zzJ77RHn00o7ecLTSNueMimBzOgrEuB0YX0ZU2e7lMMZE++B/XEL4jqp5+Ckr
I7T7J/AdnhqCXaBT25e2p4P7mMx8Dz6BcN9xf/kq/dYg1swSiXA/4aZwVwxlvMGdl6ivqNCdDfoK
9lcXAhig/qh/8tGmWKkRvK+OvDbMm8nfmIMtnFVEy2Hjl1NIiVkzm/UsMCnWusmSNZMyjvA8xYuZ
RoBBTJ4ThV8pILik1mm3SXqP+GCADUTByDtMUAwAAIOqGwoKeZpH+yPq6PPqGNJN9ONwx6iCr4lm
00SgaHYwtKG6dTHh24DBAFedofh4i2VlwyWrNQOvhgC374z4ftCQdA+62tqxSMFutNxfmh0ADC99
9y4xq+7O5AtCZ7yY7hFB0CjouklFEOChIO578FYpbHfjXdKVqO6Hub8XZGO7cewgDw7+rAaC/AQ9
5qhEwduvt9Ks833kRNaxN+3kOIY+QguqiGb9CnNl1RAv/Z7GT0u8ogyS/KAy3rpaWR9GJGd3rSkg
IHuSW8yUOzIAz/iFhGi3oYhuI8ln++LoD0H9KpwYlCYEH0rpNQkANHGawxqwCL1pq9tKatFH6RAx
G41pUzZp222VATnT0OL55WlR/Jw3Prqe3ObfnBACa9yRL6IpjlJpD2QglrWB5O6I8rUD9C/rbHNP
a4AwuUJiEtWfgYZgNDyjLC1uNdtqvnmlRV+KjmX11Al0QqDN1GuRFD+pMpi/ulZwuNOV29pGRCLt
IOQwaTGQDrgEdLOkvfJKMmbRBuk3O4nNbdsPzZesJcVAnISIu3d+QPQF2R145o6AAtSLY1WU7Ouh
fQ5KFd7lLcVTAXxtMLuZ4mL2AWeQiN8cuvxk8QAYmrHUnsrAST8kjl0+G1S1KKzOhWEhYfzYE8jM
YbRByschPg3o60ML4SvfOSYJIZ24FpOLXm0C3ZgeXYvAAvYgRR+6K8CccA3rIwI2FLBag5JfNPwC
ap4dHK1RsMPKr6amZx+7EsMBHcDWt8To+wkstqwPOQfGRk7cY5oc4vsRhjLoWOGt6wjxeq/ETDtJ
qGeaID4eSKBRle0h5KBYxVGYi1/EQURsVjLfyVWFEUUFP8kRqArUjjG8eA5IXOTXgicB3xzNfqTc
blozcvat6tPD1Nnl3iunBiEONX6rcI3YwZbnpEArkGsAUivtguYVxwlUtWRq0w6YWSaECQdBv+nj
0AAk13t9ehhKHGPDFHN6tGARCda5h3thaI+GI7sdKZhx6Ksm+J4VQrsxPRrCUz587yxhs53T8HeG
Fh/ox6Heiagvdr2IJQzi0ETayjd3YgK6S7uY3BGjgJ3EsAOMKgi1IBe13Ccj1cYoNPYDUt2r0YSn
3fkW3Z/Ia7aTWSvQpjhq5E1nf6mKnkrdfMyOsPtuOlPzbp2BIvgqHKqvsSadr3KsaCnmdpHfIAlc
bWzD4lWgIeD7b2kLDhEMXbalD+EdVAT7xsNEZZvpeYROhNIOceBH29BvNY5VP9uaIyDl0nB+N1JD
G2pWBaPYg4pPEKNnIlDVaaaSkiG6G/wnhQZanrX24uu5vMvG0HkxyjTYIs0e09sCKytbS9x4MY28
3jacZ7PpMN5x7DdCDOMenwDtzkZukGgFuam1idTyBsrwL9p0M5gKr+R1qCtkmOocV484btGFjN3o
JrHAcifIqdku0sxUAtBeT76oTEOeMecOzTo4OIE7iTstLorPVov4jA31bNuynT6YxEK3EWIA68oG
nJJEkf+g6Evd9+x6rqemBwIBNyCLsfLqcuQEA+s7DSLzCfr5D6B/lOemwd93vd1sSjLdvUsaeIs7
hbhzjLHecfMW+2Ti2IuqzIX5mfYoR8lwF8a1+0ZPDtO+MdJXmF0CK7UxtMAusl6HFWUTNuAaITN7
i/eSj5IDauf0YKLvplGjjAQl4IFYkf1o6vDPNPqFQ56DwNQQtUQsWz4T0qmPKATAk0A9CBU6VBHh
tgQzPX0M9oHdp8Tt2D5HtvaD6z2UKI1xJPXRJHeRp/x7MK+gAidKpZzDwGxFLneGnn6m/OVvS+qK
67EzNCJPLbyjkBdsR00ROKWF/nsK3E8VzJdPdqLxSTlVq2AyGOoFlnG1c5OQ2ArSG5R6U609oEwI
WoDuw47d2VSTn90H6WAdfAOUiY+iQoXGh6IR+0gb0vksfPSkyU464Dvsjimfik0QTQh8BfAGM91/
QZHkMI0Kqopd0rDLhpRYbEwohcFkNLQs2ccpHGuCAhgDtaajn4VIcKD0fp3rmX5DvRd1iiQs7nTF
ObR2ZzMesx/VB00HHNRQGUITDB5PnKt9bSblc1okCAEltX6PGve0DgVlAtcO84NLI+MA6BaFA0Eg
s0sNJAOGMHutM/rlHLXBjYm0ogLuPxI9F4hdrganUZse65qtmZXhZ5mNGIRQOgS9SSX/1tEs8zNI
J2tXz/EEShfFvjGoQVMRk3cThPJDVHXuLh1A1IZhh+5GD4x4kGn+Gocqe9EsmLekziPQLWrgcVJ8
dMfB2HFKoApH/+XQxLp6DvW63IVoM78C70TQI3HoR4FQoOWZCwistGmGpEVqHlHmHUbDlEzxyq43
ztwbsifXnNB3jQEyZ6IE6lG7lJ6dhmuhx+aIOK0PHsw+KpC1DqpPWjqgk0Wv8BH5aJa4KdJndN0R
55AoS9ZTUW8oMhbog+tU4eMqufeSYvqYE3rdW0H4NKJasYmy9heHSr8aXBwF4fuPew/DE4RFiG8t
QD8rmxARAw2KzciuUZvASKNJupsCzcB7L6V6U5XUJllM4MeDKcAUN/oewe0vgcO1sMraAOVjoGBe
0hX6Rlnxb7RAc7YrQgXQRUtwSkB5kecQz4Pff4Ni8rVG5+Kmn4LxtaFkvqEv2+1AoFGkyBqXWCCw
H+ir5fva60hR4EsjrYCNTq0ZoEXjvIAnjRabS+1ijbiMu4pjWotpYedrs7ZL5Ie5gqohdX7EiEHe
l05IB7EjktX1KXjIDerFa9oJ6UvhxOne6Vy58UbKRK4T4ytQ4qSB9FryAdRfv+4524iVgf50uTMg
20lNs85CwOG5p+4HowAgEd9P5XOto32Ctr/+ZhWt9T00ZkUtBUvIJp1cR0ihPgivV2u7jcddNnn2
ztHd6nPU19QVFGmyPcY6VZpguAd7Ln5wAkA9jRKFN02MLwdZwQN6jlymhl9D2qEXnWRueg+UNCWm
ygk88Hj5wTFMrIUgCXwN3d0HaKTf0euLt8Zg1j+8oA1+ajnClFHshTtRht3KL2f9y7gDGw0GDo1r
k7JWV7SvoV7RLCJcA5EL5VR1VK5WrodRUVS0wScawx4BeRK/9FiNPLvI1IO5HxuUq3pvl1ul/duW
QG/4V/Tao6NwsIBI3JQtdct1rPU2mPgkARgbIqF/X8ZZSemkTG84raZPhllotwY9/H1SthwxBCui
JWgCHEOWGCkYeJ7+Db2az7XuP7eouyNVTp0pcT8V/adcUd8TFHM+lINy7nyQ5wA1JtJU2Rlwy4AK
xuyjh8hWM4O8yQAcT7l+Y6QtngqUa/emEYcfjZkWpisR3FMyi3+lJp1omPodKt5zeU20w9ZthuSO
BCN/moZU7jSc0HYItOBTYMevoWaW+bo+RDk2L2jGuVRqHQrsmKRsLB9N5UPqbE0Qj/ImSB/gryJM
0nq0R4rGgOcRGfadg+DPLJHSvIbdLLPhoHVa9SnIEsCeNALA8w1mOK0NVeVbDpJw2+AawRCYXrAL
9M2otcUuq8wKvH3uTT+8PJG8/BnXkYXlrV/7EVhXDaV2fW4VRY58tqbJpDM75BtXNu7eMXlTdoUi
gY7qEd2z/JUKs/4NryPrYEf5i15yKFLx/S98DrI2Os0rMbhYH8XDm9M7xQNcp+BHK4LuQUyU5mjK
gNIrbZdoAq1TJJ7a9Imy8Pi5yzkKaMFilJ6oT2U5VKtKDW+CXtBPL/F0OksuyQ7Oa/IubfQvI7n3
ykyncI9unzPLtkGkQzOVTdWwW/jO7qygx9OgjAl7YKS0fB0SVcPZdoVqVHHnA6xfhTYhlov+aotg
cQZ7tjdmp5gGDWCXkua6UU9dHJSfcokmzyrwA//OHWJ5C6Cv2NjjSANUN8eHMkod7u7GeRQZ5TIM
/pK937rItnbKBRZEB56uICYco1vdlxSfn+hrhIjEZt/B9fhbSXr+ZAelOAwdInIRfUSwRUZ6S5UV
Bm5q5PvORGLOayv/w1DaP5Cpz25F3kHvNXsHtX1vWo3ka484T3E0gyznuCBNF0Puvdg2oElfFRRX
MtQdYxqax6ysaCCR7DwNCqJBKCg6mD1KRE1UOI9VV3OFunIO0SCARIMeUzzk1Y06TKY4HvEKmfMn
PCTDQ+gAryJnM2YF6OzQ8jkiestZ1TduuAlCKClWU9Qv1ogSJgcKUjA+dkzgGTU4OYICbDuG3KZO
8d2fg+esLLtfDiqNP1K79XeJiwnKlCDJEmhet6eGmR31bvSxiZENPS4UaKMImI4y9ZGqNfqDHjCT
u0bBuvYEHDdhoDAgcSAOjaq5qxWkAcuV4yv+WAZFRk/eAsmBIG6LNwdRiShSpMOm0VhouDUBEt6B
S5tKzx+R8QphZ4HmwPau3+Dv1YK/KKioJSCKNfjUwoNp5iQFVguZNyD+hJRP4yY6volC3hZg83e2
2bk3ZToVe00ApGknrTrw9RFQ19Tbm0iFG99InbsEdOyGyI4jqWm/FCALDzXQmZfSmfBqbTFTDB3I
YXZCaOdJ3FmoPmk75D/5elVN8D7qzidP6C8qsfpNlI/yflLWF6OzkJpPuGObjI4F8EvnpYVjdx83
3Hx5w04pLdDaidaCuJOYBnTgEPajK2HIloCyaLryuVBDJQLTTCRtaUI9YIUVbPrYhJCDGDcJDuzs
eqxHTv46vxMu7AGzLUnQPIOuepdlByS2dJDgbXTILKv8RvRKzAM0FXmYOGk5EaXe3CC5xRZGLkgD
wEQim36XstJRDwzKgxVp4QM7zLzBxW06kM60H4xAh3rf5hlHRgFpVjXFG1ZJkIk7rVUrQZoKftGA
fVIBB6GsR5auTMHRCexoiCsoSjFcGg08+ovJZ8aJKOTGniCydLKCeRV69eeqqupnvcb90S+deO+P
g9ggvWZtgOt+Aw1AjxAJzvucG2hrNz6K7EWNGAOk7TUYH3VIInQFzNbl7B+Nr+2gyvuadj68I/pB
tQDV7JcU/HvAwpte9N8wVdP3MO+dnZPK9hdeRvatcCNaSa7+A8m+dFehwvri9u63QDlA3Cr6E3TT
foL2FVtaOWSr1NkpJaH45hQ9qBDZYrDV2ZT+9HxvSeI1ATWc2qrl7dQISVDi67WR+ILvlYtXVz4Y
Od9+YaaHVjP9J8Nq0hdJ8giQvBm6HZFTeMum+lE2NC2KNCeLcALuJa/Tt72hgy+thb5SSss2A7ze
lRwz5AoJ5tbDBE8TfGC+bX0uwsaj/YSFXwBjLhz2gxYY8IKox1DMGRuMtNBEdIHa3UZYYWx4FeTj
gT5unST7beCxuEHyKfnejEX/bKlW+1b21IlSw2wgJcqXkjDzkW4bklS6N3wl9nsDcWZTc4Umgynq
sKla6kZ9B3whivKfTI6Pm9rQivpccsgjWlNOEdS3QyIlcsJl9RxwAB2CAs1M0H/0K2iyGhmsdsA4
OK7Q1jBgyMVW9GhNIQlFCqdWhqRRanBbmPve6N0AD8AEqlUjGGPKlvqEEk2LGwjAKdBNtaqmW9ft
EDoOnPhz4wGgdAxaEHXMJWHpPWtIIWzd5JpG6a2qUNGvarA6/RuGlFSW40ShNaKj8Q+rZBjyAz0b
bR3HMCI7YWKZnmTcnzrECr3HjGjKIFO6gw00oGtMfMFrCOvViHMCjcc7uCgfojjmZLGzcVdbMSXV
gC8tQeQDTlcbrJ141Gnp0FcL85aYAPw9VBodHLLS6nursUt6EcBv6B5I8o52LPyt06nfvtt2Po3T
YZizfw19K6hUcGusTd6PtBVLDwQzWrmI0UX22N7a4Nd9gkKrbSoMsHzOuzW+GQFZdy0+A0b6XN7j
MtmCBcDqp0Y4HDSDa3V0YC20GbW59Be6dfzWtw3aobaGEjrChiDZfOu2LnwKLGA4fgajZv2OGkG3
WKIArCXFL4cS7R5oTrHHKG6cf176G/KB3HQmTf7A4ENHQgKNwVnRVOcs5qRG3zsNUAPSP5ZIaq7y
yoZMnsh+U9o64l+Qcu8oKVHH74nnVjV3MIw4FR8qLKEQO0X6LHSgs7SugWxwbFf3dLemVxv/hCP/
LwYHTaBt0zbUtrINRkh+4JMAKOo/tRZgJgW68mdsmyGZQ2yQs5asjTkrI8iOZrVtOlz+mWndKRtE
Xw215YYstYN3ENU3MUa1G4Tmna1BKw8ZEVOhGRJZt4aIQ+xDh51ZQlIu6Jr2/UPXacYrrW1Ik9Kg
SGkr+1Z6hJlcFtCdhOlvi3SsHtAWt7bVlJZIR2AeoKoQxlsFQW4w0QuyeIhXEV0W+SwJQqkaVFoY
rmXVImhjWyA7fbSLHNGhGN8ltBMgwUPFrPqPUe81bwbiXUitUml6Lk0wZzlOROup8NBiNtl/VYjC
C5aUrw4N8p3yPrgQHIj1ZucSfQL2Wmogayzy0XuKhQgSQxoDBzp3ULNWfvWJGb6UGY2yqUv0+z7I
rCcQ6XMF2Lde9KKAvza4Ltx78IHAIysq8xa9XvrhMLJAgitLiDu7h0upee3b1M4ASgORWj2EZ04+
2W6bJnyTXIqrpKNwQYFd7tnwFOdkL5GnAcKGwHi0R+UO4ISOUNss1qppxCKR7tKCJW6m8KK7D1aN
kCMKINUrGbHYd5DGoUnjpXJbCsG3EmFP54loOBhcX2BjteFRUeTWD0MJLhk3slgVz/kAv9cDZMVp
RL3MMCpn5SQJshCFw2tLIdyEroU8vpWln8GYv6rG5sDpUuyPQ1yHbTeufqHgCwCKJLhGWtaON1M6
ojOGZ/HKLaHMjgFnuTYgXtbwQ9dRqVkvE5BUYHph9RkHGWPvFEl/jAPL5k5h29UGzVXaaNO6LiN7
G+C9dGsYINy5uQUAFrOly0pVS0pVogGX5fupMZ0fOV/z2kLQd+V7gKguW4SfdW43HUfCRJWKP//7
P8WJOTxgOByWQ0SMkUxDvND+/E8fb5mG6RqWSQsI9Vfx/vGt9CWJ95g/w4/+6E/FOhfj18tD/Oml
zhCWS8xuGrYl9YVfOzU3RcO6y5/FdD86rzDn7BjyMoTIy+PMK/HeSZ1JCOUaLJWpY4L9fiphUE3W
mLrZcxF9oHwhC8zHOJjb8K2EeHh5rPk3XxrLeT9WBdkpnL0Tn8fhLfN/u4jIujTCBRX4JH2o6zvA
YpdHPLeKjqmEMFyTf5nzPjnZB7Ll+ipBWD2D44WJ1uSPxMbgLi6PMv/uxbykrpRt8iW74JjN96O0
gtavFWrZszRvLS53FGxIjA+JcSj7n5eHEvOzLo21mJGPYycbnrHyHikGyADt9Ay/FkjjL0DD61aj
8Ey7o//puschpuBaX5nsn58Wu9FRrunqhuA0nJf8ZEkxxkpd4IR8WreKqDI7XJ7gmTf27vGL/ejS
Tq7MMc6f9eI+LKmw7DUf7fKny6NY51bxZBKLnei4jnCcnlHK9NYPNpO8aeW3fzfE4gNuuhSfiZAh
DGMnvs60rmhzeYQzS8V1xPaWUpj09xYjJAOlPPAR2fP3JP/awYvMXGKxK4MI48+lgktmUB8UQINR
aX3/viPfGmUN2+05/qZWv8iZQvXkJLek+612K9tHkByB+3p5ZmcOpdMxLf39mKBHzBStp+xZIS8P
bjYuXMBKcp3kR8+9uzzWma3wbqzFWR55rjGZ2MA8O1Rhe4ikErkWMX65PMrZGdGikQDOpKtbiw2X
TYpSrMVna7ivs3Bcv9E6JAks4CnT98tDGWdnxPdpW+wNl9vj/eoBjFa93jAjAmqsWp5R/9vZvy1c
TtYfS/nRMr1t134KrBt86ejV0nSQUM0+uPkDoUToUfL4kKCkN9zgV3n5p/1xdihDV/qMMDeFNf/z
/pcNSdloWuAaL1ZXf6mMT0Dmf/+7EeZfcHI6Nf9/BDN/ztynf/n0xcpSz3Who/P7KwH+KN5oRJeX
f7/N73t3vC9WaP77k99feTZVbZ0RFF2JHGuyVWLdxde+6bOjgG8z7PkAJ694P0onoCVhyma+UHoB
CYVUjuEhgtSZOKD1PzQDpKFfPxtD8lXQUhys8jjjSv0o2dsOmX+HO+WKPHB/ee5/7g4bZifsF4er
1DXcxdEf594gdL3ASNT9bNufott/9/jFpCWSj3FPv+hYIbGa7tp/ei8qFnO+EE3dIHAzFudIGYcF
4B+LMu90aId9NFzZGWdWh+c7IHlcpfNRL1YHH0pMvDXhvVBwz1a28xc/37BtxYWCtr905mvgZOMB
WhWF0mv1gl1KhfDxlVP23K+XQkp4gYZOoLn4cmJpRngnDB7ymrfjrhr++bs1rDkmsaQtOfkWl5Qo
cquItMQ/2gj9GXw4//jDB5riGA4oJpPDy1w83wwkMDVNaS8haoBI0pfawz/enKcDyMWNB1lejBk2
zYjQgXTcZ/mVQHhe3/fnik3hHO0MIZRt62Kxe0DaQRBpcv/otnDXIbmsRusvNiiQJFsnVuCEd+Yt
cLKDCr2IsGQAcFP7P90HA8L85SX689BCZcW02ZsE9Ia+TLosrWm0kcbakRMIe1ngeyaWQsY/36jv
Rll8B0Ibq6YyzfAYouyEjFh2ZRZnPoR3z19cgcjjw4PAavrYVDdNeENV+PIqXXv+4i3wywmeQxke
x1eFlGF55Yw+8xK4LlwHTpx0CdQXh2ho4fMECiE55tkGVHpyRw6HxdrlOcybcbFZuQBopNnSoFe4
DDnrskqAAzCI3mLdTpEzuweMVaEKH11ZrTOfBV8EiilK6QK89uJYSkOMJ0Ce1cfUeSQTBSch3Q+X
JzMfDYvJvBtiXtGTz6LEf55TvayPMfjWHTaGKST7scSVbdKf3Lg91rWFRipiUJShU+rZ/3x48gOd
MoWwpbMMBukUBxByjIqWHFyOakJ/2sba/rEwVPMhKrAD16cwAhOE4WhN1H1/efgz29E9HX4x+yzQ
J11qojruyuFLrH25/PR5ty3XVvKHBN/VqcgsPiYL7aYRfG51HMRrNR1LNJ0xpkSPw3XarebfXB7t
3GaRmGuhM2NQl/lPan7yJh0AUwAtnAqjc+CqdGtL65dZpFde2JnN70rH4o6fwyB7ufmTJoOpllvV
Ed6dn8m11z1P2Fgg7k0d+vKEzr0cywLy4PCpueaySgb+oCydfqiO0JheKtu/7S3zyr12bs0sW9L0
pRBni+WaVVk4TE5U4WqIFsYLEpDGUywahCQjTb9yxZ3bDMowmA6QEKHLRQDm0zrRIzNvjiBRc9rQ
X8DBH3oblaUGtGKixIcBGdvLKyjOLaEijCbu+8+BuAwM/KwFjcqgKYgDCvX2LqAtmPxGKHLnM37X
dp/7qH3qIUZ0Lrp44SF15a5s1MvlX3JuoU9+iFgEEE3ZVwGl8ebYIF5nd89jjnxK+fnyIOfOstNB
FkuMNGYNFbRqjm2zmbQP8XhrKfrnMM/1I0bf9bXv++zqmvP35pKrCDlP+uSLQ2TBiouRSelgb6rm
OfK8K1fNtREW55PKvE5I/OiOgOx8CueIywzelc/sP2u/PKbY/QB1HGpOXDbvp+EqV++lNdbHWnsC
EJMD5QnFk1u+CTM7SO+AntkKw80rB8nZl3Uy6vy9nCyep+o0y8apPiYDCOfuJpOvHkrXE4KxNOPa
ZFWCDbm8P8S8Af6YqWUqAgPTss1lgu+BdUb6NWiO2O5tdHGT9m+B91R4e/T40uCmC8Guab9ATF+Z
69nXeDLu/Pcnc/VDpGILP2TcQH6gV/rZw2/68tzOfmA2lRtdOWxJZ/GlB3lT91rh1UeT/MV+SJEk
NXaXh/izuKtsl0gEtyOlSxxKF/cZchXQJjhR8GbpaF66SDM82/WT0d4LV61F/TtX34X/Qes+BcVj
GlwZ/twiOroANSq5DaxlMOSj/jFhHd8cUfvUoY+VV1bw2vMX35oTjT1sHp4P1BPYimyvJIHnLoDT
37/4zACYxEkM1/PYjtTGYUbkm1L6SCYq0azTGTwZJGNw1Cb6eZdf3LWZLT41GaA1mDjMLMfmZsIl
L81vLo8wr83yw+LFkPdQd0fqfLH7xAiLLUV1+Ih9m2u/OjUhDh4bPy+P8uc8lK6TwSlpEX2rZV2I
nqSLFYesj2Kn4RELvWZzeYA/P6J5ANcS+n8v6cWBPiGcAVy8Y4ABCMXeQPyMuPcvxpiLWgDrCNfk
PMmTswBH6yE2Ar8+9qhRx9tkdmG7cmv8+TaYBnk0QSdVH3d5L7n+4HUoxNXH3NnAs9B9bsNtHF+J
nc6+jZNRFt9LCmK4avE5PabyS2R+cNPt5YX684JgFq7JWfPflVq8jHYwCZ8Liwui/EIfkOgFU0ZA
08l9Wh/G8tER18Klc69/jsyUI1g8Z3mG0nBJJ9AL9XEENq+ZaGrSyu6uvJwrg7iLSEh05lCPiaqP
QfEBBzYXyWLxcnnl/jxpSBfZAIKSlu5QeXq/xbwoKkE28L0jsKM1SOauOxrkEUr7SOdeOdXOT+f/
xlqcLfrgBKgSpUQozV4ZtKp2kXPlq5x/7vvD5f10FodLFOnDBNuI2xNXjAiTtVbRSLKMlYHpXVVd
S0nPRAnvxrMXb2gIO8OHdNwcA//F47QMtVu98Fe12DQONtoVCpJ35XA7iCsf1LnP9uS12YvwNfLK
gT+Ek6a472Jc3TfS3TftldW8NorxfnN0VluB8GQUor0hevOj+6B64S66vAWvbAt7ESqAUA9bF7Gc
Y4A06iyGiDHllYP03Plzulzz358cpINdQsoZ2RYOJCs0040rU7j2/HmKJ8+v2qGZvLpkCsPnwYMc
8nR5ic4+f4Y2GLpNbWD5uvNc5jqyas0R35F1kD9O9c+/GMCQikIYjQl92bDQImj1fWlSPYo+I49c
vP7F401OSi5MRfaweMXVoEdt14v6iL4eVorGlUPs7PKcPH7++5Pll7Q9nWng8bqB/PiN1qa7y7//
7IcAjpdeOrflHwk5IGNz7IRXHRXyYdn0WlF7otqwbaELXx7p7AE2V+hdCgDGH3li6+ilBkePsKIH
NGX7O2GjMlMZuC41LTD1ZDpcHvBMSjcXDJkWGDGDiGxxZMYNClaRLTHcSjDClf06GjsU3vemuo0V
HqazoLu2gsN6edyzS0p7g9rrnIr8p/V78s4UKE4kUqnm9TEyyKgISIzl0zfHurk8zrnTZW4NUoS1
6GUtd7aPCuyIfhNFy5hMX3pbTI1v4kFeGebcFjSUMQNKABb80TPTHKsFUm42RxvVEFSr+30STu5f
bI7TQYz3+7yALNxomLUfS4qCLUBZ8P11+ZZ3u6K6EnqcSeAIpk4mtPxkVQk1JFKMlT0F3keUBwB9
70YMTzX9qKt7yj/Ya46JjqSktwnTKxfc+fV0gXLNFb0/eoSIjwCoozd9tMAdTnX7AFHx7fLOODcE
GgqG7lhSEjouDm3UGURs1ml7pKy3ekKB98rbOrfDT58///3JDg+wO5e15PnKDNYJDl1a+ahajDj3
l+dxboeDdiNJIAB2/ijmJqVywITn7VEaGGJDb0vxDEvafnd5mLPTsUhC5qanSwL3fjr6WCO7qqF0
Qh6x8m08PNcGruXU6C6PcyYi5RyiL4MBjIHy52LjYUdq+j7KZcdcFmsblvgkbvryRoWPRrUpr8Wk
ZzYBUhHkhxSqDcL4xemHDyAk2bQZj7b/s1lX2bfLkzmzaAKojGHZXByUkRaTqQCWd1agBg7uTdfv
pvSmmWBGX1my/5TdFmEvw1ByMSAhQ49bHAyop6lE6ybWDI8N0/8UwcPNrBctfpbq0fB3Vh7MGpqr
IlJrTB83EDrXErAtKoh4a4K9/YtZSzlXy4lY1LIFnEs9t8smHI9tugcxjxYc6ODo6+VBzr65k0GW
+zGWnej1aOSASlef8ukvkm9hnjx/saZIMUWx5WfjEcR6jxhcin3hlS/37O44GWKxOyAqNBZ0G6aA
6SOqoffIkYdwhv/dQs0LeXIORYM2TljJjMegPuBwGtbPl59/bRaLc1Q2g/AbO2Gh8EiE+ds9TO69
q7b/bpT5V5zMAkqzqaIwHo+hdWcH2trq4G+5t/Ja7+X8tuJrJWSwQLUvZpMbnTfqQT6iWrQRam38
c+AY8AT5f89fzANMg4Bmx7YS024wD1FyJVU4cxu8e/4cYJ6sE85NKaCDajz609YTEKkgUuwuv4qz
Q1jgR2xKH4DSF0tkOn6aBC3SVHjHmMW2x4hXbC8PcfYtnAyxWCUoFkNap/54TKtH7Jan8uXfPX+x
SkGF5V3QMwXsHjHM47u7/PxzSwSO1bTBmppcyYvn6wO9wq4xpqNlYzb8Yyw6KKVX8B3zM5aHvsVm
AsTALQmQ6v2bHqHVZUNY6EdArYhGH/0MJZTooNRt2A1XXvm592HN/ANJyM6MFieVqIsgzftGJy25
q3VtXXfjlVPqXB5CgqiAPdGEVKaxuIkrxF5ynxzl6EsU7/jKs1joK6tBYEChLhxhyGjU39vQup2i
a4C6czEH84KkgM6N9Qd4Aj3nBmXSSBzdesaBO9EthrKJ3LkwzbwrEz23lJDaiQwtAoI/MK0p4psT
FVfj2Ep904JVRCX18uabX/xyY5yOsNgY9dR0iEUzQo/C52O0G3776V/sb3r6yqIxprPPF/uhH7MU
ar4URz3dYMKL9F3kX0kQz62TQ0JKC44mFSnx++2tPE8OiPtMxxxpkBQlVqTWL6/T2RHYy7S7LWmp
5Y7TIq0IpjSfjg0qm0ETrX5efv65Q4Duk0XhgDCIWbyfARpPZgPpeMTNMdqiuOtF2lbr/mKZTgeZ
J3ly3ocQsqVoivE44cljrgzjL07i0+cvXkOTjFNUukzC9PdQxJGmv7xI5zbr6fMXmzUZDQwnMGg5
uqRHAolBbEQaC89Q88pxee5t0yKgVk9S4VDner9QpoEnbB934zGOELI2ar7sfz4VinPgBoWgrfVH
JYUYa1CoFvSUofC+zfUHE+uYZLC2QFOupMfn0nM4QFKaMHVAvSy/jjQNTOS5yv44eHW20d1BrPIc
8qrMHFSijTRc495Wr/HcwzNBFu5zWw/lR8PGk2qgHo64lD50V062M6/y3W9avMrR0sHCNPymMgvX
Tfqz015K49HRr+RU526Kd+MsLtdw0NJSF1V/NKH6DfGzHiFOGa6G4ql0njtt2zefJAL2l/fpn+wR
pQyybIqwDk3lP3rKlqD2WsW4KsU4f+HimhgVSrwbmIDFsFd+spoiiLXZR2wwKrO4MvqZu96gDUgF
0iGhctTiKNHcpHc1R7VH4X6LsH0BdQfHOsvvPOtKk+bsS4TZQWuWuILw4v1nUiPbBNsh646T8TtB
eWHGxBT/j7TzWo7barr2FaEKOZxOZBJFiKLSCcoKRs4ZV/8/kP1ZM3vwD4p87RNXsYyenXr37l69
FsTOSMhdn9CF8wggUp6RsFxWPPnPDUVJPcFa16JSVR1QYA6mFce14H0B2HI92SAGL9MillZKdg6V
9HOLiiIh83FSqm2lrZWzl8wY7AaiB9IvF6EDXC1pXurl8BymuzSkFf6Doj1fn6k1E8K5QvM4pnsI
E4MDgQ/iuXfWWgZhzYRwpLQIQr1hwgRq4mN4T6udsraFl9abgjybioSvRo3hfL0hH86hDKuHZ9ho
ZGjMttcnaeXzv53GyT0YqFZWyBqf7z/Z+mMTv+5ZNW9SsOCAGDVuchLlwu1RSfLkOF5YuFL9RRo4
9qgb0Yv9qjFcGFHPpwiNS5vegqhwHdQlQf+/co4uvi+c7UCaqt42GISpRTuj+xBX5soIhH30jwWV
CeLtRrFELCeHadpBqGjTUgl70Ff0jOLv16do2QD5OkvmFoft9XyK6OxPoA2ecrftzAdq/nd2kz+U
XrZy5IQHwb/j+GNm3m0nuwktBGi74oHeTY0Ed4cYFRIvQ7sZ/Udd+RoGX6+PSti8/5jDU5FZNXlg
mcLCZ7y0c1lhVH0IN4Zlb9T6LQM6sSDMm5cbclnXMk3YmX3jUKJQzPcIz2wH60kn/R2mX66PaHGd
5sQn8HreCJpQGK99Axl22FLdSeVJCg89QKZyO3nS7XU7wsX478z9sSOcy3Ao88Io29xFy35ESL4z
90pN2yPCcdqmsxrpA8J76UoouTw40q0G7ScaOZDz3WHQid35JrujB/VRHlvvzl9DgK2ZmDfoyQYM
y1wp4K/OXQf2LfPO/xgVbzqrgFGpfDg25ZT5J5yYMAa65FAcyd3I+JB1v5zyMSz2b1idExPCzVWk
UwppXADfQz5tY8MNG3kDj1AQ/1TWHr1LGwGMlEHTOr1Z/Mf5aDLaDfUErm4XwpYtyhzvvBTeKgWa
lWTSPyupsYb9WFoh4gtaAug+nHsSzg1qmSQn+mjRB5sr+zAI9xGM2wjFba9P4ZoZwTUMuGwlgFvQ
ldSfEQQhWvnDUFdS6YtzdzIUwTnMNzMUTjQpS3Cn1bCEGYkbdpCKy/7enD5cH5AQYP4+safzJrhW
yefJ7ScMyGFt9OqTQbm5U/M9YonXDS05VX0GoCJNZNLvLQQcsprCei37tK1nxj0kUw9aEKyYWFqc
32k+w6TCc4FrsHxzjHxIX93YgeBtfD9JnyDre/0wTm0I81UpkHtrHQq16bArADMpm+vfXxvD/PdT
NzCaeoa2EYsfIn071Tun6zb1Wn18adUJkyko09moIkF1bqXTFLU0zSF1lUE9Svr7qil2Wvojf2W6
4vfuMtCoNYnVeIKLbqD2UF5XrTh1PTocjVtIDK/P1uI4TDwMUILffvN8HFra16inmqkrT8cGSlbo
UjdVcvx53cpS+AEa04KsgPQUQOpzK3ow+INV5LmLljN6r0jCfNPKO6QFd5YG1KteCzzFAuLvaSNb
TUuipdNXKS5Prlkg88wkhxXYmO4tyZi2kVRpO3lQJDQMSv3G7LoXSDPRLVeNcQ8dd7TvEPLeVHne
bpQSQSYa3aqNiizMNlSd/M6jBXV3fVqWtipQAFUHMKIrFyALqzN7ONugA1CzTzEStJP5RW3fcLef
2hD8LSycsqTI0BvIqiuV7yuYG6W1Asri8p6MQzgMkzNmfgrkzUXb8s5S+w+WNr3kqnaHUPtOteHK
16N45bm9NneCG0kVaEjRaclchJatxyrddeVbLJBd440EnIJMmLBpFXWyFFSA3ClHmLW7Dbrv2biW
Y1ocxokRYRgwMU8WhKu522UFkozhpjQqWrA+vmGjEd3Ro+vQvyk2YVuS0plo87FA+X3QT8cJCnGF
J811K0vXLsEXaTwVbB9sAecTFhWl1kJ7TozX5bsp/OjlxxTek7H8GCQ/r5uap+WkJPD7fJ+amt3a
iZOP4ExSzJZYbxg+9d2jtvL5pVXBtTsmVdO5pVA4NFZmJFbsQVTR+MmDb0MT0yP5Hdgrj/DFUYBx
mYkVYB8Ra7MWrGWF2U2cTZ3+2VyWniTb/n59ppYWhdYLY37A8m4RXW8Br4OCtHju4r3S5uAgNBsc
tWLbr5U4F+bMgUPAkWeqhdnrni9JlUP6hiZw7MbNjyTal8ohtlaWZY5whFV3aF+Hz0mGqYV75NyE
k0eSYRmgQMzib7Tg6InYOnT999ltCNm44rwvxxUfsHA9nlkUni1IEmtGzCZgnw2bWHtX+shzTObW
hAz4+jotTd/cmQVm1YHrQfQ2QQh1B/z3sduQPBwi1M3LTWqvxHeLw9EhY5hj/Jnv5XwCNdLsE/IC
iav6X4y0OMbmDdonOwXtuzeMxqDyqdkaJXWx06OtyqxDswa8jvTZAiqm2F+aciXKX5wx+iRAetIS
dYET81Wz8KeAtcmg35egEn4v97+uD2NpvuYHv0mpWNMvsjNmXoa2XekJaRMD3s5mIys0YMWESePK
MTUXfAH0ZKSYDHrryb0K0b0UNd1UwePuOkijPJVm+61MPQQ3DC1COsFLpScv896HSXiQXIhBD1Ji
HJBQh/E6KKSbZlLSL5YCmb3TTPWmBAHL+3TKviCZGt70kxr/nSAufXAm1XkHO6Z213X+eLThVt4b
NJrsLEltbmTDGFyvLiB+7/vhiFBMtGMjdW6VRP27rpfCXSX36s88aWYFFihCN1OtOT/kotWHrZrZ
7U5rWzohprL/u9GRYNZQnv9VIbL34qdG9MPPc+cmR0/uzshTaWe3SXcEyfYSdRk9sf7k34SSOR3l
PNAPECQiKiYFMLjD4g2vuR7fJPTg/Wq1LNwjY1yC2jPjAy1z0vH6si/4TA4h2DOI1CgbXDR6Qw9W
O7Eau+P4Meq28GXM0njXbSxuLc66wUOOB52Y+KsjHdp1NIzdpjwiFfw4SKDZVsaxuKcYAHkynUeE
KvjLfEqoGiTYSIt6/yhn1copvxwDuB/ml6K/AZRCrOKYJqryOiSsrjfmvyYDmugq+dwHykOqWivT
dTkUyh4gG6EY4VKGP/Lccxn50IVdEWMK8vJbaS3tJlbDCCj4PtATeC1IgV6c9DxXpjJRWqaqDaGX
DWoisRLcaQUYeeqbOz8f7odK/jZ6NlqX01HV8i9yFK9k/5YmlDuaagK4KZt+5PNRymjAIqvDxoN1
0h0gf5A7kgpGXt+Ax95e34CXQfs84j+21HNbBrz3mhFqsYu83iFXoFen/3hqgF5/sCv7XbR2JSyu
INkleIxoartIMvZtZek8RpjhzjsUPn0+qvnq/T7XxgA/yzI1GaKe8yEh9OI0NtlMN0YoWPV/1Wmx
MmmLg6DngzelxjjEJFkXSBkyiVrkTihP3yGHc31NltYfYhX4Tn43Z4iUIL5UqbmBeKKbBu37JIGV
ADESaP2ij5VtrQSfi7ZoIgDPStn9ArfTy6oTO6UXuR7o/vup4wFcWfWw65C73AUwzrrXx3Z5Xdvz
TerwmqKR+QJiA1LBc5wedT5dPcY2wBFScYfrJpZWB8qROR3DI8cSUWoo6iC6YeWYGHzr4FtqsW9V
r195UV/eDgyEOJPuC5ARPNzPd1meKDpC31nsJpm6l9NPRvndng4KtScfbv7rI1q0RU8mODEZz2QI
tuqmMpHUDWJy2mn30SSvuTV4bVNL0zzvKI+O9UHt9OgtS3ViVXANDoGH4qUsVRMMN3MEsTW1FgVM
Gwqv6+Nb3BTQgujEogovofnvJ+84Pxlj5Cn82DXyrxlV2qj/oJor2JIFG2w3IIX0CzCLYmTdD7aG
2J0TuiHvuKnbORm6f2uVgYWtd2Zk/vvpQOyeGmSEkfQvHb2siMTHq2dKMSEeZlmA2V28FeWRjrkC
7n23QNuvaeTPxZi8U/125cGzNA6LaueM8AdEJqIYoN1GXi9RGccntX6Rwufro1j8PF0QDmA7UqSm
cI2jWdIQVPN5DxZq80aN11qKli5yXp+stKbPnbliTDKMaT2p8hC6UH6MqNJJzyAdUIAg/tyWJeG7
NeTfK8kw0GhGIjfLm+zORoXoARksgChvGK4Biwg9Ezy+xTRkJo0zi48euoMq7bqhewdG9+W6iYVr
HIosSpJzGvGyTjT2lVKOEhsv0T6ZKIYlsn4M6ocycnZKoO6KV4I35kAJe1zf3H86dXEhKxYUZtKh
NRLB+FJ9SI0K2XM6p3r/y/VhLdxO9KLLxDlUOhaqUd4wtk2hhW7lVTd+J38Lcu/WmQY3bPWv100t
+QcaRRkKDuySI9quw8zIQzt0rXJnIdOWP/b168MGMmJ/TAjeoZzjcLlgkWgazRGe0sggROgYXh/I
4uE6sSI4U8QSfdlHLdYN4xtVezT6m//t+/Oanfi4FBXOvLb5/mSlyKwNT0burwQlS0Ng1eGjApWi
wtl9bqI2tM7j3Yv7yfYIu69dbAvXKWBJkiwazo23nfB5X6vxr7pNnq1B0OJetZ+d8LM83Fva6yOR
mbSOlwpRwmXClSRp1AxNHLjdJB06uGjhzFthr1uaKl6pVLoZymUuxyjjxpmfkG7wMQdH9f31a336
dWGtE2dE+Cvk606zzbOHei1bKDIN/PYjpwbmpTrZTFUBE4QBIZEbKGjVIvkdI6glReM+T4b3NMSM
m7Qdfo1d887XhxcUI1YGuHRRAH2yYOlmt8EdJOwFfH7SjAhLuH6svje6p6L5nkntJzXpUQMJk22k
Ib7QKHtNiQ6zNnWMGMSr5/j0F4gQrwER8FLP+AW1qT/JuffShc7tdRMLvg0NBOpL7BFEEXRhGX1T
L/u+Un1XdhAMf5dW7ui8PljEBI0UiAPOjZSCbwtss7QSzfRddPXq9G7S7iRvf30Uy2tFPyhBgwa5
h8g6boZG3Go6coYSeghfkaEvd8OodDeS3UgPEPX5R90gR5RbnrQFWJpvglJH3Gr0pdtYQ/Dn+s9Z
nFSuQaq/8wtAfAT2Ra5W8mAEbqM8JekXo/zl5ysPQRETPB8PdeatsxxemsTFwvHIU7kjMs5CF3/7
k6Llj8DXt3HzqylbWujT+zarXrQYrbBgFpS6Pr4Fz0JymJgFlKnKtSjYbmwkm7TYDly7C7fD5ykM
Vq7DxQk8MSBEgVJFx8joWYGLNL0SP4QFZckVysHFMdhz+yg188vSSiv3NBLUBYHmhOppoyDK9vEN
s2TPNN0YwJIQCNlxmzW11IWuj6DONtYGRIuSdA2VszyOP1bmv5+4yQbNs6zosRJ1qAeCYWlLdWW5
FyJIesYdcyako2Quvmedws4dq0pDktwlQq3hSNQfTV11P01BfDMWyvjekX11p1nDWlZvdj/nBR12
OWz489OPN7tYnCp1MOa9TrAulehVDc1dYk8f1b578Ud9ZUMs7rkTU8Ke8wbwrlmNKUB03qZroWlT
86nf2uhvrmzvxTWjngfHFWU36AXP12wyck2KMqJ+qz1mz3GzEoYtTRoEEPaMdAO7bws5AS+M/QJp
tNAdtWOSD4+29qAk7RbZxcP1Hb5mSD0fhyZPOgLOGKqSF6/V76X6AxKqt4mzBtdYmjB4QemTQ+yK
d6cArvSGqEFbXApcLzlW6s24krBZ/DzJE3IMqIdcdODD6xyjJsnna+exf/HKN1yAFFfBcJCWJpsv
7CzKRoUSjUXgAv/3d9bkFy+0pPQPCMPqKztr8SJUDCp4pG6BaIm5jALFMnrh1cAda6nZehnYwCGO
q0fLa1CH1FDYCsLgOJjhjhRVtzOigk5vpPZ+aX3rrKQKlk7U3PQ3czTPHUjCPoyzqDMUz/Zdc7Dv
FTRkk87bBa/sKf99EfISxMNyE5ECE8K0IC2yAD3MwJXz5ocd0Uo5Ob/ikpJXU79lQDQfAbeCNeiC
Oy6feyl7OwpcJXa6fV+OxfvWKLO7vuxfSQrxz6jwENzvOF6S4udHC+nhrhxD1jEw2+F9nQCTMcon
ozbHnT8o6rvKL2cig3JceTQsbiCa99Q5WKNxQWyydaTQLOVoCABGZU9FQNtPZWxoikO7stg1FAIT
C3lfq3acrac2u57aACKQr4fq0vtD9+3cagk2QcSjREFuF1ORpDy5C8rqaOZ9Ldfe3Eve68SGJTiV
wqssdI+xMbTHvEfR1kQLdrxFRH7lUC65FyAi8gzRg3RDrBaqNuJ78HhTJI5vLH1rpc+vd8Mzyy7c
MdyQNOKd7xU44MZqNKPUTYLuWJdfKBpulOaT2rzhhpzbrukLU/AxohCOr8bSCFlA6mpIHCLVvAU+
LYHfef1oeCbgw2hPJhOonY/G0PzMd+IudavxMLPt2rcNsNm17ralxT+1Mq/ZSdgUDXmVaVqfuj3q
3pVR7ZLhrygINpn08w3DIVsBLJdmb0t8/XSynqEYLSdupO0sNEadjZf/NTbDyqwt+VpyFvNLjhzV
ReLCA4NQmWWduK3SthunSh9zrfnWGvHKu2PJDjbo+SSFysNJ8EtROGjOYLVgKiZYj3MNjlbNQRYw
rV+uz9uiIzq1JNyaABa6ylGGxEXS/JDBABvJ9kMvOYgbG7dhaO5MXz5Mk/08mejCJ+GLnisrB2vp
4M4JRo4WBcMLAn6/jmpFSqbEtezmG2w3T3mwBnb+neEVI1xKDnQGAooCGSdckkoBqcEYZqnrlMZH
vZx28RTu+pLhxVCu2bQtJUjEWf3woAHEiQfnLs2j22GV0W9xYYnuKYrSJHCZ7YgmNUVPPHVztWx2
tVTuptYOdjVw3+sLu2iI1sHf0DliFMFbxWkchm2Lt+qHOPqYGaF/6Ip2zFlD/w3pdUrJNLqb8hwa
iLdoPEH7bzZMrlIfnccmeUPcePp5YYumnuUZ7cAN0inmpvftTfv5+lzNp+lic8DpO/fgUbkWq19V
1KIQrfqp6xfTT6u4cxB6TrM7bTL2fd3srxtbXBiblhIyC/oltkBxfIhtHMCGlv2e1pKNXL9PLGNl
9ZVlKwRrRDa09Yr1o7oNnaRMaxTOdDnZOPn03vDsox1GB93vDnoY74vNuGmLna7uVESM80B57+XB
Td32zcq9PEeG4uwaOOYZVEecKlImD4FZoFyc0kGT0DoDRKbZBtpUHJBiR37W6tJt5iMs12bOi4Wy
9cpMLK0tZTTEe8guXlJwpJ7X+5lSIl6XNDfOqHwtczNC2scp9kNp/d0GifSGBaYgY/1GkwL2EW7W
SO672KOY4Y7Swwz4ccIvuvrX9U20dK8aeBBgjzPXh+jOCnPym25gTjUb4eu9EhxUmBW7N2Qt54ws
dEVkz7mIzm9vy3ekICn11KWAeCyb9NjLyuOUhLvrg5nP78UGIcVFemgOhy313AxUEwT6jpO6qfLV
MYOt5/+S624TWF9a2u1bZVzZEkv3DX3V/9kTFkjXuiigIR53hVay8beqru25JQNzQQB2ERjJAUCc
DyjvOP2lEc9Rwm3o3xtP1+dr8fPgN6DmIwLh5jz/fJraHY8ZOyZq7zcmzGwF7K3/kwkxJU6ufYp9
G4RvFjTp7TiUySOE4f2KlcXsKrHaTAuA8NaF7AO+ZqzkCpyVEabW19EbwhsplNKtoXf9DYwB8RFl
ZuW2bBIPCE6IuHo7JmtYoiVXSdqc0i2pZDylEGv5XdkmjdkRa0nTFtDNl3gabrJkWBns0qoRz6F8
B8qcgpSwKawpCJUpnTvgkOiAom2LPvbrF+3UwvwLToLt0a+zIImwQPRrJ5vGOLzl+w5Nb7N8mS4L
3ze82g6sXErcyX6X7Nph5d2zdE9Q0J77lKnRXxBhJFreRXVBbN3pD3bUbOB02nYgXbiZAunBQaLe
UFZGtORGT00KDs4n0A9zB7Bv46cbWB22aXWrUsXT1th0FuPPU0vCJpv0Bqhd2vA4Da2brIpvMt3c
t2l0mImnejPPNonl39n1uHGk5nOWmbvMlj62XrSSeFjchQTAhNFciReEH5ZvdX7e87DQh/oF9o87
kOg3r98mtFJQHiLs5B9hoxulZOZFCoST1q/go+2l3r1tdcOn61aWLo2ZNpnYhp79CyLXLgczM9pT
7A7msAv8Fz0i+/ouNx6gPoRV+MN1a0tRBOEauSgYYqwLnjJfhjp5SEG0aXD+borOuUkT5zaIk3d+
rN07Sbf2PF+qy5LM+GNROGyOVFM/j0C3jVH9rivSYJvJ1d3YTXQlpO39UPoHCUr9sYLX0bb0cmM1
a1IUS3vl9CfMjvPEn6jpOE0hylpuXW0GbRekK4/c5e8TB6PZQWVNRNlCUWl7jlJyj/kf1OTHJK1R
gyx5dvpU/jMgBBZGEzdSVLFqYTp6wHez21ZOfmj6GqvDkhuh6xBADqqOEPMJb61koDoUSOD0fHr8
NsbUflDScavFyV96uMZrtTgmgDizODBtleJtZWeB1dJGGLukjt5Zo/4x1KFK07Kfb9jwJ2aEN1c8
2GNq1kydYXqbwFe3vkzznT9reGTwYx6uW1sblBDRKHImDYbOoApT2QVNsCmCchOa3/4XK4YsLFOL
h02TnP0sdfe2f5Cr97n1eowj++3/Vgcah/MjA43Avyas6kbtj/VPdS2jtuj3TiwIe7qo0qqxZk+U
aO3DEChfU2COVWrQV+a9t/z+uVbX2viXt/fM28TWhr9J8ANmkBR25ECIVTkszDHOUXDb1G8AjVNF
A8wNxBZtYzE+os7SS3YJLt2RvsRPdv75+uIvDoLuC3KE1ty4JqyMVxutkwdF7HaFSt7W62592bgZ
Wppvqmzl3bRmS1ijIWvs1BxrHJu2VYcbvd/0kLVNK2WSxTvpZETCPVsGNtDTlBFZnhNtymDYNZX+
0E32bcyV243T2rtpcVgk1sF+AGGhTHy+uVO7KUa5otEr6O6SuZll3FaWREr3LfeCYcwbjnQ71cJz
Oz4KhaZapolrD7dKeJOshMmLzobOkrlxEZY7S7hZrdikxSTg+VQ5f8nSB6340UWf3rDZLN5g/Kuq
Fy1xXlHUbRIygibdTsZtlGy69IaW++tWFu9PZ4YK0Acx17jP5yn3taTz5/VAvfFXmsv7XDJ+XDex
uOSwtdF/S9cqaZRzE5IXOpCERYkbj9vc2PrTxqS0ufZeXvBpZH6hPoACnjKtmH8Dv+/JErGuq7Tl
LaNVN2PTVJuyNz7Ug/3OyqRPYzStVbsX3htnVuexn4Q3OcAz0/LBvINZeqQZ7g7nsdWN9rnOpr/V
QfpLKtpDHqy1LSxsv1kMhcQNUQ/5G2HVssLou8Smg8q276sCoQX/3gTqdn3dFo3Mz6h/SrYi8ZMP
1tlIbR7WpXacpkfJeQzD43UTC7uPV/uMgWf38V4T3E/RtElWVCYXUbKtt934+s199nnhlNpZVsSq
x+enEHasu9J6vZOZ1dbBhQJsBrYpOLOmC8Yk08FPQwRcjdtsJRBYmp3TzwvxU4vKdz2YfN5P90n0
AuvGygovnEwY3vn5M1qIVLKwjWiG91QnAtzCO52nK9pQanAzhrwOyjU+gUVTYPnnVNZMqyisdJgO
Rala4E8sPdiUmb+r1b/lwd8M6ppK4JIjAEjDuSC0BWAoxIFeHFVyFrQhEA4a5RPzRm7gdxodKpOF
tFej8Bj19afr+3jpqHCyGRq1p8vq05RoHTl0EGoqnOkDaul9Xb3049rlubQhDCikSGGbuDqxBUFR
88LWwwjQdun606P2+uNCczTtymRQVRQnhPCmm0K1yFp1cNXqYH8N14oWS8/Rs+8LF0Fq96VVSuD+
JeM2NoxDoT/C+V8j8aCkd53z0a++TDM5rL67vjoLQQ5tMGTRgXiShhZTqWnmFPSqaT3digjF9D8S
7T6VbuHSLta0qxf2HhUsMj5zJnIm+jm/Dqy00zLZ93toRlypvR+jeFNM39TqqRw/y3m5sl4Luw5r
gFzw0ERTYn1GS5Nw7FCQdFMneCdF5lOdGS9h0+2vT9/CrmNPAzvmbToTQgjLNpTGZCDu0+Gku80Y
fHLe0Kd0ZkDwDY7TqGPZtbSm55s2P+jTyvovzNPZ9+cBnlzSNW3TJIP5vp1+96XdIO8t/+f1OVpY
+DMT8084MRF5dupbUz8P4aPch7siaXA1j6ac7O3svsjklSEtbOkze0Lc0XhN0Bvm0PHQsTajSuaP
SJ1fcIibp2pNuHCeH6G2Ao6PNlliDvqexNRE6LR9AuVf50bVs3FUuo+vn7vTzwuHpm1l3UstPj8m
cKkfowYV9sfa2NbBsXw99SMQYuqzRIhzU7H4DPUdI63tMu9crX9UmnRXTp98da3wsXDX2TOOjqAG
8r0LMJ2aQpulV2rreuauy6EC0o1Na3ub0e5fHz/ZPEIAj3K1XlZoJTuOVDQdWzcIsk2o/5hW7rWl
lT/5vrjyRSZ1tN8mrds8IRv5WnXFGTl3+vM1YeV7rUhjv+Hna8BEovtpuKvLlRBtYS1o3QEbpyom
VSKRNqGuB7mBALtBxfeOuyXRbvLpMV3Dpy1wlNmYoexgA+vhqhdc2BgnqaKkauPaOmoa/bDxyi+Z
991TP/XJCyJyn4IbEq3WU/BLsreBeaA/xlgTJRDcHDB/uqX/kBj/vn5PfJBuNungtbAMG80+ku4z
a5utdY0Js3lhQrgK5JzuPRpdhmf/U9VsJtx1C53Gim8TNt2FEWEup6nJnDqohufW2vVRBHf5r+sO
Z83A/PeTiQqVoO7IdsP2PHyTvifZ32/4PEefQIPiAu+a888HTaHbdQ65t4RbbumDfi0X8z8zdGJB
GICql75cZ1gIi616q8X7twyAB41DJROmKWGV01HVsymo++diKrdymG7XJCuF2+vf3/+fAUsI0Us7
6Wzdq/pn23rk5Tcggg3z5k4aNrm9UqsSi2a/bQHmI/b7jaYQG3zyIZqcieaw56R6Voy9391q0YtT
HDv1obG0faMe/bDcGaB00nITWSsOVIgLZuuzDgKFSCBNPNeFkRa+luWVGpbPKrBch5aPfkb3D88D
+MWCWvi0tnYLU0tug6SXTRhKW+/895O9Dednwx+c4llJoT7xbnQiw2rYVGWwiU1tc32jCNmP36M7
NTaP/sRYaWuen2p28QxL5ybP7rr2INWun/yMgxcr1jbmsPZEWZrPU4vCfCaG0rdB6BXPXpZ8qRsc
UKAemnq8ozFwU9JoqE798/VBLngL8mLk4Xi7sIhiTB/WTukMslI8Q001/sxXvr7gUc++Lpw1rZPU
rLX4evc+GT6N1q0SH53s5foQxJfXPwt1MgbBJdW9k+mVhpVxvOmhP9LDz7Uf7lrn78o8BI6zkYaj
V9/VQMmuW16bPMFTGdVAFnvAcNFuWxS/XskafzGw+U482YFSXZfpVPJ90CtNuvHXsP3z/38S+v7+
PunXGQIJHR616PPve0HKw0fx8meDB3H5oNp3Vfz99VMEpRM4HFDndP8LFaWk6axQozzynDxI0854
JWTk3xH8+bwQY8lWpIXjmBbPsNx13ZeuXUsTLi0xdwRkMARAdHvPO/xkCVrwXLokafkzbV5O/eSt
8vYvuTTCRFpeITWnBVAYQTbWUAyjaPIc5vk9REqHJoK73yg2fm3v1WItt7p0IonlLGgtdI3jLnhQ
JOqyBq4UNIftD1LubdMcnIr8bK1UXhZ2lgHflj4XJxSYyYSdlYRS4Rd1Vj6Hf/uwhP7Q1tZlwVWS
beciMKF2oCAmnPkJDjqpmZLyOYnieFNJ+l3ex/uobQ+9o+yqotnGUv36435mUzju8dy+yVO4fC7T
X54kgal4g0LZmQVh2lIFunG1Z1QF1Xg7PcR2tjKGhe12ZkHYz2lv521UMoa4qunAOrTdRq6OIOgt
8/P1k7+0BUBEzgkcruuLZpPalqyh9/zy2Rie7eZd6W1a43jdhIiOm48/RDP/2RAh3IPUlX2kc2FW
Nc0ZwdaQXhKHrgPzSffep91TRKeSunZLL7gE+rt+N0aZcyZWuKXlvDPjCcamZ93egRjWmt31Ua18
X+yiCckXpUXF9xP7na7t6uHX9e8vuIDT3+8IHifowkoxfb14DppZp1K1d3H8wGT9b1bUc8fpB13e
+6GGlZRcxy0gao82QHPlAbw2V4IbiFWpTFqbsXRd86XU8geviG6uD2TNxPz3kxsAEdfyn+kqgj15
G2RCrn9/bTmEMw+NZK3nGhM11chH7qXyzpfg1145jWujEM6953mNXMpYsfxjmmxRGrg+irXvz37n
ZJbavFXlzJ9DIZ6eG6eF7mngJvt03cr8FSFgOdu6Qkhe1cVkdimjiMttJz+oMM3Lhyh6itaUvcXu
gH88y59DLtK75JBOaVrKIXQQiQz96NhPSbKxIR9UtVDfx7ZX7KdYPXpyfGtL7UZ16s9JKN+UUv7Q
d6CBusD6en3w1zcKBefzKY5yxfOijCnO032QbWkqjb82a3JUYreTMHDaS8+tTGUayknMifJaRdkR
/CQbjxzcLq7DfhMUybQh3PsQs9hIb0zVxg7tYdM6MKf7Njyt14e8vKvg69QBjQEtFHaVEphO2Ze8
97zqAKhGald27dL7mQ31x4CwoZyiUCZi+OI50qoPVtzsQ12iB8TalPDI6AjoSLpz6AYAqIxSpekK
KbNjVcru9XEuL+2fnyFcKZMcT4jKco/l7YPVQdxcaJuBwt4Ur/EYLJ+g/yyZwibKAq03jQpLk/5p
Cu5z+SkLbnL/vlkrVC5e/39mVnxYOpZXtShF4ZnVXVyiVr/hUFyfteXr/8SGcMeAfu8zL+OFXqJA
ZCovZv5Ypo+h/E4vHir52Pvfx2DcXze6GHie2BRuHKUxUxRN2JKDl300nH4jB/FWav3bOs73im1+
7NVg5RSsTeV8Sk58q68CKyKnRMDh0Hv3CNe2pr/ptv6zLYRLyGpKU61mE5Km7JWqBdTo3455fah6
63B9Av8/HuaPrfkwnAxn8kdEmkuDyCB4bNSfqf5iWZ96r9rItAs7YI3UF2f8lhhH0Ekr0e/KOTMF
f2LVfpd0GpuyVo51c5Cdl8zbx+3KCBfXa+b5pnndoAVFGKCUaMWUNRPrZdVb+FDadrvit2Z/cHEP
nlgQxmF7hhqlPreTUd067Y0O+XbxMZYOZbD3lfuxfh1U45874cSc4CU1+l9b0+q5doFTFxsSfde3
xKKbP/m+4P6KBJ6Q0GTCyvj4uVm7RFYmS0xBIPscy6PCZAXKjjxa9RT6v7xwY+UP/vYtGtNATv5b
e7Hok1hhR/M9QzHUYDMk/iZYuSpWNpcm+Dyon/XabEdOanJo/WdDfj+sNbWtLIeIZomTbgiilgnL
aUn/0EVrYLblIcCuizYULU1iOalQ02gYHUIMrbrxkDxq7aO/CsVcHsQfI/PfT7wMpNGOljRzWF3d
jNFTb9y8Zc/++b7gMTslrdss5/ujcTDC21RZudwWXRUY0v+bJMGJ1H2cExYwSUrtxtKdFXxV/aO1
qoSythaCJ7EcyhN2PE+Tv4+gkYMa2F453fMnLp0VWmAUKQEvikg7j9Jd35dUCexhL/V/x9nRiMqt
an3LeSlcX5TlSftjSricOzRhw94g5+BHN6P+uem+tDmFgjVk3PKk/TEj7K3MUoLeSgmiav+LmW8l
8z6OD9dHsjZpwvZS2yyKM5Mwo28eSnuftP1GD+7oL9uar6TF+9e7/xmNsNPGMjNN+XeixtkkUJCl
W6l/y7pA2wVfDf9cNBCmfUH3gjkHamW887UHO3uXl+/MdqU/bunMwwYB3AIQ3qVK1QDqv2ijAecb
7NvhKK+t+2LAeWpAcL4W8p1J5HERttVDnH5v82NitZuw+9BYrlH/gJBml3crg1ra06c2hT1dwog+
hHZXPJvGIcs2HjoSFoyjn1+/306tCFuawlIQKy0jU6XP5XiM0p3XHUJlN6krG3ttOMLGThszquqk
JlHgeM9p09+VZXVIlEDfxNm4EtUuxeqngxJ2tmW1Rpo3DAopMaJ0L76bhr067Hr5yVZfrk/g2rgE
R6oMtL9N/4+0K+txG2e2v0iA9uVVstx2r2nZnU7yIqQniURR+y79+nvYH3DHogQTzjzMvDSiMsli
sZZTp3qsS1F3E3k2h8M8PtHxL/LqlyviPLG8kxttSqHhTepamOM3IW/7Fw+Pjs5vzAYH2mNF4KJU
8uhQGy9CZ2LOb1kGCoA9BJ6lZduimWLbm/b/svhUZ9GF4JBi3lJ9jA6y5krgHbiNGuPTul0sh892
SvkEPpEOWRM7u1PaZ1v/Cz/g8vucSegiAnBawrIyaezK1c+mjgQHsm3V/t0kzgDMYzt2SQwJ1knD
fKLv1/VW9HXu4ndgJwfYAv5kVtyZjZ//zZN8uT/cfe+yiEZmxNRJPoC01qRf6vKDxAIgBPsK72Nc
SuFuugFyskQ15fIUFV8y+lUmAaY2/LeN4i44mSwrrydcvXHaR5onKsRvZhwvl8BdbVDs0t4Jccwd
pbsqIbuIfo0JcfPyQcq+6GO2R6cEGlk/9PG+V59i57em7TNDFCKL9IGLxYoG/RJWhCvZAcTRsh7A
0/V9vH7n0S63dMyjsuy0iAUwqvI66geS7cf4RRH1F11fBqjbllJCuGcYhggpGiI97aCJ5p+Ivs9d
e8UkQ1qXiJHUymv6Y1r+jaHX0EEGiOXnFN3l7wfoz7TTskaYl/WvcqK59lh/hKWIUXVzGRdiuGUU
RFEnU8Or1dRfavIeGqJmTJEAzniRSU2qGDt1Gkq8Ve1vs/h2XZ1EAtjfL+K82W4H8LxgBRjSq8xu
J8JgbKor6PJABIdqOYDoy+/3SgL81QQfQsm8pHZT806R/HQQRPUiKZz9UiVw+w8Newht4o6KPxjf
C7j8YOMXPCYiQZwVc/qc9DEGp52iCAOno7Oen3tdd6fh618cC9wHdF/CLGl8/WQaWmrNCcz+DAg3
mr9Rzb6Rv+t/L/v/iwA+Y3kyBZVTEs6w+bKD1I47h++1qD6wqVwXIjgrkll9mAKpCAfyH7AKtL//
yx5BzHIBoSXZ4zghxG+jAOg8KjC0oh/PXb1aqvVKzXEEknWXawdhqmtTlS42h7t5YaupNbGgs7l5
Z++L76+aqBi1+apfSODuXlT2WWWySriRelPyjAJyIXqNtjeJTcnCvDZwjXJKJE8tUEsGFoFiOB08
KqxRbK4BFwA0RJjaAVu+PGTMnZuylFbIE2E4YkVG1xweiPmM2XN7hYBHhfQYahlY7cds3NPwsWw0
N3EeAbd0ryub6Hdw77o2tFXa9CV+R/hlavdm8w0Qk+sitvaSjcTAiwUSH0Tgy6XmSdjmRj9kwBYp
ByfNMS7793UJW4u4lMDdmCKcs9Hp+uw0a3+i4lmvjposQsisZKDllE3mUsFOBTY2PjtppCFovaem
eKOlRA5xEZkYRGxZx3LCENfry1HY4S/c1k9Z6NaARPAd8kWykVqynBZz8ZY1qpckOaZ+e3nW7Lrs
0DWPXaq5BaYPNVPpFS0N0glTNcuDQvJHnZZuaKG9jFAA4mXBQbJHgP9ZGNADXA1moGsrCpw67eZJ
KvvqLWosVzNbX0rOBbDESvK7tQWOzsqKYAsuZXFWBLwwdmVlY/Vm2++xQ12QHHlxoroEXa3Xd3vr
YC8lsb9feAqTbNKqQjn5zYxCf4oTF6rqD+BPuy5mc/MwHBWVH0a1y3OPwaRnRldU1Zuc/5bH0suU
FxJF7oTBr3kR7a4LW1057B6m1kJNMfwTnBfclausMCGqNpVv1Cy+Gi156OmNHPGfLdiXIrg7B95A
U5dQ/HkL2+KDSvahC0NBnmZjFaAMBhkS/kO332dodHEy+tRXBugky7eWyl75bueiDpYNJVsIYH+/
EICCA0ZLJ0X5piahS4d7WI39ODi+IXpz18VNG8ypF0vh/KsIRQfQAVAcCPgklfhRcVo3GeHJ1c1u
Lo5JpOyTtt1paXzXgZOC1reW6tA4h25GjIkBETlgd5yZr4zC6tGRX7xpc36MsdhOFkCuNvSbYezR
+MVmY4LqabmXVlYqBqbUgTp+DO/6BNSA4TC7vSQBttAYoVs0IqrfDfUAFT6AtshJAVzCz16wJTuK
EwwPfsslFS/0xyjyvrcEmGBWQHuz6rChqtySeozqTAyjeOvaH1Nc+b1jHK/f0w0FREuegR5Dmw3q
5TetpX1bhKFevGHA2yi/ujuFfL0ugR0sZ7MhATNYEI6gY47nu0zRA0rHQi7eQGvgYZaOa5J/cqN5
aEHTpwymp9j+OAlir+1V/SuTMw10bLUU403xVI7Ea/Wglc9EyT1jvLu+tk05YPEA1hdbB8zv8nwy
0PLafdtBqYG2Gsa59qMEaLyhtHovS4RVpI2HAiT+aCjQAF0GOwmnDjGYSdJqSunbPFQot6T+ABBU
JYsmZm5pHXxO3FX08aO7jrPdUkdzyQExzVtsHKddUQhUTvR57nDUKJ47EMMlb2Va5xhbo5f3lilM
76336hPnjSZt1j+wmjBUT5kqocEgfmuHeC/FuQ/aAr9WeoGntHaUwEdkWoARg1heWc2UrLWxwCj6
sX1Dy9ku0Q4T/WHFoCN5kJ19nn5cV7f1zsEYGGjfRHsTAOw8i09jZt1sRvAApynyOsC8iWA1axNq
wtcDwwloKQBg59HxvVV03QAyN+Bc9L0xfC3SxwTE8tr8wxq+37yWhSju6owDKdu6tMq3zHSdzK1E
LSQbe6UACgmGEMC81yT5INihWgMA7luShYNrS2bqNrWIxmd9/6E1IG6AabbhIPBEKlCrZGrltntr
451c7s36MEaeXQtOZWMp6IxgXi+mr8CrYRb2wklogGZUyDDHbyBEVp/rMc98w8bEp1sPBIMRGIgV
zg4mJPAAPANB2FyHVQg+iNbYYW5y3YgYIdYLWYrgDIstx9KgxF14NuIgG0/N4b+tgDMsmIc6VWhr
Ds/lp9am9Oa2KsSP6FBhdPcgtsCEh+VB6DkmCI9tZZ+VrvT7L1Gj+zevYCGAuxSYf9v1dVTb52bM
3blFxu3Wmi23As4LrDWQaCDasM9j0eyA1nFTl86Di5T07vpK1uaX+RMINhRQXYNLlEtfEDrIU17a
2Vs+PUx5TF1tQsJbvV1pl2I4jZrGoZgUzcre1DvGogbuVME61ir7OSQKaRjw42PcC+dUapMqz/Xg
0Dc0HLv2oZdFCISNjWI000hF4orD0+OP3AhDqnUSfTPSFzSKJcoP0p2un8XaSuHBUOD9m2jIx9xw
bpPyRgFzot1TnEWLlluv0L029kuH3mynlnK4+5coYTo5EeSEBtgGf5LEca8vZOMwFgvhDsOmFkiG
JwgoRwTKo+4p5NaiLLjFdSQ92EAmsNPyXXU0qrRJ6c3hrGHueVHt7Fk0tXN13pAAKgyoC3sxMB9k
aUMy2ylGOx3Gs97t2mgXWf5QC7zS1TYtRfB3D6FWkptgQzgrqMy9OFQQFK/Uifs8p05JG1qRPeDz
oXLf/QnBkGeX98XNfRtMChui4zCKr9VgitSgmZlMkELuJYxBGNDRf12ZtpbB4lCUNmGpVp2Aozw3
DdHm/jy99uaxD9/C6b2LBfq0bgHGUwEThV5W1ma66snKIT407UEF6UHlT4PxkPWVp4MuZu5a39QH
T5LCvT7pfwq0h8mS6MVdF28/5WMgF8JHzBnjGxXyao4Su8rU0+ikbmkoO007pNPkoYYHFvP7Mn7q
p0fSRp4y3YUGHhxyMNugE9np9WazbcBug7rVWVOepVWMCBDzF09WEXnt1GNqSrqz0OOXj7c6AWzB
oIGSVTCooH+VsxEV+iDkuJrUk/Eu9wfZuDWNwX2e3b0LX2weFH1IS3xeG0YfUP64rQS3d1tloC+Y
HSoj38vTBIOEu7ExgwArGBDhDZghhNbxkPi6g34IH1jh0tzng+WWwh6MtW3C3l1IZsHOxeLCeaBa
OuvqqZHv6/lpiB4w0vv6rVvbJohAoIzlMXJNfnFo8Ky6IlbVE2nc3vKoiHRqQ9Ew9BW3GhxAuNa8
eQVRShiV8NlR1fDb6pA+NNXBEmUeN/aJZR8VHA6Qo3i+l/ukh5IWEy3XT1I9HInUPxJtfKqqeX99
r9hTsMicOGhOR2+3jeACM2d4v5/Wsdwqcq0DJfa904+G9gfUh27ovDTqPq2ASJJFzcsbpwOAlYLe
aFxTdDZxC6vaOc+dXDNOBQbW1urrWN38duBYdBWmAIEmShichs21VY9VGJunJn4d+tktftTAdJbG
+frObawD9hYDjWDxGDcQtw5Dmy2rSCXj1Dt7VfI0wSpEn+dWQVWnQtYWn2/kVwPpFyriB94SoGFU
4ieDCSZOcE9sXWHOlByGxskEN9svi4pKARsKzFJ+oNGVWTWFP2fqhH2dd6l5ouNbTUJwRCg7xxK8
fRuLAHcdVBjM+2xwNvsRF9bEyWYUqorRPMmA0juFl4rY3zYEYEISYm9UYmVUxdjfLwSAf40oI8gN
T7qy7+KdLpqbufF9JEGw+xijw3gWOFctV+VBi5HLO2VoxkFd0U/8W9VUQ1YefGVshCM7jeUCzM6p
0hETLk9auGtyr0pvfqwW3185giEeqhT5hJOsPLS/00Jgn9a2VnMY+oTdY8wY0rj9z52hsVpTCU9D
RtzKmZ+dsXm2+h+WaILzWl2XgjhN0ms77sE0Fp6SyC/updFPbvYFkcTBdQNTJajjVlm8UbXiHoOs
gDpxck9Jvpv6W9S7SiPfGiExPg3IQIgBQo0VTVCLhm0l0cvojLG2efgQ66ebFQrfR8lN1dC+Aq9v
qVAp5tpWTddGZ2QGaX9IRERk6xuB+RmgZAHXGhyslcLaAzap0Eh0loY8MNrxniqFqMYrkMErbQ5e
nqgZIGNCD+8g7x1LpLdrCYCmI57HmCfcarjFy11yssSRcnALn9odwNetSFuZ9V8+28vPs2tzYZY0
leQxkiL2aaL+oI6elsme1j23muWFmuJFt4d7kAdvRMME5Q3fuo1IWfUqcU5Rbu/N1tkL7Pj69i2/
z63HdOa0ycsQ65ldrdqF3ZN8+3u3FMG/1yDD1xQKEaq5l1q3VI/X7wX79/yRYFQwvCiww2GsIvee
hvPYRLNFpZM6j14xwe8sDnZ0GMJnJ4xu9nCRJ7qQxWVBRkLTepwgy8as73jn5CK4wIb6AsKioo6P
4BF1R34xVg/OY8kIT/bXBBNk5FjET70l4DNaA5YT/gFfE5QjvbcMjHg/NfeF7vizNvjXj2PjhuiX
AtgPuLghNVAVTR024UlJ6F3UWfdFvzeyXa3uTLU9hJoteKg2NHghj7vwpjSCL55iQakh/4ppdyBx
dpjS9Pf1ZW3tmw7QAcjDQXcMbqblsrqxymuSYVkg3QfjhynI3W5+3oHdQg0IxSa+gp5kOgFYoAxP
cfM9R8N/fnPdD7EG0EVge5IVG14Vp1gDUZrKtPPwVPdASu0rVYCo2VqApcpsxDOoflapL6J3U2c2
jnHS6l2veGm6u77/W8eMSIklnE28f3yesy8APIhKUz+lUf5M9fRR1bq7qHIEOIOtZVyK4S94XGMK
F8JDcPvs5H9kUVci0xLOVgHx9+8quASGYcTg8EGAe8pBA1kR6s1W4kUGHioRaeHmfoExANYKc5HR
nrbU1xYMVUmRJAaaEucPmTpPDTqD2iS5u34sm/tlIq+qIZIFLIMz7j3GDVjVQM2T0rdeU+yH1Pqb
g8cISubEIRrny/DgyiAlKJ2gWPO8q8oK/KX+JDIim8u4EMItQ5ezVB96CNFNx23s14zcWoBjof6F
AC6qLJPcplEEAd2EiXZW4v6Fo7AQwIUbclOge4NtE9jLds6T5dwezzDOMzZiHeVpZG05hZKLNNHj
0NJOWjEfByL5cymIvDdUdiGBM7Eq+MRD+HbaKZTep8av08PtqgTjimnCaG9AkY/PueCmlqrcEvMU
heNRskKvGCtX7QUP0oYuYfqGji4KABnBFMbpktoQcO7JoXkq40f9RRd1Zm59HhlQjJUBCxiqDfLy
YmP6Vzj2am6ehuSr/SJp7zdfaGRVMC4NPXhAD/PvRFwoRT500COki7UfZPq4/vkNA/g53tBheCE2
AXn56yPNydK5lKST+cM0ek9JTa80MMPGEdXV112zQImpmL+jwwBigAQfahSKlc6z0Uknmcy+PPh5
/iBXz2S8Iwr1LG0nIyFuF4LnY0OFAb8EBhMkgZaBmsByebNay1JFZ+c0RO+Vafh6WR7S6OZAEIix
CyHcUx5p8pxETEhuvBT79GZsLPiJsXGARCJ5gfkxnP5OmizFMxh+TxbtnvSufqKx7Dd99gQSWe9m
bUAeHANedRNZY9tmun7hKya15BjlnIYnp9ppnSv9nqw7IoJhst/LvblAWAAwBCAPhl/y+UI61Jgp
34XOaUZXvuV8mGYQpkfta6KIYPcbp8/uDCijFAMlQL4eI5ukrfGCITrop7sawZpSo1muUe+u79ra
AoB22WT0o6DuhAvPWWKtGeNaD6f2HJuNGwyyaMbl1vcxaAP5b4A6Gff68lRGyTDmos/ac679yu6M
8p/bf76BCcl4Q0wHxVLuKeyKyBrH3G7OzvjFjj2l+I/f535+WM6FVjf4fmR71lv59dZfj4k0cHZY
tIk7qHOP1ODM4zyGTvQ2ycfa2Dc3+wkW4DlIqeKBBdyV33snC4Gbskh97g+WmflOLWKSWh/uZwyA
UEBXkLrl/WhJnULk1LPqDBy/E/tyeHNacvl9zoFu5cgMdSOtQAxEnzKX5JVAwPqSYedB24CcIFLo
Kl8DtKkSzXbelufCKX+23eQ5PetI0H9cP+f1Q4VXg1lBoDFRp+Efqhj9A3Lep825Gb5TXfMmII1D
oBKySlTVWp/I5/uEUQpgjwDOjP39wgg6mMY7GGWL69zfVY5biageRd/nzAVpeoloLb6vRbvRcsmv
6xsl+jx3IUbD7qx0aNqzhEKz8WMyRL3cGwIAi9QRUmI+t7aa8WsOTVmFttyeMzCi10dlEBVMtgTA
Q0D70OeN4BNIRd7rZJ6a9Jxk31o/77/fvEEWbhvqveiUQM2a2//ZtCczK8vk3Nm7BmMkBK/Bxn1Y
fJ7bfxJJcLMKfH6XGj+qY979x5/PuQNp1mihNOD7KuhmfpZ2vL++PVu/33DgMmH8lgoIJGcwpklR
51miyTmNfX26U0J/VAVJznVKCsg4hc3bgbOBYJV7ETons6NZThIA4842Kby2jr0Wc6Rq2wLSKHcH
UfvuhkYBnQowN6yUvIba6n2R1rMdJ5hbJLt5fKxF833WAhxQ2qA8jXiIjZjUljZjaEL0wEoG2mjp
a+jq7c2R2PLzTPyFSZoITZBNwufnZNwb4+QWSusS2RQcvWgV3M3AjW8KZC/yc+UWyW4WURozzV86
fstVcDdjBlEjoiV8PtUn19C/Sv7UfQOi2L2uwBurYEVv5L0UuPwouC43C20RIMog6Xiui9K1UuLW
gqdoSwAKiWgURdpxDWYqMA7T6NSxO2MMZveaqqfbfz/S5qiFwiVAioI7hUaaNbvP5OGskMcic7w4
ym8/ZxaxABaCsUprnBJKJvU0Nc50JuQ+uoudm1OPLGL59/OcQxknYxRHPT6vmu9ddjb96/uzNlDw
w0DjgU4QAyEO/zzU5VRJhlnIZ7DyS/eFrGQu8mk2oE5tLSQw5c8alWIVMEgAdTGsmo0/WiqTniK4
yyptPlfK8UuqHK4vhb8Rn1+He2foGHgIjDNnNkxlGuakrOaznU32Cxj5y0CR0ubOrOReclMaisbp
rZeDpdhgc2FFfGCDuLvR2daMbhAyBPG3wvajGydRqfCYFp/n3o4Y+PwkqfF5bXJc0n5TdbQ172NR
hUm0Cm7bqBzXSmRATK97pe3OjkDDRN9nf78wtwg4Iqch+H7uoNY+PTSpIKrgVRj7BHww7h6gzujR
47EISogQvh+HPlCqs+LsbBmX/PW6am2s4VIEn26JtFiiNXKogaK6deWJ2Gg3P4+SGHBz7Bry/dGJ
o3UV1bI+6OQ7O390RHXdre8DLIHKCEMjADq6PIJOqpWiJXEfII0KPrrEvX17AAP57CTUcBsU7l6r
IGyyNUw/CFjrIkHHcfbP9f3nsxw4YtSOEKzj4deB8uJ0tCV9QwxgNAKjPEohek3d0D7iraPS+bqg
jZ1CryJju4M3ywYxLXcK6OMUNzpsA2K6YbRTBK6H6PPs7xd3gVr25EwlPj+k79LwQ7+VeuFzny5+
Prsql9+fSJ8PA74vy9+VOkiC67uztrA4BtbBjjQ765HmvGXJNBp7onkXgB7mR1U2e2uQXKmz9hiu
IPA7Ni71QhT37GVapqFikXUBqfZK/ytN/aKLBDJEy+HUtjD6wjRHLEeJd2Gyk1LfqVxJNLKa988/
z+TfTeNtB8aPkBrt+F0w1oNLCskFN5A7G42XkD9KdWyJaFlblwWOHjsotE6s+gcns2zmLqqToIys
8Idij5MFlnmqH+M0nB7GpJruU2VIRSQPK8A2FspIOYD8+x/PHbedUpkA5FFaSVDXVH9R6skM8Zrk
Fug5BgyssZw/Qxt3+zA1q8cSWx+7udROjTva5rCX6g4DAsNkzjGhpcn2tWFFgnfiExt46TLjB8Jf
lZExRwctgPPce+2kVZYmcUaDqi2rOwsdqcQ1W8W8L/NB8ycVTLCtrYM6sRq7Q2Wj6TdVlGiPCTLf
AdiUf/fpjFlbUik95QjZ3SR1KKCgWfX7+i3bUP3Fz+SstYLeo7BC30vQTPFzp+e/JUz6UHvreF3M
hi3C8ChYbRN9k4DhcGKSpB2dSYWVUF8txb950BY228KgGtaIC4SMwzuWM2kxbrZW66DdS+HZKYPb
fz1mpqKtCc0J6wpwrCpZpTdVHaS9Z6Q7Y/Bu/z7KsvAo8Ggi7uFMXTb0llz1tAl08pAcuuwvNv/y
85x5C5PGKLQGn5+Ms5G9V4KcwMbZMk4XVhcAGmLVdzllRGqJJDdBre3sxI8sQZpS8H2+ElQ1Uk7i
EN8f6E4P3UHgT2zcgMufb3EXNW9JWQwgjAn0pjmmHYYwOq03zdbNAYMCb1G2EHciJ21+FtkuXsuk
qqe2kI06yI3DTAx3rgNi1J6TfFzXpc8sD2d4UAkydVCKmOhT5ItOuRaaVaS0eYBfo3l2a2uekpvU
c4pU3ccScbwSpE9+Csv1EDt5vTPTsYdtAjPuL0Dp65MVj9+1cMr+zBNJXjBEYzgXVUwwWjmyX6rE
GvdNghdFjsZMdcdas0TGfeNEUM1gffUszkWZeulYDFKmy5Gdp0HfDUc9ndRDlZJ5V4fat+t7tSUI
jZco/wLFowGMthSkZ0VmOaRJg6bM+y9T6fQPmD5GX2elFDUpbDz/OHWAKXXATtf0Dpo9piQrpTyg
46Gjx6h87MnrVAqKphtXhSE7kC5jHReYK7pcELL5GNuZWXlQkkfF3lNR6/DWhl1+n7MkFeZBmnaB
7yfVq+o8VcmzTQXXUbQE7mHXqm5ECyxEyMrd9GLWu+tHvvZX0JKCsAGEDXBZDB4D42SdGremNgZE
d1X9OyqLsupH8cf867qc9TJY6wuauNBfpbHs4vIk2plklgHimKBIDsSntcCabHwewC30uQNBp6GI
wx1Eo1bEbvRmDsbuT3yob20ZwOQL5rLgIQUQG7rE6dHYGz2VI6cPGkxA0N7zm8GZ/xMAtiDgTJGf
WfkDPUgLTSMdgqH5pVq/0psfVMDskYVDgAhfCSmt5e7X04y6nDQhWRKFHr0Dq71AwPoiQABzeYEK
Q81A47R0sGgEfGk1BgY13KgObPkUZrf28WKTdJDXASoEHDneVQ4CkaJJK7EqYgQtBnvC/rWCbOja
JmGqHyhnkB4DWQoKQstdmrs0RvNPZgbGYyN/tcvUp07hG8r79auwwo+wdSCAw23AljEPh5MT6mEb
V8QK6jhQ/gGPs6Tv6z/99AtcQIeoEHjeG1cD0hjRECLqdc19yGMkMSdI62IwlgZF/hfHgsWgbo1C
Gh5ZPgExR45dyGPeBqliuk9OdSuDL7YL30fVA1UcIEd4b7DH5JE6jts2ALDZU31MYhIoLzMOSw+B
FdGgVLaKNndAZJfnAZYhi6A3uQ3MeAB08qUlL03xYL9JX0s6+9cPf+M0FrI4HcszKXa6ELKkAsks
4knVrUBQtl1gmQD8wWEhIU+hpo+Sbk7N3AaG/Nw12sGmvTtaCmhMRHOBttaC5DV4cgCTZj2N3L7V
aYYQpkZm62dr3kXW3e1bhfAIhstBIxUS5cvPRwhYpSihLEPgdpZvNjf76QDtXHyfO4pCiQHiCpMu
yOcHKfFSSwC83lIruLdo20EksE4slqWG4VM97YNE/11M35v4V1l/pPKPbPxjKKKRQyvqRXbsgNcD
twOHBFw8zEJf+NNGLw0z2A+7wBkdN9d9OTk0rxPYJFv53Uw9Jz3m6X35UVVeOXlDuEuyE3p1Eb+h
ZfP6ua06kfmfwulFUThOp0paF0xWiTHfz730YyI/EumZpmzig9EGc/yikvN1sRtPEC4wqCoAI4Vb
yROTgpJdqzMawwx9a34AjQDMwHUBW+cJUkLUN6A0rOC03OGxlDVJB9ldYFmtX5FD7dTHfq49VT9k
DtkX9vfr8jYXZDBEN4gfWA/KUp5sVyRtFKcJQsN4qaVwN5bTW38z/QY7LYQXyEaANoFZwaWYYUzy
Si0RfoFJQCrvJBG6l/173rqijxOeGTxMJDs410CfQU8gRWEdyPVjE5u7YfrS2Y9m+dJW7f72HQNI
zjFZLY1BDJdLyUs97CJVRWAfV5o/64XqxtNQYbClJaI6ZYfNrQq0hKwpGakWOJycKCM0CpOMQxcM
YIz6ltOx8ZX4vQgHbadWkYgUfGMPGShMRaELdX84DcuFmQBJWBlovAKpAmaSgBX83lYP8QzKuJsj
Juwd1OGzUwTPIedIx4kV6/3MEqaRn7at19uGe/2QNl4N+7PcjDIkIg+eja5RQpLFk9UGYRHiYdrF
tajTiWkUfzbAn0EPoNDrEeROkiZjIeVD0EbZHrx3rpWMz3KfHPrJeaFW8WRqVeXKkSxQv62VAb8H
7NgnYyG/shR9MFGv2l1ArfHwXTJv5ajATUUI9clRqaIdlAeBKsNY63Mx9gH9I8V7WYRm3bA3iMQx
5BwxFND4MmcIVDmaMJtj7oMx1Fyr+4Zxx140KbcfPwuhkPkEzpz1JC1VuR7bsNdKpCbJV+Vj/nmr
bgFVjFZcvALoc1tBzFnnpl2i1Bn0PX2AT/eAPJzgVV/v0lIE55V0RWOHDew9yCEHby7sA+aCP2GO
kgB5oDLrvlRiBpBGKgYnjaCZR1N21ahPWtqQIA2bAsO/xh6M8KHuWXP3bDnFUVe+RVWza9TIt2sz
eqxCOv2MSJJ/2BizsHeoObgjaEfuwk77CRYZ8IEUub7rcjvaO6kuwlqtH0dwiuI0GR4aFSre/YjU
dNCnOSIBSbK7SK89W7nL5+nY2+PRhNMOjOP1o96oeEAibDxjn2NpRE6Rur5KHRB2JgFNZcXTFeoW
6qO7a0tnl8jl4FtpNLiq5Gi7xDaBM4q0f+pKH+GB0N4fWtIJ3IP17WcUeIw7UEf2d2XXpKRKprKX
4yBvjoVX0uP19W583oZeg84DmE44ctxyc30mihynZVANP1N0u35c//xarWG4Lj7POTcgvy/jpsTn
KfHCxPESc9iZIguzfjRRoEIJHE0qJmtB5SwM9KYP7aYvTrK+K/JyB4a3nZEcWlVwR9d7tZTDPWL6
SMtM6iDHqk9DiWEQv65v1sb32d0EYBQczwhPuHU4ZpYib0bJqf3HNB8Qal3//MY2wXghmLYB3F13
6naJNcg9Su7IldnfTXnaJ1+kuL7Dq3Wzh4lOAiQh0PcPjcVEpqUtjipqTyTrwqCRvuTdPpr3ZnLz
rQBFFlLKgDcBQoAm16UItdCcsUQcd4pGv/woRDCdjZNYfJ6zxnquV4Xq4PNS9W5/lK0gd7IRysDI
MO47CxBbdvmWP39uKpQ10UkZJMnblKKUK/sVfSjCe3t4ilvNTRXZb+sPxxSV4NceHwgG4L58ssOa
K8qEeFaHubIoDQxQUM/l+A5y3daNB7t2aau95lqzu650GwEkS8YjHY95gxsBpKqWZYZx7EmA8Znu
1DzMJfVi59DHxk4f3zt7r0tPmAm309T7FCTzufLNcUAnbOxQ3CaTp2bfrv+g9dGyPhdMSkfGBw2a
fN2GZmCimcOeYoz5vokOkShttbZ4y+9zRqICB6sj044GbfVKm9xtusqlQu5l0So4BSqp4VDwUtAg
IoZfVj8V4XADwTp0Lkwcs8mMjKmhwWR7dXEc1TtLBHfdXARIGlkQijCEv8SRhvxRVk806H8l9t5R
BImYzRVcfJ67xA3CXycFiViALFUPzDRYIEUMVSsee3DtMkgG6BmhUvBUuHMYDDONTEmnAZnuB6d0
W2Of9Y/4v6Uf8ozuaO5Z3as+fxtDEb/lxlUGHxBrloYfh4wTW/5FZiY31NGo7ZIGqvNo0D2ZM89C
8Ca/oNdHEIFsimJeNUtQoLrGidLVHuVJvcJBlbso3HXUDcMDDd2yv7kGrcGu/yuIcxc61ahyvYQg
XXm1y6fmePvdN5mnwOjEkdfidXqo+0pt08+739H9IFC4zW0yNRwHGt2QkmB/vziRemjREm7UNJA0
D3PZpWftJyY15qLJk1t6jWwUyi4Kii6osC3FmESvylTH4zGNO8vZqb0LworrG7W5kn9FrKrohZKp
vWkmQZT7OO1CfbWJ14d+Kgyq104JTvxCEveQJ+EUDrHpJIGjuG2yT/v9hKG0t068Zdf0UgpnCuqy
qey8t5MAJMbD4BaiUvrmKpC4QYoDkE/H4o6EyvYgyWZMg3D2NOTERzfPjkYhcOA2Dx4gPSR+AdpH
g9Hy4MEtXgDxYOBUMGvcjL5a4xGMf9dPfssmg66QkfoDVAVRSxmIdzptMso8wEg1hex7EXJ4a6cu
v8+tIa/RIjorTR7MzpsBAmCCMkKEfg3qSO71lXym5bhQF1yqSF0jUw4STn67yiwLiWVHRZCkceNa
g/49jW3Mz1E9uUQHR1ccTCD3qBbf5WXrtpXuNlriN9atDYZQPjSmYqo3TA6yvHyCl6Q6tc0EpXY1
9Gtrb4t84Q21gCMMBhakqdFnyxO9UDp2VWVkWaCm5XMZhv9Qpz1mI7k5+gF0A+lC5NYYhoP36tWs
Aao8aSAm/uenIcLTbOjd4uvs7xe2k8x1jS7VOgti9Qu1AlFLhOjznFprI8BTNRL5gTO/O76Zvl3X
ta0jAEsA3AB4lAziv/z1A+a7RVPbJIHRwdU4S8b51i5epkSXErgFzGhjU5uKSdD9TPeH9+sL2LiW
i89z15L2GiFtBXypUx2a0W/7J9NIdnVhCi7lRj4HfUFIZaLOATQ2n9+u29k2aJMkgdk+JmN8zKVy
N2DQOcHUrCxAy/3fyMM4FIZD0dChzD3JTY95HqNGkqDKYhfExvcWfVfHL5Lph+VRHUTZoy01w03H
VDRMsEHdg4t8k4lmxjjHgMsm+9AF5OX6KW2pGXAQbIIVoEerByBS5D4b+xQvf1bucvuhyV9n9XRd
xpYm4AFjuS/mXPCA2qYp9ToGdUpQWq1XYkpz2J8BEvcolXbXJa1Xwzg/gVVgfekMU7q8NL1eOwhj
8JyptL5T87f/I+1be6TWlWh/UaQ473xN0o8ZhoH0ADPwJWJvIInjvF9Ofv1d5t5z6HbnttUckNhb
askV2+VyuWrVqtEgaCLy67aQ6x25FCIpwOJ0A9o2w5MBKjxk5ierVkWeVdOQHnwJT7Te4pDAphkx
oQ++Hzp1o4h3qIRIDobT95VTpfD5zO6YNQ9r/U5XUZxvigBICEQN6OyBHM3ldpAlXUHJg+1wtf26
kmAG3Yhv3P36xnacCTEuhfDUb5D3gpCZvubZjy5RxLe3J4F3kTiCCKJJ67RSy251jnXSjCLsyhaE
KQBEDCp/byOAI+bxXzlyAQDeKSNaMcBtHd7oGFhFVLUHPuy9/eyG/SvaURuqCoANeM+lSGl/bGNa
c/Aw0FNe9QFdMhT9PEzlk4aoKjASNdkzkHMXw93m4FKqtGEmn9dh5pA6Ca7FqFmOLgus+yEfCOKh
0BkEmOgmedW6bOkGNx1qDcs5pwFPnkn27/1mAK1LfTwuBYRaTuFqVlePWa4xPM2ygCQfk0xhzLbs
DDJPuGSAWAEyVNqdNZkRYKdtedKax8TXIq8aD7enICzVpTtrwUbCSSIE+TQwBUlHx12MFQ3c2Wkc
Imax0KNPzfC40jz08/snI9JciBPjKY7klvROLktUkjjNnJ5SUu/M7J27OorJbCzXhQRpMn66LmzQ
IKF+7sxd4+7vXSvk5ABLAzJANCmSCxWqrq+MzujZC9qGmeZLVr757MXJo0Ql6HoeYJyB1y1AovBo
LOl42MD8u7M9lC+NVga2owWuu7s9lS0JyGijaAGRHpFMudz2yTJzZ7S86uUDKMQDjlZb/9v40gUJ
MLalsSapXqx1Z83HalbEulXfL12PqImYER7G9xv8WPC9p1iea4MP1i8bKmqiFBwdYiWD35JWx6mr
2Qv1vrdaF9gUEPxc1bhiYxLnUuTAUV/xqitJw140P6j/dV7v3oKL0aXDUFi9V5dOxV7At7HyXW/d
/abHGoFIStARIkAgw9Wndsb++jl7Qa/YlkaLig9mcw/Oxpe22CTJUDA7Yy8uetpNcB7CUhXsVImQ
tpmvGlKrQGC8GNbez6LcOxBVtzlxkC7t68UqybgoOjFeu4DqvhSeO/1Y0Iz9ZLXoTWL3TbKDOV6P
t3ddrMqVPHTdATAY2Xh0n7g82Bx0GNqKcrMXm3P0t6ZRyg+1/bO3i6Ay37r1Xh5dAKXQRwGoSgjD
FSu/3wsjKSk62rOXTvue97Oag+P6kFwKEL+fPeHHMWOm0bRQsy522od2Vhh11fhCR87Gt22e1gvH
UU/WI7q2KoGh1zp2+f2Spa1T2q6jjwVKy6gxo8l/ZmN0e883pgAbLpKwoJBDGadkbKvEns0FNTkn
BAkBWazLu4056HIRgwRaAgU38Hcul8jN0rpMy9Q5Gd1zc3RUVfni8y5V9mJ42S9Ym6azqkKzT3XX
PHuW9tN36SMIryI8fw7eRBWrdX0i4a+BRQRE+HgTwL5fzoa1bORkTJYTi7J/mmw/VeHiK2Rs7Ajq
t0QVFPJQcA2lC7wEP7bf25N+KpqPnO9MFaBPNb50ytsudw2mYfzMPDXDR8NU7LhYA2lL4DQLcgxU
TCIRLuSfHwoq3DfmTKeqjk097R543j2D1fgnaix/tbx7HK0he/Szl9uKfLU1qOUCHSaQg1A1cMhI
W5ORSVvWzBhP+kCD2grsLgt090s6/fgLOUCP4iUnek7K0+vMkWuejnLuHGXc/RSVbdRYjYrr4Ork
YxZgsjYEmgB8sXLQO+Gj25a0BsKuOiDFlbmR2dxrvCBCVNcL7iOR+pfuSNS2jhkB0fgJrcHXMB+j
JfMXhS5c6ZqQgVCzD8SQBfYMyW2nk8fQ3MsCVDk5lMPxy+2t2BgdNbnoxSowcNeE314PRjBtKZcT
Ss2nfdru/qfhTenjtWmaerZi+Nl7IoeR3uuGonb57Ovl4hhaJabTTRh+0Pbpzrbu314MjxQTyNBF
xZj09Yw1qL5wjOU0PZH6OKUPtxdnQ0Evhpc8RGY4yZS4GB5NHDzvvUXf5/cygAHbD+wUSIkAcEUl
ndysw9FylKHWrX7K+yQoHxdfhd/fmAMEAFuH04yDIMdGh5obzbxkOipzkyDVzICXbTjNKjDYhpqi
0ycuCyBOLcEKKxlEHwgtnGf9VDpRwyNPVTa0NY3z8YX8M4PLJ91vMo7xe/1DmX+s6v2aKzzD39wt
F0Yde4F8pdgHpFquqifBgu6hFNtcT45RZe9tstLI6A0WJf2UZrC1fZz13sHyxjfcLfOP1lgpnIlZ
b4ugKAxyyrW8Ci2rINYO3KUZuBG8IvD7nj7QLGUhYLLVc9Zn+Q+8Wn0eFJY+a3sDTKHR6M7Oo7e6
037KjOqAOAA6hiw1+4ayf/Yhr+aGA/u+Ds8u9/ug17Q0BOdC/VKYRj88lnYT+W4bDebS2qGjz14Z
udXS75NeX3Z0SbUYb2VzPzKSHdBInkWNPmdZYAIqsUf/6PQfg2dznHD7m9ZPPLABtgyoPo3rruld
wNKNNNQJZ8fV71YamAYlT6jE1YKhW4cm7DTLfS28rjoMGe2OXUGHsMtYHzf1sv5ILXN6V2eobi/K
dQy9nGShp/X6fp38LkBJhPNaejQNO1b3gVeSaY8eB30woBjpX312QYhSO9aJm806ByBXSsJlqZ0P
6EdC/i08j9OwYUsbw/br6KPpgD8MZDO9/2mmnO5bN/1nsBJPBUnfVEbgyFDFZOKGlNMbAFelrV4k
K/Lau3x+SM2gLRWQjE0R4NdGY3EwrnkyKDGzq8wi7boi7HjA8k/FMVc1x95wJkTXS9gF3YVPISNZ
UpSCNWZhr8htOSHp9oX2bBtxxe/tKCFM3Lkc8R1nR7dLnHotCmc9EVTj/1hVLTw3LA9YV03wfIB6
AzluyUjnNUUSTetQC9mGK4sAZrt9CajGl1zVlnsDTE/vngp03LbBCcAshQPxu7ROMjzIlYGkXbAl
iTTA5QrxITOywqHJiZM1/d4XSRKXnvudoezqtZzQnqgwawPlnsjYBOWorXtR1BH41HiXZNXDZOjh
1Go/OxutbRbv0+3pXysiHFxsISC+MO54OF9+W7cya2im3DqZFlhm0KY03yXOv7dlXC/xpQzx+5mG
oPCm7ToAbE4kj/znrL3bS8DwArGKgB6ImGXGBc9szLrmrnlyuPbYhzUwn3/x/cCjCUoKtE6UL3HN
qrtqSGGmUjjJnnEaqWIG10cVMzgTIB2hCWWgKeG2dVrtn+AHCzqaBm2BakBV2HNTEIDQIHNAaOQK
3TZZqHphSWudCu9l5gcz+bwsb56harW2pVTQdMBphMtwBWpwJmbMM2I9qF/ug6x7pADf0u7z7V25
ejYLwibRHgml0nhiyPatLdDkp+u4eVq5Ga1uGdT8ubUeyPiZFj9vi9pSYMApAbQFthWZaMkP7Wt9
HvRxJiez/cS1j9Ph9vC/kwyXBgJEbRgXIHJ4J1eJGmbwnJBkIqeR8cBffhXtfEBuJcyKR9/7YfSP
tH2a9TTUenfXNO/48BmFbEHrdLu1OpHqeR6eq/Zfc0V/dIWDv7WTf74MN8nl0V370TNTHzPP6cd2
DRagIaf49uy3FleUu6OEH64lOOUuRTCH05LOnQHOjKO+vFs/3h7+dzxDXly4xjhgjoOqcfk21/VR
N+C+QedNPXRrL6gMFnIQINIjY31oLCxqtfeuB77INJrmPWu8Pcl/JuCaSetvdXU0uqOmenpcTxrs
CKgOgwMgClHksKHrrJ7TI/AQ67QLA3hXijvn+qBfji+Z3IZMOe0pxl/aX7Pp7ixj2C3swRsmhSDV
ROTdaxPTamYIMuGGgYG9yFfFBb05FeEoQT2A0ZP3LxN57xTV1LFl1R9ByfYyNM3D3A7fOq7CA2yJ
EsXIsI6A01xR+I4INCT5WDvgKpufnSE99B0Sm73PQsNIP9/Wy+uTZQiy8f/KkvyOOilslzLIyoY3
E6cZjZgbVTxpa3Pg+QHCiF5Tgu/18mgV/jxbSZ7YceuiO+swBKo+jluTACk+sss4QCjjkbyHKqNo
44L7Js4sHuiw8k0y73B4bi/V5jSAAhUty/CAk6F4msaXtQAPdeyDsFsPNPRmui1gcxriGkFDMbTS
kSOwDrX6xB5WTGNkaHGiRwXtP40aV5yVa3wDGmQh1vtfOZIv6xqTB6imbse5l4SlgJaXZGe2LyPq
09lumsZw0eugL99M78vtGW4soWA3gLohToZiTmmjfEIzm0yOHrcpogSBT/a3x99YwYvxhfwzFy9L
B+60HONrY2j6kVWE+ettCRtn80KC+IIzCW5e+Hk6QMLc7Yn3NQfA9V+qKm7YWiYT3LK4LQDWQUDx
UsiEt4zujbMeu+4Hln1Q1RxvrRJelFACnErBwHs5vJY6bTaakx77Jtq+TTuaeAFV5W6vMmBIgJwL
kYLIydxog55gDvlaBVryD1vq0HU+knZP82PfKrZFMSX56HSdOxG95tiWvP3gVs53b24fvS7b3d59
4WdcXuIXk5IJpJcOmLp5waTW6Z2ZoDnQSc/fG34GJJIq1LUpCqgZlO8DrQG29ctNWg2NpOZQ6LFT
/FrK19Uoo5lPhzw9VQ1TxKS2lBpu+G9wO6rfZcuGcq0e1JWVHoPJIqr074lwS3DjkO+3l29bDrwN
YCpQpeZLiueW4FbTnUGPWXogbh7WdJdZLyb9cVvMpjIIp+b/iZFUb7EWYzSGXo/HNAtLLe+DytaC
maSK6WzJEbAdR7B+AwEkWRucXOqkbU5i1zumRtSsgf/p/pmcSxBfcGZtbBRvE8TySDy4wOtVxz4B
SEsxiy1jcy5DbNqZjKry16pcIaOwAneJShVlzuYq4WmPBAminVevlnRBRJUkjMSr9R2NMuHF+JNC
fzenAOpPEZrB21vOv5TpXPtTVpG4YVMwHT1E9m7vg0qApFFGpRd2OfQknu3XcT/0ChKx68J9UT3w
ZwK/fz/bA4s5XWuMLfa5r961yB8PI8Jxpju/ue10dDzUTK7VIeHDazm6EdXQ69dydzpoeBqn2BUW
Kl+KCr0SKI8y9E0e+jxiRaOAX24uAp5Igl4Gayznn0HWn3d245N4ynZeGgFz/ReL/Gd82YanaEK6
JIVD4pwcaP7Qqizq5vcDIwOoOELvV01tkZVg6ZQY+H7nszd8+nz767dsm+UhvoY/CNjK70dn9dnS
VakhLtWHlfvh4hzGOdvN8xTdlrR1s6Lk9je/FWqM5TCAMfa2mfY6rPVCH1y/3JHKflgsL5yJNgYL
R8GopyKk35zdmUzpNrJLr8+XAjKRIAs0/2Gt3hlmG7jdz9tz2zQWZ3Kk5whNnHJh7arHS/UFNBy2
/S1N/+IlBzq1P+snOaET6QcoGmTgRf5+nJf3I0FSrEHOJVFhLX8npGSH4VyW0Mmzg10Wo5ss06LH
Os8j0SCxeHLbXe6g68HS7Fa0aEE2Iaq6t5p/aXT4RS+313Nr39CUE/4DnqaI6Eg37qBXqwleI6yn
jZjuBzD9o4nwpGr6tKWRaDcDZwVJfPxHkmLVvY2sFGY5Z+8L+qEb3mvTpz77BEqdnd4rXL1rVnAY
y3NpkjGmrZlwPkMaqtwebbS/yEHRw602hA+zI3rz0NrTsc6byOu6UPfWb5yzaGjTo26SaCzXr2nn
hUPbKszjNYb78rtkI7406ZCZYq/dog58/6eZPBQuIh9joLNjVviBTuguUdWlbu7wn7WX/cTMM/I8
aXEyDWuJmsz64sxa1OT9LqX39scUmKazhZd7Yw0AxDqswMEZln01f2zmqG6Ppqq0b/MyPBcjnc+5
WtYWPYD0OEHPPkr4PnFY0JT1E+mSYElRgZmiYiVfTnbF9gOrPvbceVxaVPzTck9T5AYBm6ZZEZkp
CyjlXdiW6fH2udp6Q6PtOrJm4DRHkbjMgTvnjd9TX6g8e6xrdEfU9sR6GLunpUNVcJk8ZS18z6oN
OFKgt2Vv3WPnosXL4cymeMWYO1B/Pe76XfFItd3t4TcPM+jdfkcqgZqRTL2DfK2G5wBMFvvlw0kv
yzHIKTL6wzeTf88yFTZkQ55oVgWWKjwKgE0QCn42naKY/F7zKR6Kya6o9/qvhh8Wc2+TT6kKZCgs
g2SN8ZgSLJcmStTA+HYpKmOF7jtZiZVzll+dtwYUHByVl5+8REdVx1RGgGruubbsby/pxq0GuZge
DhByWzIvE9D2WZeUmR5P6cGhkZ2FpqrB+oZSXIiQLk4EkyZ7tDA1ba5C0r4CWXe/2l1IkI5lrk+d
W5TYJxfMSGDBADfU9D+KkG5LVmnzbCwQkRQvff+Y342SRfdMWDDsAiqIRD3n5f4baZqykjK8qakR
TesOmJjo/p0GFx4AoKKY9ipHN0x2Nha+ucZVa30rZhYBHfizUiL0thTKI6hFR+QWORs5jka7jA5l
4a6x5j/6zqHV8mBFgdDtuWzcLOCv/iNE2g2tghVGomiNPbcJtBrNPtCEmzwVucLgqCYjfj8zAKya
K+oXFiZj7bI+9EvUOylEbARTRIMV5AGBkBa5wEsRHEHperD8NU7Jw8If4XJNX2b7bjAF+L4B10Ts
ViSxr8AU3eBk7qSv8UIOXXcAUqVRAQ23/EkQiqM+1AWUETy60lpR3exxHS1LTA3jmOhpkBfjhxFo
nYm6u6kG3pwYh7Iffw1m/86lVjh1ZTiYqi3bsDb4DORuEZcCf7ecrtf9SfOs1lxiJ6SsCMEwGN6t
excCJN3LiDUBcuwusQUMMts11j8904Oyu5e5EuoN7CBKS1DchXS0tJxJnzYTshNLvIK1MvALhTXY
8hLAb443J2gKwEksVxIiuTaA11Bb4MpMIAumx9Ysw9p9V5jaHmVxwUKenYQFnf1Rd/+9vYKbqoJa
OGwSNkjkpy91vmoqoy/Wwowd1pthbpDHznYHMOmiBmHpis9giNilxHlgNjyq3v3Rr/x59ecvhZUp
VnnDkMAiggwLyA5xxUunb0yMAvET3Yx7Zz94/7pNBiTT3lRkWDfOOJIaSP+gthkZLZmgZQKIcm0L
YsaUPZVDF3VLDq6OX1Xth0hq3V7czRkJhikQazoIOElPEAMk1uYymlbszR/W5LszfmAEQDWqQjBs
yQHgFLAMJP03QhadYWWMccih/c6yH/s6QGN61JUojtvWeT6TI+Nz+8Vg7oRarnj2nt28Dca7O1Lg
oJ0LkG5e5AIAXzEhQC8eURjIVNUE11xNQgDq2gWAGeou734+Z+A+q3Urrg2mH3p77IKGjHmAhGT5
ZKYIWSVr3x5ap/5u9DMJ8Iptwh6p3sDPJhXmTRwtyc+ERSGwKKLpGqLDl0evtBOzzrTZjuvhqUXn
leqJDIrX5rYIXP8ip4qKVMlAjsOQIinc2LHTN9+ZlT55fg12aXt3W9E3FQOw3v+IkYzIXKTZOugQ
k1sgK/bmiP9FaBVr9UeCOAJnt3+Ze0PuOLUdMzRE3nHj5fYENl4XYKcTNFrIO16/03KyZnnVECt2
hshO3lk5/KU9Ld6h6aQS7bC5J2eypIfZ0nPcWrgv42o0AmaEXgPIrSp6tbkjZ0Ik3RrHbqH9byFD
+FO/HyiOY+SjhAxEYPCTZR/Gocg9TnkGg4O9NmvtyXCXh9s7smnTzkRIE3BnQ6+0NsdJzWrvHcp8
+9DRwCPegy4kaKyK7++X5yL74ABtjYtYl24fwGl6Z9QryBusCJ3qAtMaQ/REjPr7yxCwYAQsMSKv
iq4jkpFzl4ZrftNYsdYeG3o83p7H1sbjasNNgGcY6N2lo1iYDitLksKEskD7XqpYD7aU93x46RxW
9egsudiWydrZBZqSP3mWAsW18fyG3/pnBtL58NIyQfc9zCCtDoDu1xWSFcdK24GEsw64io1GNSFJ
z9CUpUxBcQJIUOMhGP88EwLc1eH2pohBZEuP5kGmC1aV30Q0l9YLjE3WUJnUivPiZdLQRxVVyqn9
j2F+abyPBczAbXFbZwcoZAAaEUwQHVouxYHbtfPBb2UBGGCgGuCLM2lRPlN0ZNzdFiQGup7XH0HS
4iUg52etAUELygIfe8o/jBlIvIqMfSkRWIm81lT5Opv6DaYIkDoS8Vc6p7Xfz03BCyvm/KOX7fJR
4bNtj2/huYw4DOrNpNNZF1xw76xWbGeHhgX+rFiyLX0DSxwsgCF0XD6fyOO3HmsaIzbn/VjtkR0p
mOKFubX95yKkM8qyeWaoRjLiDD041ogbj3UWFp5CybYWCuy+BPQK6DyMfN+lko1rCnJwkMnHBUij
gpyYa+gPrQqztaVhgtMMdBfw2/BKuZSi541p8j4H+SAxd/nqPPjMj8xFw3M16/ame3fvb9xmiL0J
RiIQJF+Rx8xJqjk1QX4OXUKz10n11NvcGtMBZgdAAKAEpZNpdJ2/LqRAa84lTb64JTd3Xd2VeWAv
lhb69mz/xXWAaAMCmWANQfMSaZfmVauJZfYG0upPbvNsq47jpjoLjBi4qFCiawstOfPLOlRCVUOp
GzEjZdRmIFX5SajKRm+uGmCOeETpwAXKcZnORc+Xanawao0d6KsTmYm+t4oPZq9wl7cEIfqKaD1o
XFFoIM2mnxx/8XLs/jgRFhZ28dmYjT4wCKBPZkGG8H7zeS5O2pzBth1aoq1IPNpfQUvISjTR3VfT
Z9N/uy1oa5cE0bEIXwg3VzJqBI+AwvQ15LTHN3f+lqz7TkUNuL10f0QYl4rQGihFWSeIcLuH3N81
64PVPxBV0+Ut3+B8IpI5IFXv0bLGigHvvPJ9+i5rgtk95Elg/kqS6PaqbQqDUqMZLRL1iARfTqlp
NGMwNRzWsh2WB91h9gvVexcPhJI82NxH2qZtZydCiJWic3mCjiO3P2BzTcHXAc8BuVlwv1x+QOt5
RZJ5pRGTdHzfdsU/vE+QKkIAMZgSlTJu6siZMPExZyc5bYGcXTQGy9ftuh8VPSoZUsXpkb0FUceN
mx/xaBQ1XkoobbbWvrCtk33K82enVjwZtmfwZ3xpBqww0GVUp0aMCFvQGz+66rj8BdQKbvsfGZJO
lAtde3+CjD5Zecjt9RWab6D/9/R6e+9Vk5Fcq2lMR0ocnCfggQ6IGAeWNkW5in9PtSXiCJxteptx
yhsLUmDf86Dr3WNSeX9jVNGAAc8R/HMFiS+nxWwmlKtAsaL0vaaH3XuuItXYXK0zGdJquUnXaBq6
zwK08y3j+4Ecx+nXX2wIiFOATRN/5ewc86u0IDWWymCPVfK1tvJAnxOFU7U5jzMhkhVtBoORwUww
D/uD3vkB5TsrV5FHb276mRDJiNKxzUvThhBD+yjIO+6PDpgCS4JuLSKoBdbNS6VCoe+Edqw2Ark1
gtbfZ13ldFxPAJxk4IhDFx7cZYhaXwpYdQMIAw0xXI5WAk5QDSo63S0BSDGLdgXw09BV5FJAQhbe
aYWNRwDVdx5Ht4JV8ci9Nu1ILaNIC0QvoIIhMtNQy/naDRyBSLNZ0qd0Jp9Rlw8YGKtPfqcqJhdG
6dLwIuSJTD0oghGtueqQmyZz4RRjacXtEK3FVzQ4BXWAnn4Da8vtM7K1bjjJkAEgJ4J1Qr3PzEnf
gdEi7wYrTt4DbJFUCgO/PTzwoaKLGF4ekuLywQCZK8XbTC/eTWWQ9y9/8fkiA4gADXZfzoV01ZTY
Wo7yoH4J2XQYjPj2+NenG+uC7CJyPKKGVW52kLmMe9TP7Lh1kRA75g7gmAoDsrFEoAkWXT0QzATM
StJcu0Z9cIvK5JiUnHxqcn/+pvHMOt6eyO9nl6RR8I7BQCuKaeCYSGL8injeMCwk1tASckAUHaxT
3zl34Zd8aW0r8Hh56PLHnn9YQDi2Nj/YqDhAWxMFRlPki1DRg/Yil6oG8pkmtS1Nj/eJpR9qkAff
nuLGARV9vf8zvpyTW+s1HXUDeOeFLPu073e8ygKj03ZJcnfEAdFLgPeB7QUaHdGFy5nYzdppdYW7
y+qX3TO6c+1uz2RjpQx0xcP1a4KfEI7s5fjEqmidz8jwad7XKR5V2MHN4XHoodLI81/hZUGzURIL
SJrYA8x4/mLd73Ehe/xn/KukU8oq1+k8E6jBX0sNxmig5rhis7fmgAtF9CcEzSL4pi6XqLOrHBVH
sxkXOJP5t95SvWCvTz5SjciEI7gAu4LjfylAH7g5DA2dYo3tS2Bi8iBPo3u3GSIQjwf7P/oJgSzy
UkSaJWxqLFBnMPo5yWjYDwoH6PpEQABWCCRZyNNetddzRxt1c642xSar97ikwraOem3PPMV5UMkR
v59dIg0g9KTgkJPCje+0yAQRU2IfS2WF2+amoB4D+ATE+q4KvwdilOD7MybUs1RRN+j/TqMbmI6K
d1YlRijf2XwMRCsXm5IprgZrb3bFA2vqfzyTfb+9/1vLBv4PJM9RP6EjUHIphlR4+6/NOMaUxq6Z
A3dVBtReor67H1mOpyCcI7jzMFdXdCCoPRycwTWH2HYOlf1x8o9OOgRe8WlOvy/07fa0tlYPQBa8
FhE5N6+wF709FAgOakPcrsfMjVlxNHvFVbIpAvFyEVgA54UMPEAhosHGthjjjFpBo6PZuBZ4ze4v
5uGCVwMdcUGnLJPM9WNeF+BwG2IEliweWSSwPYUF2JoHmgSacL3xRL1qRKRn2pRpFvSZNZ8GpMoq
/YOlSl5taZkHVBEeQOj/cBUfpd1IGPogzbDGxaPbWM9+be+bqYsa21N4e9deKzxI0XfaFfGCq1hp
XrgNQjOMx946Bm75MOc78PxG5vyJdqpg9tbSncuSnyydP8yAfPLYmtEd5EtXg9JC1UV6e+mEkiHw
e82u1WWFwZMWS5fyb2irwuljs4aeKmCukiJ+P7M2NknRaG2AFEvjB5JOvyt9XONZ7xVAmus7E9sD
PQNXHnLBV0wFczr6WWf2PEbUH/1D24Atilt5c1POJEibYvPGL6jf8bgz/+X1Y0IB2VfhCjawVxYQ
OuiIh3ODY+lI61UlQ+expeJxQl9r7UtpPK6Fs7N8UeNOg7SuQs147IynbmwV09sWLTANeIvDY5dT
TV7qZXRyjRmAp+Ztcs1H9Mh7KZr2w+qZO3N1wqU136HuXg8cwNtXp/t62yT9fz4AfIegDERFnBwW
blBcPs0GdMXrTpXxi0xT1JX7VnvQx1eP7sbmOJAny7w7HoQVR4nff6RK/mi1DEtfOpCKHkNBC5eo
jZb8n9RWmI+tg3AuRvLpWspGmy7OHLfem1N9bep9A1DR3eTfoEE5lyJf7kttZ7qQAhrUIGvyIFMU
/W1ZQWCiwE8DlgfA7MXvZ+e5K1eQ0i4zlKSjTajzPkpXdtB8b5fr6VfNTV9vK4U4VJcvO0wIzzpx
g/zmG7+UZ8JCLVmygoENTHJG+0DKOhj5A5mNyEBxCqsV9+KWGUGNGiyiIC8FNdelPL80KUhbUh43
bzT5bKnYnMQz8Go6Z8NLWsDyxPCmGsPrDfqQZpGbgtrTCJBMAmFcUPpTpGt3p19FCRWeWoIh5/q9
ZXZZjsBtWsdW/dmfjcCiuzw1wyb/cnunrldOBELQWRcRKrDWmpLqgeOwGsGRVMV14IAS3lfSwl+r
HgZHFgxJXPgUVwQj4HatOF2XKs72Ptk5v/wFmbAdO9yexrWVF1J+F/3qiHHJD3mUW2ZrPkFKAf7Y
wGzR1EKxIRsLdS5BfsrXxcRsT0gg3l6QCdrh7Rlsjg+iBARCkKBE4/lLFc56sx8blEfDfzyVoZkq
okab24Ab1gLaAQXSctRoLe11zswZw7tLUOYkKKavmhYRP6rxOro9la3NMD1kcgFRB8BCDuDxmYFq
Jisq1Ie8uHhHVDsgcG6LuDYwNtxGVMMDZofEmiFO7LlBm2y3yKa5jvW8iMj42K9vNioHUK+0y6u9
ptf72/K2lu9Mnhw/oM7IG876Om6NKSAM5P12/mKV6DWoN+UxrUqVS7G1hijqRxhOWAEwQVxOcHCo
b1eWXsVUz9FoisJBouHCfMW8trROxL4EdhREM3LbCYtWXjnmLo4/mDMewMug2KfNaeAlAf8bOVCw
Cl9OQ5uW0itnrYo9wwMMxv1JKjCM8mRWVQxtBBMRRwT8nIBDGv8jw5VMbsAEZLTGFceCoXnQ2gf0
dw90B1zc2tFxHvry0zoSfEQdGPwDq3b3a8i5fNnPtPJxrFbId4rme2eRpzKhQwDQwz7tqo9W5SuA
7lsri5wycO7IxxMil7IZNKFev6RgcGVh5XZwspZjq2Lp21KPcyHiWJwds3Usxj7nEFLpkdYGyen2
mm0MD51AnyZET2DxZJvXL+aIFHTZxXaQI0elskObw2NwQ4Sz0KhcLOHZ12c+69akWhqgGNOgn17r
r3/x+aL2CkkEgIt+s++ejd9pCShZO4yfNF/Kg04/3x5+Y4cREMX1b6LoykI10eXnJwlx07GkTeyP
2d7Ru13hfJhUhm1rjXAhAMmOqAV8J8nOsLnpW4TJmpim34cpDwZ+/70pbpz/ChAfcLZI+tTbE7yn
Jjac19b65ZOX26t07aGLfNSf8aVVov2UoW/O3MRLmQSTfeBJ5NtoavZ2W8zGBQCgIPBJKLZD5FVG
D9VzOdWgy6rjUkfrWt5ZbQBK5RiJxddk8t60dFCcjc3d94CKREs7mDT5hkMlSM0Gj9SxPdWogeRI
8rSp+07zO1Xv6S0VQK4VISsQi6PCSrJcS920tOJGGwsy+U/VrLgCtoYH3whwioKJ+qo2yE8KVnoO
TknakOaRLyU/oYXW/TWpSIGeSRFqcqZmVbZMYEWGmtW69ljM1vtmVCFDNiYCRD2SIPBigfCWiSEt
JyHZlBpDrH/j/SOv7g6FiI5cf4aXtmFtYWCyHMOPTpR9XPXDbQXe/HrkQECaIRCQcrobfXoR0Gkx
fPrNGr+amqpSfENfcYfDFUOxIDB2sjGkjae12cLGWAcsWUe2ntWRq0JubU1CEJoLCJooq9Yvd9nN
dW1q53KMQRAeFrskV/G2bFgTZG4RxUdkQUSlpU2o67zMRjsZ4sV5x5vHnL9bgE9XdYHaWisgbhDH
RcN3D3mDy2n4Q9+mVMNaLSA9TqufvfHTAKD7/g0/E+JJln0ClKV2JqxVb7+14VgpLr+NOaDyAE9u
AHfFuRZbdXbgOKqOulEnfawlB2qE3ap4sKjGF7+fjU8a3StrG+OjN50G9nMzXBuFid2w6XjUo48V
sHEgOpa3wcjgv3OvGOIeO9yRJbKMNzSU5tUpHV/v3gzRUMMD7hQVu1dxTr3vyMirpovfiB+zRbFW
18cCMAMHzzofPeSQupGyNmPv24OR61YMMHN/TAaFq7kxPNwzXEEoDTQF0kTaitWwm6ziJix4GnTg
nLi7qbKIZAsuOPT+witLzp2MuuZyZJkALUl/Pk7Zj3vX/v+W4wC8gvwy0suXn8+mdiCETna8vGf9
c9IoHJCN1REIJVSc4qmLN5SkqJbJ3LkFuDj2mbE3q/ULeJQUuaVrq+QA9gYVhSeIIK8cvqOV3edW
RYAX7ILMDjs/SrqjPSo8tesTJ0qHkfMFMhEAE7msccmzQS/HmcTekO6Ys6Ou/n9Iu7Ilt3Fk+0WM
AMH9laSW2myWVFUu+4Vhu22uIMF9+fo5qJ7oliBeceQb0xP9UNFMYUskMk+esy3M24ldYAUXqKCu
gnuSEf+VXo12qFQU8JXBLa07Zdrw6ZnoKxnPpSkD9QKcOCRmENlK3q+MTGuCOCR9LtViTwy8BOco
/4QcKzq77dtb1JFZhVAOQPBw6ABinO8w247iXAkb5dlyi/pLHL5d38ALC4NWDwfShKJqjsGcfx79
pnalVtx+Tvr2tctCGNHAZ6q8XjezsJHPzFDJTG7oE7Mq+5nR0lVntx9X1mTBgIn6CHKAKFVctkV0
ZgvtQBUHUa9/0hearfx+McvnWVrBVg8IjMii4S0jpvHkxgi1lJpFSY1nlv+M2i1/J+XjSLdk3ibj
75unCust+DDQuQ6OVskU+gibJKtAAlxtSHSfDvvbPw/6CPhcNEciYy+FObOhxXNPFPO5oG6K+sla
tnRpIU6/L20oOyHpRNTEelaPdZi5drTWlLxw+hDWIHkF9BjwMJo0P2DZcQqrjNTnAvRUA+g8sjh1
K848ZY1OdGEogG0hpgVzOPLkMhFWmimsmXhFnsEY3wfhtFJmWvu8NFM9rdJEyUDvmblWCEJ/7+aF
Pvv10pHjWlITNuLzieGnsZfczoeJLiHEsmjRE7AbQ0RAJ0eiSjtjTqN0fmbdoTMDPfs2prc7J1zd
oocOhw7+VlrqSeFQ6ihrgI1T223QSmVN9/q4sgziI9LRRpSJ+AMXOABQcqQW6ySbzTwFZyXksLPx
eWw01+pfri/GohEQneD+A0wERZHzyeKa3SlpHZJnzj5DlSKESqCxBjhctuEAawgwmwDrndvo0gYp
QgOAQJPeRxkYMubPA12Tp1k4fSJPgZAKpRAcDGkgkMMK0zADtREpfpf0MYzvQgVYq9fr07VwNM6s
iF9xsrfIZEGvoYpBjWf8KkmQhdvr319w59DRUKEhA/0qkeQ//36cp4CF5yAKhsi7nr4pzZ3D7rRp
dlujcou1zqOl0YCTGAkQAW+8KKMPUeZYWQe6prA3NtbgfJm6tU28UClHI63oAgKVkuCOlQLRsEd5
t2I1eaZk+lEPdNMxIwbqge9zFLFjo9rbo74xS3ND0ZdW4zZbeRIu7D60LwDZB8A44kkZK1BBoIQo
gpqoVl6N6UmL7/L+7vqqLc0jqglI96NFTKzd+aq1ScgVMJPOoL2yHrW+/RQ6/cpbaml7A/4s8kmI
JC8A1mqomlGdCxPVD8pAwO8U7gDOyT+AKUElHfljIJRE5C17nRarYPBqgPMn5ezywtJdMo2+mWiJ
x/n4dn3mlhYHpXkhhom8ADhBzmfOTgq8MioTN1mZeEaPBEpyDJM1eXkx/5InBbz2XyvSjWOXiWLU
EAR4ZorxxMrObYsO1r4rSbszyYqLuBzSR+gNvCc0hJCmlbxdW9dRnYzx/Jx2HJVy1VN1tqHK+60T
ByuQQwJgFZqAF2j1MDZRxMrB36SGSgSKlTmYhwLMsWW0cgstsG6eWbqoAZNk4ujTgyWVuowdQ+uL
w34byUsDqgfSoZMv/h/SFJf7HQ0eGuDPcOmC4EnM8omj7TKF6Dm46kD/CLKcDTg+Qa06r9Wfl9ZK
dC0IV4s3hvzID6k5outtxKlKIGI3TXjoB0768/pSXXoHDOXEiOQdjK5qeM0m0K915H6uh0dDa/zr
JhbHIS5XJHSEoIHkZMFQ0M1mY0zPlrNj82dl+tytiRctjAK1AIK+G0FdcqGqOGfor2rSpjx8tmvd
xUNkxU0vfR8PC2SlgPSGI5VmCRSVQBo7cXkwwsK11cy9vTMJRWUISSHRifwjhH3PdxStjZThFVxA
fMmfim38en0JxH9+4mNASwcJXNwyeLzgDYOe1/PPF6GeojfMsQMd8ohZOLgJS11l/sqQ29YPXQPl
+HFlY0mr/rdJpIVR6FsirxqspLeq2LADu3jQs51Z3+X55vqoVkzIj7KqbQbGcbMGUZr+cDo8nYgz
u3FordQBJA/936Eg24aKPG5qmRbHYInOM0hzBeB9/akZ/K7os9gDah898U7vhhydKtdHJkVaf1vE
IwGHBmHvRaGRg2Kc2nNvB6EVjhunbyffQTFlo0HrxiNtSzbRWHF/0sM1PtalsYp+cqSdUP9FCvN8
p4R5FU501OPncL6rqTfGfmvsAG638pV2AOlIfQwR7x882KGLhRBPLO6JD01mQCCSZoyf6/Rbp0Lk
4rYj+/F9PNgpng/w0GB8P//+3EN/pOd1/ExBja496MbK1bP0+4GkEzhBBMVIw55/v7ANwBqQoQMc
7EHJfWettUS6Y8Tvh0vD6w38DvA7MjwoJQN4y1BfDPp+3EU9AfmmsQGetR1XcsmLhtDqhSZeDdle
VVqIvlVqteoHMwiRSy7V9I6M812nP+a5f31TL8wY8voCQAPSMmhpSjOWGJVOStIaQQcmCd5CY26N
HWvBIYhnNTBOiEJhQxyrkz1VR0Y5zCk1At0YgkpD54JSv7R5uZKWXRwIqDTFKYFEurx1Rz3r2hn+
PEiHh1q7o8y7faJwNFBWA5gWOBIpIkwqlRXNmKAFQ/OzaVe2x+vfX/AuIvXwz/elhUijjFNjxvfJ
sCm/sSbbAIQK8WkBnOxcey3lsTRdqFWoOOtI0F3QfLTUzGb0R+qBvgujfZGt+MqPDSpdbqB1RoCB
tBbeBvKzVJlLxiEVrAfqzMinMZydr3aRQ95Xr/r7qIQLswYThFZFZgcaK4gHnUNnV5ZzsrM7u3Sr
Wit2lWOOj84AVM31uV7akpDbQgkWSR8UUsTknGxJlJ8qMlutHkSDfVQqsjeiEmVYJVyLFhccNyjJ
gShGAyeg+3IWn+Uk5aFZ6IGW9S6MuKBw8uqk90HWYdE1xsUlpyHqvfgH79eLd+ucO4i7J6YH6DWH
5DTI4iLX1l9n+gdbFbBb0Qj68aCQvLhtF40exZURUOcYQ16TkqeZvGb6Y6k8dMrX29fKgF/Ccw+P
S2RLz9eKx1lpVk5uBEY09J5CWOUbCWr/ZmWRPzjip6akIw7GcZOWLIMLGY86PzjmGn3z4naw8BqH
O8TMyTEL5Ox7e6hx6Ibcrja6PUEThpPpLrUgQ9ADrPkYx7W9chQXjTqIHPDrF1Q0TZZ39ohURKAT
6od5BG2aTaLbj21xiNceLktODJITIjXkCEICsUNPDpZBeVNkjW0EBS1+6zEH5A4yxbX6ptvt92ko
XsIKIjq3bxC89oA3QjIP+QBpN4I3Zhocht0IrXHICgQq3WtWseIxltwlShlQf0O7vYWEzfnAipAV
0YBm66ApPkEU2TX5yoW/5JIA1bUFPhsBngyc6lCf08bI0gNOfcByK9CcrIFYF94bopr0jwnJ66Vq
UlszCkNBB1bHiSmuklh+3/zurU998b2fo50zvl9fG1k44iNgEocXPZIi7SDnhnjSNR1zcA0g0dt+
nsc+vk+geL3T1Ur3DV6OrmlGozunM/Hm3mweartrPtXlRCFxm/7iFh+DLPIbM96Wdcm9NAqtXdiI
JvhYgxZyj9b4eiVIXTowOIoAWqJXQgPH7/la60av1dYgfvO4UXq31faO5YEUpl/DtyxuKgAjEawi
YXIRsuh9WgxZDH8dVambMp25KJ6u4VsWR4NoFRBwDMiWAzxKSqpYVacDKvVlovA6luP2yAjW3EWf
7O76ei+PSASs4sV8QboAyuLOIsOsB2T+bFt347iyNEvfh6IzXkHIKAgxufOlafKYRQpFkKTw5LXO
hk856VdMLF2ipyakcDWOR9IqTagHWU2hHtcr29iEs0QIu4mgRnF9vuRU2cf5wFaD2IYQwQIs+3xA
mqbkYYSCVBA1kemVUBzWlPYhTovN0GnflFx7Sli1oUXy1s3FbXCJv23DbYoGUxWlKWmkfGaKOtTE
ChQjCT271eyN0iKALnV12Br5VP28PtglF4fWUmRTCLyMZkuLxw29bXM+wx5R3S7SdsOEuu2t/AIf
w8KhcoDzIaK+LfbQyR2UlIWmNmZjBWYVhMpT/nx9FEtb0Ea5RQXOUMNbQLrixkqz4hw4/kCfdpVf
rMk/Uw0/Tw6cT78vzZI6N1amp/h+Dg4vZOvrlEFfezI/26mqpy5PQg3iEqQrPdCFvDchSfHMBaZ3
sGLFqwjLdzll8dbKrMHLVAig62To303gkZ5Rq2m9GPrC9+VUOvuoYr2rOdz+WuZxeHd9msTPlIcB
ckcwCOLRBxSLuIxOViGywBwHo3bQOczLZijX5888zkGLGt3rqbNyjpYOrRCXxGNGF0K90lbWaErq
JprsgJd73XmbHpL8mWr760Na2L82qFUQYggazovozeG1qnJa2AHLj1DIgDjN/1BMWTMijYREWdfn
KR5FgN3t9Hk39eOWOSsjWdjD6J3C5kVUSEVf8fniMFQCaMMdK4BEzevkNL6Rx9GKH12xIecBw2hW
x3q2rWAswmPUTo92Nr9eXxAxF/Iew+/HAwsvNiE0eT4MsEhTJ4krO2iGDSt8csfe0X0xNF4YrsSY
S/vrxJI8mFRJ7VjNGztwKuU5Ds1jaPB9NGufUzr9dX1Qa6akG8HSQiXOIH0X4AS5eW74s83dZEZ2
ePpx3dLCCuGO/mf6NHo+fWpBR6VMcUQnw4euj6Kt7IDFkeDJhqADj7eL+vpU9JVWgeIOqSXjvrJK
l1ibrjWexkhZCZ4XN8KJJfFLTpzNiFIjGcXJbNrvRaG6vfPTBu9DZcyu1vyVrqW4FyfuxJzkou0w
LpNCz+0gN0Eqb4modOWALngBAJ7/nTox4JMBGSRkkzPBC5TZfjK3dPiSr100a4OQDg/6nNN6aGCC
DQer/aHru+u7a2UIlgTOgtvprTjGJHHndTS+kQRStvlaPlnWmPj7sv93oizptLCqtutmKpFDaka8
EPirrs/voOR+7Ev1SOz2iFrxLx4qO81INnpjPYGCZvMnAxWJeRDzihL4+VrlQ1S0Nh2tgEfOp7Sy
dpETfeXDGtfE8nz+a0as58mWiLJY0xtlsgKwjTxmDv0JKOwWFKMrR2nRDPRkQZgnYJryg011Rk5t
pbOCJPpSJt949DtPVooMi37BEPhuQEEB15SOTxpDDBwdInYQK09GWbkmiJLt9IXmL9cXRgaS/L05
TgxJpyjjXTvoXLGAd6v9qhk92w69pv8stLno9CVizy1IiJqyuJvY+3Xbi9OIsidSICjcXPSlmrGa
dTxJ7KAIn2Z2l+ge6G6um1g8wCcmpA1BM9VMyhYmmto1+l1cffqT7yNniWwOQNUXT5N8TososrAT
Qusr6LS+UC1cOTrLKwQksLBiXMKPjSbmqpZTM4jI1yiKR1fhVes1RZK7JvQyM6IhQG2fWanc9XO7
Hefs7fogF/ciojqMT4QRMlQhpwliWCO1AoFKMHzzPS89/HPdiHClF3HKiRHJSYWcFJaiw8hACY99
0vMf0N4pvpSgjjkoDum+F3M0bNKpaSHrGK7RXy7m4uE40B+N1OMlt3JeZ8g1M24FKogi4zLbWb3q
t2HnqbR+AQXZboqnnzxK/wL7+51pJZBr6u9t1j/3tL9nnf37+nQsz7noEQQJzCXT8jBEc9eXoYmM
LssDvNXszyRtpkMTO/ouonwtabD0FLEFKhxdxHCKhnRQlCnJyEgyK7Dz+0R7sCsfhWJd389rINul
dYY7g9oRiAXR3iXdBGlWFDl+hBlQRFZuYvItsOKdmxb9Ye5nsplouY3Ubg/x9cP1KV0aIhQU4EwB
iQJsSdphkQOscj2jLtkW31r9J2+ezK7ams5+MlbuhyWvc2pJChpTkA+Z1aSYQcZ2WujNazTc6tLu
gEAbdipySEB3SHEJCfN5zjvVDKycMw71jsT21amuNnUCWaU5rt5w3Qu2FNJshpjk95zF+eNgNPy5
G/r+rk1jdHgnGvcmZTI3VW4+X5/rJdd+8gPlt4AZp4pJO6zypKX3bYl3eNG43PwD73tqRVrROFMz
BXBlFIChvdj62lpacHEUoslR/A+JDGma80YnYazhnk9D+1ujh/ehWb6jydy/PlmLG1NHX7YglUPR
XBpGbneQ4TURHDlG6bOGezGfPtVm+FMthnet5mt8EIvb88SetD2tFi1eyqginzYTP2TlJ+gw764P
SUQNsjfHYJB8hCwKmHfFzJ4EYigPtBT5bhMYGi8N/abaDiZUcl1aP2hrT6jFVTqxJQ7LiS2weSeT
UcBVckiKQCfNVCuPrkXqiycOSROgqESKXoa76pkdsihBwkzhd2UYu2NRgyJBcbU+v7s+dYvDgeQX
5g7Zmgv6GTa3w8SMwQpKbfzJJ1QoZ+uIQHRlhVbMyJc6uFDSsaphRtWnoNKTPXLJG2g1vVwfzeJe
E3x5Qt4QHcni7yeLkxTZWCca8EBqOP6K8vKR5voKqGHx+JyYkPZa1aKbzaqEid6lhmdnG0V5rEeP
r5V0F/YAMkII8wB5BgWj3NBrJkbU6TVeg3n8Sou31jq2xVtyvHnCkDZDcRpwNxS5ZMC9YtZdCoo7
pIQwGs2jt7tMaORYgOggogTBleRroghFfbuv4ZhHt5j80ly5+hau97PvS76lUsuBAwRiBj34zQqL
PfTNgC5Y5vea+aTY83ebZl+hDLxidmlpAGkB3hRASvR9Sg/pPp7GAVUxMzDTxJ1wLJstqsWV/np9
cRa2Go4/ei1EmzKAKOLvp7tZzUKgTlMT+QByh5yO7prInqtTt9Xidq/NfAW/t3TRC39jQTpXSAHK
JdUqzkin2KW44ehBp194/DN6NPPZrywzPkBIN75v81hzZ6cjXsrUgLEMuvNpuYn1nHzvMsLudN1Y
y1suOA+Ud3GckUfGhMsEALTuKk4BGgmo+aCEX0cl8jQU//5gstEHiQYaoBfBuHo+2XGKJjzgT8xA
NZLEjbR8N5P8dS6sN6zCvYGS43V7i1v3H3sgkzm3xyu7nEE9gHdWhsDet7vW5ZmXWt5kp27Soy19
xdMv+Ea8em10FKOwBNCg9PRmyJ8nrTUiTLR8rXGLw/XxrH1emr+xzayCEHze6N7He2L9yedRs0Az
GHAnqPufT5ddlH1NFHyeWQ9O+QmF2T/4+Sffl87agEh2akJ8P7+j6rZKttc/v7Ta6PAEQFHUfS/6
xKfKUFK8N4ygyVnr4n3lJ3PzFTrsm2LoN0Wp/FLtzPCUfi1oXXJVp4alG9EZHKTh6AT4B0+9Ieu8
HvwTOv052GtyQUsbAJgVAfNHG8hFJJEVg24C12IgCHtDB5ezuz6DK5+XI4ihYsVAK3w+JRnwWqZL
bgeqQndZpN/h+C67tsyGtv3UDVqgW7XtNQCV7owpW1OkXVoP+Fe0AAEQtsCOFkd4FHJFCyjb5fN2
qPa02U9rMPlFK0LjGVVPNOTICVDVRjN83pc04Ebojpp1BxWlyB2Vxkcda809L0TfKCcAOY+bUBOh
1/nRTIG1HpWppQFYsSJ3Kod7pllfqq78WgMO7uamA+4FpDOu74elE4WiLHoZNLRWAhNybpVlegSA
6agB1M4fKiA0bc62kZZ+n3pl8EA3/Q7FL83tcudG+RWRwxQtcIgvCRglsN3PLc/xnE1mE2kB6boX
MHE8ZDNbuYmXbjxUgXQdOE2YktMWRTJWeWzHWlA0ewUdLaHid/HX6xO4tGwCZYqqOQhWEWCeD6NP
wIyiOSXgTVEEQn51YD+ZU4UghzKL37Qds30+xJEflhrZXLe8ODpc5dgvuPcuqrZF2RgaJzgDajP2
37hdj282N3Of02H2/sDUB8QKpejLRrh8NidqKZUehFn5lNhsn6nxfVimK/nzJecEoJtodBJm5MoK
avdjzeMaZtiuKryMr9xOizMmAPQQbhcM2tIRU1OrKUcT35/rp2q678Lvtvr6BzMFbm48odHPcMGe
bitF0pR4CwR9Wb8Z+rB3kvCvqrP/f2Y+0DcnMe2M6mM41KaGe1yr/JLGznbCjY98UmyuvNQWJ+3f
EX1kuk9MxSbp5hiyAAEHxALtqokJofM1MSkx81LqAVHDP9P2UQ07MdKgqJCQKQKoOjEr6iI5oOyZ
VeqbqekyT7TIbwZtFXS1NDTRA4VyDcoNKLSfn925CXOBTNcDwjaKvo+jpzRbebotmgBYBxZwoQMO
dW6Cd1Oij4wAuTzn70NYfdJytjHStT6aNTPiJjuZP1ONWGyUmh5A07R6yRI98SFJrHwdZrXbrOxw
8dqU18qh0B1Fbx2SwvJrdFQJ07Q4MgKhUeD2id5vmxREXJVl5B0USdLykc3TtC0LSHvYTWh6nEN1
own7DAd7AtQ5a7N9aylsM0aq0bkDIfmu6cbSoyVp7u1JrdzUbAd3trrk3iyr55SXJlLpdbZtoXe/
j9DItCWZhj4yNLCyDJ0kk6nCvdfmTzOxhwiQgpYcEIsI6d2h8wYIc/9SGBUSe+SboRDlHY9FulHi
qXlsphFxMKq6OkSAEnWDigbYcQ2iHY0wUt00iRNfL/r2rjbKZEv6cC2VuBRmwCchKQwULmpq0h4p
q2Rs9NbRAVqBKq3GXBUMagoexOhJ/wMPeGpK2idxFOuVM8RGEDlebj7VeHLS7fX9sXSUkTsUTHMY
zgUEJ0+dOc0tONmybx9FnpeXYbTpS+Nz0dv6tjDsFbTf0q2BI4xCG4FgDbzu+d7v9DZqOkXXAgCc
vlvWtAXk5/n6mBaP14kJadqcJAr7PtcQSKiqP6nGwRnVfV2Md9fNLMUSDkgbbLCZqGCTkv0RZKOV
orO0YBzYWwuyxLmedyaDRqAZc7+NuszNszV89uL0Ybcjcyka3eV+2VmJaNYniABNdpggIdytzN3C
9x1Uw0yk3tDydUEGnU+GkXUm14IJVFKDDX3IMFnZ1QsHCHGkqLOCwhzCmlJ+rBzDTilHXFEgQ/kZ
0ZYcO43xDeOKvtEH1bz9iYNyFEph4HFAS4ocVg5t049djyYbS0s3ITX8ql8JXBcHdGJBzOmJOx+U
fHaGHBa6ODwUhrPvlPih7mbP6oq1oGhxfXR0C6G8Z4EUQgpgHaXsZhEsBVbvVhaUyQx1xSMsnB7c
BP9YkMO6zJzwaqYIVKc0/B6ZwH6OA/9ij/By18/PoiH0AAOFi/jrokkStOpDnYehFgwt/6WArdO1
Zy12Ga3XLIlJke5AYH3/tSQtEEfj4Uwn7DjlvU03+lsDdiPL61KfF5t5WsmTLg4LWxe+TQB/ZWZr
2yrRRDEjONKb9k1Ps43NCkCM7f312fsAzMuDUkFrClQEqP4AaD7fdTqd6zYxBxpAUjJ3J8KANtWZ
gVa9pgsS6Ez7RdkR12lm7YBm2u7FIOPkagjRWtes09ENTavS3JFF9V8MGDkgHcJ+S412fM/t0fTG
tLEfNV43d6atlC/oIc88NQIfH9Yte2AzfKueNIY3gb5/3/ahmrvhxNiWhnrxEGYotrkWSDg8K9bN
Pavb+rOh1PmDE4WxP2X7ue3uajTi2ZFv5z7aznfRmPuj6kGmcoxCH1R2DykEip9whSMlyXjtk1Zv
DzEUirxSIfWDaoObzGjs6DeiFntjOGmzrdMBOtfQ84akdtmgn44MEKhDrNKZVeKhL8SCnpyVuE6Z
UpfyTvF1vQHleGjnWy3v9Ffk1fm9E9Lab3syr6zZ0uFFxeFD2Ap9f/LRUng59X2T4mjRe1r/igq+
8vJbMyDtiXxgWptxGCCDH96b04prWPw8EnnIegDgfNGk25s6ZxEtNeAbq9+d1n/uyrU+4IV4BM2a
kJIFREK1kZk+39VzxdTR4SpFuBruJ9vnxIIo9etUPytkDcq21PUAY4KdQUOC3ZYrjmU/pQPJGR5L
tN0gEHrRoCMMKv8dKuJ7tes/p3q00U0WeUCsvFw/vx/hgXx+gYUBCR5F8h3YwfORjm2TATiFKEWr
stprav2hje0dhRtMB76Zm8xw1YyjQ8pWvtLRMN3YiXaI10eXRej4Xvk1IvN+8WvQDQhIOWQ5cL2c
/xoad108wx8EZnZfA/oSgrWJRz8crfXDcPapmvkxf0rIj+t2l5wlGvzBQIyIRrzBz80qJTPUSp1o
wOwHOt9F7X3Tr/jjpU17akLc3ie3M+9VPhvDSANSvrZPebJy+a99Xpq4GVd8pUHyJYi7d816vz3H
gsrFv/MjYtCTH29UXO3RkEcD+maMrW9GN6r3irzemQEpntD0DuQxLQywcW+SykV8ueKTlqIjQdXl
AHmNSoDcF6mWmaMrQCijbtiZ7pAwfddOau8ZRFHcym7zla28uKXw3gPDIFJ8RH6fVcya62KmFGlE
w4/BJMoi4vW3E5ifcbLI1NYoj6FL2AInS0xfo3lrxivuQdpWyEHg+0BciNY/kTeXPHmCkr6a2io7
AKvgUghhlLftrA8DIpEi5K4BvrekhafAvNVTxNghc5vwvSy/XT/Yl78fWWrsLqw68tWIUc437kwK
btkjqQ600D3auKRYk3+Xnl8YgMiDo3KBTD8ISuVCcaGPaquWanUwOi8mbuk8pKpL2GORQjXwtkfr
37Yglib48LEwMq5N65OBg52ihkzkI58eqnktQl2aLrxSQFOABn0V/z6fLhpDHy2ejeoQT5nPTObG
a4KX0sX6MQQEwRbuVbzzgQg+t9C1SjETNlcHv3E+OY7fdZ7pqmsYx8VxCAAPcuy4TeTglxEraaLB
4QedAfc0Ox6Ytm7fWAh4/7EgecTRzkGNjxDhkHeFNyTEH9Y0+iSH9fdMQQ8YHbeCnFtu3HOYZWSl
Q/ihyu5ZCR2vfdPdt8Pm5nGgewsdaXj4AOBOpGspmhqTzzjmh6blW9V2C2ONkXFhLXBGwPsAtSA8
FuW1sOI0Hp3IrhD9vxZl0NzdPABkSBE74SkvqtPSxaeE5azmSYI0RBiMqVfc7qAEygXdqHjfgKdZ
JlLhWttaTh7mhzau/NDQ3FZZCccXFhoMOsAeAhEoVkI6dMA8oFLSmvmh07dceTLreyfzQYxxfZ4W
rAjBHwPnDozjQFqcH7zQVPPcHvrioLhZ/etX5vxccx6LFhBEovUMsGJ4w3MLZsfLivARK6Hdc/t7
nLyUjLhttzJdCw5XkMYKWTXUjC/YSjJgaEajxZWnGNljOhi+Muh+1TrbkbiISqvm/frELezfM3vS
xOVxFfZ1CnuAHm1Mvd2sPgCkUEGcdFG7xQ4Q+MkL5FxP0nnMRqs4hNUW3VSubrvVGqpxaRTg44La
KEJcJFbo+eJoVZfrNtRNDvTbMHi3s7qCjQSdARbeY2AgkysxUanGRRGq5aGbvlH6a14r+y7NEMSS
UDAFqYXQjjj/9WpuWV1u0+JgHTWQMtWiofX6Ki9agKNFag4Bky33Med4sCOfXgkSEN21k8QDQhc8
DGs446UzIvz5f83ITYZVBq6A2oCZkm30IlDSI8oG6spRX1xrAVwDGETwo0lrjRI6t1mbFYfK+cWO
3Zos9uLnUWsFgxU8ygU4ss57C7IzBNvVQbwz5Js8XQue5Sfxx5EAEzFapgWa5QIbSWil2E2qFgeb
KC56BAxAZiL+K03TDVMmN0Y/2cCJy8e11MXSPoC0nQ4PI4AosvqXncdF3cwGO/D5l+a8qtUbnX5f
32oLIRBuE4SKYH5DdkF+cetx0kVsQExtMsdTS+2bFWW72Sj+slHEdKJ2ZTcsjUicSwKuNjxwZbes
t+CcbJqQHXrddDVeukqlbjTnT6yAOuG/rGZyaFqmcQ+KBFip+kfb2vWjT8OVp8LS2UHuHFUiQ0O2
Qg4dxyhXUqB/wT/JHiC2s0kq5jbDp2ZY0wtaWCA0rKDTScX+Q9FSusgGqhfATkzxoWXje1+oPsJA
l0SKa7b9ZhysLzfvB7CMgEMNAQyg13JZ3qlaZEOzIj847Jlgv6WvyBS7E/5PwpfrphaOLoBPoIOD
bxDccOLvJ+/4bGQIv3sDoYb1xXR7evtVCfVe9H1+cMJdEjNOc4hkcMUO+UvSed0a2GlhJwO5gitf
AMwB5NLOf32hx0pIqrI8tNTPQ9+wUFXbXJ8guYNWOB709kGAAGUhXJZyuBeVMxa/Rlyfmj8iy2Nj
urNbUDb025bs8mlvWm9O86MsPoV07dGysL/PTIu/nyxObVrNjH53fhiV4ak1B98atceShXdauHZD
/B/DRLUD7A0GonNpKkkZ5xUAUPygqa0XpZ9s+qT3Tyn/yjpnY9rfTedFS7gfmq3XrZ3jhQBOMEdh
A+LyQElMegLmmhWptWnzA9f/ausHR3uE/O7GmnZhtY9WUUgfdNEnKcW/V1SIToliJZotpNihrtDD
G6F2dMjnAOTzHrdHEHJzL8qYlxu/zGivV5sG+rY05i6vAkfblM7XlW214FKAecCtIkjUQcko/YiE
V6AxoUN96GflsxriaECZwA/jZEsj7UVjdNs12jskEZ5tiHsxwL56pdlGeNOwqWWg2y7AkcdQBtXK
79d/2sUvwysf6Z2P1RDwXmk1Imb38YxjdRzGz8Avu5O6reuNHu9IdDNDsaA4JRD3Bv4SsQORvI82
8qGr644fNca8HY+ylTtoaSh4pgn5AlR0L1JuJjrcaGy3+L7qlnTy0bnjNz+b6ntc/rg+aRd+FCMB
rgLPZRErYFDnRzXP0lYbC70+mt48bsAvc/PndQNvNFQFLATtcmfImGhVDlrY5pgYua+MlafW9spl
enEIRWsIsnpCX0yofUgOwCjopM612R8N7XdWHJNxR+rdoBxCZPgLfeWGW5guwAQEfavoc7pAqdJO
GWrNLOsjWqkUcq/elvuGGwH2GcVTNKBZUAiS6ycNy8Jez+P6WGu/o41W/L55NdCig2Y9RB7o15Hh
74IW3s5MWh8d6v9s1wKnpbk5/brY1Cden3fM7KxEq48V++6Z2kr+8+LKxNScfl1sg5Ov62kb9Siy
18dv6XRQvg3d2+1zgxwYfBoqZRBpEvZPvq80Q97jyVmBAehrWzRep+orZ+FyoyJyRXIYj2OsLzLR
5xZKg8+KmmBxY+dpHBH+m4+D/pdmPUzzXmlufp8h2sPNj953vMWRTJKOhaLj7rXBAnMcYqQlWeux
YmtYr2j9uXXeYAct9tDYQY/hRdUNMkpO2UddfVSTTZlshpXTfbmpzj8v/n6yLCOwcU2R4/Nd85jw
1zzZX//5l54W3wc4B0uLsiUgLeff57qTxlGI75PW9scy+lxVzFNV8H6jCzTT7Jfr5i53MfSgEKQg
iQ+jyC2dm8udprWieRyOkMwDWPpXZL2ZwwrmcmHKUBOHDiliEjyX5PrQMEcZwmNQnQ7W4Btl7dOb
nSDURwR9gqB9vpTmjULQ9ZlJN2Aju038FCu3fx90K+BcAQQM4atcOsXUVZNNMuPYbhuHQ4rtZnku
wDcRJojTjr5IFKvPV2FmWQ5Ad2wcneybkR4TttXIdk0ud2GpcfZw0JFbgPi2HBxCRXVCCJXox+bw
H86urDlOWM3+IqoAsYhXoBfb7bXbdpwXVew4QgjEJhDw6+eQOzUTt7vc5ZtXV1AjtHzLWQgZU92V
q+wcbvjEp/4wxlF9ZNChxmrDGEK4qTBPDdCTXy/YE4fW4vaLHspilPApVfWqvi+FgxGgb1GSG1ws
60K9Q9oW2DJpn3PPOTFnyBrhlY2yHlQPjrvXNuQj4HhE3D2d7a2001nEluabr18J7ZllV3+IpCGQ
BsDp4tQLRvcnWYUGWDJmWED2sE14QqteXc8mU9tReJAeDZn7AO/66pblRiUuC8mmdaegujDwCY8L
y0KfxGEBkDV5FDSb0S+LXaP1qxtJyDJbhRuPnsXblc78/G12MvGYFcyCBigjnopV7gIE6BnyFnjw
UIZZFblopFogNNGYp3lr1SvTK2sTtcH4kI39+GBNUfAL+M+gAREltNaARjqwGOZ/6iZb9yHYo0LA
L6dpLJmgM9ImA4co1wyQ5oVg+WtuyWxd66CNI08CleNkzbscnX43tlN2pahGkbZ1xc9MwdE2zqbJ
xUrVOBEL7q3ntvTnBNYSP9tS+2ijheJH22iomVq82jvUPBWmq9I5nOVzGYVV2gtngMhkRNZ1qcZk
cNi8FYW0Y9o7cgXFJlx2Wj7KPOKAHlv2ivTW6zx50EMf9Oxmcchp+ceaxizugwHaThISDPXkPDJj
y8cWWOqtU8Mrgfp9WCQc3AwnzeAYTVYQ5HCa517q6IdBx68DTiy3N07d/5LN8OxEaowd6M9e0QiT
HqvI5kmr6/EF6OqwjcPKn5uYleXjVFdIrFwrYhcTIV1SujmwjsJ4VUxbVRapUoTee71r0EHJyoRz
PczxNM3NVUiq6U3Yw3vd8m7d1N1PNaOyF2fEApTaszN0XYqBPpm6eBo7+uzO8wRe/lTa9zoE3wMW
b0UirYmn9qwgD1cOfIziIBqrNuktS/0OKIyeCs54MnRMPQhUmaCL2B5gjfDTd8Z7rvLMTQ0QWKKz
3zVkQGNWBeMtQGtGpx3t/eq6A+RxY1r1pzBeyNaNdtos7gb/EIih6RNWhzJLHU0Mi/lAO5rQcRJ7
404/VKAVbhToPqCoYx5kK346TXg/5Rp6D1aufhinfhuzBjAEmXmJkrWIDeS9EwDLw1jUGV13NbxJ
IqsPyEoIoAWLOs9KKOcweqXnTAAjQ5pHD7CMOrYBn1sFIEdvqnyGIrCv69QJZP2nlmN9IWX5WEwj
j+0Kuteq4s99Z5GnQLnVxTR1v5sAONU4qLm6rIvJSiBQ9xPapNA1sULS0W0pZud3VAcW9B0mN3+2
tRRJ00CSvzQ9sPe1rBDPCAh5A7KZoqv1BCsnW2+sJpz6yymTvXfLbJjTzF07Q2JIV+nIiEzGIQrS
sBB/grxRadjlvV5V1C9iXwPctabjMGMB+W7sGnuXT8RWsTd5TXPRQeA9DnvfSYLcNInizZR2ReXt
QqeQW5vXPEEpTKf2JO/drJFQ3B9f4TPTbIICgCrDPB8aoMQ3665rfS/pJvqbzFZX7oxsr2XVltfK
4PTBgmgf3bLcTbl1X4RVbW3moVZlAuWQIR6YOLCxeHFojuOmce3RT+FTUHWXLRX5zh9awFZ7JQcn
tpxKxWWeZyyWIW+ua2LDpVpG0jwqu+TmQvsW3xq/5vspCycLFtN9jRjLV7G0oBJLZ8YvGl0qscqt
sGcbLM5b2dobzcCd7l35A5LDU4w7tk0DE5ikC+sKnO2W65hJlt80Jfdu25HJ1AzD0Kwm31xNvBlB
yrC3BA5LIsMCLIbAGbZqHOmbi9tyPWbMfmPtui/WA9w/VzYzWP5i5Ldj7rksbtuAx0rb9KYVbilS
WfntM23JdEDf9LXPHfuq1MOdKvBVlCqnH41fQeDKEV2WwN7O6VazKcakgKPUjvuAQRbAif7qdcs2
0JQoH8E/BiE8f4Elc31B3caHvERAdrTB6sAWtpLBH8Cf8zwd55YN7gUhLBajmtYzrLd2lmSWuiIB
jEriopxfa9/OrY1TlCXbR7oEOsfoKW6KgU+/PO25qTSjSXuc9XEB4GiKnqqXArzZgBCofahzF0EV
xVDFjmJCi7ehISYprAFHqwqnCKQPWev3SM8siuHW58c86HK68aySQGqqMUauRzWzWLs2riE3MLiw
x/tmhu4kYx2+wvQC8WOaBiXE1Wt3Lq/43O46k+lYQw81LpziNaKoV2V1dqvD2U27oSUr38/oo20g
3uWbwYs7qL294Nr4M3lC2AnEefqUulOrYmiL+06seruuN4Qz4UADi4cynYtilJtpUiXWbAaDBulE
uZMgavaxfkOb7EKKWh3RbEyBqtnmoZXMhXUpHaVA4sEvs0mJhVUYsqks4q5EBmsb0dP8moyyjIu+
2Cy0WObgw+gBvwf3c7+Hv6V957ZcJSUNsEfZTGe1Ur5TrOvJdle+kAyrlXX7YBxV2rK6uWcAFkCx
K5pgIjFDuDcb8x2s9/imGGdAuLX5M2EGE1yzdULRyLsLJtJvlsIkdiYxK+KZAcQjl5mXpnBA0XHy
O8B42EpZuX7B4WdeCjlNKc7l6rKiWfcAkmuFsyH0moSFRt64xTT/EFlRkWurd8zPvvTceG5bksCU
r0oy7bCXti3fIOnlryEpAh9AKdzEbs2UQD/bvgw6TEcU9r89oh9s4zy5tdcAF2PRPQV6dk37LGgT
MQILAOXQEnWZgG0d0nYpq7Mq4b4tEo9F7g78vRxLTHUXOIWXYIlWKwl5+wMusObGENlf+nLGAeJi
e/RuFeYJKID2xkiv3zBXmqsoYojCspG6iE/1HCuqmuuAOd4LGfJn7dLsyegchh0jba4K7kIxMM9h
9N0hWqrDBhvmP5JicxPVUIkfScxzon532g5T/Fbc4h3Y94iumqXOOvlJ4GZQu5dD0/rb0uq7xAoG
qW8Hz8neqpZBIFmMz23k3muvFDt/riO0ZJtolhvHm4c2mat2Z4vwQQZGYiED9R347Qun+q7Om2pr
RaVIXJlBy+2K+mPa6nGNI3fTdv1wIQPLSx0IGlwUk9IJ3C2buLWh7rYWFSWr1pkX7BauazKVXeIq
cGp6v7yBwC1fMS9rV6MFAZrW7tKI/2q7sEyGqHBWjFqJrQeTioBAQbbO4zGiM5oG4x8yOa+mNmsn
5AqGpOgryGjj5TRtmP+bE2XHs2TwdYUrfBy2ArbBeYnKnMjiKDd4kQA0SmR38zXMFva1yd6hX12s
x1p2aOJ0z0QCVQ7dwJd58sWl1P6tIS4sZWj9p6wUvcm53f+G4bG9E5T1h5kyhrNPVfe+ZfJHxXW1
Kpk9bXkdmGg1QU8kv+Z9DhhmGfErG9O+LugUXNHQVFEKTRBfx6SyEHrl0g9Xxo5WNsXd5qu+Quxm
1T4acyr/UU+4+GK7Idnes/U4JZZoyC/A6tVLKKpfoTX8MjxgSTlnHaK2/CWj5sBA6H1oWo2gL8NB
s7M7PdRpIYMCuie5GduE4kb6PdKZbkaaD78QO7Qp6jZ+DNITujK5hjxaxq1m5bNiWkXSza8iN2tv
XWi5ADMeiHUT1D6+QSCh+sG7MoKO+MQepa6BcGRuV4Q73YeVG3NvmOeUh5a7tlz7D8v0cFu46rEN
gnKFcxf5gi2araMCVgB6BPzUYJX8l+iURoDaBi1dwdQ621Q4mBIDGMNPz2qrK+QMIY4KKxvNTnll
4x6ssvaqbVZTT60DBLZJMbB8LYtGplJkB7QIf1cSIV7l5wnx+wlnIHhdVjT/ieC8hjPcx6kT4tdL
fP1VKal8BkCN7ubazVdjDjPNCft6r4MZ4XvV6J8CDIuD5Vm3TTsA9RWFGvnP1Ceqa0pvVRVlta5V
5hzQZad640w5lBjjSg3cunKnUkG6vB2sqEdkitaE7psG8eKs1txAozLsreBlwAd6YUXk82tfo6gc
ApC3tcVYeRfAQt+g9zq4l+1AqqT0entb5D7pVxltUeHhE7oxcAH1bhoQM2FxXby5OZRtBjXpGycS
Jm7gbn85cACOYj6W/aPHZHeBqotB29l3sW5VEMWattxcep4AHKUuZPY8BpzGVlhgHgBUWhf4/7Cy
dUi1ilz7V+DP0k78AfGvN0KnV3d13LUZFMa6WSSS5wfbmUSSt2pf2vqxQovg0ovqOfX5rOMpohDa
zsrytrJLlYzohD6DzH831xmiMrsPk6C3sZ2zKrtwcHNshFNTyDtqF3uZ0BQOl+rSjga7fYBBsguj
Itaoa26ypryperSiA/unPePG2DGuPXrPbLstsPp60F2a4q30e1BjikcX5ynWqzc8Z7ZfP9KicyBl
7U7zc+314w2O2x0teZACTweaaB3Rn4OYnz36qjKF27C27C0PfOtnrnI7LhCw5nHLKQoKWeerMGUh
758Djp/vVVX4Osw9jXuP3LMs91fTVD9VeS8SlWNjlLR77wbKsc2qZ8+MyP5n5ILZ2FRx2Fj+pgkK
lXQExsn9GNkHRMGPGfXEs+1m4S/iZ9nlDFA+7tIuLOJiZNVNlLfBvGQ05WUBO99VAcjBrneLzF47
M2cPFVWRSsFHUvV29vqHTgXS7ITMlbMvAiR1WQQljt6wd2eY3qXur4Ymr+CmUv6awnnvZOCcrKqQ
zPYa0dorYcqLywb4UpQWUPiKm7nHFRhQoIJoqBpEGYDE56tKV/jiczW7F5GuQlgwe82FX9mvyAJe
vajPk0rBOtAv7Ve3W5TxcBbFIJBDATyiJfrKY4Y5a5h+moGqgQaRw7CFiuFP481WXPghTyZY1RSo
N2QcPkVDf1kTqyexNPWOzdxKoiGvxBUfpf8gefA81vBidcR0NxZBmCKzR6ZnRI6DJTq0NnuGW4gV
g3ftbWZRQBhyJsV2NhSeMjnr8ctEcx8YNSCFBwMmLlne/oRsk4ZsDoJtpKcsGfUc7UrBeWKbnMZy
LoaDZebil4xq9aPJezVsUQxqb3Ogr2MXN8+QmNDbzyynjw10oLahaUWeuJktdxMOicdacoEdHrQa
CD47KGJEjuSlBvzvYnZH00MLA74ta1WVwWaAmKdfK/sZ+bBJS6C2boa86FddWXWwbyXOr6LS/bQd
uGQxEikgHvlyUth9FEfabpKORvOmHukPzDyLEZkgZ6MIWafZPlQF9BekQPIfDtvMcdaR0NGlDQuc
JC+Y6G+0lq23i0CAXPW+cC9FR9sEfes29Yx+Qn2UbAPLfYkypFRjFT1mA16MgEYTZP6O5fbeMI0I
XPK3sKtfEJyFqxlssgvTerd1hLb/GEqzr3mm9apt7SJpF4IirL5slTaEibSlSG30xF7DfmCJbxVl
QrxiWxbu1m2CbWVNZZsgbG6guDCvmm7cRkGxJe0PSrY66GJn8t/dkbfrDrSOK5JlQGmi7vruo/Dx
Kws1EnFl8z4NigiEvkLdIu98cjsuV3KA5Quru3xtorCLZd8VO8+gjjo19stkifqqLMOwTA2rfznW
bDY4V8W2zebghnmeuZesjtK89/zUDvNDqee3nFf+Rgqq4JTtusWuaHSRDFkdWbAr9ulhiMYnaCDb
HEcxQ8WtgFmcxLZIpHaii6awyjT3h6qKGS6WN2GU/4IL2VTbOc/fUI0PrwrAfK4FD5p0NBDas3HG
XMFDwL3VTumhVlNaNqyMmI19DX6/a2A/OzubVnnwHcy12BmX50ic7SoWvfpDM+sdjH4vhqjiPpQF
j2sEzSn0Zl8ZU1FcMCCf2CzCC+6XQXA5wqTjyZtR73Iit6ZJZrz2beAtpYnPHX0LP5M5nrlfIw6I
rAx10zKMe2eot6TL60ehOIbKwuchcod0KKjzYAyp30XfDGXMcHDiPJznHzWug40myG7XI3LA+zZw
F1euoK7fOiLd2HTNQ+todz0HQ+gmEIU1GsmTOigQJC9xy6J1N0XFuBsKEa7HoX6dgKotE6/PJ9TY
WvbccPxQKttyxVsruslUY6eSwwk4hzt9CHp2OaJEGP1EBSBPuC675xlYtFv8pHpCKhQQ1KRnJFxI
FugqcBthx1KxcG3YZBK7z701GuFPU9eKd7jkyrtpYM89rqLtAOBqwqgBVacdLbKaWfDsoGZX4DBO
Ah1oBxMk3/rW1XiFvCviGk5SIjW1NT1I0sn3cEEyCGZwCkac/NTIO6+smTa/Wb98dntRjhm7dGzZ
hCgbFbLUjfphxVCaPLAIOa0zRA/ukLFk8KowdkmF3ahKExcehMxHnDrrvK1G1DVrKBrntU/eqVeG
zwDe5dCpcMWSWFhwsYnZokYyCyTCpDb5VnQWIGyAMAOvUKMmdTmTYNx4oNDewXCdXntGWCkUQsHb
xSnxoFsTzWluKxoXEZy4UGIGFJITEyKvkF6QNA6RZ7qvp1oLoOE5SxMD9JZjbFpdew7jZiL7cHie
w9VAtpX5ft8K2gULARJWeQBfHXVjZEgRVZSSoPGWOvkWZaqvGxcnuj2QroNFFiBd+HeM6PJRrSJZ
p8i+tFbgCTvnDPdOPH/pFAMOAnIDRLiOGtSltFkku4jutf+K8xML8Ovff+IT/Pv8Y/xm0IUGJTY8
v6jh48y2nrrgqLV9PciZlyBHKCCnhVtQpjCII3a4Q6wzzaNTjwdwAlo9QAfCQnz5+z/9aBcFHj1C
yAdo58t3Ti++++OhwgPwOfAsFKJgxyQ4OkXEIqIne6DJrAsITX39+OBT2+vj44/mBrmb53YZHm/X
uyiE8v6FmTahPAc9+DxHH4c52geoSqK/YWmyV/PbPB7E69dvce7xR91bt+5qjp4w2dd6i5o2OfOF
T04SupAQ0UHHM/CPEFHBAMa6wNG3V/YaeuRTHXvvVfQ9Di2APj7ABoCXogsJqZPjRiernQy0crS4
yxHX4lTFqvn2PsAIsMEF8ZsCmk2X1/xnoYq8U6XII3/voQwpvFVZfZfCt7zCPwMsPdZ/BoBeK5RH
OwwA3npsaMrsc3jvUx8awP8QHAPo42GsjyNYzUBQYXK9/RNqZlCtPcfFOPV8SK0vLOkFmn8MwzYR
lYLUfbA3uAcRrofGOvMRljn42GdG9x/gksVO7oRBQy899Es9He4HczPzNCovzKZ9iNT3d8SHYZYm
/j+fwipzCacADFOjXZDyIvl6w53YEeiXQ1VkUc8lAGR8fHxTodaRZVWI6Ni/liOktTYeWsOQoDwz
0OcLwgeWDzfAsvUA6j764DpwyFDWERILbxY7CKTv0Y3wb+t+8M6MdOKVQIX7q6HqB+DKH43EMzSn
XUntveO8j9DhMCNSQXSbUcD9/kiAlQEODTALJJo+oXEEHfHGwbTXk4tcoDHtcAVMgftTGoEKZEbZ
tzGE/qKhBHg5+DIAgR29GrpqE0Bu2ttn3aobVvqcEv9fZs/RogYkFbaWUPwGEfkYpNiSECkKzBj3
ToQKHbf8IilFQQE+bjt44sywfS1LCGqnaOtwgD4dc4HUKoz17DRXMxRqL9BtFA8OYAQxR/K8QYUp
vEHIOu1IOdnWZgqC/tZBQ/aGjD+naicGHUBy0dfrwoadimpBahJ2HSqIKuTdLRy/+WoE+/21K6Tz
kOcIPb+9AcC+BU8Iqm+AXh9TaaJwyuxgbsme4iyNisMEJbURFn76DHLrM5h9ofliKHT3EANg3Xzc
aaMEdawXHtkPvoiJgaEvj1HSmjoUp9Dq5uOu7zdueYEcEEXmM4fVZ6oSoGlYpJASg0XHwpv+ODpZ
ik6K2mzv3HahDwlPjgl+q73HSFSJVScOkp7oe2JSuAixVAHCAd8GA8M87OOYrA8qGo4122ecb5hl
re+//nSfz3iEzEDmw44G1g24cz8+P5xsUwSsFoemMjfKKS+J820A5McRji7aqtRR5/oYoUdDVa+s
4NsISDwfELIFShZgto6+ivSDrOyJFIc8R5SQnGUknpwhKEkEWHGAxR1z7KK+7u2il/jqLlAw5cbV
/80n+GeAowMJethePTUYoEY18mCfk8P4/PuRsACJDVitvcjpHj3eHjQjFUpjexARZf1zPMfzP/l8
fIEQaEGkjse0AulwS1eGWXtohitnY+iZbff50gPu9O+2Q7wPJsnR93UtTYG+8+WBzhcqOuTBWp1T
0DrxCh+GOIoP1Nj4NvAv8uBbKchYJf/2Jo7+MmYXuy/kvsebjFOrkb6i8uDBqvOy4t/eAREERD3w
FEJwvj5dOIPJoMM0W/lBvWXAMQ9nbuhTs4MoHGEmhFCBAD6aHdmUbtlMkYRYEWoccfX83RNoofT/
/+OPTjgXxhU6HPD4Ul3R/roNz/z8ZX18vI4/PJ8e5SseWohy8PB8p0/qEMgEN0ZpHk3zRNBzRlgn
1ioqJ4B5AzoJevcxfHnMgyArolIdwuCx6od4HDfOObHlz6EZqDv/jLF8rn+C2absqFAIzw7WqjYi
HlbOUrZcffujfBjk6FqggYIQAsMgFWlAjr6a1fe3xHK3wQcDSqAQT3eP3qLx2djlSh3sUK7b2rpk
Rb/5L97hnyGODj4DkTbFWKEOT910PebfvtbgkhCAnoqtjcvn+FiSxdCOHN3dfSlfNWBX7plY58Su
8yKkkEDBuw4Y90efuaiA/hlhFrcf7VRcABrz7cn58PijDywtcG8B7A/20PZcF2JfyenMvjv5AlCr
hywL4hbE9x+/MBwGA5i/GUxQC2xjGFe+OTPC8huPdjZAQ7jXAFZGOfE4P81Z54DORsO9adeAtwVw
SRnWX0/Tic0GvSLk2Cj7/d3VH1+iApbHrdDc3PtRmHj5TWVd1bxNCnPmkjsxWUgeQdZ1fdAGQdP8
OE6NBEEQ2tP9orPPLsuzUdKJU/DDAEeHeOZmWQtLbbqXf4Aqgh64D3XCAsTTM5vuOEgGs4LC4R4C
UpAFQfJzzBMaHI919RhaBx0iHnMBMHAvrf4pBEmh7y/maEoB9kJHItt+/aX+8gX+WQ0LZQQ5JJID
1I6g7HBc/VVaEKhFjuQwjcCVAHskvZgD/PAYzRPZCIWGbsuqJwhVmnc47/TvpgqiK1Ub9qeEkfyl
YvYTUBnVunSB5bPI7KKTOwCORiykFrrpoNcxwS/gIdMNT6LezW5p15kyFpEGCPpyIAn4JKbhJcQK
Hi2qgE2ou1UkWsj7DW69cXoCaB0ghxcdgCpN7MoR0PQyksUOINPswUT+ARxRO/16Yo6W8H/mhaBg
CsIkCNXH8R93o6HMwoEchH/1Y1Opnfzx9QBHa/c/A3hQc4Y26Inwo+g6DYXfnhzsgacA1reDe+YV
zo1wdFl0pYZoUoZX8PoXa8P+ixdwCZJJsHbBykcT5OPmyxTKaFXn4PGetRF5tj0Tn5ETnwDsPFAw
PVAi7U8kUmIE6mi0IQeuoJcaMilveOjUj46u+J3tQ/bJ8mfvT1SxHMALoB0BKvWv0Y1GO2swYbcO
Se9f1q4MHvxW0W3vU+ctMOaaTUW5tV1DUZyx8hTmdfVFNHfOJvctC4qnZQGIup2tZtrV60EDUTWA
ZgBgXTYmkwABLkGnHyaOsrd/Nw1WY8/An5inkVwBljR+785fFsoiRoqDGuVELJXjOycHYzQLRu9A
3D/RL06evl6HR9fB8nh8QBsWmriVP1Nxas1oVFJGDqgpxh4wB+N4CSz414M4y0F5dMws3BsQeaDV
hU7Z0UuUcwjTjoh7h3AK06rYsO5HtBlQvfF+AogH8DepUvm+YNyDtJx+B859EP4cUCi3hjPT6Szt
iE8/BXJSkK4IEREeZ15uBIOCaaq8g9tX121TrIyX3UF8Evgu/8rO5hvCAHOCPgOpnJVbVWd25YlV
vajT/d/wR7sSsKK+zwWGHzqAKCXsE2GkeMW9+czd+Ok9UXpeiJMuNKAW7aRjSv3c9ZEP2WnvBrXC
W8sLwFrAYW5qCQXdJl+ZXN42VPwYrZXTyTsb5gZff3N3SRH+nWjonv9HHgQlQ1Qqjw8IaQhydNTW
bt1+1tdVHwEobdmAC1b1oWzs4ppQ0J+yXHpLOc+9wNrRQGmCiSNR0fbtbU8LnvAh+jPr3E/zktdA
C47QX2gHswW8/Vzs9fdQP/7FHpqty9eB3fBxpdhuBzkGgmS3nbb8lRid5kG045QOeYRYCfXDm6l2
VNq1KozzDEZZjJg1vFVWdj38FqqXZ6bweK3ATBlbZZk7pEYOZAE/HrEkt4u2KAtxb7irLmoj9XXo
CD8peqCRZxGc6x+dHA+9HYyIIqx3XION7K4vW17l91mWggzWBvcEYHVy8fXCOL6X/r7VP6Mc7YDc
rae56jGKA6rMDLmqc/zF4yPteICjFKYdihGe4BigZeA4hI/O8NAOq69f4vP2wrdBgrEodIC/+EkS
Fzdf1oL8xe+Fma6kgO2bRTahBTxv3fe3I3HXjs9SJthd6IBqoL5pVoPDaxkfiSCqqstJdvSSWlMB
kJHN74usT7kgmy68raczQcqpBfHvIMun/CdrDkHyI07p8Ht3UmCz5ODxoe1n3VvD4evpPPXJFgvs
xUoSO++YnNv7JgI8NsrugW99zUT1OwhAeoqGM/fQ8TX0d9JoAG0pSLWiiXY0aY4aTSUUye5zKCLG
fTZAMxIAOuHs68KgCUX+NM65c/DUmDAtQn0fDodLJf7jHOLzVBA0z7P7KHiN/G0uDqW49NoobqIu
NuE5xdtTM+mBXLuAUgiugOXv/3yyrgINjZsmuzcA0raHvH1CWPL1xzq1gSGKgNapDWkMNNc+DiEd
06D4R/k9+E7U2av8e72mZWmHSIAxXTBOXvK7j89XDuSAIwBW7xrwZp3lov5eleDvAKjsusAuAZQC
zMXHAQqlesvtvAjmpSt7HZ47G07MD/Sq0GyEHh+yeH9ZEf98AofW4eRwP7orhpvd4P8XPx6iJAB0
wE/ARQv749NHmyjHrsLozspQHXg25Zk9cmLPU6gOwXMXFwBC+6P1mgdWTqbM8PvOj1n+RoLEjQBy
/h5UYfkEH0Y5Oll4NApl+IDjq1AbcCV+ha38Xq3pf4eAVgXKr2jF20f3zGAzpHCARt4H07QBJvSq
Bffx651weq7+f4ijuSo5VGHnEUNw95JYKQVXUm30uW7WiS29CNwCFQHpMOgDLRHtP+spIkPdDFCP
uStaP54IZDAvmv3XL3JiyaLbgdMXyQB2RHC05RzK9NxCoeZO68RrtwAefv38ExMVLVc+wlBg2D5B
kEpbUAn3KOy46t22DJDdl/XgJuacQP7nqcKqgiSiA6UbTBQ92npjQX0Oolx0N79peVs89cO3dx8G
8CmKi94iEUeOdh+ol6r1OaV3iu/ERXPOF+7zd1hKQAu+BmBQFGSOFpRjdej5FS69Q0I5Xfv5mdDr
0/RAtgXtrL89Z/S0jkPy0bcoK0Tj3vXVlffuGphzrL7+0J9eACNAvQMiQ9BnWpQQPq7V1hpZa02d
dwd9ptTrgL+ev4cQgrGcjU8MnQ0Hy2lRPP04AnhwNGtzx7tDmj6UFyU9s1Q/ZwH4wthmMM9AQQyJ
wNHt4A986BSr57us6FMwkRHqb5C9xpa4VKDnSXojpr2xX7i/atmWNWeOrc+R5TI+ZENRI0egAk3a
jy84QDGgBalvvoMllte6acZ8qGhdzSBUoCZ227YpMiJ+ZmWc+G6LSQ3aLyimIqw9GtQ4Fqqs0Oy7
C0Asta6kPnPAnFh5eCrgPljUJ1CsfZFbXtnX050NWbf+2usurey7YQO2Di5F5PQOAshPLU+mTESY
Z493hfvbIQIMxvev1/YxkGJZehgBrup4FbgOHiM2XA40OG/MiMXdxkIbIFQSJDBG31rzHaQ3Xvw8
WPljGU8d33499sn5W9QI6aL2isji46JAi72yK1GPd6SPnoZJ/ZBTsCftubLnqWXgIuiCWj+yd1wF
H4cpJyAIIa0/3fWuO6xMlVXbQhbnUNPLUz7k2ZhHLG0gA7AUAGxeXvafC01EpdUNuTXdUQKSj8ZZ
ZL/b+ZT4dgka58PXM3fylf4Z7OhqCzgYK6rm2M4dWANlCkDyuRPjU6VjeR908perB32b4/eB+hz2
s+VjcUd7WoCsFPwPaefVI6mybttfhIQ3r0DaMkm57q5+QW2BwHvz689gvdyqrFSlel+doy1t7bUy
CogIgu+bc8xs19evlTK6jRp7+Ry5ebuV2yvn8Iu3kcMHQGkm5QeKzoBjNqW0N5NpQlSWOZjPE3KU
1Cy90Oh3bSZf2Zku3kmqI2Qar2irc3lbKtfGWPXOHFi41dI4v1209n8Z4r/cAIQp1AnPHla16Epk
VtocjG31V27Co5Xbu8/nw/oTHybfmyHOpjinDxFljToHafdDKRQ3L05TkbmxcWVWXLxbb8Y5O4rI
SWrbZcg4BRwNp8IZqV8p8V0aYUX6rxv2GgR3diUxm6HAocUInUYYl567k9Vfo9avZfyz20WXYpVJ
sK+CdDzbeOS5BiOSq2PQtJizOX5SMa0njLuFcNrWLeK4xpxakhgmei3I4nS88rxoC3/Y/Kz1c4FP
QaQsHCHPxYdDpc4aBv0lkJYu2bZhOoNsyK0In4fS4LMimCm0WdmgAO6XtKh9SWSZXxpO56WYKmCJ
9oM3Ve3kdma4bKoBKoId4VJaCnAA2Iny2M2qtt4PiMncTCv6p6jX8ND0WbNPctXeRGOr3+vzqDxo
U6/5HbidO8IRh32mRF+0qh2/5ro2/U6N3CHNLJG+pLP+W7KAf6PUEI9mnOabdqp13+Js4SkGaaq5
XfysegWfjCYvVe73ZV8kLoy1cL845IVL2M4PpJia+0hvBrfrzcXvzDG/cZJ53tSyUb5YLXQZvRb6
po8b6UQ/VPY1FVzKOMw4UeKquuuX0tktFIm3bdZbx3DA7gZhpQKjAM0FTp0Mxo+E8kXUduzSbEvQ
kUqKF6em/Wg3ef8wyk1ycnQcmroe/S1t0ocso8lOGSkDHlxr0wtlKSFWtaRtiTf3LtdA51Q4+P0J
boxf44rb9E33Q2iYs3UjV3DozYrPm7x0yzgPb63IlO9ztZAf21y/jSg4VngH52LCPxzmm8RJSdUq
muhgRt2MUS+9o+6tbCPTotgm7N+GkS9+IhoilG0LyJHpVOCOnHrTj0LaOH2bfivw5PpEfWbeZBQy
9TJax65uTpZy2yXJ4wqeBlkyhQ9COD+1Mh33YUYc0r2MsSp3Jb2PwZrEr87c8HIHlvtNWYjEBRmi
R73XNMvr3Aij9QrFzk+SLY0+8Hb1pzotre6PrN3viR3Jr2rXtRtYn5LwpNmyXtRZLX6GVq48444u
b+Wc2Virzp9GLrqviwang1vzxMSYN2He/cmlSXpaSg5p0wLuqRy0RD10IKNWi3Vj+rqR2C5zUS33
VD//DoUwX/KZ2xKD6PJze45Ay5iDN+Da2osuUx4KWdiV62BI/eJIbfszqZLBkwnwLXhxjT/CFuQ2
rTTJD6koRZ6wYkAyU2bdafX4ZEkT+ZnJsBSnSu8JPaskgFVTC50pcka3NKPF56+dj0nV6Rul4wUf
rzNlNgB6TeMcYOkf9nOa/Eq1WXwvIrs/xdpSuQV35EXQ1TAPIU77LY4+82kOeQAuWIzowQL8cS8p
RfSc1dV31aryr22lvqahyefxCLp40BcTxy6EYCzA3xZpMrY8qenEDXa+anOnesjKFB+LcecjDi63
qLVsv0zlVyxjJDLOXYtiK+krj88x/qOhXx1lnfNFx13PIskLX460dmNNcvs9YnlWnmPl0Z1edz0X
amduZ+NTnX9a4ufAAQCggztof6LMWPDbpqlPoH3Pk674Bw0c6mZriZ2Si9azR2fwFzMsfaNzxLaD
NeEVeBs9vqCVrTY09UErHR1rYWy9tDqQlCEB25VFcwSaQNO9mYnnjkuIzS+aZK8KS+TQJb3Sph8l
HLom5mxs8jgTErjweqrVX9tBl37iFBzcRccYmFvV4KlJJt2YcTLulszOvRy/J/StQfYSQ+Se2vZo
RutEb5+sDJaZGib2jqCq0mt6a/o7cC69afh+/tmXSXYAtWHgKy7h2KkpyNAZM9We3Uf2SiMe/Uwe
lC/AUNrSm8uuvYXDlf40JI49bsKXvKcJ8nrB1g1HTdTGrholayMKq/0ldTMWx8muFF8agDxE82jv
KyMm7aQUgHvB6sDfaNJnNe+SXZPQZRzMIb4ZkF88kG5bsZdLmH8xx3lC6eX7PhXGFhJf+4g1dX4Q
Wdv7fWdzA4vF9Hs7LYNB6syjpNjOvuulZQMQJP0GuCHfi3lW8DpCoeoyGfhqUpZHVaQ980YWgxsr
dnbT5boOlmlu6LFGP6AyFZ4InYdIUkIfC9hvpGPQjsaidfUs+0p7IXfLSEL3DmbcH4B3bGUJNI3k
FMt9OnY4Rm3IMWld83aAwXDX1jAW+CQfXDUj1rPs4OM1elhsAH6RawCiQBwdoDxuquP7H0TXb5Mu
7e8WFVu4XNrNRkPqt6mzbvb0WSr92Jj1fRTJyjYsImcz0fH36kjpv/MKzjZzLJLNMvEZbkkVRs9E
EpsqZU4PpW4eGgjO3mTqiDukLIVroDh3Zq2k0NTbeNM6+t/MMZenxo6ax0pU+a7VGJbzi0HGC/gy
J0qnL0WXWX49AtyxIVbewxeBJ9UL+ZA6YberpLbaxFY/HZ0uGTdZPpjbBlswdALZODSpPHlSk5oH
HcnIU5/3oye1CqQNOap9q+o7r02JK7fiwfSXnAa/NKMF8TDGCt5cbeRHHZg8uDP6bUa64x5nh7Q3
QgsEQQwtwCkJzcpHNo1ZSpsjOD1lA5wtfWwFCZAa5vHHpsyqQ94s/UvdTJqvzLb+0ECc2PA2yyCY
D92PtF9RffZcu46C9l4Y3QhxyOn/9kX8q6nUIhA4fF3ViYqNAbTWTSunOGRqqPlgAeubauUsaLOD
jZzJzNJOuid90pNfwiQ4d2gw6asJu3GowooUS/+7NLTWRWUkXFVhuk1pqdywdEOPmrW6XSl9OwtH
ujt39rJHzgC+JiT8Vfx3xszrxdWWTD90hTTc8x1p6kfakPPoxgIei9aaT6mIquMEggDug8zcNZeY
MIKy3CAIN49VpA3bOjcs1x7U/A5Db+SZbQU+rzRyZEUctWKL/rs2AWULo+I1LeTFDfVFhwqyYgXx
pW1HW+8hVWa2OxdmC6S+J36zMpxNNYE1KWrzl70Mvxprsl4HAm/5GiKsVvSqvGuGEmCHibRuTqpw
3zWVfiPmOIJeGCc7OFDll3SRQk81+m6XZoXm5S3wnDpKhC+jB9oactnsCgQktwOnSG78ULpTD2Cj
KQdng7bgoY9ih0hQS4U4BGxkl4QlaqjShFw1ry8d0Q2NL1YQJTUl/bFKDPbrBIYBDnh8+/qQwGps
WwscTse6a9tkX+CuDMh/D/dl27f3+YJYQmo6874eOBlMIopOZZvK901Rxj6iKWkrFGnclSOt6xl1
i+XmbEI+FbVqK9Iu7Py+t/qnWY3+ZEbpZZpxqlfGkdLH41fTTobZKxep+a5ZcxsodZ/+1qsu/eYs
ZrQxSKL3Rzn+lSopLCBp5K8NFw0+h6N57cC5ViUDZV8ag7MFTidvUAlCBhlayzcWe9p0fTJ5YQ5C
f6j0aCsks3OXetT3jgLSMJMUJh1VAzzl5etcOgobh5OfbH0RvlbEiMT0BU+3WdnuRAlvE+mltJmg
aAqPw7lsHPViXoZtMxKfUAxT6Opx9DVa9NiNuq6BJlHFxkanyR3EuhhuDeQ72VE4ggBXy0DHRIu9
94XeaEejcdp7J7J+j006ulXJfNfBim1Bp3I4HSN7Hzojb56cN2GSleZmFkN3QL/TY/xT4q0VlcWr
poJKopHWPVudlB3btlwCU4oS003bpS1vmmgxZJrDYe2Jtl04diPNOLUTe0KsLhNxyNAIpha5Rjan
EB8zIw1aBH3kDxawlcIq28aU82+LabBfgHyFlUcqbX/k/ZIKtwvlESSpEiZ/sqHoA12y8qcMjt1N
DsTB10vQD24Xm5VXc8jbcVSQtk5DXP1kJLjlF7A7i6qM+6wkOrp0xtbXU+s7pZvumJo6TdQxzL9M
tSluhxjERJqvhcp5SF5i0c9b/MxwWxdbc7W6lp9ttUoCNZJABRlJzBdR3e/yYZY2MIHq5yGrKf8s
cGKcikN64QAEiuh5HOMO0l0ZVV+ltmn55jTz26Q2i6e+Cr8qkqQ84KmtT0bWTE+WWUcHuRHMD6AO
h9oQf/mXhB+PWo+mkgVpxPOwc/AjHfjgqoO6qp291Cg2shh9DDdxGg1BNpeSK42W2Ggqoae5zkdG
HkfjixZCKTYbQz45rObnTjbLTRyHuV+IMfYTOR/ccqqHGxmS3HY2h/kx0fPuUU+hA2nUNdxi7Em+
TkPPFvYBMtyXNNQlvxfoYiJ1hLRFvPe9OvG11LIHerJetFuYH/p2dcR5WiuPu9gYFB88yp8wbUC+
mEN9LEkgvS9VqBIZwLXJlEFDLSO5rYnd3ULl7X5kBZ57qB/aHUwm2AgWiT3pWJNvU07pMYZ0CpAi
rvx0kXexIrm2U8BEWtTlONJo3nShqI+grKKtZoSNGy1R90hLSvUwtoG165r8RrNDZwtzNYIkONq3
Ch5kvxKOsx3MhHd6U7bPulL8Fklnn2QNAhxfaJxZRpCuiaRlhzlK7B9qo+QIKcLeV7umO5l5od8o
hdMdrV7+Y1olu3LfKEcxaZPb4vh3KQRn28VAvRzT4fOcotNdoykJoeuBLIWxbW6kaVJ2cABBN2W2
+KurPT0nLYLqZabimJR9vk1Bcnn0oTmTjCA82LfBIDS8DRKjBSwhE2igOahxcUc2ABANQMNghV2M
1rZPjQfSihNnB5x1xs20EifDsYpdI4mq164W80YewxBCz5B7i5wtR0ed0x+IzMyt3SjT7dKAYRRp
9qJrEvfSSL+MTittyz781bdt/tRoogq6LESYO6lqUKrW4HIWjTaDahY7TuEAhhRF9amQjHDASs1V
eD6HPoHYp5q1dOyjBLo0tRP5nuiG0Os7gL2ZUtzHyqgcQmDZm8iZpZPeUZYwhV7e0Pko7wZdjA95
AlMU6M0TikhUyZWcO0+ho8MskaUXyUmAcqRZmbi1cOKAug9In3i6KzWnpNQV/nWKtL+xDGM6qkNd
HHTeU14C0c2NpXTpPVldii+FCkCw5OZIDN/L1sGEpuGnQuRuXYjKKxLZdse2ibwwMaobrVbk3VDI
tldX9rDN4zD1as34QpHM3sNqKv6mAyTjZQYgNGhxtkmNaOA7rKlPcFBg26rOYrhlpSyPJtq4g9kr
wuO4K++g8vxtstTZDypIuSkyOZQlrXZTq4u1zSXlNq7G3LOjSg5qbVhvoTUfOkdy/ERLf+R5muwy
vrwAnWQ9FQWIvSBIV6YzWDwkSI1xREszvZSTOW3DReZzchL5t1SSmq/hlJhHeMRQ6oTcuLOJ10zi
EOUC9Yx8u64pcA25AlgkXO4HyZrcuDTKxzpBN8dna3hDnVHd5NUk7fGEg2oaoTG47NTxVo4aQGNZ
1kEuy51NQdHdjfr6jw0fB+T4osKBrAD1QaxxramRNktVVQ+clhdXQgnn1jIzKnIMoo2bSbmz+ym7
jfMm+fJ5RfZDHXMt72EupoW9Roqd15WbaYQtBwoy6JWDqd4u5b9WYvl9sjHWhASFQ4G2ljjftBuK
NmpNpFpL0PX3kzjE6pXe1qW//83vf8hDQ/1rKwm/75wyDN//aNhAx8D/0e8kbwrDxgfPzGTZvOOm
cAkAClArPJIqMIvqX2vJZ4OcVatbIzdGc2CQNKZ25l5zAV+6RW+v4ewROIgV26nj5y2KjuVDHb3+
+xRy1sYiXl8yMM5FMbNVzzC86cLl7feg1X78868TyUTxm/CcFXuxXt2bCRQ2Yyc1gykHUqN+V6kN
UQP716625fynJKS5x2RllPdD4JYZ06qtjCCU8xOtR/o5s/b388u4UEZnDLQw9PX4ADlXBNO5cjRU
qkagOCelDZqCMsXz50OY592C9TK0NTvJWGWJ53yQXi919OqlEfS8I1vVejKygSp99t0q1Gvgn3VK
vutMrGMhgmJAiCcM9/6WzZQa66UqDF6Q0z7Nh+MS9g+QUZ5hsf2S556C5L9q8VmIDGnqYApWeIh5
NqRcSRBV9doIStyD2TGOfn9++z40W/h9ZBmsceRpyGTOZkGmppxnwH4FavF76XZ5MrtUb8HkcYBT
KAHFV1b9B9/RekEIKVB6MSxW7bMBjcpxsgIMQVAMlrKp1dCgRdIcjdDc0fwFkgwmbS6eJ03ajAVg
w88v98KugISNT3ZuKrqjc7EIJd1OIj/HDJAG8f12FOY/GvbWvfPdCGed5oF3ejwK1Qwi1HI5U9L6
Hyb8aiLm9WKuEVtnG1vJYZnY4I4ZgUeFLsuo08MBbRz10r/erFW7o3G7kByTUGytS+/NJjQrnPtH
ix5bWzhePLsSRdzPH8cl5cuaIoW3dCWlOOfTTyxqI3d1owYLTbOI77MiKJrRtarjUoGUBFondfk3
OdR3rVPs4j7z9OnP53/D2rN8t6iRPmnIHAheQ7FnnXuBc4msCeCe6Bz4DrVM4doEYqiw4TSl9Yb0
mkvi4nCMohBnuoJNzuaHaKkqrZTMgMC3jVZ+m/rWzaiitv1XvbwiefywuNdLQzlmYwZHenV+dy0i
3iwFDl4wTfIX1Yi2jUl6ikGrgL1+FjDpC9DY2S9lsa882IsjO2z42nqE+KAJHnWtakJFGYMew8nY
W8SQkAdRHELtVhkeQFF7ITTozx/kh92Zq8VBsaqJCMP54CWIB0KSBsUeA6ygZFPM+b2ZV0RJ1H5p
d6Y7M6M2uapeA+NcGhbSGfZWeuLrNHq/SvS27SWncabAYCHCQo0h2gpJ5eNC8fmvZXXloX7YwrjM
VZXDpo3q8MMLLyNEhXKixnzFwZhTlLkmqFtn4PmCQOK/EvRWZNX5gtAyki0IMKLJz5eN7cSESFCy
6/55K16vg07HajRTddhB7+8bS4Cut9pOwaJb/rQYJyVtDp/PiIu3CvzMqhjnnHZubY5niepyM0xB
WpX9w2xTw+NQGD19PsqlCQDYgu6SiuoeqdT7C8mdsDEMqZwCpiRNqL0BkrPOjlVP4K6xn4bXz4f7
cODhvr0dbv1z3uzKXT8PcxLWU6DEdNKnP7b6TK7SdhG/Ph9nvf/n08AiR4LBVs3j+WGnlysnjoxi
CqgvPBphdYNfl4wh/YvVKq665rEP1n2OoPrK1vHxhLBeoI5hHwEI+ZTnC6oEIo19V8xBUqIPCCU+
xwHHG1Cgxt+181JyQIi0n/o1k9ClaY8NgPcdXoCPIkhJcoyuTRT0iMsLPHAKO38r6ffn9/TS++4/
n7qCzJIpfy6HNeWEDhLB9kEknwx2YLVNPCk79aEJLB4Q8PJgFntNvovVv9J4+HcjFFsxuzL/SfAt
17gumDdzRx/LJtMSWQ3qgoAVKm9RctXf/XHavBvi7P1md/VaPFzUwM5bd8p3kvrw+T288AJ9N8DZ
qaTRtaw3Yq5BERTttW3cH0YyhYR47dWfnw91Yf9Y9b4mb8/VMa2cbVHygpda0JMJLPOXGf64Jkq8
8vP/2RnfPA3sqYs9Fxk/D2pZuAtg28///gtT2pI5Y+jr/sdZ7uysnQw6XYREoUzQoBuu5155qRFr
HNNRMf79rQRMgM9hhLx88v23qN9cS5PmS92XIxJi5W9HCEZxjbygrH/s2X70boSzi5nLtliUUl4w
DDikFL3q2u0iJdu4/KLHv+1l7YnUexsBk37lQ/nC/v5uYPX9ohFGqkWT0S9BI6InRMubWPsajkGn
tuT67fvsiiDx0v7HeJgjmHnozc8pRJVUaEje2iWo1Oinmco/K7Xa0K6gwBxHbiKKHTErv5awvtUG
JA2fT5kPbxe+bRWsauyBK0XoP4v8m+cYdZoctzp5JULR/Fbh9npmTqzPtZDdD1PTwR8DgQLHLSi6
D9LprNedcqIRcjLsPf3gsthCu//nS3k3xNmLsuJYkGckgJwkxdUGz5yO8Xy4tqNfuF+AJFehomFQ
5zs/LAny1QAgDvbJTkHp7kXtlaD1KMh/fi0fXsbr7XozzNnG3dXxAt2MYTIj9zvHV7Q/CFmm+lRV
bOT1q32NivpReX424tk+jitaKtuS9gmJIUjObc8SCvEtyaZzYLvnZI5stRTdh/Jzyje9efj8ei9N
D0S/BP+uAEFmyPs1N9VWVKlSZp/qtctRmzdh0j6P9jWn5Me1xlWCoEYbTiqz/iFAE9YKZWupsk9p
XXrOtAmpfRMC43KeIx3gh5oeC50Um8j/Hy7vzbBnW0qeLoIeb2OfrPJ5aHYi9pz4yjZy8Q6+GUJ7
fweTJZGSfqntUx6Vv7Q5/TlMyWaCZf/5lVya/29v4NnE7PO2tJSIG6hNX8tsXxPoAPh+1DafD3Pp
ajiw8A5eS30fC4mJSqmSrNsTxzdelo9D8pzZ19TNl66FggqbhkFbgPX8/pbJTdxY8RRbJ33QNsVM
G25RvSr/0SZXrua/gPJ37zKmHU4f8m9wdK3uivcjGaXWE+cSWacRZsp2ErblVcsyvGi5E29mM2m+
WXoibUOF3mqH2GArp0V8bFKjPswtvWGXC4i3YCa145gU9aGIEA32Gi1k1GjpkZ5QcTQTdDqjpKve
omrzq2GWk2fWFc2hjq2jn1pziwLXEO4gjxAyyTFqHgkANf8Iuu83k5ERMYgGetuimggsCx5C24f2
bRqj50T94+xEaU33JHMlByj/EaKBPrnvkHhsCxmdbdWa0p1oevt/WDpY0LFw4EC/YBaVRWtMFPZP
hnMapT8D8a/D/7B03g5xNqdj9AYWgULhqXPuNOUx68ix+dfjEhMAaxJfVSwePgTOJgCqRwD8dRKe
kqn+LiS0UbZ1LRJcuTSfYZ+Ad7LWe3Ve4QfD2S7ELoWnwV7IeyP0Vtl76UCnkTAhZAjlsc2MQ5mI
XYhKriIl0ZS6TW+FXzOSaD5fwOs9O5/xGO0hBK+FekyZ72f8WGgyyVKZdApjhYqCyL62NGA/H+PS
JmGjTyH1XpdZWGe7qtQ1daQXaniSDJSXJQXEutdRqFF6+nygDyfCs+V7drLQl0ZaJImNoh5f9Gan
t7eNqbl9e6yWhzHffj7Ypae4ggrY+AzDRCn6/s6VKc1Kre3ME5FCbpLv8/IHi8wdlcfPx7n0hDiN
YWVFeo6P/+x87SCxF6LVzdOCQitWvjv5tQzuSyNgpYC2QC9o1Wq8vxISsYSY+8g+xah21+Sta8D+
SxMAkAifh8gIKPCf3ao8hNoVljGnBqT2qS+Im73m1bz0NN4Osf7vb87HmkPPT1+HaJUH5MWW7IXi
Nvr274+CDglzmCrf+qX+fhAjEzPyM5ngKuNRCgOx+fefX62mlPb4/w9n71FNeM2ijzvVmOFMGFeE
lnw+wrp9na92ykZr+ZcQdIxC7y9gaJB7QgsKT7Y9eNUw/OaIdyihP2sxsTNN1V1ZI9fGO1uQ3ZDL
fYug6iRl/b3W6Lsi6veRKnZj6BzLrrtig/tYxmEDeHt9Z7tZExJbIzVzeAq7iuRLNnkC16w/SAPR
yMyNs02ajMRqJSp9Un//DlLxGrZ1tF+s2TiVJKO+fH6/oTBcuOM2tjygerRy+Qx/f8ctYF7R2C7h
ycGjcVNX4HfJZ8922Rh+Vatp2coVOe9So93RWatBh2nhoeuHivQeA1Jv3DYb26j5olUG0tkrlJYA
aH5p6dQQl1lHx2Kxer8LYe1JJCJt4EDpmzjBWTOHzmC4fSMxVmU6r8ZYWkFWOLkft2Vzs3Dg2mWW
nGyqGadY02WIW9UEDW2tkLqcNaD9nGG4yZIpIayN4rbb2DqGH+K+fWteIKFB698WVVkcu0hztoQH
ovSrJ4QJPdp3acqUbYuDdZcSs0XGaUumYSws1zHk5cWesWyVNLp3U5NAQlGU0EOvZlFS7ORH3RoE
HOp5a7bke1byfC+HkXrQjOUl55+6bwen2JAIv+xwCb1aZvazTXV+pS7aPcm6t+QCIWGMrR0CTflI
sGt1HMcp87CqFO5UaTKo+Gi4TQioJi04m73MJjzK7qP5Ua45nFUZiMqmEqFvWgv/A2KADe42LABq
XL4YxNj7PRUPH7Z4tmv6UvekUps8Oi7dvZRoJunFvbnpbTnaG1M5+UmDstccqmcnxUTkEtaHP2pq
chRoeLk8isYVKtCq3ysku92R0574uL0Wd1Kg2mfa8qcmdI+tWZHx4ar1yVEJkyhwtx0QGvX3Q1HK
G32aSRFflU5qrg837ZgoXo7ZjT8y/N43pvoSikE5Oo01Ol42KcuXGv5VisNby3wjC1+cLi3c1cq/
JY77b05AlosWJf9L+/KHSpr73ZJxvu2cInnsZ0m4bT+OHvGollfq9GxpKaffkD3FynEMn6bChkpC
FXlXqGT0LdlS3iC71fwoqkl+dpa+84mFM27TIsnv8liGudZXDm7pqvPVIq9eYtWqg8VGoLZOpeIw
sWpceZxkvnETTrEKuhcYSyrMKPrVWzmRiUpr0lc96/5aZAnf232veVRa1b96HdlbPYf/Tu13vM11
nFgkLhMsrZfEpXaUXDPdak8kqglWUVRti7odjkmRwTmul7bYECYp4RNgObRoY46qlXGhE9ndmZz9
GQkY3cGQTh4kWEJ4b9ropa1ktUUTLhWqF0EQPFjwYXd51dSuFinxURGSs1dlxJzWEseHPFTsHRyp
yS+VcdjUVaN7qQCZsBSwexKtrXbD8ndAshgzb1sDOp6mY6/4fLO6tFkDaDMs/n24A+cNbHkcrNEs
y/BUmmvweoUyrC3iLf/w3zLsbmGt/f58wEt7I/82ukRH0ynUnL2NpqjXmqhpw1M9OXutJryynNo9
mcbsCmp55eouHXLYbmwqWyzYD7b5EjtUSSs2PMXkpGCHqq7QBC/+Pph4FDkqtcHzDkLfCLUQiRKe
CGndoGB9aMkGv3IN6/ni7PWNk2L9ulo78x/YiVaR2mjRE/OUZtQad4XAQvjvBZ53Q5ydowY0/tjX
GaIvt3ahuui0XSIqP3/wF+4VYQMyJvmVGsXr8f1LMeMlomg4ZwKCVc1jI64cAy7+PAETfI2i8WMq
v//5QeWTaU4NEeS2Z6IwvvIULv08rTCIsCpIWBqY739ekhU04wSlBwmdlNFqyFd6/vf7w2HBApRp
rtdwdn9oAMVmPCtJ0JJBHHt2v/3/+/2zc+ykVF0LYSIJrK/ECU7SlTl0YSOhM2Mgt6FLTVvtrF4D
4BlRSVImAU6cY+J8SaefAgsDlHrX6n79D5fyZqyzW8XLziggtibBtJ31J1l+/PznL14KlScUXny9
fDjxT7YEJHIuRTBk1kNobvlPPSm3HND9orryVK6NdTZtodGZ1cj5JdDyPMbFL74tg5y6eWdmBLQX
Bg5n/evnl3dhQyGOb6U8rp/lHzCXkjxHeO2ECOIi2cnhLWbFYxK+fj7IpfWyfnKsqsmV1rMyM958
moWWNsvD5IhAd+4N8gOsK8t9vS9nuyK8DfA8vLoQAJ6XU1Qn0QQnfREQ8+NOHLA6+ZcSjpvQ+f75
hVwb6Gzh20Ni21nFwteU37b9rZB0N2yejfLKm+TCPHh3PWfLJy8apUjwYwfJ8r0koLZqsW3hAzIA
sak/Pr+kCxPg3Vhny0eyqzhNFVUEfRVo4W6oAoy+/8MQEBbXNy+6hXMGnh7HILsrHn+afMP9jRPC
lK9M44sPBpYjfG5Ea4jG3s8wY85NkgQqVmmazZob5yJ+jjURP9YtHIRaq/6Zf4KQCVUmr2LyEQzo
h+8HtBYrbNSlFUGjbxYsQ5v/4Za9+fmz65F7aYjlsBHBqIZbB2y+sOWDiuD782Eu37b/dxVn8zmM
h7Ybo04ELa7a8HtF07bahuGVosm1Uc6mc0KDWHHCWgSLdDSqg6Q/ly1TwPv8Wi5O5De37GwiQ+S2
KoKSWDQkWVd17CX6betsPx/kUvNtVWpQ7uOFwJH17LmXrTl1NK5EMFcKqgCpsH8TWpsesfPPd31J
NxOnXBptnZxIYNHnsq+z8fk5SIwr13thU333l5xNEacppaiM+UssAPvzRrpGMrr2+2dzo4tjIUHE
F4HKevXnxv/8Tl7c4yxT5836X7/57HGNYyqpYuRxTe1Dnt6p/WOYBlpy6KJrNeGLF/JmpHXivHn7
6IgTqAAMvH2kPzNgg+LKDnrt99fp/+b3G6ImlqhhETlNQWlJ11Mv1a8dDda61YdXHMaYNRLWoop6
9rTnQerDduBp5xlf+pMXSz+XPtzAonfbaHD7/DdJ458/oYvXxUsV3QiYL96s76+rAtUQUWpOQZe6
mvFQ6MG//z4SA2PVNMBePSda5+USF0vqpIG+q/vTkl6hM17adZDmkwjimCzV875G1ca1M0VqFjTG
D730xq2DZTN8/vwaPmpfeA8gxlizu2gafuhMZukYqvXMKDOlseZpEr4pbjLAM62PI9VdcQWz5HXa
NdHNpYfDQYe8DpxSH3sCQH8J9BoXxm1vw+fxn/WZXBbCJESsDt83H1TCZP6YE3LvLBBRMIlt8o8J
u6uCEC2SzdJft1LwXu/n1hwZHW7gJAnC/lF/resrwqALd+fdz5+tljSdi1E4/DwmTAHNPp56//MH
f+Ft83aE8yNnmRedMmZwC81QP7aN/DSNtAqxnF7Z5S+OAwgbXiJfVDyT9zdK1WBRFRAgA7lt/o+0
K+uNU2mivwiJrVlegdlsz3hsx3GcF5QVmmanaZZf/x1ypXtnehDI+aQoL5ao6a26uurUOUHj/OLI
WpYrr7U1G5OrvnBgWSLsfET35hnyFp4pcg/qxKhGrgTps2uC6jcGgi4TINKurZS1RTvE6PRcgTii
Uz6pxUpOYebAT60QCADREoG3p7TokR2bURoa9EwIhAXC34xXW1O5r5tyZU3mDOHkgZVGBz3uDSko
eDmqotUIPWcRSIp+K+1v3kPbaFir1azZkWonOrDkbT5iQIb2PU/vCvqjFoENqZzlrTy3MFB/gbLA
9AC8eayrbR2BAwC5gE4fghCo8iJbS73NjgQc3sBZT7Kfcn1x1NJatdgQn2kJQIOllnsnyV8NW9kr
5Vobx9xuRqfGv7aM632mD+iGrfFawrUFsmq3ikIU0BWw6hDQvS3P3Fw0iB6tqbcAGUzwSk6/5eLk
KGkSgYlKxGfkFgMXqVJajL+cRrnTc7A2xfFvvVE3ID9Aztp2NyJUfzEz/Dgm4uo3THN/8Rtyjor3
4GC8QhOWD3GbTUPzJzcx1rLDs/vkYrCSmxibMXHCQoXLc6wHhNpgZmkcZWVKZ40gGTEVioFJ+FPf
uxxNk2Z85FBhqVu/8QFuW16xtc9Pf7/4vG0NfQTNNmxEJ9CQV/v+F59HOhMVSDxGbzqWHGbSsIlq
rIUCnh2V0Aet19YgarOH6cKINIY2ryut69r4rFZnw/gWW8ZO1zNf01+WBzN7kFAKmGrdU9lHslPE
Q0aayY5rHwa+Q/HBc1G+WzYytyDA9WOl0TiHIqlkxKZomuMVw91j/Ab4KVJXosC5QeBd7MIE3uqg
sb1e8K51yyZNHCw4qEPSwC026ZoXmB3ChQnJ4cR5NqY8hQmwDEbQ7wqWZ2h+BAj6pzAPt5p07BK0
kZXRgFR5iQ64jGhgY9pkxcoTfeZ54QK+968R6aopoM+bdBbSgHiNkeas0jtFeVDKPUu/tdV3Llbi
s7UxTT/n4hhyVjVREsFcoX4KYzT3aTtirOQ25pfl3yHJSce86MHuC+DMObUOzN4pK8uyMmNytJEp
Y+6g4QUzRlBqB3fcQPt9pbYbJ22PjZk91525RUF5xYFNCyG9Ay8XSkZSlVVU903PYFb5GoHLJgnP
rn5O8m6HDmjPVf+/hdKlve12Q2up4D0/R4OyKxSwUJqlHiKmbleiw5UdoU+rebEjujbscX/CkFX8
DOMnywm9vN8vn6Q5x3mxyWXwjh3pWl1rMXJ20YbSfVUe3cqr1nBIs/tukmkChgedZzIxeBJRatk9
CgZKRqG0lwS8+PjDGa1C/1mQbnxNMVAfB0z1bBel173XWfQ3TvnCgORyrKEGj4iCTQbdhHwv1try
ZtcaSveAPk6xukyhUNs5Uo6WgoDTND3aP1XDWx5+PIWOOfrPxvQbLvZTlGYZ752Qgt+g8HPxaySf
mnarjnib/17eVdNk3JzIC0vSahg2OB8JOACQN99AOMMrFQjba8JPAGRo4nG7bG1+d/03Lmlp3IRb
RtRg7hR7b2kgplnxL9OvXRqNdBGgP4KkmuKgmqY9JOF3J/lcMMcT7MfyMP6IV9zaccDLNOkLA0J5
vT4UXYTDOJ33PhpAxSwE9PcMYJvq3i59XQ3bTTaAZ7QRQLZ0JcibQblhfNVbsP1xpfiiq50B+BDw
kHqVkKcsz8RhUK1ffYRnGS3ATWm73N4B22pvNEFK31GSYVoODTSgFZjpHFqD0cyqGYiLHAMclASQ
OKFxT5jNuLVAX7YvdNKtRCNzq4dCGLQPARDAI1hypznoJEk2IKVm1luk3Fm98haYW73L70teNEXT
cGgQfL9xXwBeUuPfqvrDYitna20U0tlCe5ADkrCcnbvmcXggfGUQc1fc5SCkAwVm5iRDARSD4A8d
OIKr5FdaAEDW3uPNWCprzm5tzqQTpQylsHUOc33rd8wrwmcy7FZvhTUr0rkC5nwibWAMveiNlzTv
MThRxmJns8/LB2ttbaTIyrLB/k0bjMYpf9dj7nXu+7KBPxG5fHIvlkfuJ8zVCZxUpOzMbDDfinvm
3ivhQQlfC/ozAc2qyJ95/cNwDy1IijXlTgy75V+wMpV/UrIXrl2z6cjTBD8ADIdDH0TxPhq3WnT4
uBVAoUEagucDdMeko1q1rVPZY4/yR+aeu7i4L6juVcroQ6NypYAwN6A/6i7I2aLRSYaTRFVUEVu4
9Dxm6OBAMw1/gPJ3uzPbvEOzLrial4c2e/+izXnKEU/2pKGlhJogxYc90oIMVgGtphe3/G9iiEl7
DvUDJEZkNBQrOBipS1wkTgxZlGyA0JOZrxX+53a7jnQiEn7gdkFn5vUt0qdIUgPnQ89m9T0BsXYu
vv/FVF0YkI4tiH8KK6l13CmRvS8cdKO51gtk3zfLZubHMTV4TswLSClej4Omad0MoOk8J2goAggy
X9nMa9+f/n5xZGo6msUQ4rZlnysgDo2/WWtc49bUiw1qGinzCopKTusmQ1GUvZl8hwfqX0zPxfel
YKFHtZ1xBdV9NoIJFLz8fxNQX3xfmn69b0rLiVGgdrrAzTZrSafZ8+2gTwR6PeialEWkRiLsSc8B
BcLxp04Gv4e2Q2295aO6Mk+zBxupDqRT0P8Op3W9zG5jRCVSCHgYgNo6A2AbaHGfdF2wvBxz4wGK
fGpfRwgPcqBrM2XbdyHLOoDTbGeC2mS6tRlJ0IIMbdmQNjcgCK4DoGKga+SGwQWMl+i07uGp6ljs
4jD/BGEC6kOoOwOEH/jookogPiOCPN516RhAj8arMvvIwn5XVObOjr8s/6C5cwRml6m8AGge/ML1
yKMI8KzcQSl56PbvvNv/f1+XtrmRVzU4qnHl8C/GEBjKymzOTeblj5d2OVjcyzpiA8BL8TZvgiF/
NPhKcDC3M1DRh1wHELaQpJR2BkgTsq6r8OpymemVn+z7NvP7eq0uMjldOQKZVGgIkjtoq5C9PivU
nnMb5ymMmNeSE7f3Mdt3xTMYzIA0X8Pczi76hTnpDqgtyD6zBGkDjb4iBafx5+VlnyblZjjQpQRs
CSDomzq4G0PfloJX/TyqxqPRdgNU3lBLaozuruRm4AKYFYXtewuh62XD0+14YxgVXvQboesLKd7r
3dwpqgLC4QSJSxWY/64PjELf9rq913X+Unfu5v8zJ3mnUc+gz5DD3MTDVHb9lllKAPCrjyfRo0Pj
v/BSoDdEz5kByhoItV2PjomShmKkMcpayXtlMHSjMsA2FY+0+YqpuZMFtO5EXoe+UdABXJuCmkRH
uGjiM7MCUe3GZIdugeXJWzEhR92g/DEtDjL+c5m/a8VnsBr27s9lE9OEyNthAjG46AJEY6rM7sMh
WETcCGXgobpnzZfY/bz8/bkh4NmLJPYkUY3a6fUs9TTOIodQds4rZEjM/t7UnktnrdV0bhQXzxNZ
6RW7DHlyZ3pohd/z6Eu/9vqY/T4UJjBHOLEmkZALcWrrClR1gFUiOxNQ/8PyJM2dSTCH/ft56YaZ
JAYqHb0iEEf9BgUS9qtmm1Db0fh92c7tMIBdU9HxO6Hwoe8nbdl4cCGRMQJPhEDdM5E4Fiu3ze1V
AI4IgG4JSEZBJiqnOpCH6O3Y4ekZBAEQNfjS8E2t3vXgH14eyO2uAo8v9FFhCBivmyunGBKUP20A
YcryHTzrYOvXyUpCYs6EOamrT0AopHSnubyInk3gCju1FvScKxzNy6W3RukxtxiXBqYfcGGgM4fc
KHIYKDLuAesNIeGVWZqxgFcYaGPQTwARAHk1Es0RfAS7/vl+KF/r7tOH12AiQHUmuD9CT1PatEh5
d26lKFjrFHoiCgi3wTLvQkhv2cztvY8NBdpL8EHqYAOTK2FWVFkjI3EKkO9TFm7QBfaU0qcet3/W
3Jn8w4+Ca2vSta/kVk1qB9bYnpzoGm3MzIKA4hEHD3yBiNVV2RnqbtZDSqQ8K+DK6p8d3q1M1poB
6eejtRK9XBwGnCQAdKhvN8uLMXO+rwYgOZBc6W1I1eH7efmlJ3dgROf9XUJePm7FRlV4emUAZkek
k0GTnldukVRn5DPLvTAOdbRn5UocNDdViOUnbjkNkkhyF1pZayG0vOzyTH5U0PXSX5fHMP3G63t1
eiT993lpJdqOqkWvWeW5TIVfNH7WBk44+n9hxMLVDep0tAzJ8YFtKyMtzaQ82+1dHbteizZ+Oqwk
fmdHYoPHQZ0KxQirrv1UYVOqxIVenO16AM0yTcW7SZP21ewqN1gez9yagLQM4svgjECHjbTwWVkR
klBWngt2f9aVD1cbgdq5+Lo0EAgRpRZh+DondzUtPUMtvbpbKUDPnRBA9oBvBMMHSIykE8K0NC4y
yFmBILpHl9thGM4FWmfHlUWZmSngJjBH8L7or3GkgIQoQwjFgqY4m+pTmZ/Zxxfi6vOSb1dw8YJd
GJ8PcT7K85qbmtlSAGYgYQFOBfDTyW8QqwZDStUbk5oa2oAhKOYTFGkDd9T4YXlHzVoiE7k1Og5h
Snr+EjXJiJGMxRl7zmMU8hiC+h3YpJbNTKsqnfbJp/9rZlqui7s8RHZahAbMsPJzVffo4nI9nTyG
6r2inA2F+93wY9ni7MDcKQWKqN0EK8W1xarJcw5ZIyw91KYhLTYUj0q24odnN9mFDWnyuIAPyyYb
tP4ZGRAfdX4tD2LmsExPbOCmQLCHjtBpkBfT5ihWztJujM56+TCOz0oOyva22Ktds7I+cyO5NCQd
fTtLHAUFyehs+pShib5fC3xnloNAHBdwXahmTyHw9UiEnZYgwoGOiqO/q/aWGwdzDWY2M1mTAC5C
d1TPb4lnICjUo2QllEfdfTGhcaRb37ldeWO3WV6Umbm6siPNFYgg3KxtYMe0oOGZvlflioHb1w4i
agMgcMDzEdkZ0tWYR3QAwiyKgGGpcFIcv4x0r2k0H/hJz4CU5vJ4ZuftwpzkkVGSCBmY65VHxt5q
cnRDqCvtcjNYtjJDXTe9E5AIn0AaYNORdgAvGlOtIE56nnRmutoHgmarmS3C+tfe/mKjO4Dln8Ky
//jOhlkEk7h0EIzL0EmI7SXIGZXRGYwS2Xu/Rlk6uxkuPj/9/eKEjnqbuZXLIkTfjU/1iSRjxUNP
qy25zqsBSD6gISpzwYcandEdlgZWsVPomxqD82SzxnA9e0YJ2mnQvYdEpYzeRxTDkhRVsMc0U581
xY0PTt81By3/i8oL9sKFJck5G3YB8ooalpwarIx+Wq5EMrOrAkcDzQSQDtwIwhi9o7UEKubn+ofa
Q+ViZS/PTRSejMhqOUikgaz2etGHri5ikwG030finUMXkBnuPXb+x2MYXMn/mZH8AM86k49i6g1Q
9HdBzZeh/ZvTAfCXilsSwSs4VK9HEtqkqduc03NU3A/1vt8tH/o5T6ZPukUIjpHskIO9pjWSojBI
fM4hj2VCwKtO3CAp7oqYHjRj5TaeXZX/jMndM6ZaQPizsIEAHtkGVOBvKYBUojN/LY9pbm8hT6eD
Cg/Bsi17Z7AWaUVqwwxE/n5BaPVvvo75cgGfn1harxcE+lkG+E6A9B6soBFH5eMdOhqkuv/7vnR5
6T3P8e4CXN3kz65d78Dr54PKaMXpzi3FpRXpgOQRcSpTxShI8WmrxG9QKl6eprmNZUw6RuALBJ3F
TW5ZpUI0BY6GrYMDBgJ7JMyeoaZ6SFzoJaKOv2JvbtFBPUaQyUFaDZHS9bJ0uVsadohzgnDNO7V4
Sn58PAR0DUB7g8TkJsusZmpqUnRln3t+Z4mjo4HIxguhnfZz2c7cwsApToH4dKnIRSKwQqdmq1ew
42QQUGrjva6UR4ewlZhidr4gGgJZhilHoU5/v7gWFfCm1X2F+SofmHA82lorEzZvAGRt4CaahB+k
HVa4IkOvcQ+0Rh1voGMoEnNlCHNhERIUU3PO9IiQ0QdQr0/swenhu2olgJCn15pPLXQsQUy0MpZ5
S4j10JOJ4FgGCkSN5jQOHxDvab5hZ57wGFiceuuvBvSfGf16TUYzZZFjw0zUAY8EQEUF2HzRNDun
/7y8y2Zee6gC4NUNrSZUw+X7sQTTnt6PfApgPW7sSbc1tQcQeFgtXvx+WK/c9jPtpggmLuxJt1gR
FgMHS1V0HhAo56h+G/UWZEC5R7cpaC4DCoBS8RcZhiujUtisWlWcxIC5no3UL9NAWdObmzuqtgEO
YfTQWsjwSi5HA2+joRUdJtE9UjEEeXUfO9XK1lszIl0HQh2sJAXZwXmEwqxd+0V4sIe1x//cWUUa
EchvR7XR3SrNFLQn+47ZeFwW1jsXz1BMX95us4NwbfToIcdgIAd+vbFbyN4VrsLjc2vQx7YfDhNC
TJTlr2UzM31tSGGocNEENWlAkqTJUga9csCfCDvQVYdccngXVeHWUNh5JL0PtTWg/EyIdbYe0UBv
HELFNf04F+b1b5D8nqVTkhSkis+Ku3XU+0FEKzti7ma9HKR0lmKTULc2pmat7j4p3hUz39qjFTAV
AZy6YmtuYwDsjMcG9jdCROlJ2PalXXahjTCd70d2sFdiqbl9gb5K6CuBz+4WJzPdtg5yW9E517Kn
rreOit49NWhEWd4Xs6PASwD0p6pmanK7YzUiLNeAZEKj8NBsGdTEf+s1oWsvzTmnCpJlvM2Q973N
xxMtgnSxili6NhGyFdouLw9uCtlu8CPHpAtI8dKStThr7mq6NCrtBoXrGde5Fp+diU4zj4Epeq/i
0I/Vtb0wt1jIdE0DhJsAavH6EDdZmIO4A2iBzimOsYKSmVtQn7rtj4+v1oUdV0oMo1d6bA2B/r2o
M4Oo14J4jfFu9jqCHjJ6unUN1KZy5YRoSh/qzRife9W6L8fyJcycx7xVPFVEZxCjfQK3KgBo1pmx
NlCSNV2x2ZlE5hvBCw4VkEDXM6k6YghVFk5rFp9QezyLMNqFjvE3FxRYlu0J2oQCi+wOQfrUA1jX
xWejHFDm+t3zX3a5lpicGQx2NbjeACSZSDGkwRRJJEy9TtGxoiuPHVEOY9PtIL17WN4VM/scZiBf
YiPcA92z5FYjsGJmho45o72NYnYPmhzLj5SnqP25bGh2PCB4mDgqzKk0f704oow7WnAwF+h1coiE
seMa8fXGWqmyzPgkBN3AAIB3EcKLRDKTaSao7EAleFacfRTv1krzs6P47/OWdIj0uE+4PuD5VSpg
oh2459g/hK6tXA9rVqTrIQdoLqIMfBUNgQZ26HoKEmBDvhYDzWUmwbgCgmloogEqIdNkQbi2LXtk
Xc9J++Yq6bYSoZ+aZZCQ0RNgZtfYi6ZXnkmflvfCzFV7ZVeKW6LC7QjhWCSCJsW4iMFJ+xoWh3wE
xW28dn3M7YhJUxGEc9jpNy/MQfSjUolOeUS552ua5X5Du9ePjweoOXSv4X80qUuHqOVWp1vmqDxq
/Evd1hsVjTDud4BVAyVdaRmaOa82Wv2mFzMSZJBBuz5GlV0XAJxWEZhYEOU790QLN2OL7sXxL0rI
kxOFrhE0HDT0Ll5bMiMTufgCqYxsaDZs1PYtwDRuRTbLc/cnDy2lea/sSDdtbvG2LCIDULZBOYYK
8as62/Zqs6PVM3g1d4YGLdGw9QWa51B22jdO6ffFGrZ48gtLv0LyGzypwhwEwbgdueGZ0FHMGCrm
/T0b39yw85gKYqXxeXno0jE3J6JbwIiQx5l25w1DiSWasbcGjZ+4W52HfNjbZb+hTfyxpt1/zPwB
+zhIxd5ci9BoaZwQtG6nFpJ1rT281K7td064BoyVtuY/dpDLmTBRM2UoBYhU2x1afqpc8Oy0RYFG
oGybgw/JU2t7JfaU1uuPsYlzbWoxgNyyXL51E+ZmaMfhJzsjQU+UY93lZ0Q1mR+CxdrDvG/ViYyt
WOuWkZ3mP5aREQN2apIFkaMMpoWED7rbnEz3RVX2CHg9WudBqDC46CBW3uou2glrBX40nYKL/fmP
VaStUNVHSIBo8fo0tqxK7chRm1OmlUFpcuFFZZ36uUIiLyXurrCzeNeH8cvyFpWc5z9mQQGNFwOe
mQC6X5tlbjJ2SgWzYqi9mFkvALZ8XzYho/r/sQHXjPwi+mbBzHBto6k5WMp1AxM6inHjdvkIiCPh
XsgVw4N7cILItUM/Msr0k8jTbDOY9hgootb8MS6JV+moq5V5ye+yVl0TjZ3Z1CieTZxek5brDbhc
i82eD5Q1p9zW0QwYg677TtHvBHlbnoWZiUa9A1AE4BHwxJZfhA0ZgJNHKe0k1Lc++6XV+UpMMbdv
ryxIl+4wset1adac3H5blpBuLlpP0Mxzm5dawwu++wwwiWfpa/fIdE9IO/fKrnG9vFkmrCyzYLcB
AsKMfKcJrHDfsOck/Lw8h3OWQMIEWiwINoMbSzojkEfP3aatmhNh38DGH/dgwv/VdCd1zXHPLdaF
Ibng0uohtC2HtjnV+kNIH+h2eRxrn5fCP1dt4sSEwNmpR2OL6YqNAyW3ZROzu+FyCNJuoE2ZZdCX
mFblNFAXuyH0O4hIZfzzqOdI+6Y+05LtYD8vG56584A6xXFC0hcZKzlnANYlpSVO3JyMMhs2iC84
pOUb+hAZaN/8uCnk3sBUqKvoFZKjW1r2qVto8F2uyx7ABraPw4earMRjc+O5NCLNY551el6hNHYK
+ehF2Vtjf6NavbJacxv70oh0hCy7ASDbEc0pdg4RspSqtQcskRifzDWc3ZolyRdXAxG8TDGcMQ4o
tM4UvyF+1BwTvhKUzO3xyyFJF4swRkWHygPus3C4VyPybDPj+/L6z7nuSxPT3y9KMT0UGENDwaxZ
iBij/Ds1ACSpd2wNBjk7FJSupqsZ6HY5+td5ZcdViqPEkoHcRRZRg14Zi83yaOZWBuxLQCegewWU
AZJTyBgCNgv4mBO4LNxnUQ/Ur5kKUAT8YeDwsXswqZGunNa5Kbw0Ku3uuEviPsxxhLT0Iel+x8an
SH1Q8tcPDw0y0qDHAkUHCptyaqCOmRM5UdaeQA08Pulj1e/VtHAO0LxzA+EM/ClxW7LiHeSk9hR2
TGkIdFohS4A5lQ6VUHGSBg3bY1SerOZbbVv3NTg72gzk6lzsKkuAsu0YxskxDPugHg/Lg55xHADm
oL8LtXRcVvKuKVo3D8eE16fGQFt+ZHpR/1lfk8qe2TQwgn+4FSF5LhPvN9AlrLIqq0+xBuL9KPah
OPLQQjNFpHclmB2XhyTn/6YpBTU+gn90yMO5y5Ajk3YgToiS+lRnyRM0ZFRPT+qdiNk30kRpUDAG
RXBhvmYCAkMWKO2z6oMstf/8BNTeoImBhwigZNeHXqRxWA9AJp3KNPnqVu+0a9dq/DOhOPpx/jUh
t/y4BokKq7GrE9P2pcOPyWB5SfWijwmKfPzZXOsB+kPiJEVQE33hhBxCAduUU4GsHQYSWXV10rVI
u0PDkYWGuZB392nN20OM2MpnozluooaiATJXxDFUVRaUuRg9JWnSXy10BY3ABYf4nYhasnH7nu57
k2deJVztmbvg3EqNVsReDQ4VjmAgB/fK8uaY2+9Ilk4bESxIN8UCIzUKIzLN6kTz8pvV9q+ibV6U
HkHosp0ZlwUPgu9PIEKodkrHuu2JXo/cqk5aYqLp+Zi1n1r+ZNH3ZTMzTt9BiRLBOirlwMNIl4tw
a4r6DdYkfOLk6KxpS8+NAtWhKYhFT8jNwR3ytsN+qjBbyqar7oX4Bs5/sgbonFkTpJHANTERFFqm
jKo3AO5QhyzFJZySu0ZpfMgw7UbWb5bnaubA4GkH1kCQYMHdyjFfmtuQpkrB5Sf6/lcZm+8hd3/y
1nnIMiX0BjcsAb4GifVHrepAd6FLC2/1SVRdujCpzd2hLwf1BCr2JBjb0YGemeJZkZl4Oov8AWXK
TgMD+LLZ240xmUV6E0QhU6OKlCFO+7GrlDxVT6UWmK9C2618/nbNrr8vDQvPY0QhJb6fDWnqWcoI
1pM45NCJTU8R2JFYZu7ajv/QafEF77JvdT1uS2WA3PuY+6guhVCOI9t+cE4jCjNurD81hnlOQmOf
OP1TKVycFb05pqBID1SjfVW78hNIMn3IYO2QetwgIfwC1KzqxUL13WhSYu58rve+0Vqf68K+Q0KL
elnBP+e1tWcdQcmsCQyW3TEhdrj/VxL+f4j7rr0j6qeAVILZG5l/YJSuPb6bW05isQ4TDukK8IY7
7V1XNPox7zWBEoCuPdPQpAJUUnrxCBTSDwX6oy+g13At4IB2oXUcv3ZxOyEZqMOAArbywCqdH3VZ
NwH02IaV03C7Qf78TMQ7BBTON+okitkWtplm1nFwvtTOlyhY3iCQaMWArycEoPkp402QR0A4OgUF
F3GvXYFZFxoL5Jg7VuZX1NmQZPjStKNvaN1mVArqaVUUVFCvsXJja5nZHakNGvAqPyB9993iIUKf
OnxSbOfQm8k+z+sDPhUU6gB948J3Usia1QPXfe6Or7mDYt7QI4VQO9Gjyjm7c+lIPJKav/TBuY8K
3fZGvQZ4IHrIUvepKurovi/qYxsXEVQDq40FAQg9obvEGNrfkVGVfh4mTVC3k7CbnVteHoLQsHTe
8oQnPrX6U9znSMpqzUbR0nt9Cp+oURleB3Sq10L+51DRofWAI9U94aTdBqQRRkAZC3Rb+e2Uid+b
2tahuY8OED/mCnQMhZp5hmVRjw2Ub8NYp5UXxul7D3pbkfM3Stygy52DWVaPRGuOJEkCw4ifOY8P
fageTO5C/Jz4NGnuAKN4s11yiE1r3ypmUKVtAMLcgHXpFti+YwZZs6SoPkE15DCS6GGM0y2Kb5uR
vxeFFnQN2QhbOcbUgU9G5z3p0FgXDftisD9pVvicxkLsO7dWAzZaD1GtRh6tum9mrr4VRhdAEv5k
ZfqmgrQf5ekpZ1CNyxQRGMLpN3qMXeDoUIUk30NtvFMj3vr5pAydj27kQTcw3hZQHvRchZ5GqKZ4
TZc80x6nmJvflZzYW5MNZYDsK3Sru/yrEdn1XQV1YqsNgwYZOauERjs4K1gLeWISZQfTzpSgGVXM
taMgV+qE3xIa13dQldQCu1I927S7wIEukcdMBIZtVH7teeaAoZ+sYKZub1YHzhkcTgYyjoj/pXID
DWPVboE0PVpW6Tf9qQFeoS5fnCheOee3jvrakBSJFjoIK7gxIgIZ94XyCx3V8ceTD5cm0Ll9fdKB
9BaQl8RY6AB5zE+TjjL/cH7j2oR03ZR5ikt0mi6WbUYBzs+v6lqs86clTXJYAJAA0Io3tH2rGU+L
tAwBoCJHC1yQlZeO9U532pe8qTZabPiQMPcNt2XBqI6QbdCovtXLkQe1qvzQm2FTGm0QsjjbILT1
RiFS6FRak6c/CIU9o5PoS9vXAQ3z7jD2aQqXEcUPCQd50IB20k0JKWXUt6rXvugMCGsnfh0q76A1
ewIjxqPmdM/ZaDwpQw6QnflAoVRy7HWRQYd0eLagOypac6fDo7Wl+SVkKeSY47c0yoiXZFByRfca
8S23/5Yn4ivR+IOulsfB1AIqyiN6gw5RN4KzxjVAQThsB06/ooiDe5kQEPuX1naIosJLdf2Bxxo0
Qc1P6kDgnCvfFIav1vXWjAVyT1mL+1i7D019T5PxRUsN4kHy4AG50pfl++X2SYluUnR3oz0Hsg03
CfE4dVBpocI6guICzxC7Kr2yHZ5bnT4XquKF1gcBr3jRwSAwHTpA4agPyK+fLIcEZsMEOZqK+1Ur
irdYrJzUPyWbmw34n4k/ydKLG5MiOuVN35Kj6jbqCZMYbQsk9t4GpcgH32YuAgliBJq6DV1/HIJH
UesHlSbqps5+oyy8y9OgBSAg7H9VFcR3KTkWbVPclUZlnTK17oPQCnJjEJsiq8agBtXCZ5ZozQMD
+eNKgHgbbE/882hoRPMcrhiZEZgNrMgEyrVHd8zT3ItjJ7wb8p6/dAz0tmCjDeGI4oEf82Yotst7
4zbycDSog0CbHI0PEy7s2h+pdVUy4hb6kSHgP6MkybboTepWnl5/CPCulws3gQUUNxJh0ESUYUaO
jjKPDZThMS4c96Ey6urVznh2aHll+AJZOJCTi/gVkAflXHWK9R1dC+2dFrf6Ux6pBgTtjPoObazO
57RQyUNNOdsC35iaHrFjd9f0FXqALbelL0Oe9hsWke9FrUcv7VCUzNdLQF/7RBXPyISQDUkjND+h
VKV+1qEk/KMJsxKHk+Oyh3M6a2Q0Nimamt9DlfCtW9juqxPquBWgBYt0ZNU92GMTPphNKe4rJ6ZH
RaFVgFQ83w9aZcO9hHxjVRq9b5se4Gid2edGhMOnMLS6VwG95bsSkfYvTW+aLbDUkU8JCUOvii0l
893CivwkFPWmCHtjxwgkiZbXfLrGpMWA10b+bOJwQVpSijZZYnZ4hzviaDQAP+jxpiLCdyoDgDnD
zwgUrLvwmWbGSpg7s82BDZ6exoAeIm0obTWnscFKq9PuWPDm2NLfBX2N+SGNY4gEqEFBvi2Pci5q
gNC7hvcFep/wMr/e2VbRVwDIGOLYjU/IEnrcvs/NN035uWxmblSTgM+E24SWqOzroD+dOr0diqNV
2H4YmRmYErMvds9+qMzkYO/MPo+tGa4s4czgkGHAYUJaGfkAudkWzz1HOEgyIVLZtO2jyA6JcQ/p
6uWxzTgHZH7Qv+24010v021XtqjKyMmHY1I9gWxsDcAxE26h7Q09F0BnAZkndy10Au27lYpAJXM7
5LWYqXhaG72pVrXWOjY3XQiKIPIHAK8ORMX1XjASPbP7yOiPWv/i6FucqN6+X2XlXLOiX1vBltcA
EYajsA3qKQ3bpcY7n2o/5HV5XWYn7mI40vtZqWI2FCoMqcVvvMHy4l5V3/4/E9PWuLhfe93pCdNh
grl+1IMO31e6FTzIdAAlN2Q6UwYARRhU0eV0OoeQisazaboa+G4WtPG3ivtN7YF1fXkwMwtDkEyf
cBiA7N6oYqP3ph15oYkjI7b4STN13LHQoo80MfTNpKD1cVwNcGUY3NRzOcVeku9Ji6I22xLNURFa
hRvB9iaGBc15Hxz5KzmzmVkkSFxN/wBmA4T3eqFUMppDhmDhKBpLPwBXNgJsXVY/s9jtXwyuJr7d
d8NaQn3GMwBiMiU7AYi6xaAaYc/aSknFkZh1takHVd0KGwIDy+s2s8+h2Qtetj+gnZsmX2LULdp2
SnHUuno4VyDxQzos0jZDa6wRwP1BGki7EWVnVOum8hKERqS3H9BikeMMTBxjtLGeRGYWnmYx5bG1
qgYiZKPxgw18PEITOzrV46h8S2JG96awuu1QZfk71NDoXYiQZFOG8ehDEsUFlLBNnl2BziJRAPSn
6ZACNibIpJURvfUjDinA1AUFZ5/G2QH9ju62rYpq24vUCbp6jB4QzbQ+yNNVD1FBt4/75gcvTfE/
0r6sSU5kafYXYZbJzivU1iu0Wq3tBZNGGiDZSbbk11+nz3euqhKssOozmpmXGSMqt8jICHcPl0BM
Famwst6LsTyOZMSDHSwSb9CKZqchCHGFOe6bOHP2g51CcDMdI7eJdK9iRnTQRwMFrMxy0Jd+rihM
sbpTa8UAGaWJXZPp2Vc11/7QsTX+OONkerxq232r0+5epUO4T+K2PrKiTn1SdACldSiY/ZnCSHnK
7FbNXI2yCm27Gz68tCwctgTi1rYFtgS43yYYW4t0XJVH6kQKMTzpLQmfhrLkP9KwaB5pW4qNVOVK
qISqxHy9Y68jDS4d5KkJKy3u0+GJK11xmEwD+sFhj273Sir2mqVo+7Ats0dLzcI/eBjEG4d7baTg
pUHxC7c9GgZJjj7lqQKmcjOAZCn+aQD7xuI0X/IIVIrrJ23Fi1ykWKRxdlC60YwaV3EcuiFz7Whn
9y+C+X1xuG5oxRVDGg/BEpSOoEwhO/04GzRHYf301IKZMUT+ZPyIaOpNeboxooUhighzfoGCd4mc
kXyenbZ0zHqoma87j3rxFrbfCkBlrK2HjXyHwQoELoHFRz0G4d+8gGfXJA1FbqWmkfh9/21M0TCq
oW5oWwC43djWAfCydzwoSAymDmaaHGeytNJRhwkTn6HPDpbrqPel22XlfWbap+trtHDuMIVKGdwh
Xu9zb+TLQXW9MQ1mbTJf5A/WoZo27v3FpsbnIZAIQiLkNZbZAaGi/0wOxQa/UYpDbaWfBfKeJp82
4CrvZcMLjz7bgZjnTB1WgYaW1mZ0CPJEY5P4jpbvtOqgF0hUvybpEzpWJuaRta9VMaL/b+ay8VOp
bsWciyP1bh7cFgIC1KyXeTmLdlumeUvaxK8Ha86Qv1Zo+NOhsMLC6n5ibOO5szqreLX915wUsAFY
W2WxwRM/VQ0vK1KPGt/i6Xj7znDOjEhTSvRxyA3RJ34BVR8L2HK+cZ5WRoFdh16siAghrSdjAaIY
+A59wCjqRPecnHq5/iUv724eBYxAlBogUchIyC9DJbXiTsNb1KfZ99D8soWpWFl44Nd01ImgDmgu
KFXYd6TGzc78iiAZoKDa+VBEev/TqUxzxzILIYE9hLvrY1qdOBV+AYLeZPlUG3I7mgYK9yDQ1U+1
a084d3GcbdxHK07VgqwAgnbcdMDiSO8o06iVaowmrL8GVRf9pRi/MC5w32+s0OJRjVc7rMwAXvyz
yErpeaxmiWGlfvuOaLRHcmgrSAyQQX+DRHvtDmBGeRDLMzY2+BIPM1sGbhp0OIKUlXzjKnUN7GvP
Ml+r4z1V9COq5AeltH+MKr/ry+pPYxhPqTnt9Lp4VLt/b11FvLZ1jABVaOi6ynBYIrTM7khS+uSF
jx6UVqObwTaAL51ZkGvdhUpyvTJhAWVj41Nb18XPMVX7rY2y3I5zaWBO+MHFI2/vXDq/hkWhFtOo
9MfxUPweuz+m/XJ9qpaXlAHHitsJrx4bCiSSe+07J6unpqh8nTncY4Pe7Eg1bMlbrewHmAHVE4Av
wEYWTxBtVFna0KbySZY9h0TdjciXlc4Xjb0VTH+0J5AyKZqrF6g0tvnGoV6MEUAV4FXwF0gLK5CS
wbSnmtHJ57x37jhT+AG1c35rjCtZmX/FWQyjsDKiuT1NfhEeEwGExYRu98Le1/ldmR119P7A5Xl9
8RZ+BCaRiAFSBnlvexGc1VPEjVwtiG/1Y/hY4E3k52PIdipwrDtHa9htmwUofbh7EEjA50fYgem8
HCJaSBo2mAYiUA0X0JX0+/XhSOskf17m6fZFmohYxec11M3xJmvtDb+wagCRDNJXM/RHDmaBEuPM
HjqBfsXKF4AB0W8RQtwbEfM8CWfx0n9G8deIJpUm254w4gy1COIQBkpSfipS481RnN9jXEACjXxX
HADmCntLeUlyFv8xbL5fxzO5Sva5TTMmnIZsCij/Bpk6sz0CH3t9haQNtzAh7XGdm+bY83wKEmun
/2zoPm9OgFtcN7K6SiYY/Ij3KCpf0u3IaQ5KzAQjkFdEk5Bia57WB/H3+1J+MRQKqYyomoKhOvTO
MaKHoT2p44aS1/pq/LUiOVbe2qIreljR6j3R3OSbtjWOVQtA8ALrCRUMkNkuT2NpijZtY1UEaUv6
Hfqu/shU4JWbLZ7ihh0Z9WnHMdenGqKtxki+jGr7HFV57Rox3yB6rdtxNGCTQbgy5XgyRNU70cHS
g4LUU9F7I4eK9kbgtbq1cAv818QcMJ35aCdqrAh0MhFEXebytHQNthH5rG6uObbH4xwRkNwYRemL
ruTMxKKUsVsMqjt25g4vlUFtPjAWOGJUonF5z0mcy7GkLcrmQtGnIDVcqLG3G59fW43zz8/h+dlU
IQNlOnmPz8edtVP/9C+QVfuAN5lTCzMJlkCref4JZyYEV7REsJIEcb1LQFQASMEzt6QR1pYccnez
yBI6FSyoUVavTKzk4xTYKF8L0lYus7cKCWuLjiYvs+AIFMwXTxU7C8MkohGB/MKwd1hzYmHpJg7d
2zfGne8OGPTnOficMQjaPNqzKdPTuYGJIiYIT9v9kWZqvoss62YVQtzzANDNlTgQBBZ1HmIpBrqS
EnhIflD241af6LXpwloghEbSkS6olWYeGSScjAnN4ntXjWoPVWoQok5muxGSre1hFMRQP8Bzzl7Q
K1ReGHo8hGNQJAD+pz+LzvKKfCPNs2FEdo9NZ3Gtq2YjwPRV9dceKW/7Zp3OeUVAHzMgAIUeEnIu
KQWkoUeoMmJFGi9X/oUtt25fb794MVEIKPEHuFLtcnOhg4zFIJ8zQik/dO75VKnHMNp6m0nP+vcd
fG5E2sFhbYVdY9IxyFPuZvX3IgKMRvuOlXHKf6+PZ9UU2HbgKwO3s8BBD3qfO5M1iICNKB+qpHlw
FPrSl9NTxcw3iN1v+LM1V6PjlYP0AdTzF9KXFeRNm7TWRUCMyrXp3VBpG0559eT8tSA/O1PkfDgY
AAKd6I9M2U3ZU2Sfwq0ATOYl/2eNkFsE4wIBzELvMgS2omp1TFwRC47I4mkwhZtl/GvUZO1D2AFs
Mg1V52Z2bn9TOlN4OWqG4ByM9rFzOrdEJzJm5d3G3SqlM95/FpSeURBExxZcrtL+7MuMpkqXiKDK
m185TZ6Mqos9BT33vLbqWtfJCdhLRf7r+jZaW9Zzs9KOFVE1QEk9FkFjDF6JfEYtPl23sGwlih1j
zCQB7BtgiGQYluUknRPnyoiRQXKhaKveLYQNMQhUIx+IoPxB6RPneQSIGC1kSs0dCyXfszyt72qn
ro6RWtae0uls40W25tveVXvngi/KNlIQYExhGRc6ZpwND/G3rkYj3f31oa9aQDEZiTDgWRbEqSTO
ejtJsNWoiN3UbtCG863kwwfODaDhqLVCXHfWfbn0bLUNDczegY/OoP5UTO192txxkOuym8WzsJDn
hqS9ApRH0fYMhkJBAoWUOyur/TEfC5c7+tfrU7d2HFCSQajsoPbvyA/NIYkm+GsNp1RRntRBIJ+i
HHX0gqlpOrnZwL4Skvy4bnPNAc3rpCEEQXpNfnNEdR+HNuq2QRb6pf5iZwRgS0+JNtZLpii+H/Uz
O/KlShzBVLTWQHA7FrsyoQdeQx1shJ5W+sXKHtAmARplrsPu+4zcVa26uz7Mtak9Ny89QXNIEoSK
igCooDsuvGb6WvJ7auxy1SXWRvyw5l5w6WIycbdTsGgv92aSAnRndioeio3quBC4cPFy3Cp7rQ4I
4KNZOQcNMuTMjc0Sq3QirBveXv1RU5TpUauj0Au1ttr3aWbtgWZLX3kei49MJQIXhHprEv1aVkSQ
+cJUNvzUqK3XxASciM8J1Q+OGVBr49m9cucj0keZCHAHRDIyRKmx0YGpC8MpMJQXPO5zcaiaB8wr
Wl1c3yIrjguBMSIxCFDi0pevYr01RzR6ZSSA+J83Nb+V4djGX67bWNkaoA1iW6AnCJnlJy+3BidU
pMLqSFBOn8PpYAx3H/g+wC5zqI+XpAx/g/hQDvpZTdEl3RvRMdTemKPV33/2fen3E0Avik7LaKA6
aE9KRxeQ6Q+MAKVpuMG5aaQcFxPkP/JMaCQgceqqu5nFcbsB4DttABNnkrbs8CqbD5CLsGhgPwmm
uYqyVd9cSRdiq86fxt2Pksm8z85edEjdgJmm92oArV5r1zn5XciMvTJ0D9poQGOnTb1mcCbg+tJv
14e24suBVIaUNlrAzFUaKX/UFSlBHzcclal0h8EzvyjOHj3LP2IE0GjQ1AAfkJM6WhpSZo0xCbKJ
RXiDOfddSCAmCfqUqeUbAeLqiMB61KEOBjCkvBv0AbhnUsBYx81PXcdeowjqVUqOEry9FbOteFSU
Mv7amv/72bopnGWmOqZ48/c/suwHbcAe3KnJW+d8yZ2bJRFBfQB7eG7vtyZMrVmFbTXobBX0deQh
VHNbCLP2gPxeX6y186pDbRQtSN5VdaXUtZqGuhWCrRUUWus5qAcVt6d2kVRwwHaB7gD8mbTZgZwy
ClKZyB+Dd2Y8sHGLA70+gr8GJI+jmROEw8E9Qh/0gznct3+uT9Ca08fDDp4GUwT1WumuHpvBagWY
YwH7Lsi9rQUh/8gSGLi9sIdnVLIUeTjWEE/QfEC6Kv9dFaASbjm05QWJ5nFQs0fNCMoPC59P1TBj
ccMs30iyXRHdR863RESeFo+gtW1kdJerAVtQBpwz1MhfyOcRFJLKoIkw/ZLeJw9JePNuuvy8dAST
ITVB7cXni0cbtLutmElGvmBywNqG14cCGIqwi7SeUwkzo31r+KXYxw2FEoaPFj1uV99R465Syc5s
f9OCo8vFA62sHR0/37rbLu1L43OEKLPIGgxfcd5qw/aa5L7Lb1Qn+M8gARCY63rAjstJnx606npK
MUiafKo7v45yN7U26obvgIbLmhiettDaxP2G6ttCkKicAOZgCIF95ObrQ9Pn5oAuR5rxGncJ+4pZ
BmGizD8VRq+9lU5GfZ5X6DSpZDT0pqzq77XW4Q/oyNw8Dwz5cHcKWfK1Uzr72Opj96Anc5Ohosvv
cMvkIF426bHSCnVPRKYl3pio7QmhCBc7oxDj/YjYEbwm3XY5r4Y70bfZz75OohdUnkaPMZt+TadR
+RoJgxwsEVdBD8TdU9dMGWheWeyl0ZS6BQPizsqFtRvSjhZHXDw9EKpT9cxK1h+HUtfeRua8tmX7
bzIoqqvEJGNeNiXtdEAeLL5rhIi+l8KeHhphd2Aa10npZX1t/juSnv7JVHFz92Rs6fkmxosbucTF
nW+h2F6S3MBq1z7IrlZyarY4ZWuH/syE/HTTeNgUEKczfKBwARWMD9cPxZr/QmoSaIWZLrIIKMoS
Mzl2kekTMhwS5TTVfyo0i9WhzE7EzcHfPFt/bUkHEN0s9CxqYEv09jEif6DHeLO716CeBAYK8mwI
AuVyES2jAuxt3fJpf6j2RnS6PlnLgAhRMbz8bALhg9wD2ooqpAsjavsgbHR4AtUGd+l00reyOCtr
DqnUOesJAWz4EGmiOEuiWqG97SfkR/9Q2N9uHwbGgX6biJSBIZ73xFmshfS+UsWRY/pU4/bLCLTI
FwYM1ecp04ZnoyfZBlNa1p2BU0Szstk14qjYDhrxXRoMuy7qp6wpfIgT1i9DJe6oHavTvknAnZ1b
OLo48N9tUqX7YYJ0odUWicuKIoZ0I6jpgB7xe25z57WEi7LRrCSrD6LRC0y+bXlapUIXCOC9F9Ha
aFOhlN3NN8fs0edGKZCHR5VF+v1RRtEUL59yH+BWYvQuShRuc3NxZZasxAEBVhK8SzmyjxFr6zEd
mG+R2ptCxeXm6DJjd33plztrtoJcDOKhlXAFQPpSZZ3FfKV/oE7sDdPtLhEWEDGicAcNp0U7zDiK
xKiTIvW1nIAGmbsV6dxh/Pf2caCzBx5C6C0zR/OXO2oshYHiXZn5UC8rX0SyMU3LVyTwfWefn6fx
7IQw2g7xYODzofF9SvZK+7gfwpe6BTz3SLfUs9fWBPhFpKzndj+LlUc1xRJkxO5Si+wJtIusHG5j
zOHkQcED0L25bIuGsXJbOg1BPAPyl/sQkubKsSw3/OLsjy7jEXwfTxBIp8wgavl8JDqJE0dj3Ad3
lD31xI4/E6WP71PDbB71sB/uNIVYkOQebu4qNY/snXNhqkAhySFxrFcqz9qa++1v0PXZ26277PLr
kh8mAlQHwhru1yzxzPau/0A+BKWQufU4qFJA0stcRifN6prB5fmAfA/CZdpWPLrcXLMBc+Y1AESB
K/5yJ2sR1QuqY+lF86yEj0TbXIH5FSstPshr6NwBDjXU2uSMC+3UGF2RItVvYWsfFRDqCRvaEY9k
ueWcIpC/PuOdV0K8AL1dIHdvUs9p+xqv7lAkKnyDofyENn3jgTeD/jnCeMOOoW7WRz0BPc3sDgrq
qC9pr9o7aLzbh9rJFLdQRfaOW/ZGTX2NhtZ4tkNDObG4iKE9MpTT2+iYUFSjpRqdeFSwatcNFj+Q
kk0Pg1oPb3mLO3wwkwHQEq5YkKhsCLoENdWWxvQybkC4DtAp6AVAkS+qMgUTddS3jg7leLQhahGi
PKsoAx1xUIrHeEQB8OZICwZRb8TTGlkOJB8uV31y0K+pRq7VV9HvEvBQPVX2Nx8NVNCBJ8PrY5Yt
m5/2Zx4yRcgfRVOt+1WsvVDRfprAQr9uQka5zm4LHgtJdshfAbgmh1v9BAGhujU0H/EvKjDA+f9T
5oVxHFjRefNL8sFIh+QUx7X6PdXTeGeEQLCjrl9v/JJlngK+0wYSBclXCuCLdP+HXHCtCTXN143D
VN2L6SBulOp9H6s1p40RZ+AhIV//UwLoeMZNzcdTB30MUL3bmEx1eUwhcYBecpaNe2YRg9XZIJqK
Wr0fhyE/NFpYv2lZG2doElOln7Q0Vj9PlfmPEGF56PORHuOqb58ZJJcVt3TC/m7j98yZF8ltzPkY
pAHwJsA+kjYQaS1l4LUy+EyH7FPVkWxfgD0OPcdytPGUw0mkswwDo0UeoEuH4g4tN9woRHC4MTfL
N5AB2NSs/Q6+1FI2Jk516KdEBvVFCScE7UKn25XRnjs7ndx+bGAKrn5WypsX/fLY8EYHFhPwQ18z
7zLzhQ4bQ6ErVzEaAM39I+Dzdaz1pQGWt2UMGQfqNwRKaYQhcWd0ff8Smi3d92amCbRzy5PGNcaS
nHg/mPdM2CgIlmj8pivCeDQmpz00jGqojwvIPRhx9DkyreRQ1a2YNn7v/HOu7YLZc565ESONcrUm
6ehPzR36cUUahGZun3IsLKRLIdUEbp/MXmCCx2g3CxOieNZAOVb6X9e38op3Pzcgl65S5EgoAt7R
N16dEKnkkzV5zrARYq3c4xdGpESmanTKMKYwojgua1y2RUxcW4izWbLUy4UwBU6Xmhajb5Mf6K1j
on91+en6PC2DahDOsA4q9FKwMeVQBNqCk0MH0vpNJgboc0E4fHCBfy9+16YT/WPyBGTgypm80SrV
Cc1ixFYwtBwkiOEgTYDCAsbigq2oTUMcJ63W+eMAorMTRT5trOcQsIybt/WFIRmAIqZpMtJQ7XyF
7tBmQWSHzV6US6eFixsol/kRP+MwpEe8oeejDhJ16yNs7FPg8Dzgr1v9pWs3xrJyDV9akqLgaoBK
waQlre+oX+i0N+IHPr6pxcGIj3bKd7V5TNr7LN9SK1ju+Euz0qWrCLPLuQGzTDOmuzw2jXuRd93G
PbRiBcU6vCNR24YeplxCITRO9J4iUxsCZzixr/mWjOLSO0Bq4cyA5OHyqBmnJuOdL1Kl9tJK6b2k
L/I3JU+HQxpq/eHWUzYnn6F/gIM2t5uQHIVtKzRN0xYDegvf0MXEFsfU0wtPK45gbF+3tTJ5UOzB
g9IBzZggsXfpNBLQWJXJSlW/bB9ZfYyd3fXvr8wdkhWQe0UMCECTHMZWQ5pD4rJS/YE/MnZAtxnK
D+LXdSOrg7DgEzBlIMTKOUMVD1WzALXPh9wAAvFuK/La+r4qTVJTDZyb8/tIvOb6V31LUWjFEWCS
/v5+KdZve8qKXFeoP2QJCYYGMkYUcObC7UivgZMI/cnnAvLdGzmFFV+KlIX63rgOrc/la1WBsONU
ILLzBTnV7CFXd9ZWvWvDhHyx8ohAfNQMqZ9mLoEclepSfcO5bZmQTovgeVs4OUxo6ND0o2d3Tbqx
h1csvDO9EdTPjDYZZWlnhVJqNahkKeH6rsjSuwLd+FzTaN6u7+NVQzZghSinorW6nNVN1UxBMyMx
+XZT3U2q+tBHObKowrw9XJ7VLlEsAMER+TcZ/ddBgr0IGzDj02Tc29MbBwBBTYonHc2aRmd/fVTL
eBaBsoGKJ4D4eILJT684jPlQak4ZmIy5kfavEb6M7Tezu0vQZ8TahNgsJ/HCnFxt6SFUA2U9mOum
H2Z2V5a9C5zN9SFt2ZD23AQRvcxQlRJAw6esOOnDa6x9vW5i6XMuhyH5nHE0kAWJwzKAespgC5eP
v/43A5LTYSatW5Wikid6duRQuSXFxsW89P1w/EiZoAYC1PRiO09qD8WXvER/+nEgrjDiUxRpA5pV
WYcQqscba7IyYRfWpBhHb8OR9w26uifmsLds9hwbm7m+la2sIbMP+gRyCHMy7vIigJRgkkSJFQcC
Csh20PMXg3kdqkj8RURv19dnZY+hmIfMCfj+KhTGpOiwKzj6F8VWEhALmrjmfVNFrrXl2tYmbXYB
wAYhr7wAB+p93HG96dG2V7t7NcLTB4Zw9nVpDxPKU84ovo56yQsAR8+0VMB1DrfS72vLAm4Z9ORw
l0H/W0LpFGiFUo4DTQKKvmfsIcruWMHcVEERedds4Sm3jElnP657rbM4wQNL/w4kApkUF5oCKIAT
Tzf+hHwLgrS6D84GJ01ihQaZpWJicGkP3lwYueAReEm0gRJd3wh4jAD/BpiNvNtybrEIZackyMwm
fatY3dxbSkc39vSaFUjlQfgI3BO85uexnuUKkgqZZt0IExAnX7vRc6xv1zfc1velSH3SoH5bJAkL
cpW8qPn3NlO/XLewthrnI5BOJSm1EdhHjABK1oSdKnJMyo2QfBkNQoAR+CC4Fyg1LFjLFlTQx7zH
gjft57Z4CNPUzXXVNSFEqvMtHN36jP01Nv/3sxWxDQWJjwS7mZjDTpS2J/65PmFrx+V8NNKSA9hl
DRHUOYNQeR2NXcRG13EKN6/YDg83N1E2KtVrAwLtEKVxBFKgjkj21FDQAs/2OIDU7fdsy9NsfV3a
YCppyyTNerR7VnT3uaq3gtm1tT//9dL2aqdcDNTBr086xErdXi1/pORnH/m3J4vmhmt/p2letrN1
n/Qit6vZkD8o/0CIJPt5fdm3Jkq6KZlSWAnT8f1CQ2MZz9xf//zaMUTSGUU3YPeXASya0hhCs7M4
mLi10wDRL9ATBfr0x+tm1pYDb3+kZ0ww9IDZv5ylARK6dgRUacDso+PcU/JJo+i8rWreyH5fN7Vy
TpDrhfA0di74rHJoUbJxiENNREEB0fw4hPhfq96Tkb/RqjhB8eouT5utdsgrswiRV8h3I5c912ek
4VG086prx4kCJdopv2wOmNjp+qhWtgFgSXO9zIDqEmbycgLT3G6VBMmTgBrRW67dUdAebrYAQBIY
gAiTkBwm0onUNGVQEr2MgjC5j+6dccMZL6cIcRHIAEAMgQO66ImujomtmLrSBRU1XSUaa8+2+8+R
mm+4rflnXmbRYQcAVDA00LB8oTqjoy3mADBfH5SprT2DHtXvUHlB14mxtI6N2g8b9t7zl0uDqCeB
BwytBFsKK4yJ9BAjj3oIV9huqJVuDHJ2+09iPbaV36CXi9JOXksPt64WHoAEWw0VDugzyDpPWYcL
VEergqCwplNTFn4Mrf7rJlaSnbMNKBvi5WGCpSC5HlsVViKSsQ+yAp1xFTfhpUerU1lCPL9ova4A
Ez2CNGZiuXq+2RJ46TJAHgFLFK3k3qni0o4HjqqtdaSoA8gFPI1JvEsbe0fN4pD07N6Mu9J1mtKt
NW0vCjK6UYNsr5krex390Kyq+lMlOv53soNe1IaHWdvKc88lIHtQXloALRQu8nIy6jaA7rkCOW5m
PEARHojPsNnSjl3bzSiPAUkC9tQSssBsLeOAEPOAabsSPJRuOmR014tv15d66V0w19bM/p7ry6iW
X3qX2O6yRGEqD3JzhKQQ/USVbCMuXps0gKEg840cBpyz9LSIrb4hZpy3eIbvqcXcnqdA92xs2bVx
nBuRxmHHVoMcVtYGTvbYq09bfYvnDS8f9bkBENo2I9pagM4V0lIUFNUuCA0bydE/EIV1p+RnqVvH
mrzQLECznpsf43Ot/a9JKbzIQToQFaFdoFUUpEv6Ode6D7iScxPSMW/TPCyTDKMi0xM17ovb1UQu
hmBKK1+FEFc3Gb4fFX9y7Z9K/cjvR9YVpxEw0UXzDIiJqFwnaR/09uCxLN0Vt+OOMYIzC9IiQCAH
OgwN64M0O02fqL27/fRB5hBYB8ARTPQAuTx9WUaM2gQZL2DNi+OF5YbM5vzr5F1rob4OShFCiIVG
POWNpce11iFtmJxysHvapsMDv0ffqPAt1tjPlG41Eli9FBEJAQw1s9sW0P8kQsMhnjuwmR6d8VsW
P0Mawk0jHRzzaJ+039O6OenNRpS5dvzBz0Isi1QO/kgTOZhWTCGR1QVG5sc/R/Fy+zqdf342fxbq
x8KgDH2wcPyBtmp/Apx7/ftrLhKhFwTl8ORyFtWX9r3f34SzrjZfkg5FC2N0qy295NWlObcixSto
bNpRQTFJoS2yn5mC1pp5GBmf67pRnsuJQkjMHEM3meLvicNjX9VEvoHvXVsnMBNR98a7HLAmyePo
hYlWQ5PZBaneu9nBULagH+sz+f8NOJLLsXurtKJM74ISep5QzraPH9prZ2NwpKtGsaKEjCNOld4m
e5Uru+rP9d2wMUmOtE7IJSYxJD+6oLV+oaeY9pHPq+rcMAvpI7zLLjdzw5JWmYwRXvlEVQQW9lYa
eS10mYMjjc7MHIgxXRqwjDShiiNwGOPvkYj2uZ0eoX+vNRu6AavzBIYAwLwzbEmOUs0BakB1B+9J
wufknlQf8J7oEfDfz8tSCJo6/Z/3JHZ+3w3ZkauOb6bg/1TiOTJQKu22gr71EQGxhLYBCO7kDmRO
ht6AtIDzdE4Jh3b7tBVUrITWQKeC8AC5hRXxVjKVYZOZThWkFvGG/oU1d11d35EudKfidlgTcvzv
lTg8xzAcaR/wahqUPuR14JT6fqj6I9piPBbVVsJnZdLw7gZyeG7ShJtUOo+kjtVOtKJGterOYp/t
+nafdfF96TjWdtOF6MlVB32OToWzIvXp+nlfc8x4zkEwH/2XMFMygoDH0TiMfVUHlH1CV5wZlbYb
yTPJIi9Tnuo42w31d1FsSZiq860oxQeojswaLBDlmd96lwc1TG2I2joNNPF6wBvVwjWhKVKHbB+P
X5vwYYqONPzWmz/CiqH0fBps5lH2avdvE/CBFDn0jFveoP87ZuNdPjRuVT/p/UZyYsWhn/9G2aFz
u+xbs2t5UPF9pexK69Sm++vzv2VC2kBxpuXVLEEZdNlXlNq0mrmcvP1vNqRNZIGoEzcahmEUL8hI
5lrrbur3r4R7mCoDRWn0/YAWqRSsKkKwvqsZD0geD88iJ4rPukRzSwNk/B5Ft93YK2/oUNx8ZAOf
W5Y2klo5EHdrEx5YOfNq/aRXz07R7uNMdZkeWO0hrYIp/nZ9StfO/Yz6AooXz8pFmjrO6qagBozq
oEg1YMv+vv79lWsMvUYgVAVRWjz5jdn+WdA39Aj61E6tApZxL6l/cM10R+XQJ/+jnXl7ntkBYcAe
IqpVga4fiOnm5mPiHNGg7Ppo1jY58pQQTAHLEfG5tMkrzQjzuh6qoOm8trrLJnQa3l83sbb/kICj
6JM3C/zJSHUFVOCGh7hcMih7GfSTXfppvxubL3F5l2w1q1hb/XNjUsQfMpKRyYYxXbhoDJlukSjX
bsrz70urr4skjSCgVQW0enHy76I+Rfw3V2NUKDfyI2v7DKguSPUg0zM/1C7X32mA7QodwgMt/mkl
0EdAQRyUN6355/ryrM0Yom4w62aywmI/qxWU1IaR8yBsFdft0LP75u+j8okNBtkoVPff9cjO9nGa
E30qHSaC/ptKH5IbOwPgGYtqJ9L6UKaGHBbUxS+nCZ086FCYpQiyx9j8YelfP/Dr34s5wL6DLSQF
K0mLl2XFnDGIkq9ovuuK6SMGEKiChwS0KhLul79/xPVr00kdg17PPAUKmHwrEKKzm5Xuc42gLoy6
J17CePlfmrBpZo45N5EB7xx6SPTmtQ75Vy2un8fe8ix07eZd8witYjSITx5IYf8WyFzbI97m5XRi
aCemZuZ9kje/K90MwDd/+cAc//19uvQ4iyGcApyh1gc6kuWkqtwtqOTKFkdifO6CgCnA35KT01vL
HNGkvg8sxXoXfmvTjVWct4E8xaiRzA9MwD0X+VJWo5Np1yh9YE4T9YRRv9pdfqrr1rXiFBhnPu6u
z9mKdwBeBkxuCnENwEClOeMq+JBOnwxB2ED0F23Hfw12bXlJk96NfPj3urG1+XsvnqCfErrzvG+w
syMcqej53pko1VhuIx6dcsPTrdxBGAc+DPSCDtGA2fzZ57XQqJjO7S6Yqn3BDoOy07dSmmvTparE
RPUAEHccNMmEVrV2TrM+EIL6Vpy/dAyqEFP2aSy3qiSrptBIBGwlCFHiuF2aYlyxuTnlfcB09q2e
0PGdZZ/t0T61nbYRYK2uC+5tkEotgHNk1xqh7gDtv6kPeJW5+wr/ur7uay8QNCAGMwqVRuSf5ESk
o8MBhN0wQGFapy7phqeR1E9Ui054XU13eJAcepo+G0w7iiz/gFuAkgC4eui5jXLTHFecbYu0zAbA
Obox0NUX0/jENu6ltV2HQh9K9XiDQkBV8uxo6kKafBBDwJUGKqI/ie6HbKPGubZACLlB+IYXn7nr
l0PoG14IZNH6IGrN3S8F9arrC7S2186/L11+1YTssQM2MRKE7G5q86Bo059D2n92AAa5bmp1KGAJ
4R0KmhyYFZdDKasug6YfGyB29xPdEdX4eP37q8uBStNcEgaXUL6kkpCOBCoGOKHdo9o8aInf8Q9s
qLmY9X8m5HtGiZvGEWgzHRQOc/U4d+2NLbW2HEDjQ95u5p1gT0lzJBSqjC0E2Y3wYOfPQn0euhPZ
OPRrEwVp5lnDdI6oFoc+NbtxbNFYolNf1PqFJ8dmC124ttbw8hAXxnTN6maX46CNqMvEQF9lJXlT
vG58vb7Ua3VkPJ/gj+fiHzRJ5iGenexR4wSSFzUJJqvOv6HfbrjLdCs6RkmtuaSdij0KW+K+nVJz
N0AgeJcXTf3SjA7dOD8rA0W3GyA0oWsKKKjMEyoqTUC5CnqYVCDL7bT/j7Qva5JTV7b+RUQwD69Q
Y1d3F93t+YWwt20hECBAiOHX34Xvd86uUvEV0b4P3rEjOoIsSanMVA5rhUWzvb/WhdjrSoJixIau
7X13gIS62QFOm2hvifGYI8TpwiJ/7PWVBS2MOKKV/mJFigqmQBL1AOoH9DbSRmL8rBfWzsP0d56A
RWGXAMatGl+JGHddSaLaAi9kGxE3AXLHnsgBFOtxpa+1FC1cC7xiED/PRL6Y4lUsreeXlU11Do9o
Vo+FVx2E+6VOAFM7sE/3d3vpPBGlo38YvhfkvYok6JXuFHaCFHkjI6fY2nQN9G3h9mEpBtJxoIi7
JT5JAwvTsB5iFaL5UW0+Me1Zb6qVU1xYBpCQ55uBF80tzW5vtQiWWhQwh+w7Cyv55d27dPV5RSez
ofQyj1GJxkEStfsKQFHvF4BgC5gHc8h909zVDHJwaBWIGHi22c4Y/4+fn/Xtwnx42WjRGgyrMUnH
UD9LZ41WZ2n/L3+/okYMbFseZ4mI6eSH49cpW6uAL2gROllQm0BvOJyp2hOs20hR9UD8wChpNPhA
8zmJYSU9vSjCwBAkeC7hT9UOtHGwqn7M8ehrOOimYVenflv9Rc1oZliFxQFSIQZrFEcxUupRh5Ih
rp0IOBFrIAdL53D5eSV8IoDEGqdA62ODbKoy+ptrhuYQAFbNXVo3yEVMep3emzkCTMExT883K/HG
0hGg1AV8RaAjoWt2/vulnqbVhE5QECmAYUaQsC2i6f1YFvOLE68NoIPOGRxFhEyHJPf6CekJxwi3
qIW8P+pz8XAG1ftsitBId70E6RO7k64YYnOIOi3M0hUtnU2N8m7GMDAqvqAmBFCGN2vAxRbhSehm
A8MJJ+RpQvKbW01k0Se/OmUYNs2HlYL6gie6EqdsF/LF09AmSY+LHf3Qv7cy5O7f7Bgg0uGEUeO6
GTFlspEg+IYIwXZTsU8/3jetC/EEJn9x2zDEGuBdpPh3IUsAApT1EDv1xPbBRLV9nvrtL3PiYFc0
fA1IhmNBTmSq3O2U1+m7XzRIs+E9A+kzXp36Vs8DDUTic66mp7+Adzs47+8DvxagHFHRCeEADx3J
oJfRPKXD8f7+3ZoUfN5HqRPZezgntUpfGgaizxzPGK9HbdP+bDorGj3/vmuNvhagvJM6WTh9AmTw
2G5AqbBtsvNgrjyVltfgIkKfG4BvcpI9TWtfgJMnzutnop3XYNCWVoA0Pd5JgIVD46xi1DXbEX0h
KxkXNn0cJNBWEK5T5M3eT1uGnMKsyqDOBJOB+jpuGnSgO03bxYVebb2C7nX8G8a1hMzCdgF/0sGJ
A5MHXblKuBCMLS2BHidicXYxgmnqa8mlNQFKuCAyUy9tZkFAD3xOPwlTa0Wp/jzqFK1CnIAEt4OB
P/QwKyIkEWnTBRCRVel2dF6484G1v53+SzEedLsLiahDULRFvGVhNzabMWm27P19dYhY0C9mIJu8
wN+JBFSpjT73z1rdhz4Ia11npbdiQfXwogXCuvvHvqlBi+l17dB1wjub3ArRYbctK/PVYeXm3UYA
aS0MNyBuweCxOqSr911gc1Z7Z6CTRkYBUqhBvNsNzOCRAH1DZxWcgNpAayd+myZB5p8Ll4dVYUVM
X6ncLWgdQmtklSAGw7+OEhxZNOh1zaDBjHExz33J91v6q+8rhszTqsQJZBac7TESbNN+fv8ZXP58
JbKguif7UeDzPY+Gooyov9ZnsrhBAI3EAAMas2Htr2OLmoieMwD2nJuiiIoCDbprw95rEhRf1TRj
1dcmJKTly/QJz+z7W3QbHMHHAuAU3TIon+GZoCzA5G3pJyk+32RPo63lYU0DGbqa+w/1u0MTaEcA
2P2F4l4KVXYNQwQAFmjy4DzUwA/W9KhcG/1ZuuSXEpRdE7nZjIEDCRPbkSyi7ZG+P2xFDWaeIzbx
KEGKV7kbQ5rlbYsS/hl0DaGjYzLg3YkGnAuMMVBPDRDk+apPsSpER13incHSNHwQ5O3+yd/Gqdef
V8w9d/rJMSU+XwKTCY1FqbPj9TH333/WGO0FFMqMOhQgrrxWMEosi/V2kZz1CiAFz075/f4yFu7H
1fcVBa6mEo3qyO6dJysK6p31/vchXjQYIUCqB4mdm/5Yu5zgiaYmOXvDaxYW2bvfb9efV7YnI8hi
lBKfB3JV14X+tLHeH41eLUDZICYdZk8dJGD4qduy988EYQEzubwNkB3k1JVEj0SmLCs9kcDP6eHR
ztd4aRbUFOVURInzTC3Q85Rr5lNNT8qh0WD/yiYsCUiLqjJuhRWiOrRSJFyUhR6C2ZuiFqk2pRku
ZYCH6xHuBj/a7qtjvUnzq7bWDrOksXDa/5GiJjRMEOz0bQEpk19sXBmgHP0XRw5/hEsH246XiGJf
BwxGUavrk/PGLbrIF2tcqssr+Pf7inUdeeroqS8TIEOlITlZ0184CBvTdHhDoY0f6qW8QNFsqeUS
Y1DnUvvup9/p5r7NWPAOl5/3ldeH3dpt0ucw3cZwYs4P4vwwtZVoemmLUNVAXhITCWiJULYImLi8
tSRPgEpf7YxJfyKV8eH+KmYDrcTrM4g0cj5w3egWnn/CRV7DZF5tlmkQnOscY3+TR6LCNbZOFew9
k+zQW1lE9wUuXQ+4IeQU0SyEf8qpDE7nEGlgTYZmR22fh76VA9YqrtOVsHNxZf8KUmtDUzGwTg4Q
pNFXs39Jq3ZjCQ6A3uCsJWsGfnlVgfMHsgcjosqqTFerRtuAMlti627lgU2n0ft5f+cWtQG9gv9P
hqpwaMAkDvHmC5N8Tbotmd6P7D93NSBnguop7Jb6nq7BawqQVESJE8uQEgo5GmjvL2HhTADNgXhn
zsPeDjx1iZXpGqvcs+V/zOpDDVTSNP2SaTR0qhVRC7sFUeCkmWFYZ6aSa8WuutwnTSndc/fkm29O
9/X+ShYOHOVZbBX63lygEKpXs/Y1kv1hjLGMDS3+Kcrqwe/jQK6Ref3RU+WGApN79r4GWmMh8Xoh
Jph7mM979zzIagzLKTvlafnQue4mzYcfQ9/rR+zrR9PpN71bbt+/TIyFI0noz3R8am86KdloUpF6
ZzmUD6l9SJ+DakeK4P2GDlR/yG/P8d1tAhpjEHbTVRDTGXuy7dY4Uhf38PL7ijI4/YAUTgJ+n8Ys
t/mwd9pjD3q08aGqeUgKHsrukKxhHy04iKtFzZfhwrROrVtlSYNFaWc3+IQ+tf7T/cNZuE1XApSo
CQm3QZMWBAzdGOk5+mKR/Uo5DdE/if//cF/awoUCLjz68mwYb4zyKzFU5jZJari4UBo9u9q3mq4l
VJeWA/SZmQ4HWPY3DNhlOfgVJrI1IFS6IU8+OqQPHWfYGazc5Xm9u7+cpdO5lKaoRJ4lvsCrVTsT
0wBpLwFABclPAA1e2bYlOQg5Zx4FWL2b3GFRponOAGl+5s107Hj7SAFVkbO18v3S5qG/FAO+cOIY
w1OikTqw+ok0WI5JQceDyfMz8iw9KGAEff9bDO3kyKEhIsGDX7VHmtvnrLU1AGDZNdJ5UR6smNaF
HQMUJUCvAOmAZmx7/vvFvekC5tHKLoIzYRsnAOfv1hj39w9/QZevRCiH75W16VBeImX0krpAIl/R
rYXPA/JqxvBAIeoWSUmfas3uKt8/A3L12FR8WxTpSgJyDigUr4B6ICppiN3QDa+ewoTYdpApXkyB
rUWB/ZG7L5W7swJMeH5L2ud2dfJqaU2XAue/X5wKraYB9N4QKL60hEXwASt6tXDsAab55gkoIMXd
1IEJMglcFyWAVgBypB2CPNSst3cfO1r7gXqI+p2PRjolSpN91pe9ZQEo5GHy0FhyuP/5hTsIDM3/
BX5HG6/aUIlnZTERYZB4aEor6oQf1ulw4PKnZoG1rnOmD/flLR3JXCaY5wcBfaKWJWpjaAf0JKVx
75/A0GUe/+LzgFOZh/lgKT3F4KPqTAe7a9LY834NIguDlZ+/dOD47n+/r2QtWjpyf0x4GgOdfozc
kW9oIrejIdfoA9cEKRFUVQKBpi6wEFQeBYsKFrVy5VWzwM2MCUGk8cC6inn7m3KnObk+9VrABFUD
2bUefwQN+aEbrE3hm4+s9FiIetsG04Z1CB7JODUCpHpHwIDcP7MFer6r36G+ejJCOmuSCYltT2vP
rZU71ZZb5ksQJMDnZ06+RVWDn+wBQbgvnC+MuOI0ATY85M1o/tTrNeD2JUN1sTF/Wuwu7EY9s8J5
FTYGzmuHWcdQsA/gCyAkNme4PMwS9NPKy29hjmAe10RN3gCxnnODOlkhmiw9FxcjwMkDP+cb+pdC
z6jfBsCFhDaX7d7rKx4Zfk3Axxbw0KwoCIu7ToZ1UwwbveX1hpKObvBitjdZRtkJlatmF9jvngLD
PAEK1QBhQpUH6NWKTSK9TYsJA1Rxko0fWWG/gU1hxR3d6P+1CPVdl+Et7nQu7JKTPgblJ82NGP3n
vt7dmD5FhGIraFI3WV/pBEgWgKprf3Zpt/EAv0O/UNtb0fHF5fioJGESGD2PquvzME6Z6KIlcWVg
nrN8MMffIvn9F+u5kKF4O46uP8eqOhKLQdsUI/Bj+x9Vw8NWngZrrYtrjjZUXw5mkvk1iULyTZVP
ZBmQUgBqH1d+/+Kw/hVsiGfi5Jsg4CvJyZu98+eb8a8oZV2GJG6uiSyNa89CwPs9RdNlkq8YwyW/
NNeB0PaBjiv0pV6HCt446aRvp+TclmbksENVrsUKaxLmHb0wKloyOAnYZJKz7GI5bjP/0/3jX/v+
rO4X3xdNnqXMxff1X0W2ceRKoLD2eeXhNuouAKsbfL5MUJKJbL7ynF5SqMsDUGyK22a6XvhGcu7d
U8tG0IEmUZ69MHsNGunm2kOdgJOChD36klHHmhd6sU9lkvHC9JPk7CRPWnDsjWzjdwZouQHEvwZh
tCgLGoXZJaTy0Tx8LYtag44ah61hUelTkGIWjL9wMYL5xtia7+d6msfYUTKbW4HBKqDsIK+ZHsBb
ameA8m15Vmy5nXxOK+1nT+r9fV1bPCw8qIHyHwDMQk3yUll3JbjXUPtoaWSRR7MdtyZ5ZBh8/r8J
Ui5N7wC42JogyGQPFMPyTBwrR4CnY8X9LtmYAF3NmI9AU+1NooDborcDicLBpKVHXmRPYIw9tCNZ
KfsvNOejt/lCjqIQfYdXahJ0c1Et+JDm9HtPQTzUmcHWKqYnjZpRBaKwqrV2Qtf3wiq+3N/PJYXE
uXlgLsTp3eA2EEdjJapZeILlMix5H2o8D3vtI0P6t3y7L+tPclf1EZfClMVW7iAqc3STMylBpcZs
myCa837yzO8erETSfc2FG1k11SPNMjCaWALA7xA0s/mCRoWmFCC0RxvV1hvN6idNvc+aUZz8xEVQ
NrWPiWsWYTAy89Ex0EQBnqxsJ5jmhFIHTkKFIbJIQ6gYOpMINgVCSDC/lOTVzfPkyNsmOBVj6UZB
Abw9RDpBVOZtcmj0pEPcayfPaZkBH2o0glNAiu88H5rThAa6DcB0sn0/2H6UD3l/rEu7eh5d2W6T
UpiRX7jJU5Oz30NHdx3tuiJ0+qKJ9MyVz5poedTkoxcC1yQJx7IVR7NDIQzjA/Y4hAU7ZVMgozQY
rahKUJkmbka2lU2KQy7pl1ET6QYcm/jB7vQD0XITFnTUzgmwcHfTZAehbPt0b08FxrOtof/tUL/f
3D/WGxWawyZMEbmohuBJ+mdI4sJ+WrI0y6ZlCJuC+h8gH4ht3Y0vnmY8TXUT0bJbcf83jkeRp5g1
Vx+SycgpiT2abm0/jWj/N4HgPAyOSBa9+yrZh8kzzeWphpSn+3kM9EgUJwdN0RN/BZjW/c1bMpwB
YgzgpiHJcoOeVoNzKMs0H0GADO3pZRdJ89t9CTeWbN4upNOQlABAz01fi5VApzsBnfC1uJffAM1Y
dCsXe/FELkQoHlTz0WTSGpN2ZiyqppDn7w01lCUosZg9onhLHXwf0MunKr6/P4s/HuWBefRyfggp
6iQyUI1ZQaKddZp24cS8J81vVjbIuDlmRWfnO3RxR6akNVEHzfCiHcA0BYbwcoeqX/LgdzaqVKRH
ZdcHIykK1DyqimzclbrZ7MH4mUWOwek/OhfGxqJFsHWmPB9DrQ7WhpkW9WQeO8XDHxuhJmJMzKj4
HtDTYzCvbYj5rS/MXa0nK/57SQpIdIBNMQM43sC1gvXMBxIVAiDf0PZkODpApbK8lWhkTYil7Dah
qT2fK3rRSASQ1R8tHb7rQ3q8rzlrYlS1p3Liej1nxf2PYx5X03Ox1r+wLCIApcHMonGDpizx1AFk
BMoJksssGrXuYAwyC0HCvnIuS7cA5Jw6suLzbIkawNkW2m88G80l7n5wPpXGihFa0n/DRWoJM44G
kCIV/ee9BmSaDhZVjsGzFRgHQq0HOqYbvbejvzgVNGnC6IG1/Ca1D5sOGKHExX02vrrpz8Q7pO8G
U8ZtBtqwDrJnJMkQPV3rV4o6uUjNBrc53yd0Y5tbwrd/sQrkog2MpWG0TgVRqGvDHoBVpJ1bnqXH
EdRde1cOyb5s67WX7vxQu4rKEH8CvhP2Bk4CSSTltjAfFHSiwqS+0Y1veVA4YVeRL1NJ35By+dVM
eKUMvrGGT7coFYlf9DjPjbvq46TEvCqI6YRx5l26Jfo+K4fQqT9lybaeThOwdu/v53wkN4v0fBQz
AKoA7VCOzPEToskq0M9J9ZuUQFagSdhjLNTyTjXgFu8Lm13GjTAgU8wdz/OVUlxKoo9gjMtKsEWV
fXLyLLyJRirZrjGAamVrGSCTPWdrFy4N7cxbo3lbsBmoQM+vS+zrbVUfqLhNn5PMOEtDRLr5pWle
k1RbWeJtNRpagzcDwj4kfG6hjEjG04C2hnH2zZd0MsOufzArPSRyl3kbkmwRBAT5j/v7+kfrlY1F
LxRGmObSh4ux7OuLJxK8UBirnbNd5fUW5IzAMre0dEtroR8KvbU2XWF8zKeikaHXTO1eClFG0yTa
X37jDxuXVsZzwNMmDLjXhbnuir3ZpM1XabXirWyaKbTqMX/qa0yQwUuZr2Y9lTuDIDLQxwKKWg/0
pRndr8NYF4fBG8xI1zu5w9uiiDyAnrBNxWi1dRs93WlTPmzbGvOTIdBDSDTAlJyTSXPfusYDRJfB
1xqhFo4ePQ42krCAqUCtVimgpmLgPsWU2ll4xVNnWDsjZ8/ulO7un8Pt3QUiAewoyGPxMkaZ6/oY
stYoJiNzUFRx25B2zwSYdEMnnrrG3DsV5izFSvx0650g0ISxReSAyTj1QvVlVouS+2mM8GWT83bT
Dp/uL2lFgrokILZZ0hIBylD0CQ1foSt+3RewuGc+OKThNVBbUa3smFu8B24TiY3yzGqwKm+JsQny
D3W/752VrMKtGmC7LmQpgQnvAwSOFhLZybgl1sljb/baNNGtPZ1FwJ/Da6DjVfVPg6mleRo4JJ76
k5HtWP6k84N99uzN/W1bsDPXgsxrXZN2QxK0R4FPIpOhjsbgUY+z4IWyx1KXD4WHrs4Zqiv5G324
WJ/iFEEZROwEUVFsBS8Tj3ixYsrW9k85IiTGqnkWncQN3XrmoXGjtozkLwwZ3N+/RTnAloA7tdA2
fFO50hoN3rzA9rkeOaBU+YkP9kcqbRFiIMQ+ZhpZK98tiUTbDjIC83sWOn19Yj0grbg3SBIHTkme
/TEgm9QV3YlRsE5kcgp2QZ9Xv++vc0nl4WoBqYpg+TZQblrbbOt0glBE/bz5gUmCHwlZGRFZFALo
H8wyoP/9hmS0NdpK2MNIYr39IQIM6A4fB7JGZrJkiWbYlDkbPb/YFc1zSmCagOUdxD9Zi4lPHq71
kS+eD5DcwNCCevsNd0Xpe60mW3DOVKE3nGhwsutNVn1eSd8vLmOGIAfoD6ZX1ZKgV6E3s8rQCeHr
X7PmIa3XGj2XDCpU+j8C1IIgjJzdTwDZjKX7k3pbUkQWik0lSMwi8DPd167FxcBoAzELAm8Gpzs0
CwWdIGncaA/a1vdXLumSXs1pZgwOzO2eKpKNqIqqK9GMea5di4Ujt9BRiuo7+tbXom4Xd+86gEIv
0r+S1A6rakotQSokO1rEpFP7IgsRIf8RMufdWRU88zCvg5wWxuVvPLYY9cSVI1yQT6oc7CWjf0oB
bv5y/1yWdOBCiuq1C4cFXZHh1ns++2pa8rnqnAOQBd9I7h/QoBMF+c/7EpeOau4fnPlmMYuhpgZr
EwX00YU78sS+SEVIzMiyV/Zu6ZDQfe3OSIsgM1ZhBtypylHXSdFc0E2hoT8XRh/mXhv6xvb+YpYE
zRCh6IGbn5lqTCI11mdDBUHAhHtIKoJZWlvbD0LfkGpagzdbuEMIF2bsBygFnubzzl6kwEjgSsKK
gKLibUaIrj0jur+aNQHzai8EBHQSjtR9GveOHpFhU8m/MANYwozeD1Qa1EuUuHfiJNEqYoPRLitD
TS/DFeVaOA80PgL/AXBTIJ0xlRUQ1CWEL8EzWaUjCwWuaGUCMpLIX037/f5mLcVVPhIt6DyAOmNq
VnmjFlOWdwmI7uNEJo9+U/0CinuUOvYW4zLgNwWkUZM9BNzeikquDQzO31as0KVs1Qq5bKA2qSB7
0iZUJR6LZoh6/SS0fls6X+sGJcR+xVIsKQd8Hqaz0Ph7y9jIMBYfEFbSuKYkrMb9oK/B8CxYBqSE
oBvocMeeqpepLftgCJKGxqPnRAh6Qrt3NixYy9YsijEcYATaHqIdtbEUiamB6vkEjlDLfTA6I0JP
+CG1g3cXWZDgmvOBgJ7ABJh6W+Gj3P9l67S8Qws8mDVkpwXLPcMpwOUBNAcFcSXKKWrJW2hlHk95
ETn1PpEHs4ik64dVxcPC8VaMw0LQA+hGTNPDziGFoLaUWUXd6m1p5cAGrKIxy0O3q6LSPHgpOTTe
il1dvFzIogI8AON6AF1QVleJpKmzoM5jvSKoqPIoZUGYSgNmqQ9NignZ7iyCX4Wz9iz7MwSoXi1A
x6A86aKwjP9cG0E6eF7ammUeB3XgnZDoZSGA+OyTYMMQovkBc3YW9x9IXVVRQiuxZ7zLQ+n044Pv
Fn8Yvh4T2mRNiIGJ7JWPZrsJOjfY1pX/K/VGDhIGG90EiF9XAsYlxcbcOCZE5vHGm6RZafqd47c8
h9fLP1T2GKP/GG6iWoNWvO0uDJAZ+VeQGjS4ecUB3oDDqd1gCCudHtuaPnp4wVbItsqDYfPHpi83
6C7cGKTaaQ47tpgju2+AlwwSslhIqmMsZqauuz4ot6yJ5JpTxGMv9n2qHdJsRQvXJCgvZ2/g3dR5
kMAqYIqcOnt/fwVLB4a7i3ASfQNYyHzlLvyt1dQWw3Ur4q6YHhqgrqZyT8x/7gtZXASeD7aJihQS
1POPuBDCQY5SWH5SAHHBDGttw+jP+wKWDBFwoP8rQPG5tLatlOcQ0Az1rmPdFiClPSAqht/o63/o
G70Ix0JLN/el3rbaQgkRCaEmAsBV0GYoocSA/oDazwIGROEqstBXQFw7pPkvzECHwntAGjyQKD+z
nVf/pIP4i7t2KV1Rvo7JEm0nHospfwRr3rawyM5vV1poFi8apkYw6T7PriIlcH12dp4BDDsjBXIo
bWijU90j/JikdREmzDz2yAvkSb+BNXsAxfrnEgBE/pA9oWHx1/3NXgqrANqLRwju/dyjev07BDLE
XZGXUNTaxg8JGr7ViOBb6iIHnBKrWrnaCxcDSCTAIsZwHZARVd+mlSCWaAPMZouhjIAYF1Hv1Vib
ZFpYFMw7Mh5zPhyGW7ndgV4WwzjAgbYZ5uUHHT3J88wryg6ArFjJJy5cwitZijtDGtspksTPY6PY
oaVkFeZ/4Q5iGTO0A3K7t41qVofioDOkDDSLr9Rwtgl/FOx3zZ664htK0iuhwG1n9Vya+VecGgsk
XdMgqQhxKF0YIFevj4bw4aKfHB01geGJjmiR/s595BrHN0Fex2HYlAamFL/L5Hfp7rTg930FXdzf
ix+kKKg1d7v7grF4kLvpxZAr6YWV7f1jiy5sqG1NPmu0nMUAL46C6UX4r3r9IqtXknxi+kql11jS
/svdVZTFK41WugGFNMqjcfrSkBMfv+naL+6f2kSEWnJiVRsmaI2qsjP693wUtEv75f6Wrv2Kecsv
1lwbCF/g2lmstW8dx2hcOK2hkizeQNgTYGrNsbI3b/uFiNEDjdrU4tRyp0NbhrZzdHbIA/OMKf7D
36zmX1FKVNcFOeoKBUTp7FRkLaqJRyG+3pexECEj2QAqbVR1ML+oDgOjFM1p6cBac4AxgNwh6P3N
+IgxE7IiaEnbEYfjgzZQ2x0VxyIfMJIjfLg+DGjz0Fib1Vg6lsvPK4YRnR+iMS2so84OlG10/6nF
xMzw/uAnQFc43DcaAJDfVIIfKEUgLGHmMUcPAzv2zaHuVvznkgpfilD0iwXtxKsKIipQ6TLyVM2x
fLGWEVw8DUxfAbjEQF1K7UjWQX1p94aHB0MIzmTC/sJ1IJjHTNxMN4jUz/Ul0fysy2iO7piad+Hw
nDtrv39xl/BmQMETr0jkxa4F2F2bObXe49lAik2OaRwmH213xZoshWszGhtqqjMCq6um5DDyIseS
YJc49x87gx4rXT75zhTxxguRR4vMWtvbLTHCrC7fGreM0M65Mi25pNgzFMCcIUYS2lYMaw16AN73
BYvTstN3fZM424Ba6AMtcnTHu3KtXXdRHqLuGd3ExqCssrPSDkq74awAMdmjPSIzs5fpFxSq7pud
WwztPxQe/4qZf8aFGQWSP+Dph6LAsvKHoi9DnxTPLE+3pe2dUtsP9RScskgPpd70YHHzKMtgK235
3RHZV2Gy545yTIe5T27tf1j5bbPjVV7TgIYCrS26hsD5oGZ75xSZqY8Ji5H1/cethUDkipb2jlYg
ac91GcrcBk6YPgL018ge3bbeczKuMbYsHsTFr1B8maEnE1pS8SvYSELv0wSErUlrw9b++FfLnXEm
UOrAqSuXNYV75lbtsNgasydNK/c6M/ZWCqedlXzP+vTZHezXxhvPeVF+dMe1QGV5of+Vr+IBsXSs
TY9AfjC8WcMrATx9E5l/kUGbC2vwct58l1TTTStQcAk7L7HKOrLEc+nqoU539/dyySxdClGMd2sT
TF8wWsbS+VGKgyb/mcwV07rksIGKDhoXvL1v66x1OwYeIW4Rmyjz6/XjqAWR7g4HjT3UjbuynttB
BVzTS2mKWxWyHey69IrYS7+htBPKHixcnh5Kq9kEWRqRBtSDxYNtP8lhLXk3b5Z6DS9lK5aP1zbX
CxOys84JMV0ogzTKHUBE4PK12UfU5sL7p7eUwLtarXLlPOQA9LTxizgx8t3QViHX34yhBKrHi495
2LHeGvYU9t1aZ82S2jhAyUYLLoY+b8BmZVMRj83UImxwI996AEWw0a3NHi4pDhL+0BlkbhCMKovr
udfykcDi1lPzNjkYeyiNB4FeqJAM3pEmqz0cS2b0UqDiSVpmaFVvzQ/wZgfEjXwCNPem9fc0R694
KM0X5h4wvHv/DBe3Eu2FaLfBkxIFrmu/Mjpaa4w+obHHClBqfdfoW24f78uYd0pVzDkcmEuqgM9R
i9yWO3W9NYGuUmhRvq/M7V98Hv0MswvEXK3akh0wm7ToZkU9CLhiBX+q2794V6DyAYZF5NdQUFA0
gbkiEBOlFFbqVVZHrX1NspWoZWmL/lhaF6xTSMLMNv/CvYtKDBnQsWhslqdCfvbWMOSWbAOCodlf
ueiQVrtNkoGaVQqy5rgk6aHynQ3vtBckgTYum2KrkdtiKl7vH4s1q4567JcyFdXKgCpg1rSYZYod
KwH95Xp7Uumbrs23ueECjcdHJyLbEN/bVTWYQFy6QdoZyWa8p3zghLEJEKzezheg6BDpY8GzY+nw
DVYTpSL9mdn5lprdSSQ80ooa84gYc2uDk5V4x9p2t3oxbe6vaem2QIdRHkNuBCiVyjH5cpzIEAga
2/LYAR+62hdrUEKLmoAMLp5GsDrg2L3WBETJmeNTTmPSbZBF0taITxZdFO76fwSo5VmzQglbUqga
WFlDxzqODRgwAQzvai/M27bti9D+aZgIdWBL3t+9RSW8kDwbwAslt8yxRrdsRuNO24qpDhvvA2ga
OFgeKxG9H1AZrvhynYr6FUnvmsRkNC6EfBNA4pF5vvasWkzjXApRfK47oOkSk3CoD7v5oWzdUDZO
mLtNSKl9dAsbY27TF7RYfLTNepcV/gtzOiAdWVE6GDurdz/d3+EV5VGBHGWOmpQ/1289+ugAxjGh
awDGizfg4gznv1+cYTUkmBKccKmNtg/H5DCJV2sNHWpNT5Rb5goMdHodTi6rZJTYH0bMOBJ2HHO5
y6t/MHH4f9s0JUnR5sLhmIynsdadrILgbbqS7FsqN0IV8bLHDNufyvr1ppGszNIpwLEQTF7K5kuS
fUDCAlTwg/FSymffedWmFqPUHyX/XLA6ZNUWiJMRMHhCJsGF88WofohhV9Yr5euFgav5jvz7wxRj
Q0evIPWIH5a7z7LCRLcJnKcGaGlHDJJuuDWFQwVOrx8T/6mX32W9S5PfWXss5df7R/D/uUf/+SHg
xbzeIcAdlgZlsHoMVJW15j4PaCEMqVHuHMQ+k9DD1po2xG42IDPbo1M9svFzxzw7GIn+gCDm5/0f
NKvYje8CnCjoguA1bxJXcmynjI9DCrYgTD+I41CCU1xLNu270eVnK3UhaL4LF/dpwmjzZAx9CkLB
8aFE7bstmxM44ldipKUrhX5MdKHbMzyZWiAcMg00Wwz+f/yDLv/Sun3EHRK6WRb2lOxZkob3d3BR
ty5FKrd4GlPSTA2sPQMED+12gf9tQK5bBC85JpcHfUJaIN0M7ZeB7swGuSFt2Lr9c1shpA/WBuIX
nypo+Z+xzNDLddOpYYAjhPEGNqWcPo98PwTAZu4PHQd2Gg0l/26LL0O+0qG2ZI0vZSo74JopA04o
DIsT0AMP0yk93N/jxVO9WJRiucqqTYwpx6KcnmPG149K/jVwtXBqxcaw37p3Y3pCWRFCzuNiKFii
b/laWUXbZYMHgqU//E2yHjZ94qAI1D+5ensec3Nlecv7919xaqRimTLrbBMapImIo29e7u9v35Iv
AyqVj/uNjiQQQl8vp8w15CV1GB0TPcSO3DuyC1fJv5fvwYUUJUSALttdh96JmEtUWMZX2z2VRb4X
1XZo3kr5amfnxHzMLCP0+AdeIXnWvg5iVxTH+6tdVJaL3zHv9oWl4ZZnaonA75DTY/EpyCLZhrq1
bfxH19vdF7Vozi93VokS2k43+yyDrDT9rrEX6fyE/aT0Sz6CZTD7VDuxGPdu9s2v99LjoUPnga+V
wsBioPs/pF3Zkpy6sv0iIkDMr0CN3V092N1t+4Xw1MwgAUJIX38XPvfuW0URRXif8IMfHCZLUyqV
uXItNHbhdyChDmD/bOJVDyr2JsfpMOtnvX/VZRfm/T7P7cAG9syPswANVIHjPOdr53Kppo/EAVDp
BkAr13q7nqIqS5SVPlWlYJveMryXfpDfcptWAchyfzsOKzd6asRb2wHdGinzj0yS9hPP6h8i79YS
NddLT1Bgx1wANwRCoDl3i6flIBCvJ0dky8DMXjzlQVmRBU3/bORv1rgWwF3fnpf2ZsufF65KOnR4
PTHyDN6bVGjoItzyjqzcMdcOAnb8iRYPRRkgtmcPijQe+oyOQILmPNSaIPb+2kFcfn/mIDS9z0Fs
gO9zL0zEy5NNk5URXK8MPCr8D2pK4HgE0uXyULpidKuuT+FRrXbDEv0pzbxIw/sYotnbsi0iaDe9
rBzO61m7tDkbFe7HFn19U8pHt0+AuW2GgmzKut14utxq/RBZVf7YVd33MY/3epNFuMQi2mf3g0mi
279lbfizI+p4A6nF9EazwO1huFmYOYfCbQMQ62+Et9fp+217ix7/bLpnPhCS7rU2EFxgeocbWXZb
x0s/pFt+v21mbViz/e8NqdBzPr0o2n1t+lHJ32iPuyVmYaKjzAovcNvgdPHOw9XzbTSLNOya9bIq
cFNmSf0pZvWvahwPadyAUbUXYMGzQl4PG5TN9v/CLkoguqmjGgLxosvt62mmKHsX89mn/MEoO3Sb
0a+WDahUWdzpWn3ICgVyuHKlw+jav2AHg2MXnbvIkuAAXZptXKBujTpOn4hf7DPVHBgQmz2QUtRe
6/hf3DFnpqalPrs1m9RoYrCx4xIp5WYwtBdD8WjIqxWo2fKIfFCK6hDSuqoiVmOfWUyHmaLugy67
IwDSVJt2DeO1ePTRMvV/Zmb7pJacUM2HGRL33wvN+sgbd2Uki1vxzMR8bcwkroSCRxsT7yE103sC
lW7o/9lg8dLRllq276qQm0amf81WjOgUhtHaBq+NIc5OXeLUxSA6mT/ZbRGOWRrEa/xdS9OH6wZJ
OUCjrztBBOW5MVgGPGd96E90TYRo7fMz7+S3Wo60ET6vVd9k9j1eg3Qtft8GtztQOHgGzkvjvdDw
8xUaCliSnbKkxd38byozQHr8Y2I2BHQ1liY3AO+3vCizwwqcTGuztLTBzk1cLXMDjgybI57u4zs/
9iOXDkGMamsleWhYxW9co49asiaPu3RCIS05VfqhMXnFxNAk4NyuU4VMX4Z8qeo3psnffNHfi5yu
hB3XplDFQMCG3pmJHHtOv17HfWEjV5k/YQsC9Zp9Y4gRu9h9bhrPiW578IUoeSqZ4AEEkTuUT+aY
DQ2UpH5ugCbSbSU4AH4B/BIomQdas+vEu25QHCNk4Zxsk0PH87bxxYGCg8RBiA4Svqvoh/eKWBMt
cOpAcY0CxR7qgpo7xM6tETjUpWsWr905RguoBnIugIOCVOPSnY8CaHlKkG5hYG9z2RighoAU3Eo1
Z3FcaH6FBi6Ay+jjurQSCxWzHJR4T7X0m5Db0D00rGPJ/Xsi14hcro8DRnRma3biHEdTvg2+/qfC
zY+5rd0VFYnAH7OlbQy1imqj95Cpr4a/voJhFu522jH+xGt2OURVONRpB472WG5FbT2iWxkc/n7W
Hws2rvVKL60a2BrAogEgvXmVjVPxSO2mNnDf018+tD97nHRXW4llrr0j6p9IDKFnCBfIVWcSaWOD
pR1SfrZUI9KNDGVXthbvLxmB9AUAfWj9wB6c7T+XcCnA049apfcJfTaBXa29iZbm6tzCLGARwi5i
18T9qzoW1g2wG4j+stjc3D66y2Ym6LYDGg0Avi7XPyExmmE4aroqPjLtUDvBKMLbJhZdE9jO/7Ex
HbOz2ItkdqK3PaJa2eTB6Edd+1a1MnLyXcxFIMhz3J/k2AWG9fm25WmOLsNpRBBnhmerxFVplMrE
syQ32w2trCDVv6ZoN6YKjMe4bRzwnty2uDads1XTQCXfQngNl1pmf+ZVu2PgSMkl0vG37Sxkoy6H
NrmTszlNQVzOKwlDVbVjyWc9r0O/2RvkI01/tGURsfJOWG/oTw0s81g5eDzwITT5wU0/3f4lSz7y
bI7nKKbGbVNoJKKQ5OptGujCfiE1PxZtueVsjd5+ZT3nAssZSzwfyArUX/yTIe9RePH1AgKlNHTU
V3et+Xlt3/rkco6zbkisxsbzD/pKBSSpSYt2MmxY+pNrSRDXKbKMU2fHT0M8357UVdOzmycDGRAh
YppVFunNO5DyGf0tfHB140aPv5rqwXFJ4Ijyv3MHc7CMgUaxItUwZL/fVMMzNQ4jXxnbdOhuHMp5
ryXL/u9QIip6KyxySNp0n6fQ++ZlxF1t5aQse+p/nI8/cz7KH83Y8jCTg/Exii6Qw5fba7V0cZ8f
gJmT8VLNzv0WHlQznQA0mugl9IxoyHqQkKR3neaduNU/Cf4vULqTC8ADGglBjG8O1xzbJteqEtGJ
6aW7wkgDZVS7bhhCUTehotuCHMski/pqm5t3nlipOS4uI/ghCPhHUIeZ49qVYXT2WMEB+fppjCMH
lOSN/ORonyVgwbdneNnUVN8ESymQBTNfVyc5HQaKlwK4sSkJ+yZqkl3qRPZadWnRv0AM4n8NzX2Z
5Wb6mE+YjRg0QsYbbYZggp9WYHi2Ptzm5fawFmpZWMAzc7OsC7OrvLBr7BzpfyqhmaNXTWABaUqP
uvmrcx+qfC/YyrN+0V2f2Zz5tKQB20ODrNkTBFd2zLsnzA66/sH2V+LKxWN3ZmfmwKSZ6qlZo3KA
BifhvbHx1+3JW1uqyf7Z/WfleBszgnG0Y7vhlIDJzN24gx9JkAq1pInSFmiD2zYXL/ezMc1jJel7
NSRPkX539qnYAt1UmdFtE6t7YuauamZxPaswb7ZSj7WXRUltP3dmdnTBA1bhLUlBjA1wApgx5Yrt
RUcGwi5gGyZI1PxNVaNJWi8KHDOt7kK3vk+A2KqfivRTnA9bL/7RyBUXsjifk1gmcIuWe6UKISpU
VoEry8CaYmybyv8uQH2NPN3v23M6bYWrC+esajLb8mPeW4NXw1OVOQ2F/52usaevGZjtdWo0g4IS
2YSLrN5H4QSVk/z4+zHgbT9dYxPnwhz316UVHiPSRSSbOZsGaXy9W1n9pcU4tzCbJQ621bSQHnwf
mDF8FEosk+5Q1rw9jiVXjtZYSAKgl3NCpV8eW8Wpm/e1BlcOPhHS8o0UX7WkC5RlhkV3uG1saV3O
jc1u5gZvw5x0MIZW/22bPWrQQf4XFvDYRLsv8gNX5F89o35beg6Ci9wPKg6UXxv8dxZmy0Kzsq8Y
tKKfPvvqNXffbn996TYABsBGOxEwTSBSuFyO2B1omgAT+9QFjbaXIkRBdVzrc1hy1aAgJXj3I8t/
1SCsrMFpRwlurKz6TSscwSwLKZgiClQU6yQw8xW4xuIe81DIwHsWLWvzbJTPEpG5AvYkNlbMvlFI
K+bel8awdqCyvD2Bi1sMSVgkvRCGIe9wOYENANH2WCPZwIwvPfA+v25/fnF90MqNJK8O+pM/9emz
W47FplaWBT7vCHuj9WOkLDfkcRYysWJpaZHAzIBIkoA3FoHW5UAYqtaE67h3yGBD4xccg9pD3dzR
VkylrlO6SlG7NHPQ90TLuG5B3ntO3cGlNzBI9iCDUkdDUOrh7ZkjiwNCEgiIf3CTIDl5OSC/KeO4
avLiKZdcRwtDidpoopCNNG1U0EahIpqBzQ4FvncDoPZvQw3ug9SO2aZUkDiukkGFwu6NnehysdFA
8Bag1xdixFSKx8yBdoRK0Gcb+8Yvq5ENmvEojaDwh04lzR9RkDT1qNS493WgsVrZ4YtzB1JxSLlM
hDVzqgGa99x2kqx40tJ0T/S6wUsQDSK3Z3DpQkCJ7x8jM1fdjKXGoCqMhkxtz4o88JCwE38tUg9A
x7mRmYuWbpuBjQJGtKD2tuNa3+riRCGeB1QOMf1VYtqsfT6C/7YAaYfTHcFeToNRafkKQmXplE4q
zFAtBv3bFSjfkq2VAFiIrk89P+qlFlRDvUGbUqCo9W8WBXRZaIFCbQwsTpe72vW6RNipnT/pFpX7
0SmbXcZiN9Bdmu1vr/+f9MY8bgLw7w+zOM7n3PmYpesUpWahA7NHE5CtcAKq0TUfbasewyH1BPRx
TfBYVwLS1tCOQgJv7LwvmOqvugQRsT5YTdSB++jgaoOFvTMoKH1QE1k4vz3hNmojU9dAuNO34gto
hIu7rG3lEZ3UbZCgevczlvoQg1iqtR5Z2X/VB5ne+eNQRXhYWxsPDP6BbnEPYtHozlKp5z5VuO8h
S9h8AVvF+NLqtdrZJv+CBMB3qcvixUjQaZkDZnQnPafY9Gj+AfkSgmtZ/NAlS3bQNpkocYDwqiVo
nh0yfhrSNt8PJif3o2vHQa9nNnQTrJNgibMXjWsHvWjKAH03WdAP5Vfdl99S0KyEqOGrbVq8VeNn
Tz03QA+C62QHwjO5LVoO6YhaBWmcQwMa6CU9KLoBpEkybBI7jBsrGCCrtKN+VUWsQ6el2Zjoi7aQ
dGrMsgk70ntHDzCwkKEOss1pw/6NA0ANFqA6dH5fM97wplS8GPDkUGDZIG0VKuu9GVZc2dJlfW5k
cuNnN1zDSwIxlTQHpFoPHcd4I6W/UZVED2yyxYqvnJ8FRBuUoXBd4+E9MX7N5VvKHmPtyz5/ykkP
CaAsFk8+GO4PjePHdw02dWikcty4GvHvDK6nnzqGWkZI9VE8oBsWeq0sL48jnmi7PinNldf5kr8C
/gM5FVAS4FU0O960hFhE3zvlkyHf0WMVv94+0kt34tnn50DM0kCqVqX4vMyObDwC9Ona24FuzOxn
na0MZen68AC5ttGwiTh/Hlp2Y6ODeAf926UTPyVu8uCABJqXa7iOJd+LqhkQJICxYqfOLhCeN4nB
/R5NvBMKukb3qRWljb2FdsTtuftT0pm7w3NLs53q6HmFWgmHJSd5zLnQA66RQyza0JZZCHxrVHRl
4Hdib7pqI/z+lBLz3UnH0JR035dVpAkSCbF2+yxONETP4KLBoImI6vIEpUTvYhGL8ql1f1rWN5//
tunv22NfOqSgAvjHxCwUqE1DMprL8qmS3/vuU+I/ErqNi5cEPG//naXZciZmrBrRwlJKH8oSWoFb
d0R7StitkfyszdpsNUvwWqaEYdZsC3p01aEfp8balSB0eXNi2qawAF0js6C6U5BgLusORCbI6cXj
AM78BLwTBxRNVixNjuF6c/6/pcmxnLlRzdEh8dDAEvoQ9BBcGm2YZ8o8kjjPtrEJ5501JA0SiqtD
lygF3V62pdkExAEqN1NG+CoscUx000mf5U+jr8JSb6JMR4tg8XrbytIg//hGkIZOig/TrzgbZFnH
NLdapCgyyymnFlHx2W915Ghbrwza3nIek4oPOwOh8b3j1PbKIBdOAWDAiIjB44KU1Xw1wQlFQcVd
gYPKBpqCDM69ivMDVEf3LHfea0vb3B7uAnMTiLWQjwNJFHghvHlDbGyC5BVKCiMwPiSoi/HOSd81
19jm3QlwBC2uNl36hflt4LIPYYkw04+0/emZn/BmCLBX0G6cPRreGqXg9S2CWBAKKngmTi/FeeYf
ciNamiSxPNXG+1DQjcO+yMwEdOe36qwj9V9uT8P1tP/RBIa+DfbWxLF8ueojg/ypZunyRLMXUf1g
1dcSvNeVUUS68f22qesNdmHKnr0ZQVjdNo5U8lRUMTAQWz/fFMB4eu4rZGWZjMCZd9vg9X2PU4Ne
amRfwLmBgtfl2IxSIymUJSClZG7zIUpX7uDFzyPUBUMrKidXmRdaSlNKu1SnNoFSh/Fhxp9u//6F
OiUGAGEUZJyRnsBevRxA2dgM+UpNnvj4aPVF4JKDJt9b71T02856qqzfpXiWdr9yTSwO7P/N/smi
n3kCqlCXpUWuTkAaOf5L+i8QTSCkBigGGDHAqa40j4bMLlNoiOaPRd+GFrvLsqmNb6e1bysT+CcO
uvTcl5ZmF5HjSJ5mRY7mkRoNvCYqsFtb6D/MpPVeK4hpgj+gcb60npsfqpJah8JyaMRB8vetjlX7
w3UZGnBt/Dx9hHRmj0Yw9GSYcgt9mDe8Fe0T0DJgIMgKZwNgsfuaxMmvgrs2DzNlxz+Vr0sQIY/d
1isZ/2Jm7uecNySknVPvFDpNYAZ18E2S+9lj2xDykYlk6PYOHgR3ZFDVq1fiNqPc8beeiL37rKLj
C6uqFpkSrX9OPe0tdQv/GRoa1cYvG31XyhGJk6Qu0pNInHaHmptdBNA0MDduBcahcMi84TB0Bcig
HUj5eCYHfqwkSRIMAEPuzKEAupxrkHNILHNLu5jfVelID7lh4+XIBnW0HJEcrAaXXa76dKdhw4D0
Ha3kHegBtkPJSJT0JH4yENejpQE9OgSye49J33UhMbPED7ite19EXWmPad5KBhFLe/ghoFp31NXW
a/lH7LffLWBfRabtVW5GLphWXtLcae86fXhOtd7a1SPjh9xpxk3aAHyC9gAdbzkmwwGCq6ELSqPH
eKDtiaMc89UmmfarQSPBNhvz4ZPla9qd8pkKpdm735gztUZkffVotxJSeY7MscKGkqEh7fRbyw3v
uUEQAMqp7JcC2+W2U8ipQcA221aUdRvip+5WZXYT+m4sjui4EKifVvFepD7FMxaaAgAcAPnVkDE0
jCI/oJnFwVfEELYj+cEbr0ZDvlSRsr00Qpjbh1qNen34qmdGWGhj8aJDh+dVNa33UpAmf0jBIRU0
6Pa4q90E+kxxCQ6MuK1QieeA4xgJfWcV5zuJHRRCurnZuWVsPxhmgv4BANFBBo/sgiTQDOW6KtBZ
7vaBYZfusbRr87suTe3D6BEr+jkIAqDGZh3aquCbodHrXcZ1TLaoIFvhiXzDPR1KBrLpt1DqHCJi
d/zgxI1x1Eze7twEpLFZjPe4Jg0Wsi4eQpLnZOdYDJFT5dkrfv86XkJSEmw8CNgBYbyisyw4gKfG
4KSPUydlU3VH36Qvyhz/OjE1mUG2CAUXF+5/fr1wO3eHwk4fXcMIHRzJznllEplLsXJHXwe6l05s
dg1YsUbdFgrcj2jh2hL/C8t2PjjpY//nbXfpLtzQSOiDWQMdoNZEHX953yBdmIxFPWaPo5k635nt
5lWQjXZ3jE2H40wj8cat2Nu4eq/2uBgdjJX4EXVYe3SNwg/GqtCibviGrGloQ9XkYWxzEKbwr9TS
g5q5/YZnaLYXULl9Sitd/PA6nADiZNuuFySE8AoJQcBmPdZ4R++8HrmCXKAJN+dVF7G2bB76uDdf
UBNiO42oeDvEEBwZiRJPkyJgRLsSIqtdu89s5Ho0CKJFAx/ACwva6V1eUf6D92W9rRz/p6xpB3eG
MrarMj9s/Nh8kAxpttb3tsTm3Ysuldh4vseADiyc4RMzi3LftVW663SZbjtvtLdWC5YCU+p8N2AH
IKzR2jSsSuzwERwvKJ3reKjGJhTEuqz/6DPDCvR8ELu4g8RRWpT5hpVd9lgZnIZ1l7JnUcu1ZP3C
dX6xT2d3ICuYJivDSh+5/56DUKIEoOT2xlmyYAPeipeYg4LAvH4qmU+dxuMIh40x0Gwd0g8rIclC
VAz4M9pPoQmMZ8AcEeorv+lyPcsgoQ0v5SkwN9VBq2kBMqwRqI1DssZ+vmQRPGkAxEy6dABfX56F
SuKtlHUUp7v03DsEl+69snW1MWrmn1LqeEWgl136SfXk76UhMIdkcioA0qNYNHcsWQOd6cFIH3ED
NaCsQ79ZDba222u2EPiDwBhZB0SuqEnN888kToAklyp9JCIyB/CObhSUsWWQ83+xOc4NTZvnLJqM
s1xTuNlgaHiMrSyoq5V3xVKYjAwq1gnlKJARzF+udWrIJu209JGZ6pTK9LXkYgAHuvhQmXiG0DXy
6eQBDQ/3XSp+Uza+/v1UTtlOAIonAqR5J0JXed0AUEn2WJruA4S1oecRkzfpsqNfl7skjZ9v21sc
8PkFN6uLFiOr6lp3sUGo29w7WT/eMyTwNsLmZKNqOz8mePkO0N4k/qPZO/4dV6l2RA00XlWYml5t
swgbqVTsoklY9LozAuJcuQVazvjkqkZmQepU/q4DYcSrTSozYFCEiZy+K/dDbsuo4y67b6uy2wgq
uqdhZPlXUC4YD65px5uSyDxUDk1eG8OtIn/A7m+NZNzGse7v29hTWwQuH+irYQ/ML7tD0ie0BYbH
KLeFzYaXulTOc4qOl9DoSnkvUjQLE7TkQavRHSMUW1BEUH4xfpXYkc+xHNxnENQmH3HrNZ8THRH+
3y8UKPV0vKtBizWlNS73fimHQvdiZZ6IweQuFyZ5rUCc9OISVR18hlZcB+l5qBk5dJvkOOMpy/wt
UUbycfuXLHhoVOgAyUAu9w/F3+UPMTxpioRL80TL8phVzXEtgbtkAC0HU98IWGyRKb00QFhdFIlM
3FN9b9iP9Vov49rn595YaGPWmWA86YdjWe5RIrs9P9P/n+3iSUjon58/hWBnTqoZrNJAO7Z7Quq1
Hn6Blbtjm9smlhJOPqhxp87yiRViDs1Fj7RlyCpzTtQtixjdu5oLOpsMal1o6BUu27igj3+eklVy
xzLgMFG+o0ctRgt61yYv0HsM0JtkbovBbZ5zzdA3A+om373WQUswZ771BSQYa1D4xYk/+9GziQE7
Y14W6GM5ue5LcWjbvwMyQvZYB14J16wOGAZSnLN19WrUdmOLGydeQGQp7+7xCnu/Pe+zpZ1MoFUF
smFTK455hb2QZmNIX1buyUsJD/xeS9/0NBaIOge+Ymo2WZMpND4CdjpJU+mom1zuIrThagI+aMA7
MfGroEwt/iPT8Dr+6xHBq6C7zwb1/CR9fmlmIKhbIiAeThzdN1WDxR/eU2MtbJxW9uxI/BkMYg+Q
M/zhpZ7DIDKGl6NdS3GKR3NTgpsL2sqOft/ztb6lRUOQ/sCrY+qxm6PWjLaPha56cTIMXh8oldom
bUEU1nnpVwNHIvr72UPN7B9zs9ljjYt+OgfmGASU8QyKRpVsLPvXbSuzp9R/Zg9RHLJbKNJdtTAR
XrscdJLiNAgWWJmz8+TJskSQ5987QNl8qwUAqNjeNrqw1fHehc4jth6ElP1ZpO+CmmCs2xFGxzYY
yZPTsiAzV2rKS5scAvKASeJMAdNILncfjllvdkDonKzMDdRbvMpXsTSKcwOzU+RIxi3scXHS39IR
lCdby1jTj5vWeL63z01MYzxz91ArkWWpYCLZ66A40n6FKkY25cft5Vja2MBegYEVJQGoN83e7bXe
e3HDYUUNgebvRqhqbJ2/7GT7s9Hc6cEOiCRQcuZszRPX5Z1Ii+GUdv4WCelAIv60nN+3hzJHTv8x
A6+G3AB8Aqg3Z6fG6b2WFQYaJOsOB3OboVNnQHYrBTLjrrDBFPUm13iUljbaucnZyDINcEYzaYaT
fDCbjaj3t4e09vnZ6ghErYx4mLguee7VY/GXTbSYMWgMgUhsykJhgfRpd5ztMSbMPtYqLuCls7DW
T631zVJsJW65djMGABd4xaFFBBjTOemqB64cXuaNPOWtRkHAoo+hbPUWgBmXiGPaN9p7YVnJi+lU
7M6Cetgaav8//SHzs+RBtR0eFX9ddYTqWpLYvab1p8Tp4G98ULVsC7zIVJB5SvzA2UB62bKQ38jL
BIm/FHy9fgGogkDNJqyVaiJF/fFz3Vf2PjPA7DKaRLzFJkQd0XrQhZxoWojYPf+Uela9ZXEB9R8z
NavA8srmgMy8vTUyou5lpgaknYi2gS4tj1Rl/MhqvzuUhnKimoDSerDGtwG+OQJLB43QgKqFfd66
+0aTNbjvmRFoie0f67Z+jfHZaBC6ETRJSqzQMloe8CIegzHvuh3SmdnWoTVeLTzt71zEa9vMrYpT
jwv1k+S8PbnCHyKXyc9NUYtTZujdXW22gfQOBo3LbTomDADHXNtTOmrRiMY3rQSXKSese3OFNhzq
ZOyj1tMhqasX3oF4kL5NkXoL0qwRRzxnfsPBe88p9F5w4gf14HoVO8DviS9ZPgGe+ADSKikNehwS
OkbSAt1QMOQgzcER/5ClXQIUpGuRIGa57WrSR8zuuk9Npo/bsR/yU9m0aFOjSWFvkdpTYEGdsFtN
aQLj6VRH35cJDczWyD5LS9kbi2tjOJbOT+Iw56AcVm0kUnrHKjZACD3WLoOfHU3o4pTOQ1pKHfEv
kUVQIMmIuS3Lg6bJ/KVrKI+EawBJCpUCsHR38W/PKdONaB8NBmxaBn4oPJtkRigK8eDGHXXRPMna
NX4T8Ftw8OYh/w2GUTxIY8WsoOsc96B8Lu8TAorRskaBGxQfbehrvhXW2tiwCW2X3PkO/5VVpvns
5y49dK4yUTTS8pOhmvKgwPcWVb1f7QCqQ+u9LDoTjAMQwhGAWT37BQTfRjJS6G8PdmxtpRfTDDn1
aiLf1VRkABGnB8wBsDDgnhyRM1Q/B1RfkRNhRhGkougtFPmoteWqIXmQ0gy0XyRF5Ug4LKSuKnYS
rBJ7kzk86LifvcI/sl1eIEeKwDQ5sV4fozxvswfm2vWGaYMekaqung07Vr9sCLkHHhAEz1T7Krv3
PswIUTuv9Izd2Kbpq2dSsPE095lXhEMVVw+Z4i3SeWUE/cnmrU4781ubJ8WnBJWWnfKT9ECNShy5
wdOTL6Bngax8kwZI4mFl7HTUgxY8NHeZhEQWZDrZe9P06rU2Q1mpbi8dn4FTruqNTZZIbJ3YHZ91
F3DGpI6/tnL8GXcm/aG1XhzmBlXQ9smVd9K8BOz0hW0GvoLwPWM49rUJ5RSUaMQReRFpRi2vJVgi
udrheeDtWsZjI4D+YA6gMhpN84G8e8NoRLijqxKwVQOlgtbPUKTwNVshSxCbW6EX5AGgweSYONov
6hNrl3f174RgUgGr8zf4CfGHXWt0O2rJEAgNwEOCtuEQuZ+PrBz7gAri7JtSd/clpX402PDKhGgO
VhmtJlptkM8eYUUonPG7E3P2y2gTAjkIN4t8o7YetNRv7zRH1htlWuw+bsSwoZ3w74FGcQKAQrpA
2ABUS6IVkZcZblhZFOhpIC2TlX6ipfsSTSUTRTneHACEXd5n1GuIga5ofqJwN+lUJf1LlvU/Mcak
nmcBJo9Ig0yB4dmN2YLoKkEzBj+l+StJnKgcvlXll7+/9f0JEzDhonH3zIJLVbjSsu2Cn7oAed3Q
otrKjbwUvYIt1tMBC0Dlfv5s6kXcQV5AH04VQR3wUPjbvt79izGcmZhFFhwPfiPnxnDqu+Mg9/1f
j2CCGgCBgz9Tk8dsiuiAyyZvHX7y++ZI++7B6V4A9f3bMRj6RHMPQ8BMXr1hx1oDbW0/jifaHwGi
Qmrv9vevI3x8/48kATItFngkLveSIWTBOaDUJwu0bIPzwVG4TdUxtoZNaZUrSJBFYy7yz3ABLmqO
07+fbVwvtbRMT6rxhDN7qOSDj+ZFqWeB3tuB3v2LmZskdPC+A3UiOtUvjVFg7n08XeQp+U7Nveet
TNxCpI+WB4STk3oXjok3+z5RZl0WrTaeUKR/MgkH05ZHQ7DFvKBhH7zPrf9qFcUnbUiOvSleby/b
9elBJcKYBKtRlQdoZxaUj0ObWNzk/MQN8lZS/TM62n6bXbwyyGtfdmFmDtW1nFahIU/wk6jcD12C
bAvZ8tsjmQ7hZVgME9BAQyFnku2d74nCYEMPNSl+StS33vS2KJKBcKaLwK0T/QtLPrwZ9jnAgfPy
Q9J5nWZ4lJ8KU965bEjCwWZh2iK1UY7dyi0wB+pOz5oJiugAeKT7uAtmTjr2Y8pMd+xOtBHNFpZE
qFesfRZG4t75gowb7uihVTyiNSEPWq9OjrljU0BA2uKThDr3JiWZH1DqqE3DHSuIh6E/3J6RhfN4
8RuntTk7j5ZqjLIehu7UlvqmSEHQXYr6qEChZBn1u6zo5ra9pbUGtSYqgqCHmjh/L+0BbuANQI50
p4SRJiCJtids2KBX9aEvV6moJs8131ggvUKxZdLSBlPzpbGW27XOGtqdDPJbid+Z9sU1Xwf5ZIAR
u0ZIedQL7WC3KJ2wX6O5kq9dmtlz49PBOpvZFk8xP+WsO3V1h8I3Ed+ZK17HQvdDVTt7c1hrL/6T
TroeLhwRuD8huj2vLY/FJDhpdt2p1OtuwhAYe2ZmUEMnskXHDM/vaGnmj3gkAvzb2knoI4IK7Nbg
Ie4ee2Wll/wTsuF4Q+l48V6l9XpWVuWQqv7UCjRsdVR7LIby95iuIY6XdtS5nVnuA7LsKLHoAA/U
7MHgeaSVWpiXadjX9Yr3WHKFGA7cPTjb0LExO89eUlIvjtv+xFMt+QEOoS4oijz9dfuEXFmZcMsT
17FhIfC6QvfmcZ500pbJkxukYxzgCP2tu50MTCj6iSUWqYjZFcyHJobIUpc85VAYa0Cb7noJHkxN
gOTU7aHMq6/gyJgw2KC3Qz8amBTnwGG/iUc5mn0CQmxj7+fjbkzjO+rRCFDjQMvxNqjEc+tY34u+
QleLvkKbdrUFZ+Zn9zNPOM/GbEyeHOl9VTZ5s1OIfg9recXrOAB2cKNM7Txw9qByvDzqBq+s/yHt
vHbk1pIs+kUE6M0rma4slSWpZF4IWXrv+fWzWJjprmISSZTmAveiG4IYeVycOBE79q5GrRXcTi9Q
oSmszs7T+OQ31me5bM96ZezaerzRB5ToBe192KqXOUaBh6SWQSvnRXcc4FNTC43CcwcjOUTJj6KJ
98n4I5o2IreLczYP0lDgedG5pY1lYy6Vc6VFAMdzy2ykR+wzkZvdGk9q9t5nx4sd3VRmuUUc92LR
ijEB8lnHnusleyV+iIv3nmIeTNTQ5iLzjBhe3sqciLBTJWQi2/TJJJ3w9P49z/eNGbBrzZyYi0uH
IhbsHF4ouI0eyuyITiFrovi3U5X5D60SdzsRGIQdBE19GkCb0GA2mCfeFuG/DFSmHVThsr1sP+9R
yW0zOWZX1jvjQduqAy8bm+eNJ9EyLRGDznn75e2aq1WvDIriuWMTFHse6ZOTaxZpxYzsQwS50tex
xwfLWUntXjdIGnRedCxCUbNHoB+/GzEODgPtyo5Rl5FTSG1yVIrpm1n55i6WyCpAWjlStRP8fVK0
f0NLuws77U8bt+rDVMszbW6YwhQAkPD6Gq74DUZGVK/AynoZ16ullIURaARXMBJYvZS9nxhnupvf
m1Z/mUBgcRYK3LNE+lu3AepbnmBxEVzF9Ow8iZxyw4C8QJz87xL9x8Kyj6CnzaaHmElwPRTfs7i0
B1XOnVyhQXXSHLPJ7tpasCs528WTdFSN9kOnmXdjb50gv73RwWYLQXU0aTmUzHofp+EJgjXnHyab
hkqehC96tYtZoA5fRr5ksk2LB92kO8C3yy2Cl4tYbJ5pa6ZEh++DYGDhU5IKbsFClAR3bJ888XOW
JDtZLEldaYd03HAAc7zxJgrDFg9qAK/oXQHxWFyveqz2WhYm/oewYFXLXwIUq0F8bMPjKMiOvhXA
r4QLhLdzCoUcinGBm4nARNQ8TwV3oLIRncrf11dndQvRTs72nB/SqBW/3aS1GeZ1J/eC2w+adCd4
vFgCTUH5oKAZN5qm1CbNK59BW0f3nmE2R3UyUGBrvK9wIfi7qVW8PVni5KPuJd6vIaFUAQEiGUBD
aOhh7Yw7tSr9j9d/9doBlsCUvxCJAyNZ7Kmyb3W5T5iUxvzs6z7RN31Z3lZf1MqNCAL4P1aWzA7a
KMQx9IqCK0psLCf63vZ3dD1cH8qqEQi2lblUjZtcXCeNqZEFzzKcBFCxnTCiEt6EvbcDvy7tzRKZ
9+v21o4K8A+c+pzBBGfzdr2nxO/Jp+SCK+gR/JRQLVh/E2o1ZWC34sZRWbcFAfCsaDFTCby1pShB
atU5YxOC1AlaQDtpu8snnbtAsI1O3HDraycTrOh/zM1//upFlqi5XGgJQ5uQ7PClozU2tmE9N/I5
rGS7yjYc26o5Hgoa5Ub6jpfPMaWXrKguasGVs2MZ4EFtYN9HVYOccguosTKReB2YbUSeDeg/Lfa7
1sINUErEZmRqToIffu885dgL4b6qw2ORTBuZjRWf89rccuNXPbC4wBy4+Un/8xxKv17fg1vfX+zB
xKhTY9T5/pQTJ9npFhJziS+b70X+ISuDYj09b8vMs9GISi1lLQOo1d9UqnyknVHrITjZ46ahmAl7
rr5+Vny0Psrot4lpZ2tSQrBhPA99fw8Y/uSJ4cZZX9kx/CxjJouZ2bqXJWp9HGQxzImoZrg+6O2k
vBW61o4hVxn81AG+tnEiVvfNK4OLF600Rl0MLNxzTaF70GLKuRnjtoisxnE3CdLGiXgJCRd3IzyN
4NdmoBkfXuxTeh28LJ565r0DP21k7YMyZQex/q4nH3Ob5oGxPyped6JN6hjLrLtfbMlVrs4xuAxK
DiBxcTpvncAoNJTGgVm7ZQilh0C/4LErDnrjWtaXZEvLfR7PxXhV8jG8gOdekYXzrgpgQfH8NmvF
bKcm2t6U7v3hdw6228MPpCY86BvPtBd4yYXNOUWhzUpQOPK3A5Q6oE1tXnluoD/lA5zTurQLGwVm
MwShmrMxfAU0KaiBzd/dd61ldzUVXpgDaoleXhj3YiQL84A33vQQG+LOgoa7ktTHyNSP+XCinOuk
k+LUmmwP3gkqASdSyaXeheLIXRHYQuPmSWqL3tHUHqNRsH0q+uEPzTtp8Y0u/xCsL6N2M5U3wdDv
rvuNpaj9y7lme+FyZXLjF/B2MOs8NrrQc/3he40G7ehm8PIawWRL0y9Kg3YrnQAzfhC0x6yP7By9
uDod6UkbKD+KkJ9EMKOYp+u/6qV5drki80+SURUiUFv2KXtqMupSKlmu7j8MIAeG9otFxB9LlVOW
yn6cBHuUDsV0lxffFZk7CYlAtfwmiJOjadNejX76UG+rlF2n4dw15k7NqJuPh7H560X3Vq7uvHIr
p/Gi7Hn5o4lh2bW0qyxpMxqvNFqkrSAc5tdkUbEP2DKl/zeDsEqmXa1/zugdzLUvTfGQp8Y+VvZd
k9pycFTEQ6pGh0oUHUnLbM+7k4TkmFSPk/Gp6I6d6tb5ubaee/U0Dd+7hmI0+jKIv02heSqCm+uz
f5kVxdHTaECLOKBlKqULn2OaU9YEtae6cGjZXfAo1LdpfDdWZ439HhXPTflHDQGQHOCZ33CvK/cY
mA2C55mTjRaVhem6Gvuq803VhXmkLR6K8/WhrUS5EIoRl8/gSRjtFt5breMuaItScyNdfbCG4Ij2
15GGsX8ZhTIPYM7jgdJ861AMWlWtoqw014RapPHuG+mdyOn52DKQ/1qY5/FVYDb47dTVdau5onr2
tdqOlC/XZ2ptIcy5TD5bAWm2mKla1bNhaDSNxprUpsFsCyS5+n30wlkIHgQXuTElg72oJqnrprXd
nNJf//DrX319MT1VVVtK2/D1ovyUyY9Qb23cyyt3Iglhsm28XOfFWEwPYB+l87NSd4tOfVCH1o0G
83M0FJ8i2duNhn8atDrdsLm2ecl7IKeHfjgVmuWu6uVe6iI2bxfV3Ii1UX3Mu8HfZ526xaZ8YYqD
Dwp3zlVx7V/QV0Q6GZCwbJOzqNxW2bPeHab24foSbZmQ3+5gGf2orivK5BxkI0reshLvqzZI3Fw2
t6AfFzEboyF3OScXECUCfvDW1OTnWeQHmBJ7n8bi5ihGkWFbOliiJlJ+t/4WhuLiBTobhBpLJT8z
pxoWu0PqS7A7VhEjs/ol0G+l4EfFAQq3klVr46IPmd4S7htQDou4xU/RMm5bKz7ro1XRvZQeCrO+
M4v+F2+2k9YYf9+/ZCBoqAUTmcFytRhWOdHm41l6fK5HEHdiEH+qfdUtZPW9RQimj1onuRMuIOmC
pSSRU57a0xSfE2smFyDa/FU2G/7t4gAvbCy2X+SHgRp5YnzmefgbEOuXSdFvY4v2f6P5Jfv5I9wf
W4RX6zbpDaBnm8LHMkCYKHqM+YDajSaFNt2dKO7sGuU7VRC1uzPrLfTs2gljZ/yfOWtRYxFoEAsK
TYnPfefvUh6GYof43b9sCrQ9idbxTZdFy06I/bhNquScyLGTDcZZG63z1G/lPNeOlA7hAOxq4G0u
znBvjp6kREVxjmsjeFL9SfsSlcGxaz+FHi73+kZfNWZI5KkglqAXZuFpRy3zgfV6+Xmsql2uUpfK
wxurT+1RyDZChTVTALipBqCgSelhYSpRCyWk3aY4tzXeqH8e89yup1+8E64PaW3vQfmjcHDnwv7S
V6Ra3saKIuTnMoGxW4hF3xEm7WBG0m9djj4Sst6LjdpsTOTFLc8pm5mtdCIuix7rhccIhKgWjQir
jXwvCffWxut/6/Pz5L6KguBIajOURYpzaffRztj69WsH6PWvX/hXPcprQc759eb3vOTR1sFYs+Hq
tkYwL9urEURalbT6PIIp3Av14d3tNIv5X9x8PZxbaZXy+VY8CWA6jtc31fzX37x4+DxtAYhfgavU
lWXiXuyloDN0tTg3wnTM09uhPxTp1yh/yoaTJh9hJt4wuHJauPB4ncDIRvS+1Dhpq0HJ2qjKzqBU
ALw3vnBvxHDvQH0i7Pwx2hJHXbVH84vGZUSxehk5DNWUw6k+YM86RB+pff7JzP31OTTXbEjUcUQd
dAHViMUu00Yp1IUuyM6pnkaJbSIUD+Rbl5FHdkyj+FAFwj7Ke0dIrM9NKuxhDHKTGOoYZ6zjvvwg
a5QMi1CimcmS20/5NA13rRnEPjxnfvGRJZQm+gIS5QY7A5JuVmsXXSreF4oW7opSF/dFFiL4yl+B
Eo02Mr1uwzuIPT1nqHo400qdbxUCOkWFQCeILfolQI6sCljt3NF9yE1JmurTtM9In8AInQwJb3Df
OgWiON3zoBNuhkLxdixT5PpJmkkHpVdIXoPcsKlF0Dgul+n33mwlVyyl72bufStCAXHYKG3o/Qhj
cd8LQNABXtQdyBwDggYlMv9KYIKeFUGUbWvwdWnPq/+TXtTxE3RL0VmUAgsJJz2cgfpBdQPuwtyr
QiXudUn0flixLNPGAD2Sg2yO7MDQqt2miQGjRw2PrVQI6WM6APfu87h/rNLUYHr66v0uUuGM4CZ5
91JxW3oAoxvo7Afhr+GC/6S1tJF5Xtle6LXpZLd49rLHFplhrTGROtfU9Iwgkh1O36X4IexvOybw
+j5ecZZkKfEBVM4JBJYvoqgHzO81YXaGI8q24vuiMoFwbJRaVtwlMQAvEq5KHl3KImoLJIVuzqJK
z2lw4300xq1M4KU/UzVWYS7d8TRdVo7yUZtqqUQt3fA/93RRK8WWZtvaADTeBLTxKiv5DasoxFAI
suwclo7WPutbpdSN7y/L10UajqnX8X3V2lt78o/XF3nr84vN5Fuxp4kjnzfuAOg30e7652dXt7hP
gOfDEKnMYKsLV1iPCYJScZGcJ7116qK9URSXEB2PdyPS/HPd2NpYXhtbHDz4wLQ0hmv+PEp3Ju5E
/nj9+2sHbwajkSYAvIkE/durXY3TQTeBE5wbf5/HtQ3fLdSHu/xw3czKudOoPmoUH6GcvHiqd0Gj
UPpJORKTv1OkzIU16OQN8vd/MQNAByISE5jH4pYiTiwFTQ3Tc6C0ZwoNdt/Lp0IbN0azElGQVZkf
6mwCQK+LcNi3pjpVRL86j0Jvy1a712EAU6WHYHL1qAHO29tespGJWNkI8xIR6pOzhWRkESRFEHPH
CMFU5+CDkGb7Ks83rvg1A+TYwZqxSHRQL3ZCakRwAOZ5eVYK8nW2tlUzWTk22tzuQCQ2HxplcSrD
3FLiuJGLsybv0qen4bmiTWvjtKzsZui1qZaKdC8Ca1uMoYRGIYkSrzhbyfgR3ukxjNy+FUx7iv9l
tij+gm1nP1+8iIxMUstoYDQDgiMt/27kgNdWA1UByNsQMgW7tpitsWaJMjFiiwU0UuwGaGGuH5VV
AxbXOe1oJqXCxVSJAh5eA7V7phhU7hL+ff/3uc95L87accDI3jqWRMoto08rJsiQT20THBTp5rqF
tcV+bWFxzTZGKVWm3/Eq8RPbN+RdIPl7ofuZmxtBw9pUQUNLbzErAnvM4rgH4TTSiKeWZ/9HGZys
YsObrH6e8J16zEydJC6cFtoFvjjqenmu8+exdGQj/pff/8rAYqmjPi7aQMGAmh4l8ehtAOJXfj81
V9JF8A3OWoGL6VHbMlX1UijOdVj9VWqCezl7f8jDA0Akp8J7Cv+x2ExmUkxAlfrirLQgmkG7bczQ
ylZ68/3FVqolkQ7mhO/3QX0TC/1ncjgH3QtPZPnev9pvTC1mSxlqckQBpsDui70tfb5+KFYu2jef
nxfr1VM9byc5rwQOhVGd8Hse1an+/a6PxDG8FzA0k+hfrrcQwv/X+FZ+VvWcUjuwHsEaiw33tLoi
9InDww1S80KSMTVaIYc/kxVRy/1U199rlZbgJt17Rfr+m5X8DwBvdhbVxGXSSRqMAESvWZyj+H46
tfHG02Z1RV59fnH6dLGEdEfX+Xwd3xjivpZo4o43fOHKGXwzhkV0IOlpN5ALL85ZCs/uoT9d31Ub
nzcXSVpeA32Z0A5+1jMnzlEh29hSa6tNymRu5TNIYCyxDbLXFHGQs6XKrAsfh1r+I4QecnexL96o
Sj9tXK7zlC8ieOIPEcwYmmGXZb28HrtB4aV57pNMepgaI3DkuEN9ZoRuVuKy2nlxaH5PlFDewqqt
7AaFvBClEPh3Zp6at+ezTuMsSocyO49q6iTNqUpOPiC568u1ZgSHbOlEwcDi9MWWS1Irqdowz85x
9SctvnsQGBVfrptYmUIAD/81sRiHGUsJf4iJIvyhK+FNYh1Nz3IGa5/K/qEN3l3KnOHuMtEpwPsX
fqm38xakkwl9BQ/3Tkho7YaMok5tIe12VecWwS8hev+BmjvZKExQWwaCuxjfqI6o7VKZgFvcpnFh
Z4z/EG9T3NdJSFLv0y56aATP7HUlKPMzXMq+8Kc33n9nvvn+4k6LCjVusiHHTceKLQ9/4ml3fQus
OAW2MX1T9I3MXTLzLnx11bRNJOetKERnQ3EqZmkrbFnbxXNCk5YR0rZEF2+/TzpNArY0RefYcmgj
F4R9qWz4tS0Ti7ii8r1MhEc4Ovd9uTfb/iy1pRuWxvH6TK2ZIRSe9cHAbvFiXIyk0JGroLQxP7It
vHNzTNV/OPKvTSyOfNBa8mDBnnFOuqk4mjn8LLEcefu4Ribu/zeaxdEovSTShnKMz6zbB6MPHvXh
ZtrS8Vy5EYBWgeh/KTkZS0a0sjOtqaIN/1xn+0g5TbotVo738/pI1nbwayOLdSkGnsO+JcdnWDh+
T0I92p7Ub6z9mg0DeBgaG2QCCfLfrr0Mr0amSVFyljWbfry02/j+xUSBGQAmNLMHQjHLHfr2+5Y1
H5HKm9yhooWjL7S9kaX3VhH9atMtVt6LfbywNY/11Ym38oy2ICsQXfjuXVOh5l0NT/ok7a8vy7oZ
6qj06lCzWbYmCIVfKcgJTG5CbcaeqsZJBnJfZdX/uG5oZe7gKGRh4AXlalkC+NQBbPXojWDw5fup
+BJXj0rzo46CjQOzAlWTZrlQni/IHqOTMf+OV/OmlE1ctn1DQ0EuPxnKQDpi2lvTXaahx52ipNNJ
2a6qBu0+ELz61JVJuzc7hN6vD/fizgYnQ+MKMEr+w7laeDthGHM4pFAcmFqJ8sjez/dgKmHq/ZhR
Dym2tEdWlhFz+iwmyFOBO+LtqGNNF6DOY9RhchuZKAV9brcgbBsmliQGVhmS7vOAJhTioxB/lfVj
rb43EHiZtP+MYpm2SqB70dSKPpkEx50d4vi9jnvx/cU1TRsOZ7ZiljoC64iqF1pjNuRf7196iQZP
CbAP2cPlkVLFPBVSgc63RvkVmIkjWR/65kYS7iyg/qa/hSG5cHoMCkyWAnCOFhdypG+XPosCWcGx
em4/fQvRCiqrLUEoae3svjaxuPBG3ritDI7NLWi5vtdT5TmG4KCHcckVkiI91eNg2XGTV5WtKdMH
2fJje2jHH8qg7RATcDxPecpDHWVos91qRV3blqS9KP4QfoMDWZz3CgiI6nue5yZgfyFNH1LbAEF9
fUnXJgB/z9OYJB4tXMvjVSXqWI+i6Y6+O9188u6ULWZaGtNZpzcPJdbxlY0lOKcL8lAlgDBdmY5W
d0xGwDMdei5Fb/lwotB9lQ7FryIyrENnKv3XXC/zfT0oxk3HixfJDPNbEEay09YKVAEARXcSuRZH
9HPd0Uor2nWp1t3m2LiV0SY4laLc3vhZJzhd3FVATWSjOwpinR+llCPuwyXd2qbY6rYKafQNqjTR
rlSq0B5TCq4x2Tt08ApyaGoogsQPvxsd9dah7TKKDpq+q0vRTnSl39WtKezUUIWpwiklm875p17X
kaDtcsevhoAOKctJRcDNceQD4/Zzw24qdHBRLpAfFfTB7FiWaruQlAJd7qG67yMpvZd7oz+JUBcc
Ix5H9yFEaU7eIgIhZOHXMjNqw87NIf1ad0Mj2kOY5DuALrQr1WMlHMupaPadEmn7Jg6KD3RPKid4
HowvqR8ox/mhshvbsLntKy+8zXI9gRdBaG4FU4hskZraXW2ItRsEtOJJXeE7I/IcRyiWn4MQIUmv
N7z9KBvZrTrV0Sm2tOrYpmKxtwLILAKxkna1gv4kaiGJO4bU9UMPdryyhJxZTvVmlwncxF7cKftK
V7ID3ZDioTEE8N0m8ijD4Pf3eROot6GiF47fSjFMcF6xH+JWvkEUUrThzbXQGBrk3WipAAOKYdgN
kHnAh2CM98VYtSxQ2997ZpyS4+v1oziJ7SdToJqvR4bnVkbkHXpvTN3aMEJbC/uQx1kxs8uq0k4V
BfOgat6j4jXJvvbiit4vWNwk6vufr5+92X8tzsXcGQ2pEjD6ObJ769+SmbQtpG0HeRXNCTzamj16
LwzvvvPAXyV0AGwc9hWPgkEOuYxJMtGLKE+SGogQp0Z3IzRpE2H6pAriw2Bpf6+Pa9WMDtsBJBXU
mZZ5VrEYIxhWPd2V1VKwBUn+CuS1OeayVrz35QW+i1hEIeM9swMtKZx6sYzrfJR1t6ZgZtATbo3G
oS+35m3VSc6J6TmVCLhrEfIkCCh1jaebLi0cjgF2xOmldCd1w3PUyl+uT95aeEWhhlCf/pzL4mNo
agURpe+51pCZNi77Tk3iB0EefCcz82M8xjspsTayi6semqIaU2jRILMMYYskREI3aTxX/m7CS7m/
PqStry+Ck0qxJpBlfF3P0ReJUMfYAlivnCTmC3ERasOMYHmSSNAl1qTREiilya2vBMekjHaZpX1A
s4JEY6hv7Lu1Eb30286qeGgKLQ6SafTR1M0dgtaU/kH2a19F4UY+eW1IFLuBTyjczmQz3zqHUdDl
tlNohkP812lU8d7I6VWSfpdasw8Ea6P6snJkKYlQN1KJ7fQLePXgZV6U5jQhSfK0E+jajLXokEzj
xk7YMrMIt6Ko70DqTpY7GW4ol7bQ3xD/bXi51Zl7NZZFSNOkCuCqESNS6ub9TQqx6nBf9Dt5C6Gz
dlRfTdoyn1200TR0JoaU9tgb5z5/0l+a4+imK/7W2gZ8cmPull510huhCusRa531WRGiY6OPdx53
5vXDumqGdAbIppnPZZlpqP2EcCkZLLp3nTz6kCo7Qdh4DK2505k4HoJ/0OHcEm+3NnRxhWpOs6KK
7zmd6NlFfmvmkSNLT9fHMq/04oJFzAZpMcuy6IZYgvg9reyywkAHWJDvm/5vSDinhLeVt7dCYk4Y
zbotMaAti/PQX73RZa+MWi/AolWXhyKHvITStfYd6We7z0+BXOx6lJ2uj3J1G74a5XweXtnUe2Lm
asRmSTEgzmiuTJ91ugnaIj3USen0w1aacHUBZ7wCmQAQ40tOyFGPVNEPAs8l0JtQOPXpVu29b1H4
6/rIVu1AEEVFGADZBRBj7Bo/TgULHedaR11As8viu2/VB695L9aOF8p8e7AbqT0Ding7hZLQxYIi
epZbQNIrm/uw3eIXXyG7ImvL1WTo3EbyxV40NDVRqm7QXegE3axUj6mpfyr7gWXSnupo3EMEk9iz
dBlSJsHRolnn+mSuHOy5KEb4p884/+UdL8S9Ty9GqrvSiFxK2vm5M05RvzNLYdpfN7XigTEFsAn8
jEFcu9iRcVyLbU7uzdWFL9Nw8nseLLF+CtFnlKf3Zz5mqlvwnpT2Z2DF26WD9aQucjPQXaut3VoE
5apQlDt0arBFow9Gg28t/AkrSOadyAzBkKU/Uaw2FkMkNl14lGmYEAxYigfokEO/chCT1brOQVVU
6BInKKt9qYNz10Hd2UJV/EnFLv8SxkhO2XJTSSf41FF10tIqcipJPZex398R7Q0HMS3iXZLUreOD
JYB/TZMbR0NJdsev+jPGUv/g5WH7nCRSsY8RKbjpy7a4CQN4jGur0lGD9K37oPTICmpd7cBR6gV2
KGTloy9YygfZC1on89PRQcwpJm83aUdPbgLXy+EGG3uqC3IRVARpebf3Uyihfeh5nxDl02/KrNLt
SlS7XYEela1reeZMajs9+FH/M0v5BWZo+Lc9VVqn5q56QroD7U51iG/p9zdg7phFC/3KOhalqDw0
XW3eG6n1dQLrehxyLhtfi0wgilVwDHwvd9IShLefxA1Rqd/LXyL/NKmHqLfFXCrvNNIzIee1zfah
InQ8Tk3jtoil6KTnPPkjMRvvYLsW3dFQx3Na9dYnyc/lu9rXxL0giFDUyDGs3O2gIJfiR9Bie4wo
rpTpNshKlgEdxFvkOUcHbVjrU1yhHTyMSX2cRb4PJuphjtEV0g3/a7KVuPWdtgjbXaI0GSRooL55
zflI69WljSaRbkfNLKuqNjJQKQJ5w5tah5dN5kh51Oykqez+toMhHGEI0x1RCc3blLamh67U1FtU
G3uKJHHg+PCG3pdVlTieCut93PXScxyIDTtLGQY77EwJEqPK23CSK/cMTCVIy2i0qgHumx3Mq3um
18xCTWsdNdgA9HvyWWj/dENBkRsWgf5nAU/AdS+yQpxHX+Yrg4vLVAmQbBYAaLpd5Vbpt0H5mXmP
YXDSlDMJT7umA77bgkWvecnXNheui3jKN1sBm+l08qkLa2D2D9fHtfJ4AIDJsSOVj9LdkmExjFow
8ppnEJU0u44Xslccr1tYGwT84gbfISHFar1dqdiXlWnQB8PtlN8wpe0NeJhGvd1an9WBzG3BVFcA
ZS43xCC3XHc0sblxpgkHNILzU1XA5im0+c8B0ug7uN+VL4mqRw6lMdlBMLraJVWUHWAPL3aMoD7T
9GC+P1CG8ZAuUZNtipte3AiwuMsoczK/mgmBZedAVeA0W0iC1SmeGzbJnaLPuqzsF7GWZEM8j700
/iLq4d8DAIigJERF6v2LCUUqcLW53wA2uLeLKbSJAOdnp7l++ZfmRr/ZWeWf6ybWFvK1iUVAXhRJ
owwWJrT72qR5F16Q6wbmDXdxcUJ9yXtibhVesir2kdcmoZ7Qwp/k3/TemxwvH6iThuKzVtVE5ZG/
u25RXfNWs2I9IQ+JAYhM306bTzY5DqbJdH0zKndBP/WHtiu/iG0iO2Jo/K7HPN15tN9Ck9UrjllG
8bHJotbuQqiHJ0v1H/VWS23qHGgphnl48MdafOAypojsw87cjVDSp2ks3ghmpNhGWZGmR0abHKY1
OHmYSjc5nTloR1r6HZIu+tGCbHQ/cCs9hxOciLogtAcV4aS0QSjBJ827a7Oc/89biLxoPJybaEhv
yKYOZCUHdc+tIh460Zh2KnrlXAMdl3GNQpVZKVvOd2P6ls0V+iArY+JJpmsgWBH13pe+K3ehTlsS
vSTHauwcWBC34HqrhwrWJVCspA8vSIFzJUdOzFcx2o33Y5E/66X+iZ4lY+NIre33mZn9/+zMg391
k1m+WA4ZAuFuz3t9pGVKnd5PoyvBKv9fE4vtJ1uJGWZkQd26eJaTu1rDN6gfA+Kx6/t8Y8peCPpe
DcVoRj9TK4bil8+tLhGdfM67jdbTlxh6eXxfDWb5dCiRW0wIPk23yEnehdmnRBdsWa0f2zr8HWf6
R0Zb2lGpnmIlfIgi0dbyZjdqxUYEsj5Y7gUQBHTLL+Nvoc6QWddr0wW+5QiF5KRRvYPYY399TlcD
D82anzDke2eiz7f7A0B7FidCb9KQA5VeVt4muWZ3knpSR+Vbpam/m2g85VN/g+L1zXXba0MkKiA6
IP17ydvfiJnSIS06r6cjQP/O3nz6Fwv6LHow97Iuww+5yqc0twrT1bNHsU+Zw6es3uigWTtgxB6A
IglCwNotAhDRa8SO4NZwUfIOukPjb8zSSzP1cke+NrA4wZpg0XPXjGQRy8dI+JaaqPjQh2vci/Gj
6e0BqsM2depbeh61B8h1hrix2/739Zlc3Sevf8XikJepIITDxDDF9FFEYS8KTLTS93H+Q29NJwv+
SN6xC/5et7oxt+oiHogHuZLANBmukeZun+jPdWJuOJX1gUHET/jGg/eCmaxMA4QDg8iA6iV2y3KE
aAPIgpoXrlZ5X7Uw+cG7+2NTeb8i2dyY1RdEx8XaUjpCvGLOrS9PeWCIXg37EvFxq5Si0yDy6hiT
V9+Yrdqe9LIIHZrNss9JOHpuHfBobacm2+tiQwrR8xGNLoRfNcxKDoCUbhf6XnCSOtlAGwVOsWQ0
0n1hyT/GsdIpJFvWvrUgswxKUXzudA1ASyQggzyag10Vnkb2mJ6z3fU1VFaPOSULukeB8lx0O2Qm
tElaYBiuHOMo2796LWT3Xa/LJ1SrpEMepbHT5nrglFNO7N5UJv3HkPNO6mixn4X0bJCyOqZB2537
0tOpYE6G8E2MQ20f1a1QO6OXWjYlBA+yXhGga6iLt8PgVUeJdINDj4rggGgob3mlq/cWarp2BIry
g+e1+b4QSuW+1KikJohIPlvVhnt4uTCWSwztJVrj8CVQtlscHL9pUA5KatKkGQmJ0vpZjdLXSVOf
0yZ/MpqYAqV3Fs3GJdw6S0IFLE1BE2aiNzuZyIMoX1MxvmmUqLNL1JwC82/QhYMtKFsnYe2wzc0D
vENhJTSXzlLXmzbSNLLhwngQ1Q+jeb6+EV7knJczMSvcgusiT31RSRILqWhkFCfdLCUP5PSJrao3
JAli9SOyI+U3MT8Uit2EjoggebPxUlob3Wvj85+/Ch5woGNVKI3lRvlU/rTKJjmUkSlvOOs1K1SB
WRUubYg/FrfpEDX1VBHEueGU7xWNPsd3A3ApA7+2sBhH2KjZqEm8+MQ23KVxvROQIjOy9xdJLXrK
qSbMkiEXUBktCFCHoQnONWHakpH+ngx5w8S64/2vjeVjr0DKscpazXDzVriFLoOMsD79MRGPsmEb
cFUp2g+DcJt16JgF4bfrm3El3f56gMv2ebVRrRQ9N8MdkCfyla+Gfoa3mVzhBqZ8y478dttNJWhJ
KWGQpel0CJ82j3m5k7f0l9benDMIgfwH78AL2jKjDtD6KDPTbZ/zCRQRlfvSVrRsF20EVKv7+5Wh
ebivTlFUaAhg96np0k+gsE5brBlb318EU0Gl113Y8P2v7ZjPIKKNx/na9w1y9WRKyGUgKvL293vm
BD1QnJuuVHmtnVrNYyPE/xC5G6SJKWajenCBoJDUIVD8mBOa1TsxffK/Ntk/rAL5GGpS4OVo3J1v
3FerIBSBH6CmYAAFkW09h8lP6OT/Ie3KeiTFme0vQmIzyyvkWmtmV1X3dL+g3sZgwGB28+vvoa6+
mUyDElWPNDMaqSQiww6Hw7Gck/zJUk3YFRgkAEuZWpRHXxFgtm0DQjp+GK1m56+xEi1uBuYTMUCN
VmyU46/VMNM4MTGqj6cWLXZW/T2ia3OoS+diismRiUFybIbzogs94aKI/WeqH3zzB94iW5be2dV4
SNeYDpeinAtR797uYk9AH6mlqOGhlkwfDZeDaDNorJfbTmtxwaZxbbA2owSk1n+ErxceCMD9Z1eX
JxSUT7JxVy7pRRGA+UA2E+3ds+4Yv3YkNUjnPcc6kptVMCZrZeM1Ceb1roOlxc0qigdnmYd1EvxB
D/UEgzXVNlFMnaG1xmPbp3mEXBiSVUP3u0pAq7W/vQ2LVgUuSDIhqM8hUaLS6DE+GEGE0FmYZj7u
jT7TN0Ze6GFVtebeNVPjcFvoon15iM8wfofuJdVzdaSh3MqQl0hlF3TkvujuB2/lubWUCLuMkRS/
kttegV5KBGgktoN2dAOjPfnjgWdPBnMCP14x58UIwMOMh4vTiTeQ+vrp8bASmFHA8zwywfJro+N3
ckSbmADzq0orA7yzNfCggB6xN0zhHREJV6+313VpMy9/g3KjIVULYoeu9QCK26FhCzD/wgbnc2wG
IjXPGVmb8l/aRzRqwDQxPouKhXIDdYXu+lqJpIct6i1nIkiiaFNRueK9l9cW1VuEiz76itQ+vgao
2GYXQc5A+RMlMsI4UHHf+BbInK341Bbu96IYvjURmQYDVxZ16Yx7F8KVM643gMkp/ARNhKP3yCp2
9Fm+ElgtjYigtA9gJYCWoCdSPRCpsDWeVq7zDMZJn4MPPLrrh7MJUnawiPf51mz7bWT6oeHQfWOs
1USW4jo82IE/itQVWkyVu8v3mhqJVUhHG/XOGvO/XUB1jiTa5JlYS0lOWQ713XQpS1lNMFLD8Xc+
2ilGFFdRRNw31H41+fjaNCwO6FCgotvu3EHfjw2istsHZGkvfQ9cMSh+QVc1DkDrS9SYTHOe4+G+
frOalWfA2ucV5fQoq0YW4/O2SIMdwX9u//z5eQPeCNwLon1s06w2gkoFMvpDj1dG+Ys3fTjkB6L9
vi1jrgNk4LnnmtOVMEsBgvEM6Tk0zj+nASMgrVxx/XNbu/68kgB0pFlQQJg6z1asfQXhOhgjiwcN
LX7CKT/8fp3QWTAbAYjg9ybJ68uZWaNpCiqd5xFdXOAODNJft5dq7m4hwNcxtg50tDnpgFb3KeF2
i3aZfI+2qkCM3wAhF3TlveWtudrFbbmQpaybKMaEdRQt4CYwzdGkvyH+9rY28wvzWhsltxPXVTPE
DrRhNQBmN7xpwho5K9SFnfb3aq5+SR8k6TFfghQKZpIUnzNmbhO7A3MAFG08iMjfj/3rbX0wLjrz
NeApBE4TrgfEULNyAAWtztDY4Fx0Cl24uxQE94fcLNtNg9u6DgfSkiO1vBFD63312rtdvGFo4T6W
NYb0Op+Op0ET5KiD8/LEeRnvqJfaX1jChpeCN3IPD9Z/wSgJ+YRoJj10RpQdSsyNByPY00Oh12xT
JZjlCCLk0rYYaBbbFIWfF1CHYg+j2N5HYE58EI3o9oWbdYeMm9nGc5oEtECxt+W1y3ZWl/bBCFK1
uxSsxHHoDm16x9zua1U5f7uQfl8bmX5qnCrd5Wbqb9Fl/nUUerOvMtZt4iotH7TWHndDlNr3bSFI
F0SiQ26qK+RzNjj0meR1Go7orQyFb4OfLWY/BuA2Bm4Rg9qwtNqNLSLtyZe8f0j9BCDYXtOhQSct
d36v20D474uNA9LZF4vZWSAyHWxkQxsFZhLHWyAnWjuJ9OinqJ0IgbrU/RxpTrGLWJMf7I5o+wLd
q/elYE6IzlzzKFz7rxLFHHRPeTZY5UZ6Rm65CzWKjiqjRg+oVxn5vSb0HxTwnhtea6jQteNvfw2e
eOmE2+hBnR7YwKZQYbdckP3ZNoh9T1FHdn6W3mPIE6M/9psn6z03upX7Y8m/owECNxR6BubIYo1b
G6Q3CEhC43iXa3wX1fQ+c9caTxfFTCRQaLvDv+p9TxvdifXRoSd7MNqg4PEDNh9IWR9vmEFyAvSZ
mHmFRiiqXjvgjsW55RYYhCu84qdNwCPRGNFK6LTkRyb4ATSZIgidcc9UjZnrrT/RMYGTxLRAuJyt
pEBmNxZwYQDpDDhH5PyxL4rnzaltJSXYv0/gaw8q45PnPeb8W5quuKs1MYr7jSQ65iwJMR3Gh4j5
yXKfcNIDg65NDs5setLHQfvVRB6JA6QIKhqTu3FSmidWahsp8n0B+pTSQ9sikskBKif72354tkOT
PCBvo5MbLwSE8NdWkNICJCnlYJ4GM+wTIMCmH543vZag1tLzCg2dUurmiXQvQ/NG1oilljUgUxQB
8L0Z/wxii0QQbpmnnIPmhSRPNWMrUyPzwuikA5YI80PIhc0mYaJmqJtW1MZJJg55jQafbgHHp79l
gLfdFKWTfp4uuY1e2uVrp0l65KUpQ2a2iNLzxNhWcVK9caH7j6DgTt5ub+GSyQArB7l6hJ7gWpwc
ykU+qBo7i2JyxjjFVrpP/NzbYFLz0YyqIWBlfo8q14cTK1gOE6MG4Dj0ABmoGqmGm0wKR8BoyJ3Y
Ne3htkJLO2qi2Qw0FegJnvU1eTk6/LQqtk4OdzGZ+iNOzfC2hKUlQ2szfj8iw/nIde76jZ24kXnS
hhMrvhmoapZ1A7qmu7bvV2QtaXMpS3l2yByt1I5OoU0cRrw+ZGApvq3N/AWO/bgUobz0q54Pkrua
eao89CRqQIB/1IQZTVO95tbvpL4jYOY+FEyWQe3kYmtYxVpr05Ka4CieQGcwnogGxWsr1FKTptRN
yKk0tnJDP8xhDxVR0QTuD/Dn5xPVVV9mMeMDOYn6QY/PRXFfV4cEnL63l3JRC6SJ/n/OEtmvay1S
0Im4jFrklFmhA4IqfWWrZpf7pMaEggm8GQxEqGgTnahZKvqanPLyyW3exhFFyD/w6Lg+wIqDawS8
i4o7EE3JurrOIMJ+MR86tpIjWNQAbgbolygHzGBcJUXFfIhycmriH6InIYq5aLFe0WHpukWTCyqb
4OVDaUO51W0xMkCGY7fR5j98EnTD2XZze6cXRfjgEjXe+ZzeMQwuvGYdVTFCh4icnGjr5kiOyQSk
hz+78vttOdMFepVSmXb8Qo5iUW5Z0bgcXXKK2RvaE+N6O2LAgPVhMpRACG82Hjg4b4tc3KILkcrq
meZgFQXc6snvd4kdOOOOdrvbIpZXDxlcpCDep2qvzwku3AQNmR2sQC8peGncLY+BBNSzr5r9YXTd
9xX8R9asabIVYLSLJTnhjXaIQXPQ89fb2iwt2MQSN2G6YlZXPfWmgQiisEYsGHoh7OKT5pxSEKys
CJm8sGoJ02Qr+lNQ8ABB9PWa1YOLp6o32iej585zw90+GOIBzNymNrZlQPr2J+1KVMAifQTcHSh0
k57dpeSxt+wInVeZHYWOyMkT9ZGSATZ/ZAPSf6xEUEiDIbzKree6JtZ2KFrQuSYS7NGdVQHz2KD2
CWGI81Pqbox5/26UgZRpspOD4/xV6ujFpbkv8aIDklpnCfNT2aEJhJpl1eOdGT35iArLFsgBdK81
+8zV29+xLBlyoMkvk1T0c8wNviXdwMOitAok02V2j0AqDfqx6HcAWuoCHxfuQY9Y9uP2ui657PeG
FyAUoiytZmetrHWbokydE2vuPP/u4zg2MD8UDk0AV09ELur3gf/TD9yGL4qkt6lqbQtIuiMDG/Mf
qHEhZlLzwh8Bk9dqEgIb1EXY2hvwY97+/pKNX6ox/f3i+6NZpZSb+D7BpdA9EfPcrmUPl0Rgng53
P4jTkNhTXpSY3PJ5VbrWqUrZNy1hfwnLboOhsVZuh+mgXB8kZJMmsgsE4iBxV6u5hjY0fZblNi5p
6h79VrOCWLY7OeZRkDXecJ8Mfbupyp5sb6/hkqkhA4BYHpBeU+bqeg1NXTbmWLr2ybF3pXhZ5RFd
8qqX3zevv+8W/TT8ENmnWD7gH40euLnzk81/00KJFmN7tK1m0iJ3Qv6pddf83Gx3dPCwT23aqJgA
VUtRYtD1YdQJlBibYHBeG/6G4cvbGiwZGsZ8MIyCNxnAQhVbzlnr98Ic0Dk2Ah4pMwdMVzC50QFR
cFvQ4oYAnRlT1RguQibjekOAdlaMhEKQH5X2JxRFk13XR+z7SCl9RcKf/8nWeBYi3QmYC3y91/KK
2hmaXFY4pNErebT6r7fVWbTfi88r9msRNBB7Az5vGIFxb6515y9+/r39GYcStWPlgrNH6RfTSOWp
BzJsdWBrBZbl7wOiDbhNHiApFMM1HYyd6y48sbwrNBpU9PcfLA86c//3/Un+hYusTcl1rcH3SeBm
j37x0fwhLhK0U/zzecWYGr1BInu6SLovngxQW8uGFXOdvnDtGIEugAlh5NUnfK93UtwLBXDj19E4
4uiV3rE09laZ7ttybQxuaRcuhSi7zCJJKMgJ4QT5vQjTYSWht6iDiUFgFADRraPi45bcjWLPKcnJ
ArJV8VCbobS3H9/n6YWHMTNnCviUY6DXJa+H3iN4Lh8RKBV/osE0kI7qCSYOVPCvyBjrVDqlcwL/
tEzekuJp/DDzCEwJXTMIVUE4BLJbRQPXzUH6ZCPmMVjX7ezGq7Z9XxWH2+u05P1wj6MVBHcekoSz
8+aDSQMx0UmjYxWAvvpx6OK9Tlu0Bq/hMC7KQqkOuVzMPM5Q5K1B2gylPMjqvCoEhkZ+lxjoqx6z
rgGPhxVb59vKze0MQQQm3EFqhFFDTDVeH/aMADUtzZGvGCc0snjrYs4QKaDbQuZn5VqI4lHGLAcj
ewYhrNrneUjXujHXvj8peXHgvaTMrWj6vv53V72k9cvtnz+HVwBkEohUJmZzBFyzbDRxMoEFZLgw
EhTB0PDeT4O1lasFom4e8t7a4xbGoOGEyGZ0/Ic2mrvbP2FuF5AMK/McNPUDXkF5PgNRRWtZ79gn
vSqPlg2AaZnku4rnL5FoPuwXDOgJ2lA0rBAd/KTXq9knqZUx9DWcmvoIWuy1uGvJ4iYCLWSxEEHO
yDsNkHnbeVzYp8HqQ497G4DI7fxxbdxvnnCAFv+KUZudE3Qu1d5YIojUssbdCxLlJ6s3+GfMX5kn
mpgppvOyJjmORSn/dvkQv93esiWjnHqskDKHxaBZ4XoZ61yLK5Zr1gnYazofQl6vDXqsSVBCzA5k
d8h546ERv8qJB+L43xRQXEPU/E8BNrJgKMOMjyt+YbKk64sae3SxRIpfKEqDuajxWai6xGEmdkaN
R/vB/u52a5nuxaVCnIxKH4Fdq0DdpSzSmHd4KxH/h3eMjZWZk4XKCDRBlg6RDXp3Z4RnXY5EnfCR
bYzM17b5LJBDsfcd0igOxRCclKH0Row+uwGorTHst2udOHhiH68x4VdMs324qzD4oiZwckmkqGKk
o8af3MZ749PHDQLpVOQiHUCvoKnk2qIpsGzzqOXkNOgnjX0x1grZS5uE8hUg9A0LcY8akKQ9Wglq
xBOnHpWjoC5W7HnhvYxpKNA8o2MfYbOn+DU0FViZi1mvU4IMUmb9GA/aN58AbdMeA4FRgduLteDm
LDAvYURgWrJZ74hWcQIiX+GfqIg2ZbTnXrnrIy28LWVhybBUqJBOIRaiXcXJ6LK0NQ/Dxid09AgU
RvuP1zMAs4gcPdz1xJHkKkdUxEAPbQuMhOXi808pXm///IVFAtbvdKcCIRbNBEoQ3WB8zkq55GcL
fRjdhlvf/G5FxMIKXYmY7omL2KDIc0ZJDxFkp+EGqFamnBZcGJ7geOlPhdc58JHX8LxEXToHaEh3
jCM3tI1Tkp1ROQj1cSUIWJOl+PtsAOEIMCfysxZvExPqhNp3N35c7XpfineulFI8v9H3tmY0TX5u
i584UkGNKXZLPCaS3jlefqAZoHI78OkMYC+tO//DMyNo+kBGC3Nr6GlB15FyUEEVKrWc1hhDJM9l
4LYrW7as3sX3FasbbKARlg3IL3WxI9Gb6T0Q8UiKAzhJgiY+lvaWJI/22rzCgiFO8y+wFdC6ICpQ
DBHvVW9wSA7iv/6u3Lpi5Vm9aBwgD7eAezflHaajdmHnvpFYAJvm+Zlpj50DDAz+ytrkoAPjeFib
sVpSxUFeBr3hKK2h2flaVgV4pJJmFE5hCPUWA/kAffqwY8AtihQjws8JUlZZrKpCX2kyeDhI8RAY
zWOFLJpmf/24EGRKpjKEhYSEraiR6VXXd4mVneMuZEaYJptx7UpbcHDoPP9XxLSSF7tSJqSSLCfZ
ue1AoNu/efV9hVLHbT0WHgdXQpStx1AEz0UOPaJsA1iaFjAKYMBeK+AvGdilKtOvuFBFePkACGE7
O/eyDYv0Vw3wcmr+TNje8VY2ZvGEXspSPIAufVFqCWR5ozhQDBFphrER1A1kV/6OW7lrvPa7ScWG
+vKkAZ96ZUXXdFU8hFvmsW8zB5SmdRKmyOBVDXh491QcbLbi1Bc3D9NYrudPDk9Nk2SJyGKzx+YN
dh141lPlhr2x+zguFHwqOBr/J0aN3XIUVoDEDTEtBi18TEE05kp30KKpEwTBaKd7b8O4to/E1OI8
FibWDEMOVhpI74eprzi5xcW6kKHYoIX5wbSJjOzM403ihgylO2CcrV0QC5pgQMZE8QaxyaTMtSZW
LQra5Vl2BsBn6LoYNhpf/fjD6TGE0BdCFM+Aq0LXmyHN0MPxlCa/BvNuHVpl1luMacFLGYpj4Ehy
oxUL4UjZ7B3AV/gB4qza2MVJ6Pr3nvu1Zn9wt0Ik5jRAOQoOdrVts8osXqUCZL0tKq6k/auI7hp6
L0f07lYPjvu10Q+avtHj7W0XON0HykvySqwSGjHAWAEMD2LrJgtGWDhKrkNoyqBvt425i+y18H7B
EvGUQOQ6PV9xgyg2khI/NZD0Sc9ohoaPAMIgG0MA+d9Wa+HJciVFMZLGK5M6kk56RknHlEfXPtb9
98ovNwnTgnr8cVvaot2jfIzRChR4AQ99bfed61SiYFp65ubfhv5mFE99sdIJuyZC2SfeF5jNLiCi
qHZt8pPlW334eVuLRVO40ELZGXQb1uCex8HCk+Ng8G82+4z5r6DsfhH+JWN3PFpxSms6KZs0SK9j
wC7Kznrhbsvye10fOWgzb2u1KASgxugDnKp9Ku6cZnSdjLwB3pXccwC/IN3I3T9R5EKGokiO0b+0
aUd41yzkZdAUG66HH1cDT1W8LjD1AEWmzbsIIrgB0kI0e6TnIf6U8aBMX/qP9+QgR4/kBFq5p4la
FVWj6aUpjBxMZr4WtsnRFIeie46Gte6iaTFUj4OeSSRDkCadEDauNdFS2qGXpkvPBCCA3SHXP/3B
Sl18X7nqUr8kgDGZvj986eKvWvHbaz7cw4aVuhChRFmYBe9Jz8CS5rgb1j7lycb8MHgGbqBLEUog
5dRNkxU5ON/GekvBsmMBWCVZ88ULZwPVHzRbuMiQz8vFliONHF0r4gzkm50h9U3p3QtzrYixJAWV
OKB26a6F5kXFO+aYOqIRqcXZaO6EcbDFUcYrB3DhUkGA9l6NsdC1qFaaOg2TzkZZVzDdDkA0hxQk
IVXyK5b727a1KMdHcd1HHxY0UTY+BlXqUHBZnW2/ChrpA1i33XCMxNbaX7clLS2ah3sSxTlMUgOc
+vqUoNSeA55Rr8Camm5K9j0hTtBwc8U5LnT+AhzlQozi8wG4Z3px00Mho9zEjKEdswgGDejCFlCM
20Mee0EvrECKL/9NP8VlghKnH6U2VucMEU7vPOW2GfC1RPziIgKj0wSryvS6V5ymKwh1ChB8nwHx
fdcl/X4c3qLq4/Eo3tkTfjh6Gf3ZFJHdNCUIApvqXHzWdWRdzhG6QW8v1oLLBObWhG6NtAHCC8Xs
0Epk+YML8+5TefRJtpGWWIkv1kQo/gbRktUmPkQYufnTpsMvEz1+t7VY2A0Ugn10R+AKQ9u8Ymtj
Yra5V8biLFl2qOr8yZRiB5LGFV/wno5WLpgrOYppZZmJrka8qM5Zlso7jMr8qjrX3VgAsn5I3cQ4
on/JDNEt524l6aMAACjeY2O7v61OJ2dBdXIo4757G+nE2qZxgGsKm217x/2tlYAitXxJNpVedvf2
mGfHyqa/WYuk3mhrr44QdlhbjIf14H1Oug4+1bVfRp1Ze024/qH0teh1LHTz0aNx9tkGXmfo1L4Z
9EQ2m0iaSWi1AgDWIooCo9ITJFhaPwSwAIgKHF7tRMz7sKaefZCA4d7xjgwhAgN6MJ3SAlQpmFU6
P4lfC5bWxzE39TDuDfuzb2fNVsuF+4p+xxqPGr390gnehpHjtFsaVz7+6uvPsVaKe88oo7D2DPrF
16mzsW3Zp4HdWh3GQ6b/pRgE3BbJNgZDhNekd5ivJ0EV++1zVdgco4wCiDUg6woGlyHJNZjavtVJ
vbUqrQ0lBwAMzYS/MVp7DZVnwUHjBILpezotSIwrd40hmqEoRVyc3eJrlz7X4xAIvJrWQuU1MYp3
HsrEKdOcFtPtnAONNn2MMa5T7G4fmPc8mmrJeMYgVkKnIg6Mcu5lTKkGKynOuT26h8hO+1CgkyHk
gjMw3w3afiSJtjEFRxNwJ5LAM0FHNySOcYeJ0eaMEczkYDVt8pALwHK3mAu8HxxA842dsD6BkoWF
GGm2w0Tq6He02mpj0iYLC68e3oaG+Hue9GNgCoGdFOX3skl+dy1n+37w262me/mGCvCeVj6wJ3Qy
6mEpUQ1GlQg8VrkJ/HQ8mQLD7M921MiA88oL6ryLV57O0yrMVglhDJwKwBWAinR9VRat9DzW6/yc
999Ye7QxiNuKBzsudpgCWgnD353ULWHKlnh+rps+gH3PtvxWa/cRKcNU+8yHyeDfCv9ZJ8Wutv8G
EuQuKf5idMUklgwPEcE/uipuejDB8qlHEN+jx8w64FWWpZuxX7kMFqVYqFkBugdTl55yivqsiETW
e/w8ZhhCC41yn7YBcbe3zXvpPnAxW48SH9AWZ7jCToSJ36El/FwDAgOdDGJXrHEBLdxqaCD4V4Sy
XONYeHbrORwj729p99V3V+7+pYUCByrS7YC+xbStEmDEaVmj0FeD5zt5toe9FY7DvmIrLFBL9o3C
K7q10OyDV6yyG36cUR0pf9CxA2J3vI9Aa8iKzxl9Hbo1cvlpPVTrxgNwIjrDaM6sW8YGIxy3Ux/u
c8pRF3Qz6K+0v6vlz6I55GSl+P/+y2fiHMy3oE8PdJqqfxNjko4YwOXnLGq6wOlLE/UETqoDflsZ
ZAPmGGLSIgPGebwbQNgAWGGv3+f94ASRpmUHX/OMIGZasvP6PL5zrBYYoQQcqOi9BhZxXCJ91btO
+UmIRr4Zzki3DJiHTzUR/JNei1fCRLq16+YHkVn7mmeJ+8odByxlpjccBwOp0oTUHOQvGHLetNTv
f1YJa0Kui2gvnQi4chi0ByLpyF8BM1CvvZXn9jW9xRHxIauJVmiVXLzpa8+VlozP6RgSsc+Tp6QN
uPXl9kGcn5JrKcopGfrY7c3KghQvJPkh8je3vz8/6NffV05JDbDegrqYuqvHY3di+XHoV1zJyjqp
nF9tYUZ23UODXr/zwJCVBl3/u4z++rAeU0iBwTJAIk1e5fqiAdOzB7Og9NwUgRhCdMYOH8b+tIGT
Z2EwYRp6n8YgrkWAWymxy7jVTsCyCXz3l9CH3W0lFpYKBXcM3eLzQAdXc/S6HelgN7Wi09CDcjS9
99mL2x/ydu3NMncl0ORCjhKFG5bmdTy3o1OmfcMDJtT8s+kDSMJPEEt8M4sPBwHX4iYbvMiPmR4d
QAMMcTpQaBkYBvcy/5raD8ySKyHA3JoxeokHn4eWQn+CPriWFAmwysg00k/EOWDGyuVPTbtyYOYH
chKBi3GaFp9fKw4oYYve4saJm6FL7W0Ts/1tK1iRoLZ1jaBPqPN3CclX3wn7tYt3aZHwHMZEFQbL
50P1RlOB2ogPGHinzq5Nyacylwet6FbUmF+NHoZ5pzODGAI5S2UvSkb0cUwb41Q4/BDlzR6cTuBW
EdsewECiblfOzqJWYFhDIxT6s2dzI2M5yFzW0CoHrREIigOP64Gu/7y9N/OTM/Wuo1+VoGMV08qK
KRNLAI8odvRTBRwrJvpPtQtSoZGPP/sIOexxfPHitUBmvpDT2PW/b3NFpkM5G32ON7NgvzkuSbA/
64YAF/Qx9teyjnP9IAskOC4SwLiv1el/ChwUXbCoPJtoznfkWWhfLDRKZpZ1ZP6DwVZitLmpg/MB
TbkYNQbQyyzIKH17TLDgxZlVyNYayRNrxPb2ji2LQKc7pieQtZ3NE42Z41A3LQH6PXYYmWXaDqQl
3uYPpDgTXwtA2BEGTnt44eJYBboTDG0W5+rI6AOW6r99Xr166piWQ6Lh8+T7g89/3P76/NrBLrwH
4piAnBL/1z8+Tgyt1du6PNO6IShBAz9dNLwCO7f2gDr+ylItmbOjW3DQoJFHzKyYs400TaL1MaQV
DFXNQ1rRoNGRmWOhhsv7tmrLwoDsh95IF15IyWvZCbfqrMrKMxfHLHsjSKBTHzAKIDyuvXxF2FLG
Fsf0X2mTLV5YgYYAxNMcSOtFAnpqUNRom8b76okzdV5E/pXqddDl32+ruHRk0X015fCnzVPvPCPu
67bp8S6w+all3bFq8yCytbAZDsmwz521Z/a0P+rD4CKNo76rZGS6oyEjPA0RsWvyYUC4gnrxbaVW
hKh3YEOrptXAsXuOa/3epuzYa8ajiMa1we13hBpVG4SMExY6+qhnjFxlSnNqZC4/R0ZMN14OIslS
Jh3YiBzAGg2R7J8MID1vRat/ZV2ah3bknPWYZZve6rzA4Fw7Ajwm3uTce0F1MN1YLWWAUx+b+462
b25WrPXxzDErp1TKxW+ezvOFmRlmXhMjx+McfRB73mpf/Ca+j4Txxcdjq7K6kFcy8O3hALSVBwZO
wHZcy95Plnxr2RR/J/0orROGZdPHr5p2Z0VryJhrAhSPRzrkTeNJx/YzcQGi+uFAEUt4katR/AIG
yPKmRIL3XAi+IeNjmX8ChvyKP1jU4ULI9PeLfaqYh1EMHUJYHkonjNdGJZYOyaUSiidNirKos0kJ
2wN820bmQJ5dWafZ1YAbYTrsmKaa4jg1f1fWfmz4Y9ycbbtDT/mRxeBUAOTrSpvVbKUgZrLod1QQ
5FOUJnz8hiLTwFN7lhk2uwBix1qhc02CcscNZln4YpIQl+CURI1+c9thLX7fxOjq9DycWr+v91rj
rih0Ztbn5HOh/R6KFSc/2+ppgYCYguw5Hocz4DhTZFVX6qw5m+xgJyFY4fO1eH2mgY3EC6ifgNmI
/NIM/KVjjYxIK7QTaNc64KWsDg8sCpiANKfpZzzSFHMtI6rrmZ3i1flQ0NBca+qfLdH0+y8+r3hF
IXguO4LP0wzVixrVoV+UHD+4y4oMxe3VbULQqseiU9RaAanQj/XxmR4sDiJwMKgg+p7tgm/VVLNo
658K+T3ytnmcrTilpWW6FKA4Vqfw3dz0G/DWVIW+q2qQI8BT2g8lRo5XVmtJFN6YwLOd3n/Ynesz
wS1tYMIs/JNtPBpAphTI+/Xyw0+IqbPL/f9XPzyVsu2SZrFN0Vh7Stw23rZGV9xnXOP72xu/pApS
fBiAR3oTZqbcF12epm0PhNKz1w5oMKD3LuYjjfrjYQ/a7jAArwN3HuDsqpgEHF15n5jRycX8r9/1
Tww9Vz4nH/XqMGMIIGg6BbQ3pnmuN6Y0S1fLLS06WUO19VCzJE3yBPivcGT8cHvhlg490qOIvw2A
7MExXotC7G1HXerTM+dcf8l0ar+RyP8w6RAUupSieF8LAWned3F83tj1T6v++Qc6vHtfZObwvFO+
bvdCOsKo6JlJUJX4aCncjJRH29tSZlftpANQeQHK60x854qJYdZBpo1LKFr8/na6H0XztdS/DR9/
603jvshe4UhiGFYt9GeStKzxsvjsuUVgRGHTmIFNik3D1uYgp529DhGvJU2WcRH9tMmYAi+EIbMM
pF0XgymdKVEZ7ZofHFAbzHRf8tL89eE1nOZQgCyIJcRbX/HPALl0TBnB2iQKMQnLgpTsdfmYuGsU
swsxOLS7kKTYdemNRm1WLvLNQ2puLN9BNc5yym1ta+Ql0cw+qAGiFAK5dAyZDl7HogQpQJYJawti
12rNqy8YD9QF2wby9RMFnGo8LOV5rNf0XPgkRP1EG3lg2V8t/+/bC7zgB8EZj440UBWCtUKtChmN
NI0BJBJnw0HIb4GydW/6IPHmZdLsbouaTtXMfi5EKSvcZJ7jd6Wk51F2J01KwE+NGQvMBkBA1RiO
IGsbR7DTddVKTW/RcFE5BDAC3KOlHpGcldLErJh2SgnITsekRN+wdUZYBhpv8lmX7TcvquyPX8vo
7wSqBNBu0ausJt4GgSmn3i7pObFQS+rLrZ6LTQTivduLumgnPnKX78BXszxVWVi5LZyYnjOkS8NR
1sZTKt+L8hjnBWSCt3JvLm0iWguRFEVv1ATXfu0EfDHoCPvg1DBxUN8BcsLZOVQWT137qA1bJrbc
KFlgDEV/uK3okqHiysErz0fJdDaQz7uRm3Fm0LOFxuJYJmkgnHFr23RlQZflAMfwXQzm+q4VjLy0
R9gMj2OSHemeqvZH062osrRnCMz/ETH9/cKRIi7DaFxK47OokJijP2v30SeAA3+9vWILNzXW618x
iu9s0FWpDaWGECfWUDvN0u/APw9vy1hcLTCovu/IvN008/Qpa+LBa3rNdnQxAUe2eRuvSFnU5EKK
eb1gQmRtKw3siVVU8pSOVXbkHuDR/5suimnXwIIp0b4OXSgGMyTmuboCj+Qmc1b2f1kdULNPkFvA
3FLDj66jgozT/g8+iqhkb8T1istb2hc0YYKUHlDRQHlVdBGpy8YaDBcnD7FhYNQ838a9fHYHtKjd
XrUlZSZ8RDDAQxfA9F7vjeOWXpy4HI9AGr/ktoMilLnicxaVAZosGhfeZz4UZeIWsF7IJEenvJL+
prblr96S9N5vvDX2mKWTiecAcAmQPJxaTK+VSSNhc7OMoxMwWUVomRXZF+CIQSxahk7mrSHCLCmG
SMJC2hzosigRX4urhqxDHxicdzXsGjSyOs6hWwXiWhMybeCFt0GjZGNJMd0QfpA6T2n1mK4NMyyJ
AFMzODxtD/1zarHEGgqQ0RgJfGa0db5H6Y78vm1kawKmG/5CB7Co+KbtohmgTVGlzaNabO0BkL+k
5WtNjWuilMPpSi0lUQFddDhLN9vb5Le+hvGwKAPnEgMygLWeIZTnPSdmIRCQxLits3uzPtd/kNiY
4p1/RCh3TNlZJB9LRztFvh6iQBMWa62/S2flUoJyVhxaGSYdoMSY7obeCBNA5fKIh9aw4i6XQo5L
Qcrmj974zj5Dz7mPZpO7snvys7v/I+07eyPXka5/kQBJVPwqqYM9DrI9wTNfhImicqbCr38P531w
p5tNNGHvAncXWOOqmqlYrDp1zkACywugXwGpjet7TebQUMRCCAggO0DmwszVxFtMrI0WVwHPJeeL
KicgM4CuCbyduU+7KDmbidZD/3OAgeaX0f58O/Kba3g5KH3wjNNFRDhPNoOSoY1cAEQJks18KIGV
zFTd3HzSxWDeJsDIobseb1tRo23Cio9ZViOmrtsKMiil7hw6jYxBM2rGESin9VBmbO5B9uFVCviJ
dALBmcfJOMB1JlIL2oVejoZTarEFpNZmNIGdK7ac7IAiogYBoAtBootgs8hx0819ocWt61RPS6Mn
t2XekGM1JOX++naTHSOw83MSKB9RtS34GyjUtDVrNy22Fzua9VfLgV538RXnVxHeSGcNqgO4aJCW
IGLdfBibzetybDsC/jSo2djR9YGovi+cm4FttK/SUYv99M4dArf79L99X/A3pLURA7j82MyRz/Kg
UvbzS/f0yQwJjqZPBn8cuIXMC40qAKl0/ln7SZ60n8bff5gWaVbQ/yEteM2ChByTl+tDlG47NHxC
JRqvVCRzzq85LfNWsJwzOO1pR8twAU9brdhuEhNId0LNG+4BoBoR32puxkIcQr14ncxI29Yw2chj
M/+6PhC+FoJ3OLMiBOwzKBv11dLcuKHkc+VX+2ZJ48xHlSOt5t9Wpuo7ldpD3AF6WcAQsL/PJ67T
3WTsncaLEzvZ+1NztFkR1MhVhVBNvzFH6x2HCQ9gUCGgYwCi5SJW1HY1UlPae7Gbz99Xv4r0dzRt
oUbngpUN68GhXUJw2MGPj97WuLGb3Jv0hayPrFMUoWTThpuIB9VQI4FC3fm0DQnawvI692NHA3Sj
Lo0HjQ5LMFnVF9tNGBJO+c31jfG3vijujFOT3IucRHKDSbqkyzI/nqf5oJXDIbWbHa28hxk0ZKjY
77XcO9B8/Dyx4VHflh20JJ4d9DACJXVj0/5mbVWvSwnKA0sJany0GoI9GBtI+E0L3Yif4n1B5vQF
jB5Pc1XsclbdjskWtXPya0nx47p6jtAPojgpEp8D6iDEzRBQQfAslhkXmEoM1/JjoKnHg+UkYzia
JVAAjeaHw5zNH1toiOWlzxTXgYS9BKPGl4Hng3Vgns9HnZcFQJeJ5sdGPVl3G5KYx2Wo9Pus0+w7
1tn5oVkKejf1S/tcLb2+G0Epd2NU42/FlpBOAQjVsA/BjoA78PyHLI6bjVmPOp+TETvsi8EK0q2F
Plq+GsfMLdi3qish32TM5l0KfsnII1Wyw8yVUd311sdkMJsI2KM6TNqlOxhYyyWgvdbd111avF7/
taofKxyZyWgJmbPEj01i05C27RpAWt35NK5zErajQw/zoNuRTxvVgsk8NwST/psm4eQY3Yy0wZQl
8biSyKO3pbNGmqrqLYlGzFMj/EecHM+FzonDGbziqgxcc0e9fcPCzX0z+g1bD7uL4wOQIRUTIIVr
TwCMpX7cE2vvQyl1yVR5Ufls/WeCCACEuU2nGgGwF89b8bmqtc/Qd3+aZ2UcLLMD1jkkQCzwbNgi
frSegQ9zRurHLH1OhxxQdWufTr+vbzq+tKLTxCUACLmFiNsXE9ggi7DKzYDTrHNUAQofkcHzdQuy
dT+1IGwuZxt0MylgodkgYHbsnB/VT0IULkd2dhzi4JTz7gpQEpxvLggOoN2k9L0YFBRh3wC34X8z
pl+bWe1wXkI3210flHTawKWIpg4uPChWkhOjhnxiZvhxR27neu+bikq1dO3BQYI2YcB50Vl1Pp7c
t5IEvXB+XEKJbOeUrEVE1fs31M1Vj9K/S3yxBU5sCU6yQgqs7Y3ZjxfL+21T/64bnHvLX++bqgWI
x36ah+w79LKDudGPg+1HK4Pil/t2hl/dRHIapxcQcEDBhSCf0UFbh3XFTpxAoRNYJbF/NngfBYZT
b983I1cpz0o35olBIerP897afHvDxvy0QaO6sb5netAdr2+Uv7HUxexyihw8yrE3/8qfnri9Os3G
Is8KPx4md74xpu7z1ppGuCZLec+KstnpYAmP+s6xPzlJSW7KaqsidyvbkC1WFmeU1ZDu9BgUb6rp
YLVdvx/IxEK79ufQH21rPxc0iRrWmXcD7ZsARQ6qGIQsmEMMA6IEvMjRMSPO1KitY7+5SVyQ/ECc
o20fbb3b9WghLll0fcJkq3Jqi5/0k/ky5qybACUDNKdx22fPKJPjtKb0l0ebMWxZlyg8h+wku8hk
g5MFta4LFDt6GYwcRCC8j2ZvfGsLxUGWfp6TsAAoD1yxGITZEF6vmwEoIK/4AJr2QsFgIqstQ/ES
wAyuFMk1es+nCx2+Bmt5e46WpeuL04zF3ep6eTAjPgtJT7+zLXHutdV2Y8+tvR+rputpUOkGe3Kr
/O0oRhBdQPIB7aaoD+DBdP5rxjSpt47XBghFIzE6ahWbQ+bm8aJAtxNA+gZQL+ff37wmH+2OIrup
Nd+6ZP5ct/VubJYArLngqKvaP1livccmCtgOZ6RHkCQEs6Birsd2xIactTvaR5P1pe1APMrw+Pze
6VTRsitz/GioQK8uMl+I24X1BGHBmroJjhrZ4s38mSMb4ZmqUEy6KU+MCB5fbxwtG2wPTVZjETS0
Ct6h0IGOKg9HCqknjug6X6c6n0fQUCDWW3cGufFUJFqy33/6ef73Ex8xGVOLmAuHii7kj5e5jyjb
KVZdtg6nJvjfT0x085wnVQoTq/Ho27fpfLAmxdlVjUK48Fy/oFtrYJKGB5299FTxedUIBKedTgSg
azeFY9P123RIvm21/gCiTkXGVGVG8NcUUpb2msJMVh8SEiUTSHEVLlpqAh4FZSAI3l+knf2hJnXK
XD+G8JanHZmHQp0ieSBdixMTwiggo96PwwATFK8sAiiOYgiyWw31K07lSjzQpAvHuiqcfFkYgxPR
D0mKEsO+3751KoU8qRUugg3uwb+BzfmmJXnl1y5ammPQc9DHygqGl2oMr9/P0sc9IJr/GRH84QRf
yAA+TOK+rh+o1QJwT+7ZsrwgNh+DzsMbYtqq39O2ROk0hGVrPF//BbJo5OQHiJfMwrO1Y48fUIE9
o067D0tt3801eSnTJQKr1DuK9+jldTjbr4MQVSxDg39lKUB/7cdjFkzrQdtCoim2h3T7gYIXfagE
KUaf//3E2xR+NXhNiqd/T919Ce331RkUJmRXJzqokIXC9QKskrADNzMDYgMvwLise+dbSofyI4rH
5l53R+M2nYrxiJRkHrGuKJ6urxffEGIEjJnDnYb32aXILjjnc9BPwc/VLH9Fae8JCi9Ru/RxVzQ7
f63MUHO3oFZScUpPAzjbuXIwuAnEvqBhJBtxpw3wgWJlx1IjCBMQVx8WR9NDZOT7/fVxSu2BMJWA
oxCN/oawiMaIWCzPkOvLyMc0+0P9B3A79O2n61Zku98nvKaPCMG5IBB0Ea6W5Wx6MaB1OwOhz9w8
zs2nvENVwVAErwpbYqaDIcefazlB7nv6UaafZhPC42FLwcXQfb0+KtkBOBmVuDvNVJ8dNsMSMyPD
C1V9aKrPm8L5mntHG5E2iHPv+9y9EoVPlH+e9yrghkKEKNweWlEiFZo4yAiBU4lzFuzeMzv/vi+4
XDZqZDM1fN+oX5O6gsidqsImu2LBhfd/I0C66XyCUsNL57n1vNhpHohzsJOdntxcH4T04ji1IXig
fnEJ3pE8R6OnN01hRGY23uLZ9GlotGfPnz8YVvVsFMyJmtF8hWKMwgPK/NCpfWET9ANBbRc3Z8xG
kJJ4n6rt4PduABFMME0FdH6a11/Xh/z3WhddH/qxgaDXkVxFhu18WqFWkGRjXXqxpndQTmr7xEE6
ecuepz6xfvl4dj5CuQsZ6DZLoGPgrtth6JMcRRkQ9aQtfWWg6Tqiz6B7dJAs37E23x4rmiwRLemX
Jq3sg9Y4PTI186Jos5J4MxRyubKY4SElIypTVN5kOWti4dk4I6FWPewa/JerAvlJTg6q07zxg5NK
XuTt9DUnBqOGG8+hnr56pYKZRrKtkfpHwROqN0DKiuihrXfWsV1RkmzT9sXOsu+rjbbaQa+O1xda
MgzzdJ3530/u735ohmHZci+2p9u5DaZEcbVIHTGYVpG74Z3pIniMdX4P8veUf7/bowB6mCEEvDUH
q2qizFL1JktHc2JNcGd4QgNHwgovLqrbvLgpVN1X8u9DsBPiBhbWha/ayWzRhnQGK2sv7nxyk/TD
J0a8n9cXRLJ7UYf+Z4L//cTEYK5937mZF1tJG+jlTyS20I37YVw+Xrcj2WAg+MAGRgoYhIhifQ81
o4aCgwh2NNCkl46tgTeqXnagBywV/lO6B9CtANIKbAB0yZwPKSe4Bvoc7tNsh/t2qvZIhtyykj5v
a3nDFudwfWTSRQIhJWI2B32E4hM+1cCVT9ELjUzvTZ8flc8I7vouXCPSA1CLQg4dPuZ8OLYGGYhs
7BHyTmvxe0VNOGxcLkCy6LN2MEbfvN1QZoEyUYoNiP4zbJWcOU7Q5cYa0KHVgpSUuiLika4nIMfo
XrXx02w+Kyf7ptQgvcoclK0309on47KHekivPb9jark8souWBXQ3Cheh5qb5kA+lH7veFDyM7aS4
6CRLhxucI3GQtkIvrhAuVNbIOr1HMKV/ywEs2qLrP192kYPQFuz28KtgZxRr+21Tm4Ox+bgajOXR
zukvYlWRU+aRl2kfaQn0tFsNO9Nlz11N7pptUtT4ZFV14MNsjmWxQKsrskOarACNYeMAA+J4gUvu
IdcXDuNLUXFsNdt39hjS2g11V/GSkXiVM7tCBLGZS9pqpQe77vrDb9bX1vCOi5VuwUhyFb2K1Bjq
BuAhwavTFZ+5aLBYmtUF0GW0RueG5msfbHRLIsudP/tL7ijcy988pnAgOXs0McCCC8y92A+Vdubk
Tm4FV4Ym7o+2TdPH0pyMZ7cixp9s88dIb831YSmTNvKh5rbfGtPsAx0hzj3K75h7Nhj9TTtl3r2X
kTnKMze96ag+ha02zEHbW1OYgggrGPvCDenQz3fU3oynxQKrB6vGIXT9xH8FCSbjCeoS93Sm0hOQ
OFEAeQBNwFUKaSWRG33Gu0oDNZcXTzN+Amd+nYPFetKtPy1VXEESVwLOJx2panAMofgjODifbGkF
jk4vzlg0DR0male4H68fRbkNC5BBZIo5Edi5u2oQkyQdJCRjb3LD1F/2VfdoD57Cn0gnDREgnDXQ
JBdMWb2eTHPXIbohWx/M1DomqfWAvtQ9LTItMFxNEU1JHQxvO0QTA9ItF43Nm5dZg5lOvJqrfYNA
0YuTtR+WonpaN3MAJSnF/ZcEeq/tstx6Lv1aEfvKHOipfSEAKuqk0DN7xt03TresSD+MtqvI88tO
N3oqEVoDIAXqdmF3zOm49QZOVZwMtXmr+Wb/sjSTd+icwrshdLEUcyrdKRBOBSYYoTCaus53ylr5
jdmZUOMbyH0+POQWiCa+X9+M0lk7MSHEXKiJJ03nwgTTk2D1f+oqglipgf/Pnonb7aIXAKRJzIJ6
KmBF+oMNfG6eqmAEKgvCwpcts7QOxLAxWfams1NFF9LPAw6FHJHFxfL430+iC7osC8i5GswQcM3a
OgV/rq+ArJSP3eSjVAUxLyh6iausaX0zewsgcPXBSW8nyLriVb3LvKBfd/OPZN21TVi6kfb1umEe
UYh3B1QrOe0EPN0FZNv0NnNsOjytS/2hSj6b9kcLdJpd0wRr8zpvPybV8eELcWGQ86iDJZrXVQXH
RzW/0ZcKcVqdV3uUae5MrbptKm8JSL+isapI7J0GwNv1YcrWD8jM/6wK6+f3Na0GcI/ES2V8rNbp
dWpRcL9u49IxAN5q8hQiAiv0QQojA0jLGU1t6p7AShoS536tPw3+p8Rq3jwWVPL5+97mfeSgVTvf
i7o5UqaBBPWp8cLKCVem+P6lwzn/vuANttYd6VLj+6YdbN7eX3Z+rYgDL5eDgxGglAjACJCs4nFa
7LwuND/JnujoRsPoB/TtEu7gIwSBI8pO4LYFYej5JFVOq1Orq7OnzvsAnbe6jopKcdfI5unUhOBy
WKoVaB6vsic2hWYTFvYufft7+3wUwntgdWt9JBSjcAb0gu2qNrq+ZWXrcDIEkbW1yYBdbZwye7LK
Pylo1P1UEZsq5khEdy3u6vR+igGs2Ren/cP6PtRVZCoqG0Js73UtWuZL2Ji6UEeHCbm1VBxMEoQy
XwgcOeTvQQwqnrk1X2mrdRoFqz0LdAP6oQXwcPd5fTMlnyqIGYxAlPvfJvp7cn5p/u86O9JpX/TD
/vqCycf673cIZ9MnbEhqI6FPmxlN5t6jkfP2vj3cz7gpASkED9FFY7yWsHltxzx78gBtdg4seelV
3KeyUZyaELyx2zPmFgXNwMuF5OHNNB6hcnV9oiTO+GwU/CecXNgJtYZe62Eic1+NaqfVR7cLHfvN
qZbzuRKWA7eBkULvFXOV7Ib52OnvWG7czIg5QI5lXcj5ZTag+GkBVuVGv+nyXVsfBtW7SuYCTk0I
a0Fyb2RDaWJnowRcQ9VeEb5Kv++ipgbedA+kicKtOGhG0Y2ZQ0GOGKB6N6g43qQLffJ94ff7BBrP
jOL7k/+QVkFeP3gZOnHesxAnVoTtVEPVI+sTmz7Z5d7MPxTw+N6bUxTYSycmhL00r6PT95WLhXj1
7NDzQh+Cb7PCyGW4d25EuBZnr6y3scZszbTed6MeFMjGefb3ydpN7hMYb8vm+fpBVK2/cEvaCzUo
klH0aVn3ibvLVa5Z9X3himQEMBZn4d8noUdip1Dc8orvi6R1Wlb7wCnh+4gXh9+lij9H9Xnj3E+R
MXf7PseCQPmxe3V+/E+TbwtXo1mMxIOvpU/jeGt3e6bib7w8fGgmBfaXE0zjvrgI5inz+3wu9Viv
WhpsRYW2J/cX6eZjTwoVi+flVMEYiG+QyoAkxoUzRA1wTdd+0uN6+ZxUX6tU1b91eS2dG+A/4OTO
ACrca7cMBrz1gKJ2lGkhYHbR9SWRG4F+CLCfoGAQG1tML682Z/T1eLXqqNvGcNOerUFhRD5V/4wI
TrcgpLdR3zBif7gZt0ec8euDUHxfTOPmtaMBngEGduTcgzpy0fDyDgMOp1wAKvUSAWI7zDZAtmzE
hfWSZT9LcF9eNyBdBvQAINEHXS/03J+vNajmOjKAojKmWeYEXkKdA/DtHdDYxFHcHdLJ4vIhPl4j
gBMLPheAxNZgGhbDcoZoTNbQfnvyAxv3xILgYyHLZ6Zb54GvXG9faN682EaZKlbkLwjm/OEOI8h8
IDOKCgva9c5njOjzXACKgRlz8jSwckgIUP2u64ZPGiWBa2xWmPbD72br2oDS7Mic5ghRwGCA3qvT
tbvr6yfzPDZnTIfWMV54InrazCamTwvaGWwSdp81Ix6MGGJc143IVg6JN2D/PUAALghT9HV12ZTY
RpwTWh29xa6irkUb8zusEN5Agdsf7f8CgqPw55Tpg27EGWg+0o/QbPgfDQh3jNcmSL9hfOhLvcuW
D+85q2D5+e/3m+cbo7fstOjXzYi3BDnmqPnyv02PsO/A526zRsfnNffI2ptGV3xfupPAygcyRp6x
Fvkrp3api2qyjLi1wrE7DP6jb9yZb38poN3nxIowSUkHaTezJvDIXQ7i0iz6c32WJO0EKOuBgxOJ
Fd6zKtIXUs3OIVqR6XGGPl3jpXaKA7Vjaj6YWXPXb1C0HpOIlQv41R7Z/OYgiStmmxaAYOgYBmTj
fAs049b2tPO22PPqKEvrSPGI4C5S9D0oN6OTDvUopCuFHQwZwKYtjW2LiwVFqwBt7H1oa8X0eYHC
xZ6Zen1jk5UpANKynQF3bQAcgL7uC7bfGrp/AxDrOnKyfhpMTbnd2wMEkpoRYBHU/SYFP5PMHpDr
OsCe6L5F/fB8FsEMSUmfDrhVDedQjd5xqG9KZ58nitmUubVTO8JeXFe9spu14+NKXreiP/bN+vn6
dpQtmIckJRYL1fKLfElXJM7mG+sWJ2tzsGl+b+tJFVhsuS9N+wMYgt/+DMSUnRjkc3sSu5XUyKmn
w2A9vNrstnG6qF0/MktFKiCbO2SubYwKxKqoKZ/b6Uwt6WaA8WITunOQhdS3Jro+dVILAM9ZIOpC
Kwbhfz8ZCdnWFoHoiqdY1gZ2e6DG2xO8CGygIQBxI4jbXnTaZm2WpfbG9zUYrBISt44R5MWP68OQ
BFinRsRbbS3H3s0pjDSzsQQQWdm1lQsNO1PVfSg3hNcHXAOCILFamztLUlT8WeCPx0H7lYwf+vnj
9bFIlgQ3M9JhYB72fdADny9JgYp+5moFiSvrNfV/l+94RgFIx4sw3MfhJj7/fmOgpKhp5hbnzX0/
vLLuUFA7rNbn68OQzBTCJfC7o9GLX3fC3mVdZzSrpm1xNgTF+Oi8tvabO1c89D1zrUxOxIPA6Xwg
Q5/a6+BYG6pw7S6r5vtxSXZdr+q3lw0E4ENccpzsB5fCuZnW6C1v9XDXbdq9vgF9sOVh3yoARZJF
BwoN2E9k8VDpFeu8zVJvZATPVJw0D/r6UP5++2IABoPHx98+cRHP4Gg+yB69HMe8pXuA9uKq9T9t
ia7w9dKp+kvJDKSbDWPnU7XOLvRKphlbi5mHVWP7oh1fM1ooCjqy8AMUQgC48SrbZduz23tF79Qp
/K/vJ0FiamtIyuwGwn77YkB3yZjTY50aN0673dV987M3/SGY8vTl+qxK7h3OZIQQAR0ZvGfnfLiL
Q1f0IOZbXLJlP5f0QbOrz1PufCEJaMPd9fW6OQneAe06Bs4u0psQBhKhN2j01ZOSjVsMNXpzj6aw
/NfU++yYIdyLaLew3epDwhONC+VrP4FSukks8F8BL/ceH4Le67897bzMKfiQtPd6XeO/JKULasZr
AIZkEOsUoZsrDrkExMUJiEFTpgN2BOwk33MnN9RqQ9p5KO0tNp1muqdp8aXQFjDMb8VED6XTNA9o
2XBu9d4awhHg+mjS3Hc8eXHw8aSG8ic6e0Rfhobr1q0mY4uXge6I1z6NRFWploRjZyaEi7ie87oe
CLo5kRIInAWN9VrUpwXAC29vckCDDZ4faFQyLKQIBH9GN39JJqPcYp+EoCkp307HCSYZoO7+Hgzg
/oS9Ucyba7vbugKrzVJ0EiriZH79CdE5DgCifnCNAw8j9vb6Od7IzMzW2Cjbo02+ZaW+64yXKk3D
JX1Gv/L1QydbF1wzfJ4I92zCJWNuLvXrpF/jD6b7ZR9q6Ze3f9//K17Bs/Ggkjvf3lNnIUVejGs8
HtMxcugD6PIyur9uRHK78EY/3DCcZ+ei+xuPuMXt2GrHPjpzPub9p/d8HmeTX/WIw8Q5stLJ0YrR
juvqW23fZNB8vG5Asub4/f8M8L+f+AAIbml9WcMAXMGhB5oQSYbI9z6aNtstaRcyM42uW5TOGIDh
6CLn8iVi4pQW3rzqWWmj026XpYdKcd1LLkpk0NCKb2BcgLYLMzbOrK+HfgRCNA0ynJOnOn/HAE4t
CFNWsJY5gz24cb39KqD2mRFVE79qDMLtN2WpOWAQbjwlO8PY6X00KM6G3AIEil3Q0yIVzxfpZNlJ
QuyGN4TEdLhFarYp7swkvL7OkuONhfhngv+EExNa3emcTQTTBAXkSuPe0Cq+1Z+uW5HtplMr/Fec
WLFLz9z6DQPJ9CMIXU1VwZBvF8EnggQAUGtABHkBV/i+7zQ1hIlLN7bpd6e59ZZDm323vvbb2yEc
kMMEPxYSFaBsA7D7fCDg6fIrrwYj3FZ+HbTffvv2pMTZ94UVb7vJcOBv3TjxWDjruwF4I3RAtasC
VimfsH/jEJYdLZhmxhjGMRsHBqAqjaxin/yAzP31hZduL448Jw5XWRJTSeg90VYkfJxYs3+UWjh4
j4UV5u/ZXSdGhAxLl0xmbXmJA5oG7wutzKObTN+vj4PPx+UG+zcOYd3z1dQB1dacGM+wrx0r9mnN
VkjZqYh2ZQcFtyGIUGxA20zxcl+atPSw5miEAySwi9IkevM4fL4OXA0JEaX4QOk2PzOWlYFhxT/Y
1c30y02P1y1IRoDSJISWeZES6gRC9GNaAxtn4tjxBIbgn5mKUEqyEChT6ZC5BPoPHTfCxeF0ul8P
zMZN2EI7Pe9C2t8R9vGtY/BhATcffAkUg8QxODMCIWvJzXhYwpUEPru5/v3LQSD9DP41dJmD/AOj
OPcim2OnDZj2UEZBMxS0qXeNWRxS6rz5kMMMQl00oBiIdMV6sQcp96Y3NDNeF4BMtb3jPlXG3Vgc
TF1xAi+P+bklvilO/DsdHb1oeljSlhe/u62AZTSANyrfLrJ9bodP7Imd1sm1qkETcWw4c2iRx6kr
g3aMF1JHfX83qvqJZcNC1oCH2aC0ueA88vzeSsvCNWPwg2AX0MBO75lrBOamyBVdHho0lPwzJKZY
mrWFjAM3lHjmbpm+9cCKXN9ylw4f+urgx+OcBpB0F7f0TJ0arVCdHbfQQNmsAqIv+fyjHYt9xoof
5ja/XrcnGRFXh/2rRAxvJm5xrUsTNhnLEruz+6t04Grc/M1lEO5j/nJSAex08TA2SGMNeWktcW4/
071FFWsiOaRovOSU0Ejd4gUu7LWxHVqTpvi8+6WY7np6j/bjd8zRiQUharHdqVqqhCxxUhTBNL6s
quBOtgicUAJ+Hv8Df3Z+XHTquRkx6zXOs5UzYwYsJW93ZajY/DMhBMFV6jkLONrXGD2G4bhFM/KD
par7WZL4QeoB/cno00O4eyFzmDYrMdmE3cSGG5KENQnqDsD9Q6qFOI72upucyFEVOSSzh/oaOJrR
PcdbV4WrJmV9VfTjiFS3OYfeMEXzOyYPFpBI5/0maLMS7oHEglbQRBpgbNIfHq2DpYtYcbi+yST5
I5BfIHmL7lGe//TM801QliQpJ4ZaTdver/a6L5Ih0GsH3b436XSfNrclq27a5s2BLKyi3oH0PeeH
F/O5SPR6dDGRZB/Ac0M39nPurJ1eW98gM6DIkEkOKqYPFRx0sMOLis0cZmZXhj41SLr6x5r9njmF
8ufrkyjbCqcmhJOaFy3g51OHfOuoRVAnuh+GQnGQpCZQ40KWAh1kSLSdL1OnVUZXaBlymzlDm18z
Ppj6rLDBz/t5FItFQTst+sWQN8amO7dB65lsy4BhaLO/Rw/xY9V5oVOxb2WXRIlRsiAbOoUblY4L
xQOkRYDovji6hZbjmV9jdciYBjYylL+uL41k9bGZkDgiiM7xlBB8HDpbWea0yRo3aK/simABjTbL
3n7VoAMZH0dYy7mHBCNzsnjFkCKlV25alEMprVI9lCTTdGZBWJp12LScGbCAFfG+TpXimc//dWHl
iQlIDdJfaD1CDux85Vsg0M0efFAxuvDR/5NZQQ7RhnpcH7rcfPDSzgkKwwoyX5XokY0LDTrIhQLM
z+WJzg13C6g26VRPCKHmEKqFIWTYrm8A/tMvhoYHBagddZA2iakkkjirNa10irVxDuzhbtUOyxwQ
X2FGdgcRaBLBhSLY4GwZ5yNpdFBUGhrskHa+mZq9DvZXXTv2463jbUdjpFFR14cUDb/+oqDnkA4R
cRsuWszjRUYZ9apNS0kxxXX2SduKsJxu1wnItvLt4ChgSk4MCXfFSkaeMC+neHNIHhZNkJedqnQi
2xGgtMB/EJFeQmdQHsrcvC1n8Ft/0QpA2RRnVTZZIPokEJY1UEcWUw7oxUb3eYESX1d5+xG+1Jic
G5J60VYqXJskpga9BIpAaFL0LvXwUojwzVVVs3genrd03hXt91RD8SJJ91n79foul7k5PEKAxcXr
l+MIznefZVWOVY/YfSZ1j84yNmGVN79AUqoIFyRXBEoX/+wIO2AbmDFPVj7F2R8nHe77n+TbODf3
3U+FQ5LtAiTqQD4OqjME74JHHZu8Kkm7jHHBojGwOsVplU0XOt7Au4HbDjo1Qo1nLrKK1cMwxdNa
xgtaRpKuf3a99R2jAKoD20yH70He5nxVHAAVzLlycF4KGv1ODRV8Wea2kdSEJA02Mwqs4qo3WQmi
32SK9Tpu8j8W+4IA3pjuWrQs5N9clTKJ7OhgK6NOjvSmf9GM5Gmkr8sSfiYBjXpNv/btz2pD4ViV
LpD034Le8cQQ3x0n73gfinueOXBD1QMZ8siql7ttS47EaT91ZAr0dHy0imYP5t06tMpfeepEWGTF
6knK6PgZXPWBE8QhhhAup0GH5Oyo43Kqze7eHsf7OatRxQXrne0AjD5GY1V90fXibmC1HwA2esw8
8vH6wZbOOXwViiGcJkQ82O1s+H0z4cCBYT6oyqMHwmH3tUm86Lqdvx8S70nI2AKXAOgW8rHCXmJO
aS9aAg9iz260pPWHZl0+tjNDk1A/B/rqRFVuRVn9xRvTH8sEGSm7cpHqqMNe935CsS8ym+Vh8lDS
NIpDS8pHtzJ2AzTIr/9Q2dEF7odzKHCqaTFIneoUSKoMEwLRx6a7K9Ao6RVvB5ah6xvMvrz4hMBB
hM4gi+vbAG2usaXf18bB+H59DBLvhmwOyjYAlYEZTIwXGwpWBqs1lzhrhqD9Yq9vBxnjwQj3hksU
EE0w8JwfoG2mZmLX+P1NkYUd8mGATF4fgsT1cL4MBDx/UyxiD2alF2mrd/MSayUJXa9COvppXH8S
+yPV0SD/weterhuUztmJQX5QTnxC2jZ+4SV443fanTaYgVe9vscAkrpwPFj3i9oN5K1tN9WX2LZ2
vR8t79i4eIUC1YxIFwgmVxhAZ/X2uvgOi1PXDx488xN9O88kf4Ri57omQPJ47AhTZI5e43Y6i0mf
v2qbvx83cK36AEYWzUADZqsI7SXO6dTg39zCyZpYVlZAF8ZgsVvqQbnsWZeFbfaij29/wp/ZEXwT
xCvdoS9hp/D8e331bns6faT+25lHz+bv731wMhyIN5h1PW9YIRBQTuaD03+s2dfFVQQfsp1sGyhP
IFjmCCHhcJpOR41pQATKsmCz75Lh4/WNLPGQ6KEBsTAnYtY9EczWbHMOJsZpiS1QOAwmICyAfgyK
gFM2CBD54tELWliEN0Ig6Fjr/x3HesuCoXhu3k5ODmk/NAQhHW0iJ+EJl69P214v536OJ4rwcqCK
QFb2+08/LwSYvUfAObcNc9wt0eaGhSrC5D9PuE7Pfr5wFvUMOLttxvc9KEuMQVIfDOO2bSGWFV1f
bYUhXwxl+8YxcguGyBBB4770nvw1LG1kQBWvTLkh9N74nAryIhKpvdHWoB4xxw6IpXwrC1NnDQr3
Wd9ANjcptpdsD4OLCS8nHcItF/KOc6Ph/88WrP72tS1ePP2utRROha/AxQr9MyFOHLoWhsX32Bxv
Q3YocM7H54GL3nwo2zvHyUDOqzj3Mm95MiaxS6qvLWMoNhh02Peq/DBnd033tVRdAvKZA+ASdBfQ
FxXBRtrqWsDK6nOs+f+PtC/bjhxHlvyVe+qdPQR3zrndD1xi0RpSLsrMFxwpUwmuAHcS+Jv5lvmx
MVZ3VYUonuBk3cduVdIDm8Phbm6GSxntS1aigbC527j/V88PLps/zCzOD2rctAAWGNtORKq19r62
lY1cXR/0eSAfBXYSb8ngUgJ4PzUMDqBu9PE6H4b61u/GIqRGw6/dySXIsunDwW2lf0hyaR8un6u1
eUTwj9Qk0NkQEJr/fnYZ2DJHfn9CV6WgH4h+ZU7RsNW4uWViERG0AsThAOjqJyK+ypxFxP/go1Xi
8jjWFup3NCMAjdDCWOalnKnmTtkaKCK4X9uo1zdC2bX6AZC9aDueZwmNLIu72aOjpJXqCXLfB2bX
Qdt95v2NLL5LOwuE82x5PHDTLXDVvL2Whxe1XrA/omL5Hg9eW9bUe+ZETj35OnhNXJFxVxnXPo9o
Q8IOrEmXZ3FtqUDSCN1xRIZgE5qd49luEGYincJQ+gnK82OI26+4mxxruFeVtiXOYsxX57uxIcWC
6xvQaXe580DSgKoQFJtO3iB3bXuf6g8oL+yQyg7tJuqICgs4enNsQeeZgcZh5+pXjnZQY8xLGljk
Bcp8Hf+u9+hWyo91PcSX54KsnUw03WA+oME+l1XeToZX+ZI3JlqjlLWnnRsKSu7N3gnxTA95c2Ol
e/TWIhIOqPZsW8e8foCzCK0JYYj5MAxHBEBRVWylyFckosD8DxZUPKiAnkDg8PZntZC4z70C3UDI
GljljQ+6rk4/6Nr4UIoXjWcPTh/XtghK92aqb1PxoiDZ4kxDUKkGmhv+Vd9Xgdaw2Mvuxz578FoS
snbcgDauLy+mb4ZdoFV2+aJvQYs3cILlrbPPvpcEUt3p3aOq6x3BY7rykLqjsT/9LO2dxW9K86ri
EGhJ8PjnkUGauCmc0HanMBM0QFXgwckeLq/vyl6fWyzmOgD2IN7Zb+eRNt440RK9FkPbykcpDHbD
uFnHDpdbCIqVY4z8CtqM5lAY2P3FkmVs0OymxZKB2rK6ydtS7qZskFe2HNrQU1X70cv76rHRfO14
eZCrlgEART4bPTjval22kdskQ03nNHog73H0iMi7Vt7xhu1GPYRI3K+6YeTlkW0EuAp9AfBa86Sf
ORBO8syqsrKDcvG1Ia9/Xh7Nu9ACX4cy57zvUYHC0Xr7dak0a9RzgvqNsP2Q93kSAA/ch7ai6YFb
+Zay/LstsrC3vLnGGlSk/tidRtAyTEViQMoXCAhkAzem7V3QORuaK1PIfuFwL4OAGRiad+PUn0g9
OGHrMO8aYBIz8LT0kzFAwhzzvYWLWp3MmVoKLTSoGL3z9X7Rl6ZjdScy3bQWCbTsWgmw62/Ar95d
zPPQzszMO/RsRyCC6QZjghmT25Fu5UEyfb28K1ZWCUVDnK45DYTNMfvxMwutY0I1hqjm5Krkc6/q
4pFXioSmT8mXy5ZWpgwtYAaQyHhyzgSnby15pQNsZcphiTrPoIC510r/SMciHop+i4ZtZVQWGg2A
7kN4BND7YlQ8VcRltV2j/+9B9A9FcdR/mQ8WrQZnJpZ5DfSvQmtFwATRrloGYWFyN271F68OAzri
4MdGOR+3/dspK1FPTdKaVqc2dUfkZsoBQUxRgPdRuRuHaGV14BKgV4PaJBqZl/vAYLX0O1FBKcaL
lXe01aEdDlPxcnkPrBxVgBPQLT1D0RE4L/ZASSskBJ2sOflDaZeB6Mh06LXaCAhSN9eiS4qD06t0
A0jyzo/bc+UYPeaz3CVmc2GV5Hqh6YYhgIsow4qBM1ucdGcHTejI0K7ZL/c9zOZQAQNgCoKyyMm/
XTUb+8LqRipOkzKvrfYrSHT3l6fxfdXh90t3pq1EKR6J5kV0RWXZpybDahXDFfpeKnpdufcugQO6
h3Za333J03taH0tvw1us+CN0iCPoxAbBIV6mjSAvPUrNEM0JbMv5MYOYUOi53tab5/17AUQh8Eko
yM+tnAjT3s5g7ZbTNDpKnFjffSyI8TQYJBxMFtEij4AXyqOkryJS2zL0E33jzf/+0BlAu81Cj+hO
x/t44TsIBdUdiPHLE8uGKNcZSFL0oOs3ztv7mXxjZek+LLMUNdNVefK5/mlEIpEqL768S+Yf+uaN
gI7xs4H8jkY4c+2J7YAvbCTlySl/SvHYo9QPwhyI69327FuVnNxfhjgtDM6PlnODlQnlnMIoT4kZ
+sQNNLIF3l2dNfgPbAv0LOtLh6j8qm69DhbEz+a62HATWx9f/PysA7t3LvHx3LiWJBro4+X1eO9i
sR5nP35xaAudTnmbYj0076r+KJ1DmR2s6nDZyOrudZCB89D9DqjjImJgjq8xuzXLU+ZeseZGJteO
vYGOWJmnOTGN5hV9hoQvBZlb7nNo7CXlSQc7XDBkG9t2/fMoiAMrBbDUEnLeZALSalpeniYSNYYL
Jv6tvNTsPhYHAwP4y8L8C872aWkMAyCTZXkqDGc3FXAtZXKoMndPHHojZbmx7msDAmoa1Tzg5xHh
L7xZkvaOgHBjeeqEF4xmHuYkvLzo74vhcJLIg88PbQP0sMsQWKfCG6F6iBHl9Hry0y9MlTfU7sGh
q19rnRZ2TrG3SH+VEC0magqnWtymTrfxKly5aN/8jMXEmi5vfZHr5UnZQx6m6XQP2G3cim7vav4D
ehZe00ZtXEnvmV5/Hzt6ZREkgYvlHRcDiEM9rR3Kkz24p8kvDkmb3riTv2vA+yhVGdtDcjslMiB+
FZmtCvMpQxE+u0/Abqk3eVyj4Tu4vCArp5AgBIAUGZRs0fy4uEP63m8dZejFiUBKwqpPleJRUW1V
cFccPKxAZ8uzyczNvNhYnSu0UbpuAUzXjfSuqXGfZI8Jd8KqyYNufGzyz5eHtWoQTyxQR82N3Ms8
HvqXNFUOWQk9ynt3aINE7moUKtPktrHcoK10pEbyX3doIM+GkgSUMlbajTRNqCHr4A7M+tAXsSQM
jfIb+ZbV5frLxrJ3ggm85joH40qQj/QSWEi/pWpLZWTFCiCSEPmBK0DnzjJo8yDjYjily0+MP031
U15+yo1PlxdoxdW8MbE4gKmy3JyMNj/1+uHV8PeXv741gPnvZ36zw2GieoMBJMYNhHsOlv2sZf2G
L1u5Jd8MYf77mRExGBkxaxjpyFOnl3sTaidjIkO2xRO6ZWhxeuqmaSbccRxCX0FiRgw4zPxYmlvb
d77VF5fNm/EsLmQrdUyVc5hxVB/m+Q+3KIPKTgKa7FA/iN3ixa2RDOVW6I31njtF4JR7PtJQiXu/
18IC0a9+o5cqcLSbWhVRJr7itRaOgxv4fn6Q+Rh7Rh1M4DrlR6PcQervoyJyp/wYclmBb7yCeSXg
+VPRyogbHDm6qHZJxKQO3Zhk79k/9OFzzlmQZ49Sf5mQqemEAUjIJz+51cnW7buyR3HUkKqZMQiA
hix2UTpMBi1KXs0gDccQcWtnG3O+bgG8OYBj4FZYZk+FLXnl2Hl1MsgUjh6aLLeQvCsnAWP4y8Ii
VGRomJfCTauTIB8Huk+nJ1uLLx+2rUEsosW+gwqz1xTViXgvhnHT8Ojy91e2/5shzPbPztnQNXql
5/j+qN8WI0DHR6l2bEvGYd7di93/xspisXXH7ifLwFK4pnONTF3A6B6xUOBUO00bY79/uTyq1VkD
1gAkoZA4BATx7aikYeLVxqoKb+CbzA26LQjc1vcXb/tO6h26bgU2r/3FKl5EvhErrq7KTJEJgNqs
o7jwfmYBLee6MTBfIJoV/WNqfC5qFBu2wPxbdhbOzxoRL6aUwA4cQur2+7q/pt6dyjbeVKvr74A0
A+cckdCyDKRlbQ7CHac65U6A6k+rDpwEVfakiVBttQ2vHsozW4sdTcrU9JnA3FHp7SposfVDfhw2
JZq2zCy2NFdV6aUGhqTRvVfZwcSjLttimV4zgvmaXwz/7rx7u49nakW9tfzq5PEmGvwuhGw65A5/
mfQAqSqAVsFzO5d9QZP31syQVdSz8rQ+YYmCvL/3kgfLv2qkG1pb+dK1HTcXlwGYRCXnHd2l61AT
SjFFDWV5kwWGmR85QAfZ4B+Tgv36OwRVm1lWysa+eydqhf8/qdKaY1hoIq6isYxBNG+CTlvde+kG
l86aR0BbJB5fNrht3/EaSSerB4vl9cnrPum4b21zd9mlzUdx6ULPDSy2tUoyQ1M0q0GcpEXecE2y
r5a+s+vXytyI77YsLXZ2TanQqY5psz/kY4TmeCZ2tD+qLSXPVTtou527omfmr4UTrekgSyaT+sRM
FKm7UT+kBY0cxlEsRn0ekniXZ3B167nou0KGG7H3Mh7QnKTQxYBxJeZ3rn8nukA+74Ww75fNvPN1
YNADnyHiDRQpQS6wnL4OjR52XRUnRbwbF35ORxKdFh9G2u+TQruGuvdGrEx+f5m82RywifcEUrJo
bkW1fRElFF4vVYXxnYwMvKqkcUgoWtM6QLGx3NcDc2Kt4CxMesqPVLpFKGQjnrySDtdjNmYRWMH9
K9D9pzurZCoaEK6GPAcNmOkX2c5QsgN0e8Bf/SF0Ju5GVls85WzsYj9xNDBreUOQpZoZ6WZmfBgq
l8WtajvwczdjPFhjfeXVeGa7VDOCfpJkL53BCVSX8BsUJLXYSNP+rstK92uBJH2cCftedp0RJtjo
Vb5rSQHCjy5oig9iuiFj/tgI9/iUxCpxjh4EQopH7agV44OjGcd0MIrYTFwVV2oA4pvoVeCiuybs
DbsMU70qAoWTF+UJfq+f6Q2Ajy44QZv2Ua+m12xo+oCWbR1mldQDw0BiKCkBvgYhn7nPZCnDQY2f
TE3rIq02gXX322rXDqrHyJgRQmHVDmuUV/ZGxj7mXDm7VFMeyGdbL4KIHmSXCXt1u2KKasmLWBMd
D6rS1IBRSmjQpbTZaUOaBsaEP9i9lkVtIsHhYTZmUFV1E0wOwP1C919F6vCgLqW1A20jDVrPSo5j
hpiqYdSKzNyENAHt+wCtH3JfjUWz0y0J3W0jNUIoL6ShPgzJXqtTO/C4Kg4VuOED08YIMweRf+4U
RcTxk7+AVTW56kuAUJve73epaWr36DLBC5l6Cm0NKaQ4tdSZ9q3fNbE+OcO13yYVjphjBlmmrAO0
NNsYxS2Ay0WRpae2Nr/Lyda/AirYQSIlG8Nk5FUwIdOx9Qx452dmtni4fzTV4IQAIvj2dlOgnKMD
GfBebZsbe6oDI/EfquFrazs3gGAHmdAeKse8drO7yt0Xqtx3tHuU9V7XVWSgMomIIiidDDuA3pbA
e2ftGNZ4u/FkxFYCMlfm0Qhu9dzRA29Cy+WPkejBaE2hgpvhV9XA4t4rkAi/ZfkdG204uiKw6EcG
wA2t743EDqx2nxqgoLDsRzK1G1PwzvPNMzBjbz00TiIrvJgB28ot5g4jP00Nro5HYUfAK7e/DINb
WFlEEQWfHCgLY557l4IjoArAExG12kZo/y4kemtlWTGpuBqdUsNY8jpEi/FQf6bWxl2+MV3LionZ
2aPjKpiofxIvyMWN1keGt3GfbxlZvB09Nxd2ISd+KigYxXYkvS+a0NH/h7O1uBhUydvEH3t+0oDw
yEJLBNompcLWiizWvfbLHkzR6CvLGt2Kc0vjIe67Ksgqz4w9px0CZAAmYKn0EklXDQiGDi5ZoD8s
RmPdc52X30niffEnNwsuX8XvE+K4FxGTzZpVuPLfFSrBnIsy0eTkJ1fWR6+7NgDZYTcQqAgh9KUL
vmubL3bzacxuKvcD8YuNhOK7oBB7FarJMxUtauqAH771PMjG82loUUqi7qk302CA4MLlEW5ZWJzs
Pp8SqgbUDwszQjN598uVtsUIFmuLi5JaHAm/k44qqFLQnhX7yyNYOwdnc2QsnuqTJ7qiM1EsYMZV
4uPGSpIg1c1ImF102dLaPj23tIg3W2kOk5liNRJNgSfJiS0b0pzGVkPY+oDmblE4XRfFmLeLnule
bQ8OSm99u6uHB2YfMhoAiHd5MKtWQKRqoYK6QiylI1OdawxJfzRBB4Z4bqZHof/ot6inV/eXg+I7
OqxnfqmFl4KQ4Yiku49g9ouWhcP0d7YvgJgIlz3Iilqz+bPsk0VZ2yq3wlyxD7MCmLF1PtbW/Pzu
XyyGbo2k8WmHu9/fj14sEYQ0GxsYMED8ykX0jQADDxkkOOb23flHnI2Cy3bAvZfzE1pvjWtPA9oy
y6kVOKk+7cQEFK47x3J9N37y/PEuSwMq981XKxVRYTvHdBQ3AFs74LjS3f61Au1z4CcQ43auQGC+
26lC3YGX6luLDi1Ib/oGPaDeM0YG8nahmrQyqtpyitBDTsMidZFTLkcAqe3s2cocLXCVlsYjawDv
B4M5Qs3SRgKmSEPPR4EeIHmWFl+UTFTEM+MHqCnKkHoNtHXYfcs6iHCK76A513el1BA5mwjtWfXB
0Os27BNrCLvGRxg9Gk+ekN8to7QOfu6Cv7lICpT8huKpzXh5a4Ke5pA13T4/ZScg+Q+dz25QnGQW
IpJcP/rqGqrPj1qhvL07QomGN6SIdFwXsWLsS60TKL5XkxeU332RIJ6/Mou9axyl5Ye+ucuSOlR+
4Enre5/zalcmthXo7TjFkyl5aHMeUBozdhw5QNiam9nBmIoA6JJI1FroGN8zP8zwtgGgmwdqMrMg
nUBaULeCIFVVoJHY7cyfldY090z1XkQ10/qiNdpzaVo0LN3ciq1WR58BU9neN8sfWdsiImfUiLvG
RPRuKQaytImEFh2akA+VtqNKfAcVEegEmPDjOs3aq1bWRTQ5dR1AnQVvb89JwLCjp7cl+oPiUUB6
yieNEdKhrT92RZPd917r7tVkTVGuDclNOjReRLr8C6vHNnK14mUo9BIp/UKAwYAmoTFk/U7RofgC
znES846Ud6LFtu2r+lsxSBpwCQZVUnfyxhzR0FZS8TKz7Ya9dL/ygrWYRgCP7do34swEjNvt+mRn
FPYHLB7uVYDgrkYUOsIaosUHcEA8SLvlYVEVYJS3hB4OthQfaO6y/ZT7nxC253h0goWAZgYJWM+t
yBvH9kqhW/2kd9Tb4fljXXNrZF/N0Xbjjis8nTgheJPavop0gKCee4e5sRzmTd7n1rWLTgbQEhVe
YHI9i3smxVXWcvfYloCXG0PrhFrtmUFbg8+7H6V1Q7PSC+jUTHgeITpJZ7nzdswRp2g9C+BpByif
19wOmqYefrLKKcOWZST2lV8+d8o14hxYr5i0+hh47i4lu90wjkNAcgV4mTEl9xoWM07zJok8TcNj
IfWSMFciA5JJc3et5uLMEgti664zB1AliMgganUogAgKO0vmAMfl9RcADuvAJ8oPe71r9xBQba5J
OzWxk3l2EaSyN6KmS8ZQiCbfYS70gDsK6Mpk6sLMLmA9LfpjYhhtqGvphH4syuKOCfM4QW051IaK
hNIsaSiZaQX5kLHIZcMnPlVVmA7mZ7ewX/FuNfelbqJjA86smZynvDPIfhLEDVM3/elaDIpZw9iH
o40Rab28502lhZbG0thvSusuge5UYHE2RoyhUQdskhmYb30SQNXL20uhedHQiPq2EIV5bHyoD6KC
gENJpjI2BkpiZJRQr6NFesUFx3HBCz9oGFOxLOeOzBrHmOf1EEB6jqGUlj6Pmu0Hee6KK4YRB7nW
yJ2nN/yAMtRwLNE8hgCSh5nls0gfVBJpE0AB+diwCH3AIm6qFjpGBnRdwHOzVRNevUHOHmiLa5bL
AoiIDI+Btvphdl0IyomYqhcGPyp+GRT79gGlL+5ct2Pwpi5eN6y/MXo9kMhZyK3Iey1uOH9xLq7E
RLMoXA6MtPaTW3xo3a+Xw5+t78/h0dmVq3ckRT4K3welfYDz728lJ7cMLAIHB7Lj1BixIgmyRyqo
toB/q4GJMzMpgl8GWbtFYA16cYPyhPDTmIRwp9oUCD26PEerJmbVJXS4zNiJxRBKq/Iq18d7nNE7
VT5U5tfG+BsPHCh1/2li8fyYOl1qaLfDLKURdCMZ2YgP14cAaAsym+jhWtaNSqGSHgeSnyoH5X9a
BZbf4QmyxVCwuthgX8ETDeVCNJe83U1djUvD1TKOjoskrqajCQ98eS2MtXgdleI/TSxOeNszlA76
lJ9Q8nCitnHk0WstK2gMYEqTEXk4BCqfEJ5k4D6sxtvcmcqDLXGJG1mTILLJvECR5Jubgz9E2cjK
122ih1XBEAOmELaW9ZTGSAM7sTuijX/yqIzc0eoD30NqihL3lzknZz9yNqJFamGyEiuFddDJAGY0
tvd9uwEwXF18CAYA8YPyvb5ET7lDXkw5+CLAyvnc4f5zxFE3io2FWV/6P40s00lDrasWNyywaiQn
wFYQCFsjqr28+utGAJiakWk4iIuTyJseWQiRcBSihuBeB7vY5e+vXh9gZPnj+4tjmFHaZRW6xU5I
RjK+n7wdjcb+ivwdp3tmZuGzdJOOomcYRl++0OzG9n9eHsZ7PPvvW+rPcSy5lnguxlq2GqC3VFyn
JY1yS8XKzB7LmkT2VMQuNa5yqruhoaY4cVB+sER8+Ues77q/fsPCF7hm3/W0osio1PdOkgFl9mlE
j8JlI6sbArTZ6A1APRysnW8dDmXoGpMOB+iIoqiCvK9pNxsmVsdxZmJxQ1pFbsA1N/yko5YwTahp
uFfwcf9DK4udDaWwoasGDMQf67DhZTik/p5Nu//ZdC32t8GkTY0EzY22iuZ2+2zjfK4657O5Wmxs
XzVdS8H8D+mCp9xHsGxd+eJjnmycnw0zS3wh90p4dhfDgILU3SSMQLEssIyXydyAW2xsryU+HmVk
rR4tjKcxKVYjBWBM+355STa211KhOqXoU2orjKUhVTzkSHI1KWifvA19qnUzDvp2oKk3hzFvD0oJ
M6Uxthx977dKsaAwPoIO/PJQ1pflLxvzbJ7Fkk4+diZVNT8NhhNk3a2muSErZGyNW2H++rr8ZWlx
7NPOYZVMMBqqvma69tQplNAuD2bLxDzYs8GAMKiRWg8TQqoRONzqsRPu4bKN+Ti8y3f5fw1jcRw5
kX4BTWTUR0r3E2tOpjvGk/UVxdwhtUI/S0Jz3OiAnD95yeTihGq8yusRnHInJEOvS7+PbGQM9MqL
fK38RB0A1gShx8vDXN97aDYGmhws/Ut8guxVZbQMt6pD494Au/n+l7Xk5vsOxD5/WDAWi6WrtJUE
3rMt4+lH0uy66W94NghGWmDfQovGO955yqHvlRvwBDnZU1EERnrn85iB9OXyXK2dIYAsPZB8gazs
XatWBS1k3+EeRoKqfw/S2Q4C40LeVOlGW9ba/j43tNh7taV1vV05uAr0m8ZtQy5/mVUUi3JuYbHV
JukgAStgwbevJonM/d9waWffXxY8aKODO8rA9zv3u248mfV1M2wc0LXTcm5iEcMY6C5CA7kLPyN2
Q4n6W+3ftLg4e+0rkvxh3f+4vPqriwJoPsA1c7fcshVIoeY+uMCWnIbhye4dJHZ+lVBoXhMD6Wkf
7KhgOFyEGf7QaVDmK8WJE4jw2fsheU6GPOr9Fy62YrPVyQMmCa1B6AgnzuLKGUfi5ZmNl7nhXmdt
ZKeB9sz25rNh/J2tfGZontUzV22mWQXxQRjymgCB5qTiy6uyOhDIYs31D8h2LIFIQBUgrSac8gR9
g4iaDDnYE+cvKB2E2nj4dWbzeY3Qq4meVGAVAVl8OxxgrnIiuD+3/QUV++QWG5ts7ZFz/v3FzZaX
jplSPgfmQFxoIWJNNPfk9X2Vb8zbmt8/N7TYbFY/QgHTxkBEKgPBHnWNByLZwBhsGZkX72zxjdTz
NRAPo4dGNp+Gob0rpB2STcngtasaSQfwpaOdG826i0WhhtBJbZZAGchslwMeJH6g2xTtOiJIfKSw
bR7LfEssYvUyODO6WKkEnd2NMdfDHP+UyDKSLKqgq2KDduzyDl+dRM+wQEIKtqx3LLON7w90mHd4
R+7sFrnSfdpvHNLVsUB+ANo9PigeliV8kC6IrtLRrckBYaD+TVN3QVree97Hy0OZD/sywEGDyJ92
FvvBdzKEnALdgUiTP+VbzG/rX4fGEbqpcTSXzRY6kxR0qz2+XpObyZIfNU9uvDlW1wKEGn+YWCz6
mLqK1EmHRMoXI/lgA3fvbCzFloXFudQHWduqgoWcPZT2aehvvF/uAJt9GOIxAKGhogGdk7enEsoy
qSU0NBEO/ouefR6Hfdo9/Z2F/svEvFRnB78YS0E1gr7ykaC8+1wNG1mztRMPOgALcjMAr+HZ9Pb7
WqIXjscQnMtOPzrtCNIgH0XDz9L+KcZPSX1n93/n+XxucjFrqOBrXQaqtVPK6puhyyMHanmTR66a
aUugbW0PIJoF1BXnEbS1i+CMQXJ7cF2F4AzlW1k/m62J8lL060uEbkpwQaC3Bo5zYcQzW+m0AlPo
UfGgV86ReSDH+xs2AEoCXhxUYdYyonFY3+cFrYtTDmLk/SZafO3Ag1MPHGTQS0CT1TyPZ7usK6Hr
2qGIcbL9j3Z/b2wc9rXPz6kr8D/MwrfL0GIoPfROc5yTtgjKKci3YBtb3184E22qiqxg8IZ2sQMp
HGCuvzb7IIoH4TESCr4LFQvQCLydHkSRpE2csbtNgGlwvRcxJPFlC8t7Y2lhcSbMbBo9Alb623w8
6NWd439qbnJ7f9nI7/xa57cGrOCxhdAOiwBWp2XhYtJ86Ztj2t3WI7k3KraTlH0kJt8X+XPJPnhJ
dir8uQRArjTts21+BUw5CXqoS2/8kHnClj8EjXyo0xCgeNDv/HZCixRAicn1+lta+w+l7j93nPao
cQMF0+fZHuJyx8myQHXA9m6tv5gJaKds5fQbqZyl85vnA4Qk4CQH2xxEyhaz7rV+jcomfgZhww6E
KfuhtZKok+OnqQKixsoBUPQggx2Yytvie/k9q/Z2DkBwa/ng6CaWDx7KxauLQR3JBldsc6vQa7OH
aFl55bb8tlEQC3BTutcc7XPFhHdbyfaKZva3xhxeLdb8IFP/aWAo9KY+/aB7aQkd9lK/o6Rrdg3g
cTGV4yP4mYwIHP4cCHMVNal2TGwFIiggjFx1ZfrqDtdZ6LY0KqAnCygD3/cOhHLoBFEE6V/XSgjA
GtxXzwTseSBZ1Kd+Fnos3anK3qdoFBhy1PDamu30DIgcA1eF3n8oDTcJNfSnMtJviRIsj/lMHzNH
PLPOqv+edcrvqTI9VTS37eeSXZns30mj//V9+t/sVZz+Pfftv/4b//u7qGSTsqRb/M9/fXvlTcr/
e/43f/43b//Fv27T741oxc9u+V+9+Uf48H8MR8/d85v/AZRM2smH/rWRj69tX3S/G8BPnP/L/98/
/tfr71/5KKvXf/72XfS8m7/GUsF/+8+fjj/++Rt6389O5vz9//zx7rnEv7tOG9anbfd//8/7f/X6
3Hb//M3T/wGx+VkpkujI1ngz5G58nf/i+P8AJxOeCP7cdQjSfBwuLoAV+edvlok/AZXl49/88adW
9POfTP8fKACD+QzshHCoukl++2P0bxborwX7L444U6S8a2HzjRuZDy2aA8GZCWMezvIyeGEpQf8H
NIQOQ02aEFgZOyrLyo+VNdEwcbMtIkjwB2D+zjzXbBL6pXBa4E3wwaO0zDBLjedV5VjJoW0aPoF/
VKk4pYW2hxascTArPJECp7C0u6lT/SE3m/HouqmNHpVaAw6PV9djMxQ/isrQ7oGOSk+E5h+cBFxq
YWVpddxlNTl2gJmaweD03W2W5c3PelKkCPKG0MjmhfU6DEVbBvZQajskzyy0jUi0pExtMrCwRCfo
vpzMz7UnQa0gKpqe3IlzAATtNOsCn3LrC7N8+p3UvnaVgeMU+KXWymt8UKP3vCQEWEIbRAYDml1K
wQ46ab1dDwYxVyRyBP+WbTxVaWa9khQK3e2Y8J1ulOJoTP50rCe3KUInAY5Kta7zUCYuhExTQ8VN
6bZPSQolPTvVvS+eM/4c/ArtM+kAQXlwzFpdlJtM51Hf68lH2+XFlS7Mue9qBE93WTpR4wL+bgId
BfyhG/qWNNKIKX6wuu4lBXNHwIpKRWglSqLGRN+jK0y0SjjZDqH6jW5KGXjFECfQaAmg7PHUad8B
6cLrbNKC2i76b1rhQ2arZ4AzVmUHqBf71mq5fZeqW2IdWOO8jtDlC+uMPIKb9lvlZl+qjrqhZuCS
ABlu4CSGAiothVQnh8Tq5Dmx4jULuD1NgXKbl9Gv0FflBLXv1mhpFcXXNG1BV9N42t5L0lu7MpvY
ViLMeXndOKL74Oa1/Gx1/TH37ZgbMqBMHZzSxCyOsaXLQ+GAGgb3wFXiMOuKc/ZjHLtoyPw0zHtq
h2X9jWRZnMh83xYe6ACyjoWaHKsgEeAFLbxXPCTRVNA89EYrDp1nP/eVH5La8gKn9e1AL0srNE3q
IxSQh3xMvkC68jOYotIC6q7YhkFSegeqm7GTUAJx3HI8IuGP2wEPp/6gJ60Wj450g6lxlQSKLTO+
V/+PpDNrjtxWlvAvYgQ3cHnl0nu31K1tRi+I8WgEguACECRA8Nff1LknwhHHdthutUigKivzK8RO
kAKiuUNWxscjcPdmRMOERWgq1MsxzznQhaGGQW/m1dhNS9U7MErbEKm8Iu5ds6ekz1613/F6MyD+
JLF4bGHT7wJt8IUp2/7tGj8piJVz6avWO+dTuOw8QrFTlU48OluCqHSCXKnvoqxG6tDsWm+WYSH6
xtRDRK52il8SG7pfkDFXbPdajzxHysqNekcByjpiHjvDhoxXbINV8H1hUf8xkwdpHN2n09zuWZfk
L6ZD2iuBlOoqhICnZ4m/U0th1TGKBVxzXp8J/EbM9LYlK8KtS1/F/jCUQR90uzmRy2lqg+A7pYYd
W5/CypcuhzHT7Mlv/LUCAE+Wwcy1LmbR3sHKkyekzQFZs3n0B+7VofLkel7DAAYuMhwAQ31Yhowc
KCzuSLVKrrmP1VGEykM34AhJ1+lKsO2WYbzlv8GOgMRtr/Qfgvlj25GyEwgOoFauwmgptyW/Tb6b
DwDpHDxKK5Wzm3Aew1syjHUmZF6s3VM39N/aa8YiYmrD009w2iCix3z71roVzhRV4chxR3zS9Wrz
8YPPsLb+AHe6Vv1mEX6cfjInbflLsOCLZCasWthaECM6NS47DstQd91lS+l9tS3ksfWkl7SOWPPu
upEg92bpzYHsgPDZJ19ZXtomA7G3k+8cWYUo6U5zMvzzGgWYS8MTcc3XbTt0yHXxDodzbgQ+tf87
SRQ7twtvHxEvY2PhS2QpUEnB1Faz711p3wYXkw/h2UMVUc1xVndi3NNtiaoe5pESbyue+L5YDeuv
8O7Uo8crF3qyTNGA7b04qGwm0grwe1uE2XDoO7hjfyIw/rY2B99/9WbND8HibzgN+Cmatl/S91Q1
zAKB/H4aCu3IL58vH8kg9khvygrLOXv8wjqcfj6cishunz3YPIt+0b+F0r+dNyMdhbMFBnN2azOE
HCJn1jLisT5Yyx5R79xhiSf1tKXsPApRNw3cnwwsrlfJ9UePRZWXlEz31f8FPzsORKRXNUb9hZ+5
E4ApmCaZGpvMrh6gBNHk4ZrJk6fWYJ+UEOFQxIRVyEq6nUyW9habZT71Cq9QLj7DDsuRCqJgqTSu
ElTOn8CtoTrPgu+oc9Hn6gVw744E9GciSl+bX3lAYc0U5DPrmzrz6A+Jb/B/yeQ8xdp7QiLS4QFu
5IMEe5sPp2T+1vmq3/F24CDkibutaThWU2uHvWj1MdWE7YkG78LPKe42dQO263lzbTX0kr6NefSW
5qI9aknWKiRCV62J0g8KuvymBRhSnH001jsjC1vTOAKU0ylTUbWYEyDEdqelCks9cvLWT2uMhZUx
dLEp2GcxnOfUo7qOZ7ezLhTlJGbY26kIC9x58b6h6dEkSd3E3fzzy7symopyzK0rQ77ZuGTbxItR
YIEU6C0HLpp53+msFHzIq4ZTURAfMJ6AgZejxxRoAvmBNdf2MrTdA61iW0wuOiehnvfajf8JuL6X
3FbKwCZrGomtl43Ydg2bbkMKW0oYPTkvaismOrebabNvUx2XIwm+Z5Edo/EnToqRdp0mJsZ/K6va
ZEGWm/ZBRUVwV2rsyyHwTKFa9SaD9hCweSkGrdLrKNPwJZnCEBEJxrF9vVuqcQLkJsBpWyZtAFPk
ED4Y0vQXalc4m+YZWViaDIdt9eW7itS2b5qlTqQrZmSRwdJJD2GPAdEWuloauOCkbneRjWt0XbxO
Fh5XMtnyJ5GwauztbpC5OcFhUOe+HovcE9thDPp96HlJ3VmyQ7wYI/RlLDqLVFKiAgtDdOz28PXv
12nYCTbaYhVAGcez/yGhrFVBqPYhAG/CRcFuTXAzhZm8Yf3NK122GD4+efVyg6+QLaqEbpMhhOvB
cQyVuTZJjiN8nRDPoPNhwJBjxtoBhALnO2+6AAGIYcQt3lWxmDJEdrtdE9OuHoMnmjFRLy3qhzSn
xw59dxn9BKY7lcPAhD2PCCe8TN56AQ/nB8gY3EIGF2UwYDAoGUWZJfwPdPBdMazpWkyB3x0sDIk1
Qz1yZQmqpiW9cQ4jIs8P2K3EjqlFsWAXlxUyNa/wssqyt/2nQXdx1J4hRW+aB3DPdbot8ZkRDqOu
l8490rfMP8qGTiV0vrwaOh18MKamch2nd7wzB7hAKtN3YRVMtv0H8va84w1PDyRugQdwEDAaHv63
pOP42Bp11zDXlrGwaa1RYWGCCNB9j8M3TYF+fkFBasuJLhrRFQ4BINkPrPmGqT+4e32Im8wM17lT
xw0RERtTJGyk/l/Z02Ftm+d2fo/YdLBmZocs39Fr+n/Jtsz10uSHcFs++zkEcY3QqV7RL+yifG3+
2DSJd4tJgt3QjRMtQpmYAxBHPiukv33qEDtTSbOCF8Qi5Gtm3128DQXbbPFYbdkQvOUq+RvRUO8V
wfr2LeApKsiBl+3kr3hEPDa/+BONIGPkg3tSZvpNVL8iLyK64BOptrQgHB53MD3kMw+y9dAm2x4F
2HEO1Euaugvnzqtj06oXLHA1NVJs5GtpmxE7Tchw8US+lYZBIhCwD9RaMlWoDtAW4sCdL2YV/kNW
H25cl0/6RJLx5EzwrbPob7CNS6UkO2sQWilVn4SP9HmUnazJiKBKn0fjoSPfkcWt0cTRc5a5j5n5
WbkpJIfIOL73P71JMiD4IvQwF/iyza6DSarR/SFn63ZFkbhPUVOnrVhK5jicbSI5D56PFXKY2tWq
U1hJn/oGXrRbYgccN330r5kSFO2zPqwxn45+5sWIxJICyASTR83Vk72s57Rr762Y4zIEgdgS98h4
9Lrg677CnYw/5Gfm/8k5BJV0+QqoDJ67BVsClHDvW6v/m7L2oVl0CxQb8KwHWMeOIEqBTXq4vCT8
UUk6oOiIoeFQx0DasiJcwRglSDOhinnesmV7YoPZ6mBmzZmwPDq08OuXMh1VNWXQhBYb7JRV3zTH
ODcYrv3GJVB1smZiQqWG+5wtm61ibL36+W9EsHo049UCO/ArohkwYo1nkPzGE+iPPIcsRZZvcH/o
Kx1Z8CBmsF8Rl10JYJe9hdJHyGIKEog/Ew0vDY0WWQ/JQmun+ILKy8hfjVvUvqVh9JcTM501rLYo
xkPsQJGI1XdzeNw4NlJMXb5jS1sskfxOJNbMxAiGqDZBsj7L3htEUbBYJ+c4NeTvGIm5xaNbRWiA
u25ah6IHoqYy+UK8omu3I1ZiVEkLPeznW+1QH4K4sAWlVT56RT/fZ0toLqKVx8W0bYk3b7kZn8ld
bBNZMexxoi1OUEiUwSHl+u8cb9hSGSDlnUcbAEVL4an2DbZqW85RJJEw0MBjbSa4dSM/ArWm943r
0nO4/BcNvzG6uzTRgN5BThAMUIaRqdFXmS/XsNt2mQ0RUbOuVmz7PWwaCzGJl6innIr8FCe2ljaK
PwBieiFx3h9hRY/Q/NngaHv3X9/gZSwwzvkSdHohat2lKsKNDagVwz+asxD2BE/EN44lFDY/tsvB
C105imPidVc+yKMjSfjHYhlwTZrgo5myQ9SYG/rUrYTy9m/q892qcVzOIbrLbULnFmPfRtD77sxC
b76IOZqBgtDlZnw02UFk95uXEPAeUuzv6Ju11P6w6iL0sx2B8adz8glIi12Hr/FFJlBP+jA5LFk8
lOPWH7Fh5uwTlDB2I+uJNh4pJ8+nH+umm3LdpAYlRGEb5BgRUZh5jp5Xl0VlYFh2imb4aVE159d2
QZspxkgB1eDuHD3Jf4JF605hhFvOsRWv+YCVU7P9aRAwa3F8Z8GrRnIxWAsM3+hLnsvBL2mXdjWk
MoM1H6F87Wfwwnw3NVMZMct3ok+bR0hVUoutsTu0kuPe5mI4Zl1sD3mykgquBy/FjxhEuxj8vT2j
+VXlbrl0niK00izGm4u4jSnobF4kxOAzC5LpSPwZJUrU7cKmGWu2kO7snPiIiHmepcJarsUF1z4w
04tK5cVEDUpevMFFPgVoN1ZfZLWX2vxMjDqZhdkyGKP1CCt7vPfcaEqod+3OXzNVMBvwd+rQb4fj
6EEU9s1X3KKiqSXycekafbIId6rq8IWjBEDfGjThB9gfKDZVglG07HK/WPnwuVK2z6HoD5lEXEUs
pzSZsInd8gAN++KXifbG3RIstIRNi51A784rFnfhHrjQ7N0p99GsKNO6LhkP4HrncATg1Qbd8HOF
Ll73Mnwd3XyeQwHteoIs4yaEaB0dryFGBQXwISdMvLxqWNsWZwzMzGhRvZ2TCX/TONKySYW4VIcO
ZOsvRLBxFTEEqcYlG45+q+BCSKGRBMBt+ouMq5HBeM0yshYQTN3RD/Kr1bgGmmgNS0+GQBjAHRQX
c5vvA6oFijdsWRmD8ZduMF5wYB6g50CCKg1UtN+cvIS4bMI2N8UA1yrOkfw2JoAeaN7/tyKGuRug
Hdc+QxnVpuLk6Twq+IKtBxvhV2m9v4wOd+rpf0sndtia+ZrKtnmfciKQx0QygSS9LejGw7u/sufO
J/l7ZhJc9razPxoYlnh5IanGtfG+xsBr9wArv6XpGhRjn0b16Kc71mbnqE92mwvyCvW8q1wszn0H
L0jOW1Q6jL0EJnzqx/XKu6apFx08UKU2hQyIf5ZJ9q40VMqVoymOGGKTcP2ymFdcZljMnvxSen20
qzvi3r8ts65XnQBSNVYyjA8a/sEyBMsmzcIy3sQhTewrRYoVgV4sn9oFof9IFfl5pKB/JUOrC4Nr
Au844r0aiT4L4uIlV6z5Q+MVwiESwe2Od5z9Zs3iKoukKE6ogO10pFGRzT3qigQGrm57BJp5f2jX
NtfNDVWD/3NSFptoG+q9B1BH/8kRt86MmQ2Z8U9MskGCNYqaHRVf/QqiJhFgZWoASDezS1pL6mnp
3pcWW8XaYfgXNwh4Wwog5+h1bNcN8W6YveEVer0p1zZLf0pPXvN8wf0RRvNtJSuMeDwK9n2K5bk9
FMpBT+YDP+J4HBEuhsKLT4cVtlWfkg6OrXHYU7DbduGUNf+wX+cxQIIAUANXV2qQJsY3UinIBcAZ
QU6YN/NqsWyr8Cc0A2JJTTUu2GbPAbkusC+N7Ro3PEX4fUOfco8wwpEOXc/sYVjdi2H6gg7T1EHn
0iois6mxnUghRx1ABLbCfCqch4VYx1cyxXAZDI82lXfEh+Vhc6m6hwK/5dzFH73D2lcKpcbwxUPO
CX70afVttdi4fyw9Dx/cZhS9DN/Hlv4eJbsueH6LLvIeC23Cc6q35g4K4mmG+RD7VdzRboMpLfXK
3I0T0FNr4TT3oHj1Q90E5jSZuSZ4rd881qT/SUs0JKoOKl8EqTVe8kvi2+nJDqjZt2E6SE/+B+5R
OYzLPhiXFOFoXJxhfrLdhtxfzz+hHr8N0frd2gVL5nOqbuNgKgBcCitjEIXSJK0IZr33IexAQWZU
gWWUKlxf0lPIwxIsYmrz9UDEMh88KME8n2b0l87CQD2ejW5nbFG2PfoIOx/zXo5Ha0+94CfSIC8E
Q4orltzviiDdUBPhsAc+E1KToJcmi0SVAuxCPA1sV6A+PfDu6p6sRxS0CNxiNnDCT2huSAhVREOr
nkL60whZMMi7jaFPGR8dlr8iCz94qM+VffOoXM75uJ2YoeI8Zj27oUwE5nkUb42FiNiQ0FQ5eC2v
yLGhEhDeRQjMKvWWHbjJPzfbMeTcyJ4qclM54lSe2s5OhH+adH4OnfvOUeNSjhz9JrCQrOPQ3ECD
KhOIz98DDe56Cs4zBM3cl01JZrpDTjsqIv0dL2mO8D2+V3TrusJmsccch09KbfMrXwKc5fAHYydE
t0wV0vb4bryu0kgDf/VZcs/I/EpQqySJdRW+CHSj2C1uijT1RDV68zWx1N/P4YBKIUG/EIshq0c1
wWks4z0RM841C7wNsABgfNHwwBjKFTpuT4AOeJBZI74bsRNqTn+Dyi0vgwLAtx1tiWXEuy6FYJ6g
8HxJMk8+M+DHakXRtfR9swD+w89+LH/ULbQv7fAjdYW0YP3y0oXpjeamXkco46ifFgxeusMixnEv
qT4N6drjGodcJ3Ag+cs9TZ6aIGE/WXS2G1LABPKxXYuYRc+emvoztvxuu4RD9lBDWnMUwqGn1zq0
4XaKg1GXGGUkOw///mqe9C6OlqvGUi00pj/eW/dviNp/0ZRkCGOIO67J7thLtpfjVPEuVVg7Ppc2
es+a0P+GmCbQK2SiRsfH/2UwIFNUP8Wkgvg4NYmPoHuwlNqgUBB8bzvv7hEm91GrjrMIHPatmW4P
ntxxbZ/aND1Ey3gBUiipCIT1eQbPAtF8dA0BH/ayQVYdwWBM3LvhCYc3VrwIvzmExNALgeJ3CAbG
/X0OFhmUpl/AXbDTAuXGxxg9epNo20GAbs/JmGBvntp2baYwfJhndUE/8Tfpohf2gwPH1/pikp+A
+kswNJVgrSwwmZ4fDcxJwN0j4z45WQGiMZVN0+jKop7BNlRUUktL//SzS2onzVoDoaBq7D6ZD0HO
cbjZdXpf1g5ojsbG6sV3y/KKOe1FtnDwzDz9h57yofotuC6z5f2NKDDlAPpo2j88JMcRFdP6M8J0
I7sMLKEPJ8ekRoGpIQIR8DH4OkTFxh122P3MB1TfeQ/D1HOq/b9x57p6bfseCr85YDwwFkbFL5JO
Z2iSG07NZU/yGefomAL4Hfs3hPHAsrtkg1/FfeYdV9WhG5kGTH2M8PMipOt/snF401d4ArfB7eep
f0CRxRGwQLjlBgJYox7Yb6MBasUOlG48RAICqY3SMpszvxYyAk7kDU7pCnLYA0ehV2rlsGmesdch
xLuztmuHTQrG1GE2f/GMzmjuIvGORgBdqml3Bq4Ffw4ZrsX+jj6vxNbHFW0awwjBa59h9V4q6ZkX
I2JVRAurkf3brWY8eDLISz83IBGqCv1uWI6dsOXWgiZK2PY3Q7V2Yt1fuDTYDscfkSU6UUxMYPdx
Wnh7z+u9m5sJeKP8qoYVpHSLCULsjQwYLgPeeLuY7CgmcAgTut2QaJ/24xrjrzczoGA0z4sOtVPR
W9BXiLrRTH/4PtS6wBFSejp7XbDEG2wR0MLhXEQjpBOxR27SFjqfyKnBhocJXpV3P1KsbnCPlSIy
8Is8y2U6mTG8zxjzFrhpwlpD0yuCzWSlW9IATX9/FTS/ySx8EgvE7Ma01YZGCCy7KtYL8qVRjj1k
YFsGFqSmTAZDYSaKNjGELrU1G+QDL/IKzEuiFwr/T7XOQEwyh5c97UvoikiMx8EVLX0x0TE5JOso
cd4AV5gxF1yiIfrGLlLoFCsKk27AICTJgSEFj6rKs605YtNTh8pnURqgjaXZj6gN44KnNtxNmQCF
ZlqD40BR32DmRF3hUMtjb2rfiWeEZYFQBcbhDVPXMxPhLgGYRaftM27KgwarCA9Jv14QdnUCGkmK
4AzPNV5/5/l7tCD4ceOh7gdf/g7JEr4Q1v8ycrMIpaxcVn2c6VqMU8vKmQXw1uTGFsrIrK0zFwAO
lMfZ3Wv5UwMwGnqFcK7aNQ6fqZXuc0rQr2tJfYCE+nfItLJCZeqVjZfyc8SbBgMn21QgVDxEvLag
xdA/oRffAtQkdviF3ywSWChNyNDUrTVI4rAfOOPy1uJqs2Fb+yloD0tPDigwL5v6mQMsJ3T0GP70
Y0Gx1wW1wPokafdwepUPtfgQMODyC+d1PwIzn3cELoOtaP32d4J7ye/Mc7etT7kTQpTLvKrSWfZ3
iUBlUZglc2EYlMoWI82/JL6tqKIMSXfKbfdMQhVo2+gErOJ2yAPNi0aZa4asiuQnLtJdE+kraeV5
Xfq6d+lccchaDz6GX1mg7NVbW1H97yML94UFHkCX6qqb0JZu44QTabHPlHYNjnJTyk0Wxmv+Sjt+
sOQwOLMPGNVgO4DgE4S/af6zbDS3x82NIyq9wOY7oCNRP2AlNxomyH65wVTC9yCIxN4xFyNI/RGO
MRYJjGS7/DfAhI9JydpT8a1b188+jiFe6/nPJMWJz0Ntt/HRWpqdYrrkRbxFJyLxfWAxbnSeIkw2
RgQaNswX/6ev9jKDRJmT51gRzJiWtq8Hn3hViq2vVe4rHK35D5uSZ8u7G2xeJTaP8ed0eLc+n0tK
PBB/gvTMyXxdl+GQJd1fS6K75ya8mrihrlHkH5lnYE9YAY3tOrlLIgU9Y8RJnvYSrBr+PqcBejY4
+q9KR6cUKxPgJ/HkNxkAWR1M7sGEkjZBEY3erzmU4NgI2hfKoQcYow78mIFDtwMe6GsQzQT4AZt2
EfwKr5tterhrpjE/ajUCupTDNXnkk4o+4nCFqcIlhu1ZEHpX87/BREe6pC2nFLTbYgEO/XeLfZ0f
64JkKGvG5DbF8HvseaDwePXeewwc1t3RdLi2GuriDqy0q1yjCM/yGM63gczNhS2Jhz10IRa0tSl5
msY1/6IG7MJiW624QHnwQWrKML1wCmypQooRn0s1/RFzSFqTtInOmlPAhIaVxq/akHEfGICTRi/F
Xgcn4eAh3YZ5iUv2zifiK042W0Y0haSjQj3sRxCB0aPmjd0v3NjbEnXr3sfDuAsinjx1coh+sfBn
hOtbeUtJjHonncjfFcHeNQrMX+i3onTYJNFhUtT78qBW5CFG1V7wbUks+B2jTz9wWMJr5mU3Iw5U
j9yg2OkY+icPvC8TspILse0dsLsFUY48omwJvnrwx+tgwO5g6SiIFYPeZ0kP4R+d7oV2yUdO5neY
B0JMVOku5lbtVGzi/2Q8HlP/6ufr1cV4FvAEtZ8tcagt0mey9i+Dt36YHlIxOLTpfpWpjz3x8mfW
mjwocLV1i/9hew3oVd+gBLGnoVX4Ic1KL/lkxM35WZ128GKWmIikake7BeW2/6ZlBqaQXj2E3kHU
KuHf0qX1sCLWAdCNgUmDAYQKELvuE7QlXb+e28CdET5mJYZE+fMIchEZcaFFHmhNo/152TTGv7Bx
fcWhAjyKCFhlQngOcD1ULcaWnzxEb2tWY9HU6bkORRvdMwfxAVAfEIfn9gBHpoFU54GubuLkCOU+
q+F6wHI07LwNXpuxA6lokvjQOKUxGAi5BpKSZfxfo/T85DRoVwcrxw0ju6mFivP/xTapdNfEvw1Z
DQwiEmMEEv81fVqmWKt4yH50l2Yz7JSkHhYP6Z/m2M+6k50xE0unlF16kKJOcKl5RyNc9qEms9QD
UZhYp847gZbU3304NOcy7j13m9YcxAVALX+UY1dsGnU02xIHfhA6n2KZpwErHZZw+MuE7GtsdDTn
1OptJ0Pe7bshis+BNLzOtPM/to184bL6TKP8qLglF0gRuPxV5CV/HGfZeeqGAdecg4PWaxOMOjt+
8VZGrotR68soUopfb+5BdoiDN8+GCpwtqszFLHL8ap3TB+C5+whdAjgR/TCdAW7DaQPCyniVUdoX
htLlq50b8UKSZfm1hoo0VSzBUCmhdEK1Dy1AaRWTNH1dw8Qe+DLxA7SrFkSs+TF0drpjj2ZwVnjx
j2vgxuOMw/o8pHbCSukYviNCqNhFoPNdhT94X42GbWsSC/vP5xlw56G0GO/5a4RLeeaicJauj6EJ
FXDC2LBUd3qlT008hLveE5hQYGd14c8alxucI2i/uqeA4zc/y2uIkhowDJO+m4D91IYpP1oBtaZP
qLxPUsHMksD6EqcqeHFB3xzJ3M+YVqHrAVB6k0+gGHJsVnJYMKONjYDmZ3/gOYaAEQwwzgkrj6SN
gfObIcbFoP7hM5Mv7fGpJFJJbIgJQCLzouYN8wObVhnzOMqz5gkeLf+nInQjxp5AiR0HNtv/0mWQ
rwEcl9dxdBaI+Sv8a/h9B75XwhUM4GTOze9pdt2/ecxTWkxZhMFbBA8PFAe/Mb+4BrS6TLxcIDfX
QFselu+GuOVGu80Hazpf63aCb44A3fxA3McUUdfDK7Ka9m46guYSZMv20C6B1BDJBb2HFseQ9vFa
++0QXPBu6WrL/LQQG8Qvh63UR9BBInDQWIffll4zfPqc/fbm1F2HPIU7DGJJMSUTP/rNtO34HE3l
tg7LDvsXlnNmJw8lYtNUjQEHnHW6rZSXrnfJqXkHh7u/498kzuj1kv9IYjGMIR6P26Kb+uANZoEW
8mMfk6cmS56bVH/E7dyVDUy+VZc0SEWOWX5oliB7+JDNpj22nYqnZsvNtW/d9jn3Cya/Yut/k4x+
r1uX3EmUhFXTDN4TYXBFBtRrj5GY+pscRxDgx4mVxge2Lkjn8QLQeIILvWcg4Y0UfjnRPEcZouTY
qNYcNhqmUBWW/k6pt+4t69tdGwyYJGxjegs6zc8dmfPaKjrXrY7KFTdDuSyuueggwyO1GghAmJzh
3BI/HME4/JWDW/2kuLSfjKxQCJ0C0W3Sc/6foSt96Vk4vVlmOkAcVf6XcUK+RdeZO6CP9EkD9W1r
jL8ANgdgURZ42PMD5gA/FVKWdfcJH5tX2SC7r34z/N3DlK5uvB9fYT6Jm9fo9zb389ITXfqnXdax
/OlyajopZAdoABJ9FKge8vcGtZR08slFoyh1P+GvITW0sx6O+jzwwlfsweN+AUJGPAESnwQh6id4
rtDoyuzKtxGg/jACCi8y8/cQB/HO+SMOkxF6HU5AfASg1uWhHzh/WsyaVAPvdUXDDmJpAAtfB/vt
Ezrahh88SFNTAZNm+mBYYVrpPpx37YwoRD24iRR8hLpomnGQJ5PMOK5jDUs0npz5a86Migps7QjO
Msbk00ARP2LUt1Q5g1Fvy8WPaU75aJKX9CRTIoErmNjR5dtyiQ1t4YFdiMHkbo5rz0r/F5W5qzFC
wxxO36OJQdRHX+vhCaoYX+8qewlcxJ6IaDfswST6ohvbNeVM4h9H3tDf/4+689qOG8my6K/MBxRm
4M0r0tMiSdFIL1ikSMEGvP/62VDNdEtoJTmdb/NStUqtBpNIxEXEvefsM6Y6Cs4uUy5jpg6bpkCX
p0v06dGJS9s86OtLpetDgu80GKQ++7oOBDpNtqzcJ2lVwAobjOBSGLTpGSxD/myYAmVt3j9FYKHd
onfkedKH9imSszctNu3jOFriO7DDwlxZ6VxpdbortZDfYqNXGb/qU78z0BBvGdWxa0sZ/rA5siMe
THY6LCHF3zWhLgHGlIC7GlnzNsrWsfN155mOABOnKnuysejkGrKocUjiH3Gpil1bQfgcS7Os3dx0
yiOtj4SoFz3dZqVRPCppZ95MhSbRldWKeyfwkR0yHJYfYmbKE+rkeHwZYBZecR0kbaZvyC7vyOhd
aGpdualiTPcRgs1VMorhrdDQJBBdLb/S/A3vmP3QGZ6woARNLj1FLUU29ccQbUnaITSt2V/iG7lJ
RGDhupfa95nIM0+2BlVfFWUq7+W6ZmqWV2h3ZAY5PO2hhSIBnS4aKkueLkxSJF4VyZ7uAlCY21Yb
5FnTxU2ECFmsVQJL1wH+mU069uxzhD9seqRpJjO2hueyG3ReGlLFuSc+DoO2ljS5vBsjtrjogWJ+
OTR06ykqNXaJmjle9mHMyarsoauug3ykAcr3DrQ/Vtt78iZ0cqf72jjaEqOxuhrbB0ltzAc9apJd
NxVMYI2woW2AFW1yx2zYo1SvL/Siyr63OvtJc2wEx8O63WUEz1PvSyxeojXfJJ+trV+OOykPlU3K
BddBO9SXbNrmZMSa5EJTogPE1j+8kxMSwwJB7yW0IpVTMl7pTNjGM9qk4IoTRn6nkEhAlzOed5ED
+W+SPTjHgLHzMa8iyL4W8rsATuad3JTfoMEy0pvYq1mBlG5Y0s4q9/OBYUkTXcXkod/n+jy8rCBI
r9K6MJFhoXHngBQbWy3t4+egNi+UPudoGJlAvgrJ/NoVRbzukiZ6R8A16Ci+guYwDtZ4H1eKhFK4
UVRa5jQ7vThD04QWQLpKUz+lJ67VxGxGTX7jNNH0UoowejCaQrmlDmYTj7qpvCp4Pb8bqV2/IucY
D1NnmbuWWdF31ln1nDSckZI28+/NZprCS78Kv9Z5amwZDqjXVmeO7DOapvUEr/InkRjN3ZDVCYpP
iYJF5h75CogdiiJUDroUyxQ6BeRSK77Uat/2a6vJqIMDd25VEMhFFkYaGreO05KNYulooiP+zKls
88ukV+ad8JOhcsk4zYeNUtBYkiKFRUfYHH4Ax0lvYz+tmZFXTEtsWtVfzITitW7pWnIkUWeh1zBU
zBqypKrlbeI3waViIZNEOEK+hCogAPacAcL9WBH1c5OFlKxuJOsnj3PrWg6Ttt3qVZA8w9hMrnyU
wkdRtpY3RCmyN0fi5OhKuVC+mM6E/ddkquDKhT+5MifmjdZawb3st/amUSv9ouvM+sFHeHOJ76Ul
ozRtnmkfJ4i4WoQsGlLMdVYONFyxpdxrEYw820aLO7QVBa60ol3Zi3tbbW5VQ/Iv2z7SNqAHp0sy
2cRTMYGkDpt89u7QGqxj1Vr3AUdKDqIJarWseGnjss1XzWjPw3o13leyUW+UIYq3eYYIK6HT8yU1
9HDVGsC/fBKd1oPkG7cKRJBDhjb4coy49BiO6radEF2HNekTkxVy7pvQqpKyGEnDl4BN8mWhSJIr
ak19IFJLxycBaS6wS/+qLZz8Hne5eMs7TE6ugC16rRsKM90akdAGMKw5z5p0yw2nQP6moUS6FZWP
REaxxx1OWeMYK3pL/ySSv8V1313puuANN7byrR0YwaquJHGrOYDIS0zRT1ocNNs6b8MrJxPRbc/G
4YI5PX1mtUolV+M0tuI9CmvZlqMNh397kyWGdev01rCORzX4UrJzeioKetajRlwxYXfjNi5N+w10
BclQSIvfMUJ2boDWZmVO4BdUXxdbJ8Va5KaBMG+0sba+mVXKs68nCR6YET+ga8c5O7DYCh+iQMD7
r3w6wcRtqHc/Mc7MGbQDPWD/q+zE6THQ7GFXEEj2PJmJWGdYEV+DUstRL+jNZSz11r7OZj0V+OuR
ZnInu61E61CO+OCSIcXfBarUL4adtleAh6uLMdeKiyibeMVrse9JA+KayVL0NXaNAUV8Vqw42jXv
fTjEl9At4+99lwabIamQ++iGAQ18ajFQsnUKkxkdyGG6paq8ikojb5B8GOT/Dj3CIhD9i5I60VsV
JXfs7oZ93RuNC+s+/472vL5M2jg5+JFl1ij4WH+8TW25dBsH+Ixd5t0udCbeXbWdb2nKNRc2raIV
VZVRNIvyusbdMse1dVtQntqhx4zyja16+O4gXnzAR6sRvSNgDMl2YI2uUzJbmK1HDro9EXwJ4p5B
faNIzl6zBn09WvxEbP82o8B+2HEAz68HFU/NUE0EOFmtiX/GtHKOO8ZBGpNK5aU1NRsOGta9UsZM
7XCUBVqvvNS4Mh8LxWz2Q6toq8CMQqBqOUf7oTZoTCY0Xso8RFNWBB03tNUHz8ot823Qy7Fak/st
dv0w9pwK/AuKvMqUXPVvI4SNPyS7pO3RKJhtVanHRFSWEQ+0MkzNuMI1Hr5FRqbvtbyztyoyZ8Yu
TrZX4qAgngTe9qpGVXVRsirZ3eBTPlTzwYlOyXhhVGX33Yd+/xCEBiBuULDl1WDZ5VulT9bWCBGg
qUPFHZBH5W5KB5of6tz2rYbq9i9NhMoY6Kqz04Mg3cSGOV7lOqJGJlXqq2yW8tdOGOO+y4f+dmrV
+KkI+uE5bxJ8IpWMPuNqUNvi0I9jvOmbaNiYjtBwCujO2ioRH+OhGV0GvrmLxD3fGLwnI4iIhfaq
sYm6yrA5HGIaSoH7V5yUTpXLYbBvfafai0JrfsQTQhsEzJRKAebdFYWEqkTp241KXtRKwiq7acsh
W9EzkXZZGNSHGj32uqhV0Ont9F4xycdmnqHL7EXPCKfNTPZ9eKUZpeoi/dIy+0w3CRMI7IAZU2HR
6AXDXkY9KDbZFl3JRpvux0TSr6p+PiknSX+BCz/bx40WcZgOGLjY1hA9TVbBvJLnkCkV+6MjW4pr
u4naVzOUjXujGdGY1kmBNQJ7M6qrMFmD1LfcWCvbK1GiqrfRi627jCVSN0F0Lwbp2UzZQDZVql4A
HAgv8qiqH4YpHLBmCP0Y4Am6yCo9X1tyM2zjeAyPf2lNx6lbt6J9Db51pZWSsy0My96S1BBhdkbM
GysPvKGYwDezn6FBdCC7lUEceCOVzfcg8NGPKgm2CI2oyBF6Ko+bZanVN+pDtuFkMm2xHmvrdhRq
4f4VoZwZcrk3dzEbm10chig5ak6zfzUABexQS8P9gJ7Oi32kw5JJtK+ix/0u4uSxazEF/Q0y+B+n
8W8O2n/Yl5cW55P+5d88z7fFe3bfVO/vzfVL8f/C6Yx//r/+10v8L07nVV69v/zH23v6Hzd4lN9/
90jz//zb7Yxd+j9NxwSOYBK1rTkyhuO/3c4AXmbjsk0mkIwJHXvzr25nWaYKg5CnDAO44HK8i3+6
na3/NLFO2w6IA1O2+Oe/43b+3f4uERBIvYZtvWD99KS7FbOU7c6xaECVQaDsQnuS/y1Gxz+vvsDk
kLApy7VfSscsNr4KHkt3RIX8y73+n6fuV5/2qU8++7d/wYoQ4oFnm/P7HfXiFqWSva4Nyzjz4guG
hMbxvhTA/Y9ZGn8r0JHTKcRkdt4nn3+jXz651tV0SXw+ed2zwaOJe4nJ7DNsyfwJ/0mA+OctX2An
HGPSaU2kwR3NCViRvZS/pJmMpoURx+G8z78glvT8BGma+BHK2A6XeZ9srVT2P2EHnfpaF+QKu3Aw
esS2f6QnSGtL1x8hu798/MFP3ZvZf//Lja+ZpU1jFDlHq8vZQ1XsNA0lAnofyp88N7/z7v5x92du
wa8/ocmHYcpMRuqBVUyEWBfFvjJqZTUYUcNLbBYsK+2rJFvJJ/iVE7dLWazf1GaC2KTCPsZtezOh
LaRXoo9/V/bf2BX/hyW2BI4ZjpZlmWFaRzkwsa93ZHVWxicMqp+35A8PqrJYvwlogNaq2+5Yl8pG
LekeTDkhnQe1ebSnh7zCyMsGO7lNyniDoRTh5D5tv/v+wWq2/DN3viMc+uQXXaDx//m9LdZ7mSu1
PjFsOLZ+iZSy307BpYSTOb42OYAa2utgY0eUJrdTD539bJHrkbFk07K88OUr4eAw+vtfZWfMf0cw
1gs7i1nJSKrmj9ne/vEj/PP2/Om2LYqHbFe+GMKuOzIUPGja60i/2uSOaMMlLkClx/KO3VIiemcq
t1JbrCAfuFY6rOTMYYpWfkLb+Ykn+tPnWNQZVNqxVKkjQzkxmxscFMela4tmp5jcITxbKucM2q5H
xF30p13uTw57RsG3gRbN1313aBCbmYck2eLYcdkLfXyHrBOrXFF/X4MoMxIEvkV0LEWH+6qyDj3O
YbvUURzFhduk8qqvIF6HRXGvSGnrpnWH1t2IH8FVXNVy+SMqnKuoEM+OFt2po3TdOtHzUAcPUg13
BQM9To6Lnh1iFY6XtiJdWy0ijyGsD42vPTAreU2EvO5pEOA3Hb6hO9mEabl2wvCylZhQ+v4eexaS
qOnGbIZ79gUXSKl2tLIvpZBkXEm+mO9YBJGDXsINiV67SVeOsVR/i7LyOisUGt9quXfQaIVReoxM
uEqlhOclxe2dpo+91G/JK9hUBvxj+BZEIg0XRlRcYDze1V15CajiRlOyu1ljEUBHRGjlezR8z6yC
ixqu9CLALZiUntrxgoMLNGCdQBfVpqq4lutMZxKk1a6PB+vj7/xUFVwW9mHi1T9ySGdwvVWjivaD
2Jx16SWALe6xSDrstz2954GYGhMPZfH1vGsvireei8Q2C630Shw/bmj6N7Yd3X187ROrQF5svTqp
xqdmGaUHRwd4A5Lm8BjPKV10Zpx/jyD3j7I5b2l/fd0hjBvJVxprb+ydY6unF7GceB9//hNf6RLr
ZlW14mDNLtEJS607pfldi1Zt/fHFT92cRRGVjMGWYi2oMVza/UoyEtoCdSLvEkSIZz43i/o4GLZT
lKZSeTh3PXKl0fmY2WfBCqduzqLEtQDRYWlMlddbvG8cI6j2fZWE5+0p5MXyZZQck9+c1l46pF8t
Gkvoz98/vvGnPvhioQonHCM5bCtPQXZPd2nywIUXn7yT/nxx6Ge/P42WLaUEfVF2Ul+B/c4nh8xr
nbVW9WVyc6xJWT63ebxkcL4TWei4eSR/shc69cEXazVVqzHW86jxRG3vsgp1ds0095NifOri/7JG
x7pMbC6uOv6WFs2EYaUe1+d8n7ozL7BfdtS+MVR4RG2qTMm0HJ+bsY59EE0fX33+4v51jwEP7Per
i44JSo9k0aPv18LogyCeJvdlEl8yiPrR6wSuNQg+DTqrnyCRT92sxaqtTXOc5GS+WUXyg+dppWWo
Mj/+bU5de7FondwKkh61iqdWBdXeAQqQwyH8+OIn9mPkJf5+r7DMgs8rMHN0jZW9ZMKQvk7WRIRf
59ubqRwY7/CYgbQp1RubZAYfUaSP1NJQ7tgylLdZZ/jbyWL2OEymdpPKtuKSdGCtJVMxXMQ4/RWD
yTfct/ggO8U88wFaFARkL9YwSHLjMe96DwZMFG3XfHLtPx/GiFz+/Zb4rfArB2mRp1qJtBdGZWH5
th5lKAMmCfRXLWaXTVrI9eHj7+DEF2wvXudT0wsno5XnYbB0lUomJrGB1XHexRc1guAzf4Yl8aod
TX8lVVbj1ja1+eOr//mFqNuLIqFouKKw+TYe9soIIZ0hLvW+Eeu6VZSzXui6vSgVbWzU/NykIvI4
58QwmDqkFlRTH/8Cp+79/Oe/FqJSK2iE27VnNaPKpKl+M0cckB9f/Gfa+h8Kkb0oCyDcRhGhBfYc
xdEPcpNjCeuj7xZRxa5WFtMmHjpcSXaYXI+MNJguauUmDRmgfPwBTv12i9KRWylV1qwqbxL1XV5U
l232WeDVqUsv6kYuxXpViabxckv/Xsj6G3PMt48/tTl/vD/dtsXiRkGotf4MJYvzoT0o5UimjZY5
nFcl3DkBftR1gdtgncTWkxmG+rovUbAkFKsLCcIhMCTMFs6Ebwt7eXtviUy6RmDub3vsAZxuRgkW
lM+4WjS8jv2k2k2qSZJ7AXaBwfmXsvPFWpn6cg0FTd100lS6oR0aJLH6qMmURuwbOuZrpN7alizS
CQxMWaKXNYpDiAfJbeD03EgOMxAGm/VaqJP9nDgSbJIQibOGjfAeNUfz7Cf9eKGgjVnT3x83oy1/
b8c6Xsm9Fa/HpC7cqVcw+FkmvgfTebY6gaIElxBsvg5C4tC9DhFGwlJEZ75trMWCqHspHcchLz1U
EskaPz9qjUZ8UulOvJiXWYhMvm29S7rCg5YkVgxrrVm09I77lJ4DMCCMvIUfukrMyWPKw+CTjemJ
KmUtCnpXhXodyGbhUcpDAAMZ3iVHlIdB7T75CSdWg7Uo4SogyoSEnMLzK/9KEort5mr1WZLkXEz/
sByW0XuJ2ud+hwTCoxXfopWsELY5lkTnQBoPCumVn3w7p36JRTEfpkQUsqXUJLiWt23lf5Oz/MvH
S/rUN7Ao4kOUCHsE+uLhltC+2pUm7jJ5gstjJp9Fhp769ItaN05lklnRWHjwB69wIb3Fif103qdf
1LqqGNW4D9gjVWmkXmLOZTANg+La4HB83ovUWpS8VlMTC2Ch6amRDM8K+hQz86pYIcsbzuqQQyv+
/VXXSq01VqNqeiaDcwQT40Ps9J8EA524+ebi+Z8ss4y6gmtLKezUNq6ui/q8zr5uLnYwydjj+mP6
5cUpadm78LzDsD5Pz3599VuJLY0GSAMv7ZqDcPqXQHPO27OYi8ddHcg/RxllelbkoB/zg8SNe+gb
Hz+Op272/Oe/7FkqR5r80cZSVYYKHirslqtRCT9JKzt18cWWReuHDuqsMD1DIte7Spsbf5TyTz75
/JX9oZL9fOH/+smHslFbBHteKXfFTe8zSAkcDAktifArzdGxGFrYVT6+TSdqzpJljumDcK1OMzx7
KBEPxtjBbLuSbpBhZtuPf8Spm7VYtZLjJKjiFcPri2jVm+WjpDrvZ13aWKzWIEL+VFQjX3IpJSBJ
a1B8Buqq866+WK+2iWUEpisffPQJeLez+w5p4XnXXq7XEFcfusvKy2KEJAra6bDQnz++9s+EsT88
QcZi0ZooI8KY9C5viK+yxtrJdoJleatmX/wQVFFxPUTGWibHXbyr2muqPcn6dKmZeLvQmPNf5UU0
JfAxPql7P+dlf/o8i5Wuh0M+JrGwyNlApzgMKxuEiYLyZ3TUg+xfMajQ21urjA9Jd5NlFUpW6mOp
72DFxOU8xCj/zWSI/+2q6sb8lP6yuvo4zifTTHOPzcEWdamGHytuP1m6Jx51Y1EXMr2JCo6Suefb
xjUst4telT6rxCfGaPoyiTOEfofZ0xaeDRXgOzCAduYxvNCcj7bFNHsdS+hG+JJfQ7/7oivFI+Qr
+24YJ21VGJCf0DbVbpKALehM5lZ5p0RrrVD7207Rg2Ne8/fqxrb2eV58jWogYGJQvzFsuNbKMj3z
Di12CQPDf6P1q8zD2vNDVXFbEik3fXLx+fn+03O2qDSTyJF3KWQ4lUN6DWEKRQQHO/g04kUN+vNW
rr6oOT0TJMybfepZwfDSYvEy+8eP1+2Jp0df1BtUrIDO5lAif3A2wonRFhWf3fefAR1/uDf6ouBE
TTiVcAJSr2VmeQjh0t8XWh5fqxJMmAK0EkCaukBXbJfVugmk4QaBd3oHeghMaV+k2x5Z+Bp6nfka
Rnl3hbNB3gYRrcOGkyBaCOWLoQ7q1m/696HSQCn0eW+uhcGpRUTnTeR1fVHZghRgKnk03PwGdoEa
kn9yZrNsmaSDLDrTUuTWHqtoB8Dx0WjSTwryqS92UXOI6eLkmjaJl9jZu1M4z4r5SWk9deVFwZH7
QbHkNo+9oDKCjV6bFcamenfe86j+XioNq7J1a+ojT7S92CgB2dwwID9brD+za/70RC5KgZZJRjGh
APeEte1AfbCroTl2zNoDI3cxu1pimAP5iza/2iPktCC0dHxleJBpzSXKBN3LWGNspX/waOvhFimm
GzghbquQlNh71ulqCr/MFnW7eELYwB7ZTTT13u/KTU13kp/U2M89fwp59u8fqwTWeV0lfVGLellS
UYqnqTdM8isEw1UtE0F01hejLUoQ02gl1pI88aouZ1ZOMkyknveda4saFDlJYEpJlnh+GVzlan1b
tOfVTW1RgHBfxRCnxVw3afnYkJeDIX0474YsykJKgQkxAAoPI5ave+WZ73NtsXHJRZopvTkkntaB
KXaQlR2Q5Vrb8z71oiwkPkkRHDi5el6C/26f6cs9nXfpRV3I8lIkogJGLk8JwI82KXYSjoD1eVdf
FIbQyG1z6NQE7y4y7DpPbhBYO2defFEWilw1oaa2sTemwZNihthJZpLIeZ98sSr9qbe1HqOuNxZZ
sg2QTWtWft7XqS5WZaLL6N/Y1XpK7NSbroelKBzYYWd98qWWdKLrFJhKJECE6FD7s9es4Kj/8bWV
ny2IP9RidbE4/aBIktbMIk9WpR2F+Iplb5iP1FqjtA9yWpGFeajJiKFGI/HfhM0TaLWNOqqrMZhg
S3LEFtIxAPemtdquAlHZ129a8oUrpDSGtdS4UrmK2eDONts9vV+XKJCDplxhPyE8hoc0f8o5fZrU
di0BgtpAD5s8CniRGfu8PXTydi7VtdW7hRzv+JOJx0Lq5QPvj1ILIc5+G/LcWlXNNf+jmuhsEKAC
2OOr7b/J9gOOTVfXbznsXvEyIBjsrRoORDesqf4SX5aNE7qMw/m1kLdzyoC+46eXVgP2p3QHfpGo
uIvFIeH3kcJ3fyz4fr/XLVwjfg6XVOgFY1lyu/iav2YTQcbnMADR2oIWrvj7NhKkJ1fartHZvwDv
w70kOpjF29h/b7tiyw3hbdbJxYWf6iR3yVAhfUxm5UUjbx0/4D+38ztuRPgvuvQ2VyBsDeWT76C0
LJ5U45D0wVXLsUYRs6HIfOIzBPRXglTsVeW5qrHNZsZXbJGXfgYvoczgzoebKcAs0Fyr5pXFACmE
pmTSQW3rdBVArhsmdebj7+dbqJD5waGslbdtZeIB3TbNVzB2rtyPl/i01mmIfLBYJwVuBMJ02mc7
MUHhO/B85XV5ZlPh5yHpl2Nc2DPudQAienUckFbjG9+wM36yHOaH/k+LYVH1A+iY+Lo5RlhN/wVe
cs8EChS8BjTXjaqwAYOBhf3jpXdiA6cu3gF2DkSgQxPiJWFwBVLmQQ/My/MuvXgHlEmJ8a6tE89s
Q/1gE+7h6gOZ0OddffEOKNrBMQGjcY6W8mfRA75oxCc92J+RXH/6AhavgJKhtWH0WuRlPPvhEK4I
CLhggYWtgc18O+946uQILK3pwn04KTdK8/jxb3Xqq1+8H9KhydIh9mPP1tIfzLwkz3fq4osw7eSH
Rlb0jY0/5JN30alfc6lnrkZfN4vJjDxbd8rLnpjXY1b78IUwr7htKw3XmR1HqwDnJIBPYI6sScU5
FCQ+gGxQ2kNkBconr5cTv/hS6kx6ZppWKfnRMu7la/wQ6Q3MwfQ5IgKcqjkGpE6k9XnPzlL6jKUZ
NNIYZxCC+pcytZ/FGLx8/AXO+9Q/PDpL4XPaaJOoELF4CpwL6rMVuA5EqNXsbDrISeXsJScd18AY
8/OOYMqiWuDmHH17SFIPZ363QuDCtDE9c9D4Mxf0lzJnE8QJVGokPbbPv2bYaIWsfvv4Tp2oPD+f
yl8urYVVLdl6m3pzqoFidt/od37yMJ269KI2jK2UNLGuxl5jyY9+HcMbMj5rg5269qI25HFdNXKu
pKC85CfI+tu0bD7ZwKlzZfzTw7NY/Ypv523q6JFXWaq4GEYZQ7VBSl8NK2ITxmoUuFJmM13OpVKd
wb5HfON4aR1DxOuQ7LhdnocqwQWSWEtj2W36IYcFHTjlmqaCsq8gaLt6F5jbhF9i3atKlgCmLv1P
foFTR+qlnraqR3KtCif0WnjriZFscQm6OP5XEIXcITuynxkRVPAvmRjCpGOewFarN58M2Aix4c07
Kvj80DVg/HpqAq/6IiZiL41hJWBMV+4bU2wSSxC0Q8SAvpm3Dp3tr+bdVqR9E8ldW3drDSf6VOv7
pnuT2+eu/eS9cOKrl+c1/8sTawpLLoyY346NbzTulM8WmYq/8M/f/FLQWzl51dMdjb1UKcL7MSra
Lc3T6UE3e3vfwZ7YEJpZbRJFgEmDerzLJDgWM5JH2ym2jO0Q4is7HKK1HDDG6gqZhXhM1JB+hVTr
JJLUilhHdV/d9FVE0xsegttZMVbfNiTOy+m7myE3EkgzSMPKwiAWqFNzTO1mo2zBeCWXfZPVqyoQ
6oVcFexE6jjrtiGaQ74hXXqwc+dOTuW1MSi3YUPugjbA54RtYbjNNKYwTorKtcJiBqNmVu5mWQdr
NYq0Kyl0NHbyI2buFqer3uvTdlQzUL6pFP2Q2j5+scFzvHd5V7yHRVzfTtjYoT06ycaB0b1Fwg1j
lTyAJ8L5gg0rxHIJk8xoLsN/j+JBvvIR8W/NYkgPWizZ61wDnKYYr3GojRsft/4Kek+F/TQcLtDZ
WeUqU2PCa5xgl5TlS2RXHQyXTr+2dfGua2rwGE7hV4e8mSfiZIxL4gb9XQ9CfmvIhVjJgsASN9P6
7jaT02bXN0O7H83WXKcIVFZzzs6FjplzjbaCnWoPdVPk0WMaVcVNLIHAkEjsfuRMZJFaYBfmiw7G
+DZuqiOv61Ujhfp+LPVgw7UzV5FJ+ErGVuEvMJWG/NoTApMnm9Sygls/qaPbiAAIDuGN5BI/960f
YKaNCWVkFMAwOzGq60pSulUCWuVeii3WaaH/QDhE0pYaZLdcFqVHJT20KYLqJBhQCXagRi6iDorG
OEU+bvvYlF7h/6hrLYOLTT5ps9eUUnKDSWu3kbDUdR2E3T5IMuUQ6wrfDhZqAHTNGBzkLLV2piaG
rzLQyLVT6gSMZAOEbAcNFkltMNRIkdnIUMA9yW6z15lXj6UXQdA2b4v4wicbxUXfza7MGscvaZbC
T5alkP4+qBMYAGTV125FbUU+BnGnbRwUSACe4D0oeNpdCH99uoL0Ol05vEOPVaMH743p5xjbU+1V
D/RKcC70STIDj7l1JGDrJOnJu9xX7fXoSOUNLIl4ndej+iCMWsNhLvnNS5xq1iHri2BTj+m4ivEt
RxxKuvqHrBs8obmcXNj47V7AY3crfeR02c5QhlGRkh0sD3XbmUEMpADICh1cDM1GQRxf1w7NfgKr
cqjgyb/4BhTeoreAEORpMbAiGv2ityAwVR0H3pYjlVaS66U+G2BrHDU8VBVsVzEAmysja8Iq4zhQ
kMLsInMm7WstR9q1MrVz+N/oRBctC5OtZwqESRqbY1gTlRvwNtnJvV2Xm7ixxKPSZdqVIemghWE+
MjED6Q+uM9XejcQW5irW5HaLwKS+rFraNTROI+UmDJ3E33fKHKJSyENyOWkGMAi8PMoBFnZ2a5dy
4mxUR0U7ahjisc+MeCdw1Dw09YxgNbQyxyEe2gPJAYKw77yMFFh3OQaqKVQ5m0Ein+5hR5mrAUbP
W21MOFbstBjNdWMM8jjjTjAh2LZQEL/aEq8fVc/hSJlF0KIDH5rvsQTfiAsZ7WPrJDS1kqr/UYBT
Bh/Zzkkmnaq1R3uqzU2nqmLapE4KiUUve+CnJSjsgXBHYiMnrIN+W9yAYep2U5NrG6NocVfpVi3W
U6BmFzFxt8ws+G2ykODeqtbIBiHVcVONoXYlyKe9LGtF2oi8oomZ24S7TMCqCXwago2T9e1RpkG4
HmJT3tQNqrak651VlGnk9QXEzcCWyN/jpplearRxrjFOPtTnaNWW5crP8bJP2VVBgk1ObA6isowH
fiA9SrL2cd2qa0sCejmaDiSAyOh11++InIKoJIevEIAIblQD9U4OTeJyKRX6Gm8BXrqiIbDMAO0E
lA/0t0qmVmu0sLtMwoJSJZxWpO6wf61BIRZhQ9hk5IBv1eO6MW+UOldnZEPzremb9qkndeoqQIq7
L612IErLt5N74EP+MWyijq5JBWXdIHBm3apOCIXFx5Xl6pk8EO3EzIakBLB+TgqxKzKVF200mtcR
dNgK6nx50wBpYaseiAt9IItDCwc6CEpGgEbOOqqNsoDDoZm3oIDqwU3MnO3NyFw+8yG8h1UHP0jt
9I3siOwBBH62D3UjuingIP6IQxOb3jDc2rXPviWqtVt+Kw0Kw9C/+/44HjtEzquGpMBXEev2dho7
6UkHzHHo20L72hLpytMFMxAEJrUNdL4bxPI3JYq/y8K6DWOiduNa0Y5prk+uPnbEaChtT2yJf9+r
vACEDvzTrjPyGxwjXpOMXfDkDS2hycbLpI+6q8KsWdnqkJIrwgzDDqWJTAO4LMjkmtta9LVrCaXd
V3jav6SaCkAGw4RbhCEpJdAnCSiTgNqkCDMBixur1iLPk72qOwr+PNBeiiyGMCFWRMCKFYlpxZFd
zHc5M8F4GTPuVjjSNX756iDQxJK6ZdhsVQcULurWKdPDGFbRTlTz7xE0wbYKFaIuA5K8ZNnOCL1s
rJtK8rutkxTyf1N2JsuxI0mW/ZWW3qMEswGL7oUDPjvn4ZHcQPj4SMAwT2YYvr6PR1VJRma3SFWL
xCIj4w1Od4eZ6tWr9zxOfmltGdcV28JNHLy8ZuHs5UTeG/08oXg1sdrPkBkdZ9cMVkl1pQxiNx1h
Z3GntHlMVrPGvrn0O6X8KQK44+8WJ3gnvPSrgdZGiK2dbEsSQvc+FfvWqaQRl+TZ8pWfq1NdENyx
WReWPWx7HneiUATkJ407bhvbC3e6Tr+hBhK1KGTpkvxUaxnJiqxY9iVl/+wvAUHl1P9xZgEPJemv
2A9hs+w5glDuIC3ue9ILo/y6kSktYz05liZSvJ3YFW37NDzqsnMuONYeXQmByZVet1ldAw42a8v4
G7rvaz17y3qu2pCxT0Qo2IyUXCqX/qGx0zEesh7IoQn/Tnqttzcc8kfbOiPUteFJrlROfgj3x6lq
bBK9CeQ/l0b4lq25f6yla1yqdnpJTU18Px7fI6x1590PgSfkbvHTL2B/i7F5FS0gZZfyDcG0wBXS
r57xQoCW8YnuCfaC5K1T74nyvlpIa/L6kDDcZZd5gXofeIHR4Fr1rTQ86xA0XfLiK1JRVy7N+LrV
CbfwiSNkikdj1i/damZfAQHE0Mrm9Wh3abcjWXKIeU6bDRkvM4/EEMq9Uw7hviaOL2K13iDXfHbs
Sz3pZtfVghggR7MfHPYjwDXriUArysOQjdh2EP4FBlJ6bnO/QHWsnVNORQLLsK8Dgoj6+TuEOCmi
aVhAGic1UQEbA+g8K2rsj7duOQnqmJDOyQiWSE1eedvB2bn43UzNm1paQe+bg+em7wmxTckM+4J/
Ye183adn4uTuqBTt51zrV3AvSTRh9iemLTVjiE3VY1401Be4REhsd8K7PunVtwnS8pSG8scPW3Pr
tNIGJt0QGchCO/is1LYOGbmt+PlzcVM2BLUCE0FvJ1RquSQdjURUl1l3vam7TaP0suGETHhjiAI2
AeUZ5DqL+r2oIQVFPsnt0LllwQlI0GyWh/Dh5XC7dKk4E4cuP1y/yfesNvubtarKWMhsOcxB9YNy
T1ejhuxccNqeFXslu3kknjxJ6u/SE2OE+WKOecOy28WB2JBY1HmtrXu8ptay63NvBTPmhKw9FP3G
BTZ4sByHw9DNXGa1EzhZpdavLFkXMrGCfI4WQ4ZyS84bh2cW2v0u7E13jDJ3litjbjKcsvatMpPg
QoorNSGlCwu5xVfTaaKIlwbmBuBWvlEm8b4b7a7sk9cmNUUf2qQGptUmD8CApdeN3kYs89aQxbdL
5suD4/TLViHL7ma4KiNYQKN6JkqsYvGhQk/ndf9RbaWP0DdBbNu52M196+/Jh6iOXSlCqlxVE1x3
pRGNU/ve+URztxIKrCNWcHRo4iRuyfnARt0QG3pSexAqw2UiduZA5n59o2arOfSjJvQ2WeBj4YSP
ch9kt9KO+9KDkb14Y09eGwaATTjylUpZowARyfFGQGBJCwDVq2m4ZHJS4DmlGujeRI5zuydBxKxB
HH2nrV8D6FFUC755MXkJhNxIH9M5dbC/9JD66rK/tbJ0pG9lYta55F67c5PFRPTAkhOqeMoXXgF6
uTiyOJNJPjsjJD2YaLoN0NX3ahhdZxs0afDajWLMN/NCEHcAF++mT6b1rqTkiMpWuD8ragIBl/Cp
Z7rXZHjWC0SCwJz9PymQ4YNF6DdANfwpwSzIqk2zeSc9/61RUxBpk9QJNzR+XMc0d8TAOIREJaR5
sQtG5By70s9hyq1HFnp1Tl3ln5fGtOK2CckXK0nk58dbd6TZXkdDo38yawszS1vbvxty3PqaRa+e
PoGmJrfuphVQzsZzayIR5fCDseDTKzzdEOxcZttuDf9MSSa3FaTqTWlzYw8DvJWxJRfSVIN5S/9L
JCK5MVHRd95uKTihAjUsd5rUPpgxRNBOebo80kCFj4ttAIrJs3mrjEnGtckHxK4D6bBEejJ7WgFh
JIK9CzdobuprJ+LZKtxC0zSPhhn4W4fs5lMTiHUTAhR5KgMaeU4hWrvF0HUU8O17bIcm2yasNeDz
0YInwXeeagKtzA2NJtmpfcOeGpmFUYAVbzdaZNdqWIMRIM3uNZ9n3Boc5JCl5U+aLmOkRxDT2RRY
MbtJ5Y7kx3qf10rvG+1b2ylnH7i2Z3jEem5vtd1L0tuH9idrEvkG1jg9c1GKl6Ybi6Ph2dcmvXM3
hAtTt6dJQjhsT8+4quZI9Ndy24QlIOQSJqID4e824U/dz6aG8lyILrYCzI/JNZisVaAKWDCaHpjM
8uY3mXEYtL3+WTrHj0lUZGTbhuu9XBj66Lr6qkppPPilNrZt3/gvwVolh5ai+9yh+W6ClRZirsiG
DOaVqsMJ5M7N2YxiRdZ7rlpye9fSTR50X/ex9th6qChPqO3LTII/s5xHmEDE6eNqOqbdSrrk4umX
pczTvUVC3E67ut/63fQ2uT7LdEQUMjsUAeNJMRxGLiiQXFKdEwYJG7kIAQWXuarq6uBmMFV9GWdo
EqMPpZLSMtWHxcJoUFfuwPeirvcWrFegmVq+2RVvUy08gDGFcEk0UB+JJASRa6B6h+057GqIPr12
72y9hPt5ycqYHLD8dmAJbyOayb6HrX4PQsz0ibKe3ZPZZGog6dGEW0NAZ7Ybu+DVb4RFWKN8C4iC
tM18BNizftN3vZVZ8l4MZfVDrjZpakrEUsxmrGYFy80npA4YyvxhJrDiA5a/twUhhpFjE70/cs89
M4OGCIV8sxtkW2ybbNasAml5WTyD5SODRzn1x27Lw/652FmxQanweKbC74QMMAQyuIrWSPeqnEGe
kLceCrx318i9egucBByWPcKhKqmKtiojwKJUpffc2719ampOK7eeDsvcqUdrnY1dKX+3Jl1ogJFy
X7jLPU2RONBu60hcQ4lU2fzKs/TOrTTf5J44YFLn51/jYIo/sJBtngrVBo8F8+aznRv2Y+ZKtiod
Vb0CPHHvk7GHRel0pCATybiF4Y63vQCaiVxigXCjLW5MwjEHM3wb1HrrZO45cZneB0nZgHq2wRg1
BOcmWSHjiXCWlwqR4cakNP2TKxBMoCLygx6XcDPCty2a/IX3jPw0t/1TjlaHiBSq7VSBbl6a8XUZ
gycKsnsSBGiWLftThuXzWNX5EQuviECl1EBRPdAXa8JVM09oD4tzS68ybnhYboCcRsmU1wAH1/JI
6ndjbYQp8hsljeFisMmDylDP92MZLB+g165FRm9FIyAkeGt93DUe6JXwEqrc3RS1IYDWJIrfQw7k
qhaIAj458YRmI3GHKnu1wozc9+AylrazBRrw5nvei+t686vD1/Ugraa/+FXmPyPwy51RZ+PeH8ns
7ask4OP04kSpfTME1R+VKrjFvZgINnXM5pT5JWng9Wge3MbxI5oBqKyLT+jvVGM62XgVRuypBcsC
MMmsg2Dr1JL4dmJRTgYky8NEFw+wXgKWJMUxNrPQPVSE+gM5qrwd6aTwe0nW3ZbUQbFvGIKkTHeJ
rG6ufnVZ6J+UzZRXZfAi8jq/Xe1h2QiC846YR05me6WhDRkZ5Na0I3R1uZB8aTyQeZ+/ODnvOp90
eA5swIIqHKkCDPtOBBadoufxeAUVKWA1HSTVwJc3NujZjTtEVzI555Yfd1yeN93qnlXSXIQlLcAW
HZaKWvdAmcgZTJzlUy9FFlUtRYonIHc3c1XuDbfQVADrl3/VnvD4PYlehVE7kiQoAoKmmSZJQjb6
L6vv3ozsakY05a2eMfgx5FjRRq2HuazOtpOQSpA6r2slCGtpQ3J4xaWbWBGyB3Xp+x6mDF+TDRHW
l6EhcL8INQQnbX05XG3d3JJJXsEMMbVBb6A+NBqKQw1qzcmD64W06mu1HMyql79AbRj4IOrsrqWh
IC6ysc9EyXkwAQM/8sPwGqyencRqn/yBSa5t7TtIiRZap7C6l6yzg3swK5BzCFE+dSH0b8Omz5uh
3TJb0FzLgRkXvq92ph8eZUYMcQaOBObOlXrgkbSOrTT/shS4otZ84RvBFWhICQxoFBvLNg/TSDYW
STXUegefaMrVTD8HJzl1ZXMLZSvfVMZMHPDDsPqELc57mcmOocSEx8Mz0jjw/H7nuvaBMOOKkPNw
s3b1te57wxRMRHAdxsQVn8yletRrcgoCA9BrRv5+R5n5UBbrtnPC88gFN47BbsERnNarJqu1Bv5U
9Xd561x6oyYGslIvjEzvSdQ5W8n8MAx8+rULkMkqPDeqynU6aD3dpxigNk0uVbx4sr4virDZTfOq
n4LURweX61ta2+1OGp99m3+uDmq+S8bBFTaAeliQnsocT+4C0UNdqNZTs2h9yDI4azLnq5JRpgFh
C8v2Van8uWTS1Y/ipXTruBtI35+N+l0U3Xc6lPinuSySurSuu5gXyUUPtcu6Mer0kcFKtFbrg02Y
6NG2gQSMNiO0tSN8Pqiy19lQP7l2DkSXk1kawk93+0fkgmKf+1MQB2udbdJZX+jpLuVkjgDxrMOM
+zUqiiSLxBAWN9lsGrci4+Vb07p1c/Pc4V/m6KkK2K1Z+LSOZoZ7iPeM/GTkT9I61tEto67zyDNV
T55a6kjJhLCosIpDIFHOlLUHWaR4Yu0KRm1Rl5u6VOOvDorL1s0SMg2G7FJ05oGQ9zd2qcztZFEm
UeMpojCHMNJlgvq0zDdti2XXmn/37nigkDSIQK9AyeRffh8CGBgzhfrVH4K53tetfM87eaE/P3sL
d38yZu1zYjnnTvzxPPtXY/Ynx0zjfr6jNIgLiRjih4U85/mIFxhBnr5mMicIIfUgf9V+/TWAoKTU
LXa9I9+mZBRndw70KRhR+uy0c26gXj2i4HobjOrPBbr6pp/W0zD2I75Ulp8NazIiW0zv0uZ06Zzx
poBkD9Xi3l2a09Ck7yieDai4z7BuEMAIo8Ys321IWL2YHS11Ly3rmPX2FZAJXq8n2Fuy0qKVfUc0
KPG8PYhNzqb82Ck2NML1VxWaA7DWdr9gZ6lJs4oUE7RIuG3H98x2TysMV5jNRJkAX7m3JvraOfjg
uL9JnO9pgGGNmZpqT63jzSwIe3bL+Tt1QwWRkiNicY2fwjEOlu13RzZTjrQ89RF/V86ARZW/p6Qp
jZO2lsDbsxSTI1+vqehj3GAlc2yY4RTyjtrQpr+0RojALAIn5cgUc4iDTfQfgz1dKTHLdbbpPGS2
foEZzQdNzjKjA2EdGqt1KVYMjZ+nDZFlNdCCgrV1o1O3S0+LXnVUELT7xTOq/rdRGu3BYJe0I7c+
LosWGjbtLzjATSFZzsxM09s62n9HEPdju7V+hjJ89DENWjWRcGlWjhGiZrd1kqbad8lvqWc6HtXE
0BMG5Mfi12LJIHLLCqjLBde4GZnwJYuBZxaSVLoR4LEMBlu6bL8V9Z9pk2wmEqujkq1xxi0m8x7T
3RkY1WHDQJ3z/HMJIL1Jaa6AnpUs5lRnzVukFxUJUxI2bYJK4pey0wt9szSfrteZ3c1nZfb13ezP
jyzIbDNn3AtX/RKhFJtajOEf8j33ps+Fl9AIMQn/SiuLkPVp+c6LYWOCvvgyA7Ak/cCa2kIAmlHe
B336aHa03K1TC0aRMLD8ZKeDJt8uSX4gehgcclVnN560831oj6/T0Ito8esbJpsQLGaGI44mziSh
oEad+d2UWOAUd+t65UClIGWllb8jdaGN+VlBHh7jNaW6eDBAOTRA2X0/Wzh7qidjLp5Nz+H9GW4d
D1tE0n6MfD+joRufA6gE26xWKzum60dnhb8B73zY4fCbyeK6NQK7jax6rmMuGD+C7PSkVvtCxr/l
9gKZ1MsPLl7qi5qKcrOmI2SkOnRfZor1rTNkJ4tMvLgOGGXkhtM9EgHvxe3YHCo50jploP1qG108
gWqwMayu/CPn3ova0vzVamOMoQm45KZXVeStWNI6hwtK2HX7qDIap5RejV5y6X/RBT4mZEftgXpg
7BRzwam0uIcgMfpICt1GpmsVB1/pV68xhlszkcl2DSwMqPBDdnIu5qfS7YpXKJwIw242PAUCKS7L
0umGeZ+/NebAfxJKi4e2Ue9d5i7UH4FFzEHWrPdzM0IW4NJ8qgxpPnMTOI8ihfQbAh+CljqT89OT
nm0rShQ/E2/mqru9qIaa95qzPDEn57Fr64lYa0pVssrBkrPfoy4tV+AF+C4ewmFpnp2lcbeelz82
AVBFgxjaDV1JHa+WCh8mfw3OdldzkpA/tZGu/GSBtd5XFMlE1E8EGFgMr/Ad2HsmCwsDZ5i9a1c9
Q18FMWg5+qHsPRDrc11sQkVKX9YgfoP5NUZjuNGUBme/FTIy2FY4NEZSxIWlIBXBiT+sU7NbLb69
S5YbW7930jdObMCUavgAKe6BNgJTw1KYQYK419hb00+7s1W07tGYbXsL2WiJiF84l5U9RMRlh7dl
GtoogYli1YSFuefMcuuLba+SVBKyKEWxPADiYfZfmKzZOVZONqOXc1EmJOWVuXOHHWF+yDrj6rkx
f5yRzwtehfPsOnUZe8bIuLFXazxXxq9uZjYwjWVPN8FofgqTJ+G7yHaag7ONeDzANkqVLzH6gvFC
VgbC0sxmM1+gnOpw8EBG26o7WBrNAHXR92IZBOt5zngT9eL1xzSZ+CaLIEztGIYXY4bBlc91MSyn
xjPauJy86X4SV8nBnQTk5rKmkIIPOSnyMNdlCCFoTc+oC0RsMzx3Oc8TdQCtFN7Oa5Be7BFkSjKX
uAimqd9r2UEABTsN9sAjHat1ZHIzj3N+9GfpfHbSXeOVwPeLBNTcQ5JlkgXwgEvBy7L9KGlFCiZr
e2a9Dp9ZW7ln6SYSGTYJ4L741Z9kcAkE0pVFgYh7xMYXvprJbxBUxdEPPfs4dsN6nGzlXgiRhnmT
+Xn1NfFY3fGLQURknbm++noks6kcQZT5g/komrH8cAvbOYFMpzvNkvaXG0zOb4ZkPs4X8ME587sI
Uxd3BYqpG8t1yW5QPtNoTlP7tg76cOM5ZoWC7COmSvZeL3Y9Q81SUFtbKViaK4bh2KsSOW/RwZ7Z
s/Orr0zrXvOhHO2xHs891c1zQSX/GHZ5/yfV9gL5j9zx2KzM8Tpsw4VvYWyRI4YZa+qMeDVUdj8j
mv24RlbtrRW5FdhdM+kI1jvCd5mEddzkRUlITGeg5I+gfiWkpRtM1QC9FGaEjQV2+LTqIr8F3Lj+
cdZ65BnpyfDUrfrszY7+oqnDQ7GYnIwgPPbkrLvffOuhPKRQKHAtBo+rHocIfv01yp9UqAU92vPe
U3DVN30f1LtCr7T4VkPI7oa5rMtyVjPO2X4RGa9hyvwhBlnXXyZnzu7HOrUuYkiNuJKi2eZgV8HT
MrJDDA32HT8njhxH4Hrr5uBTuX6FbIxwLRU0o0jA1DYQqG37w/dnsFFB3SzfSYkjtGCiGxlpnX5q
Q0xH03TEs+jKfCBYxp1i2x5m5jUcvIyh0fhQA3wTZpUbIgM2QfeT88218nq4zQUfJmY4N/j0mLU+
MBStP23pTz9NqNGv8wSBzQ68+7EXHPTdnP7Mvls8yrESsVAOY78kmU5QQkUE/IFJjuXku8qlzE25
7i+lO7B3s0zn0nf6Y+m7GCbmwu9+rQ2XT1j+zlKRDlflpjwYdjdFU9cTyhq6yaEAVDrhbQfUvTSo
SgbbAs0UsN8eZLfMxV6LlpsTGBvfEjN5KsO8fVn7Bc5giqrRbKuh8r/cFOzUYPCnw00oT6HNOZyD
xd7ZVmFdQK2aEXy9EcMZ5p0EtfvTNML01iM4aJMCLEXtBiXI7FfcKccl3aTrAev1XQ8Sc5UcjNnq
fcMx0Gy2IbbkOTTPMIDvOlkUaumUjsWmZXRy3+DI26nBzp6GocUdIA18AkA7kOlqzvurZ3s3AFLa
OZrXZKi0ObasqsZZ4Nlbo+jo10XjnOsgyT7zgkmkmZW/0qY2NqB4oBOSB+bJuLPq7kOkfvNr4o3Z
Cm/mimC1mEw13D+LxlGzkUZd7Lts+JwKQHqD23/IQMx71qaH+6KbBijYoX2wCa28LV3feRXFOBxc
uVSM4hz0qbml3B+8hSant3ZmAzhP6BKTh1dOUbW2GNVgLvFSqGi7Zvmwvb8Qs1OyY5QT0D8HYity
4AV1bhUY8Rkar0AbdmFgMDSewvFmWAufrXsGRGlC+rI1OeOmY3rzB+y7Ro+GHqXw/GxkyTrLCr1k
7yQzapeZFjep8IA7j46T7m3H5Zspay/2h/DVkwGPA5d0+Z45fX/XzMGXP5r9xZ5STobhyouHXfnC
wa+3mY/wOT6b5D89uUuLXtA3zjFRwBrcTBTnBaHsUtuMzsdaGxFqz09V+RUZVGN1maa8o8bNieOc
pvFpwprJcN2bXr05yZlymgw5SAdnF7lArXHqZrhZ7WKJrQRGKVFGxc4vSeCzCaW689weAogpjrC/
5pi2rTrM1WC+F0GiT0s2MVMW2JbAVZgveW9g4izaR2qyFtg1EPU0yYy7yRtA2IpAxJjTLIpCH6NW
CzARBA71OlyPSKUDP36OmxNqyYdKpxUvkO/wbPT1VmRNsx2DnqatbcNb/P75bhSU1AYj7ijxyz9Z
0AZ7HaJcZZlZHRxARQdu5OHscxc1jNsm+6ybCXgsQPFHaS+ASZs52TtG8pYko72fs8K4zJmyP5Ou
51+7cbkUQnvHjA3tPVT27Fj0Tb9vG50+FjPiwEZPnnErOz1Frnb01whMsqGzdZ9CkKlEDesVa00m
271IVmb5vf4KHIV/mJb/HmTI0jJeDqyLl4o8WjzGUp1juScXnw+o9EH1n0WTzHyEimYCpO9Xoaz6
DEPLvyeiE09+YbwBYi8vY8ds0nbtatslqE6G0CPwHGfaI/0tt2tuqDit6joa13F9c9KMYcHU2xfL
XTMyfnN7Dwik30294x5J47TjiQviXU71DrMb7PpGo59kkSuxWhimekRNRwsfHBdkUd/dJbNVbKXt
2+mGqbaI+aj6aKwyzkTLBhvNMJKh3dbVUu9amF04iI5Mw+MpWDLwR0N9gj/OuzWZ+lmXS7c19CKf
5YpfTKS2+goQqlDe1v7ULa23FQvELpQNxhAUEs3Gm91Xfutw8rh44bTaXxkGSt7PUe/9RJafK5F4
L5NbjDsOhuTSK52da5yfZE044dZf2XhYrGL8tDBXfBjuEPg8OUMSV9p8VfxUe95d9zFJm/4p9IMu
27S9ktuuWbs4meH8zka3XeDTnC1Nypg92ssTO5IL8XGuE4ulrB96q8UFVbTY4e0uyO/SMPAOJKFR
gPeWOuFemB/XK5M4n5cx1nYX3gxMpn7RL9NmZmBevqZyMIuYQW+7a5noHkJlj5fc0ssdbfSLcKpl
T44qMHErVd0ltaaXdqW5tbu1i7QTfGrp2WfgNemVb7xZmD4WzCMxRLJo+Eh8zoeXN19BkuboARKR
lZwGtAu/nX5Me2X+U4BI5VCtx5iGFVZwRqNBUJ/52xaJs68aLz+6bdiy1cbcMNnYaeoAyB1siHBV
xf9dlo1xWGCpHgLHFyBE6w9jWrB/rsTTHfxQQlGVC+aogCVH0YLG6+u2ZgjrPTiFL++tpGHMJWT/
sAzr/CwF+XQtIzu27RibZ1Ux7Yvc+CjnII+wY3kHr2V+UlxjI/cEJqbnMoBhzGTUiZ2Uw4G8Ud3d
Yl1+WQy45L3blseayMxIA40ENO+9e/hXzrLSzpsX4EnJM53twjl59cv5tyS3Ly6qyt3iimAPsOEr
1SdO8tgUwcH0bifA0Jkv2w/Dr+RtF/T1o9f7XJRBH+NgsVZpsDKYrcTTY3hPGWBs/NK4W8sWgrnr
/G45kCNu958cHuTo7dPuwXSG8daGfHrrs5i4Kj/dJvCytkGahTdmufyGhF3HVqtRfIc84O5SNbct
4l1ZCfqcunKCr7AjhA3mOJaqbHX97eKYw26WHZF8iBXb0cP/OYQY8ViyetOwBCNaAPJ2zEQYMX5f
/wkkfX8H9TK777BBvMNtWn/spamfbRM3hhiV9Yi7o+AgUjWiuyE2RqrzX54xsPGJ5Q9+Jf7GGL89
Bk3DPiTKaE9GSBsIXtsuH8ZyxlCEcNsx+0tE9zu0WY3Fs9NuW5xYB4s5LBZtSU42bCWcwaUVYYHl
+pgad7+wlsqcy2jvM/S54xza8rBAeWTCYw0XIsE/A9y5karS+ViWkw2YUCXM3tN0elK47/Y4vrix
pjIBGb3o585sypjSfjm0SZ5GFoL7JZNmGuGdQPbRdDk+Q5XNX/m0iYE2YfVjebRMi0p5TJDbhGUg
JharEd5NM+X4lObhPsRy96dj0kpTvmJ3snWxHbSsXzvfbRiIoLli0S0Y9Ht+Z/Pp56yjpzVf/403
0FpvSvqMm2IZQECwcilx3vg8J2s67Ue/fxvpLH4GJP1b5eYyj1NfBz+iDrCrKTw8QdYWp16GTzNH
58VkH4fSStZP05U6z9YcKuWYL79D/KmnxmCpsC2QE7XHUk6S6/xFY6RCoNLTeexbjBFJ2Pg7kInT
xgIRxI+ED9hYwv5mwL+KNJ9jP0hL8SjMCouJoe1NPuPuo2gx963dvSFGQmhr4NuuKUbyNdN/SBap
fofmPN7SkycvFTrXPuzW5tSsxczVJmlSWr6rvfSXAx2SHVlO1Z9CVctY0Si9rnIF4jDokSvJIlIz
82G9N8Vw0v3ESoDI8XbMtqf3AeDW2zqpw0+tUfl6f0i2opr7Q1ZQ2DS6mUFYMPE4rZO2DyxuaOpY
n9ImpGXLFjyVc5GuOXJx0L33nrtuZ47FjZ/L+SIk64oUR3528KgkwCYw7XQs0KRw2sbv0TZmGblD
07whX1eP84ANpJHAIjtCkLbCYfa7WjDAxlpNl1lhriRalM2Zih7lCvhiJlb6j8LKnjKzS/ZmnTOf
q6x3jDUqjwruxcDpkwO+2WZfT4l1HFuBo8tNnXzTpL775ECTuyw46HgM+iLqeKTQekAFThD72LPy
UfYNaMATQcK/eN7z28TFjErTXL2OIbkDG3vyF/ScYMi2oXKmO1jz6UfKf4/yQNMl59yjTZsQ5rFI
dbIqOJsDQcHbNkwB2070/aWHypGSz0auFccv+v2Th8E9JkWTuWIqu98D4Axag3w6pNi3I8tY1Flb
gO06ORXHOgyGnVzD+Ud4Cc9DyGW65yZqo4ZbnWHrBFPDGDSbKUO+pluWcjiiB1ki3aTLLyCFIkIv
/lpNpbbawWlpOumSRaS3GwfX7z6AzjPGxHC0xchjU4CW6cSmCBQOdFMWPUQ3/5m8td2kPLA4iHUW
55PM9h1P4a2Zr+wcKXN8Y4RcbpuCvdCV5vVoLoF/Ktsgx1mQ1B9FUb5ry0T4zDhOXMFqR9Is74bR
rCzIuB4O8cGIWvy9jwV7DCzSlzzOiye8AjcJyBo/VTwOLozBv5Yd/78was9NxT//Skb7J4ba/ru5
/ay+h3/9Rde/5+94tv/4e6/Qsv/9169Nv5vrv2xrVKnlAWDJ8vg9qHL8O97sv/sf/8f3X3/K89J+
/6//iaG5Hq9/Wiqb+p8haKzH/XfwaU+q/79+3z/gaaFtwjsDV+FAkedP/Ac8jZm1G7gYuBEErwwK
YPB/EdKCf4Nf7qCeOcLBS3HdtP1PeJrzbzb6CIKJ57BJFBKi+Z8///2/r1n+O9mON+s//v3vfKR/
SY1jjMRLC3l1rnBCNhLMf9nK9HC2pDAe0nsYLct95s1lpL2q33hqMm4hIjZMHzkZ+wB6tEx5rDdG
O5YH6EDjxR/KDM5V6QYbtrmnm5avf0ztDMopCQVgTpu86f9qn/uflwj/esHQ0VxXmJ7pC/NfGTl9
mwGqG/v0nmUS4wFTCdKbXahd2dtp5KvqrZtdtN86ZPvJQFnYd2Tu/BdL//+8x319DXj4bd4x/uHj
+ysa8G+7kiOWqdEVxA8Zue/eJauwPyttdUesv0wuKb6H2O3G7Nffvlv/r8/quuz8j83Z61/LB2SH
Fj/59X9cv0l/X9HM5DxA9x3+D3Xnstw2sqXrV+noOSqQQAJIDLoHvIgiKZG62/IEIcs27vc7nr4/
0BX7WJSP1dXRg3MmO6pctYskkLly5Vr//638Jqiz0D42WKKerdQ2DqORhxtoUs7VVBT+A6jb2UTR
5cJYuMWkFNJ3Lw4v0iFTt0bTewmuFz9bG04lPhiX99YZfvqKri6U4eg2IxUovLz9iqln1mNbZMlN
447ZVS8xrQRuzQRNG21beamXjthiGLQOZhcMHxGbTu/+7AG5ynEMW7LXHOnO1uNf3kutV5HpuHV2
E4TVIdKL4IGZvGQ2YOuuNRrhO9iEFEqZKcCAUCmqbY2IYuUmYbSLx0Cs/vy+3r0uk41rKF0AjJ0l
o2eOWkjqk9vZNCikYTaPVV+VmxGXSrpIqwFH8J8/7GwYGU+eTyO+GMQNmxdwTljTrGYwGFUsj6gc
YWGFRd09kZ8Fe5XWw2tquQ2WQNwBC1PjYtXCBFvjzOquSuQtijsKnC7fKi98PDQrqsKgYoVfYUrR
/Xozi9Uv9THoso92M3Hs7ZI2TQKjFKYLLsex1dmSnizX6i2jFseyZZjjIqJIsKxoGV1RcOIrZa6N
jLWozGbv0O9+cKT85hYs65ZuxY+mt/udkbczHifOFnatJQ+dqJvHDx7tW8f66dESGpUkOiIt4tu+
XVaTmpjRG/Ml61LvsLpRyztkTpxdSJG0Gz8p3O3out4DY+bEgSZdT7snXKU5SAerC79bjG34yE19
Qi28Weo8OPiayK0tJE/i9M9/Wep8JhrekppJPVnWvkYq+gitrlh5Ye7cQ+EM98zI4OJiRBPqoiT/
0jUdQUGjC6L0yLzXmta8ivKmebRIcl8lI1j/J4/tdL6Z0nD4pmfrH/sho75Q8RCoenGgsJLcWJH3
ye0L+vF1TW8nKpJL3IH5Xnd1VDpF/9pNttqKYmqOmh984Gx/F5uYXKrm2KRsYqd9zmTwyY0SKYGT
+gMTiyWztZllEiIjJzfSw4SLmUu52cmk2gGeNz84M96vdJa4rlDVEApc4xwwajcJcyoIQjdVz8CA
RRLYzaNKlH5w8B4unYaZtx/EnzPSAusWXSXLBI4Fgdi1zwNQEAMaSVUb3VphUi3bwJcmeW2OZjfP
kd4K5sBxTBXY60VznThNtUwYfnZTZa22doq0eJ4yF/lE5TCBpXZRwg0IYQJnyq8b13Fu46AZ9j1K
Xs8Pp6fTYRKzGR/+vPtO0zV+XemscsfhlLUtoRyD4PZ29zmocBBtjO0R23Vx5VZGubdkiXiulvdj
kySLwhcxvqQOvT4Nifi1jcvHSkzF88jVGNFs3VhbO5TRiiYGVWDKpMGq620aM256nUfZ5whyiVp0
Ip6+6EObb7iVVRj6VPmgArP/HiPsv9GE27/mkZ1vXTuc7gZYBd/QxYPfZOr1gO7XGr6kk2F8isnq
afx41h7//3Cpq4pvqErz0hhLFEJUKy7KvoPd2VMzRdvjHj30Rmhp4Hk2o6XWna0VgoXpppu8B+mk
3DF8wbwlK8ziSSNxLsbhJhwiPiHS+xvloA+ZpuJJa0znKmq4DnZW296nktN/so6GnCLKd5O7QOKh
vaSILG5r+odrO52svWoa0W7iCl8r8g90Q0YT/whcLXtkS+dbvykMmhRDlz+iyND3EWXAq6aNplcV
GOI5TD1nS+AsoWfhv81Kywg/WMXn+0YSeB1BLkGpTzCj5DxBdftsjNB4H5E8iIM2tM7tYGXiEEkr
XbtdNLz+eb2dqC+/rjfT1B2p25bDoW2YGNXfrrcpcihNNnl4Q5mPddAVZv86yVYcdHeo04tA8zGU
UkZianlpoEzBW78wrGK88rU886/jzEhRB3Zj86h/nF+Jd+kvVX18XKZucBV/f2BaWmSF8LLUkXM7
p8WfTwfVG/WzEF24ObXEVUs7zJxks0+iSNvlIo//4SsxTSU4d+j0muxKW5dvn1CVB7ml97V9DJO+
eTzFkdNyrJHYPaOBrT84SWa239s3wueR1tHtRIlpmmdJ5ehHmiQiW0fgBdGlBVaAzRrm92mSR/0i
NbnsVjiuk3kcpSUt56Mk5f35r4QQlq7wTbn8+LMlqFVCd+1CWcdYs9otNQP/MlNJ9lrO3jERWSsx
GvKo4+h66iaVXRujeqhduFJR3NuXPpSCD7LsE/bo/IkIiyugLThLhH32BkzumoVZ2PZR4/08VlHu
s9fNyD/Nba/QQzg/pIycZVChuYWef9mWMfNNgyDDNmZQH8VZEn7tdb9/ZeZG89G0od+8MJ4Sj9pm
jjUn3tnXK2hCaL7pqCN6LCYHtpXMt3Wb9q9RYOTbWMTDa+MjF4M+ka2HYdLsD1bob7aJsrgjKktY
guPvHBfZDLl0Q4hmR9VF413tz/7vKKbMM8b73GqaferTuxYY4S7DYUg2sS2Lj66qp2vg2VtyHGFZ
zDln6t67BKhti9yeIohHrtXuKG9m15oYmg16bucmYQ71ZzX0aGwq9GcLo5Mw5MPb2I7bvcngmWiV
VDFqDaN+aX2q9ZToQwwkoj3amsgXJbRNKDGObnyw2t/dbc25FiG5Q7FdyCDO3h19X6kh3oD91ytr
j9bauW25l+5lYXNvdNSIx9ZK1O2fo+55lOf2oqPLMFnUyuavz7ZYivmNjpRXH5EgcHC7CVcYDH35
FmlJ8Syz2vogHRNz2vD25ZhzCKXuYVBI4Se/DWKNI9I20az+SFWDxDhmqM0uYWwcZnPyopy5zSsr
DPGe6063aKnYrgaMthpOweWff/pvDhxCGhkpi9XBzezOb+SXVN5DS8NkFzUcAx1MYaNq96Jo8YZ3
nh+Yi4rc9BqljLfu4zS+arI+RCUaIsrtcgf9G17maYq6zyr8aJLg+3yZApM9r17qTbyes/ydcVB+
QalDPzp2H27E0FU7brIBvt/cfhY5BhDpjmLhc9m4/OCRzGfs2cvhZDGJtwYiP+P8Wiis1legBCQ8
icJ5LLouodac5dmiYmDMK01PcZCUaW9MlOFLH5jnYmIUak/tFl1PHOjFasz6/nIIxvxS+U4zfLBJ
3gc4loxpm8K0CXFMkHj7ykq9RkFUzkHf5ARsSbyWWdm2X9jk1VUwT0x3pjjoMC0KCzlvYn/94AEZ
7x/Q/GxMR5AXmRQQ334B3QbNjr6a4lPuap/qMaWByrDclTB8gNVVE26cUoTXfqUFuDOi0X/qfC+C
fkga+wiP65+NPPpZffj1+5wl6UgX0y7uA3lEVvIZN9hOuNGPD37zbxYFZ7DJk9cF2cD5olCiiyrl
K2xT1RjqSzU1LePUh3ybYfa+av3Ev4pi5k5kOiMW6KBbl/7UocfvsngboNhul1ztm2855IO1cFv3
g0V7ioxvFy0R07ZZsXMF6t1FJYga4F4opm4GDCcb22qLR0GbZNtjJbutM0GUoQoDJYeLU7lMAytG
ztQFuA3dJr8Zg4B2ohYlDmMk/ORplPKepsqwKKygLhdpC4lL4yqzp93bv3q9IA+WzJln9ijgjnh4
KIe2xxDPMDx8w7hGvKjc9zp36VXLZSVc9H6WPsG8SRgdJSbjUdenBmbEOO1phTQLv8FhGUxu/oy5
mq8a9cA6FkU0itUUh8ZllYfj0fWz/oN8+/1WovJNGdthZArZ9nkymXYMVpQD540Me/vKyvQYrszQ
fQ6kIXAnMbMkyAMBMKZIUUfX2Qdv7Xcfb1kUc22uluQq88H0S/D13WRCdtWHN7UWaDtEl/FKQDvf
k7tXl0Wf41XD61BecJC8FvDtb/68qE8DLd4uGneuKlHrNykVmueTN8fOc1Ea+ckN6SOroguwapYu
dUW4h1P/KpSEbzAfhAATxQEEQPZDVAonf1YmXFpzao+3BQUzUF041lYNhv9qUbS1oBsKrHMxMgUe
EZgX4JOkfVhutXAQh6bUw42PBTRZCKgW7RJBWj4tSGWqe08bxk8TM5LARsFEE1jVmH28Cq2BL6Wl
89UrB8234Bwib8mmhm5gWnXiwLw2fVhmtFoeLZe/P12ZYbdZe4Q86edA78rHBmXvzkbNsQ9ORWq7
0p1bSPjFcxrOdb0/P93fvVxl8IzsOUaTzrx9uZ1Vm1lfWfGNRrsCmzY3v5tCmP7WsEKIB8AwvjLE
BRmFOQZrbfTlB4vrfS7FpdWkBobSkCP+vBruYzkDotmLo1v0ZFBZWDx3XsFbSQIU1aNjVLRVKd/9
+Vf/JvnlYxVDn7jG2u67FM4lSUxm79/Rz1z/q9GCw7DaLllyktVrzZj62wip/r5yC+fWNCZs/qd3
8T/4Fsq0bJcvIyVzvd8+fDfuB18b4DnE+EsSuCmqRvVpB+vIFv6sSviql5P3gvkYys/851nbfDRc
4zePgh6ZEJyQ9Nlccb69nRa3uzkY05EAEOzznNqVmJR8jUMpDo7X50j8ksPUJ+EKHy4Xeya9bv78
IE550tstzneQhBdJvkDhcV6lv4QYpxcFKmWpHweyGpAGts5qn0vFPrKGZOFhkwE+GMf2RTYispNB
Ke6HrMy/520YTCvKwMUz89uIDhAum8cYr8VW66Rx64Cy3FtzbuyHXb6thF0jf+hR4iYjCgscf0l4
gceYO0LehGxZ5RBITq0fJo98uNt4rO/T+PniwBsXLD3TPm+MJVmHqaXt/65KJ3TVD9Ipwg2qY+cW
hoLYVwwmWeV++RIhTr2jIqVuJffcPaMayLp9S25C3Rivqsy490NbrgcNwlbuwnNMLGuCuyL775j6
zQPag8+V2RFchqnHa8cALBzt9RNVnZnEQ6f+Z/1mGEzzWE4ICFedixEeFXyJvCKQINqMYbwDp1OC
6zMA5ESTjeRoLvVQbOCyo+Wmtaf6FsPQ6OjoT9q+a6Jy19ZYz924sdax3mefy9QnrKggW4OAyOGz
V/GtJQefhS9YWzEWika4AusPT1/jVW1t7Kw74Fjlw+gW7Y+pAXiLBA+xZ2f41wGdjo2bGBMCaw2C
VKdpXxFz6Ewxm68mJn9POoz3lUCfWx0UoczcRIFTXnuJGjYkhCwVUj512/VZvlW0Km9LF7ZQWkAK
mmJvJ33nkw57g4qF3Pi6D3xJK9rwNbdx7p+Kvt3UEOdFoXYgCKNd5dThxqLcNaRRcBGj3NxBehiA
thjlxvC6YT/1BqK4+TSK2q5HVF6O3zMniA9hRGEqzTxqpGnS70uzrBmjJbVPKuu/Z1PsHhgzFxWo
gDzAjR5M08BMX9K4dXckfNpF28QA0SIRHJWLBy1FMoiksA1HMADWjUiiboUw6iqMNTiefSvyLb6W
5jEtze4OKB6ZDA3uJ0ckJbK+WgwMwAW7tDj9S1JPIAIGlXVfiRh8UYsp2YmYhiZ7ICnV4CY/uyOw
VQ18WCRfVYODVENf/xxEpbVNKQjfMPNL35gW+sFFaWEFI7Fr04U7Z6bhXO84pW5lW/IYTi8N5bqx
9Ogdfo3iWF5z1XM2WY12qO3cDMETZevLsYfl0df7pvDzL6bXXSedcJBxK1yXVuYtaanYVMCtdOFB
Dl8luudvLDk2DwUASAw3lnUVWrXaVXEyLBvwKovYKGvUcDKN96fTCHpAiBOonEgltMx8oDVSXIsx
ZvKDVNquSPJkjetGHkIjzJcjKdnXPi/zmwwk/da3tG4VDiioukwAtA37YuV0frNB9O/A+HJhuphp
7V6XmXvXgXC7ytxyuKxQ1q5CjYnuHisZx6ePILuQgXjGvIGNXB/hNbUpEt9Vg0t8KaUeoFd1uLiM
oRasBAKvpVFU8lNdhoh4EAJpjIQDPe6qfWAX0F5QxS0xfT6J2jEIpd5L6ifxXTM4zkvfBp+92hdr
lckUiVxCFQZRFMVDACOnqBiwzR45hi6o8fLFwqxd4cJIl2zGl4ngfCh1Ymldd1/MKkDRNGR591qp
Gh/UXCyPGuAFOO86qApNZ77g9KofabQ2j3JOc35m1EOZsAh1KXFjjnnwEldEPy1CzMbvnOtAjtqI
Erfn5FH8H8fKv/JwpW5sSviPJRD5tYua/2KY8SZ1q9c3UQ8wbpSNf9TSxt8iXoL5Y2XpXkNaaGDC
0cDyKIk6bOHIaVyjfosYzqLKTyrSvYNX2AE3QofwEkbWsHaa8Y55M0zX0+3iGQ02gbAZuB0w5i5u
wYjY9PRNi1OmrqLyOSgR0y1O17DT00tG24Z0jcEumtJXrwxzRL2M09sAGgD4Te+CIliXvII+sD6b
Vt1/Q1+ZXw9aqI52mmv3uOvGXd0b1kU11OZWd+p+i/gcfbfX1OspTIsLCD3gIZk6DAAzKqAhVeXS
jpLm8VSdgo5Lk3YKuASeQtk4GM0jRgDACJACjcsgrVFBRHh2y3awdhw5xpOdEtVdM38wQv16Gjhl
p4w5eotCa6yFEUIiaHPw0ZqYdulY5hsIOfFVrcC9hf7Ip42jKJ6khjV3QBLc8ztzkMBtA+tkcD+n
jSy+F41Ho8ApcDkAMdCfczu8y3pjxEKCnQ/F8F75pn9px4m8qJJJXTemMrdSGNalgnO6NDqk5jOi
OA+L5n40AC64lbLWBkK56zRIb2y7j/Zd21i3as423dbhzZ3KZ0zxEMWSjNDZ4Lfs+7S7N3STRtjk
rklKp++Qmqfrbkzyn/WMaE6OolCTeAIoIoe8qk3SmVQPTF/rlxhKIAD4+LBsLdCvuF8naN7cegMl
DGd/GfmcbVrwGQTnla1ZEdwvv9/rPSLxtM/1hxTpx0Y15fiakfet6Cr6ziqaYDouJtXUjxiQUbO0
bhmuCk98k/pQf5J5oWELizATmJ4wliCJuffX0bgzXMlE6spJsV9WXG29Mr6uQiCyE4Z0mMjxQQyt
ic0/ZqwKN5YN2C38BGn/PWdY5rVAX7uLuRmuzZL+UuLI8N6IdRt+RTuTujvvAkObd5doQ7M3nCY/
JtlI/UB65cySZNdjL9Af6S8mR4hGzLIJRtF9AcBXgzGkDnNK9yDUhbelGaffJ89EITSP4czq2F/U
mm2vckt6CxWjKhA9X4dKNUp4OZbO0UHSssgkuuXG7cenZNS03VRk9ax/rg4MJgs3NNLzraNncmnq
peJ/c7tFvDnkuPbNmnYlG/yT14LIpXjhXnenE7KMJgYOyZJxF+ZcoKeAXizqNmKXT63LaZZPsMXN
osdcO+9lg6TNL3Pzrp0bv5kLNgKm5Jp+aOev4oQn1SpF/S1CdGCyzZR7P5q9vW+BVWxIg8SjrkHN
jNE+suwsRe0ydBCUdZG6zfx8zopnQVLv2/YXPRk0fn4cqNvBEOwZN9GN54K0gktEVXF2lzgtI1Aw
NZEHDhl/0vclGoY5jwSCUjzj7OEfAeaI2AG2au+imj+d0FjvfWesP/u1zwp0FZgH157kju5jsAsj
Yb+6sEwPlRuD6ldoT7cIO+s9HgcDXehUl1+lLPm4hBIJcoEJmy6qvQe/UNpR5aF9UZrTAFxGTNk2
90air6E5AMM7YFoYGDt7lDcSo5K2HktIJYfIQzcchvFw12fhMfbMclp23WypCC2nu6d6XX/TW637
3HBhvQISDiTILikEKX2YnO1JVwRv0/jGZBPts07Wi/y+NOtbsy3K73llUBACVJjAJC9QgADdaDEa
1U0ImMwI8TAYF9jNJsho5fBM5AHR0dkW1TI4asCGFBO8qkL/grvHN2EZBP1+oHBUq0LeYT+4GSPr
0Uls93E0B7UljnbYj3q+vNA1sq6MXZZTovAocRkkGuvRjrQVax0FPvmKry3tlKHLRW7gNwWTsTCd
4s7y9HhLiW1clzUMkYQG13PgFP2ViJW8CMyuvzAdz95PebCTkZWRRIQgz5zgBUkYmVsAOu44Yj1c
GthnMNygD4ybsdzIAHhnwnAhB1+rWb0OqpjZYr494TDItOorPpISJ0bSeIeM+TjZqhlM+Y2157lb
MHRtdJ0HsaqWdj4Ol06K8z2zC+uAd7D4kbmF3V9oYxiAzHdl9CkZ9fkEoGuP0Xcwq8+qC2rtChp+
B2A1MtLyyhlS7QtwBGdViNr1F8MwbpI6UUsPi/MCm+kxVeZu7NN2Z6h+OPQ2GE4jSsrryNO/l2HN
dSiKwuQ2yRSHN+dA/EJENEcAHoObLu2QYLa2W8u4GsF/u4u+cJ2XuiOXh/dWB/UuzjL5lPgMb4HV
3w7Hrq7d9gbEQlC6WC+SMt4wKFd/EviS+O+pAcWKgzhzYZlTuIHAnq0TIGS3YKe8JeZPSSsi4QYw
6WZmLU81oJ/5Q2KXtVowQ8o7FqHZHk/lopO+oNRw2FOAyrelzT3WGAey6NTT2N9G2rF1jDRn65z+
tUgX4biCWphvdVrCrJdAoG085R7FHGqjlFvK6V+tPfKtZC49+Sg91MqVaXchK3DegW02NwwZU6tK
T8WBQ5PWht1wYUjD8jmMqv6VeN5TIuUqxzHMJ3rzrdlPC5IC5kB80sFAMF7Exty/ZKhp8Yzem+Fr
7hDaP4ACWUSjOZYl2XwhyPw22pt2bu1tu41XCRSsCHtNmD8184XXT3uUgJSCqeiGilgnR8E9HS4J
EqEWMiyxeVabNbEk7AyF3RRsqsJtcA40MY5mNdzCa6iPmnSaR9PC/Wy7Ptsw8IyfXyMvav6Dml+c
oqTkqfVziRF7Jkxg343VjhYftlgMZwf8X7mH4ydDiSe0YNZs8cvpTspFoMryonan4XJMgx9tp3BM
lMO45Ti46UvwXp2osm0auN4l0cF59HsGnAVhyyHFT1yQ7vqXGrXnnda5EfQlcitNJf59nafGNXuW
yVmu2w3LSDbiLm/a5pHXzvMj2wQPPwT+uolhU8IETm9T6U3T0pxMfVcE2kXfWmDumhqWcKbxF37y
cqqEiN7iMl5j3zL02Fu5E7cIJWL/m6up6XpUJV1U19eDr1mIX3NRQwtBBDQ/HEfNSyyruxvUh+Z+
0EyY4SNWjJ8vFn/qoxgEfSgnti9TTnRuJ0m3ogZl3cVFCjySVztFus4NJta9ZJ1J7vZ93aRfHRLv
e2YJ5OuwTz9pScB1FUcRFLhIpGspIvsh1WOx5f4HE2/SKX7EwO9zlNYHxitggSNDuNfChsOWOMj6
8L0QfEbMrSHt0e+cVnAUU9TzYS8B2WFCyOJ0UPw8UU1ggMuStt62nCsWAYihLcK1EQxD/hho4Vc0
H9YxKuFIcQLKcaUMruT4WdqrvgZ/J2jQ3LZjVb3ieVd3dVDGJqGBByZLV/teO2j6lklPUR3ADT2K
XsbFwR8xXWv2FIyLKQLqDBFHB1BVN8DqZ+VdkZbDVwHulrqWTpo4tl5ygfkRYBVDDy9lkOhbpTnJ
uldDfJyqqPJBxYZfTgUaPwHkisihAEY0lc749LN/4dj4m70uMR+FaX2SyczvjfFZfNHqGNReY1LT
PlX6E19l35LB825Oy730we3n5BY+6S67O04wgVENMW+bIXmIZ8WkbufMCjREieua3glRxKdaUvYa
0Yix8/VjaWv4HjUT3vvPcCQMUBUOztUl+7FxFn0TTvkioQFDW8BwN3pkVDNBgqFrsFKogGTVbShH
EnhL6ytmWyQJwtiJa3eKqboBb1z5mL8GryTZ0WFZXjRMzmale0b6BbhvB4TeDI6n6CZp1V4alnUf
VqE6dDUp38WpSni6IlHpKEP4Gom48czCeqzmdPJ0veM8olhIT4tLKU35W/hH8GY4Jb0r5nqo2542
5+N0CsSVzo/OvGAfNTnYwGCg2dDSatwhJej2wPOKw2AAVYSywR9Bii6hSH+1Kttbm2Gp3+h6FTAu
XoufrXCstuEg1wxDsQ4Ux7Q7puxxeZkrfYVJR6QRGeRC1lp63VtF9ZzICp8PHTd4Du1wd6psu1D6
9nbac6kZ0ou+tOS2AWB2zE5tirm0dSpIIuLKPyWSsTh27cPA6UdtWRWev9byuURUd3l9F8N6PCQ0
7W87t2MkyNB2h5ZW9EbBilOLwrFeTMNJ9vp88GHTbA+Bi50eoRJu2C7SKYvgstSrQV5YJv7uBYQQ
DwgMGfSQ6kzbgBd4mTZjgOrVdF+daaRmg1y9y5yW2Q06My7H/CDMSYCvaJi+4+oeWZFQF1pNW9GJ
LBadVZKVd2osoJxJKzhYIepHOdSzP3DW2dQAZrjFN0m4tghS44oKGVj62E3abwLehty1I7ByTpyo
f20tZIHxqft3OueZa8EZ5UxzIcApddaa7SS8h1lynLuhtywiqj8cwLeW5/cHRjwMGypIDgUM4Pyn
9YQpQVzkrqRwALVqB+Cp2mTUYbdtVqhLVVrFtmSIyNYt+3WRefqV0LvgoYuLF5xgwRVJDYmZFcVX
EG0vAWgYX+tCNo/J3OhVhSOxg8EQAuMZXAtuCKCMh/EhNtzhAUZ1fHBdkgMbgPDGihgdk3adcZFL
dXC4WF+5uWZ8Y02Fzx26v/1p1f+5AfAbtRbqZwf1mCLU4LI5a9bDCFM5LFdE7k6TPFBA/6amENRd
jy+6E1a2q3JdbfoUCnAYdJ+6rkN8b2jKXIZu5n3/KTEsEYJsErv3PuhAKroPZ90JpCc6NqNZEu2c
t2naATZSUsTTkQmiGAFp38cnmayUgYHDOY+jfQtPB9x9UXruB2P93js20InR9SWpsRVyj3Npn5dY
md07JYNj/RDjMda84vkUlalUMQwsjMtrPdCf+iyJuEk0hXljFnnwPdaTHMVyGl78+VW9719ghlLU
nmah4fuGYVgxKqz1NHUsHHIycNX0LvT52qg7VAZjSQD/8wf+5gE4rhK24eom454M50xJQsrdRbAt
tOOocX4l1BXjxRDq7jdhjPpxLHJ5p+Uz0sFX7jWU45mTx5db9GVT7ezQdp/+/IV+I1rjC9E5VJgK
sKCda/eMUJIXNBMGc+gGt44XuK/VRI1Xhyd/0dT1j6Tr3I1vKqz308A0oN6/HRtV/HBlz/wFw9Jb
GHcFxGtNj9ZDXXl7PQvIesNQPUo2/GXbt+EHPbbfuF+Y+ItIVKBe4+Wdq4T1DnN3owzziP81Xk91
0VxqZUDtKIaTUvbeFyQIzY2fReDEwRZ1ay/LtCsn8pJlm+M0mAdDTSB6IYz54CVvKr2pLnsfdMrp
zFBYKD9QvIlZSPd24/GVEX3pLgpn1z0XoOUyznDyBtbRiZ2EQSa1edEFMt6EOKUuKCpb+6Ynw1b+
aD0PQ1VfxH7/zAA7bsZ/15UYHzOOwUdb8n3Tmu/FqYFuEhW0ft60xvtWQB+o5LEP6uiJmc/eBg1j
+1g78KyAsRq36RCtoopBU7lnuzuHVg8jyBCeX4t2sndqToZMJGkrz7Tr1xZL2Ook9PzzQhXvBXxI
TA063JaObsM5d8DM6r3eh2B5jE9dnlMdLBzj4jkk1V/wzQDdMOtpa1bJSxZG8QqjMtXWuaf352/y
PmgoHtS8V1iCpnOuxSLv4tDRaXqemro6JJdvLoAOHAR+evDmrtGfP+83qgbMZGgxUEHhQFRnWiuA
Pzgfu8Q4mrkX6RQTX2nJZJu8iORNNYs2e4a3bOEydzRiSAz+/Om/Oc2UTiud1WHoLuKis9MsBIYx
JRlbbfAEgysam6r2aKtD6yYUsptuR5chvlKpDOEj4y6JrbK8tQIXMkOWaq9DXjwo2CK3eOD+fjL/
2wbk6/C1yuv8R3PuQP7VgPyf/x/ZlNHf/vISZ4/03/bm2Wf9H//+UIVog1++/dv4bw/51xc//9Wq
fPr//rQqa7b+F0INtMpEUmymJ7nET6+yZou/MB3gxGHCDmJdfMz/MisL8ReyBoToiNHxx+GN/ZdZ
Weh/6QgeEPU6iPb4d/6JV/ltwGS9o9HA8Wuja3GJmc6ZoASHgD+UPsSBoGeiS9fV5hpMRrP65dHc
/AzAvzqi1SwK+j9xGcm6aXL0I+vEO4XbVs3b/Re5hs3ECtRPVLQ0bCnXDm2EkekQDJhYqL4KnmPI
btrcjiztlT5Gg1iDZoTTJJqBwqOVhePF5FmhvrALQEMgg3K7pkHakt2YkO6XdaAbw1VhSspgXTkm
a/y5w1eZes2uh1wfb/whbZ7QoQTOhZGZurXqSgP6U52I+nnixgPPSfr+vraRkUP+H6GBh61RMvig
rZqlYiAF7m2hAaGsKZNZW4+Dsd3CAWKIgFnjl6rgZR46VbpwFsvY1WhRjGXF4CO4m2nmx+UiyjLK
sfnkBcwBgcUUL/XenX70Tg9rxIj8HCdEED6FvHLqdLXdPpVGIvslY/tCSvdaBvw+oWu7HetKbhHe
T9QxmcS4sFOjA+gAv4jkqkzIc1WIZ26ZI5YdgBzmwJg6fg1pscweUpyX2twdsQ+B2Xo1OEoruC2k
1sMYmhLvAspy6YPPpRKxlEwwmBbgaVImTWqxcdC62Pgao7hhNN8Y+8EH2rKz1YjrhfHQGPMd2wX3
/s5rzJSyxnDGSqMQVbuXNYVxHBhBe/Hn1XgmYJrNNXwMOnULRZcwhDELgX9ZjSOjcZjmCc9hrLN+
G4fOXd0JY5U3st4rs6iXoedBk4pyNHymGV2BbPtnSfHPr4Cx2MJ/h/FIqrMU1QfCTj25APCIEvU6
Aet9GdaMbJgk/N82tI0PduBbne/PzyPI8MPZi3PsePuTGWg0xFKPcPWkQDLkZDWrpGHAYpY54oO8
cY6Tbzc7Ec0WoBdoKfCIzfkt//J4yyLwwloxS6zoYvEtaYG/LEsjrD9rY0d1Z2QQVrOgR0atXcsj
ABq2Vd/kvq5/7wExxRcmANorLDSBYphT3h3Lji+/obHaoI43GXnHXEerQe3h080sR9SSC9Sb5Sd3
7nVUmFeugsx1rpGRVD89Qv/oLPzvHXTH4nt231TfvzfXL8X5kfj/JJSDFfF/h3JcveT1rwccVwL+
9qVu/uPfOdb+wl1iorZFF4lhnpPqbxaHzkmlWNs/jyl9zib/ZnEYxl8Yv5nLSLbDDtRd1sjfLA5h
/uXiXscURttjNhqpf3K+cet7G1Q0Q0iH4xLKz39xdx67saNrln2VHnYPCNCbYdOFN1LITwiZI3rz
05NP3yuyG3UNblehaljAQQJ5UimFIsifn9l7r3+8DPMEXXU7SMVOrFXlmVoS174Nje6j0gn+It5u
nV1Tn6VdOknDCTalTtRUtYpxt/Zzyck528R0TfGS/Rok25J2V7aCjb7DchcAUgkVJCqNh3ldDeK2
Ex3EggwteIzb/q1ZCoX9dVqzOGIwDVE354HjxuVcVCCx64LZXYterGmnvZxnpq85xXgWmSAcOsLt
jrxjKAuCJpwBIUhtkmKsOKvy0pDBHRbGWlburM8ZWpAqBoK94PmOlUn9lZl05j75RNV2Wpn/J7WD
C1kqybSdUZWSNppNJ1W2Zujw1VQ9SGA2gboOjX5z8hx9C+U2GXaZyiLYpc/rjkqWtLsB2N6GDGSR
+HamExdXzs5RZkH5urBFc9hkmBIpRVkkXc1MGW4FUKIXAiHEhz7l5L4Se3YgqsI6ZPo6vM5/rQlG
rUxq4FwE3bkSw96dSKB8eaNU8wgtRh6+GI+TU1ojaiWBDm7mZLb9Rp9kp/DYSpmhIRadRB8i+EZb
KR/JeCTZy5CbsLg7BtxMzkyxzTvGh2Sjq4+VExG1asVNTd9cZoxTZcLCWS6oDFHXe8qSlR4a1uee
qSQYezUhH6RKGtqQ4VFzs5l92a6Sa/mHAKpywhshbTjpzI+KLiEkrSt76nrI9Ww7JCL6i4+iIieK
KVoTagT3HdOS9EifNoKVCzIxy52dCM5lAtXcGPP0kQBjK/fsXjFzlHQzWYU9S/5wkJn9dQRZV+Gg
P9mWc1ITNGJL0+cs+BfnWpLh7McOCJ24AqaFPrqTvdgU/ROKg8Wzi8lBMhLZW5OH+gutRny1zW7+
zFatOzm1MlxVVFwdrZW873ORHe2uRexg2wcTwNyJh3/8giwp+xb0RyCEGyXytU6Ux7qIpB/mFQRG
6voE9aomniHUtNm8xiTo7pe+IopJpPZXkWQ1/NCWhXyTlKjke2v2a2tdRy/jSeihJtF5+6HxmIOA
vLKSGw7kgI9LdSQH7EtLVvoqjGTXg5v5Bavq/BBoWu8GFp6rO4IKhlGGhfcVaZFwXpPuSM6MgtYI
/elDhnCeq1mVpmJTm/jCc4c5FPcXeBWC7D6It4zf5AEsCgpy+UKjJt2cUtK83iB8LS4MgAxDk79G
iiae1txi18sWjtTEKibNcK6d6hHNZ/+wEvF2k5ZG/rS5kvFQyTIqwlbkYdEUzj6yTXEsSyIfpxJE
UVnL5oXjzxhYhg39tnTmiSTKqfLWzk6e66kx/ZwFzLk31BkSB7o3DC5zwb5HcZaEyZ1STX5KYA3e
2G46EVWJnqDXxGUkzudhsQt0AunkNJ8KLPXSs2u9vkyd6nCJdXkXxCQN7/jp+rkvdPVTGWvzhZD2
aON0+voIvVAKDOGwkpHtFZVUvVaB7STxVhlzmHqx0l5FZI0BQV/zK0oh4112xon39+7Nz5S13IM8
GcNJR8wyWiWCj1i2bwzJRDiVPbGfKXi1rulQDM8Mz6XUsOFqQNI4rGo2/VlmXPE3OCLWTiu19cke
SvtZtuNnpvKBk/WYKI9AM8HVyS0JHck0S95a8VN6mpd6iGYo8AnDSJcp7Xzt+2U5E1bOqs+UfhKr
v0blktxEZlD1dirDzwlJx+qLQr0vuMj3CHIk5o8WG9A/NAwGd5V+aEYS0tWh130LUWU4xll3yRSp
e6jUbtx3jWVt6jFN/+BiG69GYTankkz1LRaP5S3r4YGn9EHNU0uBRp1XglvMyBiHjSTuIcqLuv6V
Og58IgE+XrvNJJQPZyZa0wMJnuyKlG1w2vK8dZtKNIRYru/rbFlPzP96fWPL1bjLFBs8QxExdS4l
IT8x+213owWugQDyOkgiOSWhlZzdlsTKK2sjaidznRWmizH5jNU0P8lFlBKCEA8Av5smrHhinVHj
xoEqOm7yCVjEscIr/agJRIvyMu+LkZxVBK3nVCvSW2NViksSXnvRgDpuyIntEUnW0/pbNep4zOyF
kxfdXhMIlTpQJXHlJOAMp5pKOewMRrVlaK58gvV0dhUK7o3ajPp7shTOszqZ3T4uuNAC+gf7Kcnz
6ZqQY73rmJAdRDFIG05eOWSRL5/BHxMuD2tzdgWx83eoehcflNoxNiOh+duhMRA8ixhgTjzfWa12
+kqn7gSjaMUNtYnxrZNbOXK/pepTSbC+j/cMLHwdd9VRW0f9JIty/TPqHfzU1HLqcynq3h9Mwjrl
KRrf61mTNkj31Q8L8qXXiinVXWhF+htfUrIqZ0WCRj43lkstz/o2z1F4IpEvui24Cj2MyrXY9zq9
3EoisdwWQ0CEXr6dyN++wkkq/vS1A68wai3C+hCdIhPmkBLeREVEcjsRPo/IJp0DPgxecQatZFrW
9qokiryn81Z3mtQWN8JjtBPJl/qewZjlGcgxYdACWNvkTo8blb2usmlAnaJxQgb9KNeD/YXoZXnU
JpJL3CUbUKSKUVIeYj0xDLdJ7eQlq4S6V7S6/ZSR2W6sBpCsN9OUe0hOWrTNlRrXXta2GrZsEal7
zGLinAkEZ0NmzyQmR3eOWaHxvnRmeyUvXIyuZdTRxaj6ZJ91bf8FgR5B2UARs5hl8QdHCBHlBJC+
xt2kezPgjbMY8tYnFCl9TKAj/QKTyga3nSPUwWorDRDoyJVGeraysCar87C6PSWCJxaUPunoRH63
RmxDGVG8xGVmfWMl4WnTgmz/bDtOQEtalKCD2LMj5EVBJyVL+77PzYcZtefE9ievdnqMblPokblN
WDrDMl1WTQlqJiYHZRDOrqB6C7kZmzOmnXFj3T0tY67ZAGrVhMXcIrGAIxTZt+1SPjTlkiHgUkjv
NctSe0mSLt5kJPwGdbzEp6Kwoq1VoDOQUPueZsXpdj0SNSxr96BrdgoTwcRmUXPhoMLfYwKRfCLQ
KuYHSbY8DVEl9oQv2UetVebHpqDSaHgY+xEf+cFApX0hkWyGeCJIuOWJ85Dge2dmINsWa9By7dyM
pOw9Yqp82VR6O22a1rZuCvS3l9Ip8hCINxf11EjdflJtKQ3mYubJXRlZ4UdsISGgLjaw55ZniZZ3
H0kRjX6/5vF+HqjXXBVPTDh1tU06nCKRRzhYHwmGoacVKcGNALJiq5lV/w13mTJRL4CfL5nELV5o
n8xJitA2LIwF9oRmh8joPOdMl4QGkAKVaHnT+27aypEy7xMrRhbdY3cKeweZrlXL6m7u8uk0Ewsv
PHXVIJrx/gc6KJwgL3VwBHMiZz8FitWHXIqidyA8DnB03T7JHbwopiw5236ehhdJ6hVfh5p9Tc1W
vkPdsBy5Sd20rYtXN7rlKsGvCB9x0FMiahsiF5LSFauFRm+UUuJGyca0NrqVdw15rm0aprEiB2kz
UlrjPY12UHinc4IW7Irh2763FbI/m0I5OXFmEbqvzzMCMz1a6B8IvRsJ/A4FC3kScRClIIDLoWzU
E74BIkirbQxylUUyFCAmBxrEwziPA6JF0zcJp3KoDYt5jZQlIj20GLfrMsApIk8FeLfDY8ErNW15
GY3cOkgOR4Rr1MW0r4bF8ZGaxyBlsvpA4kYRANnhtC9GwNrNUuYvqDxEmOTIYyt0ZffKuGulIGGp
Dxd3IpGCOAyvQve0zZBwPcgtwaV4DRrpUbHjah+RjHcoSKD+6Ge5ZvyRZoHjmBnRzKUTdgrckqFU
gYhEdn1JuUR3dSXzHVJWytvRMrjTxQA4Lq0RTPeKNP8YOToLrvKOQf24ZoEKreMIF17e2FJP1G27
OrqHkRQVuUlU8mrMSDOaiEwMFT9JJG/rZBqvY29YZ8QuyOjtiOjaODfMsB1yDvtUKvO9PHXml1bS
OXM9kN9tcHM99X02/cw23KEpwgGmRTniILAefyy46Jt+GMyXudaogIlDhYHZVt8oW/PHSC/ZRw/E
DqEcK45m68wB+MoCEwCP/LCMlPi5kOL+zxjX8QPPAWejQY0+QcTuvnRD0vfcFcZvQTAkbbS1PgjF
Ft/FLFsvk5FB9pKte5jFffj24nQSUrV4YuyJmGL1VIK6OlcjmDoE1VOdSetAKhFLoDcl7McXNAN0
N5PE/YdOs/K61YlDMMwT1KO7VEdNW/N7JPf83dDiNuDNN4KxUwF+lrZ0WpR+PGesrV6srhAQCSDQ
YzmrTTJbVJkWbOAGlFfwWKN8LxXoVa/CrvnmVTsDa3OQixLJLZEzb9jYd0h6e5Z4gBKqj7oaS1ST
/NgGF7jLh5a6WpU5r3fdUe1qUt2HRd2Xz1KEpWJwIuc5qlX4XkoGvBlCDDiyxl5MxsZjQtvXG8Mv
besMy6JAs6nnafXD1zIGhyYKqtvqokNkKctMUGAtH9XVuHeMxjVjk+1JttKZyG1BdYBvZqCtlfRW
8SBlLRIL6CmescwHqFo5h0yDMo+MP+xJkoinx6Ic8OS2stQETmUxWkDEmyJ7StQzGl8FBBe9dS1L
1u+iD+Ypzqt5z6bMPvRCypEEkpJNNzRdi0K3PgWxxb6m5yEi7RaGaAZlgX0l56YJ5geHl+Yba0dY
dKOPlz4txXYA4vepGoMVlhRkBioZTvu8coJ1rY0PfraGiLoCElSlaoRzBsguGnLrNEg1ddwsK2HH
POOiGowOIZA7JDJqQ+wxKrZ8PH4KKtKq3WCkMwMiDrsbomj5SHzW/NrrdSY8DNrOaYLVsVetcsvL
ctWC0p/suCIELsumdWfQ2LpGO3MfmV3+seTaWrorTMGwVUftKSJxE4lsmd9YtOm+MMCpt4Yyhqtc
5y+a1Ky/oDG5/2IrOS9ouzzTEtyiRNd/TOiHgIwaHB5S15QHUykz374jLsulKI65XWUXhIZcW87q
oIsYy9XLY4TFs7zaozc0i7Nw7MT5QeWlbPRZHkIndbQXWn8k8GksbWd5fkJqtd7sSujbqB8AYI8V
7Oxcw6xnTEMISpYg93u3tBsdLEuAj1CP8/zyYkVN70bzAY8N7JwvO2vfLUMYZoC6d3hPZOW+A5Dk
N7XosGJVDF8hOc5ATYVVvQ1ddMM8RB0klOWECtemO+5AQidrVW+52SBT4pJh1myiyJrcWJHWL8vK
n4l0Jd5agwQW9uYgPShDLp3qumteR03p/mRSpf8k+f1Fi7GD217LUShX0xIsjYTYXbZHt2nWPlya
BR5F5exnBeLgWpeg6bO/fm8Eys2hNJdqO3Omb5fFlE4GSlxklAyDeBCrmPDU2vxAjBFdQNkJhLyE
dJZjS04c3KgQtkSNsd8sNlk2DCeSsIvzSAoVGJZJToiBoi9mMCH0jpHSpKmeLYvmCiBEF/ezqePE
NpX9SLxWDWAgKW+9lsfvCYrHPXyT0eeOqB4LAut+mKib7H2SJjmaajLiy2lIk7LSXMNdORYw2E2h
UhZEo3XRylrdoCpqTjxKRSA3ymtMkqjLsqn4stVpq0pKxJtQd3MczsQhgHRJZO3YLJwHW7mi7gcf
tE7efD/mQipUe9djHZ4CddbEz5CUUEQAwEwl7dmEYJwhQ7Zd5y72JYVA9LC2WonUwkh2tiUN4Vsm
S/NjCrGMqVuq8VFHUi7vMo1JW5tnM3yYGpE/1oI2CaxBIR2SCQlP2jZu3yzeF4Vx1lD4cjQkGhNA
DZyr3aQDw6RqNsv9OpfKb5PmxesECMGrM12xgzTOwXG3adT9Ma05tl3aVXHCWmhfMXOnip9LkOad
e77EG6NBcphNOwrhtqgTv0VuondkfMsLnBMNV67oMF+KVD70Ki6QBV1n5a6cr9QvIhqvS2dyISB1
fNJoaMOuGs1nwl+A6FiSdTCUvNw3FJDYshIK14ZnyrkRSbVxUp0woX5NjTGsVpucEL2up1d0D0Sl
E+C6FF7dW+mmEpHBQ4sY1KcCbh8OdSZuYzCYXbWh8VSPaqwUkp/acYQLK58e8lGdvcGcuh/AEgyy
MptlWVbAFLVtTkEspObTZDiyRxTWcBkNhwc9eBSbCH1TgRaOs8Fd+nF4mrTO3Khjm5zLySk+R6IY
eWtykp6dBShwo+jjw5yIkU+6FpVnq0MVZmOXDp4Y5/6hj1eTwAvy/n0WeviPnLSdN5mDSrOWhm7d
G/ZKqFbP7LID9MEsL8YL4Ro2T2C/rOo4hInXcgZZ6y1Bx4tDMUV6XFSS9Nu1tXOR+0H+lSO+sFDl
/qdkjbWNNGnJvQUksMvLYTIjN/a5WgdtNyV9HQ5YvAoPCtj6Yc9Jcy17EyIKtM2fiflu0AG7SGlq
m5lDfyoIaFnMd4ggAlVglLxrdQlxXMtJBtOS6KTxGb0LRpeLywEPcAq+k+Mp02If4qZheoj39Dro
Ch5Yayi1/Vokw0tG9uiGzwC9TlLC0EznKWOVScuZMcWmDkftCvFsXu6PQkJ1tKQlKzhpli+aPsYx
CTGJ18hU82+otzqHgbmsH6tm0dxGU0w05ZjqoT6wC1+mfH42dQYoaKymS2yg6I51pjK5lv42KHVX
s38ajjZ0sNqhrTI32qjssRxuoVN9qH2a/jisN3dDHNmszKKYuQAiezcfRIkfIYKom9Hg3gESGZlI
dyZeQdO1ujFUjpwLJTdeBMJiZjx9Uz136jjD27KITQHLU25KrdR1MhI6scOCzVuhtLP53o68x5S8
BWo8gBwovhFQHCnTkm/MIdTUld1pPjroaTc7bXscFDvZ0cGp+YYJ5rDw2Qr8FhnfwdPv/mXD0lrH
k2TYLS4T6aIJSvRzBykuqPIiOe7DRleLt4wYqY/WitebBTfvNmBsBK0CAWpBXb4D7tKEyyBr+yGD
eeiSTdlT6KupR3VjOjBM5gRWq2kNTzIcxUBfIbijxWNANLQwN+CcY5202/6lXe2cbrbvg6iBX3QP
Pg9MFInXPGqkK+zQausQa/6TKUVz1lKI2JRzCMNjHRl5q2igZsdhz+CgPtdjYb4oNnmpdx+HszU6
kBZWNRYvTapWz0lkkIHRrDwRq75xQnOoZybtg6R82hZbIV1z4OfOlfwG3yoLejXrAvY6MWEhFeF5
rpKY6gV2683kqeAblt7dSmyBZ1qCycddOjOuQipgTKVBIwRXJlnV5VTRnXwWhKgFwJsx36ptpocs
dMr9aIr6gYoYlnuSx0eTFGwsW1atuFiv18dGjhWm50jIyq1o9NhfjKbgKiIq+hyjkE/gQMrj5NsE
jn9SL5ScnRNYZb9QRvupkKsV565JStraIhiRWNEr2zipTZKrCiMVntY73ctiWdOR/SLLCqnTC5Yx
Rrfob+z6p9RvJ70mmpAmHLCTwoG7azhfqfQaLedwmslX9kzE/pgGkrbDHaspnykM5peZ0YCvIbA6
JENVf69QWEK1iCDX9UMpqM5TUTSeoY+UFwjMOmaqGH3tsLdxpLhMvHq63K6cvFU1KIOSKIYKJqPe
v92T90nWUPqI37OuFmaJnRR9GrhceWv6VaZRE/rk+NlitlQxLWevBeX5XGv0ih4SB77i7ozqd2Pb
4dKTjCZ/qvU2UlBtgC3ro2WUOW3MHErSiIJ9C6FkaehkOMA8PQYk7DpOzeh7Nu+bs2jR7Ncxg3+C
SEdU85Y9arSpMW3EhwW4svHm9AmHMjH4zk3L5H7ZdvchgJsl0lqDU86IxhjpnnM8dMx/4McpXH5S
UGV2+SdvkyR7ZOdRX/qW+Ipv3ZwLY2vKccUSqMjmP/Jct9ifnb5rgiIn5J2qAisoe9mWV53UivU9
y3eLdzIzavf71C41MIPggHNEe4W/JpP1KEmDvCltqtqAXMJabBrdgmhG2lmrbLDiZmzWNBNkcmnr
W95eVpcyi7TK6Zp4NydSlIXCHNTjijn1e+qXTvcrLDu7yhTtvgWt/EDPxAzdLKkRKNPr18qys/XA
dgMVQlNkP2tL7nGBCftqrxFvcbxuqRFakN4t3SH5UVq/m8xehMwkeJxhw1lSt1nm4aw1evGmy2vW
bztbm0p/6CX2PkVEVIvb2XB0XZ4r6RpKpdPMrqPCorRzc2SIrtFGssxkptZ1XQaC1OxGoEKUQujN
s0f6euEncotxuM0jK9Qj1UKLoWufDCo0f0DkH2iknp3jNjYOlpwNr2u/tHQPJoNwDLbjXm9y57ca
MprmeE5PfSO6jgxLQGklU77XmPEEJ0JuF7+DXJbvfaJYMbvhgb8t9FkL7rZ2GFgoLk9ybdM/kziL
kaLWUC5pecGDklEFrMAJazSrYut2339B91UqT7tDYUjXWuZXu0z182zaKzdeXD0wfsv2IObVTZSo
wz4tEnVr2Hc0MCPM54Vx7HFBWbRXc4utrVXJoW4y9ZjjnKpLs3P6mlgt7llswJ27VZtdihvLDoSx
YLvGMMcOVzCQqTCeOA3VvdZmDW2+5ukWQnNHyhHw5NX0Qrtr95iwBazgviPhRBg4PE2toffLRb9j
RqQQ7NxN0C0TTc5DoTrTPpdkOIOFXAwhm64pmFdtYUqqmc/RilfFz+W+PBckXz0Ppc64hxfEIoEk
qPF4f4pCBAcc6ROJEO3UeNJPsOUlvypzjUvCZt1Fqri2+NY8GN9o9btLGU2Ui0pMmgm5GIBgM6S/
ROVAs2guAw7bewZCpcC2iQtiR/6SjvynVDRP/72QNgZ64f+/eub0+f1Z/4//+fi/g//1DyKa+//1
/0Q0qF7uIkkyj+95Vmgy/01Ew39BNGmZqGjIMTU0/p+/iWgQt2CCweeA2QO+5L+JaNDXKOiZdZlk
Z/MvAel/SkTzj/LN/yuhsRzcLP8ooQGoZNPKiPFgjXoQOee81p5ZFU3xffh4jbhIpuh1YMt76Ktj
7mjvf/cu/QvZ6F9Olb/JRv/2c++v5+8UZHKidz0LiRHRSLgO+0K5yVN9ruJnhQZGJunnYvTtZ1Q0
vhmblBd4x+u9JAeD/ij6bcEXkOoBuP3PvZIdyEN2EHvW5mUia3/S7S2rOsBjmIw9SqHDoK/uMn/9
+6+doEFe5L968f+kLrScYSyzmOyRPN3N8p/M+CrSD2o6nV4vY4I5h6L5rpRfC8Hot8JGKPbX6Spn
i+vMZ2e5Tk4Livgsvadf/Nt9mlGv2xVaqHqE1L0X5Y3hSe6MbluGqrYf7xolgi+wwO/rD/Gbs/fJ
UjfZMXzZVqfqA9oyIK8Qy0bYbpZtFBg+J1cwBLOPAM81jkx33DiIA9uHT+9lfh5UF8n9stzS7QIy
LpJjdlQXr0dsE70SbetZKpXPkzqd52SbiV2kvJtwgotnZoagmi3tORerO8nBVLzi4HbzjtTDO97e
8LF3d+MFiY4dUy/6S7H/YKRZ7xkUGynaEFc8oruwuq3JwKvmT2h0BBtF554dQc6hzFdoD/lyEYUP
aNoyt0X7xA8EotK3is981COwKCNJQxyn8qz3L6ICQ7PVDHh1Wzhwir6dx6sYLnbMybeRx502/pA+
4KuSO9Dj1uDAcIA0rrE8gjB0nQwdrVtuZT1ovoigf+60jZHTMp6MU2GEuguCsnB847Fj3s3OPkBd
2b9I+un+2O0XX28vMJ/5o+xrspawhQqmTOn7ZJquOrnjp/4tfw+a22dA0MhRs2doEjziTJ/vxgWj
PM6WBx6XkYJnfrP6tL9w7r5Xm443tjOBm2+nW/o2q30oHOV1MlE1xecu2izdE9smj92Cm0+AA/XE
y/nYpVM6+Ep9KNFig0BAjqnEXrspDJ/3KQlmC0Snm5n4oP2EJZp1qCpfe1n5hxNQMsFKNHbp8jJQ
qWg5Tv9977xQLItQDWmsd1pQ7ItnZ6vujdAJjVAOKHojT9Y3OZbw/yix/a7g+1d3GEfi3x8PM/PT
pCe57CDdimu0F3tlm1y0s3HS9tV5Plf76qRcy//AIfJPVK+/HUb/5M2g7CcJMeenVUc02ef2Ot/q
j+RGNliQndtz+b7cqqA92ef6v/gT/8o3/bvjT12sYp0SezgoF3lPtOfLuhOb5JKfzKN9MfbFWT6a
W/XVPmtP//6hxWgftea/ek/1fxIIj8U04L9HjESwn/B6Pl6uL5L4X51zup93sPKeZnaTo1u+LHtl
J7ZmsIb5lltgD9N8z9+FtEe7bl8dnW9cV8f22l+aECnJNU09A7N/t2WagoSXGYqU+gRXxb5QSIUL
1dyLVXZfjIlJBncZklhQw8uAzpGdSV246slhZf5FATg9pLPPEM0ZXLH4bCWzAPSeu1qsdrzjuQ4f
rA4gZDgsOxTCxltzhN4pc88d+5GtII182PQbw9wq6EjOzgRF+Vik9Gsui6Pld6kQIrndS77wL3NJ
bg9DVNf8NaFKJy7TjAf5RE/G9tX+FI/i7Byeug0IQhppQ2FC7eUnKvbaJVVneMNPv1wXyWW3JpE9
4w38yB0/4IJigiIyYC1h+42xAaIi0ahxlBS+hSolJhxpI8r9IP44nL41LsC3vPvGNt9rL2r1G8u7
1tra2Xb+Vk/TQXpHj2VkvqL7VODmvom3g+y2f+Sv7KTt4JAaqFX99jv+Wt9JjRgzBjNu+TVf5QfE
gBxahzn/IK02Lv2W1hG2Au0GhobIjeBT4YqP3KYPuCC6X2tw1+/0vATpNt6KFxb/jn5/jmgeH5Kz
7Q7LAWTU9Go+yo/yQ7FLnrS3IcjdNEy4JYtTvR08hjkvvf/DPN83w9yPL86Vd1+ZOB5DcFoxcb1c
K6rfcPYypNtpfhHmm2prnNpgdXVvDdWHuwzJswPNFUF+roUne81xDKHHX+Tf5HqIfaa6XurzQbm0
hG7mWbviTQTOZQAezMXnKj7bMdjBJx56OyuASu/ae37FZoeWFVcAF7/PkxvS9OtyIVP0o8s3vfMQ
EzO1vKA7dOOnKom5NIkGYglZfcl/nIN4bN7bdy4CwZ880LNNu/ptt7UdTw+4PI2gLV3Di3/lEGxt
+lwcTEkK7XFnV5v+ycBsn1wUsbj1s2ERU+HzDcw7VtdVHuXlZjMMf5Cv9sSj9NGwQ+1R3kkP7Wd2
Nh7Em/KwXOyjFHBCB9pRDYTHeNTv3cxf3SfTi7f1o/Rmhcbx/mZKXuJF+49+5/DVdLle5UMaD/OT
5TXuu+KZ4fAE9XiTBMtWhO+z9z0HiDKP+U/GmuO9/0yvxTm6DW8j+Qr8SqhQrvke08j9u+musl/3
PLP8xGP2pn8iW+hThNVeInxG1h3SrS/ovHifAzJ0dfMwwjhvUPLy4JcFu3nKC9fE5B65M8/glKAP
qjnXcZ2wCscDd5v+w8K0fpMduFIHm/U6laKnVKtHW2yG3a05mZE/LpucW9aXNvWRO3HdlMcyCZpk
dvOjEUjn+CGVXuoPK+yPY+rOg1eW/vQ7kcgHeIwLXz1J4wb7KOnLqRbOTqjagdF5+YcexFuEUmFG
tWTulFflVdvqQb/TiS4ja2iHYve87oazOJv78kU6rNfpYfxWDRembZegAfO5I7uF9Viospgc3eyb
TpJpAvF79Ig1aO/NPWSp2JHHzlQ4ZS+BtCA/DGynBr+bHwxt23aHtb+qGpkIWCuYJBuuVfjqeo2W
Mx38usFCNc375rW65Yf40B+7nG3si6q8N9aXk3+Y0qv1Fq/5eydbW9aUUSonMJXd7ilefiXSdLIg
eyYFae6fOnZKVlUHfewhKFXRVfI6ttkJhhwFKgE6ph0szCZGZjdu8iO9AZG/Oq9j0ZReLcQHQdRH
i8Fko/o4iEp+GT545lp/yj/2u/WoXuXrcinR4g/Ue8w1vvvP+L1/HB/iN8G+eeo3sjmymBIecoYE
MVqtBoMQ2wIHSPoRFxvARYwX3KFx+4Qgv2e9JXt5V1TECCLTeqwkcMo3+0//o2O8oh9uPRIKhnN/
0d/NG0XOsLzpBKlZhLN0s7pT0ILd5Vaz5S6faXoZx0087hx1W8Sh/lj/ZNFhrLYmS56b/SKPX3n3
syg76Q0i75v+gPxMGtEgM92nuDVtzyEr2tcsFw/AxC1el16TYIx5WcnZr8IUlBZA+5nqs4mItcDE
Rikcm/HJ6X7Q1xi5r5MDMQVl5wltlzw3xRjUiIj6V1SoJ6bs68LQxyO2kScMaaim81gqYRUdtP4q
lLDRLkgi6YzaA9Uzq03ziJruIm6Q74m+fTESb2hR33kluUt3rY0PSrFvKPVYLKCEYCDox3GgEziS
h1UZTIQHj89ryRXGVPydpxu/WnTU/f9D3ZlkR46c2XpDD3nQGAzA1AHv6M6eDDYTHEaQgb43NIbd
1Frext7nIVVVZqpKWRq8QU0knZPKYNAdsOb+9343uI9/JJ+4yIn0pd/a+k5Xbyh6G8JbpQ4NfZxg
dWjOuBGnzBnmB8KJtXFYIJxN9cUsKh32rvWwBveuOmGwZp3jO81/whcr7uyzws8M7+yQ9h+Ocyrj
cyW+B2JDT5p08X5ecbez+mcMssh5Cs/IoVBhucAaiC7TxyZyLXxFp6X8bqU5tZlszxJkpAzT4luF
Xi6Xzyx+Ytv0OMBAKr3V31gb7z2F2LZ1jZMz3rjjTXGPIfCh+HBv21eneS9f6d5uXrLH5tZBpgHv
pL4xEGyOQ7Q8WO93rElbFbbPGXitbdtx00pLMC68ZocaQx27E92q9UbTaxocfKB1UP5iLN3aehnz
+pRYFiC+KTSP5PfWPY7kO/ToUh/096S5tx/dYEs9BAmPYjPXT+Njyp9G6fmLdW0+dXc2m9kaMubn
1rGkkIs3y/38A46Zd6mx3HTZdiqPGBCosNvxQBY/mq17zsdQvHhP/m64K7HigL+PqA7X1Kc/qnc/
3mTmzrD3QXvyxFPfnjIRBkykYY1FxXDID1UEyw+R75ngiX8aH+v78stowuWaJ5z5LLgm/kfzPftJ
oo4ZOMrwRj6nZ4z1N7SQGPhz3dBKDvj918+ONNemxOHRXg42tn3ovE2JyMv2nW76nfnA1+yboW2G
/ycDO5U3cTGdsjifYR7rjTk6B+nn98arDMUzXnl2gOJLQvekr8K8yYdrbJab+IpWTA653+wlcjnl
7GZjCunj3BpdZJoX06KxEcab1X2MJZiksbrGU7nlOh1Yr3Pfb5fm56/j978kjP3P4mU3H7TR/2z+
FwTL7EtS7L+Xxp7oNa++6mxQ//ff6t+LY7/+vb+JY1L+JuFo2rhhCZtRUfEfCTPX/k24ACo8Klov
2eLgP8UxYf/mYeGTBN5JWPri8tf4e8LMcX+zYINQXeASc71knv+Fsuc/3kH504mpOSRVLSH4r1+5
uN/fRekTcurSLbgdt+AkZnEBpwImD/U8u/u5S8e/QEn8Mc32t5934Vug6lnCd/7cP2nLIaBAkkrD
qugExdEKr4BvJKDpfvc1/Bfa259Csn//QVR7Ii4i/Xnmn5Lhds6A3gBUti3NRVfoPONQ7juReTcK
T791nTd4ODE5JbQzY6eIrSvmQ04brlks/qr164+JUv4ugiZbvnekUXg21p8vxEJkl3JeHJepuRYH
4mPJk8z9+lTpla3jn//il4vuf4oKv36Wzxd5aU/xGPZ5f7oIL703dqP2g+24cFHCQ2XeKahcRzUF
1Yul+pRByprdGfY0/PjnP9n6o8z6tx/NE4uaK+h4oOLxj7pGbuJwteQUbFvPms+QJtN7Zcn+mswS
m501mQyl4d4saH7TcJvyOe9LPyZ2trg5zgDKxE5521TPf/HXugiWf/5EJDkZDx2aXoNf0JXfyRFW
W+eTIdhv3KZDuStS71A72g99TawIJLsZLg4HZKdPsgjk/bKHdFOfnJYwvxZEeP7iC/qHNw53DzQV
wecEMuMfQuJ15Sazi/yzJd3G3pQXHVcAEH1rEM4UgB6bJGEG9s8/g3946y4/k3c9oACEd+FXn+rv
PgJVVVoCCOFnYts6l2XiRLIuk+if/5R/ePTgNV3kfFypF+DOnxuwqqAZMMMv7tZLsW7ejNakiOab
xcjYMjWqHwue4OA42bXXHpqiGrq/EJxIxf7pq2ZRCQLy6A4yruNRpPWnJ9BIMJnBkd/huZTElIaC
7l/OeLZphz067seEDv6+MMJ+7yjHfBaFafXnQAcdWYKhbT5q7ZRfJe1hVP+mlVtvWzODZJz64Kro
UR6Iu8SSBq5NBXvevq2JIdzOeTen6D9CP5VJZXbP2lfy3p61QIJmOv1T1Dgxbo2h4oQmJd7u5wsp
B/zRsnRmB3p+1O6zCaraRcpRZb8ejLQgxDj1tl9EHvbBZiN6y2YGYDnBOWsBT22NsRgh6uKAzja2
kuouL7KMj5jGmm0ngReHNUBvEm32kMaQipsO5+iAK1LedqJsv1EKlZ09vfD9bOgw7YLvVSNdvOlm
gzO+AHpnePWdIoreR7D9ZouThqXMqLXs6RLWqS3xEy6v0I9TP7mK0NNQDoSZrPVnpTEXI8RW6Y/O
xIK4I5kgzO3g0xwEMCPjXo3ZQqGjCVbOcNbKxmMKhHkDL3B9z2w1cNpcR2PZsZDE666fW/VWQABR
rBpVOvLBmfnbvBqLiBpxIXV2tufgxrBgPm2AUxqEP7PBRMxpuwQxDscjp+nOyYKTmTk91O4kQCUu
DcAYu3ylpzjEuMGIfEgdXD8ynoRxaF3b2FUVfp1r5V2GktXAybtNMYFcjEUuYlCMRaWk7YdLxOoC
3sQAxr3EcbDObUjrpvFRN8N8OcLL6SdusNR8GFgW5ZVZuc3i7fuuTL/1XtE7bzZ1S0wRSFCmd6lr
NubWKfsKYd4CBE8ZCaVg39egD4wynPumftRtFlsn1xsAkjSejWdpz9ezICnyZMwvWGiWZZ+4qpz2
HAaJZG7mhrXB2DRZF9R0cyTOgKsFuCDocg3gE6/CoJiTuU2l5pD0M0+dEorRhJ8TJNw17szVeSxE
/IP6kay4okaiY/YzGUR3IbQILBqEXd1oGSb/0gppt/ziqw7yCIxLngMsbRUGV5KF+B5Bl8SnYXGq
IMwtl+thL/LsCd6nuK60bmbsE4LbY4dhHsck1YY7aqtlvr80I1I/JS+hHhPjDEJZsAChsrDo39B8
gvs+q9PxyFJq8LuIoKvx+ZaAJh1/LT9wd0q9D7qiz3f4rDBw9VbamIA7c/sEPsXnDcUP8nUxhXwA
37bmDUcEy37lcZXqrNO6thgWYhOJijEgwLSSICv3LBgUQGROjRfbn7w5+b7UyUzVe77E7mG1Glnv
J38u3gLPKsotp6DF2AfLmuZbUbXS3GjRYhtLkmYxtyveXCpbVDIvl3VsPs9FPsX7JMEcEZnVrFGW
wN7YB4o8iAe5ZY4k4NWpE+WjaiVmRTzUdIF5qAVDmhNKV6NrWNuS0ChX2KKw9zjo8dnIyb94JXGS
YxZzG+SGEvLK65pk2U1pjyiTsO7MmZXQ16g4wGUaeBUdTIxY2Mc5W1OwMIWwzs2a9u9pXjjOHjxy
t+5dRxk/jWZKqo3stZ5vuiQPuI0aPTTIJMFNs5tzZzqXBeeDVzeBIXkAJhmnUVYlLkbiVSVu4YPU
qfwcAWtAkbbdrnisZWJ8DJX0b8EbgYchfDJ5MNoaewznjGBt1Dci+wZt3WX2Z/uXhSwu2uaxFDQF
8nHEcXnSq49Yoiwr1+DeSkXWd56bp7V0e5fMAu6VTaKMKcYwY5W/cjjMXZ24bcsdTBe+G7+egvE8
QUxb9gbFPSPNPw7nHrSm8gVvm62jSvcTwa5k9valdowvlmUc9x6uqZYLq+18BgXH45CjMiggK1MX
R6LpUHFnBXB3qIZy6i3LsKVONPnU8aFfsIwdVlpPnePqgR4g1OABQzdsm+UG0+AFE0cCpaebIav7
NrRH27A3hWwRFgPROOnZaQ31lZhW3T6sDpbo0EjIGvUyaKl7UU42nuXQyevWn32B1SVGIe75j0e/
JaC4r9zORJqw6/wn/qyLejUk3W3gkTnh4kr49NrMhLcaO6ISvcW8YypVe6L+IBt21FNPp7loO0aR
qnWHzTBp50dlUtB5QRT5Fw0oJlRSlLFcNjn4zsOE1dUJdTCgBNC+w69YxDmB2tWkaAL3qU27e9Aw
jRmazIxonxv0ree1rXnCFOlmL4RL++bcCQoLb0iUpDCUysDoIzzC9DGT3CIDa9/S4DCjVLesk2gD
Gabig1DOHARR2qt8IsvqpDbGlEr0iDrxMtvQ+C/RMz9yOzVar+wU2OBxKXry1PR9u6IfmKVarnoK
ZMdXB1xQEYL3d9Q+axfbx7lnVcdKij7fVvAa9Q/tDV59a8mkZGTcUheyER5lBowAxtqsCAVgJL9t
c9p8opnH9qVv2ffCbnbq6ph5lJeE2Gjmx56eCf2sUrderqeig2RR29lw500J+tDcWU521VSGe230
cakjjgqlgZxRZcljYBjJzwokRHfuGxkoVO5eJbt1wgN2VYxmMvyI7bmLt15JSOe1b4d6CZdA1PMd
tr7hLvbKKn0brSx+wSxe5vgXFlpHY6MeXURz6RQR7BJLvzTEw9z3tiCZtvPBR3I0zOSDokR2RcDu
cXNBuU5q3qXav9U9jhGCVC1JFIyhCWpmh/sTmUyXr2kbe0noWgNrCqijDN9il1wYyZyJqBDCKA8D
ZDUZUDeXtEOovTb4IWidel5IasntYAQ+edzS/o5DLD11q4GyXS5Sf5LVXu+DNkfaN2Knf8w7Es3c
CVeSvbH02lOCj7L8ElOTPCh6IojTjWXSnsFXSrqKJjakjb2mxvdLFZa6HcE4cgrhN7fe5lpJgoRZ
pfrHwU1N3Mr+gi3BEENzsnqbooWsV5UR0Tsmg6h0ipgDhZlW95k5DRUEhXwIBZUB36ZOx3IL2wqX
rucUrr3pRODCW/TNvoMNzN6+nTRJY2xRgUnjScZagJOrJyDqkiqyQi8xW8Z2XmFQu8FSN0ecWBzc
6N6kCCL6cVYeCkgpdZSgRJC4sys3YK130m8lVBWwEEs2PxkjbsAthJXiJzFFi7GRrprPmWqn13yU
QRe6bHn0DGGhozgZTBuDJzM3Act4/UfT0LLGaM62XtcmT+vQS1e462xX6jpZOZ0RjwET398HLoxX
zOhxkUeyWySQjDYY/M9C9G77ZmKnGY+cHckibPEyJxxUYaPYeVQNBDaOcomDeWITDwjLZ6WbNh8c
jTDj5HSjR9XkoPliSXOCxyktZIpUSjUJo1cNmDWy6CiL95gjY8GCVtouaK+Sc3bAHlkn5pdrt8y1
ksqL+agVtRAXoHdxTmk7ezdoSB132TyOz1hrMXMEHFe/w6bsxx3W9KLYpXqpzKgnCvDsUVjgYNwD
SRM6WmD+cTm/NluJhEHkxKIsYYMjfLyl7wDPg4wrAlKunCVGPl21EBUMsSBCt338ZbokUDGbDMFZ
8wEGtH8QuCLs5fXOxqzj6qDdIocpSu0Xyy8B7NeppFskWnvhvCf9YLyx2Qi1rZe4pGMo5RqC9yKb
3j2RT0lougHRMx+8AQlBPbglkYiF3cQRdZpHqvR6tfOkHtKobnJGrp3vLJ9JZ1RQXZo8x1jhG/Z9
rUSZ7zUl1mLTOLhyQ9r12JULc7CsrbYDlUSt2Xk/8JY6Q2i0vOX7rFMDod6gXNigkpVoMy6/9tPN
muAsYi+Iw7on5QdRmsaaMMdhjmWkHbx7Dy9ve9CBIkSIE1O9BDUZfzLRuubi5xDPDJ2Kp6mZM1h0
ydhYkAlqwfS6NscmbBYCIQdb9UwrXImj+UoZhnhD7SPcH/Me36Qq9X66ds5vYHWtzuDCBMQq3Na0
t36R8XyslKWfR78tlt1Kkzt5gHrSPy1SZHIzOBnU3CTpgmzviMV+gdG54CJXBu5f0yX6HmVWMfiH
3Csq68oNnJEL/GzN8jpTaekdK+WT/acRYrCXbWMODu5MVoZpO1EHzHVJrVMdCkrBWOtM5mULaDc8
45npCNYVz0iRQMSypzbTyBjrzbOxzbgTm6TdivQFFST1L5wT7q8lyW++0z6bRBQ3Q/Lh5BbXy3HF
mboHtDu9TXnBdASv8fq9xuAZRDylRbDRcBFxDw326hNmXVNnr5WJ+OdAHRgOdm135Wfl0hDzA+/b
Uh6l25vuIe1EahzS/MJPohJqTna161ApzdJEpSMpePxzwAqojPslZfx/kLL/15HSLi7I/17Qvm7o
Viqzj99r2dblX/l3o2cA89O2Tdf+Dzvn/HXhqPneb56Aksk/tThXmxIZ7u9GT2RudC6Xuw3L7C/B
+t+lbGH95vr046GKghFEzvb+FS37UuD7RwGIn05xsiOkK13+FuhQfxSAYmUQhwXMfZ2KlCoVTyim
LNCzqjLszALM0FBURPwiYNTVTCiCfl5shFmRUqo9oBu0z3kTzOaXTBHUbmUrJ01KTc/fqZevvI8i
oI+BnbES8qPgxmZtms6Z1l2eDOt6NdTEAO9KkID1rghEHw12T+LGUGW8N7vcpAJTp4oSibbtLeuO
iC6UJXK6coD0YWRP5eA6Ye6yWTwNg2o5Xym7rs5GIMoHjpnSPLJHwutP6mK4V1UpvhUw0A1YF27e
vAjKTKokItg6HAwjdkVOnKBCayGXhFS2qeehyq6tpCerIAuhdvESaF5lzj3QhvplzJPHdcAOjlKg
Ov9TtoZ/tnOLW9ZM2Jvh3jROzC5pUtzGk1WypdS1qq8HstmYcCaXOAdpF1MXh3XGEHyqoLSsW5gI
lXqt5sL26EUKsvRo924zwGto7eHzIrknx9TIIcKx2JXvydqqibYiY761gKMQjGno5nxeORNHFT0F
XGz8Vv+QYh72IwytvYVaAXMqt8XTbCqPVm7I6WT5SsB5aeIi8yZuC4wsXYraDmnXojOSJtfE+Mqy
lvFsWYt6iWqaW+k7rwZKBTN6S9tLJyzwfh6Kvgt265CvN4kaY5K6mKCds5xmOkxBZViZuW0Hguv4
RDVRrjjMqLSKaQbrp37X1CtDyGXgb3pfObKlZlVN1MJA0zMO3pJjApobTAQ8ebjRygTome1Buuy2
uraM8bGqfBAko+9lmEzkrJv+zvWp/wSqVYnLw6Km1k0i2lFJ8G2CpFq5xA/+MKubkn6n4qVjV3ah
1MWc6y+V2DQrpDINiCCK0fc/pyQuxHEOcpJ8WHmKVm+mGQl0Z11W9Z00Ks4FU6DVzMDSV2du2zP7
Hk+C8zKjHKYENftqxDy5XEJEG8fK0ExrKKvOs5hHE9fGoCoZBZe+pI3LIa46IggicXkWWCye/qI3
5m0zcbuEAJJYy7twUrSqtV3m8ZFkEtNmXfsEBQOZULByEeaycDYBRx2COCPyRFU0wNzF5bazUWad
ZYeYcpA5nNh7SBo6XJut194fa4J0RAgxaFn85jpayoHOJMqDSpFfm15PSJctLvF1FdnSatMrSV0H
VEAFQrtMI5RKRisg6tp8bcIScgbQKJI/LAUkegY3eAkmMwDVtMxFpr+8dGnc78oTc88a0bjozJuc
LHHichxDLt1medO631p/ZfiHvyDwC9xhjKG865SMi+GHJXS9ZtdyNlXqigM8GsfVaHiyIp9ULpX7
KNcM+WHRc++8t47GnuMEg/LDCzVePsWV1eGtsZRcQ1UFU/k8QbZyQTY5Q7YtwcbABV5V/BCbLsNt
YRNaOWS+SSA/dkTVnAK7cDE9aRelr3MML7hLGj3w2XM9/+RS6W+RyFBJARQaVTi2uSHCge7eDmOz
EE+VUfu8PUDWcYlkpktqiL5g51VSe8HC6GZ9t2dMZXqvcyAN1LTJpApkjlv9KjODMoCOxoPuqWu0
xnPBxQPezdiI14pAYdQt1nKkuyjoT3FRjedhGfJrjonFeiYzjLqIIl/yOGWJu5fNZKliI+ifo6DZ
yqaHFUrNa8eU5cZpSEkjuAQnF33odggaSnEvsa9bQToJQxteOeTEbJHhaOEUSdu22ZEQM96S1UCR
HvC0ZBmaPFa63nMOM71in2ZVQFtGkEBUgwKEO2KorzisYZRra2qLrTame5q+hQ1x/OSbrz3qEpFD
5SHWQ7flJFjcc7QjaAZi4TW2MtgSlSt0u+PesrjHce1pf4p5iJ3bobNbUIPpkggOWLPpY4Tp3WuR
p833ggz7a7EQEse62SXXNoQf/Wgb+AAoWwcoqDrdcgol7AZNQpj6Oh5G6rhCuHc+QR+Qcniq29iQ
17HBKfgWUvX42Fi0KhyBj5j8Ua5DVXaX7tAH9HZMC26Dft1W9V6Dssm3plHKO3OlIamgHQpXkvdE
lNXykXLgmZEfShgI5kgkgD57Y3hObHBRcAKyXL3obi6+Je7UY8BcYjOMgzLzwiQR7XXXWvqtqnV3
nL2iu4VExLrATI17iJU+LKo0rqBfJ2cSdaw/XNVPnaj7+FGIyaAueeWNlEBFrhO3zxC6YSIcZ/pD
h/1A5S46E2Dfk4lm90bQFLvnKAKYQKO8GoBmX88coi8NyrQKDiXYC4tn0le0bnE/6/oT7EqI1iTK
nidN+BTx07gGWJ2G9uzaJymgOwGl4CGziwmNEClblwNwhI5NbEs1msmznPSb2a6yT2m0hywHVLAO
SXGPAJU/FnMOeqfNses5jK9BUmJpBCzhvxJ1Ld9s3cktSFueHWSxK/qvkjdzHbDNjOt8Yy+lPsUz
enAFSvIoSjYQoJXZlQ/MDQWORt2Ntk04Bl45NhEMAcya2eQ9SODnIuwkWUXUbq4r/UiowRtZNwoo
rh8i97kfi6bLN2bVG+Q/25EntDSDR/gS+a15mXV1i+Of5nwFplJrnL7gsJ4zg4N7XMU4ab08uJFz
yWM52tYHiW4WA3KBj3EgUaCLqQhebXQ3NKvEuvHsvDh2BacnoVbuzY0T3AB39T8Sqb+KssQoGSuP
bL8Qe4SpEeKYjcfeM4N7uGewhDKMYyvWjHIz2YZzO5GZvykz8LBtXd51mQAGylGTeVKcIWSB0W0t
OorG2gsOU5HWJxZjI3ISne4n5k80MidUpcZcr5hlIKPkVeefgibNDos3eU+DRZkbF1t5XkTl3Rug
IV/sIq6vAh5Llkt83UiUd6K22m1buetOAs97SSg1v3ygSUKnM552JttPTbPeUIeINQz6KRGS2q+v
ZcCRVI3rPrfaMnI68eaq6Ucaa3OfSCfeeWWeHwaLkUDXjxYX7OSHorL+ye+hvzBYSQ55lWONWLS9
pQiMlyztrkqVmedWYY0PnOoORSk7Dh7WoTbLbzxmd4fOIGKx+nG7H7y5OVPicoGsUBbH/bdLsjue
CYf0SwYYeO/FlnTumrzob8QYJ1/CC/J3BzDug1fB/xgaBaVKpvqcx0vL5I/dYmGx84G9VU1afdar
1X9jaEnehYEOH755x8g04TdehkffzoywZqWhsZOmQ39NQZ9hEaNZvo4qxjMhbJXqnWrAmVZdgzxt
mCmR3yU+SUtuxoBPW86EZyeW7gndQO/YrBMyOCugpq6EukSV3ORje+yDk1Om67EOZmittXzm3Jvf
qQH9uZjGMj04S3xJtXRCn6p2tLe2mpprodcVCZsnlvgn6blN3E3OjVJLTEQzo72w8WpQU+lPw5Bq
vzoW+04ya/dR5QMYWXcyjI+RoNyJEdN40zO2RWdb23HH/orXmH7XH6kmCSZ8swpLyI/PPNZ+2C/w
SAnk4lSmPjKqVBpzHRrINS2efTNIcvTrgkOcGu/munE5u7kch/awSZIvm86yDfn+nAGATfzF4day
T1uOZdyHOBW61bJJ0pJ/mo4gQ9LMPw1tkb1Mwzxzwiax30invl545wBUYfSsxXCEjhjvgoQhrzE4
+AxNmGLRoMgowfwfJwYZ0n1Ppi7ezXYxnsA4mbtlmuw3oCPT0Rxq9g5ZVwiSXv0zVeYN+qSGF6D7
66ouVcQ0RJ9sMVY7vxuWk7V2t0pY1kPrjvlBlAUiSbD6rzIdnusUSC/J6mDdpCWOaqZ+cdQZ9bnh
6HW8GKJ2phnQnhJgyAQ9LB7T1U/3gRymR0t0r2NRuRvgO3E0AhYmxDyy4Cx1zvvY14yQF4dix6p/
SJK8PLhd+qvXmcsCYtdN11X0dedzrKMeZTMEP10fbaj3W0bSFworYQsVV8vrOKv3LkjLk1tk8ipN
KslLXr8p8CKcCldzH5QNaQAfyNkckes3I+Ws7Q7d1D/D/7ZOaZY9qMm6UITp5DlaBQ+xnduPReC3
T3VGljwBHfDK8vteg0uCdAo0XEjONjTJRV0HAU0q39nBcPngAdMHk9Phlrri5kE3rRc1JZ917+AC
XmRc3FkBRPFxqqtroKMi4jDQM5loH0H64wZ3hL5yFTUMZn+5/1ZC/Cwdki2rtaTwkhmumBo/ZTUx
kwb+kD54C05szsMbyp3KfJN0bn5iumYcVO6sB73iEh9063LlsGESFG0VU2LO6C2ETUU99+qOVxaT
HsYoazthO0Wa2IxeD2NMJR+mt7TXfjsXx3qQM4P2oHvklg8lhGPG5bGeK65GpCWWVN87eZvcJ41v
PJLxFntcNMFJYXbg/+zUGCtYS0M4Cs+DkQYfdB239xkMdNDsM1fkYK2AhGvXeFOYX3Z5SZZ8MFX6
2HpxQfqgHB/FoH8MIkjoyWqLCSmha0aG9LKKMAoxYW57s7hlmIV9N0iWh3JlOsbimh/XtKqfuexO
b9rX5l3M3OtUiNbZYhmvbodU5le64RBSjlgjWB2qPZOb8cab6wY38fIiuBe8BE2Wvvs2EAviU96W
V5MsElvMNpFDeUUBlrhvmvGpsdS91RcADqZ8OTFU6D7I669XbDPjwTJb8ZaNpELKLGhvk6lZvrW8
LC/tRJfDBgKKvUnTcTxxOPjWNei7mTuU11XOsttzj/6QKQcCX0MvLaHpTp6Y9g1E3xNoX8zGJhft
2k+LK8fzoGfBrK8WeB1LoIrdUtl6x/Td3Q2UnL9yQ1kg/lkStt3g9HvFOnzVmj4OjrSHJkwIYHVt
1s4ExjiR+yaEBHFapCHOKu6TI3RO1A7wsFFcxmPUJg4lsbV1A4Ab8563PrdO3W0V4GxWKeQEBja3
LNjz19pLxVUiaet9lsA9dZjaha0IYJYK1zp6i7oT5WjtPVtM37I0q7ZWe9lUZLBEeayGbeaP3T4G
KPTUBPI+dxQQHQCzR1tzRobkwVzAdyoM9/B92yIGgGn13aaZudcbpjne9Z7HdBV5nbTarKl6Tq2e
oYFKuv7o4//d68C58Rr38srCxZCW+dFRuH1IANZsYr4JGuYnecj7rD+sXkFsqSNoDDKmPrKfjyew
LPp+DbzsPoY2cIIjzN3TojM7jVP3il++vqqGlsEqvjkOnvaT29LFE5iwDKzC2wyNOT4Fqi5xxmfG
0zoM1YNpwmDDjhfjJO/E+1zoNazbsouyOjZOhrAHOIGmzA6dnyS3AwzVPfS3T2Bn6Ynpot5aLpMP
m+vuV+E5ThRbTQGjEIHwqqz6mXEahzYw7RQFI1oGu4V38STWYea0OYpX21/bj3LFJkFgzbIidJth
r2Hu3zHHJZbENWja1IzI0Bgyqoq9BOdGgvD53fRWl3Gh4W5rqgo53jAClhSiQ3pj6n9lcogOVdrk
dAHRWcDVtb4qzWF8qXLm8g7nkLsBn9S+tGD+mZ4bf2NLjskPyeIjd2J8CyusiQZ7J2f5Jj+ZEJUO
00UrNzLYDMxTanJbI4k+TsBcGN26PKfMCE9iluYeNcsi+LcaV7OVXxNMmrYMHmNivHCsmAnXLQnb
cv1yZUEtaxbz+Q4rPqpuTN7QUpLdQE3btrRQ7JjOBdVdtmQW8ZR0JC869DqSjvvRp6119ucg21Fe
zR26WR1/a1ELtM/yrn7VOSg9sx2Lgw2yMZzyTt25S51da13zpi41FJla1zvRpvBAYnd6BwwLN8Zq
PGISyte3i7cyBQEttKvttHlidsuUE+h3T8MjJviYgdVtpx29ZwMhA0xk/VOWjk1TNfOsCJJb8Vb7
xvIw5P5n7NnruVrW+WinyDKbFgYYDpjE32WlJiviZ4zBuN5fy57gEuDgaWfUQCywmvg9es7c1cBO
an+bO4Zxj2aKDmbL+d7NdfaYTmg+qM7u3lRivcEvJxn+YG2IWgnaH+aceT/3qzoZAL8f0nFdzgGm
jBDX2MJcnsw05ajwHC9ejJ2q2Q2puAC+yL19t7RTEFYUCxPjzqH8XdjwQ+71JE7XIhzjzmHns/Gt
biSsC+6nWFZQ58d94av5maJMdg9MQ9hAYh8Mbj+m8T08Q701VLoy2wouMmdBpxx7kmP4nwDPivai
7aJNIOhIKlRHkUZgWltgZc3Yhw7FndHkWu4W5s34iAy/dAca7Um18vqWWz83y72dcK1d7UodGXMl
XI7SfmtXI7gX7U3Dd1nhB+YYOlofxqDSJ6kLjODsNPMz5YIkauzG30u9lKfOIt9uupfCC8FIkumR
RPyJF9fkpADmibSl/piT0r4ZsUNQIyA4URr+8uiPZrmt4Ft9NSD5P83MEvw1POsd8INxeWumewGF
6TzxEmPl1BB1fJm635KGm3qeCueWyeNERGxJjlIayOOjQDC2TDqXinh19vmYAleE6r2Bg3ZPVQEk
Gp5O7qnusqHaHWZlbL9XEs5wm3HomBKzfhkmTIjZwDyRamsfvvF6LoTJ/cTBVapa57PI8/nA0fbL
x4tj5FQcoxr98HsKQPjC4eJ4vXX3y56US6uDUTPjTGXaRn53LUAQwyAv5P9j77yWI0eyLfsrY/2O
MsCh5zECIRnUKpkvMCYzE1oDDvH1s8BqQQbZDMt5brtt1besOgsBwOHinL3Xnuq1xXiETitx/46d
tfR5GOQ9PBgDE/rA4sqepYQ4g4QomheKVLkmPpR6WZ3fSQsz5Tj8CALlCRQTOyfiYZ6yuPoZAKun
WOFo7EDici0MkV2OWonPyeCJs41AuEIxE/OZ3t4qDTKDhVs4iBX9BJsvuKc1sFmOvFbCucrKyt9t
qqWPRH9vaavLvaVTFg87ijqSZIGlUkQRx/5crxF+mNrzSE7SmoO5uWHavh0M6hE6iEGPYtr51KJq
XaiNquxAW19HkgCSBHwaI1n9VufB8FCFOsIw1bLmgnm4RII7LWoFFXzdh+UhME3/HGmztao044Ya
+n2FeWldKsq9OZI47TsVTrVy8vieIs+NBudKiZ0zxIfDBWUbrAwGZ1FCoM8TAL4vrcGE2NnlsLJR
j7CJyzkGQTDalQEnUjEq6sIYerkiOjy7ceLE+a5p9LN74bJzgx+6A+TZfNelQHTmC8FRG33cDvLl
rZ7U1tk0JoBc66pfGxz2tv5UKJRQRrGmZeJeWWAWzyw78yGjJfZlTq/eY4fV3KgmamGfWOabwuCj
7CekuKERtA9+jJuRoxBwymSeZI0Eunqm9VTXzAw+kA+oMlqgdq5XlRDNVh0zhMul32/isoFc2sFD
XESh8d3RKLAWI56+nkSORaXlyo+GksC1Zc+6q4wB3LmU0Qq1bK4CaM6bhmyic8c3+7tAI3Ju5lmB
ftAjqmijpa8JBX+dz8MtjfH4qnfCboV8rN7GHI/vaEQVG4Q61b7V7WiLGAehYmOau0yjGOwXyaG3
wMoPDhVpo5iypaZm/qEmhn7fIfXYE2oX/ZocG4M56NE49e1mQacJrJ8WuKtBUeKboQiZ15CyIA3r
/XtQJlRqY7KApjFEAKdNdX9nQzvA9auY7lmT6i1nCcmXIEcNq/Br0oxvmOeEEo2Ecvo96q5sitFf
DZq6ZIdsYeOOS8QHjoJuiGbNOU0wii5Z7lykiSmCVRnBBAmK5slu9eKahSTQl4OTAhhlVVkZA1Uk
AnYoczedfaXqDtpFnBmojxE4e3lenuc1aBVf7S4Mkdz6pA9cmQ3CYQoSvk3lrM1IbSiiC+q64dKu
uuiuLUcolimKQsqkUbLSnQo4bkd1HeBadBfJ9rbz0+wSUW57wY2wP0KjzF47HSTYX5PqJljgglV/
LDYE9xkLtyWZWZZwIjHQcoKnT3XuyCy/Qo9hPItQoeJJyYOgdiMiDad10DOiH9gqqKwPdF1g7Tnd
rAB0wx/K2D3nSZWQvAF08oHCVBwsXd0KL1sLq7EpiDIpS5ZCMFfI6UkPzLfJhDSbc5ProQnTvVqg
QETrSWaC1sfXiIbwIAbshHDmiGswyv1LleU9gSuuQvWs/uYKDiML1awqyu7Njym0+x3Hu5FiJJsk
202vIa1dpaVZnAuT3T4ZO1iIOwtaDIfVcVihCOtxUXMhijd1ndUR8Md+gi2SZwLv6zSLS69pKmc3
cRWw/0ccqt9xsLeMQ44s/3GMbb+OllUg82LZsGxqmGUHM1oKUlfal6ztqKgooqcH45ixDdWZaGPz
W151hH3BPzOqLUkdSL4CfATNyuwi8YLY0aVJ2wrwsIZERwPTT9yQzyJqr8tmqcVQaH25HkwJSsKN
kEguaGX0MfAckJVBL/SbpiWqft0obXFf1KzwVCqLyiMvPb+iE5evi8EK9gptsGAXVXlEYvuA/tob
w9D53hnQ33DK9/x93vUMGIvN9PyiHzvUv+f1pDh7qmPdNVMm9QWcHIjyMlFhQa3SWwWF0Yttutey
nOwfI82hlQh7bVnnzhU4R+qQeeSkXkOv4ybKLL3nI/DHg1ZMcLJzrdHvkM7mDcGcNDvKtDa6g5n6
xS9kP/21Kk2+esmJrd8pSP2v6yQwvkVhr6u7Li7j65gDLCbYoYccYaUO8pjJLeSF0ctwgrIWVu4d
+t6aqk7I3PCskz7ZLnvyKpuV4UJ6XQIdd6+Yfzm+poPOQyShicqO1RpJedGErUJFCqjZrV1NMPVj
21Dlfeg2tbJLWyMIX5ANogFKFUYPgv2RIwrhtkIGRry1DJ7rpAt5Kccg2iQ+W7OtJpv8aWTxWltJ
gjs6a02s5wUBLggDuqig5R5JKqeKvIssxVzzwMRZq6g1hmfo21Yqfho9E/o8JZq1268591VbBzzc
hclRYTe0ffeDLW+ynPR67jKjWSI8DTUpawOH7qReN3T3IBf26hZ9+nReRLGxrIWRLVWpj79dFoLb
TLiIzZAVWPdEXBjXcOMADFmTcTf1vfOoVn6xcpUI4Vef0Mn1icI7wGYHXky/+qUwS3DacQ5lyeqw
vowVrVpa70idaLBVB0t1HapeFZVf4K2UgGzZ6z9lU2VbWdGcSvrm0ZAdk6le7c2igvHa4FK6a4ey
XABlHX5T9VS9ppm3V6TiPBXF8ByUyDcjS9PgDpgt1n0H2rIfUueJAna7zNDqMgnZbCIOoyRc99Ze
9aWzqXI+WURS/X3GKFo6MGWvxxFVf6hYxTmJPgxhZRg1IMNt7lkasgXBzuA84qvcZbb2iBpXfIc8
qv2IyUJZg44M7wY5WhdujSG7dOmlVLlvedIYiVOZ4uTOTuS0ozdzy7ZbQHdJ7X6DJoFXHE3OOahN
ulidBAysR7qzZfTbt13eoteEtHDtFJ31CN2TZRZFeuF1SgkXNJBoGKIKaDpTlHqBakZf1PRoH52y
Se6COhzOVTGgkJ5L4bql3zMjibs5D2rfZfRncWdzZhVJZdMz1POEkw4OHilaCKNzeXqyzAJYWLdX
e9u+VVIkxaMk3qtSfw5j0CO/jSg6aFRb97k6ES+EM4z2YqRhYyHGY6JEgfEryFGFUIir6LotMOme
oTHMvcSxnW2jWuEugQXLiVuvLEwhaHIHJt2HZHYetTao1AAc4Tw5Bng7LHGDWL9YWgalmtHW7TWJ
FHB22NrMH12SXlQFYgDLCktw+zqfVzCLOgNAlvRfwvC81iqxorD0o9YDi20oCNhl6tTDMmglzV3E
n16Rmc2Wz0tsaVWbQPbZxKcMxMsO8dzN6PjuCtQ0WUUWLDG96x7CNI1+t8WgOUvkSPVPVw7ivC2r
4sdQTfptzxSAkt3V7mTeyt/oFIbflVvY20yBXUyL78bQu+qsVP3hoAg+MzcQN4HQrpBvmveR669Y
FYj5Enq6S3wX/z5mfUdUWOj5DcC/iQS6pBVV4flCf6IrerKYAY03cTyCm0qHlzEJn6WtU3QjGIWA
rDS5swyrgKHWVFfULWW/Lms2F36jHQIH8OgKtaR/5g4DWIwK98J6rsIuFJsWa8T6ua1FDqdf2g3d
4IFewDAQbqMaOjsQvQjPkiD+5oQhSmckIu1DUqRUno3EvGNo4K+vDASJjmVtk4AZo5IVP0lO9qFD
P0bRzxRrJ58guiB6XqnqRDiUzHQy+CqXuBgk4u65i6/zqsriDWF0tTfqav/MqFfQ0E7tbVzIZNW6
KE7Cnj/rhH6/JZ4BfHXXGs8DPYOtpc+weUm2GkapvLwNlCS8pVXU3yEiFbuo8SHIYNlF8ZyAcDJJ
gYC2FuXisWiSaBun7je18a297bvGWV1IAzpnEP6i+kE9NsyURFuyCOU0V4reDH8WBoYfKCnZlB8c
QqU2bVLvCo1vFj6skVwOSjA1B1Q41jqIgLmumwiaaZ5EMbJxuGuMMtpVzVTdMlr8p7Ylx3OB5lW/
rDurpZxnCBr3mCXILKF5vHUnYe+0OZosUQxrq1hTvCz1uD1YVtRFDxlJCnt1QqZsO7W5ScqgWTVI
Us/1tq3PwY6b/qam3TKCtFdzbZ/YJGwTk132wavjCGYgDdPY8KSA3L+fKpQbyLAtuCaWPR1SEWPR
I+amBoM8WXr0FOOyQcTTKcjWUalGWvs7czoYdj6OQWhMY1rF1xb5eC3gu8q8swtUeR45qx2sf8mh
Rn0woJc615o9BvpBgUTMSZ3mroxWbkYO50TZyoVaXgSDqdz1OnGA5yjJu/zMyHTCnyC/YkWvkzBr
f7SjMJRLtGRpcE0rtwfwWxlG+zIarkyQgUWKkn2blMrHsKQ55BaBKqEuj49A1qTdhM9uqWrJ71Dp
FTJ8NFoxfE/T1mQHu+/MCgvKWFLWMGSVeZbSTBe5GKal6oASQSht3VKPIbhSQ1p4ltb5eKHyzW9D
p6nRJPuZW3mthnpmcMtgpVWZvfY7jHgyUl2vUw3/toVmkVs9NUV0OCQHHGJa5b+pJdXfbWvUn03F
TG2KZ8JKvDweh19UKMafU9lr+xYuwLPU9Nbe91lRplfFyGFrnSsyNvZDUTHmEJSLn2UUkvRcQNqx
UUbRsvFbxJx+okBENvvxtxVyXBoMg1DNYcyQtZNv2zsrRDTYtSoypSC/69RMFgrY5V/FRPtpl7Sk
5awS1rffuiqmncJuZOsaLf9bwnd9ojXtal7YXbDVsSds4eLzsjnzrS2CgcYFbnGChRacZf1wa6Z5
LS+NVGnIt2lkpAlyKiwXr5JMCdx8jOqGUCrUCWaZ/EQJGlJiowtqjfJRUXqQ0pRp0XLWl+wXY3aJ
JtkACb1YV7QroxqV5EfbZk235SwZmfHacdruxhClqseIDVUTJA2qkYAGQNj5aORWdhgVmzEY0ke7
Fo3jtdjYG8+2/f6CAnePndbOsxIcFd5X8ODBd9oK8ikvJjv2+sBHZ6DjuNBGT7N92s4rMtez4JGp
Mk0em4ajmKoaTbp1h7Geg3QKv9j20tWoMuQK3tCFOsvCOYHoetCupFPwcOI+rZM7FEV6Cwin9KVy
9Y9Zl/w/ifY/LMAK/12hzfKP5OzlnUJ7/hN/C7QVS/tLGCp0EEOzTFWnH/EvFO/8j5BWOCr4ATYm
uora+l8Sbc38y9LRTLuGLlRi5W1IJP/EjfCPhOqijaFFyjJPosqfaLT19xZ9k2ryLBAXFn/F9qvP
MvG3wBFN7eOwjTRgam2mrslAQJ9NgCvFKQVTEfo1vZ0WdhkiFDDSMQdoF6SNZ2rsZKskswHgtqrz
K8njvSFHpUInWV5p+YCndSjwLeJAcnYkHbsegWM4FVw6eohBNJ3cxtKR2iaPW/UyjlCdLcI4MA61
03ekesrxsSwEbK7QkNmD1WniPq+ybtMVybR3OWyfcWAgcTBBV4MsBSvYqsizq1Jrq279v4Hdjruf
ZK1bABn++8g+f05/RvK5eec9mP/I30PbhjFtMjSxxGqqTpPh3yPbFn/BgrAwEsxRFHQd/uM9sP9C
jg3Zhr9Y1KSZq/89sBX1L1tVYdG44BD4g8zPfzS0j/AXBnliBlfhA3Nth+/vCD4RjcMYWQ2IBDbU
rnVTcOxYIrIkXSYF/WTXdXSmuX+G0zFsR9MxOvAxgQPiBo/grj75ujmiZsQfVZ54WkpvbMxZRN68
hk9gOvYRP+TvyximqWo2B0rrlfzyhh+i+SVBKH2oenPKMaiFle5vydIawDATBBA9Fcljkm5LFMDp
vppWlbvEk6kmtKYXY7Cr7gGEKvbeSi9KBdfQkhA06A/8R+UcgVVdLKeSzQTVI4+jMAe1lDORtkIK
4xy0CwjCdrHq5dmsTq8XFty1ENznMn5OfurPbrEhoU9RVvj1GpwYIH5fxpeqx4rg0XQwQL5awoum
M9s9kJkyEWI29BwvvDJZ2ZLaoOf/7R16Gf5v8Kv45Gl9GAe8E2HTZ3agnhumYMS9neH6mk0r6BOA
1YKWq5pMq7AneYI8pJsEs/7SnIJhOU7W9dcv6bN3ZNhAhlwubhn60WXTvIS0H3BZgr2GNYdhylxu
U56AFh/N3/brULCF4MYgs88em/d3JxsxDiTBTgiuAJR4le0Z+SZszns4SoV8MaxFSXiaVT9n+UOT
XmjmZVbMoYRrh+E/YtRYYkg1dhrSbiIjrmr3MYG3lquXtthrNqe7y0jSGZ383dA/jfq9lVENlk9B
dzEkP2R+4vv59HZYES2DRyfmr+j97dRjaA+ZTdpT4Cw16xJRE/DyeB0Gh35Ul0UEEzeeibvpErqh
N+A4N/ur2ORvGclocZ1NV16ykIXVWTo9m9FvJdzJyvBSm9yzhtLJIa2bVdnvkmoVdp4dX7iGZ5LI
jVianum1hUd0BgN0u69Hw5ER6vU1ObCYmAsZhJpzNDHgR8KtTjfQSzHmLPRqWtO3Gqh5+ORTdJKv
pTJOjHuNPcJb0NLrNV2aw67JJE2sztGz1M0pQ7NiTlSZQR5Hz2mU+BegXw7o0ynBSQ1zTNJtC5fp
sCv1cONMtvf1bc+D/A3raf4Jhm1YlmWaRLIaxxNVQSHdrnNr8Aimo+woDnpTr0iFeAEyo27+/FoO
FCe+9Plzf4URvZkUDcXu1BzPgedEqPnIuFcd20ZXWKAG7FW5/vpq7/dNr98dqxhLHzY6QY1q/vzf
XG0sMbUKkwuJVj+QCYnFAAHkIgOLQSWvfkhsexknDS1458Qn/8nEwpVtoGKWySJrHq1rwzBUSdUS
ck9BDqKO0eLblVZwYo355Cos7K7Fd6ipGq7A9/eH3FMAvSiYV1raQV1e0bUy9PHE+DjGws0DBOKe
67KWYVYEx/f+MkmkgzfqkGdgiVk59FKRx4UrvdOg8dJ5IknzMlcSRL8Dsgql7U9M0p+sDSb+Q8Ng
4jTYrsz//M1bnNye8j3COTgn06yWeK5aFGDqKHFONOO4D8zIYwSfuOonkwHgNcE0YKhc9XhnQikY
FSaGaQSqQ7IJhUajxsWfAUAftQe9CL9cfD1aP70is6qtCnQtqjpPFW/uM9GqBHwNPfO4oAFo0E6m
cOHPmKRMW5YKHeUpdk/xxz75+PGR2pY5m0D5v/lHvblo6We4zeQAfEW7NGsw5YFFZoN0i98jeeRf
3+Cn1+I0NX/3fIxz4Mnba/mYqZUk4Vp07tb9GCmg1Uh8sGLA8KOinfgEP7saV1Jdkz0us83R4/Tb
iLICAwTo0L0cRY/UoqD5N9J6n+CLfn1rn32JPEN2ehb/YSJ9f2s6yC6a2hQDRISeW2DXg3+PUOvr
q3y8JfBjtgYbkd4V8jtOsG8fYBdAqeDMyQNMZuhU+l3K5MdIJrkh9OjEyvRh7nQRpRmGC33RsKDy
HA0Mkkn9kq8STowa3dd17G+6LoDvnagPgCNwncnEa7QeIJgpT7w5bd4PvVuRuLbFuVnYRKAycR/N
nuGIJ5he2rzBiF6mmojBGDPygDrYawr0W2qFDwgkNJrjNablcK36YinLODoxYD98kfwOVzVtYVIC
YGd69Fb9AfV809eq10/tT8HXsSpVYzP6ySYRKEcjhabk12/401tnO8pGwOI0ZBpHrziunCkbJInt
Oinsi1mC1lfudRzn2KE685z0s70QgbkEx+XSQDF+g1WiFkqW2IkfMl/o6B3gkDA5/BEOahnu0dqi
kjyt2TY+DWqC3QoCy+z7VPZqXKFHdszLEWrugipfs6knzFGx3HUtaeVueKEYMjyx5fywBHDc5IiI
EoAKDLPx0RJAUA6Nci2eUBqWAa3BcJ6LlxXBXVVfWziwwn1Whr+/fgTGh4+aCo7hCoM3/0ojOhqG
IrAGkUbO6KlagSP8t+R4EATfivIXX8yCDHoAVxC9V0q4aqy1Oz1k1oWRXKjN91Q+dN1OKN9DojRw
6WL1uo7mGI9+GxDqlyXQqjYYOBLzF14POOcGmQTpLSyvUVuVAp7lQzw+yZCK+3WfnA/N5de3pr3O
fu9fL/vcedsHmICts3k0ziYKXzEWMxabemuoe4Wzp23+HJ2rDBFD3TxVOZp269If74r0zHc4s97B
o0fakIUcYMyLun/QkN8H1bWBQCdqv1ndprW/OeU251BbbPCmj+66qjaIi2AxS69Ml3heS2UZgFq8
CvpV3e4KgCz92o93qX6IxHXeXSvBT5GeS3Gml89Ffk5SyNOQbHWqtZbXWde6Btna078NT6lYd+2j
DG/T9AK9l9kdYEhbJqxpM/w2RN/khAuF3vPtZOx0IgqiJfkhWFB6fzXezK6FaaH26ORbpHJXLYnm
JHpW9wVhm7Q887v+JaZiFd3kPqHDmyRd+tS3720a/+pVOF2wGccwR+uzmVZu6SGH5pBt6me4HhwT
Sy9pDzRTehg1t6CUHPtgyw2bF8XZzRtRVDSVfYZO1lG38gn/6oDtCOlfSwCQRz7UwfSXVnepinWW
QAJflNg0lT1mvxgTv3YV+skaOO0kf2QhzLzVaC/QLKnT1qjXdgafHBCWRnapoz+r1nm1gwknsDjL
lT+cEZWlmSQD7SgbosL7elR9nC4ZU6CRHQpLKjjTo2Ouw9qU5SStemGh02DWoK/XQbwKlOxRAo5a
OszqJ1bEzz5Ri92vCZVYN5wZE/12RUTUD0FsmHf4/D/LTNLUc1JMXV/fGNzFD7Mh+16VbZlQWZe0
YzLyLByixWCPXi8v0RhiGrbEte7PPPPphTgrCKllfTd2N4PxUzd+Ndg6JTEgeDiFugsbD0dRjsIC
X6r0Orgw5baNVqa76Wd7Q7jUGs9yAECJdd6tJES767kdfKOcZQ0hAYtiFV5zZDHEomMTSLRDsLfP
Mwwi1jo8a89bE4wNoTGLqVq6G1RAF9WtsBdoaC3YhZFHtHZxTUGhcDG3b4ILmR7Kbpvpazdb7AjX
yPNF+iLbOye6zUGwj7+ndaCuaE0TY4DNnI+evhIsMbQXUQrL6LGcXrAfmsAoobdLzxkvIsxqDVa1
b3V9UYZboWEf8AZ5Sz3AsRdwJ9th002e7M8hSE05n8girNaGs2+aJ+QJ7bU/PRbpfWYMoNzoCGnf
HSABbdbvZ8qfJEPLUp4xVxjlpd5QDENyW1dXMtsX3damoz/+/PqNf9hpcWKkP0OFgyly/u/346ot
YDJVmBK93oorz4zkC5xDDjemcTb5iCT+/GoaAGhK7CpUXOd4obFyQzaI47y8h09hUMPrK7CpNqJD
L8cO//XVPp7nKPhSiXJcWC98sTNB/e1HA9R3bjqNI15UBzVJhuMj0JHII5jGiMbIsxJ7wBJIpnuj
3SKNMU8sP/PTO1p82CSzkzU1h+f7WhR5c+iI7bIAO8f9DpPLcp5GyC6F25z4aj95hwJKi7Dwg8wP
9WiJE6krdQO9rJfZ5jqdoDxitcPeo/k0Fp1JnHisH/co87Wo4uCBpilkH22Y4qpwsw7MHDRNC+mg
sndV6lscQ0hqyT0/xxBgO2F5Ys49vkmSfmFeCurxlONRCh3PuaU/VSaeT0/P+6ey6PFFO+di+lE1
kXLiBo9PBFyKy8CuY79Ae9o9GqUxkdIBNgTqzZrbnbPylQnKJaty72cNg/D3Mqo9W4/G9dfj9XhZ
mcv1DrdG0Z4uM7/i/XDVFHR5iKcbT9fyhm0+YXYtVQdH2JL6Q3+RS0f+8a3OTROdvh6riimOVzI5
jXaGnrj0SGlWPJq55xUWfU5bTGrVSzo4oceJBLiFne2/vtmP7xPmk23BMIXuZHP2en+zICYxVCRu
4bmYuuyYsPiuYC9TjzPCc3Jv/vxqLiY4TL00YKzj+xS6aWFlIItIKYJupaKBdirUGzE0qBVqhenE
av3hTfIv5OuwdV6ioIl0dHOlJduJjSU5UM5Qz6IDPkTk1V6FuQZ4dvc7yYroxKt8LdS8nWwcAatc
UAJgUw5NyzwaPtgmFa3o/MwrnKspWrvkNqj+wanv7Uq/7GploZbs4JDF1Sje4POViNCyA39D933q
vwMdnKCp1cQufQ/lPdoRTBnrCLGMWR664py/jkW86t37KmI8kt7E/5b+aqfd8+/Aq8S/wIQVwV43
TeY/qmTZQvMPU3H/h++S+7QdygJswOZC8tF9kkZtmKOTgG4u61u/B7tYlSRTlAMxRKZV6idm1w+z
ARUVBs3c1HBd6gTzu34zhw99OVoDMFSULxzLECayoLtojUuxStP096SHqK7V6ErmxtXXN/rplTUu
z2YTPr9+dOVJQznaFlXkjXHyKxy0fmX3JklIMoQPrbKraaYl0jsxuScu/OHbnG+Z8hz1axZrQxyt
m52Ikkav4oieoboZ1QAnZmRz+Blbd1lmp4q7H1oDTGDzc9WMuRJCBfToa0lhh5dmOw24xhvaRo1X
18jvsmbYmb01XhTNsM5dmV/Qtgo8K20KD8/nia/ntVD9/uuhjE53ktovv4XWyPvXrJe2OWT1MDD5
EvYGH0xVELDea5LdIQKEzohWKnLcrUo+h1ToZdLvjHYG0U55umPATwWhV2qCLHo1Juj9ILNB/Azw
U6GH5APJb0P6RESCq9aVW+04aHMuxPXd0fhAO+C18dqvnkvSxQkcB7aKhG6+OpYAZSXBoE3pQx+t
W/yH7EAWesnFDgCYlzDj4NicGPOfvRJzfvvMI7QMqey/fxoyhtma4b2kKHwRaQPiVjNrz6Y4RpTq
QwGZ1XGZZkChLs6kMqLrpU124kcc7zPmkw67J1r6KtA+kHrvf4Pqk0xSTWzNNQmPGB7lanCIEpMP
9gDgN6qJgguU9def3MeRz/JrOqZ47dIyj76/Zuqg9WvrqvOmdvK6jtg2TGgwNwzKFDDsv77Yh1VC
p+40EwfBxc6F4qPPjKZsVYANbed9hrWI9c5Z5hqnHeBnXj3Kpewm88T9fXimbCw4RJp8Z+r8aI/u
z4lCu7UbDG+xUQfbZvTPqf2tS1x0C31Mn4NWJ3RkrOSJO/0wk71eFhWCwyfuUGN8/1h7JOV+b3Du
7wKkbHEEUC50M/vcgZywhHTC9jFwNlmDuG5ohvrE1vE1xOXdtz1fXpgOUwvngQ993GCYxhQeLgbZ
LLI3yUAOQUyTmvlsRxZt4+Wd+IX61dmzqBH7MpkyXLcRYQp+1PrLFGz2idnm42tgfuWlzzsfA8nV
/LzerCk4jYRUXKKLpVKd1WaHzQr9Zc+CShDRbCsuHvv4xFnkw9DWab5SBnOFhj6RQuf7a0of0bEh
0VJwZmr3qfIjhR6Fvkm56Mfq7uuR/fH+5iLyaztt1o0dkzajopCNHdXkfPDZbGDDHwKYHXvVJcXT
7rw8cN09K3h+YnR//KAYW6rGZEGeFlWSo427G81Gv7zASClkhfGsWdGnVzepL0ZM6wDP4i47MbI/
zpQ6r28ul9BDo2fhHB2+crPRoLgkhQeqnLg/eLOLngr9wpo6f5cL9Lmtlfaw0jIysztRgebpw6XU
khNr9sdPDEbqLO9gR+0a4njL2ZUJiIBKJyopEZCLMGtmbgo2MMqWftXDxmJADRaBeeZ0/fXL/jiw
3l/56KnjVetsWDBc2fbswfFX0o1cDIymvQriE4/71F3Ov+XNh1NSurKZrTKvqZTvI6B4sO46+qlg
obcXU3swiPZag6wNT1x33oK8n0FmAi11sVncwixydF1El6ZbdiH1g0Arl93Y4N5T8uDEivfZk2QH
wm7IQcUGLvf93QUTdG6Sg3IPc+0cF03GFMDqhuwpnHvhqS7lJ0PXNZAnMHB1+5WJ+/5yMXJqdyrw
HUOtf4ms5DfCfRw0mn9OjMh54VerguUfhLS9o2kRUFC1dl8PHTHXCo6eKz8B4SdHM9dEEvX+JwQ1
fY46wMNUyO9lOFfikD7T8IvzA35kSBa1jM4KiHQLeE3PxqggBaWGCGnLXyRI0Q+QFcFh6qJYaZn8
NbEDWzthBu1fQbcMpPDEUvJxYuORwWFhnLFJ5Km9/72dbsY6qs7cC2PlspTwQoEOrq068VJrJMpI
7RfQK7UTy8WHcYFc1+DcioiPYp1pHW0UHMXHoNTEiTfbWNcg/r4r/UBwh/2oZ4nz/3MxWA1AnDlz
cJp8f4uF7+DHasIEM3sdbDQ3oRpKQkFXQnOj4/P1APh4Z+iqoD+zzYTJ/EGiiN5B7euQUilgwx91
1eTb0nE3OEy9XANX+OcXs1GqsOEiXY0C9/s7g2CJdRI/puebuBMta2P6hlxAhsgWQ2T9/vpiH9Yi
XC029Ud2Wyy3xnExZyQ8xGixmXowJDkex2SyVq7zPPsPtcyWuyykpfz1JY8B14ZzdM2jtUiBnGXL
iHOb41fOAtTBpijJU0ryTv3WNSS2TgMNMKJzSdYZllpYb4NQuPuE/ekyh7cwDZgJB8U4s31CmnLd
PlHz+fD18PtoM3KipNRsqccCl2HEs03hBE5C6SgEsevppWh/VIUPiLUbPTcJr5y0L09MMp9clcmF
kgiXZepX5znozZqRRZYhGpuACPbEuzAyyYLBBkiGLEBDgqPdX63inHoT85r3n3nN4RSrW5TVZkny
PKyPNRlqCi/PrRwAkZZPvHZ61kLO2VaxtFd85vdYxbTtqAC16lztZ5N030ZjOgtDIEdKP5Uzi+YZ
DK5/4knM68fxr8IIze6AkgID/GgeAZFb975CEMNYWue6m120lQ+OogniXQkNzdWfwig4RGDcTrz4
ox04z0NQ4aPgN7PccU4eV/vCPDA66tR8DVG7jTF+LxBEb+sqTddwq8VGRUfZkJgEpymIVuMQriI4
icUuN+v6e9BPDye+lPfrzuvvsWazwbyeo7Yy5yf1ZkwMsdLbKshlD2qI5ekVic2OpwR2vXIbKoJB
UWym1v1Gt15dZCAfT4yP95PDPy/PwdZAD872+FhzFfkd6ccxl5cNnVCcvXcKtMpJUa9wq2Eslspw
4orvP4J/XZHjl0mjR/9wAisHEHaUPcmBqESwLAkdvCRCaSocSHLhqG8rCUYEM/vfU+7/fDj/eK1H
/He7wq5Jn5v/c/VcP7/8oiL1zrUwVzL+lZgg/kK2ibeA44PGeOSf/J2YoGnaX6hjkCPN2wyWSOby
fyYmaDYRv3NtmU0T8xkbkX+7FmanDjIwjpUsc7Mk3/kTO87ReqKIV7ksabxHM6bi4/NMiGHdm3V8
ESfZUvjZPpmxmoWBbRptt658I1XuYjA5MNc6LX0ReJHOFtG3ukWvly/kw5DLom+//m7N98P437/o
w/dqtqLoCfLZx6W6BywA1r4oMXjThz8D/bLuitpZ+DWUdn1sD2AuHHy8Dd/u1P2sYoGQB5PgYEx7
TbKNtKnHayBkPbsR5jLK7Gyt5ekdWAx7nbYjsd444pdWEd8IOyhuNIPzHFTqfdpFT4Y+7aeJQLgs
vmDufRgBMC9IxUJjkTbBFoqhuZqcol3FFT+wM4CpOf4uyAovnoIrtSjuQjW9wz10YWew70KIoIve
jL/pPXC+StFekGE9aN1gUVdUb0eyyFDO85eutS6nqTmx2XsV/v9nSfjPA50f9JsJUGtLS2mrQe7d
mOKarBwg5txzEDqYVnsN8Bg5GLMrNtIWkU/pv4yfitxGsAPn0RgCZq5mU5i94HRdbLPA+jUHlGby
e2djLVCGqzY2FQB+aYBdus92fVCyfRVjvHRjIVf1SB29nyTp6saQLqfq/3F2Zkly41yW3kpZvbMM
JAGQNOvqB3dnDB7zpEjphRYaEuAMTuCwm1pLb6wP48/+MxySyzthli+ZUiIQIC6Gi3O/M8NTlfLn
wK3cjQ70Q9MEJzY/73BP/vtXNe4YfOqJzh3wU+dkvAf/+aqtUM/b+jcY5AtYWJKNpmCDSpYEr4mP
+TsH42eaFlmsF9FvWN9c4HEcdEXxhLrFcxSufRvCHtZPHYr+A1H84dcQ1WCyVw9yFveDaE49J3nr
we1XX2k9Pn/4Snkd6TlzSLNvQWNEATgqXPcpalki7JR4pD1Hye1jiPdssNRW1MxnzcknDpgIcKu7
vB2hFgaKtMgxfQFeLqDuA56pjNzryO+2UVA/iml8+n2Euocn+r9HeR39D12VlZIsD2S7R9Z066Yg
hYGUlAM6N+sB+OVJfIPJ1GUd1s+Fnz0tbae3SF+TC6r5tq3VNUwqQMRrTx05j31046zPMwQ6g+vq
PgQhf0gBQhkQWad21fd3w199GOOkXcmIZ4K07R7o/esG+JCun2FCwJHMZdqLtjqowLMhgI21FGWF
769GEkDnwiufYCRS4uVR3iWivxq6DnyjIj/3mcw2QZF+JkX+5IKlBX+sH7//Noenjr8/jXf4aQL4
aExzXbf7qQJ3RfyIQDzKs2rDmABqMDixpBiqi79/jHG6BGmyS8t0aPZuDZoiKKu8KTE+4hy+yhvq
1rugVbcDhU8km7e//83eX6R+9R2MnSoBq7WaiqrZj9ECREJ4BWQa6E4UzjrdyP/MQQtFKn1yXnIx
wHwlu8g4O5tgqLJz2r7HxED98aTh7lII8gds4JEzaPXXCFZfGzBn4TsWhKc0Vt6Rz2AmYDmbHdSK
h2rfj/qzSmdv44GIi31qWDYhXTwg0otzLqIXz+vOJFsmlL+Vr60nYRsrIKrA9hLPpP+jHFBdJMQt
0h+7MoJuljIoRfnVOKXfmtR7HGd4duLMsdoxO3FXkpsTg31kNaLGnrGEHbysKfA3sO3MQPcHzrqC
HsLnzwRATjb2uwbwzJLmQBqCe6H4GQptNrCXvYMn382M8nvcmB5w0gUfe3gcawLVV/ANC+1FAq/J
jS/gKfb7rvrHumqs+RWY73OZRM0+64C9cgYvvF5gmrSB756+jcaFx2LGCUVOKFHUqEVYvcwea67I
HXMFx/tfiDpjDQYq0E6bqPTUhiWwb4NFjR/3edddFF7y4ozZJz9xXwCn+RK5eCsa8+J86NI30rkS
JxEcsNOJIDMczFdhibw3Sk2fVyz073/J97qlX0x+auwOCUBnYU1dtfcycAur9IrzZF/y6Idm7kVd
Dbd5+wc+1xVb/DMKX2vYop1VRXVKLvN+bfzVzzeW/Crs2wESbbUHQgXwlmUut7rEoYe7nbxXOFJE
4AVCEYiqDoeMX3OfflNO02/TIaixXQHBDD0+JIaz2BUzQ9gO36cSPtcARwybvgO7jZbugNtKC5Wh
nECsUAuA/CqnF5PYBrAO8lV7VRaA2yIXu4HF4LirZMjiKIQtEx51rkNgvM8jR1zgCeBtgfM3jmZ4
Um1KsIAht+l2ALi8LGFxCSA0UO8wngaBnzziRjqeadl+YUnmbxoGLN6MGge/dm4ByXnJi+BV+jnM
7IhEHXp9XQr/QoEkPI28PWsk/fz7D2xkSf+9opriPJj1jCHXHgBHEw60sNR97jRtdkpDZj34BNwp
6fVnPrj/8Mfq/U0xVl7MsSjusBMjEYqjyBa+f2+RVDieK4oigkTIOIFpUDvCUreFR/eJyfi+CPxq
Mhg7ooYlNbwLBr1PqLxt9U2gb31V3VO/uFoT2Bs6sD0bA283BW7c4lwQuigYi1oNvfKw7URxPpU+
nHGWP7OqvcunzyDA3MDr6LxRGsX5zYVCqe+YwmAkoBctMKsFFfhdk30StTjicMgk4QZTf0nCCIpP
z93OQfuY8+AKoNJzrsvtnLgxvCULfo21d+M416X+PnlANHGgumURW34zY7OFp3kBFJxu9wzWbOf9
kMLhpsoDqEfa9NINIc5LwjSELwuwKzVH7jrBQu0sSHq6bHlLYYJ9QWGEsklhXBB3QM0iOxGCCO7p
cuNTSfFoCzvIE51dO/Wrj2Zs2Q48ZogQZb/PYPfpbesIBdkpz+D2U8kEZ+XwThTNuKvXACT+EGyB
Guq3IoKnx4rOg4MTdLuSyfQ+TLPhaSzxnLsstL2BXAMy6KrutzBlBq5FASvHuxPnmRVk8ctuG7v+
DFuKFFDNet8x0u8WCrFw3ucgNnWpe6ZhWR37UvVx62fjDpYE4w48yRDYNwaLadFcZ0v6GDTJnRrm
CwY3r61iODPD0VjGSJPQLXDabJNCsgLfz6yHyicowHnxyMbzMlQwByXZNBCObjs3/TxE4r6vS7H1
hEcvUB0IEb/XwHTX0R6k8/iDZn3ST8k8bxS4LZt2zh5ZgkPfempMuqKGG0J3oefic9jK+xQ6aUWL
8gZRdNkk4jZ0qhgwTvCNgwGaSuGTaouSou4ymfMccbSe6kk1nQMX+trnPQ7VQQ2D3xCfySuKVTEE
lwa72fJeLv3hiI+yPT7g8qr2iYMifaVwmQD/RWHfK5Npq/scQgkBMW1QDz8m6gEu6ahl606diiNA
HOPa71gMxP+r27F9vvgPOvOv/dUo3m18djd5+ppWFRgFqH74fZeP3Up848hSj6qiQaaKfZ6Hr1L3
X4DJLjeMjGJXezCai/grMoSvpSfv4PnWnxd1i5WSO9VmqaAPbLz0vitBGM7SR8seGScTH0su2FAV
MhmNm965c4bcewqm3RMMI1a83/iJecAseXjljKVLgZ7PqhG22c6+pbUMzrHAMAjgkTO6EcmSnrer
ac6Jvh05oZqUAE/P4PX0RO2FXOEEPnRuzAcn1y84i3GImi4BXQbliN/1AtdmWCaQDaqtUbRSuhqk
loneyaGGWfo4eMgnkBoLd9af2GGO3S98dniNcRcwO9Xg6j28dy+9xT0fa7FD+dZNENaXHKEeDssZ
Y7A5c+XDiRE5cqv1jWtk6ZXE9Yp53IMaCC4arDpLBvsbmNrIBD4QlJx38INvYISYTxpWCclL1yXn
Xjo3yKDAfhbk8vtQ9lcnunMkDfZ+3P0QgfjobGxAhN4HWr/4WQE4cA+byjqf7pNswq2uQx4FDqM/
Sie4Wo11IE58orj1Q2y/sNjvHdA9XfGtTinMSdrsjYfOiZpGbx2SX+wlpkAb8xJQf2ca9oPk4KIF
WnxJcGb+053daA+AJXx8ReNuwByE55++ypENK7ruC2H1dZsiGwD0F6qEQq3OkDFI9zhdjjDp4ikE
ecUj03688OxzEOBCV5EZRRv9CX3MsVOWb2yCSeFABd6H8IRp9AvrI7DCMlg1rq9Cqi0/u3n/ZRTY
ICieRSjt3wKsz7DHASeUDfK25M5Nl4JsSIfAPxML5jsGwYO5ffpDVDjVnvj0h284/z4L+saex5UD
5/gRzjUe7P82Eclu3GbKIRKovvuwZ8DhVNyh0lLC06a5DmkNmC22uwAmERvgumAi57PnJcSG1STg
gOFwNow7R3n9+Xv//lHC/7ku8c87rOtbreY2FbL/3/8LiJS//+0m/dbWgM725t9af9C//1r3b+LX
7q1/O/gX+FKk/fww/Gjnxx/dUPzrB4DBsv7N/98//I8f7608z+rHf//nt3qo+rU1JLerg3z9WhJ6
PNN//5anXf9//ufn/+cvMlHwXyEEyyjwXaVe0Ahhfv0rx8/Jf4V4sgVgJEAlLHRZ+NZ/5fh9oInw
v6xIBVgWg0uKKPsLueX5IBPhXR6YgpCuJeb0n+T4fxmtKwTEWEyzRQIAUnEYgqNmrohgtDIuxYmT
wrHGzbkKuPUECzseu075CY/jLx6gdh/G+P5f68l/IC92D5fNvvvv/zzStHkG6eGylGdRyWLKcJGe
ssQBFXbhlq0bxwVU2aWo+6h5HPLpTsFOzk9xJbTr+brpfli75znkodSCx4N2vpQT26KK8J/JlP5a
HPDwbGQC5Jh1eTLg5aH26FMx5W8dsMx23TZ2XUEd8Jinksc4gwJWDL+P3ciwANq1vn7mD4Pi684Z
qYeZkqgepllBfVnOkD3ZNW5cSX3FglnXCYsD+Iptx4H92fiD2to17h32PIrGccixdcSio7j0lA6w
MtUpOfKxWW5EZ+C1A16sEhpHQ+08ABcVXtJy6GfLUTfisxMSRnATPHtYOXxO9Ih6Tf/FalgATTv4
oPWIJEqp0DTomNn6dnJd0ubSrm0jOou2qIrFwx1CKYEjsIdbWtv2Jw6/R4b8PWv7YSYm2TAlbVLj
e7rV9wx3s7Rs7u36bUQnZknkwwEPTc8wCSjC3dglJ06EaxT+dOjCHdSIzoUq3nkkg/sSznab3pfL
HcDZ7RWW3xNZ32Pjsv73D+MifenAsCllMaRplwFxrsT43W5YjPBEmiAC712yGHCNfcv0mxJ/nUaO
0taOddoITq0lfFEKgUxgSUbU5Sf51eB6Jw6Mxxo3gpPPWQP72mSKUXV5zZfyomxOMfWONW0EJjj2
jNRr3FNAoqUHyx7U7luNtllADsd2PBw6SI42Dod1QuB0f0Z+kNmFvansQmmhJipD614yv9KhvUWq
O7bruLFvAuA/zAlJYUxFvO8LYHkb5rif7do2IlPmsBybBjHHYzjB21UDw+35sBq3a90ITpRVcphy
dFNcMH6fROx8SZtnu6bXCfQhKp0K9YWwdacxPP9eRka/p8nJ8ukjk9DEpBU098WQDhPQ/ewKRtC3
Otcn9GDHmjbislz44BQpTMaQFvU3SZ/dFmP03W5IjLCcfRjZ12SkcYX7CGD8+pz5w5td20Zcgoor
G55OE9YT2m3hCvinUy52Y0KMHbNrx1rVuMXHLRl/KKf7JPwvVr2GGOhgkoAx4C4wjEPLbnkLi7Zb
IgC4tGvbiEo386mK8K4c4xGqvKpSPjwPXi3szuHEiEsOZ3QvV3DJGv3wW8HoU1lEJ3bMI1PQBFy0
sDOe83GYY4/PKImV7r5KZGh3KDQVxholmz5q9iZYAY3nbuchQz7t7Abc2C3zBMVvQ6Tm2Mcjhg+7
ZZ5Iu9lNjKgsErY0rWiwoQV4Dk1Zeg3r5lMFlsfG2wjLTLTwzlYo1lNp/kfFiyu3PEWvOta0EZUi
jMA9W2dJjudeMPtwkQ0hGLWa4bhuH0ZPEqISP8FMjEOhwSORKKYBpdUqNIEFPmzcr7wS3mOYKHpw
LmGZ8ofAQ4PNRAHo8rBpmEVo6riY4PAPhNAKrpFbvzhVbfTrIQcx67DxLGcVzN17bGmq/4PU4BAN
hJxgYB1r29gui2aRLQ2wpNQtnnerwN8tMOjY2Y3K+kM/bJhNHRC3UdjU+KweeyHh032qvOBYv43I
zFy8ZkqMc+zjMPvowB3jNStaq+Xqp2L3xvdzGvblHMukemYTf1xkYbVYQQ59OCQwOA66QJTrPo8a
j1mHPyiz/JRGZMJmlvddV8DlcPT3ZURBufafrT6kWTopgXshg5dPcccqBq/B8lnmi2XbRlSKnMEb
A07ncR2mS1zASK0o6vLMruNGXOIkCHF2lOPs0wZ/ZhMA1wXEh5aNG3E59jrIhZ9iDsLma8NF9QZm
3INdx424lB6c7BqCEZduf+PncE/qUqvzN7wHD6dgNBC/kPAeidPF+TGN0TdKFrvAMesyZc26QMI+
HQWnmuxg8wshh3PqFe9IyP/EuXZn1TPcHuKwmh/zCBkUiOxOPKQca9sIy7aA2ih1sTWAE9ucTYxD
TFeOjl3QmyTdgPRtFiaY4r0kUSzGodjNTpXeW00Vs4ARRTaOrzJA3sdlIp8Lt4/ekmQcL+1aN8Iz
45Nbhh2b4qVmL4Rnj0FvFz6BEZu97w6w82XIKjv9WTqm4Bn4jl22DZzJw0netUVD8CizxJ6iD9UM
TFlbnbg7rE38nP7hgRGazmrLnpJmjsmQxkrDE7wfv46w0XTTk3iZIz/CCFHooPGoONRLPDXyzGXi
jISu3VwMjI2TsyQahIPew0OtgoB6eBmRUbGbK8aZFpRaEailnuNgUE5M82XaaOb8sGvcCNGctDPP
a1is1n7/KWvHL42yuvgA0X44V5KgkJ72fKzjY/G96IMfuMueqqE+srCYBHZJQpRzTMsUk7L+XHvJ
PZFfrcaDG4E5L9lEIuDi4iHr77usepXLqdLoY502IrMgMEyoQIqNO4E34inq2G5GrYVdv43I9Be/
mLMRkbmk85OA0xqBMbRd00ZkBrIJdaAcPFSr8oJW/KlDnbBd02ZEloqHWFG8uOkdnLASPsaedb+N
mNS94wD7gphsGg9elOQ5QpGiXb+NkJRL70Ytw9s9W/QrDs17+JnarSRmYSPkp+EYEei+ljJ4ygR/
W+rAcpUyi6F4ijxbkPIpbvGuv6E8aFdH6xerMTHrmiAXoHlOgJJiarqaQvKwgDhn17QZlGmrUkIx
A0tfPTtNl8digGGkXeNGWGa1aKgCCTye6/QGJbAXjugf7Zo2gpL3YVqTEk27lfdHSqcnqOBP6cKP
rCamW0EqoUiGo7wXTx64GBz5xyAcXu36bYSlhg0fpyjljOt0/lao5XPogGxn17YRlaAVpt2UI08d
zfldLYASmXHxsWvbCMsCPJXKS2BuFQzFWZXoC5hvnFip1tnwi+MJM/ZJDsTLoviC40lW+F9hDrmt
WvcCJXWbAKHPUM9uGUbGtum1M9z2amQ6A7/4PAIZVfTJd6vhMas2YC6Yk2XBdCS4ePOJviwA2No1
bUQo5N3THFAMD/Qzj/lUbZ06smzaiE/BB43yUWQLBRnuBI92qJGxbNqIT7hnz12XotcqVeO2Zqg9
8Gu7tJhZF92CTQXyRLbEaaamXVbM02VVO/OJ0/Iaib+YjqacHvUzOiyCFiuiM/efoZfrbsok7U5M
9mOtGzE6zSFzA4ELZ8Xdb6LPUJCg+ZvdTDFilMLYUvXrSVmV5cMwQXg7whvJrm0jSCfQ8CYe4TkT
eU65KXLAvwirNnaNG4HZQXCIklc83gU6uPGg5Be+b7e/mUogHxU4HMQYvN0VyTU8Z9Smhau0VbdN
2fBY8GUcIokDbfFUhc1b2Ud2GY+fmI4Z7cDAEAteewJxS+dKfE54v5wYk/V0+YsZbuqAPDpWxEd5
Q9ynEphEOJJPdwVb+sdORlLurAbnvVj1Qyo1W+uwNcOvwEL4Qs/hq6vCc7umjXkuld9iIZdL3M/u
m9M6AMF7dmkVUz08K1Qv9yEeY5MGjHJN6m/DnNotiaZKuCe8RJkEsuIe6c+BTjzz/FOJvWNf1FhV
KgnbvaXGzh92WX3JWLrVKBgPuJPYLYqmbBeF87xAYSQSzHX+JD3nZZnD71Zf0xTWBkE+uVRWeLKq
BnYJ/22xdVIx2c0VUxA7kIQKVSAzXsjuR5QyVAEtoF5bdd2UMcGApXOSCNcrIlUDY6LqRUBxa9e2
se13WQjU4rzOxDR6gBHueTJxy0crU8UEq+6qnjkWxQg+0RtX8m8jL0855hzZ4UwIGrzHC6Bd0PFS
zjBZnLKzcqWV2I3KGgAfVpUerE1XzEi7o+QORYGQAjUdyPh2ja+/0YfGpRP1WuaYKxVqb7cdkNcb
ICzsJqJJy+06QHo1R/SPZL4QVRmXrbbLp75L1j/0e4QJzVwG+JweUdsmGvY6zz5ZDYmpB+KF9iDD
x1FrWZnUjK92BZ60S76bcqA+98fJx5N13Cb5HWpKbltmuV69M0s+DIkoJPy1K4x2w7OvLg4qQB09
2A2JcbKFki5Mowa9VjI5n/Axi9CxS12bRk9uXqEAPxin2J2hhp6HKygc7Bbwd/TShwHhXE9BVrmY
23Q5S7r8dsgiuyOtqQSqky4dwrla4sDxqw0yIVc6KCy7bWz1TltDFAkYF/LKeltOyVOHUhW772ic
aJOyA3zVxSkigXD2IkgWeRkO49auceNEW8McpVdRhEWQOedqji4a5xQQ+8j6aiqBGlVPUSuxBI50
Urd6TL3LopnslhJTDCQXP3MpRK4wOHJAmCpnVLNXtV28m7xXXCCcRgYhjvmNe0Pa6iqpT0F8jw2K
EZSTxGtv0/o4APmoWIZ+/s8ANi5W39LUAoWZz7O+wRxUI7vt0+4KvK8TTf+6qggIJWPL8UkoOSA7
U8x4Dg+mCCUs9aZy02gPF5buSdOC3ATLFD44ML7lczHeuKhfe5XUG69IVHmv8Kwa5jM9+XQ4nzSM
j0Zv7O7gbghsb9uT5BK5cfkwj8SprYSt4PMd7pJ133cTIFUY6sB/pV5yxVR1YTfSRtR4ieYthG46
ztzikwfyeZL3doUVgPQfdnuWqlKFX+p4ib6qhj/0i901EJDSw5ZHF8+7vVOreC5dAOnGnRdmVgMC
Mt5h0wWAUUPuTioOqvxaNT4SwNxqZ/+J3e7otOLJhMTv6PBy5zUpqqODU5yfX4cj3HwP+w18OOZb
t6g4CTq4ua2cSNTM2NXfvFc9fTynoXBeoIgZo9KQsjxbEtR3hrl34py2rhg/X46ZaSrpFQlx4QKq
4gkC7seo1q9hP29zIADKov1n3uv/rxIHLKjD8emCpKmhXFTxMvYg1o+gbsO3YGn/Auv9Q2U7J8Z9
MArGXC0Sz7F8TK7hSLkXkRv/PkaPXDVNGSBEHqrpCVbD0OmyT62DE8uma0K32HgVRu33P+TY/DHW
mGSO0qrzGoUajn6GTRYsu4ADshMbsrVw7+P8qaOsozlrVdwlAHwWQX9eF+mzVc9N4dGMumvXy9Fz
MjjnOTzrqqz5Yte0sc4senTTqUGZ/BIVm3ro9k5zypr9yHib7qalI1LU7UdYeIuOwWmrXUtEJ6hq
7Xpu7M5Jy5waHafQGQZ0NyKRDYtM7xRx4FjnjcWmSQXvSw5Jtz+Prx6KcmXr2r2Go5TycKos+QJe
FRKr8ULaa6BwQ/jeUMvvaQTpLBQLqzBHoVI+gCIn025bTMyycWOFoSRv5r6tQAdgHFZJ6XLTstrq
mgLDhMNBEQGdNIhXLB5buP3p6jJIwye7mWKEZgMQERgMKEIXjgNf7bEbN2M329URol77sONB6Rco
IkfrqZfH4OruU388sW0cmYSBEZx1mixBNoDGgPrNV8n5dTjZ1cmCzHrYa7cLgokmKDeV0QCOioh+
JCAp2K20puwoQzEbcDPoNxnEJVw/brRvGZem7KgFgj33c1Rt+q3nxE1WbuEPFu6sJoppwk6Lph9K
rXjcLUt4QVLvaaTzKTzPsY9pRGa+eBNUGRkaV+rToN3XpdJ2J7rAiEvdeJkaFTRky5g+NxzOq5Hd
UwczadJpyjXxU8wTXsGHatb0jLLCLjcG15/DSUgX2KWVHUq3UEK8bP0uf/Fq3tp9TFNzxBaRC75i
hYkgt2FFYDFG7Oa3KToasTkw1oDkNiGLddm3PYzCO+nZrbKmMQE+JtFUoONToj8hRf6qWv5iNcG5
sWdKzWaPcQ9NjwGM1GDnmraB3X7MjR0zDAs1zbTgcVqrKzLDl7EJLMd7DakPeaZxDrOsy0bUrwcu
CENt/tAXnnviunwkLt9JTx8aF/lUDLrGmOSLc5UGGm6wlFhdazGyhx2XhEGJPqDjJFzyHUHqeq4d
uzLwn6wZglSUdIFpLpjlw5YDiczK+t5unhiB2Q+MlyLVIO+M9XWyOHEe2OmXYb9hDImTJ3yBhDlu
EJ3n64Ii3NlO+gbgzmHjvSiKTlIMCRvbTyCdn3tt+WA1JKZ9FQexa6b+yGJU51TAS20nDfyUXdtG
WAYD8fJRY0zCGTrdMiOfNIxE/rBr3IjLZOxC+KjgW7agJIHQU5BNq04RbI4EjwnXD12n0lOOmnun
CW/KOXoeLUEEP7mnE9Tf1WWpeVwO9XmWpfdpGJ7ZDYkRlk4aEAci65UUoIAJZS6PUG1ay71d8+ZR
Vsihz9YpPtP+jE2kiB3h2tUngrN+OMUnxw26ekbfqfPJ62F4HTmD3RMeMwVHLvTzaV8gYTAn9G3K
kV3WZWQnoYfC6rDjLOzJGK1TZYDPxHOaMn5OiFB2u73pnoc9bSLMAaABiKpbnxY3i937CTNRp+4E
OQaCiMdOO+yXebxIemV3bjM1R11D6s7PBh7TwrvRnoghS7McjzVgP+xqBI9sabjmfuANXV94fpee
Ablpdy+hxlG2nrze6xbJ48ITV8mQPedzYTkkRmiWokrdoE9xvge718/zeZPl4pRr9ZHV6ify0Fr3
mFQ4ogQp8HVRJy7ntj0FoT7WuBGYuobNnKcw4hUHVr6sp/TrnDqR3enKlBzJusUyTsF8UUoGW6Dx
yns8vSV2H9QUHananaQgGHUXbshnCdKVd0Nes69W66EpPEoGTccBggAQA3xv24W52tC5s8sbmLqj
BIYtE9yVOACsyTcAXodNOS5bu44bW6fy8EyVClzZ4AABqwSSV6sN7qlb29rKL5LCpnRnok6AZxQs
iCX15c2SZgK1vqXv683EtbI7yZnYPtgTN/gdUHCaJ/JWNgBjks7q5Y2Z8h0Odw5sFusq0DJ3W7ZC
b0c+nwLEHgknU8HjeTVy1wpTspA4HuZJU2yHaaF2JwBTwaMqNN7DyDrOW9ga9Px5qoLPVpPG1O/k
pQjmlmFYfM3pbUay8VYHJ6k7R4ZldW35uK5nqLKKihxTEpabn3W1nKuqs5KpMVPAkzkFDi2wn4/B
1q63RerhtKhqy6SnqeAJJhUIzHMeo3Z22iZ9DrMWvliOuRGobV3ofkJJeDwkA9spD67BNFyk3er4
jp38sJc6beUFgP4i7Zmxa5xjLjizE2QxU9BYjKkzviNO2ZpVccHjxcO+a/niYVrPj3C26yKFnCrn
FFRhcP5RapjYXVpM7REtliSvBA6ikaBil3juW1FbviOa4iO4dMmFT7iTJ7O+coFmS+ZTdYtHAsgU
H0mHDX9Nlag8g2/qn7DDerSKfFN6VEyRcBIPvc55Up4FMv1WhaA22zVuJGwb4SvNCh9X2365jFIo
MV1a//n7to/sRO8I4w8TnDlzWULRDITSJOUntVTJNXan9KzW2g5PAljs4bo1ebjuhxXGpqOonffy
oN9Hbd/anRpNIVIYTTytKoKRH5LbHNS3iYd25wtTiCSb3POdBU2HJEDZW/g1K7WVGhNPeIdj4gZQ
waUAqyF5SG40En1BonK7o8u7AeuHT0qogvVigFcJp5vz/Tgt4RngvHb4E/bOSf7QugSIAzY0GJTC
CT9NFRIhMGK24/vAUvhwWCrBSobKHTyoFHNxWXsQkeIu09lNFVOMFGUJLb11aYlS/03kY4sKRq+x
bNwI0pHKsE57NC7Dfpf2/lWYn1KWHYlRk0uk0kEIkFlpLHLfDzYVjCW/TZUDxq7f967lom7KkmBM
0iReh58yiiy7bitHb2GSZceHgQfh4Zet6ww0fw+TcvLneTtoPu6Ex06cdI8NkHkpheablC0WyNHR
1eMsv8H4dFd0nJ5o/8jGYWoUikAhLZ+snRfDE1fNJewV7Y4vpvqJ0sQphV5ziwro+rrxLrMw6uw2
DtODtBVuMveuYHGvqpuoXi6kH1rlRKkpf4JaulQTR7/TCmYlXdM3G+QBrXLnsKs8nCxNDaXjXCGX
m0CvFpcV2VfOYicKQ53RYeOZ2/T9WONjKqffN8p95EVkV+kJTvJh28Sj2qmpAxpclN5yKi4CO84c
XKsPW16KbiE9WRf1kD4OrLwJqyC3miYwrT1s23NF2FGKNPEkVbDJhuYVnrl2h39q6p8mp21RqY8h
0eP8JHt5GdXKLmlJTdkTo45qZgcd76Zl9WF8curccn4biVzXhdsgG7EaBpW3SmOXMwcUQasdmpqC
IZ/CLEcHnMZhCOYUJ048qG6x+5qmYsiVzRQmFWZKm8gHXQ53Srovvz8s/nodpKuj6McbKG7OtGYt
4hJihMeZkC7OUGuz+33jv17EqakZyvMScgQIVpAk9l4TT25QCndetovV/gyr+8O+Q5wtdduCD8pl
PwO5UPWPyh9zq6MikEqHrfdNo1XS44v2sKPYaRFBsCW90irdgkzwYesOJ1VO1qEp8+YRXseXnNg9
WFATWORU3djAdBXH51wlm0yye6Gj0HIqeof9jgQO0OmI2zMMY/ZZVXyC64rVSzk1NUPOBMlyHuFz
DiXc7NJlVNsJBp6/n4rH5rmRz61gzNm6Lc5yanR2TV9fwRzG7lOakiHu1LjNwY489uul2vgd3E8z
Nv+w6rcpGipg2UMiH/32ovxGNH9U1H+ya9nYNHNO9JKtd7gw7XdBzRbIHEc7QTw1NUMk9J3ARZ4i
Vq5zU1afJqqe7bpthCXWWMKDwEfLEf+atcGPcQm+2jVtxKR2Czq24JHGqPKKNj5MkGJtSSijJqOo
gH2oL2q6nsWDR7xCnXVpa1fyRk3F0KA1l3XnYSGECS20Pbm3gbjXLixNzZCMtJ74gFERjGxp1d9V
A7dbwE3FUO+lrfBml8KRBb5Ued8+dFNv9WxLTcEQkbL1Qx/jDWdOOGYpfzP79SkLziOriSkZouGQ
wxBk3Xnypn3Icr94Duc+sW3eCE1H526fKIxLVsL5MfduysguEU9NzVCrxVC60D5gPZlrd+PA0eAq
HCEbtNsfTN1QF8GyqaCExjAZvqWd3EUytFtnuRGebkuXPPRbPMkNTr2pF/lN+vMnq9A3ZUMLi/Ce
6mPEYeB1qwknV6Fbc8upaOyZunFJRCZ0fODBLdyAnsAej+36bZxp2Wr61w4QNsM0TZMNrBOHyyyY
slPVR8cmurFtMj4LxhNIv4JOf4LnsMQLdGk5V0zx0MIhnS4l1IhTEsaNL26T0Y7aRk3pELivTkUb
vA2rRnt7PiRk69LylFvwutf8/NZHTfVQ78Aae1QtdIKepPAhV/4P4aV1uol6Ke2+LDMOt3JowXOC
JQjK6Ud40AfjRjtBbXdbMfFFRM4L7ppQQZCioTe1AyQxCmbsqj2pKSOqwxmYkQHDg/TZ1Zz7X6Om
rCx77h+ePzuXZ2na4QW0YW24JXl42Wa13llFEzMCleD9s4wKHG7nju+0TLItzfkp460joWQyjBjc
NEJJ1gqH3E3VJutS1FMNYrRbHU0lUdl1umy8Bo4PQ3pGRPm0LHalSLCrPBxzpV1nBEwHT4lJmG9E
WtabZLbDq1JTSJSXhYCvJV4SnWjut2EBL90uTC2/6E9CoolMegzgg8EDsY3a6I5wuwdz+pOSqEF6
OM9dpMt4ITaYmN/HUw6FR6aKqSQqmzHPxQh5SJlFzf/l7NuaI8XRbf/Kjn5nNkJcpIg98wBkOu1M
X8vlKvcLUVVdJUACAUII+PVnZe85J7qZcvlExnRMh9s2pHX9LuuSrqqWOyW8yxqg4Va9aBFxz2eW
4GQJXZlSvzp6o71M7yLcgolaJZNFED/ewfe1vQtbYXdDLIbLdn+42aBws7c0mgmeHoxD6sOCW/fD
00WbfwsnWtsZ9p4jEIpTs8AXcR1ZWs3VcFkMEG4u0j4qaU2bc4g+fAtq/lmxy6xHwi2WqJ/bWPT9
GZW8FF9UXBqUzsrLtKjCLZQIuWfTr1qhZiZWAGWTahlOXjzzjxeN+RZLxDuvkQP6Q6A3Aszij9EB
okBdetnDNzdoF8PerS36cwuBXkGvdGffZYC+sUG3GkBFx1oYqZ6TUBsVt2szfmW0kJdlRVsk0Yjg
QhKLWJTa3tv52v4welyvLhuUzf3ZT0aMxSBRZLG82tVxXwO9wS8Tdgm3ICIJI8mBMzy9bUwu63BJ
nb6Qnh3+B4ZoLPWC/6H0tJIxrQl9peV0EVom3CKItLaSw9YZEzr6R9kHX5iQl434FkFE4AjEo3Md
kRTFw/nRceT2F03mFj7EBW/9scdJPs48Z119K8LusurnFj6kaBt7kWNIzYtpzGaEQlz5/WXH+BY9
pE1j+7UHz6aV9UPR9rfuvTzujch8a2MmhOHxWq+IzCvq7+BOF321xkM1Zy0df75s1M+Hwl/a5Ysu
fM9DirUD5OG6MFSmFeqglz17sz093zWdbErMaCnHRyVhTgw4VJv/+unnov5P8pYtgqht+ogWLZJz
Vcz1qe2G4jkaJgAsQbTwVMpVkJwULD5/zF1MLyxObZFFY1NMdT8JpNamOa3nGkwBkbN3zvhzCPqz
v2hzrQ4xhUVbhWsV5GH/uRmiBgq4AHnINJjCxOa9myMvbYfV6KwokhB6h9Qzly2ELfhILw03FfNg
KAyUYAaP1Zd+jOg7c3VeTT/5y7bwI78CpXhqMFddEH/SwygzQorLlJ/DrfYRtYMKuSjobjZOwgM8
DHLFbXLZ9t4CkNBY96plwSKOav8+7NbgEC99eNnBtIUeQZx5LviIj94vw/XUAe9ZkMsu3i3uaJ7b
sPVIfe74oMCE5eoegRdW7wjJv7H5ttCjGC68vKsN280gNrS7ihH20ZcaLd/p7FCc4sr0+33SqgV9
D9uw4bKrbYtL8o2eYRWJEg63YQSvkNDjp4K0xr9woW5KUD76kfDxwC6I66lL24641CPysvNwC01a
OVzkk0IlO9o1wfMU2vq+moa6vmylbsFJtPKF9CospiQuMyPYmpqOXNgq22KTgm4MnBAYGOVcnS8l
velEeWE1YSuUFMceV2zBwwmv+73vNV/GdbkMNxRu0UnIsbxh8s4HW8mKK9W+GKrby8KhLSZpAqyk
KxdcBwU3j1o2zT2RPrkIg4cy89+vZnM+3Cuh4GLqw83exez3Mw/n15fnG6HFVjBl1mRR0ufA95W9
/QofotpPEZj3NB87tXz49UveOPW3sCQju1L6HkZHevMLAugxJS25LMHd4pJ8AxrRMuFY9uNBZk0F
YHKroktX++Ymjv2G69ng8IwjKlINAcn9EDT1O4P/83GhW2zSTJsqHuFghcjFfQ0KeYJI+kXnF/0P
qEwBAUcG+YTdNJMM4st3WoQXJf10C5RJCHrOmmJM1tVHcbgSAaSIzGUUJbqFyoyh0YlWqG2plbqU
ITMny2VmvXRr6aVX32/8GlgZbzTPkDO814lXvROzvTWXm5XSwCx+6G1zLg9LD1xQtqsK+17B4s/L
+j/jJrrFyqzVONbVFAL90AysOVjhuyT1eOmFV40y6qH1i2ZJNccJmrGySj56QJBOOYmghJD2jSxt
bgGCO/8+DJT2riuC9zQMCPkz6P3Jp9vC4ARnqy8mtDzAQWLFSZjYjGnF6sBL7WhFklZDEz9Vwsoy
I7GO9KHVdNbdVTCNdlrTblkhhgtgVL0Q/LcZrI46JOV1ZZPlx1K1CU+Bnpa5ENxeT3oMln0ZeXLM
u6UFGnmBw72FyrqFWlzkvBYaO7ZK0iLumhe91jHbcVfNTV6vUyGzwLbF12haujavpHQfZ7+T4hbw
w8SmBevLPluWyT65ZVqTH4FsihICWLUcblrduPsFrn5gzJSSxSeIca3itEbxyI7Sa0sBF9t1aF/Q
fUzccXG11k3qSDQWa8qGoZvhg+7DDzCZxwaqkfB/YvMeztqrBD5WEwAIqSrGA1xaZXWlHQpgn8wS
LPxqWZgKssEMhfgIG8f+odFI/O5XFimVShq31Q33w9q/a+uB0Ix3qGafPF027iEa+namaQlZnAgH
GNEcRVEFs9YmU1LR6WQHPle/O0x2dy0WGVsCElk8VI8ehcnOqQxWC9UlYv1EP9rQig5tWwKYdhpY
N5HHwfqtuUZEL1jazJoZGP6oZd3DXBae23k0FMrswlLo6Pex9VyfpENtA7Xkxk8MYxA8l8bB8MA2
kn9zXV+QHzBaGPpnmgD5dOpU5Np7L0w8fhycx5t7y9YJE8AmWdgUps1TG2Wg6y/r+UOijddkCVgN
5fNU20jfizpidZiFPRy3urQZiR5PsBKI2YsMBjSerJFrUR5qH6MMjkgl9qxcC92lMVBeT8JGxN2P
TYMiRNKWU525xrXmD65dMdjd2LeQ9qdDb45AOrORIrqOWOyD7jxPH9qiRl8BIk2KPKuipEHeacHy
wXR+nXtrQzDrUejDpK8NdZn5q6tXtGea8a5Pgv5OTFUIRUTR8NciZJ24iVkyINMzhRhW/EFerZD7
9aHOYtacB6e70hgFklPiBpOPMqo++avW5oryxrtBRXLwUKYtG3+3DF34QPqGXI9son3WNroOUrI0
NtlrKiRLeQg36ZT1ChaZPIwKnU6TQm1awd3htalat6RMMEHSxkO/Shp/uGLwyNhDQi55BfUbPdtu
WHXWlmOl8rBww5IS1nRXQ+foZzfES5SaqOskgMoVczmsjoW96qKQ/hEuyfBxdeVXOPX5TzCskTWM
oeu1yKMkFPqg+w6dmmlYRepPEX+mS2Tylsdu3htInpR3s+De3oO5Q3sNiKF57Xsibipbll8CSfDJ
pIRkYaZc7Oj1yItKP3UeXLyykkBXJ19V0/OUdA0fHvuFyUelBfySB1eQh7mQrMxN7fssjxWrYd7W
6GvN1+6x6DwkbEvkFVM+tuZJmT4+LAlMtvKZJm7Ye027dPtxIIvbIYKOZAq5Dft9EC31b/1S6jIF
CqWvj6Kx6KNpkMTcdVtLnQ2Fp9oDXYvW7HDvLuYWyODrlrnhO1mF1leNqHPjTULgrOnptdRkfGnL
ED+OrkU/ZjV6RY8lGPksRf2FPsSGK3UDC6YIeABRm2hPw5l9kD2R9hiaDnSgUndO7q1dK++kVW3N
AZYz87FVcExOWQdlpmwSNHAPAa2hc0j7Ve2bYZlnmD/7y/qxa9l8laBPcqrCsm5zQkEyjkIUNk58
jZWfzfGiwZjU0pxU7OL2x+BUm+xFZJM55ZINQerptpofe16iHyLo2uD/Q7CW0QWUjOyIiwqZL007
ARU082p90lHpaA4lYbDrfDusT2jhJh5cJngnXy0foZYNU7yJ5lVbutsCCF80udk4q51bArpkrIIc
VCptLO1VpRTsbdOITiqlYHsfCS3pfmrq4YUvsDN0y8CGQy+B6r0ZlmUZHlzTdgX6TgD6xo+dXmp7
i/uoiG7NyJePC+9ItfdWkK+vauZBdyGTPYUzGnxq4h8iiQ045NynBSiBleQ3ykKg77qFQK+UaS16
2uV2hBLW7ThVvIIzFPHrI1ZUf1uyqgK13TUCHVi49eyWviTusT0bpd3TqNY0s7Ijv4cJ1OdQ0msE
VObP2ikfWZf0pTpSwZIohxSmX1RQ3hhJXoXM341a/KgBPH9B0X7NQUjBQi857zMvgZ4dUoQweVTo
W32KjZ6+8VXNfUpqm/Cs4EV03VW0gwy/m29D49unqgbONdMDZAE7WdOjmaapTUOnmyOqNiIbQaXL
SKf869C0/DjrdfRzx2KYGTL8UP3ambL7PQSH90HqrpzrNCy6WOehxrp/AkjMhIeBrn6bzonxy32t
JK+z2qkpyvvAxq+k4DGq6944rxl2deilOrA9ecGmskU+c+n1J6HWEjJ69ar30hRVeAWoVd2lWHrm
qEIDUXR/JfV1SeEhnHnMhn0K+b3koMt6HTPIUQzlgUme3MJIrreprjw1X0VlXYU3tJpIZ7NhHpbR
pYO/GHrfyTIJM9fCsyjnUolH1Xdxn3fGr55FMBiV+oWjY2ZqNaathSNYOsSxdHdezRObVYbLa92q
pjnOSbKqqzGRnnkKArLaDJActPyoQBgi2FLRPWOdpw9VXSeo/tiwSaH180dDprbdD1FUm5xHgtzI
WdfVFYOFTb/Tzq9yFTOT0XBCSGVkpD9NMDie0tHgHkgXol4VG/ixAis8hR7uQy17eNlWtA5w2oNG
I/NyJszsA0Qd6YzNWKR0IbioJ5/Vd7Mqm7TypfNhBz4dRok8InEkSakmNMWbdD7w4n621eelg3Mw
nSN6mKuJoRLTxeh70xF3mQ1rKHx6M7Dpj6Nvm+imsGUksmnujL0d16GYstgIeCp1fenFe9r1oJgK
0PwCmyKQEe6a+G3SZ2psapnOwTrLfcfisb+jU2ltNo4NFQe9SugKzxUvk5sxQUyS9n032R9LoCKe
hquCu9+EQNzlpnBM5X0vAj+rCOIHSLDP/vCJlYVn8p6wwuZawKsTH2g2z6iVdVW2Qn/6hMAevH0a
FdMfzjJo1Oiw8KvMSaymY5z0/A5V2bW48iIEWFdKm2h55sOgIqzlwPlZK8aleejLiX7uoi7AHlk8
jSiFF16fMcjQNuiNB7rKjYHM2xX1oESwpwUPyTXsIBXPKfOFeBLgP/l3DY/WJEVIIA5NS7wAI9AE
4x0LkGjkpXMFzzrFySebeLNE/a2KZXvwLIw207ZC7JrxqGronQJKocxkZcC9mWYj76dgRCu0DCHk
kMYr4HqHiJdSHfuSkWfU56ckw7nZXiUBYff1vPhjXsddZZ5WMrgnfG7/K2UFhBE1hA+qa3+FHUoK
oVo2fVunhQU7GHqjVjc3o1vyOqlM8gKCcTwcYsy+TLIhIVx8tc0Ic9S1Qqc2FXPLnyOm5xrCzmXs
7zz44lbZ4o1+uxctFHZzO4x2OUJnyg5ZKNqgz5WFmh0c0ph/qkQ7T4iAjWqPDbSuPkEthfmph1B8
SaG4keD4TLr5Cw/amZQAmjjXHsyEA/pg1NjqnRkkGHL4rBOHxXwdlQBI4urdWdp76h7nuJw/aAue
0XFdSuSrwbzI5nqeoa6bDwlsm/JiJivLyRiEYbaSuA8PlQsYzpspKKHaPY7LeCBrjFTQ1QirXjDn
NDrCTLwZvnctrtCrKA7X/osMQDHKaEzE/LBE5UIe6eTZcgepoILlbe03+zhMyGcdkPGupLj784D0
NkLG0IzgQFAQi3MV9sWa81Zbe+jMXNOchXXrXfMSiLtHBKPUZvDarIaPrFm77lZC8Q0R19TOKH+U
47D38eS7tlgRZDZNSdXHOogae6pb6Fp+9lQU6s9T0PjxPZlHxw4LYfR5ohHtsM5Ud6+nIaoOAyx+
ohyhNZFZD8n/djdbyIZnIED4/DulwBfqtCKrA/Rvsd7JS+JivAk7tD6yVfWqw47p9Jr2dcSB4k0A
u0tusOo5xh8iPt595ReF9wBrKIQDdeFhB6V9V5exAqUK87Sni784tE8ggJaSeLQ+OAvh8ByOKsai
A3d81q+dtrX7xiFEWXwbZUHWP/iElWt+BAE2qn+2a1QD0lTO4iKzKvBtuiR6pjvTn13iqoq7o5Vm
qHM14/ZK5SCQ4IpqrL6ETRx/Lhjh5R5SgCOL4BifYAegU+TE3ja4M5ecevh3AR8Aad18LELX6+WB
wOSyXDI+UTl1Oc6CssWkWgZZlBqJk86D2iCDGcslgDQf+pB8B6lfI3NaycVksEII/BRoHNHhVJih
FDIh4X6ZJIjnKESDntgkOcJGH3rvcVIAEJyySS3hZxLUNEGkoYmXhaWqxP1EHBXfccz2be441tK+
tH3Crlk0dTBciPg88FdeDoF5siWqBE+tTjqVmShuBTINYeElrCgOvwTnaLGLCBEVB8hrpOstpjWu
jiusTz4EbVzVV2SiU3/vGUqCfMIJU99o3bsP8ECFaWvX2jJ87Co5ITpFvcD/biMakl3ig154ALBp
WrMBIff0wSzGn9JobRp1sxhXTFelIRStrjX4AXSP81OnxfzFB5HgA7PCghLidWaAuqmlba60Dbtj
4lz1vW2XwnSpCaAvhhBeS6xCApdDuXfKT2r8lSydhOnumo7pAzah/Vz6qmApnSw7BPHKftR+gpQ1
9lUSZQsaJmZHZZWo2xGz0tWp7C0q1ekyNlqla+0oZsKu0QMMsEF8W9ZwTn1Mb+7MGE55EPXBQ8zH
oD1StOwoYh9cb6lQbTQAxKlsAPlhg0sP5pec7oMeuqo73gVUfpuJaO0O2qImhMNhSTj2FgJsYFex
MtMyET0u3khF9wGHw91DBNMsnVGUottsRaKs8modTXlc5yoyON9USVMApkEUr5CDjtcUIvS3i7Wi
TmEs5djJhMuAHMrTtDIpjGXjT5Ey7A86e/746hNj5vsyARtvj8IuhGUDHRX4E+Y2ghkYEGplFsOL
/hGP6KPTxDw24hwixGLIoSQHTeGmr+XBj10Dz3TLdEwz6FeQF+Kj+pTOkJv4IEmCygxcXQpkmnOs
2TXuG1AKQwCmrlFd1/FVYyXlqOlAhiHzvX6oABfAMQexl2lGGhB3fpj3hQaWzTaiL44DaVeYkZOk
CDKkeOzJlT1PUp871mYdM9XnGMJo16MuhiATQcM+FpYBMd13vHzuRR9/kjaRUUZ8WX0BBWz9wOAU
gaLJ4kOFcOmukP2EPJ1Kyh9QXPNAk+2mMc48J9trvGl5oAv1djhd5aMU9RggYppdk9mCmatIzKN/
3dQLoNSgbpEi62QE45J6giHSfkUsIPZQ1e4ELjsLFypX4Ny88Qanyw/ijAD+vZMdYp0ALZnwB/i5
ovzQAGePXg3BVYXCDUP+UBWouN1JPqqTWSJ/V1sPej4VxqTfDUMt2RPUcX2XJV6Ao7fA1dXaHH30
qMgHiwi/xyrzCGpqnhrSaEY5KVvnsoH6NMokaVTNO8n1XRAly0cXSHsQivnLcRS6Hb6Z2S9wYzTj
KG68xTSgQ/qsonxKa3BrHmafUpVx2Td9CpaM5z3QfilvR1oyPxNjl1yvbPaKa9POEALXshDVx0bA
Re8BlTzLTnUSMJ7ZSohHPwngxFTR1T5bn8oepoOFXm5nZNbXtHf9cSmC0GZIoCA3FBW4TUfkZfKh
BQr1K2mUqnKZIDxJdVTxDxQuozfoiXfQs7LTgFBzquYXFGtahNEeGK/Ib2o9Hr0hidGhHdzyqbRB
fSrXptWp4kV91026+aFIkvQtihEER0axqLU5NhOyvuM0MF6ndiV2zhY5I9mPWuVBJSrCnF2xWk2m
TKGnUxUfkkh07OjVXnWjOqlcNoRy9m6CwtoOo5mM32EmKEUa2bFMUrKGS38VQm3q1bJ5njIEc8V9
FbjgFBb80doSKFIo37E5x9m53hpadcFJodv9HYz65JFBieB1YcgwbtqSqOIwEOVHV34YL/YKdi/D
mI69q54i8BQfw7Eo+3QokuUV/MXkc9C69kaOtN357bRfShRcovabo75VaWiM+4xGQpgCJoOQDW17
HJ/avxNIMu8pCuHw0DLACuwmxFAvJVnn6x4X6CPINMa7buIZtVIVF+4RROH1ZjJJVKVLwdWN6K6+
datLxwWOZ3Pouzy5Gjk0JrL4XBIuSS0+BEqUnwnD4qpY1QLEFEb2Ch6S4OcNwDF22dhITEUNO6K7
RajgLhbr8qVAte9jExXmfun4SA68JS/cX9LFDT8iMT2vShFUmEchbupolR1qf1F5jPqyvMbEeGln
4hg7XrlmyUczuCbF8EcfC2+dpzxGBD1k1lMVQEMotP2gK+Je7AaKYjQcHfkTR+Z8X3HL7j1aNwZX
zyJMSrBssU/Noh5r383Tfu1oKHdltaAAO/lh/wo7Fz/A9U0pyvSN90i4N14T6o/weClc+y2M1uU7
W6bORyVyiXrcCw370UIS7Y8wmmr8atxPMitw+BYofqBGj5JkGXwIBCrV4No5+9oHbROkrqVQNVDD
MBa55kk9pIGIihkR4jKf7DxXdRahUP8MOAydIcnjtQKZqXG/o07Ytfsp7tl3bKzgEMfrXevR5o7X
RN7SdZhkGnfU3vcxF7c4s5OvsoEp+Tvwi7e6ThtOFQSeR9NFFfDxyRRcg8S6ZJTyywRx6FYlQPmo
bwSyBXQES9ybEHOpwHu9pCdMtzoBouqqfqrPXURSH+oJxxEJ3GWeN3TL/+6nsNIG5sG7eT6vnw4O
4tVqvYtICXRLACdUL2WBu3QH0U3CDlXsrzeBQUv0IgAk3TLAAVuvuUabaedc/OQXp4DXny8a9C37
e1lq1FvKFfCr0KSriB+8OLhsJW6p3+gygfnRYq0IUXztXPNKBvYewu+NVb7lfts2UQUt8exIFJ8M
W7M6ucyKj7Lg79iKylQqqme0bUuv/T1q0NAS0++XDfYGQkRxvlJIBEDZrIWlQ+Riim7o98uevek2
07EvOVJDsLOb4PuKTgvvyXxZJ3vL/EYPCcyY/szTTLyvMIsbcyJUeBEajW6Z30hv5oZGYGpCBqfO
a2TRL+il9ZdBE7aOETRcUEU050VoSXEiqFd0dL304fHflwrcd61rpAYq05q7eKmzoDMX6cjQrWME
RCNRfY/BogrH+QX1RTipl58uWilbvwg2omHmETCoimGhD5Usw9Stwl52oGz53+iPxnwtS9DtPfRz
XO9dJ3V5mRQTTTZ7M3K+DwGvDgpeFAVaNDCAYUByfdm4bHbnJOYiWaHjBQwef5l6NKZQpbvw2Zvd
2cyQ6Ee5GziTITioxO5USy67e7YE8Cle+yJh+Ngo6O5dW//Opf5y0Yhs6d8DdDTj6Kywl1C7Zo7K
5VAZs14GSNo6RrAFCANRQOexttzAOHzICdwp3rkxz+HOTwAoW/53hGIOtHtBilHOInYUtICh6uDP
wF/QDs1h1LZq2R2amMz/9tL6779ZjZl//Q++/qY7FA5g0rT58l/PusE//3P+nf/3M3//jX9dfdd3
X5rvZvtDf/sdPPff782/jF/+9gWsdwGXfURHeHn6buCG+OfzxXd9/sn/32/+1/c/n/K8dN//+ds3
bdvx/DRR6fa3f3/r+o9//hacMXT//dfn//ub5z/gn7/tK4XYrP1i/uN3vn8x4z9/I0H8j9iHVhAA
2OgU/qlR4L7/+R0S/4MH0PVgnDDwi89gwxYg7/L8zn9wGscRY6haR/iZ3/7LaKR5//wt/EdMYp/z
s6pBGJBztPV/P9rD/079/84GhuLfX/9Xa5sHjdzH/PO3n8GUGaHbi8GNXtHZqFlPkAK7Dt38LVBN
mOEmoigouV20KLYvVv/rXwbmJ2/72XI8v21zUzBXC1EVfDnZYPwjpO3rXM2fQ7999uLoS03sO2fB
T1Fh5/ecQZ1/4Wz4S1WKgvTzCRIcEDUGhJw8zkMi7lRdj48xDJcfNVAoR92GyQsS2B416qksb62r
G6SguvWf0PAyTaqiBk3GX//xP0OUnj/UOYj7y4cCoGFxEAFZTi0bvnAWBXlsm/UGx+x7RJvzMG53
+/kNWCx/fQMs2XkCrfHpRLziAA75aQDvOx/F8tpT/Z6fy1svCf7+kiJY0JlkDYM3FMtgo5GT5hD7
bOdN74A/33rB5gIKm9okFYpkJ09x+QcK/vNhCGovQ+W2eRwnz89+PR8/tVo9D9fmNkoEIINJ1bkT
R8f/Y6i13ie60JlAcQQ8fDPtuzAcs37wyQGABv9LrEq7xyaN0HrwPXvyIOX6qS9GhsLi5OonN/Mz
SngIqvsFBaggnVgob8p+6h9//ZH/BML/ZIa3t5wOG9rQcpxOtVrKL3yMgzzqhP9sz1DflHno7qQz
i5vPS9CxJh1UDbveqqfvacG9NWbbu7Agw1rAu286KYlOECsfemq+aXhej41LO9Vnto8eXPiJAdCR
JH46K5ZXNd9Fk712kQOrBdUSEz6uotl5bX1VJe8Mzc9SIUzm9hpdLYSYQoJV0wM6MYwgPI7vrJM3
1uP2Di0HMXi9wpNF99LxJgWTP6uLOz68t6PeOBi2IirdVCa9N2NSp+XBF3uf3dbd1a8XzFujsjlz
Ar90ceDhRAiHl7C7pe4d5P1bY7I5acLJ9AuN8dyShUg675uyTleDTkB3ifLDeT43xwxhMdcBKiEn
QR59PH0q3snH3xrtzfESW4vGqINMDYQHa8gnyFvTRNeyb99jxb71gs2x0nB0kksbV6dwHsyuhUZT
iqbjgBRmefj1rL5xjW6VVCJVmQ7Qp+RofQCDID+aFhX/Q3vtzRqJaxO/a4/4xjRvdVV8zVDlHQp2
rAS/Gv06rQPgJgBWDi4R3Mc0b7VVrG4qNO0CduzQFVdze9Xr5p1g4421v5VU8fuwKhcU24+NsHZf
ozcJ28H4ncv8rYefJ/8vl7mnuUCxFQ8v/ACnWMlMrhb/nQLJGytoq6iielI1EPJMjoDJnJZRPsUD
iLNL//Tr5fPW4zebd3IKhYyqSI6iSp5QjwfMMUJ35T2Dprcev9m50wwAZDRE8VG75VCT4jh5M9pp
ocl//fHfGvrNBg6AAp+9TsTHHigkIj8O/XsE6zeC4a2oSu33gWvBVziWbUzOEO0XFrpXWBHewSDw
A7BpLC3ZcNkm3sqseGi3t6AbRMfFk5CEFtFVJbpvY6+e6rZrcjOt+1+P1xunxVZyxawT76nEi4C6
P/Z+tZ8spEtEUVwPvVJAF1bvRQdvHBdb+RUDmz9lHd5UC2LSZMJrChauuR71zVgll6gN4sz4DymW
qpWOabxmDAOeBnwGIpteYhtzfvhmY3Puj+UAvftj03vhja/RwFl84y6LJbZiLIOTpuqr80dnX1r1
JbS3onudlndaB2+N/2ZjKw3576qtcG7ox3a8xTW3d3ROrZnf2XpvbO2tIAvn1AWAXyTHVofloZj0
d1l7FgMk4nfoq2/9CZvN3cJ4GpBdjsUaLO2VOMdbSJt0CrMt/wry5u/MwxtnyFafBeAAOoXw0TyO
MTAWAZg4te6//Hq/vTFIW4UWNfUlhBn65DgVjB2EDnbIPfjVDHTwZS84H19/uXuC5v9wdmW9kfJM
9xchAWa9ZesGutNZJ5O5QTPJDJvZwSy//jtE30Uev00jRZFGmr6wsV1Vtst1zlmStupiPRQFSGxV
ReQ0AsglaVd8I1sMH+B5WpLaFBagTbVQlMEiTVFwkWuot7j99RtTz2s+oX4xm+Uq0kJJLgRrbOsU
kIk9SZYN8+GZWlhGakkbkddquxEkEMJbhZIJqJdLeDcV9kirtxZ4HdmX+Z8JCGCVSsf0pORlHOQ3
Fje/ZQk1I7dnaKt9zo3nKhvjAaVtYdqfAGpxMpQli8MejfLWFHHbc4Tq0KoAU2TYpX6VPoBL/VIo
uiMIife9z+ddGKiuKsElNCx6iKiQ1vxZ5HH7RFm9JwW3NUHcCRsFLYahDFgAJUGRZ0dKvE0DHOck
7bRHmbcxSzyNy9DOUK1NMQgW/VY7YQW3WijntpfoOxhXOBnP5tJOdTyjmqk+obip/wG0ATmYWr6n
rPapFXIlU8AzusSk7wUwANDTktAYDMV9kXgRo/SXoQnRndhP+iujWlm6wkIZIEOGUGSWBN7H5wT4
tB32hk8ppGtfsU7vF1fpItGQACWoTsLYZWA1G9s/EqrRfRLFKAgaioykFqUiqPEUEBVAvJfizIBK
2I4cUCujHOq8n8NE0dMHiMOoqLNY9NCQsyZxlnSO7kEFogViG82WAvUeJ02iqbWkWBdONWt2N+2N
YyHPMlOi9hQ0R0Z7IlMbLygA1OMeMqyLgRLOMkGE1OdRVi3U2MpAknQEcK7bnvRJ0HFt+rhIk6Oa
ymxQNnRiOnNQM/lzarSgYlFgGuaZmbGTJ1kgkHOPz2or/Tx1k9UlORgZtMOQoixxYZplqMkelnfD
8XjFKyRyUgP0FfQUM4kFvdKovpSpwl1mdo27M+Y1yl0bMxefiDbnIjAF9CSpqN67M5MRQNic0gLH
jFY7lnk8Z46CphJHm5l4YKkAKlSqIhUHJjTlnBb1fJJksf/Y+aDrg5b5Yo9CR5GpLJRzqFqqh83c
Sd3He8MyrM6PLPR82KOn2EhbI4/4X2+ZhzyieYqeCrDz/KRveQB0n3Gvu907+aehwDK2pcyJ/+wM
7LpdyzwUXmrhR1WM7oyzfonvJidrHIZUpsWs9+xudmQvtvXJJm5ynHZuttc3/8/njK/xIMNbImNV
NYfxpDyt9VVzrzzvDGdrnTjDkdIqn2QcT8PGxY3ZLtzOnqzcBke7TWzJFZ3W3pOqvr47yDxeHvhp
PN+g5CvMRsBga/1eAWLa0owamtvi3mPp1ni4Xc7ExW1YzBzL04j3GWA8baoGqsL2HnqvD4J8gta/
xOYkyhvWV3V+qhWUJeLGmzjA2BTWEsnUHaphL5//yfN1zaO5gRR9jRIpYpYnpFLzXwj2ZSACFRJA
rlCylwVAagcPNK3VaXl8nBFPPGQ/YgfX/PZUsbn4EanNFJTzXP8D5ENEZbYoQEJNiXKQt4gFY/eK
ZEgArOD9NzQArrvvJ0kMqVxJP8usl+whi4H9Ssx+/tYtBc92/3XUTmgV1mrGFGbgzaqrX00/QOka
0m5x5d625o3F5wu1OgVRb4Y0Wti3Pp07qwAmTJCfbje+fub/LojM12mNIHuDTkc6hwMb+rc+B9QF
BYI5ucSmqZ0Q7iYPeHPVz/DebVHQRexEnOuDIjyD1pRqpMRRPD9REzQw+Smp7lO92cnrbpgzz6AF
aBEAgkqRn8YSKulpPVfHGIBGp8Q+GbbCXH+jJAXnNp5MK5YMcxmyKj+xtlfsSqcu6l/20opbDzw8
mVaP6lFjXMrqVJvVMcpGmyRIUi//1CazWnIxDeR8AUMWfty2hK1JW1fqSwwYuiprDL2oTqBbAcEq
UFzyU5n3yO8+fK8D7gRjDlA8XrQaHWRBIp76FMQJ1Crhrbfb39gzUTj73xGUILDooaFWnmrZWP4s
M7TyWryROV0ilkdAYiUwRtflKxnV+VRnKc6QBiuDKpHbFy0mEth8WHYsm7bY2eG2ZpTfhZRYGUpV
KU9ZaxzpPF7qSnzPJ/U0pHTvCv0Zov/XgQkvEGjUDaqQh7Y6jfbkUK85ZE7pgbXVk5zKNhxItFqj
zw7s0J7Lg+D8f2nHfyo7vhYLfPJjXuuXi+R4/YvwHIvjfO/Mrur9kazh0NixW9l/mfV6Ot0R+/fL
02glrmi1lmw9fXwM9u2F3ogdPHdX21Q9MausOjVjdugmplj1ND5IMvNut3/9ZEJ4+q5oqiMiTuBJ
jMu6/i2nUun1AB3tBI2NHKy4/v7Fz7IGFcgge8xPsXjO42dV1+1aeciXd5znb3//ht3xJF60JaIU
gyzkNAhjaZeqAJASKDeBlEDBf7UXn7ZWgYsXwIOXJggyEGRZ4bIU50MT11bjeyGc5/OahHkuZRyB
T/IChJrwwcrYMlLBqYWd++jWJHHBQuwAPu7WPSKZUBehp05JYqfSL4L5eHsVtqyI834Vr86lkQ7l
CQKVD11Z+aouO99rmkurQLSDIWrhWQUsIf1JUHPIbEXCzoFma105xwaQrckkoP1OYlL/XVj32seF
H8lgP7n98dfbl3lCrxZc+6QUaXaaYuk8pfLfLJIC1En9vd38Z1bjfwOTzBMt6bNeggMJB/LeWRzQ
p3upC/v0uzt2oc5yfAdngCcVTv+7tQAE+VseQJFjgwvZpTbZGeL1pZd5VUKpi6lQTLh+KCgxSgGo
KcX2G2armxr/giPoUY5TrUCCtPmjDbkFxKoVJRT6m/POx19bn7UHLj4tDOi1aGmVoMgW0wE0sL0D
T47olVRnOwH8Wghcu1h98ksIZIB/ipRFJCj7PEz1O0PzZRTcJ4IByMrxth1s9bEO70sfUawJYyGq
JABDQdVbAIUCKQSS+sdZKyq7AqEk+HqEvcr+rUlbLeFLb+BQqPC8LFUhKkSDYRhck2lnJLp2BnMt
WK0TxgUrCli8louyGYD0pbEjaoJSKwbDC9ZqPsxVRQ+3J22rHy5m5SgzrOOeyAFYmk2PDNHzbAj3
HRD1J9GYvrn6XPTSgJfR6NSRYIxV6DN1iQ9FyQ+x1w/D2LwCV+TdHszWmnCBTKMDOMoWRgAZG/7K
wLgUefZ7ZN3vbzXPv+3MQo28c1KJYY3EpZEAJ1afU+njduPXIggWnGffL5MmH1CbW4ZQsQhAfHQU
4si53fTGtPAvOs2IamgVJIqBmPRvQizOtp4vb1E3St/sgPNugyVN1IHvKiTMtMT6sQfRXaZ/Y3da
J4Zza80klZapZAql+E4e83NTKh4F18ztudkIGjwB/5ywJJtBCBbWSTEc5blG8eeCG4uUdwqw+yb1
IGyj7Em1bngb4bw6G8A4BwVrI1jM8aOT5ZOc5amF0b3p0bKXOtrqhHNpIg8pmBCmNozS0qtn0bTA
vxAyc3pXe32nyHbLWjmPBq1b03esq8KkMu+knD2DDmrntLxlrZwTU6NT1UofzCBNNCtfqckK0VrU
p9vrffWODXPi33ZmGXjXUmJiKCTpSwMgX6AowyE2xI/SFO2WSpADGUBYO/+Zaene7nRjRfjXHjPN
s7ht9SXM1D+jjKcqYyX8o0dZfbndweeFlz8CraNazfvLbiTTPqfKjDAOoWU8EID/6TjmVfMM+Zfh
zshY+1QughSINSGHBvCR56lc5LupksUfolDS+2ESy53qwGuJ5fVTuGAwmnPbLQVpwj6ZbLCbQTMH
1GDtaKnycpaiv4O5E3W2ZpULDDpNM7msRikgDFqcDXSiNNK/RPP4Gun1Xt32VierA3yZ2DiK1WRS
OinohxT0fKKgmZdsbNWD3oE7s9eEvtkZzobd888rSUNlI51qMZQiGWBniTl4a36T1b3nuK32ubDQ
dXoH+glJCpCTaC3dmKOPEnIydly2xfttM9yICnxSuY/6CowTJQnaqvlojTSsxb271bWs5WpVXFQQ
QOM2JHURBV2NejJlpPayUklNw0XvowepMkKWs7+E5fe3h7KxL/DZSq0gM0hgoHyVsFcQ0Vky0OOG
celI7Ur66/f6WD3oi22tjADQfgGx3ajPTjSodiaBR0f7l44gz5IG73YvG+vOpyxHXa1EcAZKQaYs
vhCjUAGnu1czWvbw0J+SEleCD5+2nAgy9MWotqEEYLHkJPWIGulOLl+SKFlqey4FxeoJ6Axw40bB
TZ+XyWVIJAJ+CFbnFlALuQuYuhoAQUxDMyrVJ1D2gkBlWvLyl64POXLTEQVpy6wlR/DepiGoOeK9
iosNq+XzaShqEkAx1otBJmVnmvQOyfdYgLea5qx2BG+sCnCeHJizNlzSXMq8DtR3O5F2o3U+K2bg
dWMETW0dTomp+P2gj2Aia6IdD9iIfLz4glLUdduJUx9WU3GCzN9odXp8jhPpmUhNvXP82hjCZ2L3
iwtEzCxApGPUoUGH/g46Ehp46bK9HWLL9LnjVj5PUmdMpA4H2fRjI3ouMznAa9DLbc+6+kKPoMTL
LbRTlgogZhaDTqnEY0OLxElVufKkUv8ntTG4LUEy6eUrqVaVUeInZa0clSkSDubUfORKGjmxmWdH
s2Dtg2rW5LmaI/Z4++uu78Mq/0wJCr1cTap2CqqagSgvRq1F1DwXk/JgRJKT5VnrlODPsG73tjHV
fAbVrAR96PS5CquOnPoMAnlFfQTx1M4lYMMY+RRqM6dMqFVZDHApRpL2x2z+ANPQEaC9b37/2vEX
Q5TiqtF0aSGBUTD6W6v6MoA+sRaQkSrxTh9bg1jn7ksfLB3owMaxCwsBLyLVgyidKM0OOnhebi/C
xqbFp1BjwPZTmWpTEM/zcdCedEO3U9HAM1Lh4On9cLuXrWFwXjV0S5kLciyDPjgD+2ctBRhVDEUh
FujtvLM3btmT/N+5gqTTIo7R1IVLx+470h1Es/TKIvduj2Ej7qzYzq9LARrA0QD3xRwwpuIYnodd
1bq3m95aBC7mlwaQ36bUlaEc5w74Qd+1DkSGrcD+FrNG7UExXm53tLHvqnxeFTWaQoE0fBXKv/qf
k6cF3uQPBymMcHz8oz0rT9olvhdPUSgfn+g5eUn/3O74+tqofL61A2cIm0v0KxTPDfCLICZ2jHQn
8XV9ZVQ+k5rK+pTrVTeE8ZC95aP6JoG6/vZ3bzXN+fhg6nEZE6RYWp1dFi19BFZur/p9a07W37/4
dp5WYiYlcx122QBGUUn6R5fagwMO7u2Pv+51Kl+vk7ViYmRCMQYquBLvsogsj6BBnp1yXshrPGt7
esdb/XDezRi4FIW0bUKpyUOTSqdsrgOmEK9M9phituaK820RMEZZnDOsQ9vZSlH8aEn9nGXyXon0
xr6smpwLmpOpUzKUOFUo7CdA7oGg/1PHzEuj5a4pJkcARyMOZMHYQddASyqgJlXwo4HDV6xtnYCL
OM1tUSffCjaQfvqvbcSpWEyTOdVhnI8B2L4P0TLtWMXGVPKVIhLtelKZOOEwLb6UagEIoeDKKflW
xlPla0ViJR6VbliGsOzLzNYl8jIXS2UlxZ4pXA+WkAH479TgQRFPylEBb58vGjshqXo0SeRJCYjf
hb2X661JWn//4ptxi1p8WhV1OJfDRymaYUOWy9zTvVqqjbjCk/ywCO9ZsiLgHA55JrKy6GV7cMKN
dJXKk/yAnhJULUs7hG2mvSMuhoUpvMSEtHY/5G4DcgQS989tKXlV0e5hbLYmjHNQ8AkxpS7EIjSW
ytWl+ARqv6Om7B3mtuaL23yzLC4K8KHTsC5VMLmBtlswgea6HSe3vp3zfTYRAo7cfgjn7LWcU7Cp
vu+WCVxPQoBYlzOkPE/7TsPGl9cjXuBmWqd/sNWLNuhepPdO6ZOLOGrjC2mY6QiJPO0EkM8Lxf/e
sFWeH4hJagYy7LYOm7wDH9sl7e80Y0T2OLYkEXTVynKX1jSokDToqwuKrndumBt3CJ4gYhakngKn
1oQC5J6sJAI7N3iAmVugzLherDgb/durthEHeG6IVDcITVD5FHbgsn6J9Sp2mCqQdwjlqcGSxYIt
lc13EAS6qfIEEShxbEQy6HW4jKEC5K+Gim6j20PcbRggz/QA5rwSXIpovZ9eMwiRxMi2oRJqx7w3
tmee5WGooY1Xokpl3Z7V3wLTxSMoxbV/ppxmjrwUyc6CbI2CCwFgVdbkqUDcGWUwGUfgFR5SV6XR
zn1uIwToXAhIWd3rtElB3i10PvAIXk7knfeDraa5AEDiFhVnlBShiTQTK6s3pqc7ZTYb/s8TMOSp
NGkJRVwc0lHzRrCLi8AU46oineJFeGiYLhwm8LqCMt345sGS51wA732bjykyJBIVUKW3QCE6zag1
MDBM3Pa9DZPiyRMgkdWX8gQ2/aov4OCVR3WQIRtBBGq22z1sGBNPokBAAE5AdTSGtfzYmACsm0dN
XXYa34hRPIGCulRGkZOuCEFVt0IgdHWwgSexs/ZFl9WDIe94xIZdaevvX04RA2VG11IT/aiSPbfU
NzSyE2Y/H5+uxHeNO3QLKZnEHlI4oakMvTNAx8Q2wfcemqaUQJ+qkYgVZd101hudHFVIonoTjZXX
BqrEUE4ZNfD+Q+gs6+Jira6U/9EMOi3DqNXWmCrzU5TG5M0EjdDDXNL+NIDmPQApb+nK4EWxmzQf
IGyBI/7IpsxuILvxgiRsd3978bfWh4skXaXq4FeshjDK6QxG78RrQFgNWvU3vdNCFaTQFrLT3zuw
alxcYQtJi2kGDS9OlqDlVd2iPxZZ5dweysYupXGhxWgQz6F8NoSiFMh6GwIxDkJaw4npua6+g07F
7sTzO4B2XxtAyTqEfffWJ16d7pX5bHw9z+eg9y149dV6CIXeJuJf1RxQikEtGXm6vZ11w0fUtesv
PhKbCii0x3QMM7MdrMYQf/Td4n5r8nlGhxTaYPUkzTgJDwR6n1MGxFo6lVY3LsyKFOWcl+nz7a6u
DcOQZP5WMs+IJxlubGGjD9VTJqBmeBCVYceKtlpfo+SXScpxYS9lKDohYIEiB9Daetm7+V4LtOuH
r11+aXoyjAYoDm0KZ/DyV9A6qYN+r7zq2jaxts3FKGSyAOmXpQmXgnORf+TkTmnf6mznQHDNONfW
uSixjGIFqiRqhon6MRMQGY+ZVUTQSy56QHl/3F7XrU646BCznkGtaZ7ChVG3gA6jYZxUs/BmBW9N
yd/bnWzNExckaFdKMTQR5lCHaKBpvudDf5KV91QXd0ax0QF/C0EtnQptR9iPhNLYaVELu6m7U5vX
H5Bg27t4blgSf+OYx6ZTwEoE/Yv6vWTDyUwmZ+n30q9brXNxYmSxpsi9OoWUMVugzEkAN0t2jshX
iyFgS/xlgiWsrONamULlEP0DF/14rs6dA82+f90zaN+eqp0imM/HYH7bXjtah/fF3fIhS4wa8xQm
fg+2bHc56Z5ml07pTJZ00M/RRQ2KD8NrvPJQ7HS6ET3+93oxE4gqY/UVyqjXaQoyVeW36kjWEXFO
ThMonkGSGJGvtRaPOJmn+aIPWqETtC9Cau+9GW+NgnP3IolUEo0wgBTCIrXy08T18rb7fdZLXFsU
zsnZXBFj6qDc0pkku8u72ryXSkBnoJwR+Qs03nJ7SknuQUJIOdNGo44xRZKP5K34VIugjTfa3jzl
rEmPUBBQXk1c9iFkFJWnKgNrejFKnS1B4fuuzsbUAb7a7K061fu95+hPZPG1AXABBMyIcbksmBvV
Kn3jYfoZPRR3WmAckHizGzsBD81Fv2PWYotO/tZ3luYJQfdc28POFCrrVF35Av6es4iJ3AN6PIV4
rHfgnLZg/aQ+1KWsy7P76KfWH+qVl8k6nN5+z45kwzhE6/f9Crhc0SfIFLh4+3QMdw8cuxEv+EuQ
VuC5BvqdUygqXgJtQ5O9SDh77VjM1nC5aARlAMHooKoXCsfORXbYUo+4tluC/be3dESO3jUAZ4Fu
m7U6gLiz423O8hrfv0QPsRxmQVDga6O9eJA4sYSTujod/mZ3tkd7xl/m905lmZZuda7qDBbBIkAj
wIL8C4A39bEPhnfzV3anvUemheJa1U7caCeQbvD9yfzVKlHidpIrfGELK8AdNyy9yoZamDtiTtJT
fKhdDVCfHn3GDqBqt9dja7G5Q0w/CY2Owh4sBzyrimsHwE5Nernd+Ebg4W9aDM9vc7Q616B4oK6j
7M/tdjdwrjJPWZdFgywsORpm7/EPHSu2GhJxhrv0GB1+NVZqxS4oA+zBmf6RYF2pYDxlVn3eqxj/
rCa85rVc4DNavcwjA18A8VwnOshufkwAhI7d/hidopNuN07rmmfRA+TNzVzBiVzDhdqrN9jF656n
ki1n4qLXCD0UHds7rPphdsdDfYkCdloclAXZFNbDQtBBPkKUwa+PpfW7tks7CfpzdamD7iIfS1u9
V52dJVk3rSsTwt+kmgbX2U7AhOiNMyGAxY86trQVstYf62MOt/ol/IJecnKHC70F5EMoPDfHve6J
vNH9eiH+4t8tK3F7KFeLcBT752CNVupEtnFIPrL7+Kgya74jIXbAl8hDYdmJ/Va8wqk8EJBhdVDp
70Lt1dlbl8+KmmuTwQW5KVuokSbrWSW1hEv/XJfW8qrd6y8xDkin7lL+7f5I97dnfusExt/VBHMx
ow4cS+Fy0Z/KexDmn4F5c2dPDVDzfNxLT28dwNQ1hHyZYuzgIwWCAcYW1KfyvrkbD9VBf8SEPumH
BdQFqg2FOZceVH8+3B7bRgDh6fnMzGAm6j/RZSLZFXSeIQOwE283Ap/KHb7mpamSXMSs1YMJOdED
5Gzslbzo9odvnSvU1U6/TJaotyUkzLGJth5EjNC2/KD6zTG+K44kbF4aR36nqqdcOs90+z/5WbFK
bOXlOflL3nY+YcsluBCllbhEduuWB/Ugu/Rr3zjEx+FAnTwAZuuQ250zOhOMf/ANBKn6MO6cmjfN
nwtL4mIucm1CrbmhlvCzvh/P+Yvsz5fc14P8jQbpExQLb49yy/p5cr8hYpHaVkAsaIf0yJ7Fc/ak
4Qxt/DSO1QU6X8n3TJFHhhkycHokwpiAqnEguOWQLtobw8Ylk8eEjXMmzAZesMLkhMqSg/ozP5Jj
HBgnqIt6jT/40Gq+fKdOD7cOHh22qp+Bgh4TBmVb3XgTRD9qXncWY2sgXIiYjM6ANPKCo+ND8Qhk
afSPvikv8ltTWRCUS5GQtNIRWqmW4O8BTTf8mOf5AzzZgIYkumygST+nYWQWjlrswGQ34g8PDAPB
3zgKCnIYgkatrDwsuxTlWy1z8aGTwAeA8k7Ehw4aDcmfop923k2upYDX9eXcvpnGMV6x4yGqrayh
hK5X8i5mL/X0rkDhyGj3nPza+8zaD+fkczcndSKL64laCWSXAhefOcJjHbZudSr87Jh62Vn3G5x7
Ive2fW1MGo8JW6YIQ2sQ0brlOS9fwIy0sxls2C2PB5OSpRNIjNVAcseKRGbHymhDccqZ5mrPyTfW
hQeGiVos9NoaQFpn+Zn+Br4qSI+lJ4XCne4K58qP75PH9q4M9p79tjZsnv8PNHyjobfw9OhXm1om
xDuf1dfioXqJ3uLBwfXRbbxZO6Bk7RS/D0ey83azdTrnQWS6AqIYLcZIc6uwVOhne70zuq1PnPWA
nNvgynSSu/pf7hd+/dsMykeoCNvryWEvWG8EBR5oViwG3oUrrGfXjz9bwxsT9dzJzLlthp/NXDne
8cgyksSLntcYYOM2LnAquLJ3h/Hc4brYOr+eExy9qaf+qQ75GZrFYYdbO67pVvuXullYuvjXNe/p
+TsvfvDEzzPxl7OGwdjSLhA/BF/bBEyDSjLLKEW7Zrp3e8BbfseFlGXMCFhBEWNbPYVK6SnJ/95u
eCt/9El/8eXTaQWhXD2DiYLQ3BUuoAIOaxRWml52mY6aU+MKJQUzrKM8z8fioh1bhJTbfW/YCI9N
67oelHcjFnHqJaurf6OY3GrMnRnbapy7juT9Av3EEZEK2Vc3XqUBlqOgqu7tT986YPEINEhrx1kF
NduQXNSfUHT+IZ7pEzCIXv8j/dB/zIkl7ZwiN6I8DzCLlQXa6Dl6AhDEEafc7pPaqqNXY3wg6T8d
2NxFYnu77bp1XPGrz8P0F2vQCzkaZRHW8FO2f0lW5jz/OucWLvjnP2ng/aksL7UeEweZImpNtnnQ
kOwVrX8JEmKZ9S/88UDtH7dneMPi5fX3L1/CximH6DM2NyqSf6rWuFAk32n6E6B1bZTczSMVVApK
RbRdudU/SLZOkNGOrfmlftIfzV/lXec3XgYSNfVhCpgLIa4w+94Z9rO2+cuoZtFIyqbBYqp1BZTg
YFXjnrbS1mbDw9GiCMpN0oKQG73MtugO5zTILpEfQboDeUrmCgfxJDslLocUlDaPt5dpy824M0iZ
60smljifjeJZUZ6L5PdsHm83/Qm9ubJMnwP9Mlk1yA4FOmOymCdc2EkN04fixThNQXOP9QnSi+40
O31tWBtPqFXHcaOrCuZumAa7Mmar1+9vj0K/7lE8Hq0wR3Eiq/su2UsFWnAJivT9qLoqFAwnZefE
ebViDhsQj0mjWc3aRkcv04Vc5qD2TQtsZsi/iZfWjd5vD2UjEvEQKbnoBMWcsNYidPVYfyc3SL0B
bx31yamCELo4q8ciLXYmbmtJuADQYWtAvTp6U+vnmvxuyE67W6PgnL9g4gwZsvWGlPW2Ot8BD+/O
o+oU3RNNOsh+g21P3jGrzXXhLhlkxOsliyYcDKgM7VkfSFEbGsUWVZDhRqmDKlWWrLzoiXZqmvsh
V3fOuhtu+T8gP1HKNEYR4YboPkL9fPUjNn7dtgJtw6B5jzcECYQwWJd2WF7qiDqjrgfzWDx0At1Z
oo2l55F+M0Gp6VT1um9mbHGgNt89qhLZM6xPp7gSV3jwVr7QqFiEQoeIMOljq1CG5MDUgUARSdJ8
FIGKnk5LepgqWt/PAvDyqAPogPE0jeOk/23kCBUlJSQVrVllk+Eyw8h3NuCNaMEDv9poMKu2VnS/
EkYra97MhTnm8mCatUXSeOfwsmEc4rqyX+KqlkdlzArT8Fs2kkuyyBCszjSUB2TVXuze6mL9/WsX
ppH3/SCZPgh8299jlrJDoaTxhRBR2dlKt7rg4oOkLV0FcLThU2RErWiJzwB6f0BOfadK7bPq95qZ
cIEiMlBrwPBo7BM5HkJZSUyLLn3mLFo1WxKKFD9SCYIihjIZB3PIome56scj6ubIkQBfl1p5W8/I
KGad6ssg73Y7BdLbi0AkuxeUBP+Vck8EXagXzxJygUnd/QBSpHqWkqp8klF7iZ0btAnpspgPspwv
4CrSa5dqcevLMRRZ065dPL0zezvNytQF8afwLC96djLAOZ9b0wAiOUvO08lnxEwXa1kavDCJMaB+
NUCcYPz2izQXX6W2mj5ADVH90fNC1uxBTCB/I4P32G+UqvMVUSI/pqEnzwWkwl2QDqm112sinubi
TNZtOiKD0pYjyPeaNvV1GaBrvDmNIrCgrEEVZ5bLOHEYPXO6YpDOXVmoVjP1en1YlAJPeHE8WGCE
MZ1qMqGZJYH6+gRcTv8gmHN/WYoRue1JbH/eDmDXDUfikaLUpFmpJq3hx6Lm0xY0gmw6N0Tybjd/
3YUlHo1DFy1umtwwfXMii2FN7bicWa6hglwEj1kJig7FqcZyr3L5eqyU+MqVek67Igc9SViqbBVI
YBloApSdR9uNqeIL4ouR6lqpyk2oCs9CcSfNz3RPtPx602An+m+EKIYo0oYOwiydIDdwLOXUJzqx
pi7+1jIDGvvfDjpxrqHFrur+JKSFTatsssA5EdttU4rO7aXeGgO3Fep9rKcLjQWfFJk9wWfG9JRJ
e7XvW4a0HmC+xFBIRyeANlWGP2TDM8xGsoVIA15I/zXXhuCoWvV8exgbJsQDHEtDhRhmbpq+BmqU
GvUGlE47O/nGGV7i8Y1MUEtFoorpl6hZ9qWGMJv2fdJbY9VjO4g04ZDrumOQzjLLIrLaklZHJOJj
AgJ8HMuhpTRC7W/u+jRkBqLB7SFfP8RIPM95WcmEdZOgY8jSYaYHRWshYKiCC3Zn99ia09Vkvixe
11eQuKW66ed9fV+JAHRU886hcqvp9fcvTTOUeaedNBl+pGr1YYprGVAVqu20vjUz3K4n66MqxpBa
95EeZ3YGTT1rNFCUI3aXuMHr8e353xoD5/15TMuIpabu5532GBvzUazGvQepjRHw+MO+ilFrIlSR
j33HOGuiZPxQjYbdtTLYrvRF3LvZXfd+iQcjkqpPUQFh6H6tLV4rRZY8Dcep/9YxW+KxiH1HBFbo
heA32HntudCaZ6YR4sukz96YKOxlJLZGsc7iF2sSI3kB0S1mS5ql11I1ntM8DfSU/bu90FuLwfkB
iZYiNRbR8MUJBSHTaZFix2iCfNo5MG+1zzlDmytZhsLZyEctdmWPKlXsNo7OTd7eLUW908nWHHE+
oStRUkFmN/KrWfMrKpWWYpRQHG2+g3Y2JIkvB87AR5nLKkJ9nj9lMbNLKegKVCyoO2F4YysxuL2w
Fkfw7rSon22V2bAN1uCtoezOfT8lQUTgeVSfdjx7a0G4PRGsl3o6dpMU1uoPkLVY/8fZlTTJySvB
X0QEQkigK3T39DTjWe0Z2xfCKwLELtZf/7K/01hvaCL64sM4QrSWKpWqsjJHhqpHUwTZuJHrWNkM
Ew9cLYurnKnVII7y91WJqNxBI2I+DW+XT+xKRpyYeNqUi1EnDcTamyqzjoPjVq+qEsVRD744etTL
X/KWqAP3rfnv7BbNg0NmCGR4S4rszqjlY4wT/yRkzbuwikv/jo5lD23MoQvqWo6PFRdzHybiHDDY
yajEYYAc9K2uR7bFFO7DeP//6UJMpK5FMqEXv56jPM5Y2BfdDlJIR/SdDwEpmieojH0dk03llvMp
+uhrhg3alihVDNKwaKh6D3IpcfkZ7z/QkfZurXe+HCCiOfe6BgQrs4ASU9k4gSEJjbDjSLf82H+Y
3Y9+hWGkWrWJ67vlEsXeOEMaxuUNhEtivKh3bpwitJh9mv8UlUK4OTZ29Z2N83CEjFIXdE1Nb5w2
wSNFISFgV8QNlqlsP5cemi04Bf1irnv/fpx4+qPLC/VdoVP0oWhq/WNY0Irk2RUUc/w0/Tp5rr3n
rEbHctORysErjCLYWZo2YvNUPgJMUz+Ckky0QQbF6hvI+xHISZfz6+Dr5dEWXb7jrOr2tl0N3U74
Pd21s9U/gYVN7Jy6dm4SG71QMwC7+Gw5Hfu2YzdIzTXHdrLQLuuNzs7WrNiVDdVoYC9Ujw7teb4T
EOQ7Qd9hOYyWDUBaUuY3uNWa0HHnEo0Byn3C00XvIXZLZdgV4FtAxwCTTjhOdlrtiqpD/tLLh+60
DOUYybYuqoCXDiNBOQ3tr8v2txIaeEZo0OdpN6TDoCM+LfOuEQ7bQZDNv9J7GJ4wQc08Tquhjdoi
+QVljVPGRRnkOAbX+T9TaFsMjl8neHpHDfnWwrOS4lMV/0jKrZ6XFVdugpUp2PmWmvMmKhUeAQBn
HThe0qGdeqfMo9/AVf75qn0wQcjdkrgd5Or9W5GjpCDt730Vb7jYtTmc//4u5igY1bLUFYnKBFkN
rapdUtS3qTuApgCP2F5kh+vmcL6k3n0oragarHNaPJmcLxmtvhTyGv5CXNkmWHgayxHYOGR24VaQ
EyKK3JY2ZA9Vy7aKvitXqSnROslYMyV6EilWPDntaAVpb78OTf1kef6Pyyv04TdsYVpb4dd+69ce
SPmmL4QD8w6MkKife/338vgf3kQY37A3zjOZx30pTtwDE6gnerpXTWbvEhd86+XM1E+rpe3t4vhQ
vrr8yQ8DBHzSjECydqwgSOGfEv/edT65ugs9vPsvD76yXqb5VXM3udY0+Cdit29+W98mUkZOk30p
3C3w3srvNw2PJaT3R7X4pzwewtF1QaNav3YF3szXTcGwvtkpGLDb3DvhrgG5em3z+Q2yae1niXSm
HWq32kLhri3W+e/vzG9IdS3itPUh25YFVVyEhQe2ELfceeOGk/rQk9jCtMLMkvXECuqf4BYDBtK+
AtAhv/tad1aA/9xYsbWvGAEOY2rKi5L4J4dUP11ffepE0RyEPX7t8/7T0NFryCt9TMeIYdiEftVZ
JjTyqwxNgVaxb1hThL5lb5j72tly/t0Rd859iXBmgdeqP+fqJm7YZ49tZAvXttuwdXceuVfb2G4q
4QeRRxr9Hwm7G6xkYx/Wfr1h2agn6ClTnX/yEnZrJ7MGJXm2i9Ote2llAiaCfrFkDn0wLD8erW4o
mqH5xCDJF8iq6m4Ku9tC0a195+ws39mFl8ejGOHyTj79OlpZ2FVL4HbpDbX+XDbxlYUyG5PRzThK
8CYsQG0PPbTa2l8iYV+zzNtfHn9tAue/v5tA3PTNkCSg68c/QSXRMTX8LVq5r5aNCXxIEQBLMKHu
KIiyxc7nLOKqsp8X7jSPaTqUoSsdegRKvD7xcZmCxQU/zS5GT3/QWyzdpz2Ndw7In29ay2c3EP1m
N9LL+Z2K/fqTRbo09CmZi2BoIDR7ZlqBrGVCjsiC6LBqlnS/tFa3S91mup+nuT8WfSLecEM5Q6g7
STfSjyv7Y8KN5wzYzXJc0gi3IzCzfvstT2m7p7N13QaZEOOaVoXT2sMS9VK9xcP0oOJ8v2iwYlrl
Jr37ils05cMtK8nzReLFxcV95ozH3JuD3L4n/cOcejeXT9qHrwFbmODiIvMF73ruRHUeW4FuFXBH
ifN6efCPgUAY3fC3VcPatmeVOFHu4f1E8fjK3R78hZ1mQLvN+fAcz2n7RXUQS5oLvM8XvBUfVVzX
f+amTg4LUqJp0LspWtcIg0TfSGpU9i0JdRnSg5U8IV59aCDh+UuCAmZLYWLl/JhdGW6SQ8MiHv1T
S8XfyhugZuhV+4mz28sLsza+sS60qxJUnmPEzS5tbgpvpnt7oNmRUmsLcr/2CeMm4g1fJkagDTD4
1kFqkHklafLVSkW/uzyHldPJjNson9MxLzk+4GeiP86sjO+T1v0yqAxUDQmcQ1kV3nXXqhmpl0MG
XeEFFxNqfdL9WckymN2tDtmViZj9FeiPrVNwjWdR3fpj4ABaKOhjPIlIxd9lsqXVsGZoxp00YKX8
ocPljS33w9jPI52xdGMvVjbbNTY7ts9vpaJbogFMNWT4MxVo41WfL2/0yhPDhNsvINUkY1tmkfa1
+92u1PC99EfrCx1aBoK6IlYlaGLK5pdN53xrU1ZuwP+Sh+9uwGJs4QRcBNH12IRqgbQW3MhNq6p7
5M+fL09sZUtMsODC0PGS2pCubB0PWMx6qJB9aTceMitbYqIF4ZbaLkYP7MnuoYOLxv79MMYAEZB4
K1Ox9gUjWiNgA6d1W/OTFsMODOa3HPydaepdd4ea6EAG9ger7Nwygp5PMJc5tKrLPeuvG901fryq
9ew4eBqf/HkJRvlbEXQ0ti+XN3ZlZcwuipwijgUDOwJlD+TFsfdV5f2tLeWGta2cTbOXwqagMPcU
80Da89KXb4nqIF+H3thFb3xg5WCajRSdNRV5OZA5omNvBzW3AzokVx4bs2di9IX0WInnu+TydmL+
6+jZKQxYbWQA11bnvCnvLHeo42VRJVbHyobAlk9eHwc5+6uqDatdG/+8aO/G51nZNm2VLBFJ78BN
E1L1svCH0io3Fn/lOjBbH9KOF6XFGjyCSmjZx5N3Z3U+OidtdT/U7ktcFBsl7LVTajjtFuoETmVV
PnTSCjtkuXdDCeQW2XINfRJi/P96qt+tlJjGJqNQq436Aii8HPq419Czn0c2rNdxVJt1FM/cxGFO
2InltibwEOlmeX9lbczWBUcmadYkizhJOAqwzBMZ1jWfj5PS9eEqJ2Gq6LBMDzqbz8vPOggd6B91
pn4041aqYeUYmQ0M5QiCTSmx+FqjrLWMtNr1FkCqUnbTqXb6/MZm7c/LU1kxCbOFQaWiAG2rXMBR
+EASO3DKO58lQbvZy7e2HYZN67zrCjGcPZ5bQT66CrXvBwXZio3WhjdMOgZmn2dAXJwcZNq7WgWa
2SGIz4PLy7MyvAk+j/UweOgf76MOubmAMVbihTF6ofRG++byJ1Y8tolCT5teJItLwEGNF68CF0S+
9ePXRj7v+TsjnoXTLrkAYWMyNDEaS2kWLtaWr14b3NhXNYypB52qMtJuEiTNF6v/dXk9VmLG/9p6
3v3qPGWKEitFbGLrFy+f7ycxPHqyG4JEzTsaF0AhyvJ4+WNr+2u8pmKvSNI6V02UgPkPySSRhnlX
WDvIs25k3j6uWdsASf67CwR5HsIqPkfjpEFiVHgySFO0R5epU720QrOjNXN0viU+fUomSU/VyNtD
X6MLMeEJGuDjcjiMvs11wJLav+VICO8UcxwJ8U1Zh0Upy6/wDM6+L5MiRGSU7Drwl32+vEIr+2wi
svs4ExZ1hybKKss5oBor98ot9Eaouzb62QW+22xL8RTnkjWRP/Qh9KS/Q47x6+UfvrK1JpR6FBAD
tDPKTqyQB3B8HZpl/O369e664Y3zT+a5dt3OYydaDRoOTU1QVqG7pdu6glc8s9knwFQ7TxZwdWfd
pxYwaoTpwaB1AEj8xuKvrNB/TN/vFl97EBfpHJVFs01/WTWBpJXDrF2rXL2/vEj/DfV/lX9bmO0C
SaIai2UurjLkPcOszIYDQ53m0HS9CrsGbbeTNaq9GIv0lADmtLcKVEsvf3xlAe3zmXs3vVhb5QCE
FpRwp72KUTZ33wBLD+f423XjG76jrYnO51o30TAh0UnattqxFmQmU934B6/eYqhbm4bhP7jdDK3U
Fjvl0Dr3VBDnyc7O79JqCySycgxMNK5eIAfjCo23LKha2xKKu3+zdKuitWbgRrjHhKU7lefxKUUy
fT63asTdhgV+fFH4puiID9K2qtJ5hf11eOAlUxr20JDNAsviy3Huxi4UIp6eB50vG2izj2fjm3Dc
xort1G+FgECXFz/aPJZ7ko9b5BMfx32+CciF5G1vOV0G1cQJ+tAO3cXsZfHjsPZrCJDZGyHN2hyM
qCCWTWMvlLmnpbF4aDEI5vDuGspr3/aF4RVp2xWZTjB45zy5lvizWP7vy9a2tjjn6byzZkGyvlZt
WkWAKFj3yFEe8a61QR8LBUuEaE8FVxsxwdoCGXYt0iLFfb3UyJ0PnzLa346Wf7g8ibWhDVtW9khd
kdVVRFPfD7vWiQFOy3eXB//Yjn2zeaJvGks2pQSLDHhNugCMvvMnXpXdHBSW+nv5Gx87I9/soOgE
nlapD3MmeFbRvNl1wHPFwIwl+eervmBChHlelhXwaCSS3AqXjIY6dU4guA687OflL3zYZWj7JjhY
ItmCFpjJO8l2mMKkcws4pdEOy/ncdajITTPYv8Sif8a63ZjUyr6biGFr1nwgWQzG7iWWaPlN2+7Q
OiMEYC5P6ePxPTPP6vR+bRe5aKKiu/NKFsjG3YgRPnayQMj9a3Zcu5YkoIw4qdLqIVUz0lvlsIhI
cbSWOUEPk/xSLtPz5Xl8fLw8M/vW+tU0kpYDKDjsqnZ8GvrprpiyCEnpp8tf+NiNeGYCbq4JBUJ7
QvWNsL3oqoB6OixR6ZNK3iDyvsrJAnn677IxxXo5QzAlame190CKNCUb9Z+VrTZzcDnyGXVBKImq
eQo9rdOgmMVGRLM2tuG9yUjVDAEUROOAMSIQe4PYzu/L6/6xc/JM0hHVDbNfapeAZt1dQu0I51Q2
YEXnY/t43RcMt+3UskS04cEGMpkhaLay56UumhCQIHbVzeCZXCLMt1B+i0coo7cZGNHVfV5vJYbX
lt4oiaEFauLj7FmnmlWhbP6W8XVZAM9MuGVOJlybAuZlQTG2ZNCXKzZ8w8qempk2zfqpXTqoxkKh
s0fvJW2RIqFl/jupC7mx5GvfOPuld9e+nfYeIw4HD07fBMzOd9P03aVb2fIVf2Nm2rJMFm3uyPjk
u1EBGiC+fK2cVwKm76vOpJldg0IPZQBLiJMzf+oTHpL8L/QcN5Z/5ciYhCBQVh8H3TrQ8pZDc9Ax
sXZS1HyDwmpl4c0aziJ1QYaybCIJqEfA0+7JF8U9MMkbr7OPb2HPzKxJdJS16AaKTxpQ0MAqGtRM
nZ2aRlDO2L+Hom6hrdycpJtvnKT/Emr//xb1zEQb4bhaKp8O0fC1X8L2m3hj4ForAn4HFn8ICt1D
i/z7S/3kJ8Hycnn//9voj755Pnjvju/YNcsC8ew2mipGdjHyN25Yj3750xmX+A+rWHFgXPbA/1gF
uH1azV7mPM8P9RyP+6FWTRI03Ww7oZU2zd9mKucHYBXSP6qiPOgJASVGDkXzm7xhEn3Bbd6+0TTz
nYPyHbcPkgJkxcEyq/S3lZBiq86xYjZmTkhV55ORFGjDqEtQms8NllM5aicqyu5za9kCla19x7hF
08nXOu5agkT4GAwp8KgREvu7uds44ysWZKaINHoxxjzB+MKPAwKv0pdswzhXzMc+//3dxs8xunM5
FLEiWcrhAMYHvsfLrrkR7jQcLh+ulVDGzG9wpUDu4vZu1Dc8vSF9vHcmMaNZvf/UkPRmbNONFOba
XOi/c6mLwRoW6UM0x+rUq+X7TjhowKoDW/TXvaw9k8AEKAF7ciAwFA06PQ2je0dK+nZ5nVZ2+f8S
yhZKTm6GDKZO1R2CkM9VSX5fHnrlgP7Hu/lulyuptFuWDok8+68QP5P8VwqpBZpfObzz78L7pS+J
08du5CXqwWnGx6m0foPS56x1m369bgpG4BH7IygibcSTNTyFTyDb4y6gonxCBX/jElxbJOMJ0S0d
Y+kyuVE5ufsmXcJh/O4nBXzcViDycSuz7ZlpRqmTgbWJ50bE6t1b0jbpQSIP/r0lRPxmTSIfkKx1
7+Z21OGUt/5e2Q2azm3XTaOxKziOBdJHeMhK92CP07RRpl05eWYjPW9atywWQP0sckf1FDjelmdc
M0lj12qwRDD82CFqeOSyMWisPKBXdWBjNY0NmzO7pamLFjXl/+h5UoY1aESxOP5XuuTX6IWieGFm
7wgD2c9C4VTaFDJ+/YDyXU4GFXA5bVy+H68+N5N1Ha8A2WbeGIHGgASutFFyWbYYAD7eAG7m6oAm
An9GalmnMplBFVZpJQMkpbLnXPazt3GJrM3gbFHv3Avyj4AOcDeL0i7dsW5+HHT/fNnsV6Ihbmbq
UlUOHP1WGd4y1XKkkNsAJTqkNgPELOTGUqO9c12fPS0eBxFA41vLdxtqpXEgOESaSlUmEKVIqh9Z
W4snOojs2XXxNy24c5Vn4sLwfm7cSkufn+qjwOn2C+3uSTOiUbaJm6Pbx1t01CtFCm4KGo+sASvs
cH7WTcmyo04vA6/uTvMcg8PP+tpJ6zFGfOqx6WXy+y0wzX+FnP+PDbkwrtUBhDvoMwBSVGq+j1PU
QjqgRhLGsxBNicluUQ07QiAtAzyIyWPWd36QtP1GKvvj+Jub2cKUwiazRczoyezfBlH/TgGZC7Sy
7peY7EStusCa2nuXW9PGPbBmMoZbgSSAY2U9oFXpgHfixMEf8bWNycboa7toJg6xg1hHCaCB7yah
kixMrG7f2k7gxK90bvZdNb9MmQ6cYuNB8fG9xs08InIjaYvnnXdynWZPrG8VJEGy+K7PN26PtfGN
6Jf0eR1n9rhEdn0PWNRt3eNhItE+m88bybCVHTHVxQhRaLmlkL8W9ad8Vjsy/AAQe8N5rf3880ff
Oa8yI7knRYF2LKSIxdKAkQtdskDgLtfIyOEKMTXGMkZ06Wc5OGQhFynbB8dNb2n+UoGYbMyvXCLD
SGc0w7lygJl45QOHsEns/vY3qTY+juC5yS3gt6XLUs9DiXdMQoGGr3667yGjBEn1MO9fL3v6tY8Y
oQI6Izq7TnwSuRY9Fq1KQXPNAcXxZYCnmgpc0my4lLUdNwycSWGDX9sqkYF780Hrmgq5qxPwxzpb
0N6VA2sSDCCtWuauB7hARca/buNNqBCMx5HReXd5sdY+4P97aJt5SqAbMvOTyssplMNUHeGk5SNd
nC0NcPKxmI3NTeqmcrF5Z2co1BSz5CcK1e6d02h718cz6vtLQ1p07fC4ivxZ0JsRZKuHuErKbOeB
He5kLa5Ac1UFbdclyVAAG8pjXXjLHbSakiro0RZ+33h2HVHp1Xek6qGqweb2BB5ktM57U3yHDipw
LXW9+2WE4PkDZOKrG3uo9ee+9+Ln2enqXd50/jNNanAKg8dt1+ROHQDR6+xAzb7sWiv9yYcWnGHc
TyAB3TR7sION+0yP6YOjwQgUTJU9P0ylDybaKSsC5bfpIZ2G+XX2unHnija7VUO6HCEePZ0qZuUn
HnuQQKDDL1Zl8QFkzekJ8U9yP+dz8dYrkfwEb0ImghQdAn/TOJ9veKarm2axm7sqXlTYyL65KQnq
zHEdd/ddXLn7dAYqbxpoE461WN5ysVSHjFrtnjdKfvK1yvdcO9a5qt6gPYZXaIhrat8JEsdpjwrY
9beei78c5F1hnaFeCh8jooXo8WbwCQ3nofWjIRdd6NvS/8lHXh1KuyrePGdJ3jRN5E76iQ7FbD9I
eFsQB5Z0vyxjd9t32Z/GR4OTkmNxZA1BIXtIXrsucb6oZAQPOCPFbkaVJaSp92MobPm5QG/oJ99V
6q7xuvI59XoW8LH3D8JBU2K9bPV4rZiB2aQGGV6vi/EuOtGuu6mISoK+a5/6Kd9I/q14CpPHA1rR
S67PXtWlkPKuUtBI5Tr7PrUOYOjttPUuXJmGybUxaOR0hiFrI6uxntDs/JgM7atK4yudxTlsf3fD
cZLQwnYBnGAsQx33seySYJivq9NzUwAPOvTolgZTyanNvMeK5J/hKH5e9nIr7wqzs5wPvkwhhstO
TUEDZt079pUDG3cNqxs5ZpaoIzmxV57O9z1xN+pea3tpXC5p0VfDPI8zXnMk0M1Nx8mOxxtPjZXB
zdZxSyoXzJ4DUPPoY/QBR24sGtRiS95gbXjjVtFLTvqlWqpocctuJyXzQ2h+onDuZdbGWVyxKFM6
u5iZZZV1yU9DDD4VxeWba+kdkVO14+Afuerc8PPH3x34hsfpxDgtI1V/c6ovvb4qQ8fNVnHgpdKm
KOAAByq7B7Dpo3HPgYL8xqlciYBMDagMmtYWc7G7o4KdotOP6GeVvlQtD6izkSNd+QY3fEHCKwla
TFZHE3cgGItO9GxXsk4f9Dkq9fx5vid23Q4br521E2WEpRZYfTx3Bs6mdLDlLT+QpA0AcNyI3ddm
4/y70aStnbhNLRdP07Q9qR7NWlD+hl4ZaO0A+1Bi72Rd9nL5VK3NxXAadmm7Smo6R5MAORiE6Own
UW8xTnxM82xzbvoNWfc6XjD6opR7akZvurVixzsNqLCEceZCwHzuysix0i9OlvQ3M0iEwqGa6C1I
Pqr95SmuPLbN7nWNjgFdKAkRgi7OXqYzyXhcjfGhYiIQFfdu20n0B4pmxWNV12QjHl9x86bMtm1b
40DPAMie+7hfH7p0i8Tqw5HBsGKcdl3ZaYlQUkcoBni/M1B9PSvVbDEtr41uHO66sDikX/UEqJf9
lXrFnsTZRuDx4VnDDzcOdgWGbAp6dxLNhXigQ/qYePMjH5INB7k2vHGUCwFiwHJu26juSJjn50p1
gNfD5UP0oYvHbzdOskYMmrdlS6O4vM+6bzUyjrb3K0t/XTW8eUbBaLh05dLpyHO1Fcxze46lJyQ1
LfRcC/7j8ldW9tY8k5C8Hum8gDhnjL2DUv4hdbdYoVfWxwxaKc9BzrzgUMa0cXbaH5x9I+gYMpH7
R+W2W90/HzpHQszrpKXI1Y2LAAKnkjdJ3jf70UXjid+BRHnJa/CiNltMvGtTOp+zdxdu65CcuDlQ
M4oW9E8uR/Bc12CyFr2yb9wh24LSru2KYc9VKVwvSTWKQK7+xOP6uPhbjfwrJmFKCVYUqePWg8UB
SVkdc7Kw2xrUk58EiDY2bqu1VTKNus3jhCwzzpRvHywX3BPJNP3quuwzamZXIbqw64ZpTx3YFKZC
2FHczvY9U7Z7TJrNboKVDTAbyQWE1Ic+K/uoRpB16ty826c02ZLPXRvdiD9HPQJ3MPZ9JJg4NS67
6+VVmGVCTLqMCoxRamxAoTc54FD02mNSopDTO4fRhYAw2SjUr+ywyZmRaVDiD61qI59kf2xlpbdW
NT1NsaAB4CPWNUEV5mJYG+jt4hLKtThHqB+ShJfBQJZph/6FrY6L84L/X8ofXzDsjCoK0vYYubiu
BjVF/tjEL46it1kNDazaC8fSuiZ3jA8ZVyhSQelSKmpHVH9FOA2S+/uFfWOJ2HiNrU3EMDkJKjXQ
rDIbIhbnvrjMana9JkeW+HfIiEAOWgwj2vCuk5onJr4101al+Cha5P2yO5cA7V8mT5cvpBX/ZAJc
+8Ud5yYfgTGZoHXb37uTBArp21WDm3hWVo4dcAxwfsl4Z7npTthF4HnNht9b+ekmlhVMChNNS0ai
xVuOukLm26EyAC3L4bpff74A390+eG4XcBRAN7jaCZ25edG5vOkhFXF5+BWvZCJZK0mz2a56Hem4
+dYz53mooFJ5eeyVO9pU2UtKfYYjAhBd+yke8t9AQHr05AvA8KHVXIXxIcTEtHKXywJ8TjqaLe9z
mXMSkDp70TioGw5pbYUMK2ZuZ/fIxM5R2hcPVBQ3dc2ui8NMKCvIe2ZVnKFPgy5epzi7c6S65tmB
ZTFuSjubkWBluI5VZgU21BV4u9VPtnIPmFjWepBx7XWzjtK0Ggk4/fFMcxc1Hhvo0ux9NxcbF86K
aZnQVt9z0OqA4xkVvCzDXiKjnRE0IdSDvZXfW/uEcSmDRGvyQeTTROjrmlMCguyw86rd5fP/8bOX
QArlX9sFATMALhRMyUULQmMwHPidGlFc7t/iiR7nzP1LrRr48WFP9PLTg1tlOnm+8uPn7XvnODor
87sOzHgRrdGsWMaQtAma2IZz8ianCrLZtXeNgx0TNqqEAQc6ZAeGpBpljnJ4FCzuXi//khUDMiGy
8ZSINJtBSB1XOiipeweJho2Ez9rQ57+/m+NAa7v3EaBHI6cD+rZr+xFcxlvppLXRDcuvygocwH2t
I9f7yoZXZ/5zeUHWDp1xb9fuDOGDGuOCDvDOJ/ZxyuoIv3t/efiVsMBkrklyNB7FM8K+mX91kAlv
wIRcJtnBdpodEXnYdzeXP7Q2D+MtXGd8BLZ/sqPZ8R/7groBwq8soFOVbtwgK67GxD+T3BFK0kJD
44z7odXa9aFN+mzH1NiHRdcm13kaEwftk0EmfIRITObT7xMqpTYtXtFacHmd1mZhuAGo3OJy7XHH
djGa5WIWWy8Vp9VD7aXZjSDJFvfqyn78p+f1zhoqrpgQDQyNZktrIyjvrd1SV9mJLbm9Eamt3Okm
RNTmNkRDF5xdhd6zxFcn3X+h6G4bm1+V2GrrXjE8EyzqLbo7qz1pRJrzHGR2/k1osZU2W5uBYdUi
L1zV9h2NQPb5w66zE0BPt04+HZLEO8wQXbm86WubYRj5gOKaK2PhRNCD/suXqg2qZP5klfMW6caK
rjwxe9MLhf65pVM0GrKm/wPgV7sTZZ7v45jEN01Du9uicb2dSKz4cwytUFDsK/sHVNq8V1wNRSSE
oIfLk13bMMMT8NytUhc+BwQK7RcN9RjUuLfUd1YW0oSVCtnymA0DjXLLYUHK2m9LJdEu21bHq368
CaQHlE7RLhnx4xeUPOQyvM32Fr3zymEz9epACqQKatcs6p1vIMDZ1wnbUfu2YMtJFRv369oCnd3O
O7NnA7fLohicyEqec88PHZT6e7qxOCu+y4TQ26iIz4RpHGPuP3hF/pyU4gcX9ueFZ38vr//a7zcu
cavSvl2xmEZVDEUd1ynSh1qi+TqW47LhtdZmYdi85KgKFTN3kfqfQRuMzGoNvtJ6CtMtsfm1SRjm
7gtX9m5M3MitG7JznNr51Ks42TMrna67pEyKAJnMrEsgJBE1SQwjTwIPHDhcXzm6YcKC+iiXpUUR
ydoGtEdlaCDJ1DJ8Rht2flXFjNgm3jhtwJMvBfq8nPJ+6j7b+hsX3y+foo9dkG0CjZd2gqI1kR0Q
onkZzsS3Tk5flRuplo/tGKTp/9pYylKrcXt4czjyuzQZ/lR296ozCSJt9rsiy/7yJD4+pwCe/vsZ
lODQaEPxIBx5eXQRewYo+0Fho6dh0rhXkVlgF85n+J3D8HPLSx3RzlFSZS/JlD3P83BPO/00g4bk
uokYNo1AfGAgYkMMqp9txKD19GDz13T4c3n4te0w7Nl3IY2XVQ2JcPG0+9krQK1knwvWmhbfLJ6S
N3COZ18uf+y8LP+fL7RNCDTwPeghojCKjkORZq6L+thN8eemUN1GQWzt7BqP9cSmeSpdpL/UyI5y
8qBcpjcOrlj58YZZlyPL2iRHDzSBbmtgMdSR4sb5VJblHbLc3xmWEXSpOgNkrdwSGFvZHRMEXC7a
jvkA3mNMRaJjkU83LRSP5G3ve/p7GWfgdiJLXm7cHx+/d8Al8O9xZgATONqdFyhID+kP5tTikICR
70AmYsUhR/IMAEUWI/KeOr71Mlk5FCaZAOTxLOInzhBJdx+X+V4Vt6zfMtC1wQ03YC2Lzi0a49mT
2AQS6NMYWFJ+BpXeRmZ67QPnv7/zACBEFKloh/jUD92nybZ/Nr469JbVBpdNZuVAm6Bg5I4TL6No
pO5G+6lKICqSQbXh5vLgaz/eMH4P1d0OSyJOxPox6fulBVxvw22tDW3c4rSDGsM8LBaaqe9H8BLw
OQ0qvhGErA1uWDmkiYDbzOb4NIvHaq5D2T137f84u7Idt3lm+UQCRFGiqFvJm+zZZzIzyQ2R5UT7
QlH7059yrubjb1mArxJ4AHHtZrNZXZUF1ydlacY1O+9AAYEcUmIcU7N+LQqUL0Bka60ExvpHqXvB
B+qYX1z1S4FHkzNDWtOXfjH01V+WFN5LxiIzC+aGpznIQYr2AHwoDboq/aB9Ov9WCNWB9KEORHIB
ORUda8MGAcYxSoGdTZOp+gmtCAvPtXNqnVyLgDyzbBu+EcoYRFDkqFSbWe2Zfhp36qFQMtvgccv6
eT5eApA+D6dcChVMWdc92iD2QKagZF5QdKP3oytraFB7dupB49QwgCjhoHHzx6QD9gssVJ/SG53G
L912fFPKhfAuaOdUkKgWlT6jFxv/x4zMURsJlc7HRhjAEVSWo5Ktx+z2zSIMck89z5zfaZoKEx40
Zu9z6s7BoIBbdkbTPeG+Jz/syOh+DClzU78H5faGJr3vNFUcAkpM/TgV1hE1RQ2K901IfrWqewNI
6W9uR9V9HMNvcRLH03OeZKXYmF5U/wLx6OjnqSn9tihsNJXx4UD52D6zJGp2lqhL8LKPM/7c/lJs
VJDMGiAY2nntMTNj+JW0N584h11Cusf5bTsMdN/wCg8JcGE7KyHGNoKM3yZ2MitsIVMW1HSsg56N
MnAny93NitqPwOX3f00DDxL3eQPPWvZASftFCaBSIczat/uy+2F4VvnRGBTAZGLjBaOjY1DZDBwC
ZlxsxiGhAYc+wb01WTHk4MZhA/ZcNWwzEQOzxeuutw9xDbqNAHz6pNmklsp+QPmgf6kAgPk+2Ik5
bm0FUq4dsQyvCLpS5He4i87h3JtMbiZSsQ+ZeDPYeJiVHuY+hsYOg3FwntAuqJzMAQA/Inwz2tXw
WQ4Z8iaRA8J44FT6PMgVJXumOL1PWMpfmjFxCWTLUJvT4d3w0PRe0fhFz3LguRlwlxCuNmrfdPJq
Dmk/5PYWlbbxSUpn3Lkp1CwQSh4A6VL+DDeAa4LZf8uNmQ4bN7bKXe5U4tnrpjH0OhCYINJvgAJh
ebOFanK5E1nVnwXaeGUGTd2CNSHL2V/k+o3vHoSi36s0g+HEZUXbraIQ4KHCpvsqcdhTX1WpRA1X
Wd2nALi727hJ50+uStN352Z4x5uunYFDLbGbYGiast1W1J637WA4O9w5BkCAHCMslZm/i2zk33jv
oZyS9DZ4D1jtc1lNz1FlqANIrVNkALr+1LluuS1qM3kvKjxPcuj9fYpOGYeuLI0tT4s3JC9IONWe
Uj50dvsfMhrRHdMrN+D2AxWqysyjORfpU8LJnO+hoOuwFZ+54JB1ADQ7YxLhCuTJOytlVFO24a5n
BtGcb6875aUGzr9/OWZRLFMnLGnbU+S63yPenyGJk+Pbcu2V51+C8pJf1uJsy46guG65/Dg/mo0f
Pw3v00/o98n75Nv4bPywPvnn8NY+t/fiwX65PqiFO4oOiY4lq+wYzFlHIufCxxODAD4pm43UbxiX
0Cmf14o0FqZPz2dmMlGTE9HuVCVk3AgXqJ7Cyv+UxloifiFQ1bXBBfjuQT5gge/Fm/wW3J5mxDZR
/FJ3UJ6s5931CVsYhl5pkptZDeqEoT0VKI3b9aVQb+nYg+k0N9Y0AS82YTJdDaYdz8KOqqlOrKH3
wAD+RoXfwYzEjdhpXU8DgCFmi6KSJxG5d6VSu7JIIXVYmish/MXoBf3XQrqMVYI6RoQbKbefYsf+
QOxyS6iLT2shXUWavM8dXpwa0vguBUTMgpQ1e7q+tksd12K6vrf7yi4sVGkbUwh99r3nRre8GqDj
WkQHMRUboK0EHN3dt5b9BSzQ59V31q1Vgi50XUc71QTcNbKzwcCGd9b7ikFitezGeCVIv2haJrO1
S9nkOTNDAUtxsuoU0UNBT53jPQxpda9iqNvJ2rzFiaOhcwe++FiwcwsgPrG+JKmDsSR+D0hmh6ji
+gJf9Hb4/Pn3L58fQd9c5nk+n2oz3hgqDkVHoFxaI8OarzSxYLw64knanmJZN/YnJzGHcHI7xHoz
mFlzz5U/r4/i4hUZo9COCYTuBLTZ8XTqmdyVCUTB0pL9RPCFaHvOX3BD33UQn77e2NLG0oy5iDLk
ozNwaRtZ6QsIN6zBVpfWQjPlqRKQe7RJfSKF9TsekaBsyTygmsu6y9S4Vom+1H3NpJUox3LoPfto
Dvlbw6dvspxWvMU/YMf/HNdYB82m565yJggQgA3BI/S1qGzvwAovRjjpGagvRg4IWriR7MaA9XGX
BN7A2pemrqN9JCdzP9ime1bDNY1k33lD/0eBiQ60P16e5P5QWGaAEDHZdQ4jd1alkqNBjOEZVY3k
nfQGiu68xvsbiwilZK6VWL4sJDI/s5NUD2aL+MFUzvgLtNgTqkaTNdrFhe2tw68yJ0GsmmcoM5vr
oxWV44Y34lVW/Nv17bb0fc3TeK3Vj00KTlJl1YEanJ/mVO+zWt0S7phMJxGMoXMS1w0kUm2Rh3Ed
HaK62sWm2tVzsmIwC9apY7A4ROLaToxnrtMpPtgzfaUW3ccC1btGy18tLz0kbbXGWrJgRToqKzY7
rwJTSXXKZB4gm+nH+f9J9l51K5t8aT00XzMIqCUnAi9GlECgWXKaf0Q0d469dKyVCVs4XHSJj9yz
IrDbjThTaqjDmeBm6D/K8VvMetC5rqSClqZJczZ4K52TKAF2Z2T8AWK8kL2uncPcyLsI/A8rrt9a
cDY6TCvKpgygqaKBWnEw7pIH62gHKsg3puEbge03YJLaGPf91twJ//gabcRD8cG2a80vta65Izue
gHXIS+s09rJ4r4aY7joZEelft8yFKdTxW64HxPMZO3fKqj819Cxm+jiKfGOv0QIsdF9XACEEOcXW
AqdRLHngcffOndjheteXPq1FFcOYWCmy4tbJJM0rcsfPkAzYX//00qycf/8SUaQyIfmc49MW68KC
AIrloFrcL0RlIjUPtazrzSzYiI66quXkkJqPKNWMINnO22z8nhR29DGmJgtqK8ki3yHZGhPP0qDO
8/hlUJkluiYr8EjPZtwL5KOSPyjv/Tq7zRp1OTE7gmpQ2YLCLzZ284zzMvsEiDuw2hWn9W9PXjiZ
/yU+vwygthpSIsNnn8zADqCpdA9awuJb6z/Nx2abBc3B+g5+C/vV3BUbIzS+dx/VR/HLfBlT3924
IaK1lXVbcJ86eov3VTZHUYwn0sbb20AnbjxVvgpHNtvrG2Npa2tGP4P03xknRiHA7s0PKqpTlM1D
q+qmr+uIrXyyvarrIswjoWEv85+V2z7f9mntoOdCQaQI6LZTM9QpElJ9+QpGAlSTXv/8wsQTzeSx
hTnhtkNPxWjsuYlkjTMm0hftGpnnwsTr6QzEDtQYXKwsAw9x04x3mfBWfMpS38+/f9m9hWNI6IN3
gJmQat+W92fCelS6rmzJpY5rxo0yQGPwBAVAI+/+NCZDNl3sbpt0+t+OSzo4Tm9VzmnqXD9XHwWf
/GhSNy6pdoYnYKsa7UJZJ5bU9y1zt53ZudssUfPKvC/NjHZXYFCISqzEpaeRxqGUNQK2wlub9gUP
/o9j6cuipopYEPEj7mk8c1fnY4xaN/FgZUXsR/BXgQv29OursDAMHWKFpwk+9KJxTo50iyBpB7WJ
cnslWFvYm/8DrxpRfgHSiv6UWW/OJP1eokh6uvF+rgOsUEtqQYHARs1WP/zm5vzJYvszFd6DIJC1
vD49C4ebzlAaeW7jkWqAdVE+PwO0G28HlSFTzmYWNJktt9fbuXwPcHQPlApSwWsCBhBb8rcL1sLj
PE0l2MjsptzglcH8ZrZM9T7eKMWf601eHhqo5P5rfxGIohnJUgjl2v22TDtvw50p3TAvvjPSVSHk
y1BFYES1ZvKmMCGTxPAe1owIeuw826kIXDVKxu5utA0bDyiy7o/TWNc7J5fDzqWpOhi12x1qM7O+
8wT33OtDXtrs59+/mBUbs7kouUdPqpw8PDySjnwH8OxGbT1mai6tauJSyPMx5YLCktKfduqE7apw
yIJTMDWXNufu1Hhu2p9KJ9t703vMoi3C313K/7rp7+szdHlTMB1o1gujZLY6hyDS9Z0aaJTigCJY
H4CHFYtaWgMtBsl7F+RDXuyckjLygigVILeuy5XE6T+Y8P/GcsA8/3eFx1i6U9TCJwBX0wadcOOX
uC2bp6bvjYc2mTMFDbxhvpuhnBYmtGx2ID+o93Nv1G+DNdDGb6NMBFE+y+/XZ/TyeB0dnOZmqIqG
A7EhApff94Pxwuf5xk+fN8qX7TzZDvLyWWPhHdyN7kvZx0jwxclNJ4OjA9IMkdYQisRlJY/76dDh
FXHXicpZieguHw2ODkRL7Ny1uxqbeWh/zsYjiKzxOP95fcqXvq2ZuZVMws6dpAefZLMrIQpNhLct
o4/rX79sIo6nGXlelsgL5TCRppV+bN6lQ7HHJvKN/KY6WNPRUWejy9pixIMsCrh4OBQ2RLpS+zup
yFqec+G00bknoQKZOnHrIRzlEkKvhfpu2PkGDOY4Sg3lZzR20ORaUcrScmgWj/u0ZZUCraWeU/lW
5GybGCJ8nhGtvPMsrIgOOnNBG5a6NeZrGDKQtA3V1qK18iEJ9+yN2Rq0bWEYOtZMZHlatRGAxPY5
2KtS/myXPajrbwJmmY4OK6utHopZFKNALOAn0P9kwOfF0xr+dsEP6VyToxyNaCja8lSq8gMlfG9l
S9feky5Xu6Hv5zn74onaAUU5Tg0nNzr9dpIEiYBUvLPYiH0Oxv2+AvlcBsbRisufw5Q+mMn4I4cS
2cqZsrQ0msGTHHE4WPRgkkiqfJp9nB0NkOduSWmvcV0u7THN6h2XStCx4rYyeuzVzc9HoqoPCRD4
AZ7n3q+7lqU10k74ssuris44G4HjuCNWdNc5yUqWY6n/2nWFJG5UzA0qocvI9svhYeRuYNK/AmXi
1/u+4FO4ZuWlOzlpOUTOabba13JOA0nZvkfdbJVBR8gGL2t9U8mW6eiINHMurUmAnfWUEbgvJOPx
PIdXxR3N6tvOPh0dMHYgYvfSnp0YYvDC/UbjlQ8vLIMOCGgiUQ5AHZmgwspdv/HK8i0Cn2kw8ybd
8axYYwpbsAgd30Lclnq5xABylOnS7D7CPzNdibIWllqn9ZuUY1KeDwx0agje+jvh5VCYB7BNSJ9U
r6YsNtf31AKnsONqhh2nKhdJhKfkbkzdvVCUHwXNqrdhMM0DBclwvDULUQCa7TpdkEiV5xueyXgt
jb3QAVtHszJmJxl3GryU9yDhCcwJGlXgS/RBnQ8ySmqAdWbFh122fRC6/9eFKjyaJymTA+oQwTMe
TU9Z7d6UmIOr+u+nmcLTmOP17alR1s9xzH821RoPxdJ+1jxWYQ9OYRJshcpM91PzYEYvrnyx05uY
U2Dqmtsy+nzsxYDvu4CaFmUNYsCV4HnJQjR/1VmUm0mWWydSJkUAso58B40YK6haCMFc374LdqKz
GiKr3I3RJFAtz8sNpU/Cqt5M8tQoujcagPdujEzYuf0vpy+RFSl7lzsnMFIEOYn8sv/jDtH2+ij+
valcuFPp1IajrEeEuziV6g19tY4sKI7qm/vLO9Wh2jpPU2BvAYJ/TZ75d/PVuyfH7i495M/5j/IH
s7ZrBIuX7cPRuQ+LMuqKpAHBn2OWb4Xb3neTdZPpAfD63/kDoaJwGzCVn0xLPVPZvXNJVk7Ff/X+
lyZP82Bd0ZllK8+MM5BAAVrXrQMRR+1rn6VTAJTA6ARuKqegrIb5sXQhIpOqgX7GFmseJ4ZgHESh
0Qa6CfYRHCxIYya8+GHMSGx6WZ6MfmaL1p9YS3/GbT/sVGOaj0UBxtu+lfnekJEbQGGUb0iSdzdd
gGydNZuUXm2ZZ1aMqfhjsG43e/lGGb9G2a2sx2WnYnPN6POG8Ko/Ky+P1X2betvGGcMcAl7G5/Ud
ffn7DtP84TBC0rdHqexpbjaW4eMqCjrF7/HYryz60lbVnGLdoh6NDXgGJ7H9SEqQQ/bF6/WuL31a
m5oBqJAeCTE8287U3ZZy4ntrLtfgiksTo/nENu6GIS5Zc2oz870R7iGeYhRWpeNzXTg/ro/g4l3B
9TzdKwpeQGjMMdXRaoadgdKQUvGDI8qwL2wQFJRvcug2Hq0COssDkoKb3krC621fyqCdm9YcZWW4
Zmc1TXscjefEGh7quLiXZ0QUZQ9zO2xua0VLy/Qy6jqFB0tILnf1Ji1UFwDdfZSi/JFlLN123Zrs
6NJ4zuv4xfE7tRX3JqoyjlXR/ACK/o2mUNFsoxFQfDX9tfsx3l0f06XT8jxzmot0a3eWo0LxRpNm
XhBnJgl6Orl+368BO5Za0BwlMWVSmB1mDSfx8KjccniKGDSuUGhVrjxHXDKe8yA0u5+ssQWmx5NH
ZPV/OYWxcztcUK9P0CXTOX9bs3mwZRp9aqD7U9bsPePNms2tIf+mZnHbCuish+0gqTtYeXscZpTd
+LkTZVuwcTn+VDVrii8L+0nHEhPTcF3biopjMeTZZ1ILEtTgwgtBxQGYK+73vtvl/YorW1hwHVjc
12Qq+9nMj0CdDZtEZqCtaG0WyqxYq4xaakJb8Czuo3qGDEbokTsUDW1d6yB6deOCaCte5coz8WQv
IT9SF3uIntKQ2ir3wRpTPl/fVBevH9hVOunhALnnucjd7ChJCtmOEQCdnzHEiAI8fWUBau1Y0JcU
tPYFyWUwKhcVwzOBIND19hcMRmexawZLRJ4U+RFlK/dTbbxGaOW2T2uz5yWsatO+KY5OmfPHznT+
dkBErRzwS/3WTsnSmGNBedofSarA8q3Ej7pP1qhWFoxEB3Kq3gWgKUWNOeKI/GceTYnw5WBn9yBo
lnf9jAqnwADTxkpyc2kPa2eynbNMuHC1YTMMv/KJvzE2/ahB+Hh9HRY+r0PBhx7l4MY8FMfRKXqA
p8cyNN2G+LGH+PR6E0uroZ26hqPcbuCVE5YmabeRYMMemc41RuEFx6uDwMdKdnFHU+BwSg5ZrEev
Gv0i45CSfbne/aUGzr9/OWRzFO+NTUHrox17w49OJYDQdrM37gBDjKH5KXiyv97S0kSd1+hLS5Pd
kZ72BOaWkXavlOfdFV2Sb277+rnVL18foP5n4VmkOoIBp9tSAb4zYTXVSmLrvJj6PQeeSof6yrm0
edfhHbc9y9WWpmHvU5GAyJ8XZ24aICOQof3d0vL9ptHo3ItNASkWy7XkcZ7LlyrJ3lSxRn+9YOA6
7JdMBSiXTVce2STjgAlkHYreubfbAqVriR0UabNCFLSwtXT0bzHaEar56uaYGdV72pd7L7G3U2Yc
ql59XJ+nBfvWIb+40bYABvXNMZ2MVzGpb9ydfqgJ3HO3fV/bVX1cJ6bTndMZiA6aBBV/KbjOm/lw
/fMLJqHDfY0Jz8WNh+5PdHio6gpMb7xY0/xemn7tDErBNJ+6XtNAAllQHww3BiAB7A5qNY+GzVfW
eGkE2lnUFaJLWxtrPMbueNca8bDPVXFj1KwTMpZNX6nZts86zaicjob4dzUSN5jyG0MoHcjLBpER
qK43x6EhfdA02W/PLVAirdbmZ2GD6khe8Jzj2SAV2KDDh2Qf7fSYi5V4/2KJJJySTsKYGciyG07V
HxneOO0NSUe2kVhseG3TGL+7lDU/QJDdvdfj4G4F79JTOtvTwR3IuCNpRLcyguBC21oxqoTBpWXn
5q+OIQUcDTl9ur7FL2IW0Mt/v39xzMDAzLFKKhEWWU45aF9a9dx4qeOC+AUQYVqn8SEThULWufcc
oFPnctuQDI8TMzSrMu59pNBPfDdEbm6vd2nBmeuy6aKcy4ggQXJMK3FCXudOxhwSOM0LsL5BK51n
YzbXBCIWvK0OVk55X2cVda3jwDaG5e2gRO5btbk160/m3QLjOm8E3UvZMR5Y7EmEWOc/qk0nf57n
h1KUfzxnbR2XNrJ22RgJdLbmeuIhCtJAW7BXlhHEQ7m5viRLX9d8VZfapllL1GAnkzvsoBpYPVpz
Hf8Qc+Xe2ITmqWSHl2EyMiN0sLeVZHNAWLSXplqj013wt//02L5sdAqMWzS7lggbUsmN0Rb3QwnH
O+b5YfCgenx9phYcrg5D9lpejnFdilB4H27312pWIpyFFdCJIg0IKoIiMjXCltyNrAqG/jVGDHW9
0/+QwBfiJx0AyErHMKduFqEpGnkyBkrv6hhkAxBhjeBuYiIhjJrXfyDbxbY8Gr2AQKgewlpy3g8z
aAHsyOZ+JVAkNsWRt50AiLztiqCDlxNhpJQQDLxSIAeAepean5yyWPE1S9N6/v3Lpmg5SVDjja+r
6iEDuV+Zhpb5e2VWz1v30qxqNilVQoXVdeh6D2Y8lcx94NLaT+HoC1Xv4oEpX3HcbUcQIYCH3Ny6
c7bySrrg2P7lP78MzDZ6x3MVEaFVd48iiv3R6fwsKXZTelT12tvPUiua0ao6MxNbyvhYNBQQJNN7
smKQdESO/TiLHhQok7mSuF1aKO0imnogCy69KjoinEkOAgWEO3eq/y+lVr2yFRYsV8ciMwhzNRMf
46PtfdQDlJHdfCWMXOi7DkRuSOTNJOcipJX1k7VNvosQYTOh1l5vlxo4L8+XxQY6nkMRwRThMNhT
kBiJ81iTpnsRIo9vnJ2zV/3ShIu8/+xV8BB1c+hIFJjl2iv30ryfB/Xlyx3Yb0cPtFNhniH13nhj
sqmLoVvpt3fZBs1zq1++Lihphm5AvydzEj5oSz5N6vzshvjXXFlP0cSJPxmO70m+v271C8eMjsId
O7ushGHw0E1HFfaEfLI0f1Ve00G+t17JCiwtuHYez6XTOpFLRRjnkNMsXzK7DarhFjAN4hUdhpsm
ieOUtS3CtkkfYtr8zvL2kffqrTOrgCT0PWc3ZmdMzayZkdbI7mIgFmX3oyMg6neLaoTrcR2MOwHR
QGtL4Uyr8ueyjN+yaI1e5fKWhRD7fzcVapRVUSUyOdIY8TkILIMZDEcrh/HlHct1xkcDBdlVDC6c
o5V5xSvyx6kTIGGJIpIKBN4nD3c4oCbHofkcZ9cLlVdOt8Vg4MfTxjWMo2U0U3y0wHvlsOTBHk7T
ZL/dYhlcB93mxeRKo8XA2rkN0mznmHngsiIo+Rr722WzAORO679Q/YS1SY521mZ+MR7kBGpGaMmu
BHdL39cO9LSWhReZCUToEyfM8H4LhvlnENqtPBBedh1cR97Cw1pVc7bq2rX8GsX5jfmD589Ge+MC
aKc1uI0Irpqw6ywDuLOJTeGncOc5r9+SmJMVj7tkHJpJN1VvTwOFPyeDcTBTZ9fV9vtNO0iH2kaJ
K71IQQWZ1HIztweumgdcDP2mMne3taBZNvMUl0mDMCMr/jrZo0GcJ0M8dA5ZuW5fDpggj/ffHUor
AoUqgrDMyUtgf6L/g5oYrFl2B1LKj6qla6iSy5dorgNu84r0Ds0EHGsH/WXEl+C18WizmXJY9vBS
prfwUcLN6uDbaLLJ5I6ch/b4KPImKFULupi1S9uCxekIOCgKeQyVBjhNSf+euigoHjLy5qi19V7Y
rDrubXAr6YmpEWGZ0QPPrA1YxF6vb6WlrmtntOydnqCqSoQktf2eZkDwTahQXrtoLn1eM+Y4R922
BXW1EDqgP50OqRHwwoLysIDnuz6ABXekY2q7mTJmmDhAcSQ3SeVH3vvY5qA0dVcaWJh8HUmLLIJt
eTZu5LyWb0WLJGXvrjihhb7rENqMFDGORUTEkOje0PTNy+xghLoozV+uT87C9OtQWhtSoiiozyOE
AHG/a+CUQnto3G09GGLl2rA0hvPvX0LXnmQj4A7wRZy/Eqi3GQxsfK9U3BjF6EDajCRzktkuijys
9s4zx8AUw0q2YsHN6cjZ0a0rNpVwc6xg9qcTGyDKnOK/ddRR36yIei1kGa9M09Iu0g/lNCNDP/V4
QxyqYVsYRba1R8dZ2aNLi2D9dxHGFCT9dtvlx9KMytynCvy+5ll8sx6r9D6HOsTKlC01pNlzwjyw
bgGlDtn7e9I+8+RJiZ9QQL2+Xf+9qP5vLoK72qk8pw1nDm+i4+fnY2hsH++TF3tv70+DD7JTfwrM
AOBT/ySCP45f+YClBWqP56eAbhBA+YAfb9SGHJ3j/F6F7l7eTZUPyfng1dh0fuf/WeklJvV/O0n1
uNqVIKSGWmR7KrPhkdvVHfTTVqb38i6helQ9uqU3mig7OkmPHRLl7FhLVt7Ilz6t2WlcJalnmNBw
YdabqF4y7/f12bjsYqgeL9tgSxoSCQ2aIZ0if6KeTyPyxOKV94nLEQLVg2XLqSokgmR1BKti/NIW
hotY3+03w5xBykFQFpjg7TwyOlcrOamLWF4Xr7SaqcaoWW2ipoxOKld4vC7qaX7Li57vZiReNrNd
FZ3fl0SeiLIpnkBE/IADyAEIUCXdNrbz5OTGwt5TadMymNUwfDdIElk4Xmf7YPFpTgKnihJIxPOa
QUZgGswwbxCz+0yl6t6hXocTvjKCnLr9N8OzzeqFjfFaBc3SimlG5qWeXToO9qwbKf4sG4tseSyM
HWqWqpXNdpG4B3Ooo6TMDjWXFco6TxX4ouvAOQMnmDA+hqrKqpBFTu0Fdpwbp8EAAzIYh0F+mjfD
sbXAfBzExGwj/J0UG2bE3juRhe1zr+4+I0zQFPSukr8gERXNQWZl+VPVEuM7naK+3aKeY3jgCbRV
r2/vyw6P6redrHUZNAcsLzTnGXK2rEreoOvopb40Ua89FsONgQzVCw5TMyKO6okXVrwUf8CpXCEY
63lt+F4n09SPStCWXR/Ugi/Qbyi90Vegw+Tp0YvbqPZxMuGq69b8+/XPL2wwvQqw7dMm7gsVHU1l
/3I5uCXOZfp5mvCV426p/9r9JHKJLEueIN4W5KER1qPT1m/X+76w3vqNRAw9GXsQ8SMnZgQoajl1
6fyQAsDkDyX5eb2Npe6f5+1LyGSCExsbzXDR/fa1kXyD6oqVlV3q/rnJL58GopXVKY/xwBbNRzN5
tWS6pdILJoAgr3f+cuKH/s9dJOtE4RaDG1qOd6/6aOek9JjWTwnLfVkDpFhaf6qEba+3tjQeLbCp
YHlNaZhumDnji0Xqj8ku97lNEz/31ip9l9rQYhrbcKRtcNcOUynmAyPNg5xaQFhcOm9ipVZWZsko
NK/bSxO4aokUb8+yV96yO4eMLwh3Vvbtwuf1Wwpp0G8BDFHIWeJ94u1NvchcgMABLODDn+uLsdTG
+Yz+srlGRo0O8AAeRqQcjo03pZ2vVGf4VmrBTd3WiGbbwO6Dv0HlPCTSeCRQm4qNKkzksGJ7S2M4
b4IvY4jMmIwzoCxhMTrPKjG/CYlAsey3t/X+3OyXz2dN24yO8mgYcdMfi36bCPyXb277umbdPetV
O7Schg3fm7ijRyDAY/240vfL1yGql8DJZuxJDdcUpsZODGf18++Md/sxMQKL766PYMHWXM2eATNV
RgPLCkUu/tSlUfiDS4jP3DwNnLJfCeHO83EhQtcr4jiPSnDi2zR01PCNQPLAN/jwcn0ES7Ok2bGC
upqXOBYNSeVtelX/sNs5D8oURV4MJKt1Il9vakivAQEDPo8p2JPCprHqzzmf2lDUVbfJvSb6Xc1A
PxaQoVp5v14YlV71YUztkECtkoetMQdjemC2d5c1h2Kedwn9dn1A/5T3LiyLXiSXJtALMR3CQmt0
M8tPx4H9niuG4qy2iaIty6gIzHogu2bu2g3tyPgKIBGQSIlr2Gs1/gvnl6P5l0hZI1AubXyq6+6Q
Dt5uKthmIPHJZPM+LTycLidB65WduNSa5m5Q6i9Kz5nikzWz0DQ4hDwEWO6rO5jtvSnUTg24AHD1
dn2KF5rTCwAtrqB+oEZQkDmMH4zBhm+DOkgY2V7rU1g3GFPPXBm5Y7GwTepuJUpeAOFTvfZFtpDT
lYZBQzAWGL5DpmY4xcrq8w3pyujRK5Tju5ngqV+bYtqAZcZ5txKxBpBYwIdRpnnGhHKVOjyzIZUw
zm9WDBjNSXQTtZFKtjIXgjXZcIimjgJ8C913ATWGDGVTpiSWT9I03yb21KH+lE2fkyq9FY969vqX
Nrx2kwTFMFMQAnVC6k3PYqzmoE1BUG6k49P19V5wdHpFzdDTkkepYYcDL5vCb/+fs+vYkRtnt08k
QJGitgoVOwe72xvCHttKJEUFihSf/p76V0bdaTcwm4HHMFQK5McvnODpeBdCMO4zYfv/ySr+2xNc
5UYygVAMnHPSI/0fpqWtVGOeFDAuFiOrCKWboBQ4seGC1ywNa3KkzVUkoVjz2kF81vdfEvisxMl9
hwGIiMSB+uyTl/vBUUKuAvHoWzip1AD99+DeTV5bjOQg+XYv6df/9HKTyyb74yzfmkmum0lSlH71
64BaFrThT77bvyp+Xerjq1SKaN9vw6mmR1BWJHLNOAVfxUIN3BiY68BCRpw2F2eQVLdJJVKgLJUn
kn1rgO6VblrKmJLo59+f899eJOyUr8/kCYiYcXaMngxdTx7tXprOfts6duqaIf4PWd3lN67W0aKC
qAmikJ7a7tgNb5L/cp4s/n7//7bLLte+Wgj+VlNYdsNbcl3dMSRNZQnbTfQzUvUHr+f6HLYjmsAp
WTcAzuofyodDnFr8CF7h3Rt4Lse/P8O/Lgg8xPUBHEWuXZJUweIhgIEzYsUuHabXYBi+Rlqee27v
SWdeomibcs9PTA6owEMH44y8rT+z5P23HOByC1cnY9bYeYymmJ9hGd7uG69HrsFTeb8kyiubLA32
wUL5Jwvi3yLX5ceuDkadtuM2SVigdR5db6Gx7orLw738/XV+dPXLUvlj6wrSSKkR7CH4+b7Oz3L8
9d+ue/m9P66rXS28eeHsBBJeeDcSv65s1prd36/+wUK+5l6uGetGb5v0mWbL7HIGWmeO8ordulhs
n2SVH72ZqwTcIyJiNK7tWW7TcFxWte49R6aff3+Cj65+tc09Ng0jqvTtTHSyPGTzqo+rrZf/ePWr
jb54kHsMZchO8bqKvBXrnVrMZ0SHD17+dbSnHC5bgLn00LelTekkI0eQSE3poPj4SZL90U9cBX3e
GmY6T7FT2DQAy6Qlbbey/kyP54Pte53YJvFIpK9JD9p7iCa8hJGYaJo0d0r+qB3cw6JPXY8/epCr
zWt6tPm3xuKEoHuXEUQkV4ls/SQWfnT1y9//scks2js8ELw/o8NbmG2vgNqUqTr8fYl+EM6vKbV+
TzefBJ0+2+4b8L952P9AX6bQ/4UPisB27dXjFEDu65SZc2v7sYRkIH9lXoqh3H+7/av9G21LGm8D
XBK7URbdAiG68T60qCk+22Qfvf2rLTyGbUZ8pRn4zd17iIZSOqUvcVP/+vv9fxAhrm17FN5NPXsZ
O0WTgXbX6MP1dsw+qbY+uPdroqaC+XYIAeb4LEf/lBLve8vjkxTzf8Ea4Nteu/YY4kF93ML/sr3A
5s84LI9IC9Va7//+cj7Ywtc8TdLACK2vm+ykOB9yY7u7IIjzbMHYc2wrTIRe/v47H3yEa9ceLS0c
jlMIRbkNyDYIVoaP/hK2n+ywj77C5e//2L+jJ6E9Lo2GGH1f8nUtO/WLiLe/3/oH2/faqgcOpH2I
/mB89gBC8pefNhvgqfbWk+iTDXYJxtcVz+UbX9VsS50QDEoR28BRbqHKN2dPkrTrhUPOPFg81ssD
bDZnZODCfVZmffQ9rjb1OqSx6kf4zY7Jts9i9eAr9vj39/XRpa+2s6bhIBsy49IxyCoY+sBBRwef
JCwfXfzqQB6avlsUQ1bv9fR20+ot1J+JwH1w6f/HldWNjB18WM6APoU3KO+yYqqHz1hvHyzRa2Ys
VxBHW2tDTzVsKv0EZveyyc36GcLzg318zY6FXePYQ0aDnkI1/KPILytu2wAuowGmoDydP4kWHz3E
1SnsEZhe9hq/Mk4BjuHuWSqzdyP5JJh+sNOuWbFdqH3rZ5eN4D2HdVvqi1msssX6Gfzmox+4fPo/
4kQtEgzR/YSd2umH52u6U7F37ox3N6PtWP19+X/0jq52cz3WMwhI+ND+Kirj/MPsgzYh/lvl+T8f
qz+eAM6kNp5qD1dPgEWZKjpmOZk+ufhHO+Bq54pghm3ois2FLu+Yb3z+sUbLr7+/ln/rEyLIXVNi
GYs7DhcveoIlKvQIM1LQUaN5rbvjGrFKpeyGRVLkEE/6BBHwwYe45shC24D5KZVQP611SQGEyuck
KgmVn1CI/0cC+5e4fc2RTY3qXQeXtnM3eG4/OYrqpm3HV9m5oIRrcF94mZx3CxquGL05/opyV+Rj
1og9D4OsnBJDgjze5uDQRdxUmsNDAE0L9lny8MH3vCbahhS2EEEaQlBYDj9TsG37nHUB/fn3L/rR
+70KBnycAaMdhuzUGFoE9lu7vnnukzP3o2tf/v6PZd5aFmUg+9vz5qFdamX2g0B3ccA7/G/3fhUI
+BqBA3HRrUxJny/bl1699Msn6+6DUHztjLOuVvTDhnwzdDpnybKz+gw9gXzeVDV+ZpT60ae9Or8T
bkzX1gxJbaZfe98/+0P/CSLso/u/igJQaJ9EbePs5M3e1zXbfoehSP18mwJ9E2jWV33zqYrhBwH5
mnsKL+lAcaMgw941D+EiD1NNzl4q7rv0M9m3D37imngaIA7YuvNxMmrmQDZsGAb5IsmDegXIPCn/
vqA++B7XNFT4XCeNmfAgAYl33Io9DFo/ORU/uvTlO/2xF6bApU2EFgEUQhTJ7eTaSgbzj7/f9wcb
LbjaaBkN0jlbcVqNa12iQXBKBXmy7jMdm49e/uWZ/rh3L6rZFJDNndnGH7zGK9iE8miEu+Fnv/DB
av1fd/OPXxj8MJpktAVnCL6cO6ajsjNx6SZ+af5LVdo1jj85HgP6v17hv4T8a/aodCAPKKfcWTZT
WGGclLxEaGYfDRvVPhz49Bv4lOkN+6d51dtM9yJqIXtLiYLLJ9zNv0rYflYcTvAyp/7kfbOyb/eZ
tc3TOHfRlxVGzudQmuUAtfzmYSa0vgHzC1J1E6fnKZL17RhDjSuCkVvpD7CL6kWyPWDA2O5xvMrS
99cA6r9AR++GZRMV5UHwawRhqgrDDfbzwMiVNWBt7xqu0YC1eS1KVqH7l5Csw5KvKM/OW0cYrJYi
/cC8pv1H+m267PDP4xJyFgDMTU28S0XY/jZQjv+CQVy0k7KdvmZoyDxg4GpP87iABxQ17tELUpMV
i2/dEaJGXgvhzNo/+pyZ+75zw3nsZ/Yz8+Z6l4FmXALnYw81SJVD7rx5eiFZsuhC9Qa0KB7NK0ym
An62nESlrwA1AQ7fPvLVY18dFDZ+eCj24VO/tE8pvKnBKK4biMhGCQx6xlYjpWmzbcM8sI+KxBID
zGtQdznz2zrKsX03fcJTO1YkLvCHsoMvEcCVxuQLk95ZJZv/LBKgWnNCWXKTzktwWlOoLPdpQl90
PHRRBYB3De3xdpx2bUvTHbYXlzu/U+kjQP1bVMGSeJFlHM70LmBzSAvY1vd50rv1lfiDezZk9Mp0
YQHWQj3upljoXTfOcqcG10Hxa1iPQ9LWJ5C31sqEUlaxGJZys8tU0iZcTv26rIdQufHky2E6hlSH
lbBL8sjouLyhOtML3oAID1sKfpkTszkgGSH5MkSzzLFas0frz/Ypi2IIcIah9xWuLGwvLQ13NA0l
rIJlvN9skxQeIKp5uzn7M6HNdCPUqL5ACJPf+pMYS5wh471d0u2NDass1gmjg8BE666Jsu9kJTKC
2QAW9DBKWq00GQq1jOJXiqblw0htUuKs0TcTfm4XW8wCRzZf9HoZaoIhXu9puuhd2A+Yws3r8BwQ
aKan9bjBEw6t/dt6HujX2gbDLpn69gEWYtP90IRBSWfM/GVvwdzfPF4IMCSrJQqWL/G6DTvJzFhJ
n/Kq1i1euq/XKsVsdwcXTQNflHG+dX4U3JA5MDsdZxSfbiO7uCG8inw5FZ1K2N2I4VPexNBJnKIm
PGSiB2hjmilETZW8aVsZYyfO4iaZYvroDGtvA8VsMcdN+uZvgSn8wPMfTQiRJi78sM7VSqJHq3h4
IEMaHHyLldkHq7sTK7oRtiag7RKX7jMes71Hw6Waonj5EkTbu6ItUCnQmN/P2+wf7LLF0Flx9taj
fgLgfkDlDqbr/JAyG7/RRbtq8KcuyAdvknm92PhOIXsuum1saxDXE1L6ff/bJ6E483nKfoZZR/K6
rnkRZ0md7QSYW194s3xhjrZ5GgOvlyz9IdkGX+arZ5IvXW3qn66vh6KV3G4nTsh80jqBwaYXDIU3
9e6ZphoaL1lm2M6IiD+Ecaeeet1D2zZcd36TDk/joAU4k2n01fTEbwu+gkWhGj5UoCNGd2nC11ce
QT2gDqb6PcKfTkg3UoQ6mAvlm6SYxrvAy/mYRWU9DO8GWkPH2e+A5fc98VIP6wBPL96899u6RgXG
Cs33zIaAVM/d2t/VYRzt5VYLnquJD89b0PFjRk0A3T84FccGPdjKkITtuU0M3CW3+XukL1ShdvGG
O6L5csYmy34lU+PlcJcNKi0lntc3JJ+FsBCz6JPCph7ZtVoGBwBmojIikESm0YT+dyeAfGiXzt9Z
l3TxLmFpvW8FV1M+L306FTxt2iKGc9CeM9LdsxS+pnae8CIDFlShImonWBCcttq2xWKiEcs3a+5r
EMuenfPUs9Fie4WSNcBf8Li6odRazIFliqJ/2fYJtVAezDwGB6xobr+6Dk7iRGbx3kH+KDfzvJ6X
bZCvblU0pxPunrMgLAiCDnTvs+Q1qqPxSWzDUrWjv/yopYe+gul5feBT87hIle2mcND7SXk4Rhvn
gwjvzAK4h8bQn3bzGzFR8xCoJd5D/MeUcxqvRe95fVH7WtxiUrvsTDM1N5tY15+jGuQd9aAx0Q6U
f+Ouns8pRFy6AoOX6NaLA++4dtFwwLLACqGJOIo65Dsz1E0lRvh0JmDN544jbo/4TAtUnAXdBRAt
fx3gIt3mStHkUfeEbkWXKe/njKbGLah0/X1ixmBP5tjdtUbUX3gY0rfW591JZaq/bYghewqgXWks
G086wAWMGwXi96QfIMk4n5qgNVk+4OB9SaH9lGvC4kcxzSNUZUP+vEHFpSvqVftzlY0N+yqpDU4D
GtSljft+HwnRfYU9AEdgTsBt2cj8wHVKYGkdRQVL9ApVOKf289iqVzlqvcuo6r/EW/fPLGGoUa5p
ut3EA75VCqHmF2QS2PIsaNsjVMDMMd4CzO7HYIYSbVBrCeMBhFb3FKHMegdygkwV5y0pmlA9uVTd
8TbLJbb4yhEW+0jldosZPSasiYL7RMCyqwrXycIiu5ZfstSfTqHwsLUmKQ5RysYpT0G+04WwLalv
57BvpkJ70bruZoTHgw//xbDIJpy+TkN5IIc6rnj2RRCUvYVBwtrx4HnoQ9hu2Ah1gUAzIholKD0y
4V7lbYw8uiHwK4Qtv4Q1mvnt01lVMAe24/22Qm1KGuJyIhkm1Ek2/aQuuQAkBXxdAxrYISdBE8U4
2brMLyckP29geavXIEtElo99KHZar7pYsVpEbknIOojHxPU7YTgAIhX8HrnvnrdVZsAwME11PvV+
FBYGAJGCphBdz8duoDsoTNlC08TcRrGn9wiF0S2W93pcB5gh8NbFKh/WDHlUoLz6PfGy/izD2K+E
P5q1IAileYIszSsFiRAStzQ9Nmmq93Ht3D1Ssew1Tjf/jD51BFdkbQqFrfATxuZ9vm3jWkLnBjza
dZ2Dqp9Jv3e29ccC8B3XlKpFDZCvcSZCuOR59iGp23VnRz6B6wKuCpDjsuqJ63db3w4nLUj/BLeV
ur8ntBnOLUAKL/GqbZY3dvLuIq+GkGQ/dgj30eKFr2IQ6W/tJd13P9M4flMXz6fWIVnuBAba0C/m
h3VJw1JBgOjBpobvWRLql2kl06PocIBw20dlOMYuheMdgQkvzyBLlS+j716MFHYu4XPLOQBs60pO
Akaw1Yj99jqPoivrqQvDSrJN3FPis6iURIT3qYgJQhHhJqqYE97XUDoGBnA7RL+hTuHOkZ3GO0A6
MEhriatMyvWUy6ATQBRxCuthObLf8bjNhZpY8k0DQZdza00l4zR6Xmho7/qFQf6sBmTHK+G9zX7O
fuolhx6X6pBeQpL8EfCXRRZ05svOI+OhU2MMG5i0Rtcwbuc9ZTWUiogk8La3vb9zLVTQchuG9mGG
siJk61DKEjq50syanWFVsbmiMy4YCxkJJDPWtvIZ4tBtpUc33juoeOl8cU0owWCK7SN8jdyOgO0I
DGDmujfZOA9/nIDjglQ+PCd7v6+CGdCubpiQ308juiTc2LAQ49hD03rtRdGPGhGutYskRUxAI+PM
X2U+GdzxgDztKGNIKmFGUx/rdGTnttWocNaFHcco8NY8455f2SAUx9l2thoTKW8jVGUnvN6gsEsW
7NZEKOBfgu5usgPb65mM+QwSaI3kxR9vpiDoCyixiEOTTdFtgoz0myEQbzzSzZugjNYOjyNEC6q5
1uSmS3BeAPCwPaTNvDzIaNIkn5SGT4Pfgbznawco29xtB+hkEB+DbIb/kGZ89Z2KijTw6gpS6+LV
4wu5jSMFXdNxGMZ9l/XJLmq1wdmOFCSXgGkUU5h0eyYb/xTzle8NTPye/Nobvjkk2YfB1cMZEG4u
cmRgvARSkicgf/XjUPaDa4pE+ea9BufkbVRjX4IUNYD1E0NtPjfYuLshCvxzVvP0n95ImPR1vJ+L
hiekQG7X3NB2qitPaHPBJkHfuGjdgr/o5/oV0FZx4zxR/xqY9WEzxcY9dyKAgTIPyz7VcZk4fCT0
PZsH2y2uq4yqk10beuoYgfO0j+cguck2AaRzy8PdtugaVScPTrWfjG0RRuvw2sz9+MPCF/Nd0Db5
jvu3XQHZhvCLZXAm8QLPq1Coi69TX/trHqJbsBshTVuGvswOcZ8sb0QF8RE+Re5l8m2ZObeZXE+Q
50xR1gWWHedGQMo0Qp5UzqJrJVpI/poVocdU2ZBu241N5Bhy4uByU4MbSpR4a26aTEGZNGw15uY+
7K+mMQNh0TN0V9N6uJlSM1fLxlJTTFClx+zV69r3i2JRvx/XAVUM0NGouiBN0EBXuGrbKMl90kFO
MsvWIktbH4mrFl94O4/fqUBGWoVbn6T3rRJieg5bQJLeG4yxmqpDwdwWvhjdF+AEwrMYuvCQumzM
swlxXk417M7rGEzD6ZkMlFVWh0mlYqHacshkcGRhsIQ5x0uAwdZo1A+MCmQeSr28JWkXl6bX8RGZ
2Aw9WSPHl27toEiQeNsIDC4GLq9uDJKmrHUSoRkyZCDMmoh0SOgcOcwr5HQRyVK6WzL2T+h6+YBc
ZcpruMeH5cUgLS1AKbdxWbODRn0gH2QaGlW4mKayUBB4NlU2tE1WMtUD1YiW1i9mlNkZPWRIbDcB
DdfO8XwB4Dyn0QKjFAa90iEDyy6CzvIPECbWfbdNfbHiJT6F0Od6GTlhJbTPIwQhmJGcJXo/uRaD
P+cjNKqO67LIu+1iHTD1st8BpeW9abHaU4Yc7QTNr/omNSksCKUPGQ5jaFdqsbQHQz2xT8ekvx3W
AJ0W9NEdbGdi0I4jkL62zJ0csu0cDSBMCevB3XHURmVkkADmvPaDQ+xtAqsRdRH4elqKW5EJUpGa
T3vPgwhOs5B2x0hrb63ezAELOC3AaxmqDMaht4oDHs3SFFqI8bTmEEMz7yMPOuRyW78LRaAemEkX
fF/XiQox+3moUSqFWW+e035TqFl0fIiBdS5Yv9CdFAO9nzIWHnXIgMcNXMwgLbDYSsEQ5kSxhRdk
y0v2fUuwTUHZ0vRGeSw7yElrOGMDATUua/sClWv3Hekjf+u8dYWvEI7wUjsI5ebJyu1dwD3pkIGj
jdFqQu5Fr7sbT8/TzYCpIU7opWl2DoXpIzQT9a/MeAHN09RP/2ml8cCgRWVdekPmL5APThCVR5RI
cwqBFwTi96zhtywATjuRnS09LtDkGsewgBKeqJjPYT9OAGPAYAdOshAZj8q1zlZw0ShBkzFqX0f4
xGDY1xkUKnao33wq2kfspjrvTdDepH1cl4ODHu8sNl2Fl7IsB7iM2xyoBVai2AxPcxBhKyoNsZgi
6sP6HTmUXwEzl57mzcIioYP5yuRJKPjISd0RGpvHFKrz+zEJw/OUNuqmj3rxI6tROenNp/sAyHVQ
XjrL9ugjpkdrZZhHPjfvwRZt+5Qw0+eIW92dzpx/7oJgfiLNnLw2fR+UvBZRU+jej09IBP2j8lbc
f7qO+1WgzTp5G7lBXx32Q3xLCooKCAe+r6FDlxqbd12TFrLGaA8nhYIcvvLIz8x2ODmZhCgHAvIU
vvjLGNCDEYwehLK0mmAzk1VsUc7mwCt36IGk/UAvVd2yFqiQs6rR1t5guy57GJ5ttxkcxvItMe73
PMXN3jVNcEfrGF8sDcP1ZtIufpKaTmfVgB6BCzHkpMwz9sxRI8liHlEMovMX/wokILdopqkVk5so
ufdCTCw9M6ew3U1SIAIgfFx/i/jaPsMpYUlgB6bWsEyCeiKFIkb/TinvXtAXS29tPcempGEr78Hp
tbuWu+5euiYo8ZmShzUIUxyYvfpd66x/omOzlItGdYPhaKwqutKp6mM+Vj78M4vNz/wbaPrRg4W6
yW7gItypdkApFFiFPih02r6yuZ0OyHKGB4ZAWlGgRQ56VvVP3sXpaQCz984xa/eMROMxkqN8CfVI
kU9g4PIWNuiXCtTtcNKW0WEhMMyAPL9/o6lvDzEQHRvU5zFqpjiOf3tQJ0lyvk1ElcBvhw/MUnHw
dYuMbZOo4HM/bjzcggjHvO684NRMwBHPUcD3MV7qrSVZpvNGNh3PB0Xru8nLmpKl7bxDRhi+j1Kx
tazBa0MNNwJkAGz/k4sE79DeizDL9bDi95HftWxPprX/hyKHOlEu0jj3a7rdKIemWDEbQnYmAWi2
s8J9H+zUB8CwkWm/rkn4hRmrKqdDbUqlZ1oQ7Pqn1S4oD430v/uy2crL7RSeQ6hhY+znGXxTD7D+
7m8ZiIOlF3QZ1D+9374/rbsVRiavakn4zssG9QYwf/g+jYm6j5TdvkEPH51Zms3VDIHu1wFJRiVF
3Zd+M5Q4xC7ckMwc6Ga8vY0TEh9WM4RfyEhAaIDRltoe695HP3axAj6qxKIjDyJp/JpecrPaq2Ha
Adx/NUBfuTRepncLNMAhF4vSbrPQ88xRa7sX3SxZ3nuJ/8NfXXYMIcH4KPU03aB1IS+DcrpDKZYd
NEN+plo003ucY3toEFysO4U4NajyTAHwTbxPGjHsVxf8cClLnwaPU5x+eJq+RrduaQf3I0t1fbug
nwZbyGB+8Sdw+3QtCI49pu8GK6dyxhQwzyBbhT6uKg1BGeQkXYuGoOUagCX+jnltd+tFCNeRrW0R
jVt6DgcTVOPSt98lD9BbwEDjVvUCcb4HngpfsB22fMM8ZS7QL5bVylokKhmPnhAY2M4l3oDcNZK3
dGMJsl7kgc+hVwOhhsRpP/TSHbnxkwKlGCoP281IsdEHjzYW7lu9JM81pv8lsg4cq3prK+gZ2Bp8
mDQrMP0Y7xLdiG9wtoaqdZNgA2dcFGHskBDVpq8i2wZFqC7t+9F+zYL0YmTo97jyJr7aoZnvN6GC
l8AlX9fJYxUDXe0rzKt+W9/b8m5cRVK2FPKzpI+TEhP439EmzU+IGaAhZ02CTnOmq970zVbFKSJP
joY7xOtc7KPTCwXUHeUZfXODcC9qa0RddDrpUchFXZZ3JLNVE5E2j3WWVqJBuExTtKFj2KEd196z
NzXwjk9xvWH7L0v/1K/NuAuZT48aWUqFY0ze+gtl9+00De/MGrev+0juYec2FvHFPWG9+NaMq3K5
QFYic4fkfZcGKdk1G1p/SDj7O4s0MCsJPFILxlKviqco26k+DPG/mwZj0GYlMlFapUQDhSFiKvJp
i96S1tiKuwGEwtiJijimHyczyfPaDfBn2bz6oMYluwMkYq50hBS7X+RQIl3Ve7aMOMDXOl1yxqj7
gpwwuSPQ0vmtbZ+h20psblyyLblXZxJ0I7jE1Yn50dSo3/Jh4clr0PjPsaV8ribZ69+ZF+ki9Ldx
16aBultCdOw70qmv8dak4NzorUrgx1DCEPKyvFCd2FbBXA52GQV840weeDijYtm23zjBv4PNdbzr
Gx+MdDMt+phtbNhHDMMnD/2k97aN/UPtQXwJI2kUSvWkmhvYSjQ3C/qgeUNBVUnp8o4YhEYBA6VU
CLW88D5LdiuaFYc6Jskj6DkRHiTF3KX3oBUKy2N0SPcWU4BL2FYWBi6dH/4DNF7w5s0suGeopPaD
F0IcWa9w5nQY1LTg3Z7DDv1oTI9gOAGX6dJuGHN2jXnjRLkSmQ6uug79Tnq9f5p7o45hmKaFQG97
382ZKbO1XQrrDaJkgupDE2DVW4kWQb4hD3+inur3vm4giQ6do9JmTp6GHqVk0pnsyGKHTHrp+peB
8B8YwcjKCN5W2RJDBARlZ+GZ1t9bt+KzQlZqymNkVndYoUHZIRE5blz1oPmQ7cR0Y08dZnTltqA+
FazTWMXx+jDVct0jv6Ap9nY8lmPNOAyvCdtyo6bmwKZ2OUH8D4DOewloeZrXI11+zGj9F6M0W5Dr
RKangEbz3tZrm2BkOScPQBG3TdHOQwKAppl/KjT675Oom6BwjQZrnbc0DO/ttmJj+o1Su7gP5Pcg
3uIz7ZfgHq5U7WlOCSWF0T0mVW23pNDLoR48bjHXoQJN4JFDxihYMTtTGt3MppaiSEQgohxCCGnV
qyR4o9kKarZw8ZJPOIx20riwTLlBw7BBRIRnnyI7T6r5ezh6fAccfVe2FkRMhfTwq5ldApTTmHXf
20gOa+X5SkSVRY39D9gsg6t446/nrAtbaOoQ8k0tvTzVqbT/LBhxzTmBDMltOkHiJ2uQVKJTGdyG
8xBjPUMrB4X+bQsb5dsMpk+3YEdDHYVicJaUEjFyKmNMu89NS+u9XAIuqqiW8yGaZ2Q7mFF1x8nr
u6qd++YIUzv3bW42bQsup7EyQ2C+rzw1X21D7J0Z63jncRLuMZkieRyo7nbk63QnIgNp+TaMnwMe
e34pNUR6U4EiAtt92Y9yzm54J7ZH65asSupt2wdDA7/OZhRoWM7N/3F2JcuR8sz2iYgQQkKwrdmF
XbbbQw8bot0D84wQ4unvqb4bf/qLIqK2DgdQGlKpzDNku6nrcT9HdEKJtobEpcyLEyp48VbkmuE+
S5xoHct++CktAbI0pRlBYWzEvoCwTviDdbWzTeGltBdOmuxS1+ufCxue3xXqJWshNcSzBCmfCZyq
1jJs6C4ivv8iomh8FUnJ98T20of6l2db8hUAfFiCg0nbgqJQO3V1kt0o5SrF8lszhVLrSqEW+Y3r
EEtHiuxe0Ezgc3W4s22q77M0w+2NyJafiDvUH2h70xFXDOp+R6LTw4/ES51h01PRx+s0ylDqAEM/
v0dJnKf3pI8rgI0miQYyU8Nz3DSoGbjccbdQOMxAmw0HhP7eybeeI5U+eGyMvoUNh4JAzTNvN6jC
uh8p9s3KLu3yR+xT+bfMSTIBR8bDr7j7ZBtAguw7LpoYfJ622GpAAnAfmphG05n147r2vHNnXsZb
znAhQhoKEUcfXw9B96RZcZ1ODx7MgX8nsWWtq2ywtgMUYuJ1SdLxMdN0+mKTMf7heeW0n7xppCum
xhxib2hhIkok8tSAfRdoJ/7uTWW2H32e/5Gyy44oMck3Kh0OAV0LZZu+gtF1z9W3OimxPnTV/VXY
d281evwOfACy/uDHyBB6lYlHXyXOQ8Fa4F76rvtLRpKB6ZbXOyvB9wGHAjMV1OnP1DcFr7pVB7k+
ED0Lndu4pRbTqc1jXPgSnIIbmQCss88tJ+5ApBZIykJCyBbCStJCH76oX32JdHolBUWbJPGbkm95
TPpd3KGB4k+i3/a49R2lBvtrlaWW/1vEbvGS9+B5QLmqb75MVTl0uILrGiZRTMLoJY71obeJt65g
b/tUZLAJWRcoAfwScBa3j72WBCC6pttq3CDQ6LXARwaXH2bdKGAJCLQA31hs6rRAwwvwHH+NSlb0
PDHcfBNYI973aEV8z6DW+Soalj8gaeq/5ELnUMTNik1fok3hdRO0ePqW7nsP92mF+XkqS7vY4lzP
1x53oudGh+pJKPXg1tWfGP4Mp4ZDT6rNBnTC4UK/b3FTWRHNiu1YYZWuYGqTbbiT2H8Vmvx3TRi3
jxMOxg3P+mKPcnC1iyLlBzqZcMmGIt3WGgnEuRzeoa7jVn+x29Inu/DVrgm5eqJqSu5Q0hFPFM2P
dSvTeNM0FWoHtO1RI5djuEXHSB90ApqCwqX0HfTd/BFwShVEIfzr0eaBjB0maOtIDFszTGrTasAg
Oqfs7tuOsmfHidhf3K2rQ120fQdUioIelQxRm3JoSJ+VTdPduQc9ANeRgQBLcQdBR1SgbgtMzdoe
k3xLLKzNtEcFqnKz+sGuUA6HNZhdbUAKDA9Y02lQuW20axzuIibD+xlaprJFSl8KCC1tIdHfnVD1
ADda85XEvfgo0NBDfwmn7tCgZs5iZzyh/SFXKurT7wTZq1oPPC8+yqz8q/Ow3mdJ7G6rFCvoOmxu
DtdmYCQzkTW58AobZruAzhQl4TuADO5Ta/RwdQxvQ6n+kz74hG1jRegUMZAbgYuyYQH2Eu4IKNrn
2ev1XzED/jOV/dvOxn3Tb3SQQLEhXlmFVwE9Rb2/caaXBAlm0Iumxr+eAP2qBjoEQ4bb0DMi7vVv
n6MvEwMWiStFZnsjDP+atIf5QYZraBqvzw3SJIe/a9IcxxT2UXTYOwCK2bF71wJQZ9ULwMm533Ve
GZ/mBnLLE4IbB/q5eGvFSw0k9/UfNjcpBiKziOBAnoGcE7AcHZNmJa3fLkD+1x8+s25N1X/UyLIe
gRRsYg26mt2uLZ5h376oW3wRAfM3Vf5rCweDipIoGHSGK+UhGWqUL5dU2OY+n/530CXslUiP5nEw
odPHIhpucCvdcWgGrQgpl1xf5t5ibG7t21NNojgKAHRErnMiTn0IoSaS8GkhfMwtHoPFFPktk5hU
FWS0Xkfsdxm1m+sTfPHJSOIMBQnUXaGdMfT+kaTFvnKyLRnbhWh0kaaGR5///mnFVxQegkPEz7eh
5gT04Z8uYnzVjgWuwrSF4Js3fLWmaGkfXJwFvM7Y33bdoY8XQvPUtb/z6Ina3rpLv1SttYDmnRup
83s//ZwetxIoB7csQIejf4iayg/sxktuCQ/4emMXy1ZVAAI2oNIM6TGT3mOOgtZtU3z+QZ8+fAQU
LUE3yz/yyTsL1W+tUtziK+fhs53/PlvjigsLc4DlKw8gE9tRhw7dni3JiqfrH38xuuEFxg7O4ZPE
FHrigSzrk5PgogBW6J+EsO/Xn3+RZoTnG3u39Us+ht1YAHCuY8jDVM5jRM4phevZzl7ktXyW6CM8
V1PtPUyVKvtbIitebGxpN7K7YXLBKPG0BE2UWieFxGOdqfM9mLX2wuRflD3CDJlCml2ETIz5IEsD
4LqPAUahefMIQB1yyvFjLOrAZvwlrOShsadkIaj8Uwf/H9g7Xmps/cixS2o5UOb3xeicLNtHJglc
37RB6R9lGS+qtzCoL3a5JTn0ePxkw6mId7B0C1eKMmvdWSM7pO2oAKMJ091QJ/IRYEa+R6ebQbIO
AlLrMEYFaWXBCeovivfpiqd5mx7ivhuh8cP09ED7Ov3q5FV/qH1IJiaTNz7Y05g9dVDX27Pe7u47
rx9fYHSBW0Xb5wyFk1Ju+wSLeIvPLV4TKeHdh3IpZKHGukRiUKExfU9Eqp9Zm/tr7o/RLhxdd++H
noBlKq66PqCLSfIeOs0b4NfWvshs51eB6toB/c58X7etvJNMnJHGHg1sMDSCIXSnTeMovdZZSk/a
l/k2tTpnX0QQ1skmlgIeNKG97lscXVXVjw86BN467s5ZZJ67T6nLhl3VcFyVRq8XuLvprNpno0h3
gmvnHoBTsnRozGxKU7N9QK2OohXjHYHKP5cHbagCuf2CBMVMnBVGnC2cARABsIuPAkk6yJxRvMRh
ntnrpk4719ya0pR5R7tun+qwkxseWq/TEHVrgky26attz9I7G2Du68Fl7qcYkZdnaUI6B6kZ/Nj1
Dkq8MgDdgy4kBTOzYFpgQHovRUvI8o8OGtSeF29d/gVReCE+zXy7qTI7kGjwGjUhPqHYfOcXgG41
A3MP10dm7tvPf/90JrVS517LcSZ5g1xptHorlMV91Blve7wx8JZV1wLy+FMA3O/TNI2AM5N+pan7
fNvzjWNvsCMHTX98vq3LdRmGm7w6Jekt7kHnkG2ceaRDXT6V2AEhGuH2oUsEmlN6YWhsZ25mjSMv
zCaS5rQKjxOcKOFz4chH6P7vfPTzA1EWw3pqmQvMj+Vsep/9Soq6+FAF/t+SOS7tSjtvrI2dzRif
a3vwMsu3wPtFuzKJcmAV6uQtl2jbEitv79FEA+qzjLT77DsA1TZuIh7RDez2LO7tfWj39cYhsb6D
6ingiWmbAIWGM/CVRKG3w0UMummk/wmZ7UQCvjSop5x5+c6rZP7ddxN1RG0YtjJJxV5GH/Gt8nxn
h8YW7vOA2T8KBKpo3fVjHjCIMQM8RwSOWFmuMmeIVyHLpr20ehmEkw3UvRXpbZ/a1tEdAExA2dRH
OXhkP1HCG37yIi+PJR2rv27SVwBC9O63OLHdt87q1eNI+unkFtF0bgDwDPXyfNr51M7f7LbuTwpW
zeDVFxIkIXv8KnPhfBt8uzpZWqI9Abxseg/HJX6UScdQjknsn2GZd989xqZyE7bEXrOJlnvob/Ev
Ai3Po0XZeBpCC3FS5x/F5AKRrz1qHaSqkoPbDeN741rePfG5jW5ZBmgptYFvwSZLUMZjQIrXPN1m
qc5BcdEA89VkXCXAaL2e+W1BLxsbEHY0BFejNfJVnFDQL9wRZRYJw1XQBawXJ7XroKMJ+2Hxvvmw
43DcQbNpuE/CDBhn8KnvWdoBKATq0x1oKyj12YAxtbH9BjtKDuSCx+L7XEgE4LhqVg402V+t2k3X
fd45ZHHFI6hcyEaEsVvBuCpau7ORAPORB5BY7N+AUotfJ0hYAZ/WluxA0Mp+TCZcn1nZ9BtQj1CO
A83kIQvZuEUN9xYXzvPeNtK+cICJdE+Uf+ys+0HLE/Gte1gMba7HpZk7kCmxPAwaGaVP/KMrf4KW
sNYRcMDuqVCL0eMcgy6NpZHZ5S4w6yj2eDAJGY8u7harokAzq3X+gqo0rCY6divA0mAQ0/UvhPpf
Rz/t14lYUm75RzT93w9gpozmJDSamGU3BhGcXI9VObanZhr0h0ejdo3M5DfJWrahES7LDnOjbVh2
wIO5E0hcNJP6PpIhIJFpg+MyqtnCcXY5pDJTFq0o3caZHG8EqVRtHTodi65dyCEun5TQbPvvSRki
TQccEEkLn7660XBU/TdVshsUvz3CXOMokC4Q0COt00CXaKOiUrvrATQJXersblmQzFTArCOnY8Bh
6QDIn804/nGnbqPEr0bFC5t7ZnhMTTTgVWSFRMgJLOo+6TaHd4gFJKKVLQz/eV1fWG6mCmaXc9Ui
m9dBDLXj54o6EUgCDIh1G1Skbe3k6E+gPQMZJwXT7+uDdpGiTBg3Khk6QlcYt8MkIBFQP/6UbdpC
7ruu/yaqKESRv/5124uMVDtnFa5ecO0ILP9hBDkJrKWVFaKEOIHeGcYLQWluCM9T9ynXU7Dqsove
T4MoR99+hXZh+LUDSByt5byz7wHsUPchcZzv6M6xmxI0ZkqoRYKQtAXoIyic9JhnI3pML9G4pGE8
t+iMAwXIYGfI/G4K3NE/AP5154SAiNvOglDI3OONLW+l6KIPnSeOZZRvshpQ5H5jLzmezoQqbmz5
Icv9AWZMAuL48hm01pPbJHfXl9NF9WyEE1M5DYxqcDCAX8Soj49RFp8AG0XRxtrbmm+93n/pqxbV
gAaZV2OxfSv7hRG7fO4xU1UNmWdLO5FNQaUq1BvATL+bpADeNHEouJc6TRa2pn2egwvxwNRXQ19w
slOtcYccCmcfTlZ31w5WCf/Y4j3MsuLUhTCFVlrTA2Db5apyPOvUA5uHi73SS/ebuZE2Zdio11cg
a3s6GIm+rxpIMZQ19le4ywoSfoMuGMO1BCpw/ZQB2U3T8K7nY7e+Ps8zG9rUZtNZC7rygKBeg+Sa
ju8O8UGPU8eh+5DpY58sCQnO7ANmBA7QUvpBlvkEk29VAhzcT+t2DG1Q84vbwoQp1QZM68CmDlIZ
bPwxkN8liifCWrLknft8I0rIFpitLq49MOzfhAsGiM1XRbjkhT2zj5kRJIidZl0eSe84hPrJ6f07
Xsob59cIEdAfQoVYChVMELKDZ1Qfa5Ska3vtZ7r88NqQ/KClNRxdOjVLieXMmceMvJgVPtwiIkhJ
TU666siPVL/73V+r/SWSP9dX7cx0mHJtYqAl4ENAmklApk6lBRaZhTo4w1VsIdmZmRJTss3jYJS4
YAQFpHXekYiDSDL8uP7x/8SALsQdU6+NIOzQosFKJdCs2IDgOAL01bRryoY/mQBMy0o6svZGgssk
cfO9HFv72cPl/MiBeXgAf/DrCCjiXQfgy3eJdvtKdwpkUjLJLch3w9dWJf4WvT5yUNDwWflQ9F5y
r5kbeSPNoDZuttOApVrw6QW6hQFLfcDyoiW/n7nnn//+KcFwBBQPazVMQSsjDUWKbkuID68wUHuu
jz6fOV/+lVI+vaGrpYDsZaHhFVZbP4o+/q1ZOnwB0FFAn6uRfyuti72beQ+UeXozFk16P3rNAPIJ
8b+XcBcFQlkQiBvm2VMI7t8PcHCB4HXC4UG5YfuzAjMDUgAa9Hx7iNdt6zigS+W/gLdMt1Ne5us+
k6DKaG2/U5lna9Fr/Vci79hngNs9QxGg3rbA6dy5Azq0DaiV69rv20NJdRkQ2/2IGsBMeBlWh9BP
UZMBDrAPgAWMW4gR4NGUOkCN+1715LLqGIMOylVFnooWKjDaydOf1VDrDLBOmGVx6Oesayr9ceFY
nZtBI1T6OVWV5zZVoMj3kQAiVHWbZvx7ffbmtqURKYdMN2FhVW3g1HApw68FvA2qLTcJeUOM04iW
yi8TH0KN7lFhMl24uvmWdeOXG0FReBkQQnFEAwtSLLtwArvNbZMl44+LDnhI10zBOzecCDryHiif
frFBlWQVN/amr18yRaCL4K3ATLpTbDr6NsJFlg+HVH7ptN6mYFVV7bDXGkRNMExi3my1z06Rle2z
CbUwHHQNmjB8CbsxM4OmcF7Ca5SktBJHq+TVSrsTCJj5bSmAqXnXQI9jBChMB6rsVr0NdTf5xptx
KXJcThepEfp6qBimNSSuj0iVkgfJohI8IZodw7YYllT7ZjYPNcJfDPg0RAVaccyyg5qewXgtnI/r
W2fmVP63cj7FvcSXPE3Pj246uQ4VCCAp9Bc6yGn8KP0lKdK57zc2v4IO+0BH4h7ttDyJPn9vB3uv
crG//hvmFo+x/QUVUNJgJa6CFQpidQue6dR/ve3Zxt4fUDqskOfpwIZYVEx+1vkCWmlu4I2dnzMC
HbRay6BiZJMnIAa71Yr4X0iXok0YLbTaZkbelLoT6N1LBTGC4Iz29uyvQ/oXzsvXh8b+14e6kLKY
EncIuprbXjsE1AL1syZuewDDUoFED9qSteEpYCeofE/jsLalTTdOkveHfID0kc+mOHCSOwhZ030T
1dVd24Mz5oMq766lcy4nAdBLViq0IlQRwB0CEdyp+3HlQhwLek8lS8AmVH66V6DAfQ9J+03FwPaB
56G3EanaHYFm0Mb3LLXD8ek9um5jo7KCpgQqO21ef/N5WKwFo3m3Aa+WjvflkEKCAOC0egvVEP6S
gfawoWAZrwAxze87niZBnoj04ACbv20apv5mkUh/DjHkOwVv0y04ASnO7YyiK9uOL2Duc+h2hCFM
tRuIRz1rOwLuQFQFkMeSR0UwWJl7V5GY7yGLF70o6DHdpcoOoX80CMh4xOMmzIryLpcQLakTDhET
OKWu5dDLg51CRtlJMnACAWOEcz3r5L4vJNtXoByVEN8HthfXEer3EAgJu/u+KkB9VhwcscqxqiBy
aPcKxiTYnMBjodESpu7B4lp8tQD12Yaq15BXonrrl+AJitLtXyDjXOxYJLxt4wygvgG2n0LBaazZ
U9rbLhRgUv7AhkTAIDsrDpk3OG8hnUDMFroD7NSy8/EjL8YJkvETZGNIkT7E4DpuW9UVj3aZlruO
EfI4tFwciyFkqxrRCUKZHS3RwWlH6JvVwHIzjzrbqJHpCSSz7AHKZ9UfqKahLVK1UwZRMViaN1sh
3OqQj8I/UkgMPDVeAw2r3O9QxWZxF21toZ1oW2hg7uEI1K0tXOe/Nqq18J2MyFXZgaf9YFEfSPO8
KtIY9BIQsOMB3nSltuId8M3/rgDAVktQRx3w9PZ23Qxb2+X1S15S/ovXmmzzMFSQ8Xa96kyw8JO3
NgZDZ9Uoz3mu/Q73UVQYQFPLp0m9TL7uwDTQYDlA7EtilW5q8WIxnLWOb7FfQyObL3lvJzuSV/V7
GiavaGHoPW10ye/ceADZxYvRVZ+mft1FRXfIKvV1ou7kQg6uA9HbIqoAfxHAuXXThg6HhI9mgGYw
G3D+LJI3KRMTZp/j9aezhaGGBq81IJ5Sx5LravL2uUPf+Nk55noEmotuxrkC5SR0JaG5F1CITssR
V4OobbchBbj8+gtmbgX/akSffgG4MFSyxOLHGtgayLcN7RH6ZBDMEAKszDAOF+pqMyfYvyLQp/cU
o3abaFIpdAxl9AE6GzwJm1jQhRxl7vHGWZOAzAFqiA1tRZZRmMWk5R00u+nmpkEyMcMW97QG7pwf
oeUBmY51hBSI2qdxIAufPzPNJmA41g6sojPOjpCBoCj0Nf5DunTtnnv2+Xj+NPJokOeKehlUc4EW
f9IAwv4ZrZBsBj/mCzn+TDHtn1j0p1fQaBzTOgUEqNOQmkpH7xsY2IhpdnzIbOsRIO597na3pRW2
kY76KRhHPQMiPuHfQBNYt2jUsQQ5XQPKRtktHP1zC+o8mp9+EuifPJ50g7pdCW2K6iwB3Fdj//P6
gpoZMGL8BkiaovgEJnJA+aQCacfgn8YAzZXApm8ZNseqnnq9En7RLgg0z+xzYvweR1RC8MJFNbWR
96UNKqNvd7+U1911+S0uwriLmUBr0KL60ILQQxBD3vidU6VfurqywDlK+daJY2sh5ZvBAzITcI1z
FqVqWMEHXHigj4LKuW2FcNZtYkNgLc1V8uanwg+qEEwkoD6i7dC2S86kMyuDGLl4aUOsTnkAI1Lo
BtXqTAr10W+6vjAuw7sYMZJxGuWsaMcc53kIOdiwnfqNIu1v4ofrwcMrkW2mij5AAeDP9Ree5/9C
gkuMwFnFQEKMDiCcDhzED7arDpaPfBT+vc32ljd4JggrjvOz/paAuxqkecsGRJYIgrBP1x9+eTJA
YfrvNrVsEAChOdYGA83uU5riaLR/3fbo8ys/RQDp224NJTBx9B1UlsS7Lhe24tw3G2d6MjlRkeI2
B9lsd+WNpyZ6u/7Fl/e4Z2KuRjWQrE5z90gH971ogWRCa3kF8ZBhRVS75DE49/nGEuXgN0NpT8Ko
L8zXbgK+iXLEUh1g7uHGcmT+CLM6cLaDDrcFaMSAgZ6WCwvx8t7yTGBJxR0vl1Y0BQ3YYxMY7ujq
70Fjui+lc0JxYCNpt6sjd+HOfl6C/7uzvH+44k/rZ6gzllpNOsEB98FDxydy/maLMNC5hxuHuh8K
zyKgPQdIiVe5JdbCqVaWWoIbzUyDiV+1at4qUnlFwB0MSZnD6CxNlqyBZ5apCWFlOgQDsXP40Y4g
Wgt+qP2Xd+82SLI3bQNx/lGfBj4FK4YWpK0C7Z0qgIgBjM+8L0TeFnJMJJbWzAVTvqsCANAT8B3F
b2izLOSBc0NjnC0F585EWFoFTgqBm5R3chtTNPQ8mXi7BFXr6yM003r1TJ/QIknGtCQgiXdl0wTQ
IhvUKlHgUrPEK/cKwhDIobUKrIrSnctsKLnaRTqhsUjSzfVvmFtixk6XEoqXPbbksbeKLynVu7bq
X296tGklmscDbTO3TwPQkeFJnqg1FDTLhdV1OXXzTAdRBu8TWFHixq2hDF1Bc7di01Myfnf1CyS4
gdpvltbxzB43jULzpIeCOcCTR0iWjeveL8maQCpzhZ7IUs9iZr2Z9qD5pHJCNGVHH3DPhECS1YMw
ZvfqlF+uT8Xcbzj//dNeTNwaTOEKR1LOXBS5vk5tsrHVEhh+bi6MnQ7VLQhzsr4KipSCTKztbheX
wjvkOWvOPH2gf6Gak9zlXS5+3/aDjMNbSfChIY3qHmu2VQAyTWf+7qg2158+94OM/c/bLNRj6LKj
lZcPmjA40kbvesx2PkHtzYqjleykvfCyubkxDvKkiSxAyl0OjR/QPRIVnVKR3NtptNhyvHwCmsA5
qHPL3Bf4NWfGCLK0e9K1x9q5MYKYsLmxV5ABo+eLbYUClO8Bqpwdrs/DzNCYiDloHCsbXt8NNPqc
FYDNa6lf/BuLOqAz/HdTeE2ZpNKbsOsAO6cDlHFKCApnC/fjmT39r//7acuJfurrIkctoTlbLn2R
/h8qj126VJGae7yxo7UHuiX38fE0vSs69uw2Ct0slHiL19vGnv13dEa7b0GXE2PQErl3Xfddp8hr
oEB5UyUK0gX/fX4FUR8GNKqNww26cxCrrFdnPebbPt7YwFWVArBHYNsk4vyxAGD3XAKFtO9ihvCv
tHghrTSxb9ryus7P4xK4PYCFhZrGk+MBVVShdgwzBcdfdZ7rB66AtGkz0egNbHowMaGOcC9EUTy6
fQfxTjvP5MKBOLMgTFSHxi1mhGoJA66g4gB2xr/GmkC9XZxIBsGe6+M695Lz3z8t6rbIC8hRdDxo
CrQ4IigAfUkKD/CCb9efP7fhjWwEsnlFlOAADIg1gJT3W2WQfiA3pnUmtE9AkZbgQgPHpwTCCVBZ
8cZ+XY8MHOIl/Mh5d1xYFiamz2MFdaPIZ0HPp3UCK7Z66ZiYGXoTpscnN87aBh/vupuCfW+yj1Z9
VOFtGa+JwxuraigyUkFk3f1g7VtFu9XUfMn4Ar9sbliMaIX+hhc1YegGZ8G7FYwhz3qP0cIpMTcy
RqTiJeDMMT2PjCpWMry3UmcjvZ8NHxZC1cyqZEaowmYG79lJkQbAPzZjzhpkG/g5Luyp83FzacmY
sYp2IBo1GuzNqntsGASOc+hIQRwcuCPXAeNF9gtH0kxaw4xMg7Sw9G1pywPfHlcdbJSd9hUIgtVA
izVLfkI/duEnzQ2YsY2bNmmIQkAKeOUdYFbh7cIegm8SgnjX48TMejIBeF6Wp2MT45dAJhMSPC9x
shCAZibDxN3VOo9i4VI3GNDBuvOrptigbaeBm2rylc+h4wzfttsIAZ7pOQr7qSnsOdBE3jT5EE3O
1Pe0VCFIjIB75SKlUM2EJMchnmJ/4dZ8+fcJk8JNbKFsnUM8pssPtiz3JYMeYftRFPIlW/Icvzw5
4n8Y23xKwMWzm6DtE0iSNeFDO5X+QqCaWVomfE5S6QJpNIqgtvpVV7mAoEEqki/lyjM1bc8x9rqX
OW2mLMECKIutevhSt2RfAxOpYDgyoSEQsUcf+uC0WmTVXx4uz7RVTSGSHAIsAFVRuHv54iOZPqDr
uxqbB5K+O90v4j2VyVcCPyvkXx3/0uOye30X/evVXAg9Jt4sL8eMwl4M6Gvar+O2eHdtaHHVRbIC
lOkAqwKYnPV3YxvvZdn/GT3oNMWD+0ri6C6x+Q7CrVu7EcVtUcO0aWW9tKqQNbDTSxi0yFn5DC3Y
O1FWC+FvZqBNjNoAa5ZRZiUPYjgLhL1ziHTzdn0k5x59jrif8iIgjnseh8INSA0s8Ajod71EE5g5
3UxQmarrMW4KtJ5zNJtTDxLz7T0H4GsCLfL6xztzrzj//dPX90nh1ByhLkiZM0Lsqsv2kCjpwFMK
fVTWsvCMdbIOLfoHwBK0dnWwQId7dOEHfLCVO8KKBE2zjNE2Xudppw9Oj7bj0Gn11594spmEn2xz
BmnSEro971Nc9B+ubUE+S1V99A3uBOjAjUn83Ykof05sWYyrvqHqnsvQ3UUQrT9FNjRYeQu3srpw
01cASPQITT1o8C8MwtwMGvsepPSp0qnuwV9qXuMpgfUE+3N9fGeIHh6lxvgysFKlhD5GXjXD77Bk
1i4Kk+owEtH9inAEnEad83Ktkyp+Up0NOC/qTeHTpKXaq07GS2tpJnia8D57YPCEEhVWfwcrG8/J
3ovefYE6yVLBeu4F59H9tJJy+FqzsvV4kMLeLoLiQgl8Z299uT6Qlw8vjxr5S887iIBTDZ2R0nIe
gM5iFPBe7T9VA4fdGkQ04Cskoft+2+uMLMaCMmFqA9QUhDns/lAfvevKFIHZHZ9KLz4x1SxkxzMd
ERM7F+keUmhdTYNMOmc7ilZCwjnPKNx/wPpYQ5AV+tys7deiGiBWAgf3eOkIuLz1halZE7apC1+A
kATAKQ3rtqYHGJUkAIdXv2DWttAonnuJMZB5WjWWylo7yMKvMgOaLn+GceSqo7+uT9TMqjPRgVMG
56VcENTJBXtPLAonC6AFSA314kUNi7l3nNfkp5VtwQQo78CmC3Ss35NIDccJIsawzF4UnZqJQCag
osFx28AeDAhth59yXv/ux2EJF3t5BjzTajfkPsQ6kwKuo131q2ireAX1S3tdafpNkfr5+jTM/QBj
88MEDb02EUNPl0aPCQwtgdVZ2IpzO8SIzracLBU6AMfKMtrJBOYVrriPNbzHElRRAHmz0f903KXh
mptsI2BDNDD8fyZwW1b3Tqmf+pJ9QFl5KdOZmw4jkMV1Tso+qp0gjLQPSz8i4fJUVP7WO5+zOUQz
+s31Obl85ROmsEuZA0fZtpMblDD+OAw0fOij+AQXn23CI3eF3OKHq5Z0CS//LGG2WgWsvShpSRkI
uAR3rx6zIMEJy+sxX/g1cy8wNqEagWPhHDf9uq5XtCv25fDmD3eFaBZu+pdfgGTkv7u8cAH6hThH
E0zTqawemK6+xNI92HBXuz4f571wIeM2IWzEJXVN8qQJ3PCrK54qtVQPvjzRngld0wAiexWraKAr
tcu19cEta1oBIXMPts8vZ6p/uFb2cduPMKYB7SrWuTJmgYTZLTTLQSYau8P1Z/8jYlwaofPUfAq0
UDeuaRonKNJNtHlp6Og9OU7mAfbrjW8qnvjGB+Hmb1TXcCFwfSjwjpCFh8XY2eBZuSJeEXhpQjBW
RFuVD/CiBjAJZr3UB3C5QM0PCq4HSzn6Dpbp3jPlSh9d6OlCtbjxgK5urF0XdfKhqEQHcx2Xrq7/
sMvJi/CN31U2EHbMIAEQeAnKwdh+WfPkwBnxu+eW6jTWIbpL0ADeX3/b5QgmTA1A22JtYcO3NKh9
+JmqfkOBnsG17bann1f35zkqsqh0khJHlSqeeRMek8h/yIr2+22PN6J9ncETx7V7tH1Q0KvrAp56
30CUW5iIuaExgjuMwqES6kY6iJqz+3VYPToj+yXC7jY0MrxU/zs6Tg/nitiLCOTYsumHalrATWJ4
jKz8cbC+XR+iy6sJrgT/fYdGBxqe7g68vpDQv+lWTI9ZIoqjTaN4HVatuw+jOP9y/WWXR4yazKNY
hE7cCFgdjs6frJbrmON253ULIfFyzKXmpaRtPYHKY+kcIaxSrGLY1O7zxIN1D9Hfzn3eG19jrNkO
AtiiGaR9hFfcnZ/LAJoDaPnJbAsez1IT5vyw/w1e4Dn+d1oSn7KyKiGBGvfjsU+SJ78YFi4Jc8Nk
LFtRpdBU0RbAvZBPiyx98G0FIZf6NY5hPXLbRBt5CXoMcDNo0zr4P87OpEdSHYvCv8gSxoBhC8RE
5JxZWcMG1asBYyYzD7++T1RvslxJIKV60VK9FAQeru3rc8/XGTSc2wVs3lH8Z8bs9WPP15ZXYcFV
MckdLyp7OCkW6TTfcOWWIQG34OH6K1Z6QD9LzcwhAhRbI5Kwiw1g3/WjttyNBNLKPNDPGUPMY2qj
4jZyvDbfAXSXf6rqS+0QFt+Nn7/2Cm1e10mOQvy6NaIOIJ5oABMHhJcM6XOQOq430Erk0I8ZqHMi
mVcYBvSUQLxBzAD6d/cT28RdWS2f08na2LKvfcnl39+sETBmY4B5Ne259qyHZoLuMWcqggnrli5n
RT1l6lUfIMFXyEjNTuRkA9TuqJkGzs4hgQsD8RKazmbJgybGQW3Mb00j3RJtXQbrO3P8jyn4mw9b
nCy1ZwAjInTKPXw26SfAaEmkOlZ8ShgOnB0xvF88m8bPrUOjGvYKG026Nra1ENDg+J5mJqvPcPUD
6fPrNG1N/LUnaxPfJDkQUoNVn0EkAtwllS8ufNquD7j3d6bgMfw9EAwbZ1o37ZpzszQ30wzYanZ2
FLQQBhz652dWfbr+npWBrW+tZzsjSW2nJtxpC4BI+uFFXMrfEt78BpPhvrCWjW5YicT6Vnup4mVq
nTSOhjIJsgIOfB3EYDKo+4+5HJi6v7zlul4PM78OrhnDhCCW5qd+jJEEWpZ2w+ZmZXrqpQ94MGnA
jnUiSWR3Rwsq/QwU9LBU6Y/r/bH2Bi0AiGQGZRhVTREo0D5AsTsjgUVkuVVqtPb4y1B+Mw1RxwBM
o1ers5IqcDKw7AfuN56xcQ5Zezz7+/HcQdHHBNpwZLj9jrkGXA6S+RU2qVs3TSvTQq9fgP/kYo0p
bthzyR9VXJ6Q4Z6CsTTBJIIyD2WnIMkYG729NmS1+Y1KVrcE1cg4z2CAhIYJVGpu1ksABMoucT9m
WmLqRQwLsc2icB0UfHrZp0HFNxk4tB8ZTFT3llcEMFO3YVD7iiaF1nM6A6OM3WIG7Mj1N7wfAqlu
MV8kFbEUFGfnmfQnm40HgMX21x/9/liiup08OKp1a82I2w2c/C/lymPpW8vP6w9/P+xR/VyJWoOm
MpRRn+OB9mGZx18Ey55YBiE62BfCz9xi49S31kLahDbyqUqxkBswhypOVjzsM949X/+ItRbSJjNg
61ndZK1xNgYzYBxbZ2CgjMP1h6+1kDaVq7ZK8uxy6wE3U58m31wgZIX77DpAJjZbVJa1l2hrM+fK
NEcIqSNXWA89jDXGFhd0PeiAIRI+O5B5tu5Y3p/LVE/ZN2PuUsgR4kjyAVXKcCIobNcIFnid+pac
NlyC1t6irdr9UhsNXTDhrPkoqeePKEBGJblfSLm73i0rb9ClCBZOkaUN2FREbIjUEnAcQrtFHZmQ
sj14s5AfiuRUlyP0Xtm3rt14Uee53+yi/lQRcstTuhFaV2aFnmHlRtMo1dv1+cIOUwpXv/bGcWPt
yZeGe7PCwQiVO6ojMJuZgABPrIGGNUmajaevKBjpPzVbQ9sME5+qc6XUgwJheA87ZBdF58V0yusC
hGgs4fVDxpBihy1BDPxU4u3TroDcGq6p0pesnQ9STR8cD1oMKHLLY66Fgo4imxPANAFNvh3dooto
2rNzAeO5jUi/NvC0eJBRYaZILiATkBhFCD/B4UfFabfD4V3cOtIqN+LO+ys81evAKPimcKkq8UHM
ACu08+VUBuaFwUbOXpnfVTijXJ9KayNFW96tBQvmIAvj3I/fSGYeAeH9YKdoYcDr8mTEYMDGwTDC
sWkhUAHMPH5O0zm8/ttXQr9eDoYtUM4sA5lKNmUQ1jTAMu7AWGCoek+mjRCw0hO6WNcty2Sw4OJ9
VvbPtgStHYahdVL7HYPLoXGDC+uNj3mfDGVQ3bbSkqxOWA8ZASwT0wNJ0vyQwCjkFxzDd0mKGx9Y
WDi4vVIKiDNLPMSOOxwK052OMfB9x2wx+42fsjIm9MsYcOvSUeQxwONcQu0SQ/SqNgbFSnPqzAYK
nw3Swx7uHBv2l2Qyv/YGhxqjqr+gPipkPfhzxWx8bOen18DlQLPBYyxnUWbNEdwEq4B08W1Ctm4t
1z7mMi7fRNlJwDnNSQvw/cYE+ipZw0JEdT9aW3SHfID2agbB7eX6WF+JPHpJnGVWUzuMuRm16ckB
oC+Nf3I5QVLjBNdfsDaZtNCWAoJudJfkjsr4ozc0r2IYoSvtt/BUa8/Xdjku0tjcheQi4hWAyuC1
iuEVN7Mf7GotjNHJbhvA/KC9UeYJ4GFk1sBo8eHvO+yvt8/apNDCWZrEElyAZokcd7mzZHYss2qj
6Vf6Vq92qzva92CAwjErs8/AqPmDUCclvsRso3XWXnAZwG8GqnA7pBntrj1PVnOs4szxYVN+Skbx
tS+aLRnUyjZWL3YDsBSWRsnSnmNuBzn9TAFYNKG0jMV/i1tuNNVKL+jlbna2FLhjxSiV0nidzf4Z
R/eNXY2Hxvg3OQf3m78bibOuEDhDG5Gr1Oe0Ik9wv7IDrCl3mAWBUBSiVAt+/Eu+pRVYUXdR3UU+
zufeAyTXjMDwPsGZN4pRkUjAkHWs5xQyqCoz7ufc3Bv1gBwC1HDJzw8NZt0pHqzZGvsyhmbszAf4
VDyxzWvqFY9Q+o9VfAJ1lbt49dmKVXpwzaGLqjaf5K6rp+Imr0dZ+EvhSeVbrZs3QQ429DOdlvkE
BhGA8hwEdBxMLEr3zLaWBDyJyiph5Vf/GOuhK3AsFTZg8jZtHopadbU/ZkMiD6pfsgCFffOG9Ggl
YOmu9Gk32hQAUCOiVfk0xR10pXnv97ncEk+uvUCLKKBveuU0YvkwwA84d0vRfIZNTXUDNq94uN7P
KxNfL7AzHUGKlqOfBdrGbe7MsQ4m63GRG3Pmz93IO5NGL7MbJkQTuHxOEcBxcUhUyvYpPL8ekL1P
j00JXqpRxv1rTgiX0J0qCQc2r9nbIDcdJ2l7Yc/n4ok2uHY3jA4VkixfcGAENkFUsjw6F5D3x5ri
ErbexEDTsyGNz6b2PKTeHYbUk+EhHTF70YLC0+uvWAlOet0e7F4nyEDAg1iS9ljaINXCHXtr/Vx7
uBaeXIIcnAsTs6jm5i1yWneEbdEs1h59+fc3TePBsqEwW9wPFmKqv8F6Qt1xXjtbpsprg1DbWcgU
txrZjBr+PImjLK8OjIINO07HBZax11t+Ze2xtc2FOcnCpWYLSPByW/A9M6Hv6Z7MyoOJ2pZMZmW6
6iVg7UKhFgTH7oxaORh4xVb7YBrS3BVQkH7sMKaXgLVWXbtqEN3ZNOP+2Bbgbw9t7W0k4dY+QJsB
TBiOy4kDkV13qHgSMNi4sHTLrnvt6ZfefzOIJpGLhZkXzqY7w7ckm+M2TPvMvEuHQm1klla6Wbdi
bzJm5XY7dtiX8mxP5mp+tRlVvV+7HoxjshyYoJr3g9rYbay8T9cXVCoBri4runPV9S85N79V0quD
bPG+xbR9AAflx/Xh+6dO4Z0wqjucLh00NrNDzKgc3SeVOzV85lUe2CweAZGPp7Bv4yRksr5LkPny
HW4fMjofsEDVft7boQnu9mFOxbLHCtoGacP3yoDCuWmZD1ttwMhBVNrnTUaOsB6ogmFJ+hAqhnon
ehNZ5YvVbJtJ9pnUqMS24ZyzMaJXTrWu7loF8+ZRjCqxkV+Q2SFtSkjLvLkrPkOgPt+ouS1elrJI
w6RLgWfnZRzOQLcH02CSvVK5CEbVZ6/Xm9m8rKz/NjPXjYyKfur7S1XEuSfu8DDMRXoUJAGTB1uK
5CA9T3xSnA/YDlEnbfZNYnV2mMOFDskFUnkw2uT5PsldaQRCdiCvLAkbTgROHz87r4VFtUKM+OpZ
wutQ/lKmW/Sd9wM0LCH/nlueOcFjGyUTZ7jr35WFczbl1vXO+9MWDmJ/Pzr2vNZ2UIkB4+EZyYU0
mNzBL4fd9RZ//4fDUezvpw+DW4FcA12v2UvYei1jGfQi2UifrqQhXd1ELE27bmBiYDj0VZdMzOJ3
YsEdfv49izN1qvr2v6XNX8o+k/sxbnZgVx77Shr+tBRga3v18/WvfD9MuP/cx0FzNJe9QKZRVT/s
tDt3vAjNbnSCuqr/q21YnF5/0fsrqat7i8HjEwSxBvfhxLUn8NtTkPLEC5lRgwwTjY21dK3PtG0p
wLYwe+2wf4/NAknHmNxTmW8E8PefzfW7uGSSWZKzjJ67gsHFPR4fummzGGnt4dop1zTToYvNGiUq
7rBvnHNWZ4fr7f5+B3P9Fi7NUyvL3Y6dZ5g2P+JSaHokeV2fCDNZ2KhiuFNO5mxEqZUZqSfX3WQc
cQFUoA4cBf7WxXRluJvGjS95/5ALWfXfE7IajBZ3fdDfQoTg9/0TB3quzCwfGdOLJb0PbaxvlN7G
eF37FG3nZ6SVJzDprTPCPAzMGMSzFDrDjWn3/mzgepI8l4niHskvDVX5I7zvYEuFa7PSL/st++iV
jne1tFJXDmSUJGbnBhVnbt8dPfAjCBmRh6982m8pl9deo025KRt4Ay+q+jzRLFDzGMBN9NT3ZzYD
i6C+Xx/EK82lZ8tLHvfuSARKuDsL9n0JykT7vb1AJluRjf6mfwL7OyusnqY0LY9yTrDcK7kUwbSU
7mNXSbgs4/geB3kfxw+ZhMGJb/VG9b1ULn1OvMS5lUaL/hvsKpjMxQy6EX/qezXxDpA6AEWBHVJx
BCsZ9tisN3NA3AxUIc8gGHpCjDcuMcXOKgp+VLHd3yhe8rB0zPaYZgsoE6kt3RdqpOWOVD33ZdGl
u1gCYSfgxDh2PbxbZosfyhT2w8pCaWrpxRCCuZ516kXnPOZeXQVcVOV9hcPuXQc95c0IL2P0FUqi
feDY6VHCdRE15TGAUk53qbccvSXsJwX3GbXML5PqkgM34S/N7HE8NVBLnWLUhni+GGJ5l7WeGzjM
84J+Sc0lgGOm9SOGPc65mQvn1lmm+bVk9NHq0v9AbzyPrekejAm+4AwS1IfMaUOR9PuEpHE4DGka
zYYEzprXmNOeG3snNtnqpjQT2YY9HIpgrbQw6BDrNrA4i8NlUvJphr48MjBXZVgy7AQDYfDuP0FQ
sEyT0n0pTC9ewmJI6NGo4TmKLjUtNLtbhzACliGokoZveaCudwlK3XakrYYsFE1WfqwKEYagf4ev
rKLdYEi3xwbOno/mQOIzwOnN3jFt+aHlj+tbcUqLuTbi0otSOQZwpY59Wm5OkJWAyM2/fz9pZWlJ
xSvIoVFDNXZgPttW2gbwTPzYmYXrxnBsKGFipuLq3FggrUxNH3QG+U7QVzBjHG7ESLZm+9rHaFFL
cbeG4wqDHLqvp5Mgs3hsZ8FgTeMunz8Us/TMuAfQ2ejh8HWuTTLDmt8pDt6Utl+XQs4QZvJsIzau
CEK57gkHwlebqxaXbA5A7kCZ182hapT4CSVXZUHEhbp22lb9uONlbj1WhpH9lq0lP0PfwM3d9Y9d
2b/oCXRZlp6dtA4IamMjA6Co9wVW6eD6w1eiv544dx3izVkKUO4iGxTEFD/bHht902Ihn+AXf/0l
KyNC17CXhZVyJhxgWd2fg2n4XfEKZ8KNxWWteS4vfZNgcOalcsjCFGZ8GvWOPLriY3oS+Jn9/ehy
mnjbLrk6l33/6MgYBIdhnP0a9mH5TMlG66x1gRa8+MSctJ8tdZ5UGYCb9sVsq33F4ztW2fsPdYCe
e09H2lFmpwr80R518nkKA2Ji3JbIv29kfP+Uibyzwutp8cZEaalXLCaYf7LBVVXWidd8orgWp4Kr
E65Cy4eYLdlu6uPhODQjP+L1yXMSszEQFVN3LjA6By/zlmfbnJvA9hp6n7RmG3qgcx0sRZMXN54t
gJhbYkSsHalPlrk8JZ0LIYcLQwGAsxsKT0jc2Wwl41e2YHoimxsJNQoUc52F+XNwHX8AGxZ2Un5K
vrf91nF4ZQTotnEm1t8Ety24V7WR657KKbkXHpU/DWOyf9PS3sr0rU0VLTJPk9ugW/r2DLrJp7ke
HpNyOV4fYX+uiN7pf/1Koey9gRQGrvmwpNxR1glIixZT3AnTREGAzJb52BjgmoeQUHefu5z23xS2
0Dc5I8VBmiW9UW3ffALXwz5NnShua0zrnVs5+RkKq9oIoBFojsoVNMhw4fbdXmqxd1VCf9R9150N
lLgeYlnW8Dt0un4Hf1CYucQeAPUDWfao/nIPaTXNR6uGsNeyhHpwDSFfjbwzkd2ywKEUnYvUc6J2
ZeYMrxBGV6dETNzvC2qHvBHjcZqz8mR19XibJdNyTNzaClqWpxG4ohjzMSgvwURGNzm6rhh2Nm+K
2a/afs6DVpjqrshdawmzqujlyXNE+VO4HgzeOoGENE2NVzrh9Hu9Py6H23e6QzeIaFQ5874QbtTM
7CwAgMic0GrGkCbeQdWJ35Yfyh7zfxwU0mkCqF7xaOmWJrLSmIau0y9g3Ztb9RFry4c2bM15uWRn
xvks48hTp3K5TbekICszQr+a6ZCub5a4xgUBMD2+a/f004Cbp41tykon2P8sTePMIJswzk2dQSdt
PJpZDt7v+DTy9NDl7u/ZmDe6YS2EaEtVDaaf6BBvsUmAhrkVJyjD/Nz9nIv5cH1Erb1BW6YasbiA
QcDGiIwAw09DgWV82CVg8vgQKWzdfa/0tX5jA24tMEWJOZy7WPpm/zVLd4lIPrbS6qIto1IeTwoV
R8DrKasD/jaBLdEt8X5fb6K10aQN1I4QcywFdKGilkVYDUtAgVjdXX/4n0j6zpTWL5omVkmzaNJL
lnqREr6ZMKcdTHAqe57y0LSt5AGY7DQoVebdjKICp0lVQgUyZfZOoc5nn8c1NNzxq+2DTmRavZ+a
LngnGUrCIP7wglqgCkjNdVn6tpuKnQnjlcB24zTKQTXamYSrRxCExlvLdtVuindDPA13KC6w96py
UlBwC9QPJWweQgdWYM/UrBw/nWvZBfOYxp+8auBfW3ApH0za9DfZmE8nD5cVnycZJzeSVNboVzL7
3ZCBhKZbtf409W2KgNzWt2q0J5jKWQCCoxh9OpXMmG0AAVW2c7LZPHTSJfeopFHGRoOvyDC4fu0G
zzxTlCbIGsgL7AuVhVVX7FAxiWLSg0HsTzz+TJz0xupfUEC5wwlhI3av7Dl0X0bslcFsr5o4Go36
N1/qUPYK0o/yScIW3uJbjncrE1o3aJxxseNMJqZaPAFilbMwo/DvcD5BiBVeH7Jrb9DiX1suhpwv
uvILkWpxF99wv7fgeAm+IWBaaykt6pGE4qDZGCRywYCkyL1B4nVMgb8uX0i6RUlc+wot8FkEdXhj
ha+ovecRKcRYzPBQv+m6LUbQStjQYcm9sAvbS2YkX90KvoCd/RALb+v+9f0mojpE2uYVMHIzVk7L
lsFsmzSM8+YW5va/UE1lBkXpfrre2SvTheqelhVkzh5b2uHcTMsER06R+aRaXtOqfkp6x9w51vJV
jd5jUbAITgy3McQ9fiboxln9Mqj+DY9Ub8VYeXnpYEMVNUqGnUsuULndOG2V6L3fSVR3uizNcmrM
lMG6KcmfWNp8SzuQ4q833dqztXXDdjyLmRT3+41rHdisbukIb8jrz35/9FLd13J0GoOTMu/gFAZv
xva5xx2kmgEidrYMYd6/O6C6wWVrTp5hg8V3bqec7xa5vBYGuwfydy8oP6VIfyZV8VCQcuN+b+2L
LiP9zYHfFrWbVpYEHxg3YeFAF/7iUs/cjzP5So222wj/K+Ppj7Xdm9cMTt8vlJD23OfhaMpAFoCk
b3o0rnS5btQJQC1Je5Chz7X7JY07f9mqkVx78OXf3/xseNzB2Y/jstGs2VcFZ6laqcP1obQSSnQj
SzWXcWIPzUUoIve2ad/1yrunyJX7heHJMO7HrcPk+1NZ968EUjPls6kwopqLFKUMneRnaj8t9Rae
fm0I0b8bibTEVb0S/RlnCwi0ITaMHxIKsnPzfL2pVujFsLv7+w3Y6CcT62OY/x2H/RzEB2MngmLH
jpMKx9vl7IRLcDPeqLvuLj+Wj+bn7D7Z5xv73BXLUTjK/f32IRFdxbzL23u/yv0k87NxR6ZdtXdc
31b+x5gJVPclIbPr2K6D91jeXd2jm1AlH15vwZVxrNuRdAl3FqslF1lVHlbwfZJd9sFHX0bFmykC
BzdWDxK/eiHGaywHv+LNRmxa0R5QPdXp2XBlNJ08PoGXZx1HKXBxCkqfVfmeYxbnwmX9bZVOzmmc
Lfh6kmbZmwgGX4DnjocdKoOHz6nRL59QEL7FOFyZtnoqYCzBpyaJGiLcusx+Z3phKZe7GlaNbYVa
V1nY8UaAWJN96smArO5jWEE08UnCFnI3pov1xEByuJys3QlCrLJ4TFhtfSnt/DdE1ft2ATF3Xh4Y
lHqwxGo78HCG4fMwmeXL0neAA6TcEAEp4tiPHRpvbFVWViwdWUnrdHCZkXYR7PXHu66U4qEZhRXw
LBc3BR+SE7OyFsm+epIPsWVt+Ras9ITuWzD2dZa2s9FHXeGesrpyd149nyTLUbQDjsDi9hvOLisv
+iN0ejPC0ZoL5zFelNsowl8aWIzf8dT0nforE81GlFl5yT++KLngjOasiUZcXMUDmHnJ7Oa+NZW7
idnI8ltiQ3K99qZLfuXN59SxV4hlqtpoANt2l7rFV1G0T53XPTVm5obpYncb3/Rnnr6zi9SBlxTs
zIrFIjnHsT3MANHWrdiNtpx/V7WplmB2ZPNzAemq27FEZQ9gFtPv8yT4fSdpjdXKGYXwHUMOKMge
bevoOfZ8r5JiOC2DHBJ/SYgXusgc/ugdvvxwzSQrQ5lhRWXDxDYcRVaCp25cAUM4p0fCvIncNKvu
2ny2940kW+nqteVFt6voE7eoacbrqJslTv2uu/R32QTDNJ8AIhJfYBXkQWYDnEfV4vF9y7oUepK6
bH5fXxxW1m/dcaYldjkbrd1HCzg3z2BS4/DKG3LnAm52LPq+29g8r+wBdZPLVCoqBghHIxPedy/O
oOoAGkjLRxUc2YhFK12lW87A7RPZUsNsIjiNiO92kWUBSvziL9cbau3p7O+Zg6ulAkOhRiBYbGff
maV3x5La2ggza91g/v30oplzL4vjOhKgQR1q6HyfR2Pk0WxOoHezafj6oa/QzUuKBq4Z2LLVEUtI
ExieNwIObT587OHaboDbyF/lQ5ec3ZEHRZyFnPy6/uT/H7LfiSa6yjVRF8abjWefvxH/i+3bfuH/
5KEbjIHt396G31J/X/u3X87n8HaP/92fTvvT/jYMb29f7p+KIPFPT/6Pw+HX4enX6dfg/+p2Nw+H
08k/nF5O/unXjesHu0Pu7+6iaLfbfToe8X9fo+fgGB3uogDPCcPzMcDf7IIoOJ5vw/3+S/h4+bMg
CL+E4TH8chT+1lXsamC4DMM3gZrzZGTTiLiDEsvuW2p71mOsRnhIuCzFQl869zRV7o7wnPqlLOqg
MVj9cr21V4a6rvpkcxILQCL4CVeLBwcKimxON4bI2q5OV3LO42KLVjr8NOP6BNZMsPEnR2P4L3OQ
OV3qo0WexnR4qHFMxMtNnn4ybAck9S0g1koc0gWerFwsXDx3DVQ4hnWayEy/KEqKH0TE2Y+PNZ92
YAErThVTx/nJAPuwMl9toOivP/mPxOTfWYDp+feoIEaa1GZj4XYIXqVHV2XfMg91AVBOMRCeDUnp
r36yRAIP+KwKs0EZL7015y9VnDq/JwivD3Dsp2WQ4nLcQIliLEGir2k42csubbIQu8XxOE4WgPTI
Ht/UBmm+N8OSoTJrqZbUJ3YjTMC+BmsMrN7EJ3ogccMfezwsS4GcJ4dEOE9bpL3FNKYAKS2401iQ
SoQhMxzAMKDiQ1UQ75dXLVCrSQuXwE5JoY9USUdyX0DLBMEVtLGuV3qHmVne7PcgCZcAPFhOixOA
gLETt0Zc8cKVZAcTI/yFxG38vRm3KJCa2bJzisS5Q13h8IJCNhbGTRfjRFU0AXQA+ZdmGMt7p3WG
wJpcsYMuoR39gRjAQMUSGQrWMajfGhbItmtuHMK3zEHen1eGLg2V3pDTlhpN1CYoe/M9I7d2S5ll
7sbwWHm+7pIDYKUwBRjjkYQPz0MskyxIy3qrEu39JcrQJbrO0BpiRAfCf+dpcp+WBUJwElly3tgw
rmQ9Dd0sx5Ytle6gcGnt1Xf9SA48yU9t5aHa2AtQlRGQqgmLij0kDQPWKoMLYhFv5EnWmu4SLt6E
2wQlx5aTI8mGzAwUHfdt8roxZfGA92bs5YVvHjwbdAR2SjVRpkh7kMybj5V06nvOO/NuqI086mAA
vrv+srUu0vYoBUMRYldlRaRM4J7nSna3VQKRgpE4KHuth+ZjvhCGnqAWDWN2K4YaSA3jlyqq0JrM
zIeH2MZIXvkQ/ezPp0kkEslceGg6u6pgLHTy9I42/M7parX/WGtpey5mCD7h4MBPwIDVAwoZuN/2
d9V/15++IngzdCugKc2GCvLPLLK93rD8GAX045HWorD8BSyLJmi6DrbIk8M66quht5kv08SsfbPr
LShls01jgPcPfai6/HsMJt04sBJsSYgr3GpPkjL9b+oHRgPmTM0uWYbivNBuSwD//gpr6NZB9uKq
zuOIE0bpRk6nbgzBHgm3Nw5kK1wcQ7cMGubMWErV8dNU8RkLgqlGVDCLqfmMPdN0YyepeWKO2T3R
YmpSwMMn85wU1nwC7r7LYOIWj2FRTiS0KsJeJwsmfklZJBs/b2Xk/uM4dFlpRWmpCLx7flzimEZC
DMutWlhr+kvrxRsysZVO1SutkilHnYdj59GUmuA1wP+0jsiUFSfH4VlIBbaJapy3vCtW4qNeMjEZ
Q2GnudNE5ZzBDgU0tEPPK74Rfd/PItm64mnO59rG+OzPMEJyfDZ5w72XyGW3QKQdpso6CNU3OzNB
wq1rptfrE/T9T7J1PVrNasccXYgFgQH81hbJT5pa4fVHvz8F7H9UaKNbwdHSMFGUVf1nmChmQf1U
8eD0c3W4/oa1H38Zfm+WFVQacJWnwjwLrxz9nvB77Hterj/7/ZFl61qbki60MWaXnkdwHh1LhgA9
JiguASkAd2D3+C8bh4G1Zrp83JuPSGjNkgIvQ1EGTUPH8TI/d4oRUvhWbfTEWjtpK2KHO3+XOmQE
8jH9xOd438TTB5tJWz68OcXKTZfpbJU/l6mGQ+dXl1RB394mKLK43hVrLaTdrqgOlXWlZ9AzZ3YH
JYhqg6Et6lOXfvBW09ZNkThJrdlTeIUgDseRYpBVyOK8OsKUYY48GEts3c2ufIyuumkNVL4St7DO
xRTz15H3yQEl3henVjv5fL29Vo7Nti40gcelgj9FRc/paCQnuPt2QSGs4XOWZPOh9pQXGLh8PmWN
lZymTBTBQtpiI7fyfui3dbEJoFG4h1TAZaFQ5XdmD+eltWFnRcVTWtEPRX1bV5pImpqz2aT07HHb
OTRVPO9QrihCnGnpbgBE9TNuKMSvjda8DOV/N6+2Xg2eGF5S1V6N+i93tJ+RiFDRQufkyaVpG9ly
mT/Rxvk6ew1cgYbZgEyu54Xh55nHH3NRoQjm+g9ZGzlaoHDzLCFyceuzTYbQuJh0Cui7x41JthLv
9M1s1nVFU9MBEDf2m5AepdsZ9mC13zvfWbwlgF9Z4nRNRS47kH5ZPAGPJR+8OiMnCDcCGO4fbFT4
IC93sNLh61TE5UZGca3NtNAhnXauAauiZxdRaSdLN8YeoS58WfVbdyNrr9D2lcVYuIVnDwvAsUdZ
Pg6AoiXP13t8pU90rcVS9jZfFJnOQ+/seDbup6ZFwW/1vXXKHeCxW+Z8K3NWV1xQe3KtvE+Nc1tG
Keys5nY6GHMZNvNG2niljXTys2OYM8YueBOdIM9GLMKC5F/bfGtftlL9b+vaiiTrLAJCqTr3Qwpt
9dID8FdwB4eLeIaYIFfwVyqyMxtMdkN4PyZYYm15Z2cOhV8gkD0HyF23sthrH3v59zcL+jiP1iIc
mp151jV+69Q7eDIDylapj625/wBGZ7NwiGNkZ5kPAWr2d5XV7lvTee2L8m4kbbsRcFa2Dbo+o2Nl
npR2jIAzlChZYXnYyUmE18f22pjTNg7j0FeuTeIFoKQkaEuC8sX2iJJB5ArVxjKx9vu1ye9licdp
BShIm2fALWN9kFtbkrWZqU362rQIx10YDHv7fmdL6nfDJ6y6u6l1/XTLTH9lIOmqC6smTlmxeTk3
cx2MbB/DUoBtjdKVRJOtay1SoNxgBAOCHl2SJupd1FAHom5IEjiwLoLSY073Huv4jqR2fkDGGFgj
t+r8seME1aP2B48JujCD9bWdDKUwYPL66jHwEOiBOFu+IGtNqJ0QDItIISvsRtrsf5yd25KcONO1
r4gIARKgU6D2vW+72+4Twls2EiCQhICr/1e9R/7qd7ki5mw8M4ZCICmVufJZQdr4MvXpJ2ZuiDOu
fASX2BYQBVb0CnX45U6sG6YidBVbeM3Ljo2ZnXmMOtb838zVaXLxxbll6qlqq+WUxKDDOV2HaTfa
HigKkkXNcouu9/c5Qy+7t3ldQ0dgAN0HNImkhaWo5nB6Y0Jeexvnm/6xMo5NI03tGLZKXyBO+2oi
lsrxP0bWl+kynaDthiYILhoLcSjvdtYGB9QgbixY8Xmk/xIHXupeTCnUwkyE1q2Yeb/caAuZ0RGx
aAa0y7IZqFs+2AyYDGQofr2F501C84CW1UmHcPVFQ/l4VkuZim2dX1jYcUTNxgdeK8xiaGgfabsu
6dzAaSZLnKK5N0+2zBqm9f2AU25uKtkfAuC690stom0bU/+uGuzyzQZr8aXQbn2NO+WlCQdIfAIS
Ny09x/dVkyQp0L9zbmLN0T5H++W9Q3tpumDA9iua37O1VUOdwZ7JfpqA1NtEzgbf+y5pXjV87I6L
16sXdEWt2TCv1SEM7Qx7pXAC21GyeDN1a3I/xc2aBxH39nAJgMVI1Ep+7FUcZ5bULpWetFs3I729
YZUIkdnzup3uKywoY1Ep0EDn8NsqbFzmUjphQcmZphuq7itbzaWKKJk7KAAXs55WO9oU/TNRVgt0
Rq2iabJp0M//3tH+PnXYpUhmXPzRZ4rNJzhvVNkwVUsq2+kG0eTKM1yKY9rKDkhk4+JiwrLcfizV
z7gEJ4Ld6k648usvnYNwQIMHqo9I2c7B56ScAdxGZvjGxL928YtluILnjO9WMCGMmMhGQvmSKQ99
c/9p4C9VFU3va0GRfDixYmTpSsiXap4P/772FQEPu9RTROBmKqlHYGrqGKmZerTrE5r31zefFli6
mFq9rBva5FmGMdtERM97kgApOFKOUuEwxmDmTAbhX93AEDiYw7R3Y/dovDXJJl8me8AogvsEXTAH
YEaCvOaM6rSG5/mNsb+yS/0vZv5j0V0iVA9GGdmT1OBJT330XvrmbpUSCMxYoQpX3aKYXFne/xdp
/HGnGEk0MoeBPRGOB264eRA8WTLkzG4swdducBHQVZY7b5iXBYS/CX2PPjp9x7GIvjZoR76lb//7
PegllDrxVFDiiI+eLgvip3mThO+gqrvxqV67+vkl/TFEvUrqZsbqeRyxsdZ+tR/I3Vre0rj+/ers
f/mgP67ucRRXPAcMlqc+0VDn4/xN2lt11Ssr0KUGrOzh44CicXGsApPNrExL9jAhPR14t2KPKz//
UgbGg6IL18SIk6VTCuhW7ooXR9ob6fVrV78Y+nglkOUsLjlS7IxsvPPkA3E//r1KXLv2xfrWu9Bv
+wRZUKamrWThgvaq3mQBvVUbuDb45xv/8WaFH4UdCHL+CXQjkGvFsYTbAWmbPftvBSt2iVCDLqDQ
a71g/Xcfvvri0XPV6sZB8trwhP/31/umrmIspMgtxf1eAXaSxtJsBkdunVSvDc/FYdIsQwWpqE9P
cPy1u9r4eouzcQeyngLeB/2MNyL+aw9ysQC5ZYY5IHP+aeq+xuQHI8dlvRW+XlmnL62JBkRVyGYi
Smnr6oPFwamnwWEYkENEYqbqb3Xp/f0R6KV4JsKReKjVup7AMa0OA/fLd1jAdLu27Uxz430nf42U
6aUEY3V+HymNgxH2lv282hOSWCj72TNhAbCkZPA+QOe/8U6uZLvppSRDB35TR4mPMrznxx8LtmEO
KqJtqo3P9fAItxCb+aCdZugt3lAoDDfMzrd2179/efQSmQjTPrC0EGIfCTDeL1FSrgDnAqhu9ED2
SeOKG1vf3yMoeslVmWSsBrIgy+ghDZwOof9dLPGNGOfKJ3FJJMcHDQolQR8s7f2d6WronCpxjndu
+SBeGaRLTcuwoLIcejiZ9eu9MD+9SadkeRDFeGNwrl3//GB/rI4h6ElF2FD/NEzTRzS17YNqpbdh
85z8qBW/tQNeGSd+fjd/3MYn/uDqGfkwOUqxkd0CAbka2Il6wa0E+bVbXKyUvR6AK4U59KnvfwJw
nQ9BmVZ1vfn3NnVtnC6Wya42Hdj5LaKPoT4WU/zeu3J79knetAuaI/59k2uPcLlGCtt1FI65xzEu
Uuc/Wn1uiLkVnl2ZB5cqjlWyKsL5mx+bcdr6tHrmS/f93z/878UJeinZsLWm1dwiQOgrOmQ+NH77
vu0guor5c+l0/CGrqj34baO2ogeV8d93vTJcl0IOz5t90zv48UrXPATNgO699ZHo4fO/L3/llV8q
MWypIXRZ/PVkozyR1bPXqq+uaeAqfWPuXfv95xv/MSm6Ucuuj/zghIz6AodyCFoDoEMzZlbvxi2u
PMMlO7aTQ81lOSRHraZD5PW/7ZBkS8x3pINw8t/jdOUx/j+gIPHIvAJRd+pa5u/aQpOslrPOy7a8
NbevPcbF3ObxvDYkqIpjP4DtsrTpBEfLCplDs/Q3nuLvMQS95L71g4InJ1QLx86nG28lOYnuivVV
Tj2Kkp/+20hdzO9FalXbAPeAX/im7cihK+UTeNI3tvNrj3CR50xKUfR9Miwn0ijyQqSLtv0o6hfd
WpFxCnG018bi/d/PciVQueS+CZJM49CB7gjB6EuQhFkdhWVaqPVLNFmeNZb9Nv0t4O2VJ7tkv61z
I70ZINETr7viFCcDWkWtt2xINcNVqgSJ+rMEMuG/HZbpJeatNY0UrG8QT3Zhm9V+8ADY9Wcahi//
Hru/xl0xTy4HTyVeSGChWR9VJYAxRIa9TuVcxptKoTDu1finoAFaLm+aQv+MYN9W4+jSRDcWzr9N
p/Ptz+/0j4VHVS1TXjWWR+zAHClxqqBlQMstu9X1+rcl4XyD83v84waJ04OzPCqP0dzvYCzW5KqO
P9NlulX5+NsHcb7BxdLJnaDMBV5zRGmXbYeZ2TezsvrA4Muj02aBteFMZbPeWBz+tnWeb3d+zj+e
p3CAdibDVEIgNz0CibZvkvI/5JjOlz7f8s9LR/7EmiYG14XW7rEEi68oYrI9q3YANZyzZu2D7b8/
u2tv5WIVheAvDKbeq48GKBqlvwaSHVaYxf776n+tip2fJPi/T2INd0G14qNek2Rj1vWz6bzkKOPo
XpHmN0Hdom6wdIvKfehGj6jBYMFoi/HLv+//v9rRZZHhfP+L1bWAZzCtxpkfNQU6R72GyK6M1KKV
4ae3qlT4aAPsvyUOAHJm6uNEup3EsWrt/AfSQhwQhk+WTThbL3dlTbZh3N83o3qo1vbVt/uJr1/Q
t3lD5Xntg7pYqqXwOi2YX8PdfPxd1TyryfD93+NwZXJfaiH9CvjSBFzBYwG7Kr/mdy3ReWui90FF
m3/f4srsu1Q+Jn0TD/6ANx17civEm0rsYWB7UjyR+D9OuUsJpPZkP5WG1kd/LU4BeLy1usXq/6vm
AV/KJWpMTZBW+mOCIRqDLIm6HHrLnWuDXPlfi1B8tObT2Rarm1VmFrvxqD1FUmT/Hrxr7+diLVmI
TBI0a4qjqLAjj91q9m3k2q0q5x7uUt1w4yVd+cTYxcIyLAXBHNXlEUzUp57b41R18425fmUluVTX
cK8ydOShOMZrpdMqipaswQ1THZsy//cwXbvFxR5VorxedayRR43uB+DB5u/lNP4IE7379/V9lPmw
MP1lwWAX62Hsj73QbA2hSfarLbF6eTRJqfYd4XpNB91YeIkx0f5QiR7GPdb96WCLlbwFfJzGI/fC
IU6NNuEbA9dljyKzB2jiWL1K48XpHCTBI/P8OovDpngD31FiqMKG3aFhUhzGLipOtiPVG2MShRA7
9sldmCxVkQKcKd7nCk2cmVfJeDcieylPMenUhnJVAUgsgjhTFMyPXHc1rLiKKiCZFGCwAJgIvSWJ
AvncqVhvhzEIM4Mm3f3ICplCplbuC4JKO0fktIXIuAaFDGQ6mJQsrNxOXWj2XeQR9MxYuccw0rxk
nU4BRYDD17igq6nXizx2irLXAJjUnfYWve2WIjkuDkTsOQrik2qt9x4scK/eGd+oH2ah3n5x8fCD
oy6eA2EPBxQ9wJ4cMoM5Mwzn3YA2IKBNTHg5kk/Fo19EscuGDkQI9HnV1c/OBQXSUwAm12lbE/ra
D96QJnouU1uaMV/K1SGcqatUBwy9YRgvkRGa2J+O1v43W1rTZgxV509wBlB5sC6/3DpyvGOALl+s
0w5SSKXQSRaF1Ta2cMYVZy9RxvnyXY81EuuwEC/yQBHzo5jL6Z038/KRNJX/2rW+eKGs77aFX8Zf
ZmeNzGPSAFS2rMlOAa/2I6qXAEj6zoAw3i9ueOTDsKDFWBK3IcLMMKuFWBeBreOPqxh4JlHpzYiF
r2S2zsR7gHWCH2YTPhoPJmdRnMu+JL/rUkafWaj7fAwXefCX2X2TvkruuAyWN7idDBt/4dMvr674
Bq60U06hJMxljJA2LMYYltzMJfAA5O7NxDw64b3QFxlartBzwhea6pGtmTfrDk25VRMe/VGUB4w9
2/ldwF8GPaM3EEVil1JZnQWCUfdjndF3rjnxvkti+ZPHTYtHhcPxB6WwftIFtTpNvNb3U9HqMe+s
q78pXaEKWaqEfoejtnFbbrR/v6BIjh5m2fA4J8XcJejlakK2q9kUZ54IF5sCBzUdHOuSF1M4hr98
9rPujPrEi8k+LIbh82hLqnaULnXmt7FNq1gMaUki6JpM4o9NOsgC1yziYoNacX0n2mB8bXkS35VC
gscc8UhjzkXC33AceCVsnzz93gpjf7MRdfp0toBdAViZ3CGpBUKfP0iZdmCXbqsG5qZxjElXl26C
0tH/2qDD8dFM7bQPWOe+lEGpIUmj9glM+mErGtU+aYpNiXTYI2bQDNIuWYvtwNmMRrAwug8mHh7j
gfoZm8JoCzaffVCknw8qkjNMbqQXHqSZ/I0fSPW9R8CFRpd+epniDhlWr21TXzTTPX5p8hUxW7+t
F6ofqnIAHa5LejRnVjk3U54AKsEt7WGxZ+AWScGs2glVix01oTVZpeeJ5+Hk+L0aZZHjJ7P3ifiv
A4yZUlk0IB3ykG+9cWhzG67NPRdV2WXahfZhNMrbkMbZzdQTQPqhrC72fjO6KTU1eiw3XWPFhgx1
dEgEjI+BCep/k7al77pU6x7GNdKlGoSSDaC1Jot0E49p1Sj2WSdRu49mL2RpXBd2B67ierCLbe8C
PgW7mA3wOuRuyJmMqwPOQi6PmKHvs4T7nu+qOKurwqNpzKHMcLAT2g7G645J7OxdSBfyaWGNt3eC
RF+lct2QwsioS7Hyil3SQD5DoWGEv9O5RzYiCRpclQcTh1HN29B6wdvqqfgJeAv6jY5x22z9JRLI
a/BJf50bP3rumN88eYPudrD6Kd4N2FHvhbfE2egauHVGGqtnSOTd6uDCN1Ep9oldyq0pidrA9ip+
Ar++2lKy1F8iTPt7mK7EuY5idbfyjqAA5tcwEqLBYxW3EptHZfJg6MvctBH8kgcvfgjUBGMLzoX/
bAgt9yY2yUNSwwi4Xtbx4IGRn68u/mKGKfoGcfe5AXbEuSnllSeeE+uCOSvoPObR5IFDhEejudCu
PzQTXZ7XPqZ4m6GFFxa1G9MVdQ6/nOkNRs7ty1C29bOnZxhL8JDQTPk+/ICMwPuY2i54GHRdvCjR
jj/gJgHbTRCD9V7Gy/C9AzXzfnJjeQhanJij0DkI9INu3EskqGCpqkh5qmncP8R9zz5o0LCTj+H7
3paiPnqTw5cUzh7WKeYfkpm1GwIT8W0kwRGFn1kJyVhTAHoMxXyGT6jfIgYufs7rNNI9giv7rIuE
3xUItL+h5tvupbABzvC69n8F49h+miQrHyKKygo0veHHIpV996CF/KSLnkEBaZeIZn5k/Q0zXV+m
IEeRNxBFhzSiyLAM3srfZTGNa16jldbl9RA3UCGE4AhLIe4LVkHn7Ep2gNIl2BDPYwcLqy4oxAfz
MUuPbrFGzpsgQIjASjh3NT1cfodhVHlHkKzD1j18t9gic20WM6eI5tByDanRDt2Z6KsCUOR+oOjI
9gBY+Znw1duaOax3q+FzamLMp2noq6+xT6pcWxF/rjrX5PNUKLh3kPphQSInB1oUhuONey+j2X43
IXjSUyynn/60DmZbaSYAJ2/JFzcO+p5arEM+mVYwBEO4cGSdqJsyK9DI8tEHHRheVdBCjtT76928
lGW6cDgitbACuzNrwB+hMCeYCOPQp2CpBllx9k3rAMvQaQvWxzNN4KeFJI/ZiEo0v8PIslM7yelh
jOvhAXDTEL4mZ0sTjwyVOwglmMj5nCTLQ1vrdYemNgrnhmh8SlgotqSmbIMUbnwAQ1J+opBn7gUt
FkRf0VQ9NWoe+1R7SO/UZRPkxJ+9JvVLyptUI97iqQ5jDBYLYWJMCm53fV00z3W0CpKD6iP7zA0x
vx8g+Xp1EbrZwhB2NPFovD0OKDh7nc13c00hp8oA5AzW3DCnvkxUwG5Z6LjHvJ8G/tiZAGsfGweb
MVVVPBV9TT5sy+1noCD9bOJj/4jkGu1zpZlXpryuhNokhQ9AuNFoF7RtQ3B6D1bbbm0sogNLWm+v
KAhRts6wlwb56odgMHjEZL1yw47ggWQG5xPW5aaT/bxFQMS+eyMMLYEGoM8KdhUiXTqDfnbdBP1T
naB8M5GIPZdDxL/NA5e/5qLq8gr7XgUXMX/drgh6vljNF5gjmVq985hQLLWAz8MIVrQh0MjUsscu
CTjJGOR0X7rGJa+WEHpMfHSil1rDIaqMdLCZyqnKMcmiR5nEyf24lK7Ll0ZPj9iofARPLiYPFApf
s3FDM2E4Rr5FK8b0lMhV/YJfTof0hq/8X/CriR4WgJhgs4xE5V0YwBAc7yUUDQSKrnybaEh2avXV
MVyNeOek6k4Q5jS5qBKoDVtRHRMY557tsX1zDo1RJEDUzPaaOnB9Y/jS9HkPTt6jF6JMkXKJUl3v
JSXfUA8H2YCiRJ11FaR22ENCD1YZDdk6Z1qTClQbAGtI6GeDz2To7BEKALLHDse/JAafBzZiQbe2
ae2HHKI5I34c7sZJdnD+GcYfgECTbmMSUeVWFWsGs5v1e71qVaY4aoJxJ5XHP/FJxEtKheu+1p4X
FemyTMH9KJi8N2xpPoMQumwq5gcvcOiTR4FiiM3XZopgQRT60KI11fwLCvrmIUTT8UaN8z5k1Y4z
5tB8sMpHbE4a7N9+AUuVRwJQOggg+8Xzn2Vg552EzjxJLfDEG1SV7TGYYn3iS2w2Fg0zu3hF2FEP
MJi1M6gPdF7QUTbZ5UkmgjzVlE4HyV2ZjxZdEV07Jo/npfPeLhqZRZjo5jPAwHe9ZCBVSL9sT74R
eF1dHEa7BYETMH/axidCpx6qTSg9Vzrb37Vqg9PSdi3QBGr5MSKQPsb4HvZQygXbWvIObU8KXd4c
rH2jE76NdYNGBc9f8mZdo291SeJnjdMdzLoEvGJKXqgM7Gy7mWeDCQk/nyGAZJUZmzULWac0FOjO
mMu+f4pp3/4a+wmHik6UCxoyp2Ero3DIirFeytzrKv2dulKla6xcnVMZdjkvS/25a6R/56mEDFkp
RkxSWq7zG13adSvamv/obHI+J1IlXhpGugfWt8VwV69Tsg/4qp5nSHr26FY3ABNRxEQymdthVzgi
Icrxakgb0FO0UYNe95RM5ZKTuTSQBgJoNfohNgmRmN3ZPfYN0CEPDyaqX55iSxZZIu47v0b4DsJH
5W1mRpZfMAWlz7TtZLNDA7OP2HlGTJENYmzviqVMQP6q2/YOD+mDqR0xTE0pmxhTH+4FoIFWaQJ0
+MFg+megnOn91EiWBda4JnWyWY6w8RSHkCXwNUCDYPlQFwHOF3j1PVxJmiH1VTOIvOFy+EQaApOn
YalfROzH32LYFsBEisC1Aj/4JWJ18HPkbHkxkpT73obVaRqreDsngf/AR4DvwsIzWwl/JpvroEYq
ROFfv60wPd2QWNonDxSzrzqk5c+y95tPsedNBdSJtMD/2LspGxe4VW2wOIOBoGMQgPM6bCOVQS/s
fTcBGRHlglkBh4a4I5seTGh8sIAH+5kXtmdwOZ/XDwHRPIxuG1WDpMPCE2/CCYcbQ0JsKLWJDPh8
kdn6gbIHZDNJqmof8Qjv4UDlF+1hwkGrTtE8tAQpGRGJrY5E6IlA1/wQy/B7OIOznSrXdqd2CaFv
qnGAB8AIhOQi9k8hpvq2ivXyRfcUaAMXO/i/2Co+GZuseYl0Z4jURgiKkWi0foQ/m37CfxZPYR9r
tZFrA9tZQSP1rV5DmkUywlQZaXtkgSg3kdE49bNZTsCZL8u+G9t+UwWW/UB6IDyqHsYS2yYcx3yE
CuuuDUyxKVYZ5wUou7ui5RGyDXM0ARtXJHHm/ID+8tH5kckp6LbhvHRPXWyD7epa8aV1fnnnEsRs
JCrlW9ThyK+sLb/3izAbM6FrZHJuOSqcMeeUwnsq14nvfVldxbICWaG8KOEnYGsqh3Qg1P2igae2
wMBPLPV4/+6WlRyBtKVzyoKmPA12ajd0XCA7b+PlPdFI0mUVOua/Nv1ovhRwB49THGzYvYpMl5OQ
dNjRka/h2L6OBIrLO8/JCDklWoBRjcy45bz/3rWe65GYaUGOjgPTvEWhWTZA3o4wdI5MBhX9nOM4
3ecQeiCWLLVDKTUqPbtbISJ66GaBVb1EvDW7tcMo9v3R+nH/Oiyz+Gr9xAeTYIX/8QD5YQ7DNrQ7
hYqdulggZyuX+l2ppciBIhzf6Zosp3JGxRZHe/UU4TIfXun895XF0d5wEdz5XoVMD3rWQp56Lg63
ukzqDRo1IFVdSdw8ndMbJxhknb8kWEkiJp0UrFblyHYLPLNeGcStr+gtIXnpxvXQDUu7L3H42w2m
bTPMFGCH5qB+LJwqMjdF8yN6r7HjKEe2wBHJB3TrALs+R7zfu7XRH+Hi5OM5yMv9qIAXwIo27Z+a
qeQeQCGSsoXitAgFziYAtzOvDAItPxxqHOZkgIHD1u8Dl7vzmp7kq8AXotAKsY1DZNDSbiD9Jqj7
6jWusMUohYJPhCfMcIrpNkncAH3jdXzNuq5gpxVZku0UFdEmwQ60HZ31ER2jHcuMyt2HMmDVRoBe
97kwESKuuRzRedAovpusH26WAghVb8Vbia31XgjinT6HA3T1gE+jJ9mg2u4VHYxAAHDHvJdgdvoR
3kJLFjeB/Wxr4e2EMN3dSFq7VUGtdnDQKPyUcMqO5WJLsEdFNX90CIOzaJw6cDTRz5GtU1E+LNjn
vwCKNP3s54S/dnOrkOlJ8OZG2x2qCDM/bQoAnDD9NZwgKuylIlUevFgFwP4PmMHrKeaD3sJPeLiH
eis8UFG6bTexYq8b5wEKCskb2qORGZrmhGGJ6RFxWbixa4jUlz4LomjdUVWVG6K1h0ya5E8mHOM4
ZfXgchP59AdkaW7ElxbxT65uog2EH4jztOme4DMU3Uvi8WbPx7jcBtp4SEYjYsLUG+/LquhlTpg/
5lXSqMMkw+KZTaIGuQFjsw0ThadKgo7sF2+lQe5arHh2Yt191EzxRsEmaQcYl8KsAUYzF+QcMSRK
fYRchhtKuQaYGFXTu6iY/MMyyGHTIHb70kSeuh8cjAimIixeRqnrT76z9l7FAdlP4HEdwrWHB5SB
ogdZiSWSO5A3kkPESnXgaiFbtBUBs4dF8E5z48DEEuN3JKxNlui4StVM+uMy22jN5rbrkSrpZgpE
L47yarcoHw5Eoxp2hgfN0RbRNGRIq/Rfsc4Pj+06UeDRJhhwJnN/CmpJH8iwto/IExXvghh1HyW0
zMtRBLmviibnXjth6zPsCWB6uxNFx94BCMV5vPMbmyLLse4SwDJ/B0tMNs4L8WfwZ8UvbGo15OxE
SlR99Zi16zA/GybNW+CYAVkUn/siXX+/iLLc1cjObUFlknmhaLgFWbhOGUM3SMHHbxyHgdc61nGO
dQr8rqaot0lSevcJiAN3IdqJ8oGW9btXReoTkjn0To2UZZhWLc3l3Dfz1gHXlsdCdGHOsKbf04Yj
QxiRleyQdpAJ3Ja84AdEZDbIGq7oI5ug8H+CHMPajEDK8DIkYfGpGMrpcR7m8VMBm5fyIMNliLYh
2mS+NAbbdhZyu+K06YrhhxVGP9UhG0kWwkVCpDOS5p9I6YJPFtlpkoIy3ByDEBkauEBV4RvnNZg4
MAV5K4AGSoWC8wjslF4jUrQ6VRoJObp6EVK0ta933hwUG0UQ5uQtbJGO3hoMFVrCZjh4oyXQpQQu
rtk8QH2VuEm/zlLOKm0H0X1r5lJDvRBF4XMSCbcHqbp4cKM3Hwsshr/mqhcfTKoZYXKnP88dCE0b
LMj2a40i6Z435QRpbbTeKlldK4teFMCNCiZ4s3QQJSzqtfXjAEUW8RVVGJJWnULEzvwbte6/6e3O
BcyLUrf1NTFz53mHtuL6HhyFCuH5LJ84SPYvQeHkc+/BH6uNFnEXsZbv/10zu1oxuyhbLxMbUTAr
22MDgkNuVxFmYSjmnCyLyYWdaAL914pUrhhrnJ0W5qU+fE12toORLST9chcw2H4ju1g16QJwyK7E
qfCT7fzhYfE7/bWPoH+b69HbBVr8tgEPEJdV4V0fJfFp6MzBDKsuMuw2SCt0QoYvA2+QjSttI3/K
2CAPIepiToemXvE96B6o67JC5l2Eg2syxHz+PTJW6PmscbCukd2ovd+eaMvfAuHOE7xXk603FCM9
xk3pxE5Pw4o9B0mjyZEKXECUkHqNMx3ik+RuqkN6L23wK+jD6YVNLsEUk8XzpLRIxzHo38JwpFtv
VvJz0Pjt576fUV6iONd4fGp3oUXGYqi95tnUzN0F2nO7qh/RIQiEQJlR9DLCdxQpUCqmrzj6FemQ
BAz+esEtz8krn+wlUgVO7/AqqivU8wCzOkyJX+U1zIDzmZBpE/DOz1Fp6W7oT/5KNMNnewlXWTxd
+Nj95DEEy4pmODjon+OsaWaKCtZBbvjpDLK76QoHpVPBB8QhE/IvrzYm4+u/P+Fr0qtLyEqzigLL
ZCCPVuBV0whOOP146MW4R20L57kYrdQwEZWN2IU6+vTvu16pxV9SV3Qi27Jgc3OE2Hp8JyuKM6IP
6Y1xvVLHvqSsOOajBkJJdYQJcnNaJ8O2CeHukaJkjIpZU9zSSP4VnYYXeAmjWCNaFgr5n6MBdbJL
y/GsYOBJEOXAYEwvvcD342EjyFbs57ljM7sXFfuBVzkS4Lb9ZN87Urw3orFPoJpRpKHi/zrGF3oH
QGE9kNn+H2dnsiQpDibhJ8JMSGy6QqxE5L5WXbDKWliFxI54+vHoUw6TBDZ5aqtsMwiEJKRf7p8b
MqRN9I6as3iD5n/45gucSQVAQrG1nTrYokyIQEMmjPNIqOhWNGBL3WP24YCeUXqslXGYgWBKqRdU
8VrO2tIrm4fl1KYLT3PfytAzWufdG3vvkWAQfLCuH6Q/Gg7mqLHCGjY1DwPC/Xy3x8kSx/5wk2ZU
Yx1ctPeSGuneGTPv6BqJ+gZK/jIbzD4mHZaRNHE7GSqU/gMQR9/SNuNIsIue7NEiQdz32YrYY6GB
55CTFoyZGE5TNDCP/LTC6p3+vj6yl2Qql79/ku/1Pdyg9YACZuPloL+Y5fBr8pB5NRXlmgVk6cdf
/v7pFh4OvbQz9sipIMl9CXdZnE8riuGlS8+6Nc0K7gB4JcOxtaGahGXw7XqzLHxX5rExHbadSVyA
idNM/fCbOokFPxZimbPJRAU6YUAI5RCg/Lh+t6WXMFsOAcLjRjSF1GnCfsPoby38Z+IrFvglXeM8
P6atUorlcq3CoTQAduo4PQ150ns7XRJnj2OXlB1R5Yt1QLGYzw5YXkSnFAcx9MhwFtT5GcuGFeHV
Rf30hWRpzs2IlRJNCUV/SFDUD1zUptsRRlvR7XvXOUov2Y2Y9FdutvAS5xAV10kB03WyMoxJdegM
8zHyFIALxfTH9iCFxYl4cP39LXzA5jyVRiuKjDIVhzrSIZHxnmSlL8wPmqz086UbXJ7w0xAyVDl0
RR3FoRAZpA9lO0Zvio7IoZ3AazHBUBm21x9loSvSyy/4dKdJJm6Fg/44pCUww2faN0Eh3JV2+uri
HmFzAyJtB04GCAxCpNhsYEKCcC3eRlG20tO/aqXL5WeSO7euNB8U2BMjad5bw9m5aXnumviJraah
fLVxudxi9iKczJaxB7VX2Lcj+izL9xVNj44S4BhZ5cY03BpymREnwGuhe0ttNnshSa2KjA0sCmOX
3pjZiJOwZJvV5Buf7ssDXW776X3HRp6mTm3BF4aTpWYyfmCz8I1Z7XLp2bxv5fXUN53JQ8970zW2
IV6/VcX+/99PLxefzfyQk1VwGRAvFGmxwynJD1bFO69PV/MHLheaz1SXG8zWNB5tTBv2WwTNM2Be
rM7N7hpVWRsrMvtth6LlXYQDlK0VyQ7KCwUFWCOMvSMJFuLcnjaTM5LN95519nmQcLm6KKbAdlMl
m7JUkJgl+rYU4ns0azZ31okGsmdTMTfsK1D0VaejwLLFc0PUSi9bGDZzf90ALSJ4fCn8dVaS+x0k
IkE70Fspox2szg9auiLQpX4qS/7nept9uU/C+5ub6zpqVyZc7Zf3Z0a7tG22SrJdUjm/MwuFz4ll
r5dMNZmmz6NE4er6bS99+4te483mh8gkWSrMxAmhhjAgLB7GY5/Wxfb61S9X+erq87kA2B8vFjjB
bSMU84zkFRqodzMjewgfINIadb/y5VyYSee044aZkhV9gWnOjv5FJPrJtbgDW+kE488aGWDpYS5N
+GnmydvB9WTJ1Yk5uQzQxfVv6pkiMCxt/gQEpb9Bunn9dr3lcLK/0HazCSNDnIcpcIKHBHOj+HCH
uE4PCpU3OxjiPOmOGcR+wWAxZYRDb1kviLtp3gwFCRKIOOnZTk3xCCUr0pKBEy+eLC4ahibv0wNO
FYcPnnnZG443PIXKDHCuXt+UZzMRFvQMZkU3LU56H0qPN4FRUIrUY4j2/A4HZ8PW7REW5o/5a1r8
tqk8N2SC8zQ3p3fUffFebbf+6VVQ/LB0VL/NCfg5PwL3qUaVJatfY5nzQ0Zse4tjnv7cVU0j8TUi
ze9U49i5R40kqB1i7tyKJFDEQp3iMJSJiI7NN2o1kIxw+HQdmiaXdaG5H41xGHHuWhlvie3ITUS1
2rju2B4Tw36MhD0EwpDFAfXpcjjaiVGaPhF9Cy1L8Qd5cECUxYZxk0IcEUzIdwpKnPtuSt5222wc
fzRDxKDsGJyN0UNXkOGoeBd1vXqehIMUcN0r9ogmnf7GZWYhY8ytHwZ96L0GZ7XQn0FxzJRr/all
9jdxKE4yJhT0N7YSOGeZHNvE7AjTIMJAHPu17Bu5s8tLmrwuhx2EbgS/FZTYFwIClvKpMPDWvYjF
kDQ3cJJFee/6qdWOQTHYHeQrhW1tbWjQ7qDhhdI8J417rlXfo7DTxr6bXBxBNU5JXHB1m3SnvKGk
eP54hFEH8J1dmnvRIRdEhA7p6cEaIpJh8okAPOSZeLEm4b7ZXV8dqsKJAA2isXeEFdA6MO3ZAzyi
8M/D34ZGMFjPQciaGv07HosyVB5P9oUNvRpDQuSLEXfRrkA5rAsSrXkU0CEewaKKjMG3O9uAPiHH
Gao0iXi23EQR3zC0vKndPIN9yIu3eZ4WAWmKftPyyv7Q3Mq2owdRjw+Ro3fMUDY95FihF4FEGt+9
x4Xe15I2t8gmk3eSZvQRGwUDOgkcRG0T6J4s6KnjpN+IQrYmRC9x0QYZI/Tp+phemmtnX2gumNKW
4M3J1eykq0fEiH5juX35dsw+uBVUOxOCWNoTp8YbUeIv9ayjl0wHgYiX6z/+P7jWV3P5rHoQgU6n
JSrKpzhDo1WAWn+Usrews6dJSLuuvC+yRG6G2myjwAVchu9wcDt8UFvqBIf/HJJtZlT0X2LF8TOI
J5nyu6yhEsp4HCD7npBgPl3/sQstPScDTrzWSKP3mpNDEWQnc9kHPHdXLv7VlhCNPacuJd7AMX7G
5oSSOMXJb3QaUnGXTN1zYUNCG/VD0ANodP1JFj5s7uz7XA66g4V5ak4TKEbQ6PpedUiT2zZeo4Mu
LNfnUBAimEQPr7vQI/2himIcRtbNNotRgf/eE8wW7PCYpI5Glfmka9cLgSxXFTRwmfMCkov8h2k6
31+/0dKTzL7Po+HGhpuiWjZSqE0g4P0Vudmt5GtYk6VXMfsgSxPH51xU7annzW6cCuQh/qnjBnPG
ygMs9drZ/NBSB1LKXkLvRnPbj6b2HZrela3mUuPMZgi3ntwy6azqlOj2yYqikMdWQPr+4XrbL7XN
bHKoNeeGRqJK2OS6C3J8ngJbl1h0qJseB0vf60pzF3fqNaIgcpBgszhHl9CHOI3vRd/8zalemUkX
3sHcqQ3JhmaOpYADcof6rL04vZvGuFoZzQvbirlNe0wckVSoPsPdeKkf+b373vFia3WWL0vImYpk
F5PvttblXX1er05Gzy+kr1MxAclr3rl2iLCAoCxWyslf+n8xEc5N2mKCuHWEN+tk7aN9ehifZNje
DTfmAZrzwA0Q6hrQnT47u+JQh9UdOQBzenC2a6bYpVd1+fun52NT6fJoQpfu7dTHqaLFv8WvZM5s
oPdYrLQ4MwekKe2eYRBPN+YYPVagQTouX/uKLP362WAHm7Qrm6qAHNYboGCPHiprjZG08IGa+7LH
LoV8x7N4KBgJIqi/OxzQJnAWtNaPEUSmvK5XBuTCrOLMhj3pIHNUXu+BwMvDjiEB1ymb52iKf31r
Wplbq6vBUPngQTAkk0Bpx0+sO90ov+7Fyqpm4QHmxuqcNYoI1wYyXMYBj6IGLNTqRbrRN2znGCJz
U7WBqNghEQyKJ9XdIO52y7Acv942lxXAF+uxuafaykQbs3QokcXySquzSp1TRKqAT8+TvebZ/Q87
+9VNLu32aYxpiCxxRp17YQSBDE7fI3SexL6B5zf6a/IyeQbTsngwo4gHugOMt8sMsm2y0t3qzMnv
KiuroXarqrMsQanBabynfZaU8X7qoC/yByNHQd0o34DnWEsi+/LQG21uzeYFHDVPWRSDK1yUCE60
+7TH8rNEFJFfG0MKxh6DjdG28TJq4uknK2E5kpe6lI5+o76ZEM3mCMpLuc8pywnuQfEmqrOADBIx
PGoKRyNZ6bwLH905g9IynLSD1VKd3Oq9xS6NpM22ZyEUmbvrXWxpdMxa0iDAaBrQz4amhYLBNG6N
y/kk+Wb5e24H1xlLo4pgQSWn+Oj0zj9QbTa8iV+oUa1MIEtPMJtl88xyCCTW06mKhjRwVHEsJ7YV
cS0215toYa6dC4NQnUg1GSFjnxr6ZFRduwEs9x1v3970Rvyoi2mTwPqyMuaX7jabbz27sMyoctxQ
ZvavJh7CifCTOyhoHplA9Sb6p0yy8vIXPlBzpUrEs07ZsmlPRVG+Ol57U439n+uNtvBW5rKU3IQB
PEqz7lTWUCFWY/mHwuWnRgANrt9gYW6ca04Q5ImSl1vTMI/eKnGPhIsjbEOwYuU7yMhXbrLUQLP1
FSzvdZtauTpVKZIOJxrqrFppoKXfP5t2L3bkioGaccouTB8DZMwDTumiN5Sk5W4c3S7oWpL8vt5Y
S5P8PE6nde0osbuGhmMvHlpBhnNCc0jALFiuYFAE8Yt5NDvUzJhC6Jf6XVrVf63BqrbQGBibDqE1
HG6NrDuokiAO0ekAccrbnh0yxP/c2CjX/eQNrW+oiU3s9R+9MPfN03l6EFfiuMS4q3q1aSMIDDwr
kPErHR+v32Cpj842TEamFaqXDpYeI8DzMYXau/2AJX0tPHVhKM/FGPYYFYZbNSRMcUCzKWzYZ0cY
37eZqeBjTSJI7CIvD8QALfq3nmjOEDHbMomFGGBHduybFtLA1oievXhtn/8fZfyLtcI8maf0SN1C
IGyGpegfW1k+03bcTuA0wPc3OGHroLrnZXZ2rGBXOMRUFW/SgUYQ1+58gw31FtEq6Ur/WHh9c+GU
gVRVVBZjM0QB8w8t0rsO4vUAVLuVxlwYoXOBSwM1mYE6lhsqoYOyfnYqw2e8D7riHGEx/703NpsG
ZJYJyLUTcnITGLOG+15pn9b77138Mq19WtrlMUKINCRioenVdAtUWATkAUXhnwMRcf0WC4OUzTZS
bVGPrM7x7nPBA6v409Mj0pM3tVoZo5ef+lWPo//7ERgoLH2fNFMoWrMPW3At/KJt+UoDLb3i2Qzg
tS2sjxN3QubhpJlzcMKojxMT34N1bci++Y5nn/QCoAiT5QYLo8wwXj27hukTaoljhxzsw/XXsDAW
5rKSmNoIqIjtEYq0sycSKIj3NV077v9S74bl9lxLEtGhKLvK1KdkStM0gPC8fMwMMFVzJ5nKXVN6
1YeEih7+R6uwwCTxeof6so6QUS7rQb7K3KV/owb+tIkk9T+3zLGWVYWlV+oUSyer5PKCP/V05XRd
QeDYC3HkDrOrl/jwPXc+vqO7mkzgzSCCS1TFuIE199y79vFbzU5m64Mha1yrzsDQFDAVbQhVCEe2
BySdZGO+0nkWH202Q/RRnlR511rQ2dH+abTr8caSrrd3tK2g04/HIHe6CBmsNZgGSYkSPOo4v64/
38Lom4ch4RSrgotEQB5XuplPK1x86trd9Ysv9dlZ45VpUeZDdcmz7MtH1tQldjflDXPN1+vXv1zn
i6ljrusap7QzILnOTqW6KzO612YcVIis9aJ4+707zObXsrYaz00dBC0W+fvkelGQSr4b4STwdTTV
K+1kLsxS/2WBfOrcU9tFkaLUDLO2DvvC2JTABGFpinPJAzgLd1F3pN1P5pAAlsStRjxvm//UTvKW
DbAzsp/Y5K1sTpZe2Ww2zuCIpBBljCFUyfkPKAnYtu+jOsg9K/lWJAWbp+NMlEBEAApByFUBFp5E
NULuuLfyAEtNOZuKK5Fp2jKLIQqo9Q3nb5QzP/XuGseBAkSvfBMXWmkejlNgZa+KgRcnkGXGMmhz
HCZYSICqNoOs1tCQX9+EzkVSVI+1YY0WwquMCz/Mi+S2VyraRKQW3+t4dK6Wsh1IpUTpVKeSFk3i
94nQHzJzrBcZS+uhG0fM+AZoVlNgMpP/AXID3JBi6mFQzRB5H/veFONkwIhwbgPrc+cAYXvZTRC4
gvPKrVZ+58JAn2cFjbaEZ8TWYziW+gFKIhC1ej9zEeuoP64P9K8bm/03Mj+NQEpiEIl6awijCUZg
UAOavTcZ5raSub3S7xc2C/99ez/dAgZj6rApHtDW+p8pgUQZkmoMCZYowpe9DasfLWC5NJpJb7/3
VJen/XTLNoadV1HZnKzINbZ9Mv1IzXrAtq5cGW1LL2Y2P1a5zr3EwVM4gJnfT7Zw71SfupssYRfZ
HYy31x9k4TNlzhahUYpALYBYYVFL3AP8sFvCyTdfy2zGK4uiS8xRpSccRXn2k6EqAPvwtYKrxbuP
237lVSw9wWwh2pvMrYB+Tk+gZJ8aZT9DobOyNFy69GzKm5xsSFObjkAJtmdoAcMklStrk4WzrnlI
S9sWWJl4Lgsbe6SAlqSq3xqAjiB3CoQkrhq2NVqA0mGRLP+ZvSFXBvzSfWfvG3wME/mQioYx0o6H
tlR+SdWWA42HiLPhZIztD5JxyGewYFl5QQsfDjLrB1mV4p3rhpzsEllPchig8YHyxs/ogJsi02VX
Xwh43+rPZNYb2JhAxYuWDdsiuRtisS1jvrZSXnqQWXfoxhJAQYoHSQtIhbZFt+1e4m2ysTai9+M/
AKupW3k/3hbb+G66v/48X88DdK6xnsZITKAM1iei2THVrnkD7ve45cmgNjGFMfH6bb7u6XSutYbL
3WpqFDRPWKeQI5yq5QtQhmu2vqWHuDTop9kSkHRwVZAaFBYZIr40SmFwDx57leldb+q1iuNl7v2/
i1b6f7JJRmMqOohfT6a7l/FdldxXxvP3mmc2ahjUUw3yunHuzfO3gqVPTrIWibD0q2ejw42HAsov
1wy1E6fI6uYHi7YFdl3Fypn9172W8tmI6IWKWlsjJsiwgaXRv/pU+V70E7I5n62msy71n9nQyIkb
RYaJWOh4yh9Ak4RMFgvobzX+XG3MhsntshGnFLTWfi3+kvGbC8G5qDinIwiTPdKN2lSMZ0gxZIC9
unvkMTVXvq9fz7d0riDOzJY3rQSwr24LtlF9RxMfhSXgB8uq2DaQ65VBlf2K62w3Vax4u95kC+/c
uwzETwOuK+M6yUlhhj11gArS+XPGCfVbJW/zXjzLktnfmtzpXFqcOLzLehNBsLX3Au4q2KibCv3M
rn6lzffyDyDO+99PM9lelE4utN9F1vUAflwEDTFK/bUVr5na7P/qDl/MHt5siMNwnLtALKKaaMT5
jgOLG7amrP663AYxbYKw/BbQRKv3BerE+d5JSX5oTF2Cp4xsYOQhCPAefIbjXHwbmiqEBnYMgHSz
cC233sox1j9IQQs/BXh4U3RAQAasQjwGALV2dMRRnxOmeFOB5KTd9FPE/lqC8COy0GwUh8zUu2U2
rLMmKEUb0gK1QVuHntMEcdK6gNMKaHCQM8TovvEm855NUyOcyRlS+wnbhWw3cq4cOLcrfWMMIj5T
t2UgSzkl4PSZjPZQnsVh3CbyA1UnRN8VmIQaKxcBCHBAZ6ResaPYmAMmDaf4CNHd3smNaht7uLhP
E+0eAMZ0X0CojVE+78gD0CXDTYsQybA2c70peCGC/uIoJS2v/aJqowPIg+XBy01AFRLPALjBnv5h
beLsbagl/JrHQCkarf3c50KfDOKQPRYSPVIoaL8Bxoj4g3Dx4NZQng34VbcjjcenDhF7fg1izyM1
IMYEGWVyQaW06W6siDiCcI/1Tgp9tXRAQ5GmlSOWBJyZ3AY2ZSyq+g1UMLbPxiF7qR24KOoK20Ir
h+AZ8MUUyGe4Yz9a2xk2qMqrp8pGepROZHeSrX1q7B7kPtDmjiMimbaynwBga0m9URXMUUVK61ue
ueYDokHdDxa3KL23wHbLXg5HpxTgdJC4O7mZHm/4aMY7rdwJlwK8wfWs3zVpWpyGgLAL4KqPjEjI
gOH4CwCUnnyLJ/eGMOhxhF5753LxJ25r+4iaKXkyreY5L/IWaI6M/oYgAfAdLqv+BwVFPBgAWAIk
oUIf9vPYZgEoTOIfWDIqKPWoj3lVNxtPFekGgkv3PoPC+Um03ghkruBbT43TDzBi5UtVyeY2HpwY
KAL9D8SgGhLrMbsDYiRCA4zJTeM2L06lUhiXaY8XIsVpHCVSDUyn2kGRpXw2ylfXrpNbXqGFzVyJ
Y4QrHsEvAX+yELYIVN/kG+U541uUDUOoWUr22EUzMLTheiTSSXeO5rYvFbjphSPrvaIT+6BCi3Od
wglOWi1+G8BoHbkeeywRk3rPsNrfpiaJYAODYLXC+HECiaSGc20DNegxhocUVRSgR6sNr1DCBa7/
P75Nsss6t7sHnRaSdSvmG0OZw860RHKwE/ChS0wpQFZCuehNNBg5OP75MJYbVjvgU0eof747gKU8
FBVQLh1ipTcq7+KNPTpAqYwm6baVzQdgK1tkkxfYEACIBZhfYxhpUI8EnoIYxMeH2mPkPq8zYLE8
qcKxbvVesMbCCWz2N2IlCJN2Fm1ihuP9iDnpwTE59XwgOyJ8V10lj3Y19be8LDMBtJfJ3wVJbT+h
LurSpojgcJA99w6jysufJvwXKXLYc3U/TgJkvqajSK8oYXS4AwLHuy0sHv90TON1FKJ2MXfU2Gsk
mEK2QG3xnah0c54qKP1KCzcxhK5uUIPpQOHEkZFTogRRIvoCtG8qp/spQS9MCmfakCr2ToBSd1vO
k3rDlT35rC3dWxOsstsRJZxdjt3STQIG26k13eoVvTp7jRhhL+g7wyMKvgPmU6NpQAcedM19Uky2
ryeu93lNjUccPap3KKMJrB1JH4ioU2c6FszYRAPKlKplg4vsMI1keAUkAQrWysFEClTXwRwMjsJ5
h7EpaEKf6yIFqTwBBdMopvFnM9R0g8yzemukPEL2X57yZJsCjoihABRs0IqUHgrFwW5OiiFo23o4
cMbY3VRX7QZsKHGbQqVxAPhkQg4QR9nNo5Y4jBoSScIycjeUBbsXCRhA9TR1O4xgdFOJsaDcEkma
ZGj3w4VxCBZ2g6DdHtG+R0YS9QIEXbNhJJ9uCpW2GzPNzF3GS++WkoE/jgJBM8kEagrvsHOD3cC8
g6MaOuKaxr8bMPJ2squS2xgzTqCsiW0yx5ZBDiOYH3MShQMjU+anJNK79CI+yjnHGgjLrwK4R8QW
3nOoRB7LvC6eSAvVkyyzcgukcX4Du7N4LvMx8sUUq+c8y53cH9B7jpUkCKYZKNkpBuAtUIGb1CLT
kWmL/EQt3DlEIHCDwan4LeS9pe/hzNNHlKC+8RKAeX0nHRACM1lkj6pK9VDizDwci0m+2aChbAuW
u3uoRL19r70R/7xES5jaOkqdNs+S5fh0KRk99oD0fSSQFe4hmnIfWFvrfTFWGcYJ4QEhNtjSRuUc
AcUCjq2TzblDmfNkYfL+wUxjeC5a9WcsqAmyFwAkTT9URTCiPH7TNeN4a3Gj+dVbCmTDOkYaTxf3
O4Rn6XOvpzxBE49M+1hs42OeIx0CEzh60TYXSFrwQcCpNpbpGO84Z8yeEDye/NJIPNxMmBbuaNxm
P9oGtMSIJmVAyUTRkqR5AVsOJgXDgTbcNRU+LFFWn1s6sF/dNAHNqLWJA0uZGMdCXxZjLcLYn1pi
Qz0r7GzDUHHfj8BA+yqm022kpPpLugxUX9tz4aS6YGXHHiENJEnf4yZLz4mddY+Yt6czpl4GRshk
P4pCl+cKU9yhMAz+j2loJzayamno9lh0lZlnbcwG+R5ZSeCe6/PsvS8Ne0dKWRylMPtDh/zzk2mq
ZDOyyTJxiMVAqkbQVJglcK37kTfAUhHXscB0Lr2jrQuAlUHP/53S7gKIzcp7OJCtlYrPwkbPm22R
Gqu1dMMbnPylsIQMGZOgnBtdwIDVWalXLeyz58aOGkHXjl27PMQ4DGF37YII36Vayq1n2EZwfW/x
dbWVzg0etgcqeNVDmkG6GhDHlp6VMM5x1u1skRxBsrNRmGAre7+lJ5pVDlA79zCJYocmW3ZuwZBy
4xyZ6nl1jAyxImhe2LvOPR5xLbmbdoqEraEV7ID2IVFrTtmla186w6eNGAI5SzfVGQkrWb0hQh5T
iPLWfL5LF5/tizwJ5ovXVci8c0Ch1iDQhrAgiv3197xwdW9WmLBMUVhgfHcnqzZ+5pr+7qm3UpJY
GgqzkoQzQPerCgd+CBAufYBPj0rltwQUym/99P9Mo59a3YCq0XUGRAtUNm0DPY4D4jSGH9cvvvDj
3Vm7VL2WeSGw/MNSuNxZmVkeNNWImajdfsVfvbB9d2ftI2oYWVGtwRAzEM5idxAEDxZizqcf0isf
JzX9vf4oS6NrNiW5wqS6BIk6xGYqqOoxiBG43HeImgIl9Fu3mJtSmCKu5RS9Ca50FYzm70aMYc23
Cr6O6zdY6KZzS4oTE/zohgFQr7BEarpzk7vf66ZzP4oY+nSSojJPcfFm4GvU1A/NtHbAs/CO55GB
VRrVYLLESE2xkewTTfhMZUadg9OY7xFHBzBhi4rN9TZautelK38aD1oUwF61KELFQ1SeKtvbd4BM
OzVg4Z1FGIyGXv29r8M8P5CTBtUariFzGy2+cUQK5Dx1wPAGUs4fgD0Ck3eAShOhgpvrD7fQied+
FKyeSos7doZPPY68nZH1/jRWbxpCM5CA85U6/EIdb54mmEckhQU8jsIpfuwkPMEN2YjpXcTCB1Fi
W3c/zH6lZLj0tmajHxS+oUJiDpSz6h8bX9v2HskfA95Varxfb7KFKWxuTEHyVu0OjSFOE6mOpVV9
IAZrIzvne9HOdG5M0W4UZ0TbZjjZgEaTir51Qzut9LCF5pmbUuxSVimnKNQBt8l86sq9y+D3N9Nt
a40vBl9LwlxopLk5pTSQco/dgBlW3fQXxLGntB0PKpdrz7Ewcc0dKnQEQ9QZIE1xaiaPAjXb27ZH
IeL6K14YFfZsyNd5acLjiSPLS8gXSOYbM3tnQ7qVxlrm6VL7XJ7r06SiSm7YvARRRXNvz4X3J8pE
4juTs7JeXmqfWUGWsyqzbQ92Rmw7wXCo9kmnjtcbZ6kLzT7hjZlTs5tMrA9iUBcqZJb9A+9+MyU4
11lZJSyskufOB2ymUEagE3glBUAJKTfbe4Bu81PZ6zuELewYi6etEcXu92ZBe/Ypb0ZwdDtsVMPS
Bsh5+NfZ1Yakv1qUMa632cLrnhselFMagyVxsKoRQ9ijRKHUX1v+un7xhd46tzwwaliASlAPe4rq
gIjDF5RbisDoqztUVKzt9ZssdKi57SGvLeAcessML5QDY5xeCpBCVr6wS61zebDPg8GeWq+xYy9U
FUEqBHkcDGQouitKioX+Oidqcttr4CO8uCEzCzF8NTLfaethr0qOsgby2szgFrveSEtvYjaqvcxC
7F8TTSdeHTjy0CzxkRa9j/LfSkddaqnZsI5z0NtSON9OFQ4uuPuTjreZK1de8dKvnw3sMrdSlKag
YIFF4FWWMAubKEYLqKCRBKbWZu6lR5h9oJG9BEZ0POpTpqCJpDR9kNqmKCGOK4+x1FNng1nAzdII
rsxwiCQwi80fI/NWRAwLLTS3OaA015Vw82Fesq0z8DjvOkWEBBLycKz273oXWuitc6eDTJFnK0da
n6xyChoHJ5tK2U8id5+aGHiVsczW1IIL7TS3MaDOnJncFe2p0wonB7X9Tmm5sodcUG7TuYehzmgB
apLExZGXiEAN5IwRabVbnfCDK/tjPZA9RJavyaR/UrO8cxP2Y+D5fTtZD05aPrSZ+cRN8nS9Uf/b
F3xxPskunfHTDENqAvQMzq3CvPfgE3ejS/xGNuxtxxhuvbKK73Sh4n1kSXUyLISjFpTRI4lZ98uN
W/7I+hG+qImJJwvUF780iuYFJiWc0ndlh3+DXvJkVVC2tJ2GLpoM6s6iPT0zU/1hFhkgWJe087nN
xR3AVc55KMGfAVoQNbO4LB4mJH0icEnhLdcT3ReIit+hBQff6LroJsJu5oQ6iHlTIN7zmGGXA1qP
Mnfm1LE0IBzMV4PhwGfyWhGi7Ff8KEAq35R0Mg/JaGZbTNyIVsnwNVCF6Z0yQ0SwjEJFNkX4H1DR
egFvMDNOXMW3+ciTt2gw3UPvjHI3xEi9KS1My9nQ9rcdd52V2WypB17+/umtKDVyxUC0BUpF3DGm
jpYVrSxSFmYZNp8oCw46tQM5CweU3jpn7oM1rmxm6GUi+aozzebJoUJAR2HZ1akLrb06w+FbNb59
dg8iiLflgd7lx+jOSv36Flu1G3HXrcw+S880mzk5dmpQOtDypDxkwm7FIADk72rT2tLcG9Z890sv
ZTZ9JuKSqI1gthOZ9Icl9XuBwJGV7+PCum7uFsHBlMNz26VhPRnNGVGqCNgYLL1tJR+2KF4jlKBx
vU1c6Pb5+sj/us3IXJggvb6PEYdYh530gKxqsKttgCWT/Rq76OtPApkX+nTRNnVrWxWAshMSnV+R
Qx0wKNj46/ceYPbSk0l2cL0guLVP8aWRvsh+W+7at/jrd03mVXXIHcyqG8oa0fKivG0No95lSZxv
rv/0r982mRfU7dqb8mIY+nD8H86+o0lSnO32FxEBSEhiS/rM8qbdhmiLkIQTnl//nZy76eYtirg1
m4momSBBXuc5JtYRVI6phzRO4SFcck/jfTLRFcBv4SvmmHoo2hbAWNadEYyO6iftEL+rCmf//lcs
Pf26Uf+1SElmLUH9pTq3cIO5bxOIUhRYYCtttDB85vC525Um8SEdhEWSc/AcOyKvtLotKtiqwFx1
batfmAX8+ve/vqFGXJ8001ieVUKORQB/oQn5QpFnh5/vN9LbAA9QyX9/gAGmZGRoFG4HSbkb0wpR
2znhZpfDqe6HKiXbIAIR5BgwTkgpu7XFammIzZZ5kjNkTGRJfi4KRBwBb/8ZNiXfVLDujQImEXtc
5fwsHdFs3v/QpdEwX/tjuDLWSFY5IeApjpIC8r2y94sV8Grp6bPJTrMEDuRISTh3BKTYUFYFsH0p
jh9799nK3nUuqqGjzs4FTxHFBSvG+yCk2crutKAXc+dgNUXcJE86xWGUPfzyJkSWiTx4MCR78lIk
+/YKZaemvwVJ85dyaL+ypbx9XnbnCHbPrHHCIc3PyL4y0KSxWu8tufcnREwi8e79lluYP3MsG5Km
JjNNoM6Qn8v7QaUgUYapU9xJUacrvbP0G9cV4q85mpSVhxw9WL/J9HVAOnhTRGGVffADZgtAAU37
GBPn6l+WTCD0qGabpDS/tUyvweQLY3eOXeu8QE5VDQtTr0LqWcJOIScrco7/R9j+3yOXO4epEbyS
TSjNhwBorMWhwWbkHnn3ekIOHnITeZGAOaEmhoBoVhwSanqCeHPQKZDj1GxRQ5E9yK+2PmRp438V
bkXa23EqUbFsXWuro++y7KnvHeFuRl9lv2TtFRZctaK6I0hLvoFTZABDzMzai8dMEUcIlAEbYiTu
bR0gYXyqQrkZwT7bDHEYPjOYkiO3Rvr0vkZuzz5HRtyDG7fq0oEVdGuCip8J2D8b5ZEDSHPBY6bj
dJO1/vAZbjXhfuwJ9uOUeC+NRaAVjmLuPoZPqtjQvpcvSqb0th4svatj39kSL2PP/RVchW/O9zBN
4h9BXWRR7XoVmC2ue5iY4/2iSI3+PMBS9DsrA7VPHU37PUrbcucyJEl4vg2KuzzQ0NKn5dA+6LL0
7hDKWuxzBEd6YNQ4QmxgJ4rgxyYW5iZAgKnYJAXiqHYIKmKvaeJ4qJo7IDdNoAHD1qNRW6zM9QF3
CrdHWq3R5GLruDwn3kh2Barrd4FU9mniIT0HpbX38eh3tzEBhySGheumL8fgFlFt4aN0kQgE3Wt2
aTRRt+ByBC+V6/JdrLVGYiBoh+Cted+60EOIHzEgQZYaUaEqqMwpNUW9R3pK/jPrenfXhqM5chGk
J28s1aEb3Aopsr48Enh0/xDUAbVBBqAcehXpd8NIy53TMTBUg1R+DuKm+JLhU6aNa7twQA2jDS91
0wcRUkd5HvlDIPC/wndETOmDYBIVfWciZKNYZeBhW+YsPTRiDI95kWPwDSAbUVM7B5eQ/kjQd1HB
4hixSRPOlEFnTvC99HYalK4bxA+2l5Il8q7LkTJXQN8XFbSkW7cgFjaOsuo/CZBdQM7zh0eEuoh9
HzOEmQ4+gVYkDSq2FSb3t7idy4vOwE4rOuSXpfCv3cHRhsHmxxVIyAwSOG1WPQ4J3bTr4b/q78YS
el8WYIN1wBO9d5BsAkjcJreIPIaXbQ6JtgIb8GYIPZgXkBiknLTo7cZ6cJqVE2Ed+F282TPWDfuA
6/FrnQEaKytSX8qa21MFttXvUOvyztqilxtfIEwIu2xfw8ZiqMEhHcCHEVFe6LzeVhMyG0FJoiDX
wiA2GhM2fZ6I7+/iwqXPXZ3QO1V6eteyMbtomU39ORyD3MEmgZDwPJXuqUa0OwyalI8oMwAAfimL
Zzaa9JBluYsoO7i69E6nnj1PmEOItKHIyOQpwSSMgknwLdPauyDiyImGOPnDGOMb4nYO3wbQLG6N
aMe7oI35pdMIYeVD1UZZo/LtYL0OhLV+eKgZjABPCMYVvyEmhAYAt2KkqXW5IAe4+zRRiDjs7QCE
lG7a2PfgfzoNkP+gb356Y2q3QisnauHuv0s1KLS8k2CuYWrBMAKBp/bESElBzCiLH/CQyTZDN6Sn
ilC7Q4wrcsNtIX/HvOm/Khf2XnJSxTGjZf97wOUZsXvG/5HVTnsq3AJZt4ayI3Lcpns474rNSKpy
a8Gku02VVIckFPV+ikHEB4c7QBKx9IfmVsK1I+qD2j/CIj4099rEfO9VpWtAVg1gYwzIpfrhX508
Tw7+lUUiHJgLYmCnIJHtfX3bhAhqhvcRnNMj7vGGXggC3duP7btz9LxrR69wOBz5WN+ASp0jstu4
4LfRzMjDh44Pc+wcAnmqJJIVL7pI9qZsLiUfL4jj+NgNZR5IxUnCQ4TVlgjQjUnU5cGBdp3Zvv/u
CxeUOXoeEB1gEY/Li3BfUoyrMb7GlKRb7awlkywcHOaeamQ0teUmqaAdKL41YXgLxP5DHAR3XndO
wsx1lRrjc1CzYDd0AsmhLkM35PXuQ80z90Mc6yGG1DqPz9IOB1rFP7qKgMmn258oE6/5YCy00Lzi
zKqQqDRGAK3flw9XrA688pUWWjg+z4vN4CnhGEuz6mK7zXhr/U2qtjg684/pS915vbnJ4DwylQFi
SMrsp+//oZo9v9/yC+fleYWZdi5s3UHRvOQgURat2khk5XjO2kVvYdzPC8yJm/kCOwtGpSGPGmHm
QZrt43r8Tspk5Vi70K3/U2WWvdP2NK4uTvMlSF94/uP9lll67vXvf90kCrBza/giVJeymh5BmP/k
NcnT+49eapXZfRvxsxWMD2N7sYTtfHFjZHYKzV3Zf0wa7gb+v+8O8T7zkep39Ue9hQ4n44chWMFt
l5pldrm2bQkT/gGPDv0/efXsr0HNS20yu1YX2KPqxIEZZc+fAQjsXQ9n3iY+QDqycntbePN59Rgb
vOPo3gPgjEt71BUZyMlqzb2Z/Yf2vXG5mvud2bbqk7Ya41MTd87eT0zyaTCFOLakV3sknOtdjXyl
XRDIAiEGgZKPqgDybH2uk00A+nO/r8J8uIgqbh4cZeo9o4V337GEf3VBSv9+jY9AdqCXvoColcEu
ll5lKBC0ZNbv79KhRUp9OU7IaLQTRHeW3CJXF+Y5xELzFU1IeZHR2Hbe77FwEIesnD9Z2o8/ykzA
n02j7LJ1B3Adtr1LqcQhW9QvLkOZLlJVUF3PWaLluO+a/DSlSGloKuKbTTl5w52UvhIQldgS3YZI
201GBmgsJm4P4UDkXkyUPnV+U0V103Qtng0mUU5J50SQ5I5bZ6DDLkl1VCP0eesUuGG2zBnumJr4
j4mY4QaJ2mrPWTVuEIyHQrOXDCTZOkwqxHD3+jZU5fQV+hGxSUWDcN2yy7Kj7MBvh4daQL6Z1ps0
tIfOsDdphStImCoXshdT34EoFN/JMQ0PavTUE+Q7iB8XSO6NQq6gFsJcTaIaPJlbHhj7rbei2IjG
8KOSgd0myIT5MQnZIWdjQikJKlrgZoN5gd/2uPUmKHEQfkPOuFaTnx5x1CUMe/IaoyS0rWzC9A4H
Wbo3sjK4xzZ9Mu48PqX7AbyMjeHliOiF4neKO/D3se9wcw9d+pQxt4SsJ4Q/uOOnXxUL041vHf5J
jqR/pkiNgEILX7QNILW/TIhtPzH8NcqhYbiorA0Omif8GVK+FgedtDyKfEDqRe85ItxmFZXfWxe6
Aey/4kvl1xICnZKhLOd0OZLkYpUj4i2sEefagwCQZuVdnBbxsUWS+gkB9LhTDDH4XdB3WHLBayrv
wpIA98VOO1mxKQve5zuQqEd3Z4XOL9g47ZkFwfA4DEm7mzw97bWyVQVlSQPPjALK56++h6BNCAts
+JljSnVInVP6Uzjk7J6HFtstspW+Kbht/mmQ7/lzBGJ5DxhQZaBn+SUEX/nw4mUu0tpceFKbfUAE
u+87TnHhaW0Z8Tau74CO1Oc2uI6ACZbDPupqD23B3K2oBwblYKn2kLp5u8CmcGjmFrIHv+gdWGiN
5dHt4goVvmuWa0ZzjcvnAMc5HP3OVjj+nno23ecWkdEBbmlbHEUCYBOVPXLeNDcd5vWOeShBMrgx
wB5oUrssrNK9a9n1kqHtLh+RtEt069/ALgGXaO72BztYWHdXmm6hBWqgI9LNF99QWeC6h6Ra8ITh
WOPWQ/eoxkRtUj41j9drxQNWqumsR2/cVo0iSYRg+hIjN4TYUpgGogMdqyfG+6CL0ADjQXipW2xk
IqoT0n17kCen+jb3anPCjVC8SNz99xnm7K+EYsnBTaaN6p45eO7QmG1Xl+WrFDz4ZuDDsu0K1d1m
LuMwr8yuqQlNUvfIs47R5dkAGUwmxgRaEkLqOvKdxh4dj43boR2dXcO68agRHxJVlGZnXZlpQ8PG
eaxaYTjUclYcdMOn7xANmWMPLeI+JoZ+sSj0/UgcLBggTpcHHbrTs5Zx/MmduDp1nrRRLsOgBNhA
zQ0sL/ij34fjXYo8lQcJQgFi4kN2HDoNnxIX3VspltxnruyODFkku8wfnaPL83BHhoT9EHCxiKZu
ar6D9zpFcUrcJJqqisE0sklRvC/VDn4Uxaszxf3WtsSqTV4gQzDDar1HTrp7q/0co9ztcXulzpjt
yiGP90oR+ZrBngpSbbCsCB+IiUa36nE0BMXVaIGrJRBbBPMEmw7V+CMtAeBlTfgiPKTPFE5yXdDd
9OjSOj4VnIYPAiaPiK9iQK5gMGiqvYXA4uJRNTzYjqgIl+vxLjRM30LBPWRbOnC67ymxQFqYhOuo
i27pE3oD53/zEseueWmNwern5sGWhX76St3GgCWQ6AsXTn7rNW7ymMHXZJ/lFqVl6Ouyz06NSjpc
n0eEn+UUuAQ19hD32fDz6qIM3I7WECtbiNMqJ95PBaaAn+UaWYIxO+a1TME1c7oDercCSzV1I+IR
f2M6nGUNEqhhDIj4nFNb1w5mblbpg9tnUNP6Pf+kOqwnqbrC+agOQw1NPfhhJ2H3uS/ZgBNULOAV
5DDQ+FmyKUZRfi5BR9ghhR1RP4nDDiiSJ1+yeNQ3Hm/loYmL7qm86oiSYSLHfmDNFtxw3Md5k26S
3K/PLiB3kCR86FO5L8Ydo5ru4yycNloncGsDourtqwxB3rAxMOdeDmRTgdV66ENfR2OBtcUJpx9e
zZJvlFTDDvTQYIf/iDRXAa/3ugotxpUV24C34Y3GWereHVC9Ap7p2F/S5NdweBt8wv7jX+K8JFPk
dVhF9qhwvHjOAF117JZIWRogQ464luYBAVvDviigxALKnm953EFLXjlV8x3zg35RvueczZhhWtOu
fKr62j/FaTbtofsPMIXtuA1jMj6hfHKUuTQHnJY6jJyK3mDu0odsDNnPBjjfFqo6teO6KI8AHLv7
0JDqqBAUvcmJLA/DWIsTRD8jTFsC506Wjr+JdePc4WDqHTvo77asHur7SpTxA2LinOdK+9Vrk3rm
tR2a/NyE5YM0Bkgq3JO32BrSg0vz+rqttzfwBpn2A4bkkdbUBSocd1svxrZuaVrfIE9afLUKGwBU
lEN2Y7w8vG06pM9JF/KjYXSaX10NGA17e/qgPQQITY4FtAbs/FNVFNl3DdAvKkMAamPlQYQKjfoj
cwPvkStdPICNq34jZKvYc2HEBdK4Jwjq1K5MaHoohC1uktH3nsGIcX7FpDDP3ZAFB1f3ZNhbrDR3
0Pjy+8Z4QxRSr/3ejsL/w1vhn/HBw861cXmSKqZPAAvCQziN4ytsRZAyOPj0Vxfk49csqL2daGy8
Rykqj2p4TN0i6YT9zONG3wZwV3hNAMZCTSzz7ll1Sfq97PLmD7Z5qPBD1N6+q7QuH7uUcVSp+8p/
YvDmkBDKdx2Jap0AOoRVOTScRpeG7Gia6T5KujgHcFSU8ogNuwbu5dH8TuKuftdYHSKb0GlvRk39
XVEFzms1eM59b1xwh5B3BXmd7Vm2zQhvz8Uk2i11jeQRq5noty3ix15hp1tgrBcllORZvZUQyT+g
aAHWUYkj2CF1XICexv+EMCsgDwNEwYIUIBXLAjmCtfEec6RO3OasIYfaEAxxVZCbOMsqeFKK5A62
CaiQgMdw4I0IHrQf69dkMOBADcx2u4T2wS60TrfF5kygpSQcOwgioKMBQPHRDkX40Dew/tOgoQKu
H4pxh/YLf8VS8Wfg1sO1HNPsAuZ7Nwo57WA543R8abvQ/SLSpo1603ubMPT9k6hhpo2Iaumj88Zx
5+dJcq9TN4PjgRUDaiuwM4Z1cr51YA3xFPQgyO98wOn3acvZXWghaQ0gat8h4bDdFTFN7gsZpHcO
c9L9BJn5LyclRQQoe2ARFgd671pnC8crE2UpVw8cB867Dtfy37U7GmgcZelHdEgaqBuBFbOgguAq
LmGEmeCo92iGGByrytGPtRMixFXiVIU1vil3pBsPhBN28ONcHAgdq0fAFfTFV9bZGB1MO0XL9jBC
HB+ByO53kQwcHNs9Wf5uy4E+pEa68Ixs2RP0+QZxQIhjCLa0CNUKKXYBPZknifu5BcAf++VFwlii
Hr+gNhhhML2PEiw9fHYjJr3n1tIl5YXFCNQozrn9BTfM95+9cNueUzBrAMCjM+DZDcYhlv4NROQi
2bbIqX//BxYu2/9DwCwQvUW7sLqMgXMWUt7zod1+7NFXEO4vYKaypUtj6wAHDu+w7eMGsoKFLb3z
tbH+ejBsAWk4ODo+M9eBOUTwWmbpCpi0ABDOmZNpVaG0MCBvVTsUyeLss47NDWoFJgpH8lLFauUT
FsYMuX7aX58gYAgPEwBpLwBptmASbAi7U2u+bUuDZgZbAZ8NcTeEtBcGAFHvg+XkfC0KsZncNUfW
pdef4VYjLEjGWvoQieW4PxIid422973brZmOv5lcLlyXzOCr1oFjjO1Qp4AyC4qmg9UbGE2+sq98
0+CytmXjCiy51Fiz2Ru7dciRVVVdTA3j1zLSuCAFDpYjI1fmwcIvzGmAqWN6AacbexEBlmnbRri0
RJ4/RVrs359pC6N2bhzd1IieFBUQs5j37aYgyTlP7RFBxe3W7fkQ8RRgzvs/tdDzc6viLNOElz14
D6oD86m7NzmsG9bU1UsPv7bgX7MiQxSDGl3A81X8nFNUiYMamvvyY+v03KjYrYUzes7VZjVAtkj6
mVHYE0AG+H7DLCxK/mxGF9LCr6hA5HUt2p2DQ3rN1yRyC4GRrj+bbrkb44wOvPGkbA0IBWA3slAG
3SEk1OuCb5C9s09TGPflxhib3U1NnuLGaMaTJfBu2YHnnYHi7dc40/bOryFDEV+Cvxb1AmwLiVTW
lTZYGumzSYuwanfQpiXnZrrzWr1JsTiM4Fcw/2PVy/84yn8NkMr3SxT6hXdGWkx2A/8Y6NVgz/ut
Sp3hY98wdxXOEp9mui2C81QgZqk/5YjcrTnBFWTlLLLQSHMb3RhVgLocCLwpPDj36l8mfEjGKjLO
ShstDMS5ia5RXCRtOlDEugPKUMQc0yr78f4gX5igc/dcZEIWuIq0Plwxnuqi3fQhUsTylaVl6cWv
P/pX53Z1TbjTswmLV/eY5c4jBdL1/nsvPXo2OTPYwXhJCyQt6cXnCQm6Rq/FFi09erbZkpZwBIvA
agT35l0LB+Yotd739197qbln876uhOg4loOzbPuoq21U1xg1aqVRlgbibLZ2pElwy8dAAYIfGr4t
AVWk3XMer3Xo0uvPtlZJO/j6tZ5/BlQQZQxj3Ptar3nmL+x581QwEiZg1MQtPeNYr1CkgFpoyrqX
kNFzEeR/rHbW8mUWengeDpYAnRipuFqlx9/B8djE2drhe6EH5nEK8CkEXhgG/hns2maPklF2DHE9
uvc63EKzNM7UyqK20BPzAAXEk2ikikrv7AsRbkIHAB7x5BfuhPsPjVR3NnfTPsiz0q/88zUobhAv
bLobirX9b6mZZrO3TUrelnCPOtflxjJw0/IvqmJRVbCPLcnubA4nieECkN0IqnAebutJ7/I42ONs
+2pRA/lgH8wmc5FnGXAqTOZrLnoTTkjS+xVOa7a5S9NhNpmB5U6qMthV3PzTWAHQOuZqj0j5CBWk
lQ9Y6obZdG6MMwg3Dv1z1hHUSJNtYeUeDki4oK6sSG99BA/xz787AAVcUYkw9c9xg/NT8hKq5F6a
P0o1m4rTtf3xrclw/RXx76/UJG87REqgBuZonI0pgv5C5FCfJczBXxG67j/KDNH00ch1ugcXqN85
SqLeludAc4DDgxqmNbySJlik3UAA450QEkrBRRT1xl5LWREmA9zDss5M4IbxCrBkA4U1mEsbeO6U
N6ZG+m7U9mV9kzt5cQdTVL0RRRA8AcZmO94jadv4jfyEA04LPHMswR+vtGxOdNB66/thE0ReD7dM
cGThtWaK/NxyCakfyo/AY9uMHhEO33xifhyvXJOWuub69782Zw+OZBXKrsiBqzSIk3rf5k00TP2X
AqRE29kVvGOpb65j7++fIaKhZPTKi7XHCuisgrIBNNKVEfzWSn7t+dkqBawPIebVVF4CSEAtyfdD
8RFx3/XRszWKTMMgAGFXF5U8iSBAfsvP//+V9frg2drUpKmOGSQFF6m/2QT4HSqlDf38sYfP1qQq
62XScnDpYupGfpruSv7Cgnj3safP1qRugr6yRW7juelgFh9unRYC2DWn+DdD0q4NM1uORsh80lRM
4pTCXs9sVNrSPXMzlGNh+rYJdFNewiwEcKxhOupsRGyrHazeso1f1w10nU24L+VYbesA1pgf+uC5
+3RFwLmvFHLhpmT6ZrSCJqRyDw5qxCsDeGF6zE2ofTC8SUGxBDs+29XpM5Q/27L+/f7bL8yOuf20
F7jIer0e1zI47VaEfA/q8s/HHj2b1rAutNxPkYsYgqASywevXWuRpZeeTWmB5EIKL1hsGS5SUgqO
w1M+hCv9+daOhyE2N5NuO1F3urwem3gBpwbvFVaIByUUYk/6euU3lrp0Nr9b67Kcgg50bn0YmKpb
qCCiQa9J4RaW7bleMzYMbNyCwtql+gEX6V0JQ19bRCO2GSdd6dylVppNcwVmuBRgEp0Ff7bim67D
3WTtJkjbFXXz0kfMZnpMsqsixoecvdLVd9h00yNs/twY5s4lsBalWw+1Hj78eH+wLvTIXMjZTGWN
xDo4qhHKLq4OdvDNPDL99f2nLwzYuXzTc8DYF5nBpQj+4HnwzaMrD1567dkOTUEmb2AsgnCAIeB7
VFwuQT08SOu4h/fffOkH5pPYgWN2msEmKBXdEalfCRg54j71vP37z1/o5rlsM1BT4UPENpyTrrjt
cJqKKo88FzUuc0T94DAw/9jvzLZquLXrUErMiWYc6p0szS1XcG8dLYG/sXNmZq14s9Rgs6k9wu0+
1wGiXqcGft6ZG8T70Ak5fJkz+sE+mW3gUhW+hs1qcilMf3Y4/Wy6+FvKPqIExAL4P+aCYe9lgUQ6
su5KuEOJLZRnryAir6x95Pqacy7m9fmzmY0qcuGqKsbiRyGcSWoHibjgK+5U00Dh0YMcWESTGdR3
Xg/eBbfi8tXD6XgHxlpygP4uzSIgRnCln3RYbmQHs7UM5PrjUORhuNU0ScGlgrrt1smSEfxLR6Ja
kTnNvYZNxWeEdMpP0xRMv5O0LfbwROofoRz2z4EHnpLyy27bcx+Eu6kb+18fGnxzBr3tDXilManO
wo4mkllzq5V4CMJmr/ruDydy5Xeul5k3WnZOom98wiVIJtV5KJyvcQZqT2dPcjAPGQJEWTl86Slf
6cWFFW1OqgcZEsSbMrYQuflbCKKSyDNrrpNLz57d1bwetu8+Cew5nNqjaoUbNd7EPnaamnPqx4xm
nadgNgB5347E9bfB9Hs3pWslgbfnv5iXBEZ3gh91T8EzDMCSg5D6NR76n6Mxv98fS283jpgHFqaj
ZyhCGMw5gIkK4kQeGI1XhBJLj56tK55IjNPKATS3QejbpHEmyMHsmrvWUsPMTgxWIJKDBkVydmWy
p9BhBWSfeR87Eop5kcCiVN6pPoc/t/7mwuwcJb6VAbPQKvPaAMUV32EDnmw1sj1SXPThf/p+X759
iBLzqkAJkmJeh1Vy5r63DXmzUXGy52P5kK+5Ui40+rwugE01ndSQJWcBz57Af+1aQFBar7z/25u3
mFcGfI8DEWo7BVdhuAdtqh5UpygJlH/Tp41+asYJzSWk260ABUtdcf3Kv4ACiDIKgKadPI986G6n
pIMAWXvlylFkqa2uv/rX0yGOLFijwPKEAgGUYzDEENmebXgRroFQby7PYh6l52vwN9OKpOc8SW9o
lR9Y7XzoeCP+q6j/9e6Dl46pbKr0fOUEB+CsB00S0SnYgkyy89sPuJCA/uTNpjDnPryq8Q3wtpn8
52o0Adiv6eSuHPmXpsPsYCBS5hgQ9VNEz3l/2OQdTKxtlCKHF4PKdiuDdmEQzWsIk64HX/IxRaI6
nOntZ8H/vD+bw7e7939KBp4qUMAK0nPW+6CCu19FjdhdVVwCCzOSZvqdTfyUrmUXL8y9eRnBetyt
EP+AxVqRTzEHTWsYkxvp9Leg7YvtFE5rrgcL3TKvIzik82XXocH48FnW+szJi4/qcQeDwfcb7u1j
i5jXERLX71qi/BQOze0vXrY3gyuioAOgRmTuR2ZojjhBm5WTy8I0nwcrKjA5PcWQMJOr9jZowGtU
A7vtKwA373/O0g/MbgDSI8nV50KidLRPx3FLg6exW9PsLT3c/3eRaqcQaFpqndOQfx1BK7HhQ5iu
Nc3S1JjNb9LoUvst3hyExLtWt1AT1CvVlqU+ns3tckRqUN9XzslTIRIgQiLP9OrCQLks96NsglsO
Hv9jMjJ3ZbV9e9jiovFvS8HkgXWFSJ2TP/UphBSwuBV8hCZEDcPW1qtsvbd7BMviv7+D2K6xYSpM
UB6XY+QNfnoHhuq0LzKoZ94fUW/3Cw+va8Bfq/vIHFjwsVAiUKhHXoppkk3I/A+tujy8tt9fD+8o
6hoOL9IzVdXLCAnINqnFsbkalzUkf/zYF1wb768fkVXNG6iUJcyTwFrugk2Qr4Hwb48seGj8++gp
D+NBUpaekR+7nXIsv1m/QdrTXpTjrRbuK1QmK0vHUj/MZrYNw5jGBBs4gX5Dt/kvJseVzWPp0bN5
rWzvFShsp2epnQcbllsIPlam3tJEmM3qrOZth0jr9AyrzROTv6HK2l99t9hIV9rl7b2Iz1H5ltSE
ohCMdiEIJdL3HvDkJnxOYawg1rp5oYHmMDtyr7O8dNH2VQBT+vK7+ugAmuPrAhTnFPoFLEg+uzF2
grlJO3x1a/6divQBtjIXHWRP78+DhcViDrdzAYVNqLHC0ng3TgHCo+6RY77SDf9Rw/73/s/FbCoX
V4bpNA3k3JvRNRs3hhCrCNz6kkvP+aUKCCEcmQ43MXSAp8bNgpvKhfeLbP3xGywD+00WePpiBIQj
oJ65d002eds29T77CYK3ZDF6SIyvi73vVs4dIo/17v1WWRih84xIFHSSIOAsPqGX3QvEbvljCBHD
7769qqaqjqwsdW+f0JCH9+9SMYYS7iTU4Crnma9pJsym88mjO9oH11ffdTY9FKr2rgvsitnZ0ofN
Foze4ERbXNMbA3acYo5x+005d2C+b99vuKXhNFs1aKoljlM8PnGivmWG/Kqr4dJ39fPHHj9bOUzd
jSOleP0wARietv1mkvmZi/zT+89fWLrn3ozQe6cMKlznxKFaDUYk90m3+cE9ek6LEmY3ZXeY4rW2
WlhA5gh/VhYJDF975wQ1iYza0HlGNN4a/LDQEXOAn+oWb+5BXz75n6CTBekph8pvZdFYevPZ9h8q
AJ3V5DmnKbduGkH5o+5RL0/37/fC0rtfB+9fe7P1PTMM2STPPtuSbNh7YOApxlbujAtTYA7wNxQA
L3ex85fVqeu6TZ0VyKrAJRXT8P33/+/6+cayN3dm9FpqWeLhA1B9LfZ0gKgpUbK6gyKvwUUsgfI7
aw0sb3h69OIyfQbfcNxwWq6FUC214Gyas6lMrv49zqnOfUT7OQEg3Uhd6XVe5Y0r59mlH5nN9cJQ
eIH4cA+GAdhGabPLDFSp9bjSikuDbDbXeatNA9g1PpWIBGUGNqw+uPjR+1209PDZ6T/tfAQZtk58
GscTwl8QafYxdge8df8dvFND4OB23ToahhCwOIwBOBVsLfX8P5zsjaE1t15kDsd1rtTkXNG2fohz
TaBmte4e0lvnHnFj6q4YqLOB8VGzDQVw3kqy30HYBnKL1Qa2C1CeXdysgPAL9aaLHkptMDIkW9lg
FgbF3MLFEXmfTX4en/LkKTAv0J95axN36dHXv/+1LBjaTRl1y/jkI0BQbZhT/B9nZ7IcKa9E4SdS
BIMkYAvU4MKz23a7N0SPIGYkQMDT31O96p9riohatiMaKNCQysxzPg9pmIJ0MOYS3verBgY7D5h/
btJ6uiqdBElhfa4FFd6c/nTn1Hy9fPWVtYct5mWnQBeuUHm9mUoAYVtSPjTFwHwW9789QB0v32Rl
bC+NMxVtU/jbYgRyS9zmid41otmYkyuf4K/V+z9vp2to12Jti29g41GxZmfAYqNDB/blB195O3zx
gV3SEEhHsPuiiylwihnScQ+O6fOu7N8u32Ht+RdftzMMBD/q/PwwWIxr+C6p2vtCclSLLt9gJYBY
emZmBhJEqk7ECWYcuQoNbmZPxJUwlwVR8yvMQkozAMmqf5thPLe7fM+V1/Z/9j0urDUtTgmc3EnU
SPFUaXkAefOHZZi/L99i5b39Hxsmsyxu5IrflC0Bgsb4RSzjaeqSLavUlSG7ZMG4TZmM6FFsTkRB
gt5U5o2RVlsd5itB9tLJx+vLvk4rVp3K2HH2NhJK33jZezsFnGgoLDrveAtCTFEZLaq3WbU1nNfG
wmJ/ROf0WOQUJ+iyvx3KPbe+NmaO/PdPoAoCVWxtOCvfZlnLrVskRsYESWoHxpFzaoesBanA3ErB
rXS4Ocsa7gikRAM79PMZRYLLNPY3bplqWIYUThEC+ZeEKMlXYYzW5We4YaJNibM+9EzphVTncEYo
ufvgdoilL4/FteG+2GDzfIQ3+IgpxvtBHajtua8dnTMHbSwTqiNjDrbW5TutZBGWPmopgIx9CbXy
jQMQdJ7/FpIFHO6JbLjN3Da8fJOVz7cs/w49Iy6UPghz6iyULsr8Z6v86uvlq69MrKXRYgvMIFp4
4/Jkj9y5g7EnCyVTxf7y1ddm1uIcIGqWKUGs6kTTpqrh+mDWz4TzZGfP5AzGkD/1XLWhBXHEu6Wm
ZKMsvPJdlt6LnewN+OYofnKoNCJQvbuD3Q7yGV7F/MAbjcSSLa/rvnOWXowQQei65SY/IWY6tXCr
zfvWN9r8NuUbcfTaNzr//Z9NNWtiAoB0NkWSzNVdr4X2RTenG4W4lelCFyFHATlE7sQtANblwXCm
g45/K3m2EDM3try1x18sc9bQ5TUH3jsqYegF29Wz9e3L5fG1dunFEUAh9y6rAuA8pY0ny4ofsyzd
wmKsvZfFCQDJ69GlnonH1q8Ca77hHHSPNHby6/Kzr8zrpWbeBDQc2hOnikbWBaz4CofmYCAbF195
MUu9vAtfJ+nCwuskhf0EKvQDd/uNOb126cWcxgvWuVVCIDISCH+81mv9AWbbl1/Kp371KBssEUWA
5nr5qAiuXvT6Li9EEySp9S1pEC/5IKqoKGmt/rZPSe4XoJNDca2mjaLFyhdfqurzejJA9wbDd5z4
6DPb+/CydMfnce8a8Nm5/AvXbnJ+rf9MZibTuOs7tCfarPwBSPm7AgTco/Jod9375VusfaHFjObw
DBfzmcMKk7reT8z8AP+N62bc3xa5fx7fy6UeNG/OOnQuD+OcahhXO9eQ1M5ffzGfuduNDNVh49Tn
zr2RurCtJydjcA6XX8zalFtMaTiCS1Z6nYjKhAaubRwmO7/NsuG6dXqpoNcM7t0GrHJOHprZ6hb7
WpP+ufzkKxvpUjqfMw7YWMo0auegdjg8+TMPXuoXU/vsJmwMeg8WKqWG22FKNmbDSnS6lNDH1Ty6
WLXHU2dy8FuY36nH5Gbu4as/H2Dqtrv8y/6efD5JWFjnifLPiJrOOGWoJM7kSkdyuIQ34AfEXh40
8awfkFV3QrdGUV1BCfrkwQMERxecX5KxKY9wi4Tdqe7HL1DL9r4DQkc08NnBh3WLIyyAxu/NbMy7
uSLmjeoHOK7X0H7vTNghnjyRozETYojkLXEY5N9JacCQDbxSjDqAfimHD5ltchj+WM4NrdLuKGLB
Do0DLiurfoKaBsP0wk0e7a4wfppD8dyOWUMCk87e3ia6+dqnvThmqmsCo/UmNIlKwmBkJjM3FGal
jpxSew+XM9AfXMOO4Mo93dpA0YdJY6kwK4H+gTdn/5SM3fxY9ZJy2A2aZGd3ursjcB+8i1Ey2fgS
K7NjKS+0Uuk2jiP0qVW/ZfHVMR68bGvVW7v2IgaI495NONXwQISVIYw5hUDAV7QaqPShFRsjdm2S
nG/+z0iqYdw0tS7mn9Hb+5HNwo+98d0aDfjQifh7wYhflDO80YaZbsQ2K6v5sndSIPMDszSrj2oS
g6ZiaRG4Zg3r46JiwYQs1+VJ8pc89NkkWSzpAh3BML7r0qhEs3bUmtRjgZPP1i3XSbJns+Zh1pVi
3/fUzeGOlIMBkCgLnvMWrFahLHqdipRjQ/BI2HqzftQD4e8mrUkd6NZNv9mxC6mgGoHOFjS2viMi
Fy9TWsGyLGGkCSeR2zh1uF3YpKkZyqKqHquzUWFeA6uJQxaqUKLtkvc2jYeT19lqr7IeSXO34jfA
0phhPrc1TtM92Yu8oW855/mvwa6rncs1lhWKXgcSqsQq7wsIBB7TalahHWcauIdMHwfQl/ZZTpuw
yKTwPX72OpsLKywcMtxlQ0qRRofXYDWCeYCekIAWlnfnOC70Hr2bHrLKpjewt6zCEgm8sDTr8aFv
JYfyEWk8qL8ysAft4YVwmMMYsy5CfNifOonrfe+J6xptHGOxv9V1Mecc7qinpBjCLLn1VB942VbB
eWUwGovtraskGA8uxH2wwczv29R2TxnJ96PZiMiFu9rGgeHz8IIv21SgYxuLhiZ1ZHo/vXSPk+5V
k4kv+1IK2HgC85KBh9NDFFxjPkHeao/TIdfXNSPxZV+KamO3azRofWBj+IXq4BBf+lp34eV5urLM
LR1QChfjt4FH6cnw2FdPTE8Ds9+HRG6Js1e+sLUYPy1aknKASNOIVzJM4cBqqxGbSu472txd/glr
i+hiELl1b8Nr2gHOBKGdIHq682wKh3j3rZ2qu1pKy8/MFGLhQlgbt/x8QDnLfmVlc5LGViEii8Ez
182fpqLe+CBrlz4HN/9sCeOYx1UCn8mIcw3Q51OPaOLye1q78uIYNLE4R96qFJH29BMfPVSCz7an
1118EROlJDPHRikdsSlCeBBOZbPxrldGqHn++z8vpDNSixDHSiPIlZ9yIY5MJrdE1U+XH3zt8ue3
9c/lDYPmadtigML68Zu2i7A/Q+ecml6ZP192JHcktYDt9obI5cgmDuWJa7eHP5J3K9x0N4rY3I8d
zKSv+znW4udMHVS4GU0xMpv3OYF+iVhHEKSuOzAsu5MtYigjGWQaEW32+xK+0SGOVuq6OvbfI/Y/
34KYKIsn0EVFrPygggT2lPvl7IVp/nbV21n2JYsGDWUyxRSo5U8zpTti3LFRbwxU++/0/yTmWXYn
p/CYZa2i8cmgpEQEoLz4mLMeANcR/Mf70bXbPwVoDcaNnpHvhTA8YXBcaqUMRW+QJ1tP41dWG6Vz
0yW0eemnTnydeld/05CaRnBnTV7hr82/Zm1ShlU3D2AbtXaFlkg05R24La3bZO7Gxwp9SI9j6zUn
+CfytwYb4F7lNuJ+9ErvFXKmwTAo/iMxlfvhJlKBPyw8mNk7wnke4Rr30ZR9XPuZxXKgdUrgtcYU
DC4YUWVHIcs6hNCPwEbMyiNhiuwDPeV8Z0KjtAO/sUD5clLDLU2T4hjXdYxEXTwdtYnNEke+Nr2F
oa73bCiAHoEBbg6TAhXKU5T8yQeIzH3dNMZP4MHah9QtSOLDbrY7jA5Th4mX1Y2cDbUrdOv8GGHO
9VA0Lts3rHcFLLfcOBrMrnqpSy0ju9YwyHGgrcx8eOGWTzBfbvdxHievRdeX0FGg5/1hhjf1jhst
+1N6NeoMuqLwYffw8zkMsX3YfbUhl3m3Nxm8qqahTmDDLIafaPVSL+bQx+jucpn8RifL3rVKw0EP
bvtudQt3MfnoNuKewa4RlQNgD9yR17fwJ+c+8gUSJW6ahSWEebD2J+Ud/laFwFfTgItWwIMWpNMM
JipB21pd4KLgc4tOsSnz58YBRsmRTjBKNe+g01VvNjx0X7usZ8dZplNYDTyDY1IP5oAdGwKZwNlG
gRn9RZKBLGHBydxHoyW/mYjNfIeh2zxNeXyKRTbf1m0Tf6F6io8N4B8nF5PxKNU4BfqMHFN8sEM3
a7wgGRrzB3zrx7syAVhKQoX5MreTt2f5PMI01bZ+oA/F/enNQr85sHLbEVCgf8LMCYA8ZBGnAAcB
FwwFa/pleF4QE9UFnsXAwG0F9W4HQL/BDbqx0rnwc+29lBNc+mf3m9MkIsjB5N3JHK0akrOIFe2z
ldBq39R2vVO8GUC9Bt7e7oXaOWVmfu9wfNulZTG8agdwwcFI8FKLSh7H3nVOWQvAdVsOzg5UKHRm
sFofU6eXPs36UqHjYcjh+j8Xd26c2PsYKoB9EifNl8zDM4siq9C5ZSsjkAQdAhNqTPeCQMUEx8j8
oTIbHJN5A9qgC8dnHI41fJs8qDIHoOdCWhLnV4+MPJSWCqYcZUoGuLtP+mRBwP6WDPhMBlpTHpnt
0qM5iDjKUEwOCI2d+9l0nGc613ARt2s46XJgT/xBoE9aaOWFsen1gM54oHnNACNXEm+wMZoinBvA
nbgDg3kaG3yfN0AK4pSCdoSgUWh3d91a7ubSEjZ0yTOoeI2dWKGXW3nIFP5rqpw6Ii4GtcirOKhE
XkDjZ1sHBw7TIUfn66EQ9vAdjrh1Hlb2XHxTSVZGHIjHZ+ja1aE16vSdT17zA9O6DjyZtAFIB+aZ
SOC0SCTkDeF7WZncTyeA1wF7oPVDAfYdlFxAsCR+rZHtzmCHagSqF8YccLNyygDm5tUT7JfNYsdZ
ruAxanEzRL/V+FawobyDZzDGPGzbp2dXKX7Isoq8zBa10A9nGQZDa5YJ7yvGgF2Al2j8jYwFTO+b
BDjd3G7nBy1TF7ooc/IeMTVg4E9p1mGloUV2g3qie2Rzj5rH2ExSn8CDQFbChdjiXmusT5CLzc6x
cErRPzTG3PtVrHJzp0glvqfnvvN2dm3E+jMZYB8th6YOZdaUMFVBz28T9K0zPU3VgAa7anRgu5sO
ovpz3f64CBHtHrVd1dbjaTDthxjiXX+qxAe8oLc4xecLfbZDLsJEgAdioTzgkOZe3npSBbnXfyNx
+WIi8sK83VLNrcS6S7kLcaCq6CgSK+MgnihI0Ukut8osK2nGpbgFuQejzVykGTMu3H2b2bcDUcC0
cw5XZ0/dkJk90Fhf1Z/Cl9IBs0Ouph7bJmrzFzRQ7yzyULCtQtf5tf//5+BL3x50G9uojjQ13Bja
+o+L8O7UUat9oXUHHWZPtgDhnwfZfKkfSLJ+MsyywAEcou/WLT/6/FsPU7lrRi1fOvlwsJSTJJmr
CFYWOxh66r0JVp4PDme6EVWvdAwA2fDfsLpzhqHp8rGOxDgA0mbJEgnmtHnT3mz4AuvPrVZVNHXI
yYikva0KOzk289Dt4OwO7/E5h2ClF1tnxLXPtjhU4zNBbpDoMkpb8tA62O1MOOFkbvcKDOvj5Zdq
/eWHfTY4FudqAsudfKhNQLqwAb5MvXbudNfGMug0knUzAKgDqsZIqKVFD+A4msC8j3aMrRc7dzzm
G2zov3e85hV4rVN1Lyuc4RJXlc8UQEoamvlkfy891y0x8ZE492UDMxJfTg7wQqAFoVEeANMqtnBg
tan7WvCpj0E6qdhNYlD13igKx3n00TcUncZlE/sjDOQRTDBP7ZCT6Zlf2nH12BNzfGImCEEpdKHE
twozCTM1jl8boAyMHZGl+26PQI81A493hg23RhOVyO/FzNxv5ozW1wNpC/nm2m4N/JLTTS9NDafb
acxmpBWNdlcBV31UDWC6ACZWUV4lzUNfoLWCjGXLAguknjHM+o7BwCWFYX8l4TSGGoFB+jDtJXlP
jZlkflOR7qBYXQSCJnkd1uANw5wcdnlPBoF51Fzy7tUsJ/MLaV2gAqwGRwg3e+ychgI93HsBcFvW
L/gweMkeTAe9d6CyfRmpMT00mSGPpVUhchLzSc/YBcsCtmsmSnsnJEi9m4qBBXXWvfkuDmK+0TXw
jGjdEbnv2bHCuc/KR0kZoGQuOlNiIsihBLQLTquM3HVMtqE0dP2RD3O6nychHya7TPe9Y1b7XJHv
eZvW+5TbMfPByskzX85t5acgHQQeOgZBqfaSzIcI3H4kM+ZyL+zma25KFw24pnAeTa1ySMzk6D70
0qKF36QkuZ9SbYF5YzZ4cQjiIuTd2nsLUT06Ecfq9syuynyDYoEOBlUXaZC42nydSWndsDjB+pZP
npP8qoViJ2WhwxyqphbZ8MzpKWBAVfx10uCiumVHA+rSNiAQfYQE9AqcUrzEuDdG6uH+Go79OCJ8
sZSnj3lqnfEIVJ2kV5uRNU9035X5GckNXoUx8WwvtSFuMKpoQLxaHVO7LYI0ptkDPE+TgI+DPOFY
B2LzmY3KgMq9o9SyDk0NmMskCH0A3DWuwHcek6gDizsA+8S6042NOAY260euDRkMXp59RT+4GSB4
AuRhrFLf7hP7qcL3hYDWemg1hqnfwWpW+4XR8AiQDXWbjnG+A3WJ/iybgYJT1Bu7ZEYuLVeSf9iM
ZcdJ1hm0l4iAfFeO3T0YWeTemwZd7R2YYvzIUjQf5Ig934ij/9Ba54emBa6LS1iyW1Sb+yoemztw
G8a36cxzrU0cQYJEz/ULSSYPBa9e4YCikbY/stgdIOhAc57fAEnBdsp1m2Ptmt2+mGyAZaYWK3FR
xK99Fg8HOPNaGsU3YmIh8czml+m1uQgaj+ZHzqbWDnuc1L7UVY0yS2YVsvWpl9VfEHnO8oxXgmJB
A8VzW4CX/TXxgGIBSoSagQkLxXtSMvy7AIBMBLWVIUwcYj0JiHm8CktjUqB8YTij+ePyMryy1C8V
FS7L2TBlKHGR82OiYmPH1C90EdTX2CZDmbiUVYgZ4zE2yXBq547hkNkagVUOJwCpX90E+PHLv+Pz
gIwvpWWo4sBhu0XgV5T6mXVzZNbd8+VL/y1dfbJRLcVlaTF4rOuR3udP8lYclc+DvfJvsjD+gLap
De2n+eScyKHavaSnI8v8/H2Le7r2sxYBc9WinaceeBXxrggkdJB0K4JdCZmWOrMJjuTQi6DwMnXG
S9rFMNCx74qS/7n80j4PYvlSDoZ5bZ2TMk1kkeLA+yKITfM5a7qdLGy/lPrDM/orP/353f0nq9d4
CGHxjiClV+EkZ3ALC3qNRT+Gr7uoM06xZTgeOE3Q3xUn07RDw7OfgEY6zPWPFnju616X9d/fUIwa
1e+81mjNozcNLSsfebZ3aU0PsCV8zu3qMSlUHVy+2dqnX4R3OQ572NrnNHKxaX50glvviayLsFXY
Wi/fYu3zL2K7SvPUQ6d7FWHtenY9464j3ntldYdS5lCYti882aIDrK1giymSDm3ZiKSYTqBjwvoV
AVqT7Mb+p5DxRlJ67Q7nv/8zwEzFZoPqeDyh0/o0JuBejsVRkezZLKrw8vv6/NzKlwor0yg8Gy5Z
WdSAD5hYRWjpE2B5yPg0fpW9Xb7J35LGJwvZUmSVmSWx21IYkfxqf23v5y/5SYPvWfv91/G7ejh5
HwiQjW+X7/Z52Yw7i4kDqHtmSRB2IjVTdDV4sq6ITwfT3U8gVJ3MPGl3OkOnqF9kA6n3gB9tmdGu
rJrOYjY1WWZhr20dRBAVWCr2keXZz8u/amXuLI3VzMS2aOppfhLpV9s7T9N3xF8bK9naxRezBglp
W7f9zE9WNYFiXv2eejP3k/Y6cyi+FFrJYYilNeTOSVGnO5iuzY+6teuNKvjKGF7qrLRdJQNJ0UuW
O7w5QMGRPwIXhaRUDePeHpL736BXbSV6VkbXUrFTITDqURHkJ17Gfj38nGqFY9LkzyINbKH8kbSg
M165xSxFPAkfU7fWKBwJtNL7yFSnHxYoXN8vj6mV9WUp4qm9ssvSjI6nlP6azNlvZiBZtel79Zaq
fGVC8MUWmQsX5JdqxKnHzf+U1P5Ox2Gjvrn2IRbTHJ5UyFUaLcqnbRbQ2YqQD3/qvRnFm/wLOlpC
Z4jBK9myTlt7V4up3Tlui5OXMQIfRVE6aYMe5RIPjvUQIu8vf461l7XYHvUEKDOC9wmUKo4IX4gQ
xaYtoMVKDY8vtSETDFd7lthVNFDa7+J5YoEaJGic6Ujv50SpULU9C4Fjrr5VZm7koYtTiu0zRdL7
ykHFq6wGVuD8lMj3bozpTRzXVaQylX3tma5+kcK9TmMEQPB/Nz5OtGs4yiyi2QPPdKjHHSlgeHj5
Na8sF0vZoIE8ZzpYpIrOwvQElYy6JL5M02A8G7M3W4KLlUhkqR8cQKDNqsnoozI195xVsAGeg7FP
7t00O1FjeDOY2CrFr4ycpayMVXkHO3/s4op9be1ogsDj8rta2RiWYrJmkDY4B+ck7ZDdVHX7Olre
cXC3PCfXnnux78yGyYEZFKgVC4oWOPeLZag/l598pX2dL6VkLnOUW07cPVnnulWCftAARhHFriJC
HZHbEUeIOXp/LJHfpNUU75p8ZNcFbkuDS8Mu3UGCEQbBwrmakQpQ2vP+MTMnwy+zeSPQWRth57//
Ex5Ksx6kYGUT1cg9VGMNe6LhBi5iuwL9sZVbnsS40b+wNgwWoS4qG7EpZhxE54GFdvbc0hlg85fL
X2rt4ucV95+f4fb2XNqZi/mY530Qt3BWgyj/eZq3ZHGfT3i2XE1mUaDOY9t9lCskauCrNpiOn5ee
3xl9QKUOLv+Ozwczamj//R2oIDdemTc4Dubygzjlnhndhopq7dKLvS7ui7wibdVHk+zeOwVYtLmF
/vv87bPl0jFVBPlc6OvRJjQDlGIlBtotwAD2awjdrhKas+UqMmAzcmJilJFBWZAS7+BW8jGBvPa6
F79YRRrLmVJhx12kJvswe1bY8/71qksvFxEY77aeVyY6Ap8XIGBgc19dr802ptV5hP//sYgtFX8N
g34mUzl6y6DyonW964GoFggexbDlWLsycuhi5sJbyWCsTEv0NVU7ZPilP+RI8133dhYzN5lK3pM0
LyNUDmwPme76uriXLZV8vYA2pE1FDz5h/zuuKBt92BNvJu1WBj1dTNVJO6ZShttFNqvbOz1O+ReU
qtFh0/B8YwtYu8ViyqoepTUbzIgIXtvvxpCHGlPNB4Z1q8S59mUXAamHrsdsMuMi0lN3CyXTFzRy
/Lruuy4CUVL3OoZ5hY40B2EAiQG5tdqsPfRiquZJN5KsxZWT0vJJMvr1dWYWUIT9d/WVIwGeWYEb
kqcsEhMqv9J7dRJ7d/mVrHzOpYpPSNupAKXGiOmQoTfiV9ARQzRvbLn5ruxR9mKegoiteD1kQxQP
5a7gvwEVRaIvAQIXOXlnq6177VcsJixHz7DDK91HZOjvO0KPXW1/wFHhujG/VO0ZRllaU0uHCD2z
fiesY96dnHpL07X28ItJC0JhPqfQt0dxU4O2beJsAuD6LSlQPb3uIy/mbA2gYGUjjRuZ546VjEeV
kf2Ymvrl8uVXlvulYE92U+x0NX6AisUD0PGoxnByhxLwycm6L5fvsTLBlrK9JI9LcC2aLkrtW0qq
A0je+8tXXhuhi6kr0IonQNPsotFUL4Bd7Ft3eFbJfIixmQ/VuNVS8fm5ni2lew7cAGNNzCGCvdqf
dBI37Sg737LFg1TQ/XZIUSsPolDppltUvZWRtZT0jQ1TNowgu6jBxhNogfvFXWf6GojWja3yr8X6
J3v9UsOXgzqQ61mqiDq6fspmNZySrhzL0Osk2qeFwubQP40GWnkhv8kMNLORc5TUdiz3jQakhQDd
jtXox5wZu2K2ktonbS94IMaiephQp/6RGEY/BRkU/ajsduj6gwwLXBW3ZFeu38tG4NrrZ2BUxiHy
LP3FLL2HYkqeL4+vlY+w9CS2XOG5qP4PUUqsRxq7N23nPMUJCy9f/vPDEpAv/90fZgftjMVs1JFl
dG+p7YEYHN+X0unBhkbt2abZL2tAzfjy3VZ+zFJJCTW8x6ecD5EJ1D1aLM3XGkVw3xjn3eUbrMzz
JZoYJ+fJ8iRuIOiTA7uU7OPyddce/Hy/fw5jzB4FQWvHEEHQJrJffXarpl+XL72y/C3hA/CchmVG
J2XkZFbd+KbKSeMrA3Vnn5qsuovLztj42GtvZxEbJTbaICdnGqJkcv12vJ8hIr38I9auvAiN3MFk
MGjGlZvqG5M/0Q113XUXqytvSWroBqN/tpodGh/v7GHLi2vlvS81PcSL82JyxRAV83hu5MvfZNUc
mEjhqNNep+ZiSxpByganGbI8PkljCiwTglWIIa0kvbnq9SxRBCacyhoqkgwRKWS8jp7qW9Qrttx/
/oIePlmclywCgYIKH2SP6Vr2zpGkM+AbroG+b2AbwgIGYL6Y4574xCUAWI45jE0tcOEKnju+7qrc
7+tZf2imsxCqV7gsxnaBLm0DAgaHxeiD7u36waNFed1oWUqHUtG01JvlEBmqrt+y3MvuwJ+SXy+/
7LUBcx77/6wBSFfJvBVJd/IKBs+HJkluiJ67MHUoDHXyRm2sYWv3WYRb6PcXpUyxmehphlLWKe5S
4b1NeWOHgP+NV95luRa0BcSodBgip3nqnN9l2gSivbHoRm5jZUFYCod0hV74lmDoqOa3yH544HRe
/gprF16sCNQ00Idl48IuixAEoCKbXBfmLsVC44wnntHECbPe8jUzTIW28OQ5i9nbVU++7FGGwn/+
e1yKqAEwcQK1ydaZd2V3WnYop0AvZa2ChhBjsMXJKKvQnozs/eXnXrv6Yjwi7Bv7xkAvxOC6OzkK
3zasEGmly1df+Z7GYhy6ppNIYuDZczSiaHI3DlsGmSvzaCllRiseIdOsIVqA9MUAxXrW7a7Pnsdy
az9dezOLsdihD5GpswiSKxsWM7dmA53rtBFyfP5i6FLEDIu6KZadwmJm9tBDPBhb5iufn1joUsQs
bbTP8QIniRZNYCqtAxOK2aF6sWChPLfxxqhZe/zFyd2TSD3YHIkHJ3NeUA0L0EO9UeL8e2r7/32J
LnvkXZhLNBn4Dzjyxhn1W20aZ0EbDaGO4iGK9Ek4VJ0Tal4hV+BWtD8YMCIP0eKQhanVmEcvqVVk
eWwOwbxEjQNnqYjIRr0U6Sz93lUyKKeeBcKt3HvGJggVYORqQmfTlPu4SF2slKa+dyCKOlhQh0Fw
lNCwKOF4EovregFBI/3vhmNksD6DjnCIYORdBlWa7mE78IWB3xHYON5f+aEWoRuUr21xXlRPdfzC
eoG3uVV++yt5/ew7LeaHk9vEm+3BO2npp7/yM+cwyH+rD9R9ivv8w66BgPfFj2sWErrsOEQmve6K
GjeDXNEvzZd43uij+Hwdoct2Q/Su1KqvC4y27OQK+IGwEu3QhV+OQ3j50T8/29Olg71bZyTrLbuI
HJX8UoNxG/fJc04sMPcUWnGT/Ea15K4u4o0JtDI3l72GstAUECvMTTp90BZOqFtL7ucLIl12GUJe
InsNtVjUuI23sy01oINXjTdlY29lDNa+xvk3/ROFtRr9uzR186gED3lg5Rx17aj+MLcAeQZRzMYn
WXtFi00PQKzZcDkEIB1AyOPg3aC9+/ny1175BUsRTgXouO3CcieC84jtF556UY360s3mbhibqw4G
dCnAkYVrTNDGqoiw7JGp+Duxtsw1VnQidCm/mRS21YG3QzS6sJ2WNKe7SRYkYOCtUx/YkALS0iyu
g860+103185+EhCr+DzOxx2MN+F1olT/yqmqbp1MoDd9bgFVSIWxg3dX8lTarH01mMXCZGj7Pd5K
u++nyQ1RrETJvbaSvfCEfE3OKB2bo7fMJ9ANpEE6mtUf2lcWRKlyAFLBdAZ/yPj4UMVTvRtgk7Tz
sHkEDIc8q3w3HEjRDkPBnbCca+Me7kbypjH6dE8rO38yVWL8gdSoe9d5NzxYuMZBNXMD+YnlHhG3
xL6X2ewhhXDG9NOZdVtB7udZGbqkDTfoYM8stKRHgvHukKRj9zq2EPlSipOpGVeFLzWkNr7lKX3t
xFrsAz1JQLn3cNQepYYqGkIGtP/fWvP4HTi664blEk4wgAIthxoh2WRmP4SZ/pwTe2u3WQlrlp3z
2J0nDmeuImqnsQ9KUn+p5jxKK+eL7rs7Ww1XbpjLBnoDbNvSUVMf0TEJwYaLate4LuZzFkFTB42L
0wsLRxDdhp35YcQbm+PKDvPXtemfVdOqag28HOmikk/u78JWYj8IVkTDXDiPTW+LQGYTgaSMpyHs
Vaz95aVuZT9YttEOVFg8L3CkIo21m1S5TxzLTzZNSNYCjGUD7TDxiQsD5ae4+x91X9Ycua2l+Vdu
+J1ukCAAoqN9H7gkM5UpKbXV4heGVAu4g/v26+dL2T1dYjmVMxXzMhG2yuVMcQUODs75lhNNv+qN
IWghenINlk667aISru4Epg7K6cubhUbituRmFOZWUtzNcaVuMhiJPL1/r2c4g/YaNpjmDQzVmEC/
nfZ1MBRmdl2aReXZ3By3c2lz30A0DqpeVEGV0zwYE8PcsnEqPGr2zZ9KiyIoxii7sM6cCSJrReq8
gcMrSFTdvsl6kL47VCk4t7YnfR7PhOmc1zv1x0G3Xy/cPz2tjf+Q7q0RxkVtQcnRPnWnq5NiSETZ
Acxm6FIDI7h8IrBa2NWx7D+SakiAmBL8GcKMSeTTeTFMfyxsMGyWAgIUNKcioElX7UnU17vOgqVP
D4sfH0oVYgM2TP0Mu8Hh2qliESSLzUaXEzu+jcwx3RiWLF7yoeCVN9oz24GuBqXnbknhCjQb8IgE
7gwCM9OR9Foc51JCVmLu+lBPxdyii2M4Puv0/DnWsjl2VQL6Ua3HDxFPkqdYjMlXcyri67IZHPgs
1yRM5kUBM23m6YHJanmwqzILeF9XT7xDn1hhVHxztCVAfmvM7B5tjsmDwcAEWKma92Yu6G0HKXU3
Ra3MNaG2fsN6BWWAXtWFX0Eiwi3LNAtRfU4Arqxu6gG09qSEnNJIuPg82CX6HiDwbnTHDb/vBh4O
BeSPRG12n5YEjn957pgeq8Fzn2EGdJWSovSwC+y8NuklZJJgQQRDwuV6jIXxTUTMCmPOI9+Adedh
hNk2uGN49kVZs20MbKlXQLAkNDplvJAWqoSSMeWD/gYZkBlKqB+cvjU2IxiZT6JiljszAhoeB/AH
A9/aKmIq+Fmx3humNH7qobAQ8LGYj6gIwmKTmOUxo3TwUjnokIIi7oM7FwVNpVAVz2kPSpsRMS+f
h2VfUvm9qYYxjKIMmh28ag6llmMoBmHfAZqSf1pUr77mhQWNhXQkKZ5qdsnC8UyGuLaJGCmlTV1B
52eMSXKwWE2vWWR9eX8ynQmca2yWaXaQSO2x9ZOWvsWuVoIsmmxo6fxaJ8Zeo7IEGdt6KCZ5Jcvb
PL+N9Tdn/rX90hrhSUpOdTeX3R4+9D6TwtXg9U7QVx/p8/tP59yjt1Z7gBlinxDz7/bL3AMZlKRy
hxnFLsTNc89+lQgNYB4OFbKvfc8IwL7MVdCGMifmvX/xZw6/JkOkS27DVhnpc+yEgPGiboTpkT2+
f/AzT2ZNh5A9BHQydkoc29Sl5U1WXDjwmU3L2mCeogGLoKLzE+0KcPimU+rYNhH5rhczvoMNdR7+
0h2sORHJEHd21RVoOpNjppVfxPTCgz/zbNZ8CChbtFM3dN3eIduSdi50Id33r/lM6rkmP8RNMtuj
RIVAZQj/ZGdUD2qA2lCWBgNUS94/yZlxs+Y8MOj7sClCa7ODmIyhgLA/odZQ+Xr/8GeyhTUloWOL
0JpQICR66VrWtZk+Gik0iIseHI7U1eklsM25h3XKHn5IRUeT2pCxxfa372CpG+1qFM6GPvEWqM+m
9vHX7sZ6e5KuUlYEeYt2TxxlovwwJ1vsLOWGGIO+qnPafYQYjeMVsYyDXzvjKmqkw9B0YEJ3+7FJ
D43pPCKpPigGn4xMoX/OTbgK80uCEOeG8qqwpu15kFWCGGLUFTRduZvZFyC1Z97OGqINyaaZRgam
HytJf43Sc+NFncZyHEEIYohJtgH9wfglpLa9dqdYiJUMvai7PcymlLdEKfa10ZBcOQKEZ7PkEPJh
XfrJnMpLg+9MGFtbVWTCKAA4QGwn8VjeWOhhHlXVLpuhVJZbpxfdF8/MpjVA1qibWhhTPOy549du
PwYLJJ6D5DarLwy3MyNgjZE162ashlZhQ1fNbm/Wrpl+fX8gnxkBa2jsXHJIqQ0YW85Y7FLFdklS
bxOrRtWmMmu/jvoLJzoT0NYeGMp2UsOKkCfYItuw7gjVKd9i4ft3cW43tobKNqTA69Ss30O0a4LM
lDltKdrYh0zM1S5djNJlHV535gBx2U+SH+sMghUGBdezbs0x0APkVQTVlyx8zjjq2WtwrWAKjQjo
Be0jp5ndLErCvp6CXOH9wTPxc2XUj0ZRbEzoHYCqKzGtl+bCynfuSa9CrmVZs51QTOoRuQahR4gt
O+WvlXTsVaSlcTzBjxMjvdUvTvJMkwsg8HPXvIqnUOUbU5tG/Z5aUDrXT3Aa9MzxEqTx3PRZBVAo
IsKcnEJDdmjSgBjTtoHkyYWRdybGrCG3Fq/m1hJOv180dO/Bt4flDnzs97Su45NKTrVZEjRqpbbm
5y4zbCwO0BwPoPCT7mY7HT1UJ6RLZNUHWVdYYWKo8uX9azt3aauBYNrUKNV82lYUsAMSZMvyzDPz
rU3MXxsOazBnCzm1BZ0/TOr8qhl9fgmLeMaH114jOO1uNmXa4cC91wbVLrtX++HR9Es/38SbweX+
uNE7edU+2gdn34Sld6kTcAaiaNPVWCmsJo+gD4nM6EBvnbDbQX1yM17nsQvb2etq326KnTqOh3Rf
BtYehuKBfNQXuuPmK77zH4oqa9xn5vAlj4c436sYxsLeFEGspmb90yRSZaJwhEwjhmD30ZrqqHUh
QQosJJ2AG5uH1vxsKIM5Hh+s/sYZSvtQEokqu4FEsvQWwEwoMA52djMYVgGD46o4lYgK5Y617ZjQ
YiqlO4gl8VqSVqCELfRuygtAf+wYjVPSR4DxDGhQRdAhpKYNy7OaTbfAsA8fNEQgvkszUtcV7+pP
8iStzmChteHAkfrCxraQSTXcGFrlmxSKh+4AKMAj6dTg9QwOVcWJJ5afYK0Tm/JNQciEUs+otxHp
pyc9wMA4hZxmkEBX7AvrLQfdRZu31+lc8Y1osvm60oUVOHajvjTQ+9HuMMKjDfZfAKdndVXeVJAk
eQDFyiBuxqjxHBmNOFg1RPgUK2AJ1jlW64qlj7/CnVu60OwxnqhW/U3GIYhkjEx5fRW9sEKYH2ls
KbeO4uUoMtOBmwNqOQsFQH0yhxTOYvk8QuzSLCC31g3+oqvuYNgLRHpMnhuhQ4b2fka/H2Q7u7st
+Dh+VGwp43COB/oJSV7kRsTCmDbAKmnqGCxeDWLyNMzlx6Zsoo1GO+/GsXO+F9CsRCPEkLt8UhSa
QCVUo1pY6QZz1gtofSQJkGhQI4zcmdPen0ur4G7VAM/kdqIegiGN6MExqPlQVdTMXViEyCva1h/V
iPCBuAR+y55BEe9KLSNEMd+PTGcC8ppIEJPGNuGeJ6+m9GnKmyCN1YVM6cxCsqYQwGYb3hlGLa9g
KZu6NnjpOhMvS/tr3lf22g+o7UgyladezZyMJRRb2Kesa5MLaoBnzFLtNXcgzVQ7Wx22FRGntg8P
B/W8JF0URHWdXUUFrIVVBJvB2RxjX5NSbLAnnz2Vw4xXF7ZxhN1H46clFiLSTmAksc66hWTGJQPd
cwvK6XX+sJmr+6HWrQQ/A8YSEXLRNCxTx/E7p6v9OEovvMIzg2MNRLcN0LCXBpAjR1auk9xExdP7
o+7M2Fijz5matNOMGla0KSYBrA9e2gRDPmnFheXwXBq6RjxrmpTR2Db0CkJ2+d6hetly7Gf8xUAh
tQR1UZtpDLOHEtRUaK05I2iekE687fJ+Cikk1UJD/WIauAZHQ08rj8xZY21edkn5Ia8SV/EL+8Yz
A2FtM1IgCZyhtJ3up+qWymovnWk35mYIW5ULg+C1b/FPK+EqeUFrbEr0aRSMmF+P0OBKDlVUmLsq
qowt6IeLAj1B2F9k1y5PWD0KbBzNdJOznLgTFGbxo2nvNIpAPmJk4hczg0OHzuptbpqm19pjsoUK
9BAmrNZQf60hwBUrjX2Js2znduk3QtjWXU3m0UXq3m8MURG/Hxr1UTJjvqqbuQ4zCAJeO7BMvskt
CJ0klRV7wknLoKKxEVQMpoJ6cSSoQIPjiyY2oV5nmoEcohwycPivwUitLQpgzV0MNbZgaSfbkxBI
+7UyzxqQ3DjIKI0eadTgZ2UAnVdxjV03BHwvbnTOTNY1JrmDvYdWBspsidneZBO/qlpxYQi8XuU/
DIE1ILlGU4Q1EqMMsilD5449APK7hKvywVEllAxFW0EQWinb/FRQedU1deMuXfKx6NMthQr1S0Iy
E1mS0S5XCXOajTknIszNikLsrbukffbPzVa6Ru6NizUOnQ3eDG3myq/ytgiSCTASyBja2wz6rh+J
ljIkIn6yury9sOM9F8tWG7FUow8Kuz6JZTl6nnTyaA/kaZbswtbhzGtdG3vkDWRjuwllu0RBVv1j
lD6+H4LPHXeVXeeZhew2zaDR0JabQs0BU+mFxfNMTFoj/MU8W2YxIWCAaO1WUEIntQ5IOoS8vqQT
duah/4Q4L1re9cbY7cv5ZoAWnN1Rv+zJryVFr4vKD6ur1Ei2svJUKoU0ZEq3Xf31/Yd+7smsQukc
xYUQBHMUcqBXtGJfur4PHEv5iDQXukBnykjmajj2dQzYsMJKAPEfWV4bVeaRAvS+yWuKS3oo525j
VSOIkgxm5zlN9t3CH/icfKvsaZdF/Q1NfzG7W1tUQNybx2NLwbDI6RwAy0ADOxnYhYB25gZ+gpxD
pVYbTVlfJdJWQdF2pgfHe/tJO4J9WIRZX5gJZ4bpmp+WGu0kZyDy93axBI7a5pYOrOTCKD13E6cR
8MMo5aNdDgoOtnsAk6hLnfERJK+PWSJ9C5zIC+vWuTs4nfyHkwxgQU3oR3d7q9l0pePySnmRvHt/
OpyJQWtkPgRuuxTEgm7fiS5y7apBu7Ur6Pb9o5+79NNZf7h0q3aWuHIAMJZ88VvY1y7M7+0LCea5
h7+ayZbBF7NwUEKv5o1YNs3sjzHUkC+82nMPZjWJESeUwvYbr5bDkYyPXn0JRHXuoaymrkK+2MWn
JmubfiTxt4i3bneJEX0m9Kxdxua+taZlQnuY96RHrmcmQQ+wD0xT7QS8Up1s1TjM/uvb/Y8v03+q
b/r4V/bR/vu/8PcvGjr+iYq71V///agL/PNfp9/53995+xv/Dr/pm+fiW7v+0pvfwXH/Pq//3D2/
+UtQYrM33/Xfmvn+W9vn3evxcYWnb/6ffvivb69HeZyrb3/89kX3oBfiaCrR5W9/f7T7+sdv1mk1
+48fj//3h6cb+OO3h6RUz1Xf/PQr357b7o/fTGL/TiTqnA44nRYkJTFix29/fUJ/Z9IE11QyhxDh
4N2Xuuli/NLvtnDwZclNB7pG4JL99q9W9399ZHIorOAj/OSWhQLgf1/am5fzPy/rX7A2P+qk7No/
fkMdDLPuf1JIXJagUPIVjnQE58xer0+AGbE6aUAFd4rjnIkPQwOhjjaew2owAi2yHBj71ID/SpoH
9gxlwaJVTxYpvGip46+q4Vuu8+8ltM/cCZrf6CfB0Q+s8hScAG/g+UELG+6feVAlI3GVLj2AN1pf
AoVD+8JrGbR3FUHeDUsHWJyInWEAEcZakBgAboUcDMA2RXkUDr+ZDSfxqKPQXiaDl8GGHtJ+iwc7
GByD2ndpLjaW6P3TWTlUu/PICABGvQY0yGsd5tWsCCS87A2THxvaVhue64dSwmIlUr1vwzYx6qtj
PImNAcqDaPM/OWxHMrgSQWoVkorRcM3nl64uAprqo+HYoaL3KMX6SVodgePaEV54Ombbyb6Hp+Pg
WnH0SCCSGtYNdtPGYOcwNuQ7KeEND/r2sUz6kzGQkiEj2t6kgFpBzvtFk5cMt2KY+YGAYBjTewLT
Ml5wD+cjWXFtCmNrQ56B4TJUTm7qpQm5Xbmnb3ddHuYazq8KibUJZdj5Ycm16wjYHMmo/TRq2HbE
yfKQGQXAUN11DDUwiG5U0J0vvAUQIye13M5wAJUzPhK8DFwRG80PDDYtCbnP+3v4mBC80NgZP9Tm
XUTU1enEEoarvGEnA677vNO+WL7W8fBnHhdYDCPLpQ3bosvkYT5s4Pv1qSnBpZ+bB5jOe3BkDeDp
gYYPA1oabxp6ZS7vDNgIsG0Bfx6IjQ7XdV/+mQFf5WpUaVNt7TTG2lx3PrxmN2zmXlYreLTiHYjp
Q+1kQd+mL2KWj3FHPryOm9zG0fAdWPK4szau6oTdlYxvehM72AnSOlsgskIGl4PT3aYl+dA18jHX
EzS9dVBbFNYuPKxbI5it4boUEP7RH62kCmXUXA1TMGAGDI7YFUkM7fxo39awSUBeE6YzCzMI3DvN
EoyQwomc8mFIlYsCazA21XXM88Dpk692qaSrbSMY0cesLNjT9Pd07lEpjfdl2lqgnDqA4MPMaU7s
fcIF1PJnrEczDBn8PqsxnFLxZxHb872NnsaOy+JQwDkF6ui1OJT4DG4zaJPPWgACG6P+QhLm5xpQ
73YoQV6FMD222br0B8umftvX0abm8WfYDjG/MnPuvn4IsDvzkxJCmnCRC4ls4k0tqrZzFzLFeBVz
6RVV/0lN8ls3UNjyCPtYYuK4rTm1QTqp+R58VChj4oJmwqOd5qdRUPDSG4fyOy9R7i7g4LU3JOYu
dYrSFxCd8lLGSu+ErIcnWFeGdiGTHUrjessjHW9iahlhUhrbDOo6hWtMke+Ug97SNGFH7IXFA2hM
dUAZ951JbkCS9TNnCUlVeXmTbEim/+ToSxY08xYo4Fe5CoQWV/kkQWvKPYV+kWEtFxK5fw7AlsNM
m8NrEhH9bVpkJAw5rz3qEJo6G8O5H6TlxvxF6AIq7hMeQ3afw7uIGMsHQ15iSpqrgtxf8Z8ysBcs
04LY02kR+jErowUfYBqT6dCUdljAOQ3yGmg9VM4mjjFOdZS7cZi0NDhF16kVm3gxk22zdK1nwHHK
naf6Cnx6OHJ1veUpkn2HTFvqo1XwOPQBCs6PgmcwVVnETdLb4ekoKQg9pHg0ovyKqfGOT8mnioAK
xdGMRv0nWOY8OC1DpLRyaFuUD4LoDfp1V6ew3OXOrksGN1c5aAB8x7AuGQN/LvL2IAbLtTF5TxNn
6cSuNNW+GhREc+aAyNhPEr4F3M9z+vjLKJ6cwQNey3VyvcsUzI+m+5OwGVTNwW3qXxS1Q9jLQeis
OPKUg82NachKV6BRnsBIAMDnsG+nD9WoHyTkS1lq31iU3aiJ31AlDvLkrtvA2lguA/FrKHEYheG4
IwkWiS1sh/6VNT0hbO2G2kFda+ni6HvFnd2EcG0kRaBgfQEzWHfMX+aiejjdEMPCKuwrmEFMblsU
h64tPwsNpwAZ6IXBjaC5qujdD9nM3ynDjynC24z6rwECCy7CuYmZgZHydoC0qOTLHsy/MO2bCfzI
wpOx03iaA0WkL1H8XtONdToiiClxIsdkYg3WJi2QMGpxdMi1uIGDGaJeZnrgytzBgBFzsOrDuuYb
wyZBCceI2t5M0aU7fr2lny/CcSjqmNKy17ww2cJOzUm4hnlc4cJQZEsBMSN1hKwixAcIQ/r1hZ6W
s3r6MOS5J1Ia5Ab0Xjs+vlQjhzEfFgsDBGExYiGFJZ2AQC/+H414OKLtze3INWfEK27sYoPcRM5y
jNtxe0oQwOdOYRSrny36aZgioDZOFnaObw3wq0joY2TBFoF55nRtd3qbxl9t+wX9zCNhwPzCaTk1
1AX6+mtzd/1IJLME8lWBBPSVefDD5q00LdSniNYhbGVcbZIdhZXdxHusbAsEjeGYRtVG5fs2/tia
DRyeC89CE5BiHzZhtUz2EzxmTtNnSu2tqItDa8YEQ7sMtUKgG792xnhPjwBRgk5CbkA/v5/RIXx/
KL92GX6+i1PqDOMbCumkt2P55FyS2T1ibT+VaB/rA7ZCoWUXn42YB20+AA85vJijs8/Z48jmG8KN
LWmQw3bWM8QaEAXSKQ81bEVRzH2wmu5mGpBzmsPOqsX1KfeEepbfxupS2/stfuqvSSg5hRcgIrUp
1sVkWhlAurNJhzD9fZkNOIUawoNirGuZoKnqYczdGZGzm+0tBO59c+xu67oKIDC7uGNpnhphr8Gt
anvXQZJxYRF7bUv+9GCxf8BKwgUha8IjzWvKG9XqEK0JJI+db0JdCqyw6s94QrtWZAdqlojB4qa0
7V1qmKHCAmIi9e4TxPOF3siRPvGWbCrooNol5F/u+6wIbKtHGlbfGQs6v038wSzsMCN5gMVsx9WA
1m0TggEBm73e15re2Si0mGnkg+/xZaDxll2Sov3HACWhMkWEjRXb+an+y5coo7D0CllK707ZmEWG
rRUdhpygOQ8DYJTchmS8Pq0oKLxuF9U8vD+KX6v7Pz1sgb0HpQ7yhjURl1UV9rEmLqGauFcRZ4do
6jXTyynLNpN4b7Z5gK3I19aAGmsPr6RJf2Ip2/R28f2UZXOVBxcu6eddpE2wixRcmIwSsBPeTixU
+sshWjA+GTksor4HHf0oGr6xK30UOvkKNRYAdbsbkYvgIkbzH94Jzo63QaWJi4Bf4duzj7UVGXPD
MPqQeArjs26fWIkMUhgoc9t32Kc6VrNdcC28VpC6vCSd84rmeftG3l7AqvoEwg8Mr0wsGBmwakvR
eqAEhxX2LngrtmW8ZjMlt6D0hIw+bXfZ0KIL8hm+VtfxMm97Nvklv10wnzFlwqb5cor6ihbuaVw7
GbzjKthGdrE3t+ImaopAI19yUmx1R+YhCZbe6/v8f13EuU4AGWn19+7/hyrOqal9vorz+Jzkz+XX
5PlNGef0O/9dxmG/cwpLPUKJhel/ioB/lXGk+J2CZmHBgsUkCH+n6fh3Gcciv2NQmq/1FUERHDEw
/y7j4GgYqwS+Q8RCmoPJ/H9TxvlpBsCZD6Pftk7XR4WFo73J4knVV3IB3Gybpcl8ZNbQXxssc2Kv
6CdCfSBYDBV20HfvYchJJkhq2eCMh0BDGmh+d7ND/bHpnObCgvu284eaDBZZIihqWCamJV/zOCEG
FA/lSW46g61ytLcSbB583sfG5FtzER+qrqyuYSkPp9qmptmxtAi0SX54j/+Qv76trAp0CAiscGwG
Iy2LwCd29WggMNmLAVaSoTIKylGyUS0wVzzPZneuCG7//dOtBMVP52PUcoiDZNkkFqp3b19FJuVs
lXUsQnuK2j4YBP2UoQEQ+7BvJX+OSTHe5pFMQGQaB5i/sgybFtiBNfn2woWcgs6PQQkXYguk0RiY
DrfwEN5eSAUAFoOtKwtz1eneT8UE4Twyq69RF5k3MndsFNBSldUwclymP4mBnVZOF2UEfYeGIRza
BhX5PK1FcmFYnB75myvjFpXUAe+cSXDP16uFqmGgrZ1sCKFeMUYbGwUee9ukTXlJdGU9/gS3QI/H
4MPGGlnf+t2bsqSoi9V9aKLT4wSqJra56SrH+rjUI/tuZVA861N4aAFRZAMJFnVl1FwYf+v9kzjV
abEqyVPKKclPlONaJhEs6IYQeAfIzQHrnaKcMM2WP9YNVQcyJpcgt28L/hiCp6DDTWBMIZdD5HpP
D0OQxgLSrce+Pa8+p2NeAOUhpgyuEdpme/wLiRsnps10gcDw870iknG8UdSuESLX831OCghHzX0T
0q4gUDirCAJOZvAKIy2HH4Srkmi5JLLx893i5WJnzaBdg0i8bnOUWsDIh5ImhDxkvG1lYxZuOmTj
1xLOS18trmuvzoBH+WuNfNPn+HFffJrHbwcxEzDesnCX+FOu+WuKS9PsuxSyBDO63VBw6ZvvosCI
CucUDsIhMBhCenMPuPtGis7i4fvzG6p4b2e4g4IRHJmQg2KXyuCas2bgA7sdIeIBqQNO1wmm2n2C
nhYcFAdNruOOPVZjjWaYrnyaoOQwpbW6coBGS3w1s2nfwHcaRFtagrQ6IXVu6nanOlNuaznlj1mc
mbfNbFVhO2ZfCqBsA1rSZBsv5RhYvEMDIEoilzV55xugDNyqGTpNEGgq2JWhowoYrm6ptzE2K6ip
EHiOwt47MZ4XCQPvAYbkql7q7xZULGA6CArrRMWuNVHkEXJoQRlTybaYoLndOtj46g4opria4p01
0e/1os2DoLB+jTPMqC5NnYeM8GXDaxbf5hNunKj4qCBJ0WM+7hJHyaukHaCHQyCT/6eZyU/dVNh+
C6mHAyT5Gw/GYGXtWy3M3ziFkkHdd8BA9WiwisJQ2J8SZ/ZEBqKMS2X6AMouMK1WQgYfFm/jp2lJ
moAgjPo5pIM2k8AKsDGWoUweSnCwas+BuzeoXWJgVQFYLWeygad8V4t4AxPNNJs9WWoEoAEWkXI/
dM4iN7MDWGHp5k6Wj9I1YQqOpTrFzILBH5TNKqjilNA8toO+aW15dIxmnsGCSp0YhLKcdeh4cFEv
uBxmNcydorr6nOGI1YHYo5XBwbRLHeM6h/gHIF6AWJTLUQMn0gSweR2yj3MLfe9tLrMCkEp7no5t
MZgcXpwxfo6iSuEwzVCtD60S+e9TbkrnZD9l62yT8AkLvdU7QwpvUwoDCoD7CRBIp5POeN61U6bU
/2tFnsy+KFF0H4n9vVMmDotM2h7ugRPGQRY5VZ/VTLkJD09h98Q1CwY3caDZEMRy1SLOpBFk6vy8
l7hqBRe52G+tEj8bksJbNYYLJoqVGEOZHxUOLk+W4ECnLnxO6yl3W4VWxM2C5n3lOQOYB/DthU6L
F/EJ0qmTWQ/2Z8oL6OxGFm1nPxm0hgsnlo2DPTd17VeNwZwbG44I2WY0ICuwqRsCIdNWAbx9VZIB
Y5kUDYjFedNWn+s+cwARt2k9ehTzDQ8K6YL2s7g8lGCbbXiZqtETJ5iej/5NM++Ymeb3wPDALFxK
g4lDYfA+2owsB4zVhHmJ8aBklCd3id3b3WZusqL8AlWFb6AsQmuqk4v91RySSV5PGatuK86wrx7t
E/gZ+9lO+kWXC+G2bYEnNdBK+bXdxt+7Fs8JEIM5UT7TdoX2Xt+AX5ynC2ru8Ct10DXKnEG4BAYL
nwqIpUDdJi33jQ3sO3B8uRHU89K0blWzUyyKOWmfe5VUBD6YjYB5LODsKBDHqHlPHOC/TUPY4hl1
55joQOhUHLMcnQcGML66nfSQFBAKMhdofKY94ljLItiRisEwvB4qOPWG5Sdz9Qou5agf1xkfpzCN
JAZKJ3U8epwlJXxfKwYf1agY7CMlZV1tMghVVL4lyfwnRNWXcotOiqH8LBuxfFW0x5KFFoLlVfZI
oIDG4hnRnHVEjrA/TWRYFpCr2PQZE9FeiYUyTzZRpHzMSyto0DuoQyBZWuabE6zlywVQBbRRIYvR
iXI7kKQrDwW2ChtoLkT3mSTGRjJd3pqmwdFVysfU65hZfC/zNoY5r8xuLYA0DzA/glUsZm38dXAI
h4ZwFUnYFKci8kqVGPBjHUw8nqTr2q0GUATO9nmMpk6ayAiiF7GE4ADMT9w5B57UNUQkuafbkW7q
2GYv81ie5lENaLVcijkw+wj2uyih7fOysd2CJTvoGDQ3JKUynKoFXAULNIstsEdQXM+mSASFHdOn
nlo8dZm13GENhbWOPaKIOnT1ZpjrKN8RCPKDmAraQkmWdCt5aVzl6GZ7UnC9GfJx3LVZPb8k8Uwh
RySTPbxg1DVg/x+JmaGlJPum9xIKCyp4US3wvyyq8WEooG8QAdgvvbiMSBc6Q9dDc34Z0VZNkfW1
SIomhOXaHLzOGMod4h6AoNnIqwkxitjfemxWXKPl4jmj1kfS8uHGrpZ6F7MFyhiLkrupBqh3AaKr
9tvG7uCcbUQITycByrYwdRw4s1T2JldQD79JbMN5gEsLO2ZqQTi3sypwhsiG824iOOhdysTqmWf5
cYYlofKKNJWfIOHWxleLzhU62PCrRfNcqvQwAqrdXU9OK7/MLeu/VUi5AidSgJgVcCILKqM1N1Fd
ZjvQRsG8bNOqxrqVz7tCmy1HR38YEzdxGFT6tFHdjX1ab7E+mIeZVleRJBaipkPSG7i+d7cyzYHF
1qhsjEPKjniGqa8KrtBezbFIp0n5IKldBAvp+dXMK/JC2anHKWPcvYt0wfAhCGMeadnpb2NlzcE8
gLoBzfbGzoMsKQvLy+WY7rI0Kx6SeMw3Y1LF1zCU7yAvmGYwEs9AwCEdJPFz3R6ggAL/coQp5xvP
bApRuNZEuG4hO9VMeXubQXwNlNn+f1F3ZruSImmef5V5AUpg7Lc4vh4/+xp5g05EZIAZGJuxP33/
TlVrpjK7ulKtkUaay4rMSg93wPi+/+pYuxbAh9qjZvV2Eu3LK+Ga1ikfYp4NFZQPvYg3uc+MV7zZ
pIic/Hrp93g68qNvmBG8zU2Lwvyct3ZON55OwifVcj9F4tEPGlJasno+LnrBqZgBu9s621Imna3e
B6qs7+TqWOfQq6uUYA/7B4OguS4MPOloc+LtsjGEaFon957a9UsRGsonRcElEd2WDNGIxD8PIz+p
By73rmun8o0cF/qJ6rho7kJRlvdzM9ciafocEXDum/lQrwUd0qtXdeBDTP1xkTnnpXatZFv1xMkn
2UjrcToMcNhWpYtkmsp7Lyudd0K2nb3VLS80y79W1fwyRFTY66lB+qA25SemyChKX8V2sZfOvfh2
9sbq/ktN8b538p/hTOR8WIjbcQzLE5W3ci+jlRzT4tPPt4adR2lgh/xVzpafTBs+Gz/aXoNuvI9U
plO7s3kg+/ZO1Z64NUuA+KNfTpMfV7ciGF+8VhaHHFHQroEYaFY0FM6Sk25Gl/evsRzWhKlsT5kz
ui+rMLssVEUS9qLeexCraxEM57hobf68Dnae6rc7aYL5oGKKn4tpU2+ejn4NYyTPfVV9s3zfugw1
gH6gGbRCpHDTVLxXdv0Zdx4MYIwJjVJ7k0Kxz28Ijr9zBN9yqj9ot7NTFY3EPsejtZPx+tW8VfuH
za1+L9bpXVaTOvj1vFIKbG43VXT7UpBvUwSEwWvmikPhe4caLBFoJj/2PQWynEPytMnlR4sNfRcA
MSQj5x9C1UHto1BlqG9YQtZsSF1669OBavtjwACEpsbkdwvryakhFR5iNnvWYwsbKePT3Dh43uAI
auKzd57V6lM2GhLpO1X+HkurSxgpI+h7t+F49raP0tAdHk0mvIXuXU4gEI/LmrU3HJ6oZyrfJJue
7BfOxFe1etm+UIQNROVapXY8RZCcOfXaqE6aJDDVgBUs+GK3KrXTQWalq6MhlYbws4t7P92UdV7K
1qZzUtDn0IQ/RCke/Np69lc0LE00Ki5+h1RUZW+QU07CI9EnS+MHD9TJn9zWPthtOJ+mlqNV1ob2
J7JND1RD5smSt9bZDdzLylBycoK2PFtQ9IkZglez2qcp56UvcKqe1mIbRELVcpw26I/T0mniM5a1
u5A8HjJdVqbZzdYenC3ewwQf+kRSUbGe3C3EA2ieJ5IE7sQ2bZe2Gzyyi3jdq20iTnF020Mf+G8O
Ka4/J3fuz1Zvu09Y16qnGUvspVSENIGklAgDlvyl6Or6uVZ46KlbhxpsVf9DQsrhwrOJWPLzaXv3
hWsfjUb/oL36+7qUfcerw88/dR28ad4s94tNRaWD2w0SPprIj1zyW2WCaGdvQhzorSzTfGw6fZiz
bki6Pv9Y/RDZY4gDo+1nIIzVakgZ0uEXL2ufSgelWC76D4E2+K7WTvuEGaxK/aI7enVnUt1o9R5O
toUBTwsq42Hc7oB/6vvaGQ/EY7t3ZVfnO0ESRpTahR2cFxp41101Rs1O9cz8hJfZ3FqojcYm9ap4
vI8j1acDcoOeBTao+/1clIwAbhhW96zMMQSqsDuS2TuH/T93gz2rOWEwnZsX1NWXRZa4a14bMB/p
NLvRjOKlkObWm3V3MC01mwNRuruBHpEkcuL+Zijy4G6xY++mkco8k97G6wie0tDCE6z6UpDS8t2T
iEqGMYYYBjcjf8+qa0ObZh8SIQAEumv8jZipaG2CHfYcDmjiOIKvibLFdiUlPV+l6mBJG9QY1cT+
NS2L/q3q9GbIenKsLI07J8zSnsbLEczWMsPFB5PsDnVni1u7GrKLVfYzN6J05ePkzyFjL/lz+7IY
m5fJ1qo+Zqs7dUlWRIxxSxGy/kZm9o+iXfwHq3XzNHSL8sT02JMl2TSzh5o5qu+zcWkfSntBkrMW
fszuwF29Z4nylpRGqC4dEQj2B0Ix3+aqZMZUbW4udh90H+vkddRbTnl3iJnVoMYBKfxd5rahnQwa
LVflmIgAq20RLUxfO/Np0Xro/W6qkjAuw+ta2Pln5Ez9Zzwu42XRUbzvCheQSXRrwvm1ofMIomtm
rPLMWMdPUMIgSsb0X8OqvDRbY5NQZi7PLIHsaytmwTSo/M0697J31I5HTCm+iT0fWmuKfve9Ul7E
IvW3KO9/wviaT74W+qsgWhCR5DomMpqqYm5VbvLI2FQDCH/HjWjfD47jP2hrCK8SwP4jqhSm969X
zz3DS3FmLfdu59IX/E0t6xiCoT/2Pt8zKReQ0aSst2g86LUa2iQgR8xPyDE3p8JyMFYsVVa9yVwt
h0Ys6huavQXNjFgOXU4GXALYIx6UiLZb+FTOSRQwr452KQge18r/aJRxrpqSpHRS7fhkLZDv5Tq2
n2yQ9x6Y1mNnapjwYBDpBLPPL+y06Pg676VsGvWMjGi7RKPrv5YyXF9sEq3281hWNB3kEhO9WLDn
Ui5jbKGfqQq2L5QIK3Kp9ZYo2yDZcyPfR0INclTufUEGQbI1/YbgVMgzTgb/Qr5KlBa9HfSptTF3
BlnBgsK+77sYketWpJxZRdrOuKfFREHI1vs/5il6kqKNgGkcxETW2rK3xA8t2SZYkBtQTy9GntEH
EuxzyhRYZPi8zEvGEWd339usZ8klNT64ceJpfvQtukE1Z0gy5+pTDv2WuJqsu4jFNSHxadVH9K4s
63FbjBDtW3BPZHachPVUYCccai+hD8l+6Xx/IFUV1VE8htZwjF2T/QwLY+6zFikP9pPvQ++EYSoo
cz64Wrv7WNnrAcOrPJHZqhf08mtxcNxe8EOs0x5C+K017WkY/WlXOfXRif3qVA8CjWUxxO++U+5z
NT/MHLh3y+KS+T1eJ/QCzVI99Aw/cz5S7TUMv60NHRnuUosbUNu521kYx7GZc7UUbq1dM0c5AkHa
T3eRwmpfRM5JdWRxmmjlOJ6V8zIV3l5puexwDrbzjgTQvDp2cpEzY8gamrs+tyMEMDaA18mpJzS+
VWCGgVXUZLBQVWnZu7lHcLIrN+4ETIGg5Q/SMHKTvTrE8WXNO52RzmcPiDxzF71hY88oLhAZm6/A
NtuUqXHLUN9gLxjLs6Qs9Fc+FNN8aUZo1C3ygTmzDuliadKt79kD65BQs8Uksyzf5xo1vERmrONZ
7haPCqbW/V46WzEki+xQGpMEqq8FeNW6iMuyWGkrl4P0wzdLledymz/MNgWYST1vV46+uaa1nA11
wblGy+8FqMX0veE1CtlRJa1cw6sayPlx7aFICUI5RZFCYVisv69DfOuK7IZb/418seM0F9e+IQjS
surskFHmsSt8zQC9PGWdC9WN5iAT/bOrTZ/AanyWWnUsKsGDbrho3uI9my0+OwW+S7eNLYagCpRn
yAJChgKfDRDDspHVXaGD700bHdWiqrSIPXW0O/VEo/XL4I+cWOXtHOmrMJiXsiDe3sngPYdlnu2M
Iy805P5Eh4FALCvGaxPFBxYkKDblCEb1Su9oOa6TwfBG63RzYzhw9nYPud2Nfc6OwCBv50gX1Lp+
WBEdBV4XtESVgs0d6jow8yVu5x/SIeIJf4qy95KCdV7KUXYNqz64KB/sz0NPF0uAnszmBxUDBQQh
c3TrvBsVP2PqF0eR5eItp+MVbUdwO6EMfxobS91MLoGIUnO2IAUuP1vdUry8FZEVpGj66JytqBOE
wy8oMcOmIdU7wHaz/qIEu4tf10xlP7A3D3nKsGqKu9mwayTl6HjTTQ9CO7I7x/ziKy/D9eAQkP9T
Wa3cEPI1zfjg1TIcPgl0JB6BjtXKullbD7QiQQG5DEerV/wAue8U1m5QbEVJp220yDYTN+kf0/La
m/mpLqwHJxrfgPB3Ta+ck1f1JSqgokh5y/F390nHaGkNnbIwPNijaj8YfqJDbs9vjIjlwfSgjFMT
PoWWBWbn2f1tZZlrMeX+QzCvlXvMt2GyyaHqrCTTvOaSIR/1Y58zhC+L58T7Ucz2O/AtT5yIZ494
5iJQp1xn/VX5KN87l4YngJpcPeVh/fX9CvEbeaRc1qYk5HIXVOHw5E+myTihvPgibGO5zPT5eLYL
RczIrJg2TQUmQdU9YUyeDt4HQfbtzVhmhbjEg/ZebZn9DuA83WXhEuJeRrG0qyZbdAcnz0f8xyz0
7ElhDo5rzx+RTVfFwmH4FLrjeMjdoT3TguBzjar8ADyj7rYqnJ7Cuh+f1Nz5B+MLnnPR/1i1Gs/E
VhTfMs57GEWLwqpyLKmHM60NLG2XfnS0dZzfV+1A2lq/Au12QPpqMCWC0qrRdyQGUveBOocHYdKn
cTTlN2jl7RiODpU621ynyHmatJqab5yPy4XwDPukeWMl1prniqd9yK8im0RAxgXkwghDdl/nebzr
Uale4sIBUqh6FNR6WuVli8f2MJEsfs58rnJS5GQJ6TUMXmug7zck9urQRlm37wsGX6fSDB2RqXed
A4iJOJ4XYFMhxBaNTCcptjKlOI0IDL+YLy5vuFS4tXcowhHcog0hhCxdIcXJRT7UeyUXQkXcltw+
OQVXnzLLb4vcxueuWz67pRn2Vp75j6NLz21Zr/nLMktCIUf1VNVLdXW3enlSlVZOErdU3vQoLI6k
Obg/52WpLi7ade4qbt1t4p/aEmR3XuLpUlGMdxhlnv8ywVZQzdW0nxbvvqRopuVqmfHHBAD6mGnr
tgzrG7SlTGDxUDIM0mhXPH2lVR1siJC0GqDpI82uVAaDjfi5ESFVZczITorH/i13um0GNEUMqgZ/
PVa8SzG2b+HbgD8nmboSo/laECVYR0j1I1B4vrX8WGqwj5WxB+gidvZOVf5OKa+zl35QnD0zv6zb
Yp/aoA8epRWvRzFs8c85a7p3EbcW4fZ1dmwqP0YLFLggEoCmbRuiOrUYC2/C3g2+W0G+PIblbO/y
zJKvsAr+oZgarkfTDLuoqBzgUREQcjj2T3EWdRyBg/erx7aHCrmjN9D4XorCfj4zHkWpZlR587ep
vRtJaEmitlp2Rdx4x2KaZDq0wRfBMJSvXTCViUNM8AcRLttxipcmdbU37wgt1rchFpFr6fTl01p1
z2IKiuM4BIoMfRXsA1eticWA91vtanXP1Z6foqBzX2aDUZp/Ek2vEySOt7MbYYV3feTLfddLADBY
qIQaUBZ0XWdLxWt9Y/NwRfMjIP2FmPy2QlQ1+XJIA1n17H8syqmnCpaNhqStRK9ev6TKncwPG9LI
3ll9FtzNbbeA07RW+32heuS9FrG84xVVg8sX+sfaCdFDZ8biqZ0aDxuxbh2d1mpBwjX6rTqPE5Ap
VF6+99d5OBDX20C9Tdl9BT68zwSzku8Y6xyXAYXSYSTlt0m0sUvAYT5bGP1zqdOZ5NRDtXTBI530
Kw9U2IFChuJW8r31ee7y4CbIrRE1WkPccllH47FenfyV15SVks5CZ4cL77r6XfcGo7E+OcarU9uK
eVdp4t5UM5eYmUbr1qf48KCCkfziTo7RwRVfSn9N0yYtAN9XsbIhh4PiWY+3a4tLOHFnWrb9qt8O
bmTWndOSEiFmb0tY0AjqzxrE9hVzVLT5rBsZbGndjs6z4UffldoK78GSvX2opoGA61iePIShiecX
kNY2fi6e4DAde/2+REr+wLoRyt3aAJAVc0vxzBTSpOxv21lnVf4gmrg5BFOwdzo1nSDoABjrzGVE
zEei/JYgXRiIdmzVoKJTLA/SqqKdctT00fb1eBtIz75Um16OAArWTrA+pbFVlie6KIvzVpfscHkI
wDVl0SMqqG3nhZPEK1cUtwjpw7TCefBuChtlYhSYLwg1aj7CKYj57ccfzFXEbaAz/1DUJzkwvcN9
1G7OHeul/0sVJFPXMvBTKuOGE5oLbsJgjD5Hp1m/Wnne1ByG+zoqKECYuROOVeYOPHTRC60XQLGR
/uaSyXRY10WTzh38hMgifJg1LyHnr/2y+XgJ2xGSMKt48Xzicwa/i4591Iwfo8nZJyGFbyrBWLwN
vHBg99RL4S4xbGoFaqYrV/9yFF6EpmKJNQTpn42yGTr8ZW5YTZz6gPbD3ZXkfu8Yd/rxvGybeq2A
Sba0c3TOmhl0J2fI1od1RNWSrJSod3wJZfZeC0C9dwof8mNrCR/bTWVdn8dMt78tg9HAOChh5D4c
7NtJ9ptifNVzge582jA9bSgilnnmSXOKD+2N5jwYEzIljnl2Lwlp37n9uD76AD9nG+/SW1uOfEmx
zcO2ZyGTQwIBECS6y4WdBjlL/i+lclzj8Rj5+XGOqKeg+jqj7ANEy9sRvT/fjK5b3AxRvvysZhMD
PHWle464j5rdHGw6afNx5a20RL9sO19fcQtiaRx9jHqZ88VVD8ijpcVFSTpL2R8DgrhsP3RV/tmU
GhC9ycV97YX2Y+Fq0sCHuKREIijzdMjb7SkOKOKjKo/fP3HaIuCxMEYkOq5CDlgDC+9K7GaJSxDW
aeEW/Qj6rPhRenO7FzDjCcT/ZxEWP9bQAYsmxlyRR67sxLiEsiQiHy3ORCTFUlnLZe4pM2EQ8Luj
WGeBLbOMX2vvq/IktFz/W+200UMxaIrB2qL1LlOzeTdZZbERkbvw3dU1IK3O8UtaamWdn+inmDlh
yqQqvPFGdL042TlU61DlkBRuV1hcniZ4Dztj7xgm5hzrgcmenS4cXly3tB7sEn1+L3KyzdZaD3jH
hnA7I8gf0o3frkhKqx7xk3xBQYshSsJprAlw9SunaQv59xsOwTNBtbUGxqvimz5yih1FQU6/8xi1
3qXKohYyJdT3tckNSPxKz3BABnF+WpyGwjnSdOYbp603rB9RioUJ1BPk8hhJkJOj57laJC2srrvf
SsultUuY8i1UX1MVZVzFhb0mPPVf4dJdICasJ7lldjYCZpCgNSBGJ5/GBu9IsEVESUB0Hr1R3duF
XPdVHU1plkc4dTNSgMBI2ueIrKiSZsqanDTT6ehxi8mCvwMBs25M6PQTgKvvPo9zLo9C657xXtrj
btSjfjGZAiYNPY9kwWVZUvqfekLxiKAPE97I8XaPPoAHXQ7BmqDl20Apwq47tNLG6WGtw/I6ydCd
WGzwBEJTdPIS0u+0Hl1IRJjxOq8vQwbLmGi9ip0xVfw8Ucm0KzoBSN2T0uSl0cZLreWwMSl9li48
ewcpkovm3FAm0R/coo6cp2kU43cqkeWjWoJwTdkMsQXDrYd+ss7UQzeSeciUzba3YA1QLlkTRHmf
1QL7ZDfQ6dlNbbFXG2Iuuq7c47KY7cnSZjkFsbUMiV/l/PpEzc0Ib2xx7BTeLcHiNB8qN5gpLnC7
FJ0QT1mlrKEENhhydvRR3pkJqYDdyexIDwXfCwsDJt7hvZxn/5uOydZI1nBmDbOK/MSost0UscZg
41HDFqRqXEielnE98CSAmuTuJj42Z1X7Tbi3kQWwxm1f78rZl3cdGw2bKO8SQI8p7PZQKZQFIG9Z
dyZwnwKtTVrzXd7CLKgOJdTAAdkAepPGWR+1vRWHbXZ/ahkMYL9DAa/UmLRdTHEYuTvdInpWkZOd
lnUCv3FRYrXbcOiG/ke42GwDrX72iSB5bRl2H5ULJWc77vgkvAiuviiDkGlQd5Y8bnk1rxcWXqgK
qxmD5aJzWKQ9ewAIXzJVw4JgMJg8NBh9zVBwihcfcVJV9MhWqmiSDgW1YTY/zY7kT/yoC73zWDfW
/LrM/Vq+/+NPdLECd1EnbNevOYmy04OHkhqn1sK4CX7YVWiHhF3yn7YmgwTVquSXarFcYlxNegp+
d7ys5czIiGTmh9TA5uf2Sw/lyE41l9XneUyWMkYJZa+cyslovG75jWfb7b5bxYIqKAit9lskSqvf
F5YulleLh8XcWdBDlGCYuvVv2slw0m1uG2Q3/9CTVLEKvZMZmQjScOlQY0x2ZWAWHF/Vk0wgtAJe
FiWL45Ojyo7Js84iuqr/LkSyl2CqjzpvC4RrX9K8fe1EKMgwRfRcgnhZR2pbuWXvNe8kcY/7tIBL
G5Vov41WwEurG/gZkCbZYNCRXrhtsXmAjOc1KnMT2EkGN3SdB9//0TCQg3k4S3zKiVbdNXk8hPzv
8M4lbBKapB3Gfb/hJSS/0RV32djbT0XAGxJ1WDGfWRIoAW3DLv/hVMP8wjZ5O8CqQASNpZr3fR8I
JHIkURxdU9sfrRTxk5kHeSdJBkwzxpaXRjbl2fOZcCeCRu4cs8idVTBeR62sfm8Xr6S7UBJQmMwN
47jOMbHJibgQ1ADe5zz65XeqT8zrqCUrOsm1X6tnDT0CL7Z532dcqw8Z9tR7L/RyRr5V3ZRKzHfB
pFfo+mEhGLI+tFlETWXj8XhQ/sVP1Y3WU9GUD5sVQPeHjurO7DsbyG0+tG/CcT4GDTgsvaW7TgOI
MJY0mlAyi/NxdUCGVP+B7yA7hpOOXmZ38lIrnMqXdZ6DN8husWfp9FCkhO1JMlX+NgoR7quAyWVo
HYyKnJzmKoYIDZMI5EVKq7nVC4u7bOKnsgjxo66oz6Jl6L+B0H5W46hvurIqrxVP9rdCF48Rk93V
sb0Pk+VbvveY8XZmIyHaK20kUAvSuEA2YbptDGn2+IVeE3gUVMpJY+TZB3+qxFUJ3e8KOzY2jSrW
8o94pf9njpU/RJX8/xRO8mV2+u9tLU+/y7r5X6+1/Nn8wdjy9f/6T2PL38Igjvw4Zn12iNv9Cjv5
h7HFiv4WULaJ5zAMkJMj6cbV9Z/OlsD+GzpvUk18FyW/j9HgfztbvJh/BJYXeTGGdpeuq/9BPsmf
nAKeF/GfEISdwFoHYfDnDhW6o5BiDWg/q55YT/uEyfAvbBL/8hMw9rged+LXyY/M+5+MrQZxWT+W
fALnZ7+FDJzq//ITvgwq//QJMYlrrm75BN0RoGGfQuR4/3RN/4XF5V9+B88W7IACaP3Paf7OlptA
IV9IwN8s3zt1qv+LT/hT9Tk2R9BARkXchlxtTBV/MpPkrV10rsrmhGgPb7ktaEJ+3oyO3mXuWc6N
3ZMkzDfLh50oo/oWTiXbi5bObsfP/S6NXKOCA2GRLO6d44U7KgXX7aN3IKRP3VL3JGT60l6utmUr
DdtTtuIv9Pp/9CbwDbh7nDgMidyJmEX/XAnTNSWISReCHW7O1R5+4rm/eI29h97+i0/6o+PoH5+E
WBQjpBfyFPw5RsvChFrYFT5psbYvpNxDMYTbY13oLf331/1ff5D75WxB1sGF/+OdtVWIk2RdEHow
BqmW/c6dmzcZzx///mP+6y8XCp8UCmzHXPv/8hAuxOREq7OKxA6q1MUFvmPR+LbUwcmay7/4rD+a
Ob5+uy+7WIht4cu0Q3fUH7+SDJmPgWvdZCQ4FSyaCStBXLoT5qYID//+e/0peuPvH8aXsrGNIgtx
7D/HaJZBbbxoKTwivV3yHd5wyuXhTUxPWhd9htNTj19CX5k4/sojhnOe7/F/3CN//2gid/ww8ETA
HfLnu3H2WpKma8j1TvjjC9u2IuMm3ErJxhiO13qOF3fXrFX4U1RWdQE9355cDGP7wSxITLy+kM2p
8lZ5rxovEODRLSBk0WSg/YE/Wh/trCEQ/ZakJiGsmqDVsSUGU3C3+FieXgiQcb5lm4l/y6JAyYTB
EiaG+q5MpoRxj/ALeszrvWS1WVMvR+S+U4jeroqp4NwQpNKyoM7T96qda1IpcjG/Bm20hLseJ+we
KVj05I96Nk85Uw27bedtjPg2899N3s72d88L49tcVIiuLDfrgIsDC2lhGxrkJkQ/PYEz/D6NX6bY
zmR49kiTQYuWr0O7pRjenOeuWtcu8ec6io5j1IrgEi959wwE3zfnpfWRoqCE/SnXfEA2VjRnLYr6
pEPsz96gnY4BbS2a1CA86I8T8NOt681m2nXEoKAJDKPGRuuGMywdsDbah4We8+8KjFAm20iIdjqs
pV7uEQWzIKHa1LcaOednFo3NDcCPmzrZZj20a9U8OL0gqSf0gmu0ZcWOwBLp7XLiWFXqkv10L+Jm
0odpGuzxOV9oAySdoAO5CUrTLLfGMvl8kwdmwoviZLCAoPFDOR6NKCBadBmy8JJJNT+3yKCZzWRU
fkP8cFGceie/WbIDkR3u4+SZ+BlZd+cenTw7IP9kuB2tr2pYFzabSsir1cdUq2qKl6+tLOv5wiUV
B4OWKV0iEk2Qh6GnsPscDZ3Xqvpl5tlBNloGy6EWHCJXCgongF6KCf3rkM/VcYsC660FlWvB3kaz
p8Bp9Li3g754KFfqLDqjuugQqIBc8gEm5nYcpm1Pva4qk8Ht5Vm0CECexmG1W+I+1ni80fyU9+SQ
dOcZubI+1fU6ry8ld5B7hB3oAjKuHE0OUFJ1fhS/UPpYwVDm200/1MC+pp3Xk28a7mhkGg1M6Nrg
yQwrOR8Qr4XVpZuJYz36HdEKKGwl/sr7GU2G+jHZeFH2GXmq1gmsp5qfA9tXnwbkiG4LZO/nqgYa
Tpe4qWB9dey/BCW4xHVwa9L3Y4lDKu2CXv2GVlW1Qwo0GWfsdkIcvXDtFnjeAWQ1cfrQOteoYL6i
DZz+vS7j3jtIYdBWgPQeatRWzwD+lMasHp6pwBbDp6CT4OBZ43yy1rl/QK8WfCs8r/0lnNk7UXko
DmB30Umhg/iMOnsmZ1ai+IRAAztykNb1xOR0IzkjYzadzBpZr8BAaEtqNMxhgoqt+NkgcHsKMzlf
c1eRSdQWQpw8UYEduy4ah7Ctts+4gCTc+ZldHyhE9i9GUPRIxYsTHCaTDR8sftEnD7BDpA5KyKMV
DMPDNLLt+ZYvSbboO32RQe9Yn6EpXOdYG4k1Nbfg4SiQWaq0FQtm1cAjc25XcOhNEB7sOt62vgMh
FJ8a1vPqoJf8oWSQRcdZ65i8zzCCzfJ0YaPdxowJvNdmEGKyz2kFMFZ/9HVm9QhWPU/u7crWv+ah
i9Kydef4aWJAZs+P28q/QdawiPsilAbKzkXYkZZ+P2xX35M2fAn+GDoi/SXuThbwtE3vc708ZpY3
d7fIzarxTY/+nNVpZ1deB2cmYTBs4pvxpHJkHwDfYAXlIpYX/t41OfI9AkdoeN/9IN8qBqPzOEXq
YC5IVJtQZd64KqxJALGYzhCMkfBbd84MVTM7HRoz1fzEWIWFLVSiv+iut+bduFrbPqxi6SGwN6yq
NgKFgx3X8nXLtP9aj6jbV1W3iDCcAp/smGMOwsT1FrVusF0dI+1bC3pyfEFGVYqdlHX9MFgKIg/h
23eiqSOJEJpb5BCUW+vu7aaI3FfwKbkjwae9qfq8D0/NQB7QuaO5tN+XzbrFgMTbipOj7pXavihc
2RzCYRPkSgye0R9D1uEoQtg4ykd8knpv69G+jAqHw2/VWDh1ytbaeQ8zA+UV9np6RBO1AQR1s8hO
YkY/lk8iv3O8OniCgoLU33A6CQRebPnAbQNAB+6lJcg/g54Lexd641cO1zy7FeDzBhIQT5ja2iSk
+ODaB/MX0zrlp8a0cU7tiOPm1JRM/XkVVvNMiDmh/TWYxX+Qdp7LcSNZm76hRQQSHn8BlGMVTdFK
+oOgDOFdwuPq90F/sTvNooKM2e3gUOoWRygAaU6e1xFhYkLdCgBp3Ls8GjV3M6GGr6/AaXIIoLY7
px6oPu6IfSgRN2BLmHZwL0KXj6qYS57Bz6rC1SlMNvshw5tgz94g91CaoBRIt2p3iRqZLwUNS7Sw
1jyN21AM3X4ZRfESKePybWEBsLeRATLeKs6cksmbDocmtwRzwzJbOuVajEuLKvs7YlkHJGc1seK+
McyR2GbtJBuvml393ujQS2njNO7gpMWvUZdIOkNzmDzokMU5GIQ6aggN85/eoVEyU1vskALMiYcO
h6IEUySs/s0Y4gfcPlHt4gWaO2RYWz9IKKjilIFqdNi6oLa4NyqD1OCsH9SHIjZxrWxdXrbXqqTL
3pj0yu8VjirldqwX42mJ43uWaZEGsOjCdm/CO7FeVCAv7bpQIJ0juWhumloxnFOCkBATSpnL/tgZ
U0kECaCE5ndAzzO2dnJmM1Ud4KA6VYDqB3UnWkgVFdRvH4/VvPihTKgmdtqAcbE3I5rNN+hl6xzl
5mRsdJgV3U9FacSmGBfVCqBBqHuE2H0GGXNMzX3i6AqcHdg7I/Vn5EImUdxmlnexQNnhheFrqVHu
UC+N6fPYicQKaGNq077HLq+7xxPMBSfryPPzMCegkR2q/BUSntM3lGLEozvYAOwGyCWwLukBin3U
lol5iJY+K6/aLEOx24yoJ2CTZdE9tUs/BG1JLoDvLIUMCiKT0KVZCxVUPT9CCmmHBxX7TkHw6JUT
NTIo25kk8EjfN6oZ38TGku3C0UW10eWNHwoLhyim/Er8UkEel2naT8ggN7ljyiWoIsi7GTy/9q2h
NQ+xswWTUdwXjNAJ+BlBYUWqoo2bzSztPDtEjnoeirHJNrBfMhcXFbu7id1S/V40U02kWdXXG0S4
8xEwId5XuMP1WxoXEwCc1Rr5t7FOack1xOO0XlvNgi5ZC8qiJcZwUueu0q7dzNBGb+rd/GfKJkuB
oLjRocws6AdVNlrHaRituzRciruJJprzOmZDFD27aomcEOpdyoZGNnEYhRJ3wnrZ5NU4UlQo6ndl
MhzHp+nSniddKzMQkNY6aoVwaEE4abUhES4lXjhstSdtUCFROKGig1zFy3TgGOXIXd2NbnEwFiX8
WUCTwj9RK5XvnKx6gOiknpUHu4wdcpNJOMLKT/bpT8wSxylAbkp0s2aXYfNTyIpg8B6Zcx+oeSJp
32cxq0rX1LAipBtTfkEuCCpEq0VgJrW70fQKH/Z2mGJ/Aih57GFC0Viu1flqnpXwoIikKjzHCBXn
xM5BqxMlGHx8o2neSlqGnlM6tN8hT85ZdqTd6JUzDf5N6VpxG6AXVQ7Z3GRbuwINSVF33E6Jmj/W
LVqBh6alZQQYMjAn1Ak19C1EPrxWEXXPC+LTflkCTCxCziHZYp9HLW0gWC2tc4Oopdxw/DBv6FBy
uDKK/g1xaf7ELHR2dp05x9atNdDAVnkTEZPNZ4meD6PqhlDwkPOPh0WZBCeROsXSkN0g+mUZqyPd
stQKQsdMn0CBnBDeYypoaFO8qlvUqvOEtCU1h+ea/D0OaW7qgNh0+UaaCpIETmEykKZZP6p6WuMO
YYPW+R1KsV0op5CQkmWZowNMM0Q6rDrqrhjhkfljPqCaU6zR1g4ScX95cnILS0aTUfwtAV3L/T6f
6nHTLX1VnrJ+GY94l+nzgfUyPnDmImwjb8m03Qg47L/YJlAYZkuBlHOKVe0qatZjWdICObRlF+OX
O9j7NOog+qq11e7rNIqh5EwGkBcd+vRuTvPmZ2O3w7VO63AX2pkbhHCoJmAWHFRPvZKM39ShG4io
AJzvtaDssXn1w6ib7M24wJI/VZob26CCdVo84nC+AIqXlBoEjPCyPZ1DM/aciHfvpyHXz5h8tj9Q
15OKFU/WQjoY9uWDmRuvU6GRGBMZhVpeL+OoIjiExR3f62bCnEiyWC9RlCvzURmieVw5j9NNBgS8
NyKc1naDUgBLRs1Kk60H+Yvc6f621xYOv2bfO9/x7EQdM4RBZ5YuUXazCLNrs4mX76agcg+0TupE
DydALsuMuXfaCSTROhty7kN9hGjUDAsqyG7o+XuY5fgSW1IS8Wc1wdBoGLgi/M3gYIgY+eUqVdml
LsV+15pUE26P1VgOcxOK9LBNMugyM+Td+xpN3EZVG3vT6w53OJYq8cpDHP1IacQ9RoZkPa9kqz5L
GNs/y0XNbk2aVZscOrWKMXAVfgdqtungieboaIm8iZeKi03YGNQbIx6HF8gjyVte5SNF+uROO9eI
Z2CQmYN7Z8lpZwi2y6C0ku4W/FbbZTjltE+4jsxXcQuRZxGOtmyZeiSH5Xh4+sVo/bJaDfrd0KyO
yPhBnylRq+/9IAwkPNwyBqItBRFJiBEK6jmqkft1JofQWrG0AyRPzIeHqT1lSZafGNMiGCuoS3z0
5gztSzyORv4QluV9WBrwlQhVpQAMU2xKg2Ey528sOOIqdUfX2IYkHRxmCnqoU0tZvrSyryGdG/h7
Mmhg8BXSbj0OufovR7WzzSib6oBztRj9sm5H4aWoUAH/Dfc7mKeyr6aaJpYywbnw9VZhF8l1dC4b
24hryIMd8GrDivCsKJmLoC2LvlnQQKoDdOPkIU56/VFtmmEXJ4Wa+KiFsrOSONN3RUbFvdWQIm8q
0XRE8JCfRhlWDDoMBG8qxyr2SM+ye6KC7I3aYAdR2nl1S2iQu7dg3CbI/Gx8RDkJFoGFb+WPvjeh
PaDStvbpxOsKGANIHJZMT4DZtZLagN0FGtrEB/CTpgyh903ObhGaEsAkEW9hNlOON1p6REu17KN4
Sg9ycknIq1y9C8ald9EtgFy55pyeY1L7MP1e45w3SVLUElW5sgQDffqHPh+BQ4cW+0CQzAIGajJn
+0oL6WVUBpIuhIoW5qxi3IpRYf+x54pMQP7zkBGWnfe+IdXZxmLaxc8agHJFTHMxnaENxhygG3ky
+qELnFrOSKHmZGeOLGymmGv8qtGPaV7rQnHM51TLdvAm8YsSwOZbvZ7dgNR7dm/sh4ZTiTgM04RO
mn8i6AUb9v7yBzIAv0uc9D5shT5c10tvBmtZ/eTgsY7+soLgIyq7z34RglS/zFIxoKEsjprf8TiY
PVM9zDYC16r20aTmfF8K5VYsFuTIce0d+k06OerO0Cp73iecD+ZTGQnztUoMwWpM3zSQOueMLYCf
HNEI59pGnTNUjK5o7BRtbcjiEg/sR10z/BpCq9+4hnVniBS/khaElU+ojMOpx7b8wVZUzR+YUndt
aSK7nulZUUaPut9p8fLNLUPjW9jO4z3tMY6WbmqWRwdJl0AS0vaOVzZg30Hco/kOFgCdzZgwuEN3
SbdST+yNK8ow2dYgTqk35QwCwM+217EtjxsTqaqwT+ZgKxho6zI6W3LODQQPlk5dzMiD60MG4AMy
O69+Vk7U+WmxU/H0PrQVCNc2W+mX7Ukl6WvjFsrvbu7DxZOcz/+EvaUgeyY/yy/hy29hGCzHUWKq
63XCUeP9WMr21TbwnVRtyChNXyXzfu4Elx5bfWZiq4M8a0otbsnrmwPE6eSVoglGDp6gsi8gt+EN
kuB/0zQGHD61bBfzuk7ax6ruX21HDteLsy73EBBPy2wsLLIi9eSVuYvPGcNvj6gXraw0qNR3tjT7
b0tS2vaV2hUTi23VVNf07OeN61YcpyYtig9rqkDJyaqxni30N1ejs5r2ZOM07COyFH7XlJkQWpAp
BkPN0PDESEKEQ9+KJHJhwPzAs/m5ozL+mVcW72GZRqJSVLXIKnhSjtp5rtuP03XpVKW7lzLF10LW
U0YiGAquUzw6LL61pcIt12LV1+AQhKjI5/LJLUQMcYNm+S250NgEyF5nCWlwso08xNgDnAE9rwDY
OxsxQ8v5A3apOf7U+jFJdpDY+oMW5627CzkGvOI1be2QNmSv8C0c2NWjJq7CJZ3ULQeMedwljXvL
BD1nMS2FWDdcz0zgkRxc2Rvm1kX9gqCe8tnFnQQ2TZ11JFhGYe1CZYkkTIPB8GXbupB63CJ8kRyL
XJSqDlTXipf3jD9aY4Mppa1+r1fouMIhNQ4Wytpuq47EbAcydaig9EFbvWPicCThA7mKstdHS16H
0ez8pun5B0/7cxiTxuAhkNFuZzOpxBaBOa6ukR3mD3pn4OclteRNx7oOjWQb6njGKwiPS7uqYVbM
M2bvM8xok0kRR2vb3CxBNKxqfo1qB2k1J6Lp2QhtYsRDh6gpoa9itbTO8uKQa5jj7vpF6ZE2ktSH
92phrRp2o0eml0eFhAisxHOG2L8AyeyIkA8fsVuQXWAnqKURrcMJxuhDDa8xXILn0yZ11u6yMtdP
StJpugenaXaJcwAJuMFECJZ/JE0006ue7JeggU6qg1IkJwxgGzMIjWi24b/NqbIDubZexyUSo1dT
Q3H0xe4FK6Jyyc7wH5zH2ipQavWM8VNv93wOu8br9+COGd4w0qT7EuE/VVvpnebaio0CsOqBB3hk
HgfZZnwt4lWa2OhN8zrQwFt+E+BW5XcDJfChZDWc9qWtKau0Q9POIqoszISyUjwqa+G7jwxdtHu3
0kMfY/rVckApbmGMtw+9yFalGGUcZjx6vCUjc1LQ0eBP5LeTXvc+ZhDpKee5byddWnSphbo1sZG6
NoYuXDCRjuS5jbR+T3QDFgqOhHfXhWpyR1U33pR6OxCthySKpoNq81PWFP4u5x6xjZKamY6LvBm1
pBCkVLVqVYzGUUdEH8RWGz6XuqMGMjNEcm3zwciJ6OjU3/cwpzs0Uc7wXMAcw7JqgbcUWCIqniHN
ZiRANX0eb5ZBGelWRnRWvV6J0mcybVuOHXT8Ma7Kw2CxjPYUITiD3wbXnR3YASuqptdBr7KQxGmn
eVBQ5T/lRW2CwbF3/TGwPrlD5QF5krWi2yHqdSC0WGi6ENnGxbGij/jQzbi++XmFOcspMXv3Le84
ynpq2IuFVmnbjjtdXeYE77UIS6d4qWHARJ2b76cyazPEkHZ8KIvMUHg0A86tGCF+L3AWuA57pT6o
bjc+qKsyrElzJMjhH7eulTMiXIllxO/E9oiUkyIAEjWQF1CJkltYqpUCZCPUP60Y3cbHkAIRTVmG
qX7MINK8oJCrJVG9Oac0VTKeQZ/dJ9qFtyQbP4bCZHnVrThsEJ22NW8RtmJHftgBUX16hMnW7dvK
sq8Nu53741zSLDmpoeFGW3blOqWDSO/sgJSsBFbgVd8YXVMOGww/UqxlwwyrSaktSnRUbQMssSiX
7mTg44Y8Bh4vPTZOFPmtWjrkxJWAR0EfwQDlQ5J/RGwkyBaaGVnvVdDF+2bdfqPOYeQhgs0kiujZ
/QEkiJS6LTWZeIxUgoklrkcc+RftsUV8fjvYJTVhRm+SR8U5bjvRNM12qZ2zL5TQFzNkmXJOr4QY
7G8i05KjMhbtfCurrheeOelQt8tYXEWwFvE1HCu8TjIwCzSbeLVvpVzy8aWuwTVw+BrjZCdrnW1X
JnYFGZK0gw2N8+q1aTgDxy7ajHMJhMedOQSD3onOdM5JonXlVZ6SERIUpa08LW2t3qpRtDQoJOgo
mTgP4UCvLirHO83SKHlca7ou6sV+0dW1R070o6Vt9DK3ToylcEtFpW5x6+ixFOuE8ZPakydkmqKW
e/CwJ7i10MNFDmHZaxFYLLBxHacLUkRe2iOWNJDzCAPCqiCcl57r9crkAy5FFviB5cye5Sgs17k1
KM9VODV7yIPYbBRJjk4DUtp1YkPS+5HVI74WRaIpD2NroetThowQa4QX+sPYrZrHSA9bTC5aegNm
KvH6AZ8aDh0ytgwz67qWu6g1l8fUTIY8yKGyP3WzngT1HOknBCHFGbw9/YG3ndwTtFTIg110dbaP
4XD+FJOJEUHu0scs0ODJjZG36UMp5oZghBpubkCPAlArnYiIGK0IZiZ2Usnw0FWhjSeSs9Kiw8ER
8xbKQ51vMVRzaTmWUa4SEm9bbwokmfzQjXUHmFOwSvr4HrUHvA/a6idGZnJ+UqxSxPdtWFCtWG5E
N3/GqgSLKkeOT8OAnDkIp6R8ahGPUTO3Dv120HhF8cqEBvt2GVwlPndhh44tSbL2ux5FEJRhzu6N
uMIpxUjz5ZnIDONtaqfsIakdJAYavTryISy4ovQ9EBqkyKSlT3umVk/dSHDcTWYqsXofw1flDMkA
s48m+/YBajQq2xQ4mhNqzCvwZoRjrzgRdzciG/FV0FsXYZjGYuyPTVfc4RvUPugc/Q3PUoY6uQo7
qz5HkZj606hp5TbHq+K7RTVEBugU0oxMMXDzklEXv3s5oNvtI4IYSDxhh/E1Nu/pqCyYWvrCiKY2
qKY+udMjzGIPuRk21UuzpOMN0TjYJ5ZRhi5KhbDgqaLtEBBb8nG2bB282KoVUIGkQvzD5AsWl7h1
z9UxTvPmhSOFXzQZbGzqYvIBOAud+eyKCAxDdMYvPArkcShNeScsqhMNQ4nnupnj68rUnAAich3g
Jz9cWXRRsL0xgRgw1pCoJHezZeKpMeu5I1F95Tjh3qdpB0SKIlU7p2Wv/TbUmoCQONGHbZa3jvY9
oRCkIzpDo/BAJu093ni02cy0PwHJ2T9E3TtH7IbNG0ugxgywwQiz3SjVpOBcmOhbnKvU81Bpw05L
rAbJVTIbTyGWWTzznlXJ7hpEGD1HZEDNohV7rTc4cyWl2zWbBZnOxgTFeGPfEkGH/sWB5prmr1Dw
0eYWYOcVXn7Y+4QKAU6rrrQKSiUlbaI0u7q/b7RGu2sT9FVJMUw3qqtq34TsxAkhh7lpav4qdPU4
tZVJSy5W0oAwIvWpt3NbzYwSoyxIiletYaMTxetcgRFNL/SNyi3lM45BxVx3R6nH0bVt1vYz3l9p
MEmtv6lHzvhJlAGH5oDVHF9ERKc/n6eSwhSGwG+mUrgZ6ta9S2VPtwpO+wbNmr6NCqHe6oRi0dbJ
MbEsWFNeepy6dtBG540MTbRGHVLf4i2MKABPyeiE1VXkaC3NnJxFeU+lnmf40qTqIR/D4iEV7fhD
L5MIPQJ8Y0r7yJX6XZyEdbuH9ldepZ1h7SeXYheG/1QxolWluJ8hQgB2pk36R9XC5bvWmkAoqpsm
ck/7cn5qFhXdUQw+yLMwijo8jHqP4xGaNf2PzjTchaoRykAn6KjzSiXL76MI0rrX1bW4HxE5BoXb
KgvcAhxSt7ECKOpiw0iGTqI7T8USVubGGnoY/KvmnINaUfRBkSKCPYRupBCW3du1sqWsqKWPom7e
l3m05I9zshDTohTjSaO4Q2mWscjhMtqZR2iCvdghaCvvTIdKZw6FjsNpKdqIMw7yOmi8vDicBqis
b2l7OtGPYWk0Joo0VxQMhAHrtyG6JplFKfExmwz9WZsGDAujuZ1ghCsm9QfaDbrQTsPodTFcBcVZ
KeyskgoSD2zwYwDfJe+GjTXXO9aL7C6cbLxWsqjL7uO+BLXnVRxN016eAOOj9iZRRZjSTdRRX2Gv
+1gjIN5p+NbdRGK1xYPXF0E9oVhPt3apcKLljM+8WHhgmPBQQgfTgrkZcUWx/CVxByZQDR+xHyiv
WbRC1Jt3LXYTE6aPWZr7NMKrjQNWUd73XPXeQE10xE/QvuEcY9323STPIpmRZWgqNnvzULRbNyRv
AQJ+NvhLX7trYZ8T6la1hr1BMF/sieVycboyzeoehI0+MIFiaPci0wgPM3vNcNVZVn87NgN0yHw1
h8b/xinQp9NoKLwktDINikZf3empoV1PpRLrmDE61YSTFeFluKep5NLhcwrwMzBV4AHg/lo28jaS
hsncGMtdSpFDQmm8vOIgMD7IDt6l1y/meJJuv7SbuohCF/0tVda2duGEIiTLhwONbO3Zovx+UbRk
pmNvYjNVGI14RYxEtgPTLqzuJloAGwNLc4c6bTauxiyR7ks+qfJUmkRRehHiiXHXUoHT4eiUuvHs
PgUWU/PsNh16J9xSK2DmN4wlPoU4ZlvlGVQinh/gGeTyG7UPbqJKgS+XKePsrVVVRyG2Sh/iO1mj
ykGd7UQ/1QH1pSeNyilQVOeciBs8e2jXw9S5ZwHIIDepFTvHXBc7sqy0J1v0EzjiWG141up3OIBo
6Vd98ITZTB5S77Nnj5xhF5NuBLBqzoJcDGkIXtQC+7qV6mz0CdGCj27CeMvo+J3SRDNOmcoi4hcw
6J4wVjWeDRzzg8zW1lAKPspeGlPdgkTgKMthEcPO9RNP8XF22unFhRFobRPXkiqhiA2uIRmU7PrZ
daTzO5oXLTuUI9FP19AYZbkKx6fMN+tKXOPERE0jnHH+1qHJ+wlHQX9tsG5T4IuVzo8Y8hNakaaG
lW9YkfM7BsdwWdxBYuiljjZ2MJCvWbTwFUZBlxa3aTdH1UbA1xg9157rBR2I457pZUIP0SInwXZT
qvVNFkKSYAKmJqUK0sLhFiPQ5SoWw/RLZUfFnwEDEdScxHbQF9bWEY6K9JtWC+Nhbsg9BIhPknC/
1mU26CE9pi2NbURmo1aK9ARdDdtDZNlCDVCCdN8wSQmP2Hpm8lC1eFwAFmGGjAs4eHMwFtq6RkcD
zYOiQwJETdlEuEoaupltlgWjCC9DZPes95PxMy6p7309j0O2ETbV7gpDmgohiuNOZzzZ+mr3v7pp
KXsk7YIWR6YTddgJ5dFoDdrcMa3o+6wvnZ2w+vSE1dz4qqWoC6Wuqt8/569+pP+uwUDwQYRF/aQa
F6Er1SiGNu5nPDLa+zmB08CUdZE7fn6VvzByQSVx1NRNx3QM44L5rdYp4SrkAns56jdVuU/c2HOr
G7Dd2rj7/FLveez/kGJdg4wpyPimiYf8xQ1B3MJ2qKC1u9AzVNUQw6nw/Pkl/vLMXFu1aPLo3M+H
oCLmjoKkiEvo9bm2H8tlQzf/80t8pEuT16qqiK9UExWEdkFhxgsdukzc4P/kjgHmdmCNOxU+7YJZ
2edXcj6QiB3VNAT7ON7vwlylG/9WFhDpiLNsgop7XrurdPVGbJlmZ29NvwqHLO0vecvru37PWuaR
aZrrkI2moRu5eEFVvWQS2TI2iauJO71DVVyVcpe412lyHUWbAeDX+oKl/fGNrfxoA2ED4YQEKVzc
pBYBabqQ5ki5uteqfj+U3VbvN58/yX945e/vzFVphUPHRiTggs29f5STrVRjk1A918Hok862G4Ip
UDzFE16ywXYpwHjPp+3oA8763QbVXiB8HrpHp8RXAnCIjR2QZ/2FlODjjOBjCboA0MRty3Aubr52
UI8iZEXN7d5O/XPnfJFKr3/koXMBnqymCfQ9aCPe3zcmNzSpMabyms1630OAo72PEpf7pjT9v/dt
+4nfBniUbMfgf+4aEqaP8s6nlerXX8wg8T63g4VgZeUj/rEtdTWDW9VF/x7YYqzz0CkETszzgYRG
gZW266WorR/arbgJ90pxtLyeN/AUew+/v3ro2ocZfHH5dd79S7EzqOlQhSmXV/Dsg7twdmy/PPy4
rXxsdmmoll5yCLf1/hfUFo8oX+9m9t4QAPvpF6//n1i9d8OSec1ChXIFJZTFSv/+k7R03e0JezTP
aHs8eFR/qF5S0/LlDClAM2CS14qnD69a+4y6f0NH+pCk9hfhfx+WGVQsSH7YYwg5EsgH338IURXI
BtyFlieJClVcU/d39+Sctf6oiDutSQOgqJvPJ+RFyNk6BLioowoLcaPDxL+YkFZOLnMbC6CV1L2R
zUs9Uj62xnhuleo0l9oGFPkGQJfOtinhzRrd3eTofqtnp7JZ9m0UXdfRdP/Fp1rX7ov3wafSTfYQ
Hgb6lPePQrYzqCcyMVxDMUwzjipFOyZhJNxW1w6WN9HkeDgMPLlafosrD8iS/lMzxBcimb++EFel
w+OyLZNA8v5T2BpobzTBxm4KGLwm/to4G2L7gvJV7DMad/DJfn1+5x+qgPV1/OuSF1NCk9iXNSWX
lAx8kw6Zih8XYG0vxz3Ru59f7MOqd3Gxi3c/mRHc+ZGLDdCrqPMAwm3On59f5MO+wkWYWbaJ9FzX
eJnvHyL82jntS53sgtncADWR1wZpO9e/WMs+riVoIG1kkKzfrkMqz/vLRHg+dkqnhxzznLu5VN8s
x6SZhtB4wZHi+b+9J9dQqdUoCCzDoop6f7Ea62mlI4XAUxL4qdTYkT48M4q/qNM+jj8us0Z7abpO
4t9lpFHVRdqAAxXWEOK5S7c4yBiEO+KjXfTfbFIiPr+pj0OP+lMg0lolYajDLm5qVIa4c5uI9itX
xUaoPwzhgJtvcc7cBTfz5Yvr/eWNUVMZDAmh8uvl7EoSh9aw0ELPqH4OlrjJp+6+nHOP2MwvYj0/
XIlljjHBTbk8RNe6mFTKim2WKSYEcWuf+clqHw34jDapjv1pp34xEj9sqmzy2DOtdSmiXSSQ7weH
KifZQ+hkCvd+azwI821EYVSqYMZENQzfymHcfP7m1jfzbrVcr2isoZAum7h5OcX6piiyiNBPr0oN
3yQipzf/hHP2305kR+NUYjLemcpoIS/ui77krMGM1z053Uz1d1OGNHG+2AL/8qa4hsO7Mih+VeNi
3Qf+rB0jsqnllZND18eQV3b+ggfT5w/sIseP4UCVa1D0gL+5mmOZF4etodNnBwtdjietIk7kandB
YzfTIZ/09Dj35luojxjDRDQn6wEfhhk5nxw73HvScPpidH6Ydw4nMIvmukNvmPpzXaX/VQWNbZO7
ky1MfAPo2dgQzHdOYeiPujHkh6XT6FwZfflFQcr8+jhoUO+tMma42IzTi0e9Ol0PeoMcMgiCYxBc
B8drfrddv7Zbb3s4eB6/XG+3W37nHbxd5x12O+9+x7f/84+F0uKnd+/t+OMDv97zc/zsZv1zvvnr
l88/wfrN973AP5+DPV/HPdcK1m/8z+dr/ZH1R9d/CX4fn8/Px9/HOqj5t+ORr9/H9f/C5zx+MVs/
jjgdH1IOqLaLIommzvunb/T0QQEK4ax0rpfJX5q6YBd3Cq3Hz4fcx7esG7rF3EF5Cyf3UqxMEliz
yA7jv4pRN9RkRCTmsYC4RHJM7b59frG/3RST1MCN3ja47sVNFTq5I8KlmZbl9R0i6QPaYgi042nQ
lP3nl/o4jHSDJVVTuTEL1fp63/8avRnKtGGJStsr8iyowueWoCZ6XvCR2k3Z/QJT//x6H9c6Ah95
W5aJTRlb1Xrr/7peLDK91tPY9pbBkEc8A/MA0L26mpRi+GJZ/biQcynXNVVkxSQ1uReLBLEVkWG2
BEakRCocBJ1zLxnmIphmq4LOoybWVWTPwxFiybMNr+SL9Xad9+9Xdd1kpKzLoa0ZH0bMNMwZHJ8e
C6gB+xYFNWhz9fmzvMjQXJfB95e4eJg1XrarNRUvLxHlvhqUOTDnqj/g6oNcdIa6QJz070xZreLK
/Fbv1cb//CP8ZaSuM28N8tSoAv45Iv7rdRakFcbGwCcQACw+wWenyqooc+Zvud3891MdDaqpWzSN
TI5XFyUifPuZJjjlbo4htFCuVPe6ICqlbP8/r6O9H6JSGZACC64DXhyM4jqEFJK0jt/kX+yWfxsh
rtBMnfRJ9g/1oq4h1gnTXgGRoanEuamjX6mtfHEvf5lu6FnZ7wXHYhzP1z//1/vBYx/CaM7xUMLq
9Fp98E0NQ+/YbL4Y7WJ9+hfD/d2VLsbihHLcwWXc9noDYVtytzDw4j+dQoaGSUiqpM/Xv7ZwuC3l
q0v/ZQ3j0iYbAM1dfnNxk2mP2B1WGgdv8ZhEtwDnhrpv2rtR26nA0kZyqgbCeHY1+k95H8sTXJke
l3RyVqrXz+fDP73Ej4/hP5/l4jEYaZeEyTp4+CxzRXz7TaX+CDEE0c0T6l7L3CXTQx4ew3SAXrCx
Mnwnv6gN/jKsKI0sDZImLSv9cksUA0mCluRx1JKwF72v2bCgIH1+o3+Z+JYw2DGwt6Htctns6GFb
YzwABoKy7E2rzC1E+D8IUjcNJm3/9aVWkxydZUaj+L+MLcfRtTHqTLeIXpMvQzKf69Y8Qpf8FWZ1
/8W1Ps4XSmRyT2jgm7RuL7ECZSTLBgMdRrGu7JrG+aVnGmJ+9/t/e0tchhOhptLHF7Ay309LLIyX
eja5jN0Np3gq4G5A7a/mDcfwLzpE/3zk9yNyXVqw7lEheNiosd9fyzWUtqmHmDwadVZfx6QbsVFE
iJCWeXFlSBcuJQ6i0yHSdGV8IUmjSbd6CiK5AXFyXgy9m1Lg84UdTEky4mbobJNpp0TGLWEXdUjQ
ej3+yVVY6id0PWhNSKRri6Ai+g6jggWQbgs2nb/NIUrCwFoS8znXR4I8HD25YhhNHUX6ODzWsUQk
NulWSR+vLvOdoeNUys6SyCfbWqLHNulSBEV1d0jxi/9DclV3QBA0pV8smh8nEMW87sKxsMkIp6p/
/8Q0Uw6tmWauV1bfdeOYWv8Pfz+HWbpjvE5qk4vyrnYRp0YV4rZ5qX52cB2W0X7+rwcYJj7/ucTF
S1dSZUD3wiUwTQ7AqD1McH27DzoEFZ9f6Z8K8WJ8kaDMEOPsqq8H9fdPazBjXLnzAijbq7wf/9MP
x5ktYAncUHHthi0mE0Hh/xm3KAX1TfiATn03HuHAe891oHpvvx0/2trBfPXV7veXFwlOQetPX7c+
XbvYGBZEFqndVg6zuYVbgPGP/tXtf1wHVyjkP5e4WO+7ZRhHZIYOsmElD8g1jvy0Usf9guvEpq2I
7fz8cf9lgwH51gSVLYPTBjl7/7irEi53/79JO5PmuJUlS/+Vtt7DDPOw6E0iR84URVLSBqbhCvM8
49fXB/Wrq2QQlTCp7L7VkxlPesDDw8PD/Rw7c5gsMGEFLK4KCPsoA0KWQn8THFN0WX2Em+ODHkHj
HDC4lGfXULpuLUZiFDV6vPx73t+LTB4hIR1gmoGykyEkZQ58wkmINC6jYvoHZOsYbq7gLqiP0RR8
sidl5frw/qj/9Y6nOrCpKSTVwnIbyNRoZUgbZFp+C+kSiewfJVqsU3kXRSeovf/UuLnCZfOaploc
Pb/y77PsifumRnNgQ63ano6a5j3SpLJR2u5WJ/HUJu+Pk2kk2OdvywsetTxb2LSyCS2GUjs2dS5l
g1qOofV7a4LJJvtDIIIOzyXcY2XqhDpx7q0PNbS9I5rBtJQ0oW6GQIq6pRF0p+e7P1s/EUfYf2NU
SVqNUIhL19OdBW9ymR002rAk2Dn7/HgZTLzuzWDUqaGo49oMWaoAFjRTpSYDRrX1TE6koaDGBXt4
ybPG2Mh69iNkIOSQV130LDPKt3LMinHgF7qFr6gUfAm9AnozINDZDlLu+hPzeRG1ggfmrcttaGS4
J7wfK3jivpvxoBukfchwKIOJ1byp8TpfpzwACxMjnu2LU1+13lHxb8NmxVne3TIFKEu4R095Cl2o
HhcI5Rjsc9SUxjz4ZDSmS2fKa9xWJ1kyv4+FehppKL38URfBKfHxWXm+18hf3rpqhQYi+reM91Hk
807s/pSWZv8T7CunaFallunxcmnLesnRQJJL1Kwu/wAx4IjGC/Etq1ELRKypcKMUlgJlbkNT7qW8
cmOmHWhj5/HFkFbeDZZ8CT/C3DnG2eJF14bmCeav2ZP5nwmdvfeshPF29L/9hW1nOEKeAx1s3UUa
OLbXb28h6UBc0CkfpHhvqyuRYHEZtTmjhq5hPjHffkbKKzFSaFlB03JC52Z68Ln1NtumUo6Gzgjk
yhVoEQ56d9I4SlqWLHiNZxSp8WsotJURFS8ndLMkBlQ2Y5qPd06KlngSerdF0vsr/jpv8/Nk6Je7
0PVHUjen24pQTiPT8qpwLAu3SFFo0BhUOMrl4S8+2xnGbPzZqYRkrkbnGBhDZJE+xtdeGLr0BD7B
TnqyAsjrGdz6c0j6jeYSD1mUIwsZ60wfYk8IA7s9k1yS6/ifZ7r4/mPaq7DSrYAtBfJzMOF0ylvV
C6woLFCoY/62+6EjtMaEE1sd5Wg6Dfrr0Li/bN/SZ+N+xHHIsCrfTnDPIkDkKJohJWXaD0pzNTWQ
ffRrPTrv3i1m9+Dpggdp3gS5ZAo4U1uOdWlGhUtPLsnbk8+kur0PGNMwtqrPZXNTpP9IsBQjun3Z
wqVF5f3WgGuW7WBYgmNGcmTBnMFel4eB85fuyfBZtl6QovatDxDw8Pb08TLiUhSbWwAckzsn905h
D5pM90S1xJoqgfrUMpTRpuouMAZYylcrQPMRJG67MyzxPYiuzk7PYtZVj38EYwYxHzmTYZjPlY+8
cpaf1Ib5SWYX7m3Zf7ls59JJzG2Ruw9PryZ3jbfbMWuDrm5ljkcnYSTU++CQeGQywtqQEGbFSmBb
AxP2xjR1BmxQgHXad8c/qA2zRdFrWe4Y91oJZfOfer+mv+0SMhpoyJEJtmYo5UVNvvrlypGw+Pfp
EmEs0VF1mnberpsvN75dOPx9+AOelKD7pqZ/ev/7td1oYaYGT0aIutpbiEKuNCcvcfoeTSpUuuUi
WNlW6qLn/Yb49e9nwTiDOJSmbFJcC+UEt7gZTvFhfCg/6Xvzydx8LX7CgbijW3pnHySKgKfLvrcY
twwebnj7ogVK7JqYvAZqm4Zj1ZIblz6akYo1oqSXQZYOU/sMREgT6OHWGPkCRHOeS+vEi4062VC0
aC6snun3y2CLXnEGJuwmODjH0sgAUxn/VfLE1ZUVv1tcMzpNHB6FeB4Se8VQGg4tqFsKF4Y2ZAIj
L3T95FlBSeeyJcs4Fm8j5ALU34RYD6Urm7Ulc7XtoD+g9FHvYsQRt4pSrxUhFr8Qva06gZakUbwM
QN3HMJZB+HPkatcg9RhujeYfA0ETOfuoeR8uG7b0iQh18/s7/FmWI+wqB744LbNw+WJ8beqE8YmV
a/fSyv0GsGXhwjGWk50mNgBm/xW+qU1pXQVrR8YahvB1AlPP6ywCYzT3TvQI2xWJ9uV1WjoAz80Q
9k0ht3LR1kDADhJErl6finbLKOFllDVDhA1jZFxJEV4t3Eqr9wwG7lFHpX+/2l2GWTp4ECEghafD
YW4HextKLYn5gX4OAihEUhAJnOe4R8bR/J6tPX4vGnSGNC/rWUSNnHYktQap8JqNWUKNYUJnsZLw
KYtOfIYi5EMQR8EO0bNsXTg9GjZkPSXHNqPVph4/d7OmJJP9PSMOIQSCOmyiFIPDfZJENFkOaz9m
bXGFjJ6xnjpDI4bb3pV07zyNj1DMbmJKTbR1HuQTEx5bVCGf7Vd7xUX/h+v1788q7OWRB3J1pi11
mdt46av0HvW5fVJSEsqDq0HXkY8NDlOvboM0Olz2qKWgdeZRtrDLA+64THJitB/eDsO3MnG1fgdX
3tjBfPX0x1jcXbi8zH2y3AsFMzvbC7S8asDi5T9tvve5zcd1jf6gd1fRWmxZWlXgdMZNmAQh+Aub
JSn7yIFij9AfSHe6QlpqNBRmEAGE7yHu+h9I3+5GuaanMjletnRh97yBFnZPoldNjWJ44abKbVTs
kvIl81YgFrwVCIaGaAuFIEfsnsxMeIAHqaYkUj5G7VZC2pq5o+660Vb6GxZtoajHUwwlNVtsg6GB
QjFCi2XszKMKKVqOlN/Hy8u1aMsZxBwmzoINImt+7IVAZOEuam9LWpQlVOKHo9OtpGoLpwHk17+N
EXxiqqCqjws+TBPv0/BqRJzPf+yib5ftmR1ZSNpp5SGd5jZiGop4kU1StJlUeD8gPdwo3cZxs6/a
rr1hCmwtcsynl4ik0PfB1IEq8zQrbCnm7dA7CGbfvh2v/A/jXXgYv0sn/4QA9qZd6bFbCtfqGZom
BAsrh2o+kOTCTW6CQ3RT3AT78Na+kff+YToYh+rQfL68kAvnAzVyBVkKrq+IYQjmWVCRB3DVkVIx
PN7F/oY5+MsIS979G4GmlreuB2GHMygtCLL0gL6uXSPGub0MsVRvOLPClIUsx5Ymq/c6MMbHaTve
weFk/qh24957Db5I+7+4bvFETycQQDr9ZMKa8dytdhOjkq6hVR6F6Qj9zb5OVxKepY10hiKWo62i
1eBVIX9v9U+NTqPadTZLjf/56XRui1iD1b20lYIQWyJnk2T6Joc6MNpL0auj3WXT4+XvtOQKNOnQ
SU3XLL1NwsLRxVWl6OsU0NZWKiUvs4aKFZE9a7KNldVb8ut5oH2eFqFxVPQIqeXCQ1GdA99HgXlq
rkfZ+Yul42mJaz3duQ5b6K1jG3bQparHrRsBBZK4wc1phFGpaEW586gH32wtPV1ev6UozgwMPXY0
3jhwK75FbEiAe3++aiGRs0EYdaNKH+Ag3BijtAmNldvJGtgcGM+OjBKK6jZR5kw42+Vt647DVQ0/
36js2jXllXmlxBh7bpeQ2+dSYduxB9TMTAGZWU0zsRft0nSLMgDUhAyx2yv+seSK55DCgVjBzDx2
DXlxluVXceZ8gp7nVtORS7n8yRayv7lpkOI8HZKmIpZmuokrii+xi2neRbz+pbReHARirZMSHr1g
JcFeXsd/wcQiTd6kY26pgBU+TIVJdgN3zBG2oVOow3dhTf+o5tBubAmVtstWLsWqMytVwTEDOepN
KGp49jBoQiifB19FOfw289beHZSV9VQFr2y9Bv6t2cReLb4Gil5t5Npw83i8sYphlyLZgxrd/WB/
lk1vm9vPnKWHiLkG+Ezv1eKjP+g8NUGgC5n55SVYdKi503d+sKeNaf73s+2Sof+tFTDvQU/qQ61A
wA6bn/RSrwSdxV1J/ZWGWzRtFLGqo9Ry0GgSIdSU0WN9arT7KjtMzP6//oU5TIGqClNR0LgLXxS6
sk5CkKRwY94dR66FDiSh9fjtMsqiNSQdDHjSWvHuPaJkvJvJaFBkaGz5LW6cwJE6wNia5FcNswaX
4d41b1IoVX+J2/0HT/CeKZ9gAG5Jg7ncMikh/5iCL6g8unKr73kNukVF9aMnP1t15Zpw1F9GX9wk
Z8YKUS4epI5G2I6AKifXtvGE+NETZFt7lDhWkBZ98QxJCG6FpkwwubCsyP0k5mGMvrTWylG+aAyt
OSSrcxOmmAMVQ496UIYxYfCj0uAK3Yf1QQqav/piv3HELMhnu6t9whdDz1jZ+5DfbHjQeTC8XbKT
boq1jpHFlTuDE9y+iMPUqGLMkmu6ZqG8H3pY1f4mVJyBCF7ooDAKkfZ8Geufyv6Y1B8ifyVTWLND
8DUpT+DfiLBDMTAg34+QNTBYdtmhl0Do6ObuT+xnMns+js5Cno+gkqflgOTlTWrtqvImsHaXIRZL
DLysEfDoPnPQtnuLERa8OliDTJJlf2/Hjz4TFYPBc6l+h2gUFOcbNXpCqmzFsnmDiAnJOeoct84s
44I7OlYAKq/4eSO7KD6vICzsn7mdjqaHWRqQDsa3CCXdA8QC4rg+qM+xxuUr1Pxv7cB41QRP3+VV
XAizDKHQdOUQ0ElYBa/uR+Rfm5p4ICk/6NnemmN8krJxaxswzUTfL4MteMUbMPWtZdbgK2rQA5Ym
V+2ACrG16fuV58HF1TszSHBvlGgnDbaTwp3oRJpQxEg+xHUP28qPy7YsJFRvbBECaV9LMkyP4ED4
+tyWBpJD4zF1oG+xndux1Z7R+EXOZs391pZQcA5zUp2uhybRhVwJDQvI4qDXXntTW/DxN7YJO8u2
Wx+ySWzzJaTwbNhCmrXmrTU7hG3Uhno+zLrGbjRo110zwFzlYEiyctwt5IRvLJn//Wy3BplD2jsA
M1kHs7mxGzhE1Xk/bYwmdfMVn1heNwsaDoVUQhVPPpQCU8Opid7FCDtrfY2M+4o9v57ShfCDQf9C
iIdegkxhNsDW5Rp77Ygc/U53h012LT3fyff9Z/9Gc9WPtL/cFgdvF1eb+Fv6M177EUu50psfIQQN
VEMQdZyLuxD8oP/mKDeD4dq5a8FwAfdCO/OPuuYa7HKo+m26ED0Cp5MaBaUeF6E+5nge0/RzMdx0
9Pf6/9GIRrrZ/yd/+P/r+X+yNn3Iw6yp/9//XfmQlhBEtAGyznIuu5rMh/bjwYbO+W/Cx29j5l9w
5pg5rcrQGs4IXGhtlIP8XR8dIE1HMmYbKYc+O14GXFs9IXCEvCIOUwrghFYSdMvTQ9jHbhtue+3L
ZaTlrf3bNCF69JmDnJ4MUi0fxpaqnrLJlLVq6FwavLQPhPhRMvPWtIiyu/JIC+/WDF+r7EuDQmgn
f8mi7ahCV3q4bNeaUwixBEogVZd17NKUl9b7slqqXFs3IWdSys40jYG/3zjBVzQZj3KavTaFsb9s
xlLedL57xVenxiyCbpqdG4452rr3dgQHiptoMo9/t2aGrOyVka2BriyemGdATTSkCPjMRbedfUIt
ET2TY3YdnogfOmzq99JHYghk1JeNnX3tnZuoEMMoMBYt1bDJfDwVWLv3t8iinDTqYZb0HQrplci8
aOC/SO9q2ZUSIivYgjRWaNxX+aao/2ZfnSEIURfFgBYaTRAqO95Y3XcDkbR6xYrF8/IMQ4yxNgqr
FfNyNG9+Lp2nyb+jM2BIGGXRaHNeAVsMScx4k+nCXIS0/NsYiGaIVZplzx5WHzWF1xobudWbNrwv
pJWtu7i1zpCEkAQZa9vG+hwt6g+ysTXknVOsRaRlB/htjRCRNF8Nc9SjKD9JJEzdTtKaHeRDSgEL
A+ImFZSCaBJrdDu+xOnnHFGudmWTrf0CIUCNBaJ8RYOVNfKd2vesXdlMiynv2SoKAWqCaMlLh9nC
7MXvPzgKyrsPXsvG3aZ1tONp73/nIOL4ujEhFpMFGORHR560XW9ye/+7D5lVt/YUteKLYvHM7GG7
RyEID6E+Kc3f61M4furiK2PtWW0NSdhiWpw3vVXPSD2EXNI1pL6Ipm1g4hvWehsWo59G2RH2Vfrj
xI6VchobJqzZzbL9KjXqxje/NcZDvdaNvbi7zmDE3aWGSe3PBcHJ+mo6fJsb01spXy+69hmEsLka
u1Naa7459vZT0Pwc9dPlc2LNBGHrGFFpar7HSqkZRH2xv5Xbg+b9/N+BCPtn1Eu77+Z1Ujtzi1oo
uk8Hzf/0vwIRT/cUhZ2GOgH3Us6hSN1NkoHs7J8y6VAt5Wv861nicV51zJzUc7VUsZ4D/UvoH5Jh
pfXhV73+3dl9hiFsFMbtyiSeLbGUjXPs041x/0V9iO7tB+Wu3EavaDZtE2ietvXNsw9xNrJJ19JK
SF3crGe/QXt7RJU2DcD2nPMNElTH3UsIj0SVox13ozjDypVg6an6zaLOm+DsTiCFahBbJWB+8dVT
x63X9Nup+OkNH+Og2suRtm17eYeM37Ys071hpp8vu87qigsHcuDlcObOX7XZKzcKJDKbaa/u+p+p
G/Vb8zQd8hvvutplL/L+0f9WX71cxl9MPs4WW4gjDRw2yTRfn/3+i148S9p07CpznygIfzcm0mAx
/CWXIec/ecnHhLiSB53XM8WPxQUy3NDVQjfPZpG6lZNsJb7YQnyxzKxShtk0dTzZA1Ikr5K+cjqv
QQjRpakmHe0stsuAQNXwIUu+rQ4Z/KI0uLBc4oE8alaRO1CWu9ENilsH5UO4oWHtgXwUWV7/1jig
Rlq8qnvvQ/Rqvsqb/qjeta6zfdYO6TZdKwisWCye2WVmS2Pr//p4H5P2wak/6OHKubMMwezG/LDO
NULwj4Yp/VKed8Q4IfsSQZn4jBDFZR9cjjG/MQTfaE3VG6CxIWIn43OYNptw0Pfx4G2KIv+c6Wst
Kou7jN4UGWZj2ubFceUSEkw11cg/LAaKSljlnXbfVeG2LK6CCDWjFbdcLhbRagEHJexupjjwk5pZ
nQ5oQLjpB6hHYUFV3PCGETuEOh/0O3QWLq/m4o4+g1PfBlFU15D3tTAvlD/r45VdngKonOyVfEFZ
gxEOBkbtM7vPsUo62o/jTr4Nr6D3Tl6LL9VGOUWH6Cp+MFxvd9m4RXc8M044IYw44c0tA7XRbmht
lIfXQFqxbA4T77a4CTMHbwEwjoiXsh71RxNZVapsjNPKRyXeoaaKeuu29g86/OdT/PoXNp0BClG/
alUp1iRsSuxRvUFqoXe91uBpUh7/lI+KrAVmZJ6t4Yzi9Vqct1G8VKpQX0vdtkOxF7WQ+tAUeb2S
uCx+pDODhJgx2UUcDeg8u60TP05Z4Ia+dZ0MK9PPiw54hiJEDZUAUfstKGZysLWrXn9I5TtjbfDl
HdfCr0TvDEY8VUwvjwdn7qacZmIDN5GrjRncIfA75C9d7trhNWN0oXfdwSwfuRpCiX91ebfmmUv4
IXkZE9az16NA7835xY2nMG24McYv5loMXvT6MwxhNSFgoZ2PR4+5QBBo2zT9ZjVfm2mneD9KfVeu
DeovfrwzOGFVa8lv5MrDJF3/ZIwIGn40nevVSt8cDd5tZYix4WPWeeMzhYWzx8TIs/nb1ePgduW3
wFvxwUVPPwMQVq3XkRkvLACq5hCnV6n2D+I5l6PD0mlFPUqDb51DmK37Npwz/i8Ftk84R0A1+1AE
zRV6wMpuaiPjqmFs7s6X9fig6nV6vAy89IloHIWXFBokGndm28+ScXXIBsPJBsKS+cGyHml7HNTr
eK1ks7SCmgrLKpTtNBCLPWC9OiubBNq8vdStF8on35i2UqYdLhuz4Ak0VjKMPZPHQj0orGJNOEQJ
2khcmWl3Vw48eZMU5VoG+v6oh6QKiYmZmW5m1hBZfVLklUNLQ+M4bczb0P/hJO2Vyk1aDuJdFP+0
eJ2XkFW11PaUy2vd5e9snMHhhTFniQuazEVvVyKNZA3wYoz2YWR8iLtppcb37msJEIK/q9EQyflU
1/SJxXvLU45yggBJUOwuf633FXoBRwgPWuZLUwKHhxslN1rw3NN6OJiPtbqNyyskQAnCn4ggKzvt
ncP/AqUhljOSoUCxLTYrIQWo6wbq/DZ0zdTbZxEiwjnVMHutGXENSsjRON3H0deBCmxzNwzIr4w9
QjnI71rWw+W1fBc/fllFgZnXGdqyxXQmTgan8w2WEkXoNHppsn3W1RvPeq7Sb4b9x8mngDYbfhY0
Kj+u9STCME+5NW00pqOTA/1+bKykGLMvv4nsAo7g68wiyFYyYtXop4chQF2w+OnI9dUQvHYULy8v
4fLX+r2EgtfnAbKZSY5RUrMLE+c2hnLB6+/rNbd/dwYLRgler2Zhw0RAi0L6GFLi8Ck/eGnz2Fj9
J1/t79qxZ0wV1evrxIz0tS+3CD4z0s1cQLyzCeAdfNholgFuhMzzFNth+C7VJyeFFaB+SoqffrT/
i1X9DWgKsw+FzxVsKAHMeewtv7YNeuCvKZKml2HeCWRAsQAV9b+Gid2avuGUnlz3iMxv2QL+jt7i
bWvSNKBvjMNX6Xbc1vfTLt36T9KNuRLIFuPlGbawzzuni0Yrn7HV+GAwPADF1CnVkjUb13CE420y
lC7NWnDir/rOvFJ3ur0zPhRMeWQfymJDh0BwkK+N7crSLm6MM/PmE+lst/s9VK2M8AH7ku+SYCsd
vZ1+27/o/6SH7DiiFtq61c+o3hgrQW3RXqI0kZp3zXdUMlzbwhxCzdq11VtHQee03CKRumbe/HXe
BZkzFOHrSWoTclkCJaoORn1v+MyyWCQq9VautgX6XighlMyGcCA53cfLa7u4tGfYwhfNUqsLCwls
v9GvxwQQubxByu9QheZKorcYS8+ghK+YJpmMfjtQmdQfpBQ13TFCLsN2czPZEC6eL1u29u3mfz9z
mqHwijbJgFOcz4XymENyv0rBs7Z687+fYRjI5lbBOK9eBf1g8Zg2R99CSnVl3y2aYs0zNPCN2ZCC
v4WpG60J7FjmFMquE2lbFd/pvby8WsupkM04nwrdPf8JGCXPmamtktUZzStFsiseWKttP32epPqW
FqxdNxWf0FaPs/zpMvJi4nAGLJx6IcqDWT4nDgi01ih05xOBpPFQUfXpuyt2kWmsdC4uOuIZonAE
pYYdjugmcs7K6AaiHLuP7M+D1z0qpYQqoLyytLNfv9vev+HEAwjKyiDo5lwlaiS3aP2v3VzjvLyI
axhCy0JWVYmTRpik89W4GXiM+8pr8iyL3n5miBCnxqQx9LYGhDrtFhYjym6qvWNykfQrX0uG3uks
/TpPbbydmyGuLyaUZV0qaFezbGV0zKdDmD9E3mevvtH9j6g5brzxVTXQVX8oAqQQP19ezuUL1hm4
sLH7vsmzsAVcT3axcY20p2++GgjnDpskeQpK1FA3drdy2iymRrQHoywGjzaztW+3+VQWEIiGgGZS
+joEysGGXKNX1V1hIO9Wm5uCKQU5XXt6Wzb2DFcwdqgDe6AcCHdgeDONvMqYpr/x7HGuPFkU8ZTx
JQtaN7dfjHhNAWUVXIg7bZ1o1jTfhhBp3Uj6bZ7dWcb3MYq2oXXVWofS2/rV0fvj2Yk5WzuzWYg6
kj/5TtABK6nMM9iPZYsytVfulTV23MXYfQYkBBuIwPqqCQAKrOA0cpm0pWyvQ/h72WMX9+ZvmF/h
/ewkihojGgpYIN1gQASo7ClYa9NG8ko4RNfaida+2a9/PwMLYoiR4xKwSP2pUKDUXM8/eT6nOY+3
Y7+X2z3E79367NCylYZhyNRXGAcXwlyepn5j+eTyDV0+fue5cOBu9UiiMAtJapUf1WTk/69Ouhzt
dBaaoeSnhE7ZxHkZtX+KdE1i4n9Yit+/SIiJRZVK0wiHs9sVj0xe9N19l7hZGVyhY7uxtIMEi6vZ
7Bx/JZn6NYX+7lRBw+e/l0JI3Oqk0OFjYSmm8nPlawdmJzfDYN6bo+7mTIIUkr9RokfGEa/QHXZl
1LeNID1p8hNCqtT2vI+l+a23P2e1yuiVipsEVx0seOi5BocmV/6pk2rn+zDi5Iq86SCw2UAf6fal
9eGy5y6exmeGCGkhzd2xMRoYknQPXXPyo++lqkCnuvWH8XQZajnA/l4zIcBWXtE5DFtzpKjXjfpU
e8NBLh6V5l7nTiGhJ2x9vAy4vPl/AwqR1UcJwdR7vKPQ0a6KnWMtK645DLvLMKteKAbRTM+1rpv3
RXpvW7sSkus83fiy21enOEYDrN1206ZX+sMK8Oxlb73QkOf5bgPZcvTURNbrwqmTRpVJgIvwpvbC
g6dfmXg815c2+hZT1hoit8tuYJ2vED3x+pcV/PcLDD5EKyY0ADxbiKqUktlptTbfDP2y2Tg19a19
LF/rITXeEjFoY4Rc5qGS3SrJ3Kn+YEAgmQT38rjWdvveid/+DuE4UaWmaoOS3wE1cLGnuIL05BDI
Wz2r7pFJhu5Htcb9ZeMXbafETK1ubrsVK/YUsmM/NjTSMecu0Y9+iTbvSpSZf/a7z8toGZOu3LBl
UXetm2rFRsKGMpvJy3znQy2W71obBUCIFreOd1MHqKD/uVkzfQ7EprPalkj5IkGPLfc6Zg3jnVll
m3Tc+8M/lzHep8uEzTMMYV8OpuOrvq9zoQpcW8JtmO+5jLD0cc4RhB0JL2viDfPHQaqmo0Y/3pXJ
p8sQ848UP845hOBzLZUBR4L0mmmQe8lqN4m3M/2bZo2+ag1GSGDQOoEdmm3mDuWtNvzI+1cvfbS1
FaaD5S8COSNVFlrFxYmedDR7f0z4Iq2KTrm/j5uVT75sxr8A4jyPF472KMcAFONTVR1S6yXwntTO
W/nu748YPAtyDaapbWaTRPZa3wpN3ZlXC85sLd9AiU7gnQrP+AFJU/bqG1L8Y9KL5uPkRQHTNUns
rdwi1MWlhAtDplYAnYz4jDtFSLmNk9+41T6/Kw/eyf9i+Bsm9NPTLnmh9981766nH9qTte0/IQyB
SG51AwPiZe98T6OD9VDLw0ZozueD2Lmoldpk+gUU4TokjlfDNvxifm5R6PU26Q3TN9nO+SgVK6DL
pv/GVN/eoGyp04PSCZr5ODK7j6rqXjZqcVef2SQkXVUjRUrk8fcD7aYqjqbz7KwJgqxBzCae5dYp
CuWSbgNh2neScfJp+dLrlee1xb0AxbIF/fBc8BG2dGeHk2xGYKRl5frZV66XQx5tant/ebmWcKDv
QjLPRNGaTfHWFjluB7w8bmgDmZsnprhDjgiGSjcouGduvGDEMS9DLh3E1GphaEcmBF5sYfm40sda
U0k1DLk5Oe1P35Q3UY7bW93G0IfXy2hL/oYOM7K/DBDDgSUsJM+kZa+1BBV9yA+pbXLtWXuXXzSI
WghPahAbQ3Tzdg2tiXbU1OQIVmgNyqByQ0qqUjap9l1vni5b8+u7iycKBBBUHniIR21J/F51ESVJ
3eDeJ+fYfIKMZTvkm+FTfxe7XrBRv9unfj/dmZvn7Na8Hx/G+8+VOx6dI/plm8Zdk3RYWt3znyPs
5rKfZEQ++TnzRxy8nJrWy4rFs0WXLBY2dJinmuo1QGh74867zQ/yAyM4R+suvWo/S9vuqrg1N8kB
GYJjepPtmjV+u6Udcm6i4K6NWpe8h4Gvo1iRJAiZ3nm5BGmKtRK53vc8E47pMpNnmSF0usRh9yjh
Jbruu8Zl13ySSIfjMduag34Vmt4hSc2j3jZM8ofyrkz+oaS9lfN27eX713VAXG78Sp9lR1TaJObg
dxbcRoPZbXPoG9d6Mg/5Tvku3fP4qLv+HY+3Y7+FK38bwkJpt5tp3OifYFy7sr/L34MXex9uV779
7D7vf8y8r4xZ2cIRvn0TWr45BTkrcjD2+cE7nFLXVDYWcvalC8eFv5s73rV/lJNPM+UhOpjP5kpp
eCnYQ6vw708QPv8weWOFagcBMrqixq6aJ3uNrGbJw+gHtVSNMIWsqJCIprWulHI+W1n8aKufjt5t
wunJ7H5eXs0lGAUdY5V+VxSoRdbLLNJ7OdeJhKofuG15SuVNbcWb9I/nR+asYtZlhAebhwqRK22w
0CCpJ4tniuCL3XUb20NpwXy8bMxSzD0HEQKPGVhS2cwgOqcW8oL9U9KhepJs2naNUncpxp1DCU6Y
+56STDpQtndjOsmOWeqVnb+YkZ6tmOBjnjqYhdSB0Ouf0vA4hPdcRpTiuWbLR5/yfiW3WLoycuJD
EI3kAM/MgkHNUFd5xHC+m+QfM0QGJBUV6OBHUHzXrS9hdrr8pRaX7wxNNM5zkp6iI70047FMvklr
HPiLi4dsETuU1zdLfBWLtdjv/Y50wuheG4b+5bsYiUPT+Wzpn6AcLPvvl+1ZCggQSv2buwsBMuvk
MbXn3D3q6IbkZYUjeZdqa+WKNZh5N5/F4cpKnbQvgEmMk+74G46LzSp54tK3Oc/+hF00lZovoQvX
QLHz2hVIqD5fXqulkHP+9wVPm2KlSDuVv6/Ux6L72SMs4YyHblV1bikazDSTYHF02WKz3agokWzK
+IA8bJU+2BjqseOI6mtu3MfLJi19l3MowZ2lIEt0r+S7FBr18yneasFraa+dfGso87+ffX2pMxs/
akCx5atU6Vz6YUxpje9mGQTaXpPhNZi8hXNnaiGNbZzZFPWHV7oWs+dNsCbZtOgCCGX/N4hQAkFx
w9L8AJCwSTaTFm5NyFrieFY0+3j5yywiWZZGtZM3eATx3q6ZWvCcghgGmYvOJJx3Hw1HT951a9xX
C8/w1AwoHGgUEFDR/fUqevZthngM1ZAHMbezdLc0rJdItza6NlUbB6bOibxtTI0Db+N7s5Y+XbZx
acOeYwveZ4+Nlvf0MDGbObmtUT1MjrJS5lmKp5CO2oQ4Xi4s8TbjB1OQ4S9zP51PyGmzbqvXvkql
VjIOnhx6u6by4q1qV6+Z3v8xF85ckKFtFYckGeLy+/YjdpbqWVPIaWFFZA5+7vaFfePZzUoFZslX
6DN2kGlhEAf1h7cwbSI5Oqcuh5K3U5OEB6l82/hIt5f7yx9saY+dAYkjqOWY90Ex3w01uVb6jVJ5
zVOWoudFFS1lR1xGW/bN33aJFR3egHJErcgkzHDYxCGtzZF8tAcOeQS4N1GYzYQaW2u4b4tpLU9a
SiuodEO6SqUbTSHh02mZ4ilDaFNXo9CvOx+KIthrLWxnsbrVlR+NtzYkuhT1zwsJAqDltIPeZHPU
N3oILpvAd30jzI5qyWhsx/N8ubL7FpcXMhcuaFRAqZkJISbxlKnU0Z11o7i98ozwlDKKGVXtvlXH
DRxOm258iIJ0qwQ/Ln/YJTc6BxaiKI0WUKEpAA9MFbThMYNXoRlWMrWlTcFgPFTNlPZ5MhIOHfSQ
qtg0Oa0l6zB5Bzk62OY3Y1pbxPmziJc6OkY0fjCDcEwyvN17cdvreivPSYH/YMaTm4+yG8bJsVPq
Uxc3x9AYn8zic6xU7uRnrlIqV2oWrHQNL9qKhicDB7Afv6OnkiRVlWgsR9ShSVw6r6Pc36TVrlg7
/pY2hfUbR6xpD5lc23RP4TFZ9EELo12pFF8mT952qr8pyh9juNaKuRS/oRmUZV1WiQQiVbk+pUmn
DPBPeKEWbTmX0mOVcwWLBu9B0/JbKCkDV80lz4UFL19Z1qUtybCDTnY83wHFGDAOkF9UI1dZzfgW
9Q9d+s/Uu0O9H/qVSLe0rkgAIPIOWx/1FyGAh8og+bFKVca0X4v6FEWf6/B7XHxu5e9rAjcLT7fo
6urIFDIJqJEFCXEm6rN2JMKwojwXtN1+5L2y3yvBvWLsbQV1xIAM6lVduxUulufPcYXDfoiZBZS7
mrqAvv8xuI/Ssa729pcP0otd7cJ6V72sRJnFr2eg2+tQHeA/IbyZU8JLm9qSdSaTaxs3urzRlK9y
9BysERosbT9mb/5FEuJZYiC5Ec5IpFgbR90USJHHru6t5DILHWp8ujMcwU38wdIGe8bJGrqglWO3
oU50pT02vLZsywfkZIyPlyP1imW/jpCz7NDro/+sYUgxovHuq/w1j+WNk364jPNLO1IMo+eFOqES
PNVW3kEcSF3yYLrKUfm4z11d29j3yhf/aXKjQ/kwU6dups+XgZeOonNc4c7YJJ7U5HaPV9bf/O7U
+bf+f3H2ZUty47CWX6QIbdTySkmZWVn74qqyXxR2uS1RK7UvX38Pa+6MMylNKsrd7YfujkiIJAiA
wMGBu7ssYkm+gCjwVIZ043o1M8pUgYx+l+lUf62OoT9eOSC5CJ/LF23wCw+tW5T40c/Mu0ZvibeF
1ly9CidpUOnuZYmtgKoauzvr+kM6qzuez54FsM7sPPRVfXV5weLXTs8STNVgx0drqYkZ3sgASy4x
Srml6J2qoAedhTdJY/8Z5nb+YiZTQ44RzYNAQZgQgafLud/tizYsox4UrWb/k5XqYxrbO8UoN/Rf
3rhPKegZcQQmdPk6SjmmR44MoRhvtI+WF/uQTy+jYru0x9Q4JAKc/eW9k/VRCDSQPXWQHcccGrmp
Y+6KCX0+aQQYyUvBW6SpbU+zNl998r3W8CDC5EDU4hyMDDJk4vJMH+u8VECVdv2e05RG9InuP968
wHvcyM4tzD4kiS5V1P4wC9GArPNzivHwDEnhwknva/92t9vvb0DuQj3fu7xxnztzrnXngiQdHwxd
vGXD2EMSmHJ/8IAm9xLPCgz8m4FFij85/r5+f/dv3eD2fkevRrHw/cOHSW9MWvkk4AEJPuiDSRH0
w7q+7YNn7/D4+/f1VvvOygmc7Yt0SXQnTqMakFCEp33isa5goNjgZaBH6ZNNBm0Dgr7QK7T9IbDA
kQPEiGl60jGMg6i2WJjiWCd6FVgEJOFq2bAgGjaRoZ8TB85OArIwvh7SAKZeVn7iBKOf+0ZjeHPv
Zi2iAKQHxfwaZv2hSV+7bPST6Ka3les46/0cA02zl2ncW3my46l6pXR3dfifbV+RYcMuLYAKQGwh
n4YmMIz3Q9O5nOuY62lIK9Ni3lxgkq3fJwkmqbpFg0AI4xLz23QqmeVZVp3WHlOsrj2UpU4e4kxX
AhXk3eEhZ04UH2uc7IQcZmj4JK30xyEax96v+4mrO00ZlWtHZYXpaWkGAH45DGOEtpPKeO9s5ka7
xATDqn9Z+1eOFwUldMgi7yVOV4oMMFTYrQfMafeG5obUnOpz6ils44ot7DrmBYFbQTQbw3IYC1YW
zHpQjQKRDegKD0RRMD9NP3x5HViCmCkJw47OE0lNuznqjKzGOuawf41jdddY2p2a2RtWSWzHmYZ+
GiXM8kFyBkOLDcl5wOnbrVPBVsROSI3wvZvzAFzSh7kbDwYuhEUyDWQIW4+ZlVMSuSCYRHCAY0Kn
FORUY1t0iWGnAO25vtYdZwRutjNt6MLCsuCYTqVIIc3kztrcJ5DSTzWtQanXjV4LckwUUTaeLavr
wT0CwghnhVFm57Yd42G1yeEs82wL3OLuiFmCyS4E99llpZBfR7i2SICiBKcijYWhVZJSGLUemm0b
Z15o1gZyeODr0vXj5HYuuJ5dn2PWetf9uSxz6fiFN/mrIVJIP6I5Txs0aEjSjUenLnYqBnU6Q4Vp
fu1uyLeKWIudREOha4CVAETtBBgZSRzvdExu7WIM0Ru7Y1OpmKQ3DddcVzYyhStyMCQQD00xJRvO
WNJAMyRIvgidSADzwSQrv1Nv0i2c4OK8HKQIToRICpjzepqyyoq9URARaxG/QtOFZw6AjhvKPgv/
xGP9fPm4Fq9a3CnnM95EqGGKAsC5KqKncEinbmRQDfYYD/rOROvKWKsfmhY9jqnwM+qbppW0iiqf
mal3Wf5CXXAL0EODLLNNMB1Dvgld52ZZD84Mb1AxoQk0kB9uYZOflQHGbE0hhY+xk9O3yzIX2/x5
LdCiZ4GZQWR+z5fchnU4RTauhYsxGay/yYcrtB0iO0KN/AGPtMvSVqwKCNxQBbcwSB4+YGEy9X5U
1Drx+JwbN1XlzD4fQtCqzD24hFi01by5Kg+zraFHLiCasrNJ6xkZNKtCB2qcHfX2e8T0XYRraG48
qhc3AvYEp4ZABcbFBZfm+S6yLEXuijVY11TdQVE+2rDaR4rz8vXtg+OESUGCBzACyVQiophjRHVg
eEh+aOR33+8s4zeP3/9FisBm4woC6ikWe/JcZ0zV4o7piRepV+38ewa/UzQ+sP73ZTFre2ZiciBm
c+D5BVtyLibJWjjQ0GVIA7JurzAChpjKZCiHsqTceOd9jpE689U4IDA82zCMQPEscUQTqUrQXCYe
Bkyor2NuuxhXGyfa4zipRUknpSp0qiq6+qspBntXtFP3LWPRjPuQqPZDPWY89/oZj7g9+IrVitpq
E/5uwnp8meMo+7DthhxspwBT9tQ79ncTrYU/v75fluGqsBDII6KR6Hy/qg4R36BiFndngvsxjlBP
KA9u6H7d8RunYiSDUOghZorYEJPFGP4yHkBF5JE0BSn86+X1rN1NIG9MVEEx4QzQ4/P1uGal89lE
fNnlthrTArN00cKbVk/GHBofsxUjxL4scWnfgXc0XQ0YS9X99C7nImsSqsCPobUkqQ+JoaEm4c3W
lVrgZME9UPhVx6lbBxhBflnwiqpDrpjtBbOHCeTSns5VXIQKz1Ivgj8xUuKXjeJH9tbc9jUtF51V
qIaq6MfEKNXz9VnN6JK8LhC0AUYa8Zgq7NF1vpl1kM5BDQhmy4IqPBrRvi9fQfcwOs/oMon7n5xf
m2XgmMHY3aPr5fLqTUiV7h6Ac6qB/mzUFcG+I31V2leEDTz1UsDVwO+jwYdflrAoQiG4OxMhPuHE
ZHVjBaPcQAT/SEzPLDxW0v44vQ+/xu/Zhq1f8dJERJEWAPOiYiMFJu5cjVVWQpYDw4gBBkNz3+oY
f9n4Tbohak1vEOaLJiEkqUBRf76sCASNEXMrPGQifmhDcGim5Mopt8awr4sRQ8vF857I3mtGS4nh
jBATlUjooeOJpBZ1jA2uzJV9wy3HUwmYY3gWOQBv3MSAGUVnVQFEdVCovXIL0/lrxKQGmqRqEQzR
UG0kLFZsjCmgo65GwD+AO3G+gUroKJVuOgmmrIIRscJAKyQUJyc/hEO+ERRviZLUwpmNBFvoJtDy
V+7EtEFmzyrf4y0WrZXDOluSdJuYqrYgl4Sckkx+1DSB3bJDN5sbV2pNjADDAfCK/txFpKYytTZr
LRQ75/idVgPgK0ZA17vLN3fFNoiOZtFsYeJhJnNEGD1gd0nXpF6ZvA1WjdfE82UBK+sgKrrABDMg
nugydhd0GmlslV3qWfHwh7X5rjQSmoT6xk1dUW6MVVSRoUdsodpyoKmSBoPMMSnbs7PyZmaEskY9
dsVv0qSUsWnjcFakfU41M1zx4lv0LyYINqzSSDEP3rGuVaS78h6juTqsr6K93W+c0coWQhrcFsD1
qE7Ja6tCZ8h1koMdaHaOKgkxiIEEerMRoq3cHzT+aEjuOkgqL8aadWRIFVcpwEFXWnvxXk5yzNbJ
44YWw8ZhrS7oRJT4lBNvwUwlgXmHKKN2X7Kag3GIk3nya2uqf1xWvxX9xqqwJuBp4JflKgbrS4ZF
QxSplCtnsu8nzdh4U22JkFYzkbiPeAgRNR/dpzmqEzz7o+jp8kLWj+fvQoRKnuxZDOoRbXYhxRkU
OsN0mzt7fjKANLksZ1W1YXWQXkZqCx0q53KG2lZnMNhmHqvM5763KXqfD7MeB9WU3hqKs/XmXnv/
Civ3v/JkMMLkGHEWhSXev7wZaVODDbjsI5tGevU9DJ1dBO76uEx3l1e5KhWUiyJ1KDDhhrTKLCJN
xKrMm8vs6DqUZ//p2kg5WFoNzeu2OprW4iPk1v7Kk+IjfSjsRqkgL+p1TKCZqNIQCjwvCNOeB3Kf
I4FJpsBNgsvLXLRviKTbqVxxE0+0xtR4pKox5GrhvDfinVk9TsbLYO5brBYzr8tmAn1HseuaK2sr
Gl7VpJM1S/fCCpW8i3LIRpUMmmMRqo7Kw5RFt5hsSWeSb8Q3q1blRJ50Q8zRhbUqxVr1m0jLadXE
O2vYAs+s3sMTKUKzTnZ05knU1UJzJtcNRtL+GJqOQmMTytnsbxzfqjDAxwEhR3htyuCHrM2ivjGR
dmsJmh7jDlXlyv4oRKmFhS8guOmoOd0UYJEy1CuV7OPkZ2hZXh+99+WG/VndXccFMTn+Afm0pEm9
rrWYSQVg0sia/3KHHRE1RDRzog3fsLrkEzmS1hhOhboEmibAsKKBSEoHq6GOiPUH+6dCCFQPKSNk
wgBKkmxAVCEy5WMH/VQmlxqlW9HcLTfM6dq2idyUSwzU0hcZTeTixlyNhwzpe4XmeKBoCbnuWuf1
sqas7Rryh5iyqps4HBkOZPNeibUOHCJpYhUvljplV3UYdTcxOi1eSb7FCb72kLdcPL40qIIg4ZC8
RNwz5IcZKPQyJfVBv4FkVdl/t5Dcn46dktHKvs0GjIDfXV6m+FnpJYs1wqQhiWmjAVW64uVQWH0X
qXBOCsOwSG7u02ZSqQoisAenPcbZ69iVNbXLL6Z+8ETB+1UkxBGM664pLXfmrpWqipt5CV6Zg/4I
giGOAuzlxS3b3CCF6KLsI1632N5z02J1YxTnxgyF7H0MjryNff3K8IvraZf5jg/0kx/7o0fLwhtK
v9j7P4+eE2yA5ZZ8lNJHSJ4KcwhJbUJ/vAlBoDfutF/udeg3t+yqvHJvHVr9Tv+70Wl6z31nw8TI
gZTY5dP1SyZGm51YZFgRq1lArqoGNbamSH1u4akCySJk61LVTu9oWB0MWZpR88ePZGd9/yBH534+
YMjTY3vDfuSP5Ut7N//CsPkI9d8g3NAm2THKHyFpsT1HMVaHj6hzsJQ9JCg3G4c8vylBbHhZpRa4
DVmU5K2iTC0MS4com2bfK1B0Icb5lX+76V+VP87BfGrTwN54h6+eookUPHwEyhlyDiwtxkJwJmRe
DNCAjTIfjz8ur+ozH7I4xRMR8ikiQ14oM0SUma/dV5Tle7CnUvv+JbHph0rjP9bLW03BKlUH+b7y
B06REOh27Jd1110nW5wFsvEVmyzgyWiJ11ETkOml0iGxuYFHjGcCFTwcCzOYnD8l2WI4WfZZo2qK
GhFiOsETgR6Bc/tAsrybmOpm4Isvy13VpfOh6N16pnZBrMi33di5xZTD+A6AlK706zKv7oYBxHMM
PS7HLNdz5P9qTQHhFpLZaBsNs2ddcaobPREkz7o5VocR8MTqpuTc3WtlxRukUYYmRC98orDAwkta
9wzOyHPmKkmNGRToPQV/YIXNzjRlK20rm3tRJtaQsHWRvBT9rpJBDKc0CusaC0bKVg2moQg9s2mU
q6EVAqt2CnQdsSyZumFf96Avuqxnsu/+FI8Sv8iaAnIje5vcHgaW8ijHCGm92rV2Gr07E7jgixCV
5H8QhVgdyGG0t8ADnB/t6IIgogBK38u6fqK2VrArtGg4IN3eRCkvtVUMfgdjJ4pYBpJLkhYl3FDK
IQM/Xzzx5tqwaqSoU9f5qI1yOk7DaG3YgyVwEtVGMPKgKI4EoLrIbo6s7YaGV/BaXvHi3peH0Sea
32WUUbRLpzdtEO7Sm2jvALiVBbBLb8V+642+cpRn3yDZQS3tWpHdRKEhuSHkNba/p4ChfvkMz2RI
GzulatSVDmTMxX3Y3dfxLmHPl0UsbevZVn6yu508PuoRlIfKDBHmPO00LTtMceN/XYRriGoJ/iCT
JjlhezCLCs2Ehack9o5Z9sNQpBurWCKgoRGnMiT73bfg1WpR8fMq0DIHyUP+zblRr/Qo0I7uPqYa
p/PW4azt3KlIyec2zI6JSyAyEz1xoA3vNxJNS+yztChJxTDnwioVIaG+sZ8BlKxBUECeTN+i+Q6h
sN97zr19LLwtnlhN/PC5NzzfTUnvlAx4tDGuC895zB56X0P8+J1c6w/Mc67sABPod+6r9trfAle+
oSurktF7ACieK9Cukq5YpG9bVkEyIInULF7QF47mfTL61oy3/q/LirniDCy4WfDPwBgjDpeEwbxg
XEXdFiBkv5/Qwq+Bw1GNvNHynXA/hdZerb9u/yER8ziAr7WRwJaMcpfEpctLNGsWiATV8ZgnP8GV
d3lVK9b4TIbQ29MbbdQK+kkgQyko+9M3b2rkJ/HWhROlaUlFbOA40d0kskEAKJ1LaUjrAM4wFl74
TT3yZ0uohb6rHIow/4ugPDjNM1HSggDaCcdaQe0lJ9eKldA8frbqyYtRdrSua+JV8xdLTMJL42kt
EiQATKC2fL62jPRoce3Bf8D5fWUMNDUTtLztTa58/aiAskYOHi1EQOrI7T2RblV2kfY5WkI4nRiG
Xs7sLraHoDGrL7+EsKa/ohYNG9ws1bmFqMmqKMiB7qeOf7+seCseERqhI8+P1zQmEEhWozJzxHUc
IoY+wug/4yE1gPFNp/1lMWu2HglWQI6A/EN9U6Za7JirDFE25d487Lr5iWXXSvIa6VfE9B2WIIq7
nkdvSO549lBlL5eFL+rxQjfQkYWKp+j8WuB1rJbYaRyauQd070TBSXTjXAXpPt03NJ7otHMfFTxr
kYzs6DdlvzX/UKi6dOvQo6ViLBbyzAAESBZLBTcohlUSMCHnEcg0cSXYP4SNjgksKtI4FtjSJAmk
I2Vo4aXhMf5KyuOsP26GiytPSOwh6gB45GiqhRlP5/fLZP1k5cBVo638Oh18lxa7no6P7HZ+RK9w
pex+6ofqsHFwK2ZRgIcBfsJgQsCFJKEzJ2VLKiwspw3tju9NAJahjFEQ/HQA/9/3vr537/jBuAsP
9YSJ9bmH0h+h6LbdbX3MmoM9+xj9fAfSOa951uBjSEc1lyZgJPUiH2COh2SH16X6bj9h8gkeScy7
+72xEeK3Fzp0shGS5e6cgmlpAdn9e/pnOvpaFFTUfOi+fzi/5/14AHfrAfOcbZo82vsS3GUe9y9/
wqeaXvoEoeYnLqqrzITX4izKwH023ntaeQZGiULpvDFQbh/1R76RA16US3BvwQGI4ipKUOh3kHF2
HZz9ENUoCmntHlybU9DcIg12j2J7+jBuCFsxhOLRjqQpuL0RxEg7PEVpWc810GUDmily1NbmA9Oz
Dd+xYgqAZkaB/ZOCCKXP8z10SFkx7mhQoQnlpTQAVmdDwtoxoQsHXUe4qCCCkDulw7CI0Wlv515z
1+zjN3Og4Y3eUfX5IX2PA0xoR35iq71+7WqcCZUieV2J88LJIXTwmn100KiD+PfQfOdv9q1+0O8x
EbDexbf5tQbrtxFprKQqkVWHbUdqALNWEP+db6rtzpjWkTuY0+2H++o2uXKOESgJf+kPCAsfi1fm
kyv2PX1jz8m+3XCfKwYKc9RAt4GGKNhHedJuDvy1EYcxYsPiNozvWHVru3+GrUaKFbVBfRJwHVhe
5Hw+/dvJ1XNSVrQpWrXBn/2qme/WFpRqRfeRawB1n4BlLtMORdO1U2oWBeZLVHQAgUZxb3Qb8Zk4
Bcl84H1gCA4xhNDwheenpGehaQ29eOxpey1/GZx9ab+ZQP2Rp5BkVAHo5LLBWiwKs4AhxnAAwAfi
WIa0qGqozgjNUCRoU6pNPsd4anurm2FLiPTaq7jmgjwCQkjYoqUWlK3Fvtk6nsXxYyVAJ6D7UqAW
kQs73zpVQzZmHAEzSXQELIY/RHzDaizU+FMCZKCmAj5eOXXZdpyzHmQjYOl1/aLyHfdJy1xP/fXl
I0GZHfPd0G+BAXYyojksa47oGaCCBjQcWTXSYXqLvhwMgakQADdEKTh1hF3SbilNGZPaFjz6sfFo
dL1PCm2vRxvv/JWDP5MiBQNTNoRdEgopRnoFQNJeY929YTcbcfOqGAP7hcSyiQSkdGv6UUyHnscM
SFJy047GrQ0mUj3v/kEMQdYKrIrYMmR8zjVsmhXdqgkGTzboyYEZtyuDoqJ3+fQXaQIcDMiDcfdt
00DBUHYSZVUgl4niIF5xu8FlQTlP+yGy/CZLnkZl8ON4K9+3MDqSSCndkziok4+tjZmCDHMN1IDx
n1HY+umIPEW2MzEwi214I/GLZ2YOubJP+joXwy3txVxmey4tTlpB3AG2mSFFQDagCzXle2t2nvpw
a/zpogIL+lgQ5IKgDyhYEL/IriEOjS7schSWB3Q6dFnArWPu7kvUYe1vafqqaY9x/O5GG+XBtVWi
vgwuDaSPQcoi3TH4koHlNVJMRn0EYyNa/WnDrgF7BgTii3g0sUBRNtfQ3myhyixrTZFmM4ZIQGt0
4OuM8KbL0g7vxT+d2z5eVtAVKwj2HAFQxBxKAyjI81tgFmUzkB7aQqweBJQa726deGpveFMpYBWf
/sFSQZ6LsgbwiiLpfy5v0J1GC3VcCLSgBoAEU8dGTWbr+bl2VthE+HY8QckisHXddIL2oHpSaqnt
pzZAVSACe2RaBrB0gd6Coni/vI/rElGZBy4SbK1yFaOy6z6rK0cUsMl/GbqBdbOiAMSBKd9J0QT6
ZZJjqIgORpf/K0/4z5PwqBmbtrRjyOM5+6PGrdcU43EMYc2U6tFCl9Pl5a3Y5DNx4v+fiJsQXVdZ
ig11imHHlRewMe1KFvyDENHYjOloIrCUXgrgynKdUqxhTPWrCqwgPQksbQt1t6rxJ1KknYvyrk4T
AWgYY32HUdfvXQua/vkjYvVG+Wdt01BmglGEf3FQdTrfNGPGTKY5mWCJ+6dscL0IHcfxlvFd8TDI
yaHYjL9QK5Rdv5mYUx0qeLUlqubH6pvK3kLUloqweazYz9zesBer4jBBwwEUBeAsufF4wogO1eTC
a878aKc3mfG7HtCP/x8foqt+C0G9EgWiVw8jwoEjcrGLks2t1aFTmx4RR+q6H0rmBEbBNt7Aa+qA
8Mz4JJKA2ZU0G5cIDWINbC1SeVdqV/jdMP1AJpcC2b3hJ9f0QTQbIaEuip1yGp+BOmsqbNTuE/vg
GgbN1EOjb3LOre3ZqRTJeVgmywu3woLazMx/KzOxjuFo1A+l3k/fNIx3OiCnzPco3WdISdrNdcJR
IaRFnbj3ujv0z1Ye6EN/dflur34VYER4sYq2O3nsTZfxuchiE2kNF7xXjD+M1bfLElYPEiTsgpka
7ZByA60egaRjqoUEVqXs2KO3O9mPhlbFNOEk/NnG/VZ+aE0k0g1AjGNmA5qMpIA4bMGg0BAYYZbl
74P6NqfGI0cV0UNyeXd5dWu6g2IMkiMCz72YX25XfYFxYRCVVuil4sT847b5EUnuasPSrx0USuTY
P8zIwbtIMlqsNYpyHsVI6m76XmI0BDUme2MxyyQXvNepjkpC0O9LwtjCTVCqQ5gNe6sLrBlsgTHm
V/plZXhmvG+2goI10wWcCuIOIB7NRUOOpkS1PRNgVXjdXjHLuJpZdxNm42GCXQ7r7piaW4Nqt0RK
CtKX1hQWEUTWNZqqTYuODtpzfaC+A+DoCvYPxhmPZfAWiRczMuPnDqefpt6MFBjnFmQsna2+Fyo/
lhxlNVu/bSfmKxhzdlkv166AKfIoDuJ+dKFIFjqu5pEkLuJH0MpSE8RMU16gnw+pchCWXRa1GvfD
eAhnAIH4c7483U5SUna4AyGy70Y6gFUWcsFHkn6MNlWMuyp8tkXjPL0seO3uARSAYBxEmuhBkbY1
BgByTk0BcmpsqhX5Q92mu7BjG2LWQsgTMZ+sNCcxVuNMkd4J/VTrKIjaVwV556rcxdNM+2TDFa0d
G0hlcV6ojKI7WVoShupoiZ6JABlTXGkTOr/darABOB5jOrnp/vIGrt73U0MpaUnk9g5wNzgtqzPu
WP2EaQ0lTcthn5Fop8/Z93Em73V+n1jxP7h3kB0jmgS1JaZ0iLM92VQ08+QDABfIWYDwZgB7GXq+
4Op1mlsb78PVReKtjxQPbh6Gt0iinFKZ5mEGkMlqW0c7TlY2dLd2W+kqNc3BtfaYads41Br09M5s
Sfykx3p37XR1vJGnWR4unnO4jKK/WQCVpQ8hxkAGjigAZIxuMFh0Cks/agktiqfL57rUWAjCgBXU
4cQ7SxZk9APpDBf5TQyZLawfYw5UfHHAUxU4mo3LsbyD56LEmk/OEYNkuDGaEKWBE6ZxA7dEGLUV
QmwJkdxST0hTaQIAlIdB1PxylZ6i6fXynq3JAIIDhkRAJxetqMzpa3WMABJIMXfYAqNUbmc7Q9lK
kqyIAf4UTgB4cUQNcup50uBhuYb28qKxf6LivrdDXLmIRxuGZEOO3MNkKMgUDcYMXcsnGnNl1yhj
EBJtw4KsikEXm7C/8DQykbLi9pPSVKCRS6ew91SndMDuXRa07cKvX2N0CiNQFd3C4IqSXzhRBaKL
PHPRx21xmjsBBsukya1TMt+pf1ggUXa0ypu3gLTLSEEUOfCSQxIX+HeZncRiTZyEDFKdLHvhdf2q
czg2FZV5tWgoZqB5eeQGl1VxxU5g5JqgZhc4JjRYnt+p3oiSrJtZ6YW2uuuNX9k07GeEJ2BX3V2W
JH7pPEMIRfwrSdaSkJVRM46Q1DrfiOPC6wRKSIJ5/EF0eHMM0Nkw+1sCJYeTtWUI/CwExg34MgbE
BHfJsLP0N2Y7AWjgbWsjbF7dSzSwg8pGoBJkh9rZZkfGJi3BdQh0Rfw46pOvhuiI3QiC1vQEMLD/
lYMk+/mZ1SVXeWhhYYlmIKf7Zrqzh05phbzn7puzOZNg6dSQFBQN82h8QuiM4vS5PKbGjdKVvPbi
ORspy9oYBQwFU5fYf2mc3U52zH0QQRaBWgyRX9lD/eey6ixuvoDogEoNdHfY1wV7SjmNOs9afIBW
9RGYAdwyCKfhV6g0/cZ1WGztpyTw/YGgA0llmRQEEPAyaU3Md3PN8K3Ieox5qBIeiNHpI95cpooY
vib2FtvZwolKYsVnnXi2pORliFdq7VU15hb0AbN9E/0ZoO0ADf7GPVw87iRZ0mli6H1DEgWbyRDJ
ZgUOlB/+5bj+3ybKQSyvudIkkOMx586KWzoM13X667KMxV07X4Wc/3c61Z1D4OAxiO8PqxXKYoR1
anTfVluJ+IUZEZIEMEL0QKHrSnzJydmoFotJaDY4m+Q4ZKrPrZsqSSmADKMYn813Mbr6Ly9uVR1O
REoxCBrmkCHqIdLsdZ+XGmVa95yiPqkSxWvLbMOxru7liThJ+1hX9wjwIC4jIIQMr6z+sUJjrLEV
Kq7KAZkD2M1AtIeUyflODlNZaNPU1cK/3bpx7JM+DxSOtpxiK4OxuoMnoqQl5Vbq9oDnwmI0XuH8
tMYDS0fMGwQ8w4r/5bSQ2UVwigQQ0tbny+p0Z+B5AVUkRofBoOVP0JkdK12P/RxXqzbHjeu1fAML
jfwrUIbBE1vBBBAVNxj9Blcqx/Bo1lw3YMsquvc2ru4tYmHSsHVTauBkdreYoFeNMUgmQPLriF4c
6RSrMQN1fYVTzBTuJ5VBw/lXSEL/8hVY1ZUTKdIBlrmOQXoJpAwuhsv11Y0aJ7sOE1AzAP0ui1r1
b8BLAPGPPmPkpMSKT2640/ChFiUBPH0Dvc/8FONwEoxfjXxem5h44o+RQcFPdFns6j7iWYrAHC51
4VX1zqrybBhgV6ZwN1po0tIwHMBS2o1oYdV+/ZVDpGhhipUhzJW+9srU9TLjRwOmm6KjvbNHHd8j
9QdSqRtLE4dzFuoJBT0RKUVeo6MXmBkOkRkODMNN4DmBtG2qHwmwKOrWo3tLmn5+fLMDMAruIKzl
QPXwOVKeLPc2Np/jIoi2iPa2NlNKPw1WYZmFCllWXwWz4mMkejsjLHgteq8aNR8Z9Y1H75ZE4c5P
lDPlCqJqhFR49Ca7lvR+4kbBMGt+1GVX4ZiDJm68tzr++7J2rkYJJ0co3Qmt0FjvlBAb1UgDV5kf
m2RjZUv0nFATBHUYf2gCIrXI5aEOotlsEjTFN3H/WlfvLTqyIl/TD0lJ6+KQm7t5zmiYPDpgaLNU
byTXdneFHjTMsNoI3lev48nHSPtcs7zpgW6pMXf8CWnvgKfXmAq6IWR1V0+ESLuaGUNChgorTtOj
UY8gFWn9y+e2ajcFuzHSvwLWJEmwcVRZ28+wZdhCrf/dmKhiFdSprI3TW92vE0HiQ0710jRCnlQQ
NPAW6AewNRqvmrVhu5ZCxNQSVDR1McsXGPJzIXWm6RmoEmFIzMFTerYvO3NXutqXj+VcjGRBFJtF
Rmrg7EGgD2owRw2DCbPRvnw051Ik26EQW2/7FotxZozuSl5rALqr8NdAvpr6E6B7VDHRkIs51cAc
nW+aM3KSZBZiH7O19n1IjjNecGgmb/eDpfcbW7c0TxAGHm0CZUPBXyZn0p105qM51h7IMdBU8Gwk
nmP7sWJSkgR4BeDWbije8g6dS5QOK48NK0VjN/yZNd/ZTU0xL+/x8iVaVTtk5gDZEr2iMvamt8fS
ricsSjGyX0UxmG+paYf7UNCrXZa0jFNR0AYvo+BMFCVLKZjKuDKP2mTWmF5VHvX40LfGndnotPqO
WUSXRWlL0wBZ4C8BcAmzZnX5MnVNqadObiFsnDztfac+j1R/LD1+bfluirkBw3vkdb/QfXhZ7idt
8Hk0cC5XOjCtYakzWaRGE/6Lc8xu5ocmmO/73aPmicZ8ZIr3Hf6zHVGXvpBg9Pq3Zq8Eoh+2DtpD
8qp5FlV9ZIxuMBEuGN6M35e/cNmiixtzujPyjSnLuuOG+ML7eB+/AL0dxKCbcDFGob7mweC3FBOV
qf5U0GOM5tx+C72+DGHOP0Do/IkxndWq6boRH8C0Y12/adaLllyZ+cNkwFNsKPdKuHsuTHIRTNWj
EpAA6AHoA8xbgwSRggY/Z9fXu5A/12Ew8w2TtKrmJ6onOYtp6EGyy6B6JOupgarZbAcWYsM+PNhb
HnBtL5FCRdcEytfAdko+I1KdsC8VG1cKDU+KQUc3pFOPdG3U+119nb9dVp6V15gJ9uq/8iT1Lpht
8sSGvCL91mLchnqX8x94/XlueauAyGPcOZ3XbNHkrtldZOUwhRsvB8GLd64xIx+VOM1CaMx4HyZX
CnNphgZi9Bmm/KCr35yvj5AG6FEF5B85QHRZyAVQlzVzOlUQiLrnUP+wy9cx3LiHy2Y53MMTGXLi
qCI619tageeq6+e5mMGI/7NP2Q8TRaV60h40bl4Dd+SjPWZfWRFYZd8AT9owyQvSMIQaZ18hKVCS
sRifgZUOA/c4+VWFxWM+ljsNczaY/joPEZ4yN4rC9nWPhqwx2yDyWrssp7sgKVRaaiR3C+yC1btB
xdENbr7N2g1JHuxxA522pkWnoiTDVxY9gMJgkUa52aY1r2lk+0b322h2CLbT5mD3/2J8TiVKlq4k
BtgjZ0hMp5ek2o85SF9zqtjcb/tvjR0FserV6tdznudHKpm8sUZAMgupo/2tNF1qbsVcWxspGTgn
10jTcAhoijkGbU5DlQE19YLd9EYZACL0WqDDeS7I02Xrs2bsTrdTMgMKeli5Y7swdlZIB+vaTFtq
tzZIZ/5Lkiv29ayM2EfkSABNBmm2HFrObZU0mQrVjPI/Q4vJbSgou36ufbu8qrX461SMpCR6Ffaa
LW5AOyeHsJluzdYMVP2r7Lz/56L/XY2kFYS1kdoYEKM2T8UgnJKxKzjG3G6NAfj/mJS/kiT1MKpw
SoD8rL065v9D2nc1N44z0f4iVjGHVzBJlmVbzvYLa8YeM4CZBNOvv4fae3ckiCXWftceez3r2m2E
RqPR4Rx7SEF8F7/pkyMbvtLbk+bNT3jNniIHWSVyfS0X7ydg285JYLBygWXs/KYwh0YqJjVEVT4o
/v5kVAVLEZ2SbV4aJiMsC7pHoVSbt6lTK6erWXGjamXv1kkmeNeHsmjYUK8/U7XP7YCzMp94OUqq
s9ioowa1sKoTJc8lmEbxSlBV14hXquePtYS804m2gH9lzQf2RFYwaOg9bjBro2ZO3E+QCWFT8lJR
3a6tj0wZHUxz12rUr2T9wwBauQgSZwDO3Irdj2BmHtR/m4pfFlDaAUrkK4PgJ3HwWNXJrm0KO7Xk
7fX1WVJ7cN4ca7fwJODjkBASomC0bWwL8aQYfJKiTpSw21yXsrYLnM0XopJSk2JlBPHPkG/7GrXc
uyIDjNzai2NNEneMUf2gANMHkkwrRF+Gm5fPhfgeVpE7w5dfn9WiAT7Zb+4shwiTqayEbuWp19ZP
ArMrdQRyBdL3WmwL7E2KX69LXPSjT1WMO9TwkQRj0nGoNcNPNFB+uaJKhES3g9rp2MEaEcVa40Bc
dpFO5skZfKsKYtYaWFOlPBgMOqvt0uYtnSS3kUIvr1vC5sDkYQR4knVDx5UjfNTBy3OF0nkkg1FL
xbfcV8oYGE0bN7Ym3eJatXsdGJzRZkruYEzK+tMMG9INj9Jg6/1zb93o4pvBihWbdomANrto0t9R
cEuvgiWn7GWMwri/1z8ArwFavmTbkBplVnYLH5H0jrgt7C+ghpIfpAdFjzqCl7qWM31cV4PFG/hk
KNyGSNXU1bBrjT0IOiVy/4lQCfBI8xGsRBVgHhpnYNpaNeLii/V0AThTmobAOAM5XQN+QAOIBFFE
/nxadzEJviM8VnPMen606qSeEQGgm5th7Vm/ZKxOR8AZ2FjOaJFGGAGtiVJBESKnKNfoxJXZ172i
bnyfcYEwe5JqkCL6TeayjezHRN/+rp3st0aU79EO3fItAImbE2/zm85tCdA0PpTHL8mOvWKL9jCH
OuuHcGXyfNSLNa2CHh8Mq2TUQGlOWo02yESnTUAjyZ5KdUS4OpLpgxT1eW8bfdTeNCwGmHiSxeyP
KiWqSmgwWr/RcZDswDNo7cU2M1sS5pY6HqYhaD+Kjla34CAMZlB1rXmUNYt5Y5QA11cG4SGWO6Mm
CStxMuwoqoLQzcy0ugkTrUVBWafs0K+D4G8lSIdBZPoTghygpUBrgroJotJ8y5o+uKF1OIakQFen
gzOFwLrST3e5YaV+Uhuab1YTKDtAzU16k+W3WdIYDmLYtTNmdftSCxoenLoVAl4P6AL3hVqj0Ayx
3H3GppKRBtxkiYNSKuSc2tKo3pRooJ6GUiMnBygBGWJBRfy4UT7Qq8weCmh05lgD2nzbYsqdqc2i
ZyHpdJJGmfnQpt1oEIpKFYRjxkDx29LUcltuR/1LxIrtoioEq7dpMOAi9RZo/ghK14cNmoyCrQac
qB7WuWpvmGXVr+bUjc+aaVYP5jBE940Y0huzo9K2QmTVTftO/IkruTsgNCR+dK1sbbs8wv8xMOvM
K0cDGz6NUrutkem6CakqHsSgDxUHqS/zpRO7dh9Vo146FWjQvoPJEDwUuzMAZ6BsYiOZWZnhvk1r
9YYlo6QTGWR6uYc4mcpIHQQATwQPDhsIck2gsTcTWXochyY8qIEcIfJZpsFdg/rTB0QB0DyqV2b2
adRh0KC0NSwBLGfUgkloZVho9MjVBzGggIfNFGFv6S0Y1kvRTNxaD8YfpVQtWwBPm+Jft4vHcOK1
ozsf7RMPTJ0QhqQizoi8jx/haH4mzgMFafAXkJ58+b7Yxs5bvzO2oweemDXrdAwVXJPOeTnA7S+s
bjaQpv+bIWK3iZ5QbzkdciJ/TK7pJgeAThm3xn1wZ8zmco0ZddEfQRkfoJnQ/I/i+PPZjynOsRpS
zL4twMM6VntdnUw3YP2vLDG/aM1ujRybphXj9vrCXyLW4HI8dSO5y3FoLdrrRYepC18tI5VxG+HJ
awaVLUjgVlFIbQCTyhETV44+Q3Sja4WxklKfRfCrfzoE7lIcAGqfJhGGYFSZI0aaR9XHUR0earYW
T5hfL7wkBMAA3wD0EjxvOL8vrhQjK0Fxb6dS4wXKzORhWr9oVKlerXS4/XQB7ruAALeYVjERJITk
iiJfCdkszfd0FNySG21dgC0Vo0B27y4QBl8VthOgV5Peub6588Jdmy63sJ1u6ALSlI3NKsbQlZP+
Kgf6o4nCB4tN0k1r52jRyQVIAni/1Lnkln89Cmj41AY1Ac5OvwM1QDyaDtRHMty2DfFGdLphn6z1
kyxNEmTj4K2c3esLuiq1HWWWjpAp1r9zA66M9oYufWKyN22tJGl5fghpzkXyoAXiIxphZIhtU2NB
dfE5HGxl2GnpfhCYY6L+zlC9GESL0ho1wJL7gGp1lDIr6F0HieW5ceisOCy7Nm9s3HJEY8kuAjFW
iTjHdWVZFAOsNkmV0S2DbOC5mJCNWdUFeCsU06aeCWGFvdz+XJcxv+F4hUQX/r8yuDcegggKYFYh
IzTKypPqtttWgK11r0tZOl+nUrhTHoyjwioJUroeHAAUYC0dWIJlpx7ClXfkskIoiG6h9gA51IsG
TT0vE0GAKK2v3anHSwL3Jdwgu2qKrVa1OskRsIxq01GBerzysFnaMZDf4RMw9kgLck51UpsAu5rz
QIVw2wwHGuzzcOV6WNqwExF8GXbI8qpgDCLA5UkixF37tFqZxdLdB4vx7xJy1nCSLMqqHm9xKtzi
MDvKSN+B8fWSCOmnFMCIoAO/bNdSqcs7B15sZDYBSY3zda7uGsWDq9RhNsp6E4AnXfI7y1NlGyQK
gBIhFerIsjVQ6qUNQ5XMkUISZCrHh+qpk8NGIZfxFLMt5VGDPqIBAk2F15V/UQYqCwGFNHMv8sRl
Q1ZNVlFiXqke7irZl7tyU5Z/rgtZDBOiR+pfKdxBTlqzTtseUmJ01Uh4vxQFfayC4b5RTdCn1J2d
1bWjdr3T19qzVeeCc30Ei1b/ZADzMpwsJTpVdKnI4LG1dHzXB8RJp/hLUMqNCHCmul2LISyalBNx
nJJqmdT1XYD55pHfdq/x8NbGrx1bCbYt1DghkA0WU3QsWsgT8lBuQRZlEui/wBrM6Pckmt+ZPLqA
ZSRKA/p49asDlHfMUDXGgFGuyhkxMxqjd6rp0dwSgVVl+AZw2j4GL6narrktS7GLk8GZXGlgbuht
HAZY8n4iVbybTJ8VtqU1wBFIHODaXt/gZT2eu2nQh2caPDyGbLUNODmwFLk5kjKXnFootkDfWqkZ
WrQ++l8xnCIPqtQDVQpiku6tLe/ZlDij6pmpaY/FJpkQ3m/c/7+JcZo7tugXizpIFLPJbs0wJSaq
w4t2WDOsayvI6WwY6aUqNfMKAuRGu0MLGSmT/4wdhOfDXAU7d0CgSJu/g1SDlrHUwJcNUJ/U0DeA
k4ZjAjKTX1Ps4wIkDZ611xdw8SyaIlBTgC6LxACXokhLxvRALmB7NM+sTL9vfNXaj0zyrstZXD+U
LQNRDMXauKDOTQyFYzkVFHK0mfdJ3UYImzKButelLBqyEyncLmUmoiDJhAWstPI2b8bUC1vhw2jN
icgyOxRhoq9IXJrX6Z3OrV8mBb2Qzm6Dloikpuj0HHdR9Of6tBbvVxDmgpERRe7InXHupBhKaSyY
kJLS6AM/+1JtbmqjdJNg2ueagvKyQw40AURr1viTj0Xlp26mBLAg7BnK3oFtB4QzzmOurGlsY4UB
4bSxwJE7tcatEA3vQqPILnqQ0MrLzDeEiqa3ti9Hp01G1W5o/Bgqymcvha+KWdM7QR8nn3ZiQsLQ
EFaaIGezwo0QtL6AYgQ451yqyI0wFcRGAKKNSirluS3f+jVwId5WYwXO/v9cxDfPmkjNIgnYRZJP
hVdDfh7SQ5r5mumUIfuPppoXxrlSapKrUwmQFxKg2CKMSKqEHsrYV6IEF2nRWQzqroDwhxe8pfI4
E3LTduCdkFVwb6hENV41+qkoLwJ6kirtlsovVb9rOk8M9jIwIFe0eWG/Zip4NKPAzKEEmZtibnRF
WinoiJalD4k6aQAw38411B9DsyPm1k1va1rvWv1LQBFZAPfPGiHtsW+OU5kZwmBuHIExAk7HuTkS
9EI3hw5KbYylK5UORaS3im+Q647k2C6FexahcH42vToACiUboFWD7E7MFSanVx/k0m6iTQXOxTEg
VO7tNvE74zkfnvraUcTIFtExWmmR15uqPQYBYoNPar0Z85gMZk3y5peaA8dX2LflZ6b+aeony7xX
LT8ZRT8MEbQ2vDR7YgDtz9cwfS5sCXb+bOqcNsexEQALBlOvQupEeopQMM42HiTq/cBQglI6Y/Ko
IV56fdcXDtGZWG7TwfMiCOjI10g3eqy3hxrr+IReJShbeBu0a2gOvCvCzZJv1Jn6nppNCHHFiDbl
cUQM6oYOA2k7tO4gQzB+i+baXcrfBbxM7i6Iy7bThbzTwEOg22GJO0fISDyt5XYvMlD/yAHcLpqG
Uf7G4wbjSR7olEHOCADz1MoQtn7K0z+WdiOxg2EIBBmKiTrl+NbX1NElT1a+AcSKYA6i3RlC8YhJ
lsq+H/xGpEQQypU78RjduDxdfwfI+YFBFqpaIWHxtRCLb94kYL7I1QzicOaNzcQA0SaROpVdI3yY
4s+i3NE8I62YO/lg2WOMVhXrwJQGKZR7E32ntXEnN/qv6xp5kVA9riM8LuAvg0IJ/UfnRgB0ueI4
NljHEFXhgmFb9CWOtkioyaipR6+HoxqPJjjhI5THVm8giGfDt1qYK6u1qDUno+DOIypuBoMGGIXY
ogE1+K4aieQsWzl+SwYfkaK/k+XOH3r2WZIGc1ClxoM5nyQRXLG9ths0NBKUloXsdQECNBrIgDPP
s8hlQHkkCUvAMqDE5krU9qIi+rj2KLRAAaWJPn++IbFDDyneIYMGTNZDJntRvVVUdN3GGTEsh1nv
RvEhYv9BzYqvX9pQuKL10de3dBWpf97lC2U9GQm3/gXolBWlwUiabiJJtWGNSnJa7Uz5xgpAAlk7
EkBhBPkepUqi6IXT3TC+qELgANiagTk9SUBgxW7geNqN6WZaaycxSl/VlmQpGt1jtCWW/ormzpbk
cszIbRxzHKgLPddcgaa9YfWjRqLmPZB9w/gQlIjUjeoPuWoHqLdpOwSLCZPalQDTorZiy4CBhU6X
C0ql0OyQ34gnjbC0LwhDNY6DDrdvdcZ4uT5J/mXyj4b8lcTtS2gGgarUkIT2QeRTMluI0IQ1bHW2
1k+zJok7GnKGTQsoJIWK6AS4uSc0fyvpg8pWHkHy4iX4d/X4WwkER6YxRrCCcRU4pkomGT+mNyWb
0LB6YALyQjCVIfLYwp0k+rJyE8Y7ZAkj9ppa70r5apgT/vLZj3uK1qKa3edWBiAWt5Bf4fmO1uH6
HiybyBnyDIA2IIA6HuOTyJCupIFhzGZbF4K7IWodozYOoQTAKSADe1RWvUEEcthoOJllfdLgq66F
0C6D2J+szinaNZCAi1jZUStOBsTZ7ClSq0E2MaBcn7xiLG1JRPOLddtEsm0JJSiFd4340CNWbMQr
T+UF1Z9pRAD8jvVAQR+nJiCxEwBBC0ORtxEIk4U9sJjdNi1XgihLU4QcRGqQ9EHW51iHdLLmQkMB
/WjgQhg0AdASYdSTZATOQzYCVRyId4KH/xYtMcHMy17jhs3o2JG8M9e6pi7SmVhsFBshNSPOjDCg
Mzk3M6mC2skog5lJ6uYXOnEd9H+9Kq3uyAOCVYX2FIT91hTprSUiRqlGB72X7mNV9bSOrlQVLq0K
lHAmiMejQUGC6nwsBfpX0zLFIU2o3NzLyQgHu2i/FAvFDvgFOhqqLH4NwyTfAbILdWe9eG9G4Hpb
ORHznDnTC5o86MHsfKEWi1NAVFRJgRpJGmmHMnMj06ocWanFWykoInSnhGgGyPveRm3JU5RmQKMC
JpVNY03G1rEMNSDB48qIFi6Ds13ivC0GXFikEaGXrAVfseZ39VbU98VkECu8R5FrLWY3hnbLshXj
sHgeTrRj/v2JngaV0lh5Au2I22SLEg8vnnK3aLOVYzcPn1twTZNnNYThBB8it+CIeOhSPE+PJje6
FNpWu9Ihs6RaZxK4m0bqVJBb5phIZt2FxtugbJtsQ9HsNByy4kbP9qp8C97blW2bI7zX5sWZkwCs
R5FqYl6a8SJNqKQK/FS8EfKHOv5JW1+IPVH9r522xwMN4gpQ/YIl9aJ1RWsRXtBHzFTVYTECdZMJ
6CDNrZXowsI1p838GP9PDLegtVhHozGLGUKQY/V+RN0gd5XhsVAAh8ZWwj9Hg3ixkifiuJXEc0hu
hRKmgRYPUuYJyR4smXH4J0WFVKW4WQ6fwS7ybwBHk6xf8cUWT8G/wg0eEShNslRqU1xIShO5vSXe
o+tg36Xm/3LYTsTMRuDksE0piq+02fyV2mPTAqnvfVozJIsH7UQE51QWaFUV2YBdo4DXEvvK7oQV
U7W2Vtx9QotW1OoAEliEXr4BUYAhvLGKtaTAbBF4fdDBfSXJgFCVAUB+vlaoqxEyIJPDo68VN64S
VI7tpaolQgxeOHHFTT2GijhpZxcTZwZD1Sy1JsHOVNJNN/5okbzJ201VoAw3SeCa3IsTKqIHeGsG
OEcMXzQa3xyeLLZh2rel3onKd2F8C4qjyg9WmztNUThqvxOMXya69mgrr9xgC6tzNl5udRB6w7u3
wHhRJYeSLL0V8eph3ZZmNXCrxa4kYZuscXvOR/DaInEWIcxkMwZ/KEzs5OYIrfXIgNdxDpoCarNE
JUhRmygGWzGxCzcjrBySl3OUT0ZFwbkiqMWg5PoARUBBAWluEiSiOsEGKoZ5lxr3+Vj/qHr2WOvC
dkXwfFQupvtXMJ/dCzslTbHK8+v2mfUfkvwTWoAvMp+Letsm1BamQ2nsKlQZMm3F9i6csTP/hFtp
YFo2CGxCtA780qz76Cdqd2u1OxcVhrhIzqTwK6vrKG8ZISWBRUf+zY/H1wJIqSMiiOav2gQITk4Q
OzUKlESL9kQjZ8oTBOOeygRkGCgQbt9lCxHUFKxX7yurv7ztSAXAUQeUIE/h1uR5mZUjXLSCvQzj
LlW2SgqAvdoZpk04fjfBLlNtmq9s+lJYDmvyV+ysFCcmmk4Tit1yvOh6C0FG6lI4hHEauy3wjevG
QQbOLoJfXeJLUU2KdI83PACYczKGfio8ZjJ6kpD4A7JchJjZrlkb37zxFzppzriKeLvDOvLnPlGM
KhKwKrraO8kYE4ouMos9BMa2oR/j9LiyC2vyOEUUijAt4gbLkcQoBJZvpLgnkeSV5TYVbuLypTOf
NG3f9ptoALmGCiw7SpLwTzKg6uugl2sJ3KUA2EwM/+/8OZXVJ3AJdsm8Pdp7zqZtnU4omkL2P36R
BZuy1xGwtCx9rkaMyF1ZjAVn71Q4X/oDXGxtkEC6g2hriyv8Ng1KTw/2ARJiQFrRym8r+gLr8f8k
FVD3JtB3UaPJOQ0CLqHaaBUN7BsfVioSLX8P59q66kU3t9WAGlHjSVCFlcnyGw+SV9D6AP0WLzVk
lHkk+E7szb4STIMAFktLRhSL3YbarSK91t1jsYogxXstMhCGRGQnLR3NmHgyc9cvMHilbhKKyH73
fnvbPw9f7t1T6Kxl5S6LSWYgo/kusQwFDecat5ShUCosmrLYftXI3vMIuSW+T2x3s+LMWnwwap4P
yhPxxAf8O8jE5vmeWBE5kNNCRiG57eydvfe+/+fD8/benkAs/uDD/b9f+MEnW4I/3vHrn1+6xM3J
7a3tbA6Hzc9h4+wOr4fX79fNinrNJ+bUomCoILzQZ/4L2FnQCpwPNataTQ0KFs8UfLbnebF9/NhE
K/f4ZUX5LEgBtxbqsNB5xKNgin2R0WzE4js7x/EcD5N2yYoft7TDINVAiFxVUCQDLuHz2dSKlWVV
XMU2Jbvd687Zf3r+25dK3tyVLb54bx7X7UQSZxnFPJQCK4Kk3X6PbbPdtaksbQwSrEAenunbTN4B
jgurSJoYQZDd3nHe994f4kMd7M3KE1blfY15IqdyuIlIXVZEtICc/efn7+fn55BM5HkgjxMp7Ak/
428Q7d669ubpp7Sffp56Mn/+AKN17g4byeG6Sh5Tx7xKIq8L4BgTtBCwqtwmgtYJZJQSNGU+Ltv7
LZaX2A7mvrHtlelfNroep/9XGBeS6o1cHLRqFuZA+4n36ONkQpKzcVZEHdmtLuaFMnAwNsHGoUT1
fF4iGlDG1mpmUfv5BHjb+djPhgDTw/yc+c//spYnMjl/JrTowMCaB5nA2iT4BuILfH/FbCkYWP/4
b/7D7cPtrbuyiRdB56NanQjmnoms6uRIpBAMC1gQz3v2P+y7NaOyeN6lEynq+ZIaoSSXdTxPz9kj
VAYL+uBDU1/W1OTC8eCnw+mkHqe1JB4FvTve1id3axKOcdgL7dBVFe4ugJ4v0D2VpMjRR/TPTu0M
8t55zHU8/+GrdL+OptLezGdg5aWxfPxPxHLHnypBlk0SxM76Qck7s99fG7fHdTCCGLVxOwcdkt4j
wU2JPhx8pvjxDQUHdguooRQ9kjk+sf4rF9OxNfHaenAXk5lH/SSr/2ztfI06++M3HJz58Mw3Kq7R
+bDO3/AdH7f45/Ew4Tjhw5mP8fXzpM/n5cqoNK7kU6iCiolnozqOzXP+ub3nUcxjwR/cCPPH2giU
WaX5EYAKGHU/MhIYaGo/V/miQKRYrVHgMguGR3H8gIl8JG+Y/Z19M5tJ5+CtOTUXPg1CgSAVQ0W/
ORdRK9wJUOomUjoTcjsG+gCmI2FqMWJRzVXScOXdYcym8GySnDDOKrdJLiSRqeDyK8h9SEKCZ7Dd
kT/4aSIDvoez5+ZivgTT9m8f7Mfto791XUz/5+fwjWXZerBzu9fDbnNwDq+vu8OGkZ/Q6cn3Wq8a
H4yZ/eN5UeDfaMiD87jzGu2zHKkmasu5CAiTYqQFesglBQ0q1RCApGYypngb1nm6YmQXtgTIZ+Ag
QXYH2SR+S8xAqMZJ7ak9oBuC4NXEHOT/37VRS25oXksrLtxsCrhNAR4EQDBQggwzdfR6T7xaiyoK
rTvMU2kRf0GTqer3JmjTwftZu4a1kiy68H8QeD6VxrlyhZVTTatFTG566MFTY93p+u2Q+zEKvdob
pFevn+yLEkns4pk8zhBWgq4lTIC83CLTe/DTEGUz/U5/h9timzyWpPbp8+j0v7UVk3Lhf0EuqD8A
lg7UftS4c+dZV6q0DgqL2mV5iPtfYYK05Fq4cEXGsZzsZOeYTKWs7yCjouhoRgZSZpseiZ7rS7ik
jicz4V+qMhL7vV5BSpYqz3KvuKx1xK4Hi7Ky4n0v6IYB0m7An4IRARyV3LWvW1WaGXkOLpyEOjnz
qLHLOy9FaVSYiS4DkX3frOjHwuTORHLmTwt6dAaH6O2w6sGL298NwDR7BT3Wv68v4qWnIYtngjjT
NzOwxQbypPaogW42R8y57A1HN8CY2oYJeuosx2h/KxP1+z53E2Atp8p/DrriMJwNgjt8Ku2ACDwv
cJMFJJV9tc+Iav6ZtK9K/z1G+3ZgNlX9hq24IwsmBnJR3KiBaQilndwqm8oYgSUKciMp2YRocbcK
0NAnT63pJPrvpFs5ewuW+0wct9bghxV0QYW4MJre8rFyO1VHIQeAMDRApknWz/W9XdQh5NRwb6M1
E53q51c33MfEAlo2CrSY6YwVEAjuJhH1oms1jIvTmjtEwF4DbGC++CCKJ+C8xpBTZU/zoegAFCaF
jlntzWbFSi+KslS0n+FLhlNyPqWyziIwpVZgZxMlWww3iuBk4IYNfsXKw/XFW1INoDBpyPLqoErm
U8jonB1aeB5ormrdVkNF5KGj96IOdAjptmlXTvuCwTROhXGXgRTTEq2tEJZ3Te53CQrtBFNttzJT
1vAW10Rx9p/SqVIzCaKU/s4Yv1LhAUxpK3q+pHgo/VfBvyChTs/kdklqzEwsEihEiV4wiiYlNAGS
UhaI9T/N5kTS7D+f3DQIE1tztx1OVItcHQgepOCu6z6uq8KS+T+dDneOkqpTxSKHkBkqplIeG3Sm
S5ovSc/ZWJFmuK8q97rExQUEIDTaIwG+dVFqjssGjZ8j6LmH6E4tvFLcxumzvNaCuaDi6HxA2RAK
lEArx6v4UFbjWILlDVgoP7LhdrVTatuuqIlofHXBf24YBILYHAVVUIiD5iG+UUluhqKZZirVTOtQ
rit4gMt8VkH1YAnFLgv1NfdxvpQ599FENBS+KshozAtc5UmqB6YoWMNJ1EGpBjCHtaLqhaMEhGmA
KaOhdK51426tvGnSEagFuD2EzzK8y8YBPAQrrseaDM4yqGksAiQcMiakI3PzkxrCrWQO3n/Wt7OZ
cEahj6mmhCU0oQYKq4LW1WobK08Siov/f+RofOEDMF3hl06Yjah24H+5j+ItS0p71bvWljYfZQka
GqDALYvav3O7AKYNtVJq8DhPNYARCatH8JZEIC12AmmIIwes1VHhZqyy3ACNM9uoH/otoPfg9cRK
vlFjZgHyUkfNom6CGYTGQuNPETgtII39yUUgpZA6qvIHs7WCzKV1Iqa7eJjAWp6NNOjdFqfO2LBc
SUXbLBrFpWkpgxRsGt6CfhI/khANpVZcjp9DmBrBIe/Rb0lUsE8/9qIR+mYq6d9BTKcHI5WR5xPM
LvfLssx7oqORMLGnoWaBXwet0d1aNRUqD2gaEpC1mGG+Av5VfhPqSlHQhVJEH+VoSkDTCAMwDJqt
3G2CUs69PgGB8IrpX7IpIKJFzx7oycC9yZn+qcSNkEmg9A3y1mk1v4YnV6qbobotVQAePV7Xp6XT
cSqNM/9hwuIxkSHNqHoCPDkigOzKtPqV63nBHKN87++kOG1q6ATNGSFGQlNEhj7/x459VavVXfPa
8BYLORxQLsNdm8soz5W2DgDPpKC7Bni1X6XiyJmvqPc0Smyl3AmJbxT3VvWg64fra3iZWoBhPhU7
z/7kDu3bKEzhGqd2p3x3KCEtsse0ActP52paR0T1vhFcxMUEtl0RvLB7SM/MXCqwzlAXbr5AaWgF
S20zmxnxl1p8Tt3gadoh7F7Qdnyjh6NrwjcOqbYd2ruJagdQSG+nqLgZFcO/PpYFv/JsKNwatLWZ
Cq2Eoai9BBTHQnMErXRUpQXGekG3crFWobjgU2DiuJxm5kIwU3AWN9CDPFazPrPTAlBfaeGaJkAW
tSy4Y0LxEzK2acbmqVTN7+sTvQxhI9WKl85MfgSxl6zUoWY0g4VeEX180UrRi6Ts1epzNK6lT1YD
MFxTBFVQByamGgUZw0OMVppWi59a+UllyT6QngejBNL+Gsnm5Q7AVRTNmTQemgCC0nMt1DQW5+DR
yoF6VPrN8EvIABli6l4cAW84HVZO9KI0kOmiYxobcIGTo5lGEtEahEvtUIAVxkA0C6RkYwEWIUD/
rp3si+YmGSVlsgmMElCBW4ihcbs9ZUGhmjEqe73kKduXCOdvdoed82M5m37lir3MMCEyeKJZfB0R
kBJoD+QoxC+LaRuIKZFCMzPsVlDbvagDMNUuc5rskqkxihsaCQGIU9IYcdayiX6CURHBWUZ1yTZY
1j2I8phsksyUCqKig0RGsQ6g7iKqDa9dOPYySdSouon6TrsZRTF9EBM4W3lYrDzGlmwUPHBENQFo
jiz3Mf1zYqOScGpABg/4aUkAyV9gsr1oNhrMvvqB1Cx165o+m2X4oKX+VFGFSAP7uX5wLu6AOZWM
3k984HKD23yun8EUTpkRoVEuQqdZEHpWjwqUwanWgNsvPJejHIDVImmNnD4f3UUsHG0JMeTU5XOq
ZHa9Bu5/YXU5AdxB09FWP2XFLGB4gl5I0mG1dGVtDpy6t9qoJLSFCDMCnCULAIkurqj5iogLpEkp
gfGcl6mJdKKGr6K1vb7fy8sE4AuAMcm4oLgbIRhk4LlbsApm0hAUqtf1o6z/d/fFAuk0gulo2UDF
DedXqJExCUosZnhAZG+KEvlWY7zq0lr/wYXqzhbhGLtEtA5PSt4n65NB1ypYhBHAIbrsdYAMYZGf
AY/2+potXC7ISsCaymgOFy0AMp0fkkbqAaNljiBBlz8GBGjU965wasnJpptOfEFvFNoDo2ijAMUu
DQdUcN6n8TYKN2AFkPHvro/mYgfh5R+zVuh0gO+mc4oupskkwCbBhUfKoIg2bMzt1Ytkwdxi5+B4
oLcH1XiyPivqiWUS0Es7DmBanasH7lHP8Pw8p/SRF3oaCapaNv89L4bqCaAliQC8gknk7RCLOkMZ
KnhrIcDIpNgZNLBXvA5rDQ4X5wtuwqkYTv3xqlKAoAUxGSrtevUODPMr27NwBc+9MOC2QW8Oim3n
358snJaOsZRpkFAozB3FF/BH0Dz10wl1/ytneWkyCmw2CnXg9eA4n4vS9SmAKsDnASNQ+9DmcXPb
t6vgUguXFLJjAFcz4NEiScBfUmYeKGotVuBIyK0QgSK01sTGdA+WDoJGH7ecUDU9/h66zEubr6DS
nq7r+0WXPpC0zuRzewbIeq0DkVRmt5XldVVHqhHwiYoU3U3BT93E3iioSGjimT+shZqXNhPgM3Bl
4U/hfuZWuCgCCYziDbxKVOzG3V7OnPnhEgy7iU4rinNpzjDNv7KOlV8nihP3SBcCyTizlam12Vwh
O+yUeGeupegW56ShVAfczUCc4MPn6CFCCkbHmyBDbFESCwLWdzbepe1nLvgrW3f59MOcTmRxVmTo
1AbQxJCFmBLey39ECe/ljR4Utmr8npCHiUGkpnjd8Hxd8MIcESGxQE+tIAaLAZyfDNkyQSusFrnd
Zz9hLhAwQSIaSMTkxrAS93+Qhegf1APB7svK0r7O8oSVuW3JDZFUX5Z9sQR6R8NIu4aKtKAjAFBE
uQLcRdlCOdv5vEoguMrhWEFW4+vSfgKcYjNIZGIr6yctmJYzQdyZK5Wx1tMBgli2o9F+Kv1B+ZZN
d0As3wBtZ75DalCUX4tiazYuW2OHms/VecgAaJEq0Adx66I/iw/h5pqVhngo5nag9Y4AEKM21u0e
HqpkPOVNaQPFgWoryrq4ticyuXtVgTWVs/9D2pf1No4szf4iAmRxKfK1uEiyZNlu7/1CtN1t7vtW
5K+/QeM7p6USj4iZi3noAQwoWVtWVmZkhAabk5Z6VuwpGWSh1Bu9NVcO+trgBKdSAisalxzEZqoa
M3SmYVAj65JPBfK1rdbbkexF5vv1TTp//JUJ1QTADSi2RjCdYnA5RSr8pm2cSfs5NRoScDaP690/
t3b66J2P54krG7nc16j2IClXRK46VmBnP0hIwCcV96puYLxcI0MHsOVihPNbFC8ppEVB5qMKyzcl
LXi0OqhkSCBTGDZ9WvpvU9B03DOKmpreAL5aNPqVkiVtxiS19ujORsd+UofKiwK0q2dCfwRKGz5U
QCCuZH7lhUI+ulryb6TICHZjOlKPZzR6MoOhdHlTpFCHmia+oXlV3suSaeyNkWhv+VDVm8IqtYTp
ben7dqGP8s+It9FPQ4kpIMKlZLwig5/Pfe85kRnhvOqdKk3qEcw7Zq9ujEHSHock7qy7xMqL2IEE
TQvlHso5yBbUvux3VpCBziRLYvONdKaUo8Oc9LULytqpA54+s/5Azd0Ytm2gBxCq9yVNda1RVvim
TuSY2mOD1LldKw3K33lfgTY1qNDRvZOo1ps/ZjZJ8PhHCuc7zc8gQRr1TZbcyFRKMX1dAKG+TOWb
ONSs9s6P0qDdGWkVbFvLGGHC4tl7CBKNO/TclBrYHBuqe7kJhtuJmKOP/h8JJXe0pvS3mW76Mbj/
gjSx0yzldJOpmu/6pA5DOx8CeoiLihY28h3IW3O/R6iv42JJbCvVxt/tJOsorpfGqG/KHoqJ9+Hg
gxJ9jOV2cDSQyIPaUBrTx2KwjDtCSh65PC+SWzJKPlinw5SDFaaypJ4ZkZa/96oelTe1VQ66PU6T
4jXNqH4gh2aYDymIJmqvDWN8sN40ratNMiFenMrINLVJWN7RScu7p6ngRWdnVplXrkUzq9m1ZSt/
yEo3bmQ/BPWRDiUeJLHrmEKVPq7N91ALKAg00EW+kadmRAkYMPBnVHuiyo6zon3ohxJtO11hRE9W
S4FKokTKP4dSH373oVG9FeMg32pIeWwrPaB7EMplEuuCnoIq3+pNkMXKxrSzoPX4lFhN9sPifdU5
A1ASjpqF1V7rgjhAkw4lj2WaQYOvIuPktmOhx6wZguSlUOrqvi6gn8N8a2i2ZtybMmuCGLSR+dT7
v/Qs4p9FJTWmjfr8BBbHQgZ5BK0zyAVzy6jcLkbfDcrpig8WizH/lU1xsjViSX2plM7SndT0iz/I
FzeaDTE79OWGRTZBiWugv4JQJxMUcPziIar1clObOqlcJaT0rkKnEUiNEnmKWR9ZyOmAeh8aXjmE
rZHnVP34lykppEMNAVsTuxsePTG6fPAGPeQxq5Uov02z1h9A+JUOoPWXA1QMDTwTbiWejLKX48h+
GKOSBCzJeqVcydpdOGekLlTdVPHKwisWr7pzd+kPZOi7TpHQE2ZLjT33i4UGAf3lrRk/IF163Tlf
XO2zNQgSAhYOL3kR/4WRnjepD2uS9avJoFGg/bxu4DtSPbtsBAvzF5y4fz/U2qqIURc3NtNntE13
3rT9o26km/Ilsj96ltizkiaSlF64wjV9cbV+J4H+ZrPmS+LEcg83E1Up0ic5ZIRQI+3bY1O8xGPM
ZsKrrNmWw1rGZs2ksHhpNiBNSJBQCcafKdA24CIpcCBSr1R+9aZuW/7K5Xrx/hfGKMwu6aa2z1Ev
habj0SSeSqCmEa3EQhd95GQ2gr4BZBlNGYzkQqA5GKEhGT2MGM9k89Y7yUu6G4YNSP92+abZVtvr
W0a5CL4Ee0K8WeV6J5MS9npPeVTe+jdi/0hsv3HI/WE4kAN15A11VoxehAyCUSFM0Vr0YprGnAsD
/VtQ6TaohSdr33d2rFFmQIZVqlkFndCkceRqZYqXjuFMa4JuNEjYoZvhfKsqQWIkYJCRGPVvq+zO
bFYq7Msz+vf3hXgo6Ps+7jL8vjQatqb2LrSY5Ok2XQNero1jPh8nR64y1EAf5+1Y1CnLlK0vr6GI
/sfm+O9QxI7BWgMbEOIAiSHpRQPnZ/QwHfrtZwOEwle+B3jegxjKc7Uygatmhaxf5FvRxAeYtYg9
/njIvmQbIQvC8/3w/jo62e4ZooP6yuPgO6UgOk+gY3APoMtOBW7gfD47GehZ1NslNoGx4Ub/JJtx
Y95WX63zdB+nbLwLcRYCp2bxs7xfo3C9zLXMR+LEuuBAK6sBjsrHkQAzwQSFtBf0KtSM+660Ia/h
yhG4BAt/W9O/E3JAvYk4RfBsQxRwdtfxofqqXgjQ6ene2Ckb0GO88ZuaAXu3T9CsuXby5+eOOMkU
OHwKNDeyO6J7M+OJTwPHMDnIcgzdKVGPjY+1aqvjrtSd2D9WaxiRxcGiDwtOFf1uSKcJLrUBsV1X
ShhsBgkpV3ZziKJs8r3+I2XDYfRMz3oYtoio3TU81JInODUs+FYDjUtVj8AdXIhHMByMypOmQ2lb
X/HhS47g1Izg0LCWCD4JzMjknQKubPR/rvvrxbji1ILg0iTq+8TXYAFp6YqRm9LT7lvGgkMTOAYz
2XOzzTcP6k6/XzsXC1OItk6ga6CNjqySKJVBeBmCG3CUWNU8KyhqVyDz3nHr5foAF252WMFlMMPJ
LjWj1TgDr0kNxpFUc3MUIcM6AcQnXIk2F9YJGaSZxR8pahAhCw4bvRVU7XKOQ2c9W/RBDlewrN8N
eGeHC+locGTpBiqbYCG2hIioVyq9QeAe2nvumHawte5UZm5ix/cq1nrRPnHbffagQTQN3U/29HI/
bPSjgagQ9F33zR18zd53teNx2uR2sSMscJ7XCPUuZlr4xHmOTi6tcGbgGPI0tDXpmAz7xHBV/58e
B5jAGs7dCDL+Ext1+wCEj/WQh3jJHOT0h6au/P58nMRZBr88FDpRA0JztDDLUi8HUTag2btVv5T6
cWhvhhAPFSeMVgxd7P15ICeGhLkKLB/nIihBBVpMDFptEf2ppa5cr2zLC0JAAjvfsRC6mykwtoL/
SCfkiNWiw4Ac44Uz6paHxFWPP0t0zqH2sGkP0Q2o1XYhi4/6Q/rD2mUOIoCN9FS4a6iNizMCmjc0
kwD5DUA2Cn/Ct6hZLmd1PoQ26ErayOn6NRTnwqSeGRBcWdbGijFGMKDTu8n3wmxXAsW+BvBa2CMo
wWLvoX8elOm6cNQTHy9tvZ2tVLcpZNlysm37wgY7Hl+7UhdO1KkpQ0wwcqtQFQ5T6DPSik3X3PTm
SkC2NBq8XFVkhQk6msVLOy1CbehaFYuifWolM/O931RsxvQkK1t+aflPLc2rd+IecmIgqWTAUgGO
5jgHGkRbC/Mu3h7YYacmhB1m5WBlKkoN8+VRwqKGERdZMbcJNiNhEvzm9Pv65XL5pBMsClsusIAD
TTks1pIXvUiQH7crO98Hhwqhlvapm/ZaA8VlFUEwKew/sBzhitBgsrvJpdsS9XP7j2VzW36LMlsf
mZI5kjNurg90YSeibID9DuQ3UHhiJbkdoMqkNXpoZ8imJM+a4cb1Cm7nsrdek2Fj1iDAVtThtc43
iCoZU59zI7SRtj0GjDLzht5lPzhDdteLvwwHYpZ2y5JDfvxS3YEdAQ1m5jFjvwYWfFwf7+WLQfgY
YbdCCrLR24KGaDVGWpKB00kbWetMB80OP1rX93LGK7twfJswo2D+yn2/4MrO5kLYyQAS+2brYy5S
9Q/6J5E6Y1X8o2jWYOmXkARhnMIGjpOCVM0EQ6Orsow1x9ojbvpU2NmPdqtsp81zb2teylRXc9qj
tbFuui0qZSucpIvDVSHviVcSInkq3LumOVgFLS3UGSQnVu0Yoad5NzUr/mHBAwE6gB4JlDIIyBsE
K12kksiYwCcCDmVFeoqy55VNs+BMzwzMH3Di4uoAiKyohYH2s4GTA1XnLtoHrrkLP6ajfKdvAhvE
1661U3YrlpfO5+nQLs4OFE2rHpYbt0hZ/6Z9dZvprgEhkq3fSj+rQxPhXl+L4NcmVDgkPelyaCDB
apl4TXbfll/Xh3W5LYDhA84TexSwj4twLwoHS23qAMj8mLRby2+Pc1HE6/3SZ6bUmt51c5eTiIzx
DDLGBpwpWoQsQZ/FtWVW6N3x8/sJCJPqoVtLbC74FdgADwwiefW7K+18i9C2kspeRpbF+Mnv0EBR
bXoPIXy/DTbUslFBdN3BGVlsZ85aOW/ZNt5CAJVqFLqIws0Buj+uRCYyuMk27hh/zD0wP9vgX7fD
1pbsyrH+TIY93QYen1izX+U4Wpzfv/bFlJMcR6WqcdjvbP+B7owat6XpTHaxGdzdNMtMK/bj9SW9
TBAgHw8413/GLKLMIo6EXajNWa2CxTtkHW/om1SwD/Qbf3IM3gld7vqv5e1aguCyWXaGgcChoRtd
A0ekmIssSdGV5hhAtTR6pb4tR7uq3/IAqi64x6T7vkucCuR1Bnjym5Xb+vJRj1HjtgY/FiIeXNiC
O5DHHgWgKQTZ20GFenrmQu3ExQWGhDpTN/FX8ERve6hmMerwz87u1ljcF+7y8w8QPENkGZnqU3wA
qDs8aTuhCe5gfrWHt9+mN95wJ9jzPRrJXLTbFCzfJ08a4MG2fHNsocboM2B1Vnz/ois5mRHhQsVT
jE9WHCHHMbpGU4AWwIsQsQfSyovr8goAZJ6SmRISwTRq5+fnu0knyBp0Pghs+J0C8cCm8obyviON
Vw6/ru/t+bieP1ZhCqTpBmChaDgRRdeSSgegWoMpSC9YDwnIgh6GtNlPY1JvoREc2WQcPtRm5PsE
NcTrti89P3wInpYUemKgQDSEDQY5bC7VJqYT4tu2T3O3UVZGNwce4uigVAYjM1k52hDOJzKIKyPN
jRiQP71zqYQQjLZ76Je9tnS0e6C5KCq+/2JQKN/h4CIAxdDOTcYqZNzLFvnwqLqPzZK1a50ji+dy
LhD+x4JwLNJ0KiGsAguhCr+LFlTMXusMvyao3LeZW7PRi9lL8oScdGD/loHpWBni0p4BiAtB0HwD
aN+UOycRCvigpQTtOyjiRYhm53BauwvuQZy44oEWXinYICeGhJFWWpymJIIh/TE9AGIAFUKA1fbR
LrNfySfxTIutKQB9YyYvtsyJTeHsJVk+6Y0Bm2gje5JvZFt77zCff8y7yK5BC5Z9rElNLU0nUhky
upJmlkBxx/SUZPE3IYJegfM6BvWsw617NCNBZLFoB9T0netb9BI3OpPlk+/0lAWmOjGJoku8zmgC
XUepb9hIEcrey9SJetCrNE5YOJ1eerR9gQqxe93yvPnPJlcwLDwUSFfJkg7tdbvtNiTe8/QPD9eQ
eBdnXrAhBCitOhZADcGGRdgwvQ3ZLps2Jqi9a0q8yVh5dFws3rm178N6chb0sY66nsNaZrpS50ad
I+e/JT/eTQRNx9aeryE3L1htUac4Xbzvv59YLM1SiqIai5fugJIhNxmOxKHdW27KotsGW7VR7R+j
95xu+puBQTxsZfdceG3BPjl3cLo1+WGZYMRS0roB8Edt7l3fJRfX37cFwCgJaCSQbhe8dt9JSP4R
SK+axUsX7qi1b6uXMHWpujKUNUPzUE+mUucgH81mjddy9ELIJvFjDsqvwemMfxw5CEMSbgWjH7Lw
WyZdLj4LdNRSdDxTSOiu0Issrw1aSECpCMImMVM7xuBbTI1Z2xT6TJmJW32tW2j5dP21IJzgUQ7J
ZBrYfZMSszGC0nZU4O7WDn2B6kigO81AV1Ar3xwbl17jr03hRJt6GFqVDJtRXr0mhBYQLQJ+S7bS
bEubUlOhIZGBtjaKk/E96jTA7pus2huoXw4sjyT1A9CM5rPjUM2ucXsd5IGXP7U2TH/0UqxBPBfP
OHTx9tE2Q9uXE5dG7VRda36lg+y/dKM8fgCTi4JBxTWA/MLIh7J4RXYhKdNPs7SSW9oH/S3UBIJd
JBv8JW7b26ad9TTGQkPPlqVGn705ljszsfTtRBvtTyhXsU2GJKtsQ9LdWOWPckmzDSKyR8RF1lYr
iO7WUnRfWNEa9/fixlfBQIMnJAivdOFihSY1rTsC/q5AedcqNkoRoyrTkgOnKx7/sm497/wTU8J9
atSDZUozUBisTztDAtm8uS2td0mLbYUCwVyi4ddNjZUIesktI6tOLCjVaqgXCNsUUNZYymeR35FD
ea5JvTFHd2fR7Wo934QQxRqzxmla+fWfey4T3NUqGgdBvCMLnivve9qNM5bSb3DC6UOvxwkzy+Yj
hkCkrKx1tCxdp6fmBP/lh1SXZA5ziTxH7W5jPsftWkS0dOJPjQiui9amNRU9jATFn7xgUeL06UMF
mGNa7IlvrLjkyxcvpg3UPnjtIsMw0+Gc++QonYaSQ1HNNhLoivq/BpOVteWokLAcnjpJZU3LLBDz
W2PLfOXj+votTigkhGbrSBeJpbtU0srYLFpwTpPfaNm1I+jFVivubHE+T2wIi1ZlulonvMaihSgv
TJshIA6NETa8k+63tgY2Wh4R9LSRMIJWs9j2bapJEegDTnquqkwOqat9cL1YCYKWrh3wTv/HiNgB
nAzgK5Zm3eSqaF7CHHji2nL/zcr8NSGk1YxykvJOwjiaMoKgEer9Y2sb/e/rVpb8IhLIIEPV52yh
uPkstbWiCDpSdq+8tOA7NGJsgdiBeAaj/Zpy1eJGODEmOGG1VSdSJDBm9Y++ca9A6nPQP8y0cHS6
C9sVMcOljQCHb0GOT1bBzitMoN/lJfWVrrFVUm4CCpQS1908WTlA8zeLV/WpFSE4hC68XugNDlBh
Hf2kRaCzSQjQUStm/scL5r8hgbjjRn+itdEgJMgDVyo3yMuwLO5sXX2rZGZJh6l4pqNr9WvOcGkW
5+jq/wIskWgqH0PAlcFbbef+hJ5vCQLIhp2sIZLWrAizKNE0hw45bi/kmcBTAK1EL/T/XN/qy1OI
tOYsSg1fJhZtg8rSknyEkS5+DKaNPDxP+gaELug132SRJzUfdfgMOYTrZpc2PYg8/2tV2PSaBBn3
msOq3/yKqpdIiR2t30v9Tk0eEz1bsbY4kSfWhOAjpZGugdQTbxXpPVI/NXRlTasRznxyxD1/OqR5
yCeviJEXceBbMBKXD353R6wjR+9eB9aQ0GkCZGcLe4COcvmPs4RCZDUP/sRuGVpIBbWIrGjtbybO
7SwKj90QHGs6/qJN5l1fuaWQ6vRoC7FNN/Bp1CYcbfQBb1NwozZ9x2rV9MoEkhTQxcn5naz8Y741
DPLUqnBbWokfgPhgtkrere6LtDfEero+sDWfJcxjRFEfIgpMdC0HjNMaQ1aaaCfPtX2j/Lhua2lD
4hIGCwg4ySD3LmzInKKbodf6xh7gfWXFvBk0/b2O1pKQi0NC9en7ygciQzBTtkU8Kh3M6Hiv2dy0
7rtS+1KDYpNxvrk+pPm3hO2PPDWZ7xWcJUtET9ZxpFV5Ute2bm7vSF3aQ39UozVKgYUQ48yK4Dfy
USugZ9jUdlpvy6ll9VpYtrC9YQCaM3OfO0ELz/lpGgH6AY8WDOjAlCMhxyYFHbDoGKoheuxLn2GD
wrbpr7RFLLhDdPOjYVQBBZMli/Udyw+B0q7b2q7mLiw05XBDe6DglYrzQ3so9fjh+mItbIwze6Kv
CnQFrMqwJ/We2rG4KbZptpuaZGVcl6lb9LCcDkx4s+ehYaRNCENKtUP3nk7s1tgkjZtYL+C2IFAU
SpMtjzf6hGbcDgB4ba1re+GonX6BWCjEw0gfSoIvGMfbFNrqxNwm+fb6dC69bs+MCFFVFnR4Hc3r
l0ij64MuRostFvHm0EDyNqGx28GbhMrwWODJs3K5/Q/jYIEAWJuAmVs4Ewlot8GI09W2imBEL6CS
bnpp9Jprjw2qk5BMAnCfxdKK2cWDMpN7/J9VwbdIZUpAGNfX4OvxQLqaExuPQw9dGEHByizxkrUi
6PJC/jUo7NnBV/NMmjDMurmtzDuL2xVfecAsTiVqDajZg27ZQl1DOP0a9UvwEWK7Antx5FbI0Vcy
otdRUTNk4/OSoZ0dbPAhiZmuTaCc1Qp1JWex4OLmhwdU4IB9B+OQ8A0NhRcFZLAB1az02ywrJ2hA
h3Z9wy7ZAJwTirAo3aOmLOzXLumbdrQMRJYlNPSUUfd0utYivrReUKkExycETkA5Pv/9JC7JjHaU
kmGqwUoxIpgkNpmOYfHr+kCWbp1TI8Lel1Jwf079WNt5Fdg8eQOHs+w7FrWHenPd0mX1f+ZMOxmP
sC6tbNW1n2I8BncDw+agMddfw/KRtxuLQyWwdNPkNkw/VHkzgXYcZSqVRZFD6Pv1D1ny3affIZyD
NjJlEyB0+G70BpbqSy6PDmJPoMX/MZHNPGJ0O+IFTMCtI6ZBEohM6WFFMGIVrbagO4b2WFl414dz
2cUjWJn36sk+Ca0yTLUUVmI9c5TG4eOHKYO2Zx9WG1/f9zTzfHKIkluF2rx715Mvf/powpXPmGdN
DF9Oxyrs1rGU5aHtFDjRyKUjlrOwO9Th2hB9ZjXyr2s9U4unAxJdaDXRFANwtfNRQ6LKTyUKe9Nk
lU7a6ChOUfJLb/W1V+SlksY8wXjcoe49CwyKLDRpXIVJGWKC0THkVC53IDbKRkhHJUeo2O1QTQWk
I7rpYpZ+1dvRiw7x65/Sze7IMXKUDS7lVxSZD/J2DX66PAf//TBRYR45YahKDviwynxM/JCp0y5R
V/IdSw4CRCMgSpp7NsCqfT7PkwpagTRXazurXyoZPiLetuONPrkKWVPtW3CqUHH9a0rwRdFoKXxS
MZy2cWUUXRKyVtNcsyC4IIiYpUMywUKRjaxRwHG9VgpbvAFPByF4l5jzLNJ6mIjinV7vQ80dsl+h
vI01t5Nu/Oag8JVi1dIuAA8/ipmgNTOR8T1foa7OszFW5l2gebLpVtHBWjNxiZXAEQBGE9k8oEzo
JYmeFuIFFGMXACR303jNxrKc5jPaoEuw80qWAXrrM5RRM8qabeFKK3HFkss+NS/sDKnIwDo1DzEq
a1uGn0aET7WbaPo3dvBmAc01oGIXxPumMcjQUsMwR34XGY4WfxjFnU4er3vsxQU7sSI4bJlIA/oZ
YCWOZWZIWyMo7aZb8ceXaHgsGTg5VUDO0KeE/z/fFgNJO9oXqDdYZnaU5E2N/nDzxQ9euomperFP
rPsM9jW05aWutXbSlsyj/wqpbDSUfTeanJtPRyMIlWJsbMLvGoiQcvpAw1edf5L8SapYODmNcWPi
UKh36O++PsELdxF4O5Gqx5WL6oPI7y2DChYCNMBR6qHJpsidJo3V5lcXuQ0HV8YaVHVhd56ZE468
EY6ZHE0zbHOIPV8yb1WJs7pHTK/z7fWRfbt04ZolaG2DnAnAuECeC9deaGp97Vtpaw83BQu9wfad
AhQfLHG6mwICBMD2FO6H6VRM/9HbIaN2jPayT7B6HVQg9Ol7vbLPlub65IPEO0gCRckAPiG0uXU2
if6MNHTg6kK0SvfBbVmP/+JBjAmYMVsAcIDjQdjWfaAXGs1hT1Gg4ybZmeZg1J/NW7gF0907WKsL
ypJx5U1xqboGmNipWeHMkrpHSaCB2ZfM5TILKtZtChu4qZ12Hx2mLXjb0KfNmeVaP5H6RR+EtfvV
bEFdr7LAaz6OxeS03mj77vUNsRT94cOA+wPRBXa8mEkP2khGrRIf5j9LXnkInPYT2g2m4x8CV6lZ
CfFF3N27eOWILdykZ2bJ+fH2g1RSJhVmgwakrWrPzNfrA7uk3v2e8b8DExZalQe9rygs8M/eUbea
Gx2LY/zWPEe2/6ij7sKCR+2tRBgGDIJzE7oJ+/r//ARh0bMy0YM0yFr0nTSsc9sP5aA5xfN9dvv5
Xt7qm+HVB7ztF5qZ0MA97s2VTbcEUTqbZCH2skgQoLaKKZC2t/wu+wJj3lY3tubu863YQE3Yz5n0
U3s0H60NfRjZ7+vDX3qwnZmf/d7Jw4LXAA9pEYav392ZtrHpPxSHs4IFD5+KDVkvV7VrzlZ64C6B
g/O6UzSF4B+840UPZwFWWmYgu7I7321KTweLUq2CFslwUBiV21spuEFJSo7Bh2+DdQqQ8bXi2+Ld
pdJZWwOaWzLAD+cDH0taGnTAvE8tHqUq2pxkjcEp21q1UdVdYYHMggUdoEH5cTKP5dq7celCUUHC
j/HrYPwWswsSJ1OhdbA/6HszdoJ4B15K5INfri/wmhnhDA+QGyONjPX1Jbiwqjigl/pTqsMfSuuv
xKhk4RlBALWFZDrkCHVNFhImYR62ij7vJevOB8o23PgPppvu+JP5pGzUbb/nP6Tb/OtR/418jYer
xGvQecHt5nXtVC17zJNPEYZdxw0dAgmzm4w4tj3ejnjSxR5692IY5DWayPqN7E03dHd9vpfeBnO2
aFbRhToMHv3n+4qPihwqWoxJaEcbVGcbiVh2W2NpeTaBn3q8Q4L1V9uqLmnWOmWXHDZS49BAxdGC
rrXwSkilWq2qEceKBFAi/9P7P64Pbv52MTCZ+2hmOkPw6YiQOXnUrSGYL0gSjtBTCcqConVFCdIY
2mDBms7O0nY6tSaEXHFQNWPFYS1t211eG14LpY7R7O0k0tgYrmSMFudubsvFKwutuWK1qaFKMHRD
0cLlRA5KvQcupysvj6VEPxTNVfpN7jdnUM/3RhAX4GFXy9YuihFErAWbfODxatNN/GLf5/mNPwRM
0qItrTU2NZ1dKCmSdOBf1vW1w7rkGAB8hFIkXBC9qOGQPgMDX1e3di6ZbslbW7P8fTamG+7zrZIS
D4pvHh0elcKwM1ndpN24y4nCKhPyh3p8QIOEHUrFrusGePGfcf4rQVFL70o7T9LbMTIH6H2A1Qag
1+ubcPGEgSsb8TGYZnGDCCcs0UgoBTK+XKne6HBQLEba99LcdOG9XjKe7w15rb1mCWlFTm3Os3ly
TRo+1CflBjYDiG9EQITkqmQHg5upkicXd9y6VdKUWR1QbF73L9JuZ8aFbROmPuHxCOPdID23TXxj
mE8NlM/iNAOpTcW08WNlipeO3ulwxaOXm3rD23m4UOYxkUMJ8/cECT9Dc4zAYEPlqPVWBvOtquFZ
Cx1geRNJdp7+GcY9tf6sfM0cBYpu5/RrhPcQ6idpIHN8DY0bx+KHFsi2RHcIdyc/cal/X+VvspSx
PHmt0j+S+bhi/4JnB9EKZLqhJIU8JIq28/edLL6egDMwJB3mnzzViIa08AWvW0J2usFq6lkJMGlr
NdylJ9epTSEs1SJFKbnWt3aTPoa9Z0Y3o2Qwa2YZLlkRrHimhfW2QP1LLBToZj1C4UihNSfMqQxY
RgaGY+i+PFa1aUd6yszoZ1+uFTzn9RLW88yacJhqX6kN0H4ga5EH2DS3WW37PnUK40cyNGjOu9XU
lVt52SJyw9BUmfE0wvgAj9TypEFsSaPUbWqksrTXGBzjXaY+Dt1X6gd2n6zhF5bcPWTSEFDBu6JO
JpbJYy3uWwM8hVAptBv9SNBMTkjOtNqVhx1JXQkMQJoE3MsvHU15dbKr1uhVFi61sy8QdlE4DqoU
WJhplRZvoBwud1ZL6pWrZHHznAxTmFwtGqSgmGGTUKPZBUFkG/pDbUQ2KjBeq/0LUBSGhHKZBVG8
2S2eH0YatzTjE5bSimSXgk3TjF6VKHpqCzQ6xti1Srmyeebvv9iufy2KMt8I25S472bEJvC8JUm3
fhPYSfovMuMYGPA7kDzF00gMDiTwFw7QZQT+Ck8yVkrTT1leKQQuOJUzE4Jb94laDmTGnspxvkVC
EWpl3gw7yAOHh2hflN6ue87FnQG9G8hNGHM3ueA4VR4BtFlUGBIkjCTVa/y7OoJ6mq3mo3Pd1PJh
O7ElbPUeUrl1M8AWnQr5fmzLWysyHrrJAp8u0NEqkR6JBoYSBZlYxiEOeO8j3+NWenjTpVl815rZ
Kj3BwsVlmSffJJwMqy8htBzhm/wsflGL5mcml8c0TT794SVD4SzxfWeQ/I2exFBhATm/H3wSI1i7
SxZCvbPPEPxtgYbO2Jxh4k1+7C39Rmk05PFfaLe9vgbLdnRAcyxkhC/6Y6cmL1DfgZ0osE0wXQbJ
rkCz1Sq67vsoXJxI668hYa01veeR2mFee/NTDruNMbZIifr0OQjzrZq+G5a5hQ4jU8fWyZrXhvT3
nW69lphhJU+O8Sg7kZWtuInFw3XyUcJiFyh8cznER8k6I/QA4uyoMTcZffEbwwOwnF2f7EWvdGJO
WFRJkjqpJpjsbkTuu3V47xTA01w3sryiWE3A79DXIJadBpnnNY8B96tKO6Sl5xc50wG+SpSVO2R5
8v4amv9+EmIVseH3Y9wA6J//1nToKkYPnenpudONn6o/rCzV2rCEO6QeQAsOeDcOhKri5cpkCBFI
Sn205BWvNP/Q5Ub977DEq6PI0POsZ4Cth9F7g6x5KjsZdCRa/bUKHWomez5srq/YUmoNVyPiVROh
B1gYZp98MpOJD+TiN/h/yjiUHTlTAAPIoxJ0fMUxUbktGaVn6r+77kvP/5AEVBiQt5ZzyzG6bOVj
lvbo6bcIqzqB3DrJM9w3zQD+qRp1d2eoVDD7ROEa2dXSkp6aEpa01IvUjDWYSoZgl4LpLIi6XTxl
kOIk9vUpXhmV2MY6diUnHNBsW1ek26JCxl8lW4M+XLeyeKGdjEjsXcWuSQvqw4wPsvou0l6lAl0W
eutKgcpSyNckCpBsg7HhFLXMPnZphHobOL6iwXSvf8vS6YRXB/0aWPqQKhUSe6Y8dFKlYxs3wQBN
xJoZLbUbS4dQzwfI9R+HfFq7s5ZCB7ATAZFgIpOmii0YA6KUOjThTdVRfbZq0Bc3BbgJGiuvnEol
oxMEysphXV7XvybJ+ckBxw2w6SlMUrOidiBNpltHA2dhr68UuC42K1LOoL0xQAeAAi44vs4t1R0I
/vuJJ3aP1H4FYdTC1eTKVtbW7TINOhtCcsecUWxABc5DPnEGwRDJwDvCkAJkrmLgAcvRGBqyKTj8
P9K+q0lSnOn6FxEBCKdbTLmu9m66bxRjhQfh4de/h/lid6pUfEXsPBF7tb1biVwqlXnyHEY2ofKF
s9c63wz5u25vBwvMKTfKEDjWih+43MvSd8wTcvIdTTJQtWX4DisGkZDONind2NkDSsZGCZwiihxH
SEpkWiByVJkAblBW6L0udrD0AZJXrCdAMUcdH2BoIVKxYIQxVc3NzQhkKGoSZJwFFVpIrx+biz0s
GZXcHyNla8Y9jDZDGMSQY0B/ZRpulG6nDB9/YQqJ95lhAmxuMoKnZrSF+oMGNQml8BS+LcEpVgFX
1/lsLc1/cUzmUcExWSqyIhqcwvlaOklhG7zSE+hU3U/NPuvepzV9s2UTZD4h6kyDL5mIVaPLhT4l
XgjVlXHwR+1Xyr9cn7HLlN7vcfwxIh33sArZVFlj4qm1rULdmal1oBDefsk6gCUs3CY7nkzqcz6k
8SYtyznTOGZFYPd1fkjSyFwris1R61mwIH2Q9FpCimkqI0PFqNHkCL2IEFG645vsxkbPW/hIwWdE
N9C+9i37NgLNu7b2ARfPld8fAEJH1OYMsChJ0643iTHZGT4AeTav0bxMCYixt9RbEz1qZgQSJZ8C
ytx7g/hurJGVXqZ1JevSeiijMZqjwBYu1G0ISWGbuXr0zRn9vn9XAdauNnW1MuLlffZnwNKM0z4R
XV5hwIR9psnTWN5mxq/r22zRB6Bt/J85lZ4qhVAnrZxNTNGnWn1HHi9z7rtp29lrTGdrg5n/fuJj
jaxAwqXA/JF4vCvaT4WqGz3MVy7JJUeK6gjYo1E2oBC1OrfSV4lR0VDBKpU3vNpk2n00fmmj1m3N
m56t3BtLQzo1Jk2elprW0Gkw1kO03eKPsTH6Vfft+gotXcanRqR5Y9h3uIthxIaz0aHkY21SRFHq
muLFZWSODY5A5jdUGKj532xxJwvkNDmfxhqOs0TeuPg+dD346TPf1IJK6IETPqdE9bUCIoAQLKv8
kdyHw9dqTdh7cbh/vkKOXpHv6CKlxFfk8THrvw7mgaTPTFnZJktW5v4AB/cE2HNkMilK4TmtpADZ
0nRnJD517iDHC/Hq60u3tD8Q1KARCU0AM4Pp+Wa0yi6se6SsEZcOYH/8qBWw0Mcr4NhLxk6sG1Sk
DHsWh8ZQpA0y9lqsIocKgXlVib02FanhkrRAi4wu+sLFqUPzLhQAqoAn0D52nKkEdKEfi9vBsmuA
pZ3UET97Behx8PAWHEIMUxy2vsNT/SeYCSFNVDE+6EFh5qrY1ONYlIHhQNjw2HVkULdpZg64Dyqj
NKB6nvO1V+rSYgFgjAQ1QcnhIvufoqyntBFoAoWm+zkLMs0dDMdtx5Uqw3xc5QtulnqdG980xFdS
EFaWGhGKjYkUFQeiNLZ/paW51umzaATofogYwtIFLQFrjVCBJB9CzaK+iTg00/Nw5dpYnC8oykBw
GvhRQ36bWF3YimkCF1vU6Ik/DJ8VQFjWYKLFQKzlNZeGg9wLQJZzrgdIkfMtztS+ECN6RABkyFyn
eOzSFRbgRQOaBiQKhawDkurnBsDkAka5dCaWa5C3wpu5+X79kC4bgBYuelPhC2RCSMrjgVMDzIRT
b/+gqeo5VTi6121cNmjjjALOC2i0g7eOJZfoikrPRBXjgTjUbKtFAdXxjgAvs+UT8w3iXr5QjiCr
Rrv7iuXl0f0xPP/9xKl3JUdjTZpA0kXkX0Fp4hlcXzk2S9vtdGyS/9Hq1MkAzIaosP4BSLFPhkBx
zA2U4q5P4kWyap7DOWNkQEod4b20ExgUryEpkqVeZUPaLARd54xa6d8hgvhAB3TzGHl6VFF4vW52
cXgGfCsQJdgjcnIhwzc1rINZcGiCFV0QP4ntb2mBph3lx3VTi/fFrKU6g9wNdPSdL5YIDR1oZTg6
RdC7PtI9rSfHhifBdTNLI3JOzEjvvrQ22qIBkNQbGelc0qPbHDxMEeX3cZvu/jdb0hVoJOC2AjMd
+AXzDye9yZPbtLxr87XH0kUJfL4DgX6F1i7kaCH3dD5zPIvGmvxm0TXjn20de0JtIbkbui1aNbOw
eoA6tF+IbxEEQa8PcPlo426fKfgsC/SX56ZVlmW5VQiMsCSexY52cT9ad2G018nPQuxM81HRX+xu
ZV7nX5XvKvB/AGECIJuBl+65VSMqRgRy2JVWFT7oQAHnP8SwrZ1ka/Sb6yNcdCEQp4B7n/UN5HNX
GF1oCx2mRENQKNYqIIpX8QRrRqTXVazaOfY+jER98tYz9cUGF971cSxOGe4qYDrn+FJGKSujTYdJ
wU0yKu1PwaN92YO73qA7p/8UVbcya/MhuligE2vSgIiKpxXqpeA21iYE0mobINHl8v6rEyrvrKN3
mvl+fXyLWSw0GoDLE40H0NGR9oRpEyWLFJgswvKxR25ZK6NXG8R76C6Epkjqm7nmN3lZuox8IXT0
9dbwW6cM7Gqt+2F5rv98yjw7J9cO62J0bAlcO9TsPaHAudw1UKZEdjhdA6ouTDQ0MTSkKnEzaBfg
87rSJ5Ex7Bw+OJCY2sa2H5rId2c+dz6VNQjjmjVpWaPWabopy3HuEuZa06vgXwauuzTBk4kerLWm
9AVXjV6nmXocQDQEDpJfq8vKnPS+xfVt2ltkW1rlh9k8OZNYueQW7lZICUOqCNcCOCZkKIgxgJwO
CqJgAje/5NULFG1N5ZAbANrVboVm6bb8rwW1mZYVGTrQJWBkuFfPN4iTtSrIJ+E10+kBuglhPtzo
wb6Ng66pV7LZC3sReAXkHQEnpCBillICqmJVXAWNL/qbnJsBcYU7gGo7NFFWYon9YBnRypWwcI3D
IFCU0EUH4bfcFjrxYmCJgjsv7vVtqzhug0Ryj3N2/bwv7Y0TM3S+E0/OWFXrpdnMZhieRXF9i1or
K/XNoK94sqUbDryC4LM1wWuLrmUp8BLUbJtympuhy0r3KHDLidvkurgZU+NRGero0YlG8p0JC7Um
iP5uwthqQ8DQrFysTO1SFg50fFAHwwsKyCVZGEIJHT1rHMBOp/hYAgFv9kDIszl2dwmIxVU4NGSx
qfh6fa6Xjv2p2fn6OpnrEBCMoQt1xO+D8igKHMTQeitCZ6vQ6UHYsdvnxV8cyVOT0qwDMAjFcnTQ
gTj8M1I/e32TTihStgdT9Tit3Uhbmdu1MUqubaqZiAoLBgtIsLXpu5heM/QO6QV0o7NPLdxdn9LL
DofZBZws5XyMTubUZAMjdU5Sr9R/DtD67ra6sef0aNO9bdzT5rXNNpAKds1437OVJ/KiT4Dq6Kz+
SOf+wHPbbd9MBZ/Ryw0kbJV619hALjqe2nG3r1dqO8sDRU4BiHSAGIELPjeWcMhpKxEmllil6jVA
+QQ9JKGDJjMA8dPYd4PHZZCEvX5AC/+zAqIKv7cbyyMipbjEoVt1feqXRg8YOfh4wXWFp7XkfGlf
itjMDcw8cwLbLG+MeBvX0GZPtgIEy9eN6fO+kSIh+8SanNErYsKbEmBN4LjuWw3tQqJC51rzCOcF
EQbD77PYzyv9VoRQ8/V1D0IQ0Qv03OCklexJBe3JwwAFIy1e+bCFkBPfNVcfkT4Dfk66FxRSK0ip
YRYGVKMSUd7jaliZ6CUXjbZMQKyQXwATprTFwXgVgnVg9lZJZCf+CKQXKN1toCurSUSbaKDN8/XZ
XrKI/gcA59EljZSMtNc6gTqFkzNYjKr4vuU18mTqlNyKTot8xps1CZ0lexTcI9DUxtWAeTzf2yOK
Ue2AlnavzHPqalz5nNLpEGn6fRoy9/rYFp3/6XTOH3PiMYy2SXSE1YipaewV4mvXvlpT0GuoFL8P
+m0WIp7/uG5zcZPAP2Aj4KxA4+3cZKYqPIkrrGDao9Eyq489W2t1WJpCHcgF5DeRHQLT17kJjWnJ
BA5adFLU0DC8sdGFpG9p/3h9IItnHmsEgAQ0ETVZBdYpSCWsYj7zPH9IiHIQoXgenSjgbXsX8mrl
9lqcNxvBHZq+Ac+SGQnVhvfNLLTpzTi4m9oq6NGanLfrY5on/8KznBiR9gP4XcHk3MGIaQ4+BVRI
iaGhon+9bmV5280Mbyj2QslDvixSxJR5nFh44RvZY9VrXkzLPWQFdworcbKNXVvSm978adO/CneQ
9bThqLD5iCP5KKCzQ8oiivi/JX4TfWgA2YeVvulCBh6VbJuZn30xbLn2F6WtmfkY6r3ocAYfnGQY
aRNT6YWCZFut+KzdT7iJwp8rEzs7I3n9To3Mm+j0PA9TrfYhjHQKpdC2iD3orwSpiaHGvVt0w3ZC
hjSP6eNg0whd9D/+xw+QTneBupuSZvgArmQbI9/a0wdnd8a4bWoetNWjrr445BcKldftLh2O03FL
+xZ9OsSBHA72bVxsFLJ1rMG/bmEploPqDBKJyAWoeGWdz2zFNU7qesTx63OPaIHWvcbK1lB2LSi9
0miNaWH+YHkhkYgCbhVC6xryROfmzInBwYVwYZoGFELvxY3h1fFnoUTB9XEtzdypISlGrUsz54BD
oC+hzJ/bKX8h+X/mmkNMgOonLlBoVuPQSzs/MlhKnA7RWth8cVBvEA/53yQRTk3MozzZ96bapCL7
Hdr3r7i97Ch38X71Wu414kGsCecsLs7JgKRNThOqiohhccbkoFWdp9il2zvoM10LqNYMSdt6UGK9
7RLMXMwOmvPapbdV/WSHKzHV/LnyXkMZATUyNPHOtKnnkzfEkzNZDCB9njoFYPsfZSl2Pc9X7sul
nYamABxTXJiQIJS2NAtVc4IKduo5SWzcqKBbdnmjxa/X9/NSzg7k8kAqzBpAkMeQFkdtYjtvIZLs
Ra3y2Qqy1dE8pkSqN0I9vB/CY19/Iz24NMZqQ1secBwpp+ReCp7FlU9Z8sbQRSMzHyBwjTJ0gpRW
j/x6Bpc/NQa0FrrBTQbUfo3CLUbw3ioU+Dvh0hJYxxgibWDOW/mC+fRKS4uCPPqRoM49T7o0GSEK
gFrsINGQYaQV0PA9LV0LOkGt8ctOlb1BQE+bAxLA227PdEgZOtXKN1zsYfRrImfzr0ibFM+WzaA1
EYFIm24P+0FDcGnhZfoEAPvKWGc3cjZWyZDkoZtI11g+wVB5JD+qzfQlOxh7cltBXDQwNvAIa90P
v99ZVyzKJJqAyUODSYVFdfSMz2KHhvP78ZY/dbvUzW4HD9Pp5Y/qJnrVoAN3KFeeW5ddEecjlgut
eawxNbJgP9wr9/SZv6V78RaDFMZ5GXkw7ezEzT3xot9Na0XQC5chWZ733Ym/1dKmHxotBMjJQcdv
8h7m5aZZE/OZF+za9Er3RsWiPq57DG/SsEnb2kV+7qkGT1TRqG9ca9ys6t26p97KRlrZsbZ0mQwY
1wyqx7Juu6Ma76grPHDgULftXf0epEcH/Qb8Sj55uW54cVJn2WuUtVHnkN1F2deJOhmYVJYiSRRv
q+KNrZV8F8cGpgBUNVB9onL6Wxe8U7rZhqBWt+tN+hNPpftGGcsdckubvxjQH2Py+egoSZCBh7GQ
/JyyvZL94sbaGbioU8478cSGdKvYoYkiIoENQzkysAZZx9jugjwjm0o/1Fowld9Xu9xWJtGWdn8Y
T3TUGGzSSM/9Ko1vzW403IQWSoAIuFvxbIv74mSI0jnIVJYPdhFjP5LHEL3PnQf69P9tpaQtH9I4
nGweYaWcbxBDJsiL2nwtPbk4bTO+1wbaYGZAPXcauP1No4fmi2fSW0XzJnFbGKA3dgeyY+nejF5s
hXtcdQlHlvLeSP3YQqP/Wu7w4lKeN8zJV8xfeeK6aE5K5IvwFUO1V4mrh5AJqwI7+RqCjKc1Udbz
rRDiCGtozbXRS1FWWIENtqxhd4yfdcvTkx3Avz4Sc9dX8vJtjfFheGBR12eCywtg+NQiE8lgRzHQ
Q2FgHJqFAjMrfJ2BwgO0Zijla75SkwOq+NeNz2OQPTYEahBHamhGQtxzPrcIik0Q+sF2IpwDYj20
P4HuZiCfVmHv+dr9e1lG+T3Uf8xByejc3IC2jWLUk8RLIbhm/ywHzefMNeqnEsF4lVdQ69tkeb+H
7O31cS6t5Z9xYrbPDVuRWo86h+Ec/ASCWHseVRtbZ08d4GfXTV2i1udBgqYRTCWQIb0QuU3bemjz
CLYcMK64HYGQJbj+cjP1R6tzzXII5n9f1eQu0dIdvtWfnJV63/JEn3yDFMNBMKrJwbGJPWXH7KWC
cthNZuUQEof2kZerSDKjI3zaol48HspIr+6zodo20BxfAUb9fyYDVVvQ7YAFWmYC0cI0A7kSPkSF
+Axr/K7dxfZ3pdkk5oYbboFnPwhVuipxhzX3NbvAi71N6FxZRcMFCuTnay5IHKE2iY6skI93RBFB
kq7ppyxuKxNkBZA4N2ZY27kJfaQ06y2BaY4+gTtJyA86J29W4pul6wQZKIo0vY6+ETkRFSsDUYqy
msMM89BaxS4Ex22/yigy30ryfCG/DycEwYBZN+B8MHZaRpoTI4rSO7jYgTlvuQ3KDrNBxSZsWutt
BHOOx5z+21AWX+rafhQGQ3EmI6+sMciKZ1p0iwCWobMMMFQwSErut5tphfUqg2uqs4AR9hTZ066Z
BOgdGz9h0aPRZoE5ZAFPv6yc4CWvCHEpPMGwbWFfXtYk6zuCEq+XlA+VNWyjyviWglsla54mSIJo
PPyJHhswVb92fet25UcT4wbqK31fmwliNN216Mf1b5oPrLw4WBPHAQwP/8hFjdGuhWhGbOZoiA9J
95iRcYssocvYcFfk3YYla4nXpb19alGKmUq02IwjdHu8Mp6ESxCq1Wr6EZngoVPWCr1LO/zUlhQw
aUqDHtAethIE0rSHfF/5VvYr4czSqp4akUKmylTCWqMwMsL9xrFwI47a9YGBuq4Lrq/W0kPo1JS0
gYq0aUMgkBIQ7+ho6Q9o6trRJ0u4r+OJN/LWLdsVl79sEh0fSNjAExHpJo/7Mko6C6NTmYCl2KsS
fT9SFfA/aFdZgAlk94kyrSDvL4lQcdnZqCADNTzH7XL7YspaS9FT+CZjG70bUE/HC/ZY3KL91btR
AhBt7ulx8A1wzWW3pT+57OWL8Iz9cIhe2Bfxw1hZ4yWfD8ZAhFIA8SBtL20kJatMaFrBIRMD7MS2
cxfx1XhtcbOCf5kit6zjfpEcU5Fnk2mmNdzxo/GkbYoDDzrqD+DKM7d8A/6R3vXSlStgae/Oi4pa
0qxeLwN4ihJpg6KGhltu2WP5kI1QYPUTeE3Tj9IS2WbemE91jabVlWhmabBoWUSXCLJhM/PQ+aVQ
lRlCCbVLvGy8T8imQWdq/ze3KAAIuENBwTMTPZ7bUJuhzyOzT7y2/apMdxw6XfTVWqMHXhwJykdY
Ms0xLlrnwPM3prhKcUCc6Lltu7e4Cl2nn4LrR38x4kHLsI2yEXYIXk7no2koY1wd0LSY0lszDKzk
ps83Y7Wt2gfVDAotIHgkWUete7lueHF8J3Ylfx0OWhv24TT70ByEV/GeiKciUzbXrSzdQ6ejkw5Y
zKOJZ3PDbGiDV6wi9s/Z6I5GRu7pZW5vorLVfJHnn39jF0TDJmoSuJOlPQLNR0HqBqObosyLMgd6
CpY/Tso9A3FNrikby/p13eKSK/lNbfz/LBrSW4U1WdQRdB57pABXSnxH27WS0WKIc2pC2ip43RnC
4jDhOMwrW5ysIOQPvH8vLS/Xd7OiLVvjyVu6J+Yy7m+5e/PinmBmadZTbGKbdEXgmB9AbUFwpPdJ
19xF1XBojAyCwuP++mSuWJUn08D9nnQdrDrD/VQCZP+gh2+V8lAbu0p4wljZLUtn4WSQMnMrJbRN
FAJzffxcpDchMdz/TvmHm+/UhnTeiqEqLK7DBnR5wQjpmgbwflHs5VDKa4Lpb1Jzp+akgzdC/noU
KszZ4dcUdYF8CFYbDy9hWijA4IjNej0Ify+kyknCGwFFUnhiYJejjaZ3/ENH/+D3aErohhZa/jwU
TnJng3lw8saKK/dZrqInpE94fwxFmt40pgNM+fXds7CcMyZXVw08sSAjJ43dyWlUNni+IwO1Z/xQ
26DQ7/47tAaDnzMxeLEjfKAyJKyCJk5BOiQJ+16YR8UR+gPPzJtEaMMuUdvD2Om9jxjudgC02w3j
YvqLYc5kGojfZkEVOfta2VD/zlK8lZnz7BgPaF/U1squ2oL//k3Y8Y8NyeWQrpxyinS512CrJskU
GE3holXeTYxxx7rhRW9s0GlYwFYKLyHUS7IO1DOam8TDbkQHyUB0t1E/beQDry/ywnvj7Muk8+TY
iWAgEEm8ikMH4a1vcYYOvN5et7Lg1bG5Ic8B3B84kOVkmwVxL2Qp8KrUq19J9RJWr9d/f3EUc4wx
NxJjy0rxUm2qNRtrxMMZDYRwGxDwj8J38jW1zKUjYRJguQGqg7iRXKLv9RjHNMELg7CDrvwUHTjb
Vl4UaybmqTzJu6po9Qc1Bky0YDbvIhcNz+pav+majfnvJzagF9yhCwyvFqf4JZIgAU9r+fQ3K/Jn
puYVOzFRaU5blz2GUZLQFea7U3yyDJS9a5Hy4s46WRFp5YH3C7llwk4OfDJ5jbuVO23p98mMQQeU
DNGlfKdZBTJDaOmAE8QJHIFpQSh5faaW4hEkLSl0JHAwAJyUhsAnwRoTfLJeYd3QZjfUgVNA9/3D
CFUwRm6HHrnCFRTyZfUfXvfU5uywTpcnhHB6RyFnT56p5o5bkOC4xkexpXfT6MZv9ZH6xkpFYWnT
kRlEiTZDegnMSy2SNUYxJwKUY2ptoT/m5mvF7YWAxzq1cbHrVKY2zTws4Wsqkpv+lN2y6BVY3llf
du1xs+jXZ7YHELvjyYGk2fk0xiy0tXrAw7f1Ol99HSK3c1Fc86B6BSEs514Fjbty02zS7Rrb5+Js
op0M/PjItAJ1e24ZECtutdCAB63nwQgP5fDpRCtZhsW4BLJf/9qQNkmRJ0YL1BPeblvbjXY80D/Y
sd3QbehaT9zXVnKPy0MCX8GcDbUvCEwzAfazcMKQHA3xxvc+ux2bFRMA0WBepIweEC9oUUeTDBIJ
MiS+iYdqTNCr5qVKJF5nfqhvppp0b6AVKAGnZPpnWud0z6JYubPzuDnEmZYFMeBuO1ao4Z7HVfNh
DEz9KuKC7VSNT5tYMSGJglQB2RYdZxv0ZbUH1Zo6cJXb+QSCaKDSLD7gvu8GQy0BRHcqH7pV7W0T
gflurK3Si+pWv61HW7mvBBsasCeM01Zogn/VYy29tbIWwtBlPRyNOGoewGjfIt8ZlkAnJhkdQH9T
c5+r+jdnStDMlBs100ETUzYvbRtFiDc6KIh0E/IXA3gSGrhlxwJZd2gDpz2h9/etsRJji4nrnxCs
8L1mCi2gDK9Mt20dYxeWQwH9yklUx4iQ+ctYvO/Qm+/ros1zdzRCgOlp0W+EZVYbNe9phv8oGzbO
2KtHi2XgvlSnkLzydIJisVVDjAgsihDMY0Y6lq6RqcZRL1W24z0F+qes1Rq6I5jETZ+lxDerSfkY
NCtTdl2bRl5rmx3dxFYXbbOJWl+yJgSQRVWVlxjB0+fEHHaPG8gIFC0krRehKSF1o8YeDZ+k3OiC
UU20dzLp1E/NdjzYaDL90qaV/tMoIvWht9M4KCotQraCoQfVV/Iifc8SqxdoginSHzkzh0OMxse3
WOu6fZFrk1f1Y3aL/729DR0n95rUJrdMGbWfiCTCvTPo8a0emcKvigm8gwLFxncqdOuxzzmNQZJe
kdItDSftNyzjHOR2EN7bF3rdPCYxEdA3s2jjxYSMB6XP+0+7C9UA1urcMyOWb3vNUCu8hsz0wUl5
fZcyEYMTm84BNPrUn3mS5U9FPlmFH5dhuW8LIT64YYXUrRoWfsRFaIEWsa3xeIu0kr7Gia1s4ikt
D6xVyUvelgSSP30SAc2pT49oEs83WTKansIU+9G0Bds3GoKxbWcAGBKIVjDNtXJU/SBpm4zdNq3r
4TEtu7Fzh5SyY28q2c5iSrtjUalorj2I4luTx/ajyiJArKyQmc8cks25n9td+lLExvCsAw73SUsg
8XlKwWgfl3H+kpNOfDVT5LRdPbcaxw2TULx34L19Nlszom5eEoKeOCO7cfoBqJ+2GzZpUfcvuhj1
yuVKVfwaun4INMBoXnRrpuFOHUAV3Ewv0CWURTR8JgkDOUxkhj1EkEj9okPUclOwFjGOWqhp7oZs
6N9Ixfs9S7MKVnvLuoGCMLvjpMEBLlQT7KvQQN+HWdnd9H2ifowF0VzwTRr4dNNhGbo1Cvsuq5BS
dTXssr1gkQLXYVXJuI3KqToYlZI8jPEEcmwQSIh9Yod8k5utHjBzCivkv83hqCCq/wHmwv61tGm7
z5wUaG6GEtR9jgRZzkcwbZZVUX3lDgvv4A1bX6my8Zud6WIzGURBciIfQre2yxiCDOPIb6IuQt6A
jhbbCiPOnge46w1E48ApAUMc2jCl2DjESW6NsoifFDaGOyskJo4DNCRdxwqbgBN0XKbj1G2A40s+
Mlor4OkP2yAbE3s3iwIPrsXNzq+q0UbZSdNrsQEInW+M0QZDlCEgNxnnRlB0idlvS8uqqOdk4EYF
CbxWU2hvRqLx9bBOQ2TEKmCizBIwd4jtkjxo7aghns3tJLC0JH1xYoIkfV4PygQXZlZQJqmNqfSo
Wie/0EZIuTuAyfJNFJQFI6nKD9tgza4L02QzGmn9QbjS7IQJMYdKaZugsqvSJ/Oko2mlfHLUSc/c
3kgc17aT4nEWrDvyhtY36KOe9hp2IprNlHCtC3rpKj19p0g3tyLgQ5mBWEtkgQDDSG2+af+5BwIh
5KmNORY7CSFjCFR2YH/Dm7Y+xO17RaHC+Xg9NF4Kvk9M/I6cT0xQlgMfW8GEbnwJwSverjG0L84T
emvQ4Yx8ClbpfAxojk9GNUP8lmmHCOwhWQR6q7VYew4C5ZBjbuD5x4i0GB1Je1ttYMR6zL6KO343
7RTPgnRk37mtV35Vd9dnbTG4PzUorUySmg4H7QtSKh40QPKHaffQ3QB39UC2r9RXj2ux6FJMhS42
aN8YkEiAys75LKqOAorFBoHbmAFP0j84ymNr3nLnfrJWshVrlqTHsYDzgJjSbEndGuGOV45rWI9T
si2ovzKJc6L5YtVMMJGiDAP+J7lPHBIiptVlMMUe43tbC0zgJQ6NF+kB+fGf5YPmo/THlrzPda1k
Io9hq9N8x7ibjE231oW1eJRAPIbqGVKN4DQ6X6NqQH+txlBcB/+7SQu3yf7mwf/HgMzonOZNYTnh
nOLpXvN+Y4U3Bdtaa7oNiwcWiCmIc0FMG0tzPgxbjXJRt/MDz972fKMIaBCvZev0pWzS6RtByokR
Ix2qPsEbwXSBkd5UX5r9fR/wWQUufrB82wvBpvalOUB2ZFv+yqEGR18Nzd31SN8FK9twzgzK2/D0
W6SzFUbKCCYbFnsdeZqijQpMk2Z/6PRdBSwV50spofe4MdZIRJa2C6Q5sFMs1CAvHrZVm4eFNkNS
lXorZnbWqlo5yotP9RML0lHmbalzOgNSaTt+ltqPucecQtnWIqirRt9pmj4YzRplx2KuBcr1qCEA
c2NeaEnUcU1qLf69tLqXAheGJMTOaV0I+txH31bWbsmFnBqTHL+o7bgdFBhLHGRwo73ZbVrcMKCo
isLdEL0z40csfq0YnTenvGFOjUoHvahilJgyGA0jl+yqH9kBxQvP+K76cTBs89cVc/MYLs3h4QEe
ZeBF5TwE2JkFZ2hV9fTH6kj8dP8t8vht49qZC92MB7ap9yh1OXf8fq0murSBAC7817I0u7SaQs7m
LVqlm3Kf/uJH9Xv1Fm/tFTDdb97ea0OUZjSnScSqEIYM06XPxdtm2kZu5nIXsog/slvzKfyGp98d
z13rrnpdVexbuvNQ9EIDv/Gbw1iqHdQ21AyMEgt6Wzw1986DUbrOViAD7VGPe+h1exhv+r1F/ez9
b9b2xLLkB00aFjSctxL60Uz3HiGytgVvnA2OTid0xw3UhH1QCX6Lt13urXWwL1X0Z6Xbf8cteb5I
IQoue1gXbz3eZ7t7zXbTt94vD8o2gkji9cEuzvIsm2MjmTyjec4vlqgO0W07Y9ULdhdFbg9RvXLb
17dsTbNs6QabheX+MST5PZDijbSbIeRK9dJWXwjft2vsn0vO+9SEdEnGAts1ml3rZO+HDPAYjfx3
HLwFMAeqlgQsFuj4P5+tgiKDp89gW9rf9OPWhvCvuZIuXrqET8pycgeGVme1qnUoTIFu/tg76aGB
yJBWRGDx1f3ra79kCiwC6LkE6IBewJeKcnJC3gM7Eoa5mwFMZI1uWgRavHaZL/nmU0PS2oMltTKy
ZjZUN+URebvkkCNvFNhNXT/Ylc28qoN+cWdZn4Oq1b41mZvUiojXGtHaVbi04VGN+x14ApIls5Wn
DZmKCTIUnp1sVLDfa+ETV28asPoM2koieWk/npqS/Ehe6gJ+HKbmhp2IPPboIb++gssWLKCNcQdZ
aKE9348kTTM7nrPhTb0tizvSrTxEF3cIKtT//L581+ToXKwG/L7If8QtRGlzJKSoHZCoXNmLS81y
KCcg4poJWwxQp50PBRsRmI0KppzOAleUiUBB2Zg8c0ukBZvJBpbbdnUO+oSkgODfeDc6/X6WxKzw
nIxJhuySCqULumu1u5ZR5BZX5mLp3j39QGkTN13RTu08F63y7lgPoXXIwiAsQNJ3EOWOrCEsF6f+
ZD4kZ4a0Lu6hCEWIBICPOmpcqxw9vdhx5OCub6Ilz3w6sPlLTrINOY1B+DpiYDE6Ishro9yp6ooH
WNynIN+FtihA5fCc5yZ6JTdRRgKgMNaPYaKh6L6Kblqerz8mpK06gmoDeWbMV4vuEi/MvPYu3/DA
DoRv3bd7xc9/RS/ts7PirheTDjOv8D9Dk66EbrJDpZzXKY/c6K550BUX+XH3h3rUZw4dPJKSlfVa
9GB/LMo0ZFGe0gLwTED+0LWc1i+1vcnTL2l9VLK11rLFQt/J6GQgOOtZk4QUeyPdT0dyQ3ykQe+o
VwbRvv6uftdd+zjuTERmT9NKyWply1DJeTJqVb2AAgHi+XJXxP9H2pXtxq0r2y8SoJnSq6Se227P
jv0i2E6ieZ719Wcx955EzSaaSA42gv3QgEtFFovFGtaKjgAO2v6L4f/eOjb2aTR1GmMfC2mb3abQ
BiSIcyclqcD4RfvFOI6qT2pd8bGG0yihucUhoDSpEk/vH4c49f43lRivMZWyCtRcrJragpm1eM5M
cLRagnW7BK5H3mZpFYzHwNSt3shIy7vJi33U7wEFs/YxSj28tQcwuez7h8kRmQPf+/7ZK8aD+LIS
EbvBXgXxVsb8Tt3cTMNNZSLxBsASZQMi1OsryReItnoERqaisi5L6cxoNNIOweS34RbNScfkbt5r
bvR6XQw33Mc4L544ACUAni6zY2U8JYOuQw6JjlG298cTeKtQVngFJGSHarru6IqLVjkHDUYCR0L/
NPvAw5wP+r+AhGRdDFzm45yghgTRYbPPu9CVUYwLRRgV3MrzUgpjLH1MEiOkUpoVmqweDWdeR/vy
NS9XQJCuD9OueoyfpcFBd/vu+tqK9GNsptdzUOTSW8e2NjHZ1FmDedF/cVOLNWSunSqPZmM2IGPM
QF1rwvl3giPNdYQLCcwFEwxlGUkSJGAbHR9sPr1o4uvX5PilIVD4IYr3j86K8+s58211ztsRDQ/u
sIkegFu7rtx5a76sgXPs9jfmt2gd4lKz1s3xeXKarSCMvaSlog4FnQn//QDGRkYjstDeig8YvRvf
s7+iQ737kRzNXXwLcA7PzJ19sbpuHNzzvRDJGEcBpBOzyDAGkFvxU4wYyMky4IHNIejNiTahmS6d
HlBN/sA4gsAuheoyRqOp0diaFWSbN2GPSWrPPsVrcxPd56/GDQldAAcB2m0VrYnAlrjehmJAghIK
AN4XBBkV+JRji+50ZAT3maVhzv9paCpUFstj3xA3H+X7evyc2xfMyK500GdcX3W6kaylYYAHSWxg
JqPnlInyBwkoPLUCzbNYSeK1TCZ5q/eSAR6AErgUVqE8XxfIOz2YALagKvhy8eo7N23TnnOzsqFw
NQIIcTz2xffrAugfYDUCiBxsF49/tAszAhJVr0ZZw9uW+POGNuSVkrwOkDT/ezGQAeheDG3jUmLE
jNGgtGEPPezQURKAtOSnORCxJlCbZ3VZCmGOIWSPUalDSKh9RQRtAtsUsV1XPzXdy3V1uHawUIc5
fSN4MYK+w6qVI2WxRwMBAG5Uykvdvl2XxNufpU7MWUNYZ6Yo7+OJbH8EATBPHglZXRfBm3/+BeyJ
4U0L8G3suIiOun0jUfdVEW8+6ivTy47SD2M/PHWHcHNdGM9voZkYdU70/CIIo78vXmuqWlVNNGA0
Jfc/SLROCFqoSjTVyM5gf2jSugo+rwvkL+BvgewwhZV2GMlsIFAttJU5orsQqMMZ+niui+G7pj+K
sR2nCbihlamicvbAzHpqYk/9DtL5Hi2EQesosVevr0vk2+AfxdTzlSwLQ6nVnNpgsjbzla57efqo
6QKXy3NAi/1ii8QGUPazroIUrf6WIWNcCh6gor9Pf1/YA4nMeQwoR5s/AgUOaLqxKEzkWhwNT9Ho
CYoDtsLZx+AbQVs4AjjyWLeTG48vtayjAwfNQ7toQkUuEtgC1w9hQg9T6BZmQ9gcXdCC51QvINFW
jpEPCIF4nQeDM3QKMiECK+Cu30IWYwWqlUqGQfnYQqAFSWhV0F6umxk3Q0Dn9f+rDXPn5daU6/UI
CRVmyOJ9WT8WwUOtu3m16dBVhWxIvFeC9YA+MDBy5kK+DKrBhVdHmQqwlmj8vHhh+ENmKp0PC5RC
ZYidjPTTsx5J6NKqY6vwitbPUWUdq4eUmNkJeFFJ4dLGvRsFkCw1gPJA63Z9SXgnb3ln0t8XNitr
AJIjdM0Bpeh0KjqUs3UXP+r/gMNBAV5/383MLaMUytB3aAx1fdhrhHJugkYUBSPlov4M3hFZCmIu
mcjyza6cscSFKmNQ/wO1Kj19bPVTRzxwoG8b6x8KEWjeAgwU8NsA/8iEA0QN0OHna9jT/jFWV82w
b23Brcb1+wsRzCZpmT1VUarjURCT26TLwcka3+Z1JjjrvKVbasLsEa7n3opmiGn6tD0YBARqvqTs
4zEyvcaI95YNUhk9Dg56VYgyn9xAfCmc2behLpVJJVjGh9R2jBP6CN8aIO1v5YN2n3n1Sn3A9bMV
5TK47m2xsswVPrRdZPQlVVkDW5y6rpPHItwUIQbOBFEj17n9kcQigcdx01tBDUkhuLxqXXZaEVeB
wEpYV020goDMBBJSHa/rcq2ivVnPBLNBIjUYH22PSolmXWxTr7wQCzIer/sj7oZYGoAQgUWCURTm
NOVxDIzDKsarCIUa2XAzIPWlN5J/hym065K4swV4qCPjghsBE+6MKkmqxKlGgRNKawIrzKHvf6a+
U8S3Ug1s/GI1aFuSvU3+TWncYSZOIJ2nKEpedNAAqTQgT5473lxPwjkqUJEa7u21vike5m2ROPqu
XR0nj6DtxznWbte4kqCXgC8XdXzAh6IDhYUQ9U0pj4HdjA2Mm486xPz0+I4e/tNoPGlJI3BcPI8C
iCmAl2D+Xkc96VzJokCmy6LzFKouu+N8yOLPUbMcowDpyaFPvKb9cX1ZuQKBJw7QAoBVGyz0tgSM
XLVEohz9LsVhat4aCwnx8Ta0BjBlBE9zBnJyQGRcF0q1YG91hF0gNlQoWDpbiibI3JFcAVRComPq
Jtmp/WECy/0/CDHB0EhfnOhK0M6X0rbGDuVFZF1rvVk3/ryrQnnTBKZgx7gPKDQ82FAHo+KGxvR6
1IOamAmhaYEovZnq0wzm1bBubjXTXGF6ah1W4R3wfR8m8BDb6cc/KIkeaRMmgzFKtuJeDp0t1xUO
RZDsp/mbbG6VWjBNx9sswDRjRBO4JYbKeklJi5GplpADtePYJSPwB+GRRSUwnpdcCmFci5nMsR7m
EJKZ1p1sdvd2/nB9pUQSGHPQtDwDZRhsrjJ6RxlPRioIa7iPQDTfgZteRxoSTbXnBpfIUxQMNV7S
jfUqF0BBOEzqo9Q9x+G9krvhjXSDLPgsenvy4tGFVPaFEyLCSg2a9xiSGePQL21NnNLychFiKQ0n
2DO7lMOYeVDLw5jLkKNUZr6J1Om+H1/r2b4z568MSCUOST6v7xjX8P6sp8HaRJ5oRVIgME1AYmM2
GdgBHpJKcHxFy8eYRaY2alD7UKu3N3MSOrPpVGAHCgUvXZEYap2LV0NBmkEbCcSUeKml4+Rk5mc7
bEtZ1LjO619cbhNd1IUgfVJSoqIdwQVjlRtMH6A7Uqobv3yoR2BSJ6WrGiru739o5kC5SVMUVIMA
BMZmCuw4wEQJdYJpL+/bnNz23dN1a+AdL1rRsm38o+6O3tMLzXyjGEYMt0EEqW4r+pwuZycKOyeL
NUz5Vkgj7YmWe4MBkrVvaikCyeNsIXpJQMqKSViA77D4fGbfKVmk4kEmo1o+FJsY8w3yuxFtruvJ
sfozMfQzFmqiwhHoCYGYtsWEVTueWr362eYimmTOcT4Tw6xm281VH1GUmLSJb3Sg5BEMJVLmhJu6
8B1McQiufE6cQfDaQ/8EMIUuuyhiRZKruMGzOTarFzCXrsLuZ+gDVmx4hElhYOfTjgbBUnJ1XMik
vy+WUtKlwahalbosr54f6+TecTQAksetoFmKu2eIDhHNgDEOgCDngsqmzgJKn+yCJ3vTWeEarH/7
ag4EkahIDKOPBgpbMsgQM7abyrwDCVMq4tmiX8p4eVD7GQaqHJT5he1kav2qzBPLhDsEg00O6uEa
2R5MwGZOKyqucrWhZEdglsJp/hVXLXYHXAo4UlTUGA5eZ261sQNvjvMPpwktgvhrlNuCHRZqMg0z
iIaFXANgAFL1eQIigBEIbn6enSkyGitRo8GysaArAejOpaCT0GwcKxs/REUgBk18pU+e3duYKB2R
cIyK7d9rpmCEHRxACP0uOHPiwcRzqAwo8wSo6O06qzxi98M60maBejzHt5TEeKR5Jiam/qBeaOvA
XtKPeW/vQETu4abZ/b1SQMlDOwCytZSP/PwgAcnST+0EydNyNFeDDJzw2FxNtS24jXlWDk5orB56
GBG7M5d+RTo7LSI8/O0kd6JpA6Kj0DqYxJni9XWFeGu3lMTc+6GUzcCugkK5tAZwo2OSz95e9drj
dTGc4BZcQ38UYtZNkVQ5wK8QY8wnMtiboigFDpyvCcFjDUfJuBgaSLOUoCSKPEaW/5wAfmW/km41
GP9iAEAC/q8UxsVFiaJVIc0NduVd0e0mIE6OgluBNyoEHjeooFNycINl0SjHPktkiusFPj03/V4e
o4dp/yS56WHcGuv6EO3IHvXcE4D5bzGudLiniBCiRn2e91t+BHOooiyzu4F+RDvdjsaL1EWu3Ai2
TCSDuZbqcahx40KGpa/14NugACJb1NDH830oyNsgf9IAA8ue2DFVE2BV406K4vmzzMJjr2WHRIvX
aQrGospyLCVsBE6dF0vQHnaakwEEERuJGZiXGdoAekV9CciQ2xjXRpUVTgOKd7NcAWRhEGUseB5j
KZLZrr5U06CU4TGqjNyiI85Vh+yrL5VVZlvrnmQC5y7SkNk5vUZntG9iVaeiLEACOX74pdTs0r75
VvTym2wHxQpMX7cZ+pEFi8vf0D+Ly5xACeO1Y1picWeijBu5RNIEkJe9lxHpYyz8N7lQbkJDlFbm
eRfku0AYjhwU7mv2dTln6lRK1CMPBzxetDEBgZdb+z+v+0lesgbNriZRMAoBWBt2FlEHVsEIfCCc
fdW8kRPTnVLTs1V7U0nxIUveWivbGYAaMIJpGxjd13XxXCuifRbI3gEyTtPOrzez7/sawDR4QhRf
bZLBcKK1GvS4WD8wsiPYSO6SLoQxV49myJEP6GmkhgDeXpovyZzs7CZYG9K/xPb4c7/VYm4fA8P2
sVlDrSkEZopsHUhOEJ2SbTcWp7iVvTpsHWsWjmaINKS/LyLIHJ8EHHbIDeNyC2hdNzY6xwCWGACZ
b8ZpctGufRdgzkmN5a3ftY9ZaZ5INLSO1KabKukcRUiFwN1iUwY4KwWqAb7u+TcBMCOth44eH8qd
Fq7twDN1D2BRzvR53Zi4B3UhidF+IDVQBkNor4/vuuZk6TZFBQC9Bj6dausFpsu9SxbSGI9UTAA1
0qheERAi5embj8qnEohsViSFcT7hkBiSkVJLMjAPsQK4g4OYUHAwuM51oQr9fWE2Wmt0oQLGLHfu
2m+a3R7DzvR6/wUTWCvdjFZR+JFjVuT6bvEq6Zi0/m0YJk3cLKTGfRhXJZWKzty1FkU7UCK4Sp+v
etJuEcMjtR97gBV76HsNFKXlygo+wCd6l/41JRoeQssPYVxtW0mmjwkzWlhWPT1UQb4QbUqpFQQf
vJAUjOZ4ngCVHow8jBiSgn7PTvDyCoixHmJzC0yazfU15VvLHxHq+ZJi4iYCBSQ8XNMH+5iEaLMP
X/x5FojhupmFJozXLrS2sNoJmuhTsKub8kbpH5Qc+P6jkNOM/in2+Y0wCvCdmPlHlxSzaLrdNpIW
2ogKAXw+js5sPKTAI9deiP5tnNedfzIGJ9eBQdGtGtGUI6++hybaP9KZ9QwRLzd6DUVVZLgK/d4M
96HlDuUBJDJp9wnQFZzHEgScKnrehtX1zeS6s4VwZpUbMlRdTV/qRQQE6NidzU0QdV6QPYMqWBeB
QvKGys90ZW7HIAjBlI23phvOt0a/KtGMb/Qb8CAjrnrQpIdU9cZYUArmGhJtUqYHQrtA1JTsdJDt
AjJLP9zldQ92sWaVW9Kmg4rXV5N7DVHAZGD46MiZMobUT0Y2+Sre7EbYo8dOWUmdvknxwpj1b7i2
dtel8RSjQ0S2TGQgIrIlsKkIQACrFwj4NdI4dZJ+byu7d9XABA+rajxfl8bNBANQGKN9mF+npNzn
5z4obKuRDYhDJ5++aZLy2DZV4RltMO4AOGtuOlP7aqOqcUarKzxttAKn9OfHzCxFnGM8FwSnjpq4
jq+5IBxRs1YbEWWBxTK193oHwP6K3KTCVxbHXFF/o49iWvkGkAZzZ7Vx0INaoEcqM3qw8o+yvy9A
BzP1LrquwnzVSBItW1xf58tdpVTWgPWjne0o+1PdFzeWZKlhVPiQGWeu0jxSbK/C3BWDCE5YJIf+
vpBD1C4OgD2HS5+4bfc45Wsyn2r99X/Thp6YhZQyHkDXZkEbAxASoYWhYeVRl1GVfbou59Ii6KrB
PCm4JCgPGOOsohAUfi3VJn0c+vtcPlUiYrjLw30ugvFdoVHOtk1FjOQzIDul9oICpfSfs6gWcXmH
Y+ZRVglq9JiyNtjWhxaYZNJEG7fH8j6o7QfZ6gSZc64EC+8hZPtwkNmmDk2JQz/yURboareNX3Xt
r10uNEB+FIyAeFkiAXy+611YTs34qwRAnhttrfmAcPZPOUZSr+86z4aXcpjAVR1z9LsNSMCZmRek
qRMQYCaiJKUL9OGtFwpgKEEhewXcWcavdy0Ct9JEfqy2T2rxIx1U97oiv7Jf5yEInnJIrmAiG1xQ
aLs8XzEThL/y2CMEL4+Y69i9q4FDvGrlvzebaZU5svNyo+61tbHC1NzsvGbodO73gYcHHgjVkXhx
PvxVgGo3SHc21z+NM42FT8MmUtolmiVmHFKNGa98yhG5dkbpNOOT3PlOCNAStLA7dXFj2z91M75v
tW6dxPdy32xRAXrqVM2TlRpYnmCmNSvRi4VzFg00s1POLtS3ABBxvlx1l/oNsK0RTZvpwZ+7Qx0p
G60y1hOO5TSLyrs8caDRxKlEkhQWzSxBUQD0fCCws7qZy7eJ+ECpy2aLqG6Rpk3qxBNw7Ny4q4xt
LmWYvNP1njjzSIZ9AH7Mld3NqeUALKHIQU9oUTzPuG+efeS37oyi1w3v+p7xvheFJNNEvhW9I2x3
mj/3PhLtWJ4JTx3HT2RPmse9FRXHUWq/55EIEoR3URoowYA3U8cpQUX6fD8mEpIxsGgMK9WgCGxk
b9C6IwZyPTJPXl3ZyDBlwKAaNmgtFOzOheuHhwQpMxCK4PwxEMlc0gYIPSxbwvh2UrfPo5+Wjq8C
YFUrB8GqXmoJSSDvkcE5DnhUNOacaxkbYIuzKgLGdtXea6Aic5IAZ7QJ3/1++D7b6kuYaRh6yO8U
vRK4ugsXhJYMAPjA96DDXQfU8LlsMoPGBN0gYN81D0jagdIyEEi4XEcFEDJop7LQUEAsls9srNKC
4E0OkC4LLcmTPMSrpM1AVUvKfHXdPnnKgPMO3N14E6Nbn1lIQ0MLfaoS1AaD0jGMu4msrwu4xIbA
cqFtULfQOgB8XnaIq0OreFL7do53f5MjDDUOJDPatTTFp1AGKUSjG3tfHY6KJO0tq95JavFcVfMN
oLYCANjK674J73INQL+p0e8Ltd36kq46gayJ8MMu42r6qaAWAp4KjAtrcr6zAxDm8QADLEQtmetS
ybYyYCgnU/bAcAY2tdCtYt+Vx69gNrxYCVy7FwGMcXYeBXQVaWDU/vCWYGyrKX0gyE1IUBYgNIDj
CuoHVVEF9whfiI10JdCkNdAFn6uZpVmVlRNCphCHx2/kjYk7Ts+31zf+ku8LOGwYFESbI62OoEPv
XEyT6nOsou7rjmtjLd1+jl72gceRZ7l4mGymr/r1AaDjp/xwTE41UJIepSdggr8TbxLoy/EW9Evw
MEPmR5EvCl5dXOUKprALtxiTVd49k6meHdKO27mqvbruvMmvH5QSwIxGI3JV3MUGviSVDpJAliAQ
ZCWVhnnNArVx+2PCwNxYKoc0nAWtEZxzDBX/iGHeEEZeo2mog5ioaJ0mNW/bMHq7vqHULM4CI+wn
3ljgvFfRtID443w/raqck0zCfpr1g+7f9vk3LXHa8cFqvun6thNCkFJbvyaPCSnbqbX8KYoLdNZ7
RX2bTE5EcX68Yd7r0rutOe3wLPUCq71MU1ItcW/iGoPRgkr7XMukL+2qrFPMTm+ldmPdA6zaVd+Q
vjY93ct2/Sb5+n59XXkWspTI6KmhqTsrAYzjlpl8mrRirwbjjUJEpBM8MYDFR28cLVSobGoNg7SR
LaUZxoPSaYVRsF1VN56SRwJD5DlRWAjGaRE6Y7CSNfjWHpLRGgts2yk8jut+17h4tb8XR/0rdmRB
I4NQGmP3siL7ypRDWrtuPWmLOeyNcqgP823qlKPTCS5m3ikDghi6xXFZYgyAcc9DbIWVpVQ4ZVPu
aM0PVFCu28KvnAJr9EsJ6rn5EVIaHcB9Cxfw2umu/aa6syNLDhCEFC859vvZ/UhRahY8eni2ARgJ
vCowBGspbF0OYP0zkJsaOCn5STH2mroaUpFdUDNmNdM1Sg6O/kUavp1r5hu16qMiX7j5Lj5ZN0/m
d3UH5o69/Jh44J5oPHfOQY7rXV9QrmbwWfC/eF3DdzFSkyksfK2D08pqL69NJwCnnjDIuZxFgtfQ
F2Ko4SySK1MekLAue3iNUzE5vYeQEACST2rnJBtyUxzrF3NbHezdLPAdv/Jel6v6Rz+q/0KwUaKv
C8SL8FGb9xGC51N+HOC21tojXvo/ymPlhF4fOO1WPcVO9SrtVx2aPj4mtHQYu0rkPXl3xHIdmONo
SjFI6kx8TtusjC15bNz+YHrlSn0sC69ZjytQtGyrY3RKXt1ElIPgCkeaDryXdEzmooZuWsgtF7Cw
yDx06SZrUk8Z7pPQy/0f9eBlhaAvjGPRyPkiUYAXD9B92ed4ivqLbidt6WrAciIduOaH+7a4i6zI
SePIqaS/fl4pGEVVkZgA1CPmOqj+i71GJsqoanlEqivvZ6e1vsBIDkehinoGOV4OwSfCtl/vgovc
ea4B2jmMZGyiVUv7eVBbN+uNUeBzfpGkMaaLJzwYfUBVhKcU2zIdhyQwMzSMuuaz9U6OrUcckBje
gRxkbYIjtfPmvao4GBpYo5573Svw3OyZbOa8VnE9gegBssG5+zN7qY/pnXbIKgdVyLVdurOrVU75
LL9eF8tb2KXGzGG1kgoGk0Jqkx3G/qUQ5a44BwD9t6YJ60d5BWmicwNRO8D1WyH+vlSvStnJLQBN
W09KA9i2lRpsJlF/FS9YOhPI3FZlkthtWVKBB3PTHpUjOcwHeyX9aLzJixRHPjQCD8NVERcVJn0Q
pyHfdK5iOvgGSGZhm6QY9509bvw8cEz7p0Y+8dB0fIVsZKL+bZIWsSCKVhgwRACPRxmzb0OfA+8F
71LE8O2WBMNtJomQBrgWCbWQRgNRGx4rzN7poOMoDPznBuCYkvSXNNpF8k0buxJQEvtndUIDyZ2K
F2H0kXabHsGVKPTlWefyC5jNTIyxH6tcx5nwZ2mvkU496ZXxdf0IXPpM1Kvo3DOyUxQokjl4mWT4
wdg0pdslj4BTM+N9Ox4way3Je13/cV0WtYVzB3Mui9m2ZIilIqP+eeo+iL7JfScej0p0Y8fedUEi
pZhbD6DOWacXENQGXmbdxv6z7YNPFLQ1x1EVXDqcx6xKGZ5wvIEEBHxl+jGLWwBw43qWVHkJbD1r
V4SvKJmhQDW5Jgk9NTc20/glB+mjb4tMlC7X+XKCL2xhoUwoVWsJ2myphcaJvJLw/6Zvd6AmEfhm
ulisGIsgpUehROns4rl+4CGfotGmtw8ey21pucoIDN3oVBXF+vq28RRaSPq10ouVBDlTFIWZAt46
bd5mur9O7Hg1D+bDdTE8hQDPjI4G9IeiEMOsW5ooVdxNPk52nZ2IHXyOdXQjI8MEUF9BhMCLQ9FB
CFxzigUGl8UsHijfQDsVQBZIHw9dF9zNqAYTzP0jS7NOknYra3cKeOXTSnXs8VZVHk2zPgaN4VTa
Z50kAtUv2w1pMPbne9glbsECVDQdvmc2/NeiV1Z6reyNMt/HSXjXZNYqVTC7jKyMQcCJO+Z/7W0g
ns6+AkADbw/2thh6FQB9bVC6OTh2MmU3KigNYAwicjMJuYu36xvNsSeUJWgvMPor6ZzPueXOZlBP
WRlB2jw6LU5i+jH3gqtIJINx0oZfJOCgCsGnHeXO7G/yKfCqSVTU4ZjsmSaMyQZVOQLKGZroycZq
36ToNky9UNS/KJLC3AWYIe9aHRVK15zcPDim2g5pVtV6+pddQSZCo+PduHfOd8VS5hgcX9AlVYC+
pW9tMNpNtsCV8FX5LeRiCHXsBnmu6dZLN7l+ysg2ntxRBCt8ec/AnGnvGmAO0GzCPnCqnPjxSLBg
UqMhLm93pVYdO71M0SSouoPib9RBxCTAMzha6ACKJhLiKmvUKRAgazvDdWNZ4ISY7KOc5Ru7VZ6v
7xLda8brYxoFwKRw+RDEDllXSRUrU1nBFkz1ZprJpvA/r0u4jAZoNg9xI4V6Uy/mN8Kh6dRaw+uJ
WFHmDT1g05NwyFZFOj8qSlQ+KCT4a34ZXNNUn/9jirZZil/DbIxuxgPdjSJ5N0r2obK1+7g2b/ow
FJWlLvXDpB/kYW4IPUhoJzi38xmhVWvriMXbyOvtN11b+d1+0N+FSP1cQcjpI7uHlp+LKknkow+2
KRANl9230Xzz613QvdTqfs4Fh+rSJqDRH0Hs5dEUCTHSAfezUn8jGE0WTsLQo39udCoSeZZFk3kU
YJDa/iIAaPR+LtrWREQzHub2DmPdUvhaB9tqOJTqAWSEf2uB5+KoE1mIK4I87uoO4lKggU/ybp7q
jR+9S+O2jUVYjbxNQh4RBR404oADmLmL+hmIVjjVuHjll9aKt6Cauy+0eiXVnVNqoyDuuHQSAKRE
YzuQTsGeLLOjyYaE/qyC3krDkIE0bj1YqKivrq/epYulMjC1gNYMMFwZjB8v4t6aigED3F3xw5ge
qvgYTl4scnc8mzMxFoX4CYVAgAef75GiVFmuESpFuTf9CDWG++tqXPpwPErgwPGK/OWF6MYtjKCT
MWBaguLSLXLPLJ9V/yvQT1q8A8ohiNPd68J4VrAUxrwVkEcOO/COwnnPwNBKdga5N9A6QuRdI8oF
8EwAI3h4ImgIP2XCbE87WAMoGrFwFVpM0npjJ+iWDUWBCVcK+v903H8aMnzM6oV1gekNOQV5lXQ/
2aWj2g8SkZ3rq8azNIQLv4Uwq2ZVgwRPCyEzDmexa6Iv0MvLimhyjLs56B9AbIr0tM3is+RlieGU
CGKsxDhksiRtkcFoHD0Y30ln3qiBnwmOEFciBeuHuwNYAVv4DY0QIyM+riM/+06vc2DGVtJOGkqv
LTb/sIa/RaFH49zMAd/cNjEdwqymbZPsqqF0QLsrBKjm2sNCDHNcTd+oum6AGD9dmf1bFz6U0ct1
TbiLhgYnANGhaKGwnad2HOp1lGYAjlDv+3jdGnvZpqBPrhkJXANXGTgfGchw8A7sbFao++WgZVBm
AFBiOWnoqc2+jfokcApc816Iob8vPFCaDZYZUzFJB4602B2j1aSYTlsIKj48V4qX0G916MIu5EQm
SVUlgZzaCHdaZ73kcyCwMtGKMScVieogR3GndPvgwYhOkX1Cc9W/bP8fLRi/1ug2esmoITdKsg6D
Q5dsqgAIQHrh9MLnOzVXNiBZLBn7jKjRIN9UOoSByi5xjKFB/nbeSMa72VleS7JVP+teZXaxGxf9
Npnt/2092ajBJLHfVwHkw7126lOvb/xGVF0Q7BmLaqOmfZRYJWSkte2R8CS3gM7R/8WF/7G9iwF3
sxjAxAghCvC521VvrQ11T0QJJK5rwAg9GtGQcUGT7bmFa/IUhgooxjEi8uXnTjWt+vQ+9QOXJKJ4
jpMfRtywkMWYOtA/o5H0kKVulHW3BzH6bfGMitqWzOB0w7hoctdtydN14+fuFWZSLCwWLij2isJA
TIMcZAn3Kj9p1SrNfhARCgb97guTX4igXmThJeIApE6WD73M/MXKP0flIwFqvfVoDaojixrHOfko
uop/FKIKL6T5YZsqaQWFysJRIkd9yw+1Q25AzubZG+379dXjm8cfYYyjJb2UFoOON20taY6GWZ5w
HF3E34PxWRiCW+rXA/naOjK2mLRjYzQhhMnTNlvJbvSiu2DQue339RZzr8+SA9iFVQseOm1TP0Re
KQrNRBvJGGgTBL1cFVjasDa2aGAAOpYxDRtFe1PLm179hxfHciMZt4xew6QOdEhTc/0zJVPkoNNq
PdUiGgqRxfzqcltYDNGCEt2LWNc2WNX+k5F7gBx15ngLrojC3BYR7tBw68ui4ROqwJX9ZLtMZ2XE
mIMJuSCfeenteGePT4ZPZXaOBBp5BaWhqhZEIII91JjsYuHPTRgkENoN9TpT78tqcDN7ozZvA+AF
suHr+gERuBe27USekyqRqXsBgQmaMjK3bsuHVCICrURLybgYVWqNuc8gBlPnRuyW7Z6gcX6yt+Hg
TrbTiN4PIrUYJxOkZSiNGuT50w1pb4viSa0er68c/eRr1sG4lr5KS6SSIGIeHsfpU5sEUQ+3yrQ4
XxctyJYfmHEPAdbYvsyT9KCAX6ZUwvsA3WOTaRyi/FSmgRdn5u66akLRjCOpLbWSY8Diu6ZevGhZ
d4zT4EDItE/1aF/bsjuXuQOi35Uxypvrsvn2jyifYrmh0Evjs8Vhz/0u6zDtWrqxpLup/CXH4SbM
5rUy+15WxzdzYQpyQlxbQQABAGo8mjW2ZK/NiT6mGIzGSMewAq3IKgdRzJD8S3KQLMQwB1vvrNqO
J6xpG/XrzLJAvBed+kj1Mu1HaDeCZeSUoc4rr8w6mnj5RSCNxAl4l0Ines/uzV11U2+D3lF3uIGA
EO0ob/FO1B3A3b9FdZlR06xbrZdDyFVaBWzhQNPoNm3h1fLsqMVr0guiTO4FvxCnnZuLboBbQZVQ
zPaLFwnNw9ZrU3hzs9ZEdyvPgy3zyMyRUKQ8L+QcdjmqySYMvKG47+YtMi0rW3KCEPFfI4JB4em2
FEk/aXEU9CwoqzRCrqBJf2bWQep+ju1zAhLMUNK8vz919MGroDvbUFE7OxdVd307gqgCzixZE0w0
Re+qdfSnYq2qnhWIJnK4/mUpjjGSrCBa2TUQVyFKIfouDVVHsu4tdBnN9tEqVmX2ozNNgZLUI7Me
eymVtZUwbUmp0S1ER9O46QHdnKBhxVS31xeT51CWcpjLDpDecdIit+QWw3siu3J4l0yC2It3+dCc
OTDXUFADN8L5fqF80gVmBZ9VWMVtX/oPuMMFl4BIBHO/5YVUWkVb48ou/SOaIVZVI3q8cRcKY5ey
jNcbxnkYA0eip4pyC4dXMxJHCd8aeXRiETsX9+D+FoKk2/lSITkVWZi/LF0yTe9z+xTZ4S5CEnb8
bKTHOFLurUQERsNdOjSEotxJADvBztvkaDaw/Aa7k0zvtX2ni8heuYa8+PvM1oxyPvWYkURNyzS3
lh2dQkDjOUEhrfxJlI/gy8JIDnqFgKXBTseaYR8NkQJdUBNNHaI2d9PQbWs92gDL2v2Hg4Oi6v/L
YqlyOkKhvAzIkktE+uWrjfn6WHQPCxRir3sZ4QyJ8AD9NYSNcUWwBWIeJQoFJ5TTW4nCI8ZXkZug
rN1sozrKwarVoyPZne6N0PHvvfGr2APiwV9nu/w12Iz7fDN5yc530r2oCZh3CS9lM/41lxqAhWjQ
caITNUEagtAVjEPG+B/OrmxFclyJfpHBtrzpVbZzqcra934x3V1d8r7vX3+PC+5MptKk6IEZGBio
SMmhUCjixDmRO9ORlUm6G/CIufz1Vq4r0HVCixHUWUDmn4FscjMOMeMG0HXqRz30OR8AP6wLT6Gv
lw2tPQgXUglsL5jVQWElRL9kynMrsyjAgGbnG1O2VdJ5E2DSNK3nXWv8Qcf81kRdCzwMB/AxSeaf
19YJLBHgxhYQzmdqVdasDvkQA1ADroXOI6me+9qQUNYlRevCt3NPDSuZ7PZKqFxGA0Fzt1Dkn5GT
5WHgtIAaw2tt8Hbw7hDkKGZ0heQbyswIjmNp+TQXNlIOoCxrPWNGB0Uk2YTd+RA1xmOPFyNcxHNC
Z86Xi9i8y27Tu3ZDWeTf55uxZTNGvZdCWvOrv6kr0M5IFrgSmjHch0ELwBww2SniSPW8y6dAQ+8v
DbqU0fnXMEERTuKfq0bI0kPAzP+S859eOf1sNlbWoRFnTcZ91gP7BWvttaM5+ZUyTagejMo9ym72
tYZUztXn+Gesp0CJWX3CIm5mLJbxw645LYYvCDhC0Ok64yssJ13NRoJ19+Zvs3pKeOIlJYf3QkXD
on8fxzHA8q8x4X7q0OVWwWaDRIuPwEcpJpS3rdpkSigjIFu53GEJjWI83LDPYszJK9RiaAN/rSfQ
aqQhXjdpFEE3elL21RSBSjOlYOkemz/tWDxf/swrQfbEixcvOErP896qrGjpFJjTvaa7ev/QNo96
cgjrfS5r5MhsCR6V9pU2jw1s8XE45J0F6anGNfrG7+PwPgZvfKn3ko94HmWhcQLsgmY4iLCACgtv
AqjbNko3g79n7KlXD+pOUenGBioUEg0bpSMvczSA1wcKV2hTlPz+8u6enaHFOjW05Reg7ycCQ3IQ
aswQVgVXCv81hA7TGxnT1VkiAAsIAYDp2IAHnUG50p6PFekDUJMGvhHuK+16zP0uf7+8jvO3jmBG
CKkYCVVUpcY2qq+l7vMX8kv9mDxQPxqcycZsz8K3YEsIrGMeaq3JYau39/XIWVTdUceXLGj5IyfP
qG8joJkAyHLl9m2A2Z3rBqzPuTluErwaGedUc+1Wm7YtTRKWm0PipUXCQV/VjrfI+0GHqA3mVZN1
D307T5JfdBbblh+EaVhiGgsFrMh9TaJgMCDnkrq1/gWGYAb8d6Aq9x0dwEE8epLlL25/tnyTAk8G
ljIMWQp7TPoGdPULSVipBYRBc/NAA2L7YVVUH31kxRtw79y1fLZvMel3EzuK7cVzIjkda76LcId3
k4WZY7AyncaeIQ2Bch0heZR2lPXGPip/xM67JWMOWNtZ3BYYsAKnBBRehBAwFDVBOa5KXcMZfH1M
9xZNvLAxWEo++GhIIs6a9x5bE07K3Ot9HNew1s6aV+m6n9r31ShpiX8nh2ffD9Pw4OVAInA2Ex+Y
Tjj2AVgFxtIakLD1GVFdjEEZz502xduoG5ufELzNw2uI2iA0RHEC3nYt1+a9bcf180iSDqNfim38
dHpOvEQhcweWnSy5UqspD/1kRnOANa3VPNeh1vhgAqkrt8nbyeezlb3oVmv6Rltoz2prKF9BXdi7
tDPVFzMIql3aTpkHwMN8CFG/AylzEISMZ0563/F6lCm3rG85RtnAqrDoIiz//+gO08Nk5DZdhrrR
WRhGa7x37P6liNtCUmRdvU0wfE8BwAc8DfiXU0sxpCTqYeFnK4IBOoK/mgkKD9czZXwEN7Sv21c9
9MVLbXP5uJ4lCIgNC1IJ4kEUVCGiOJFjtHZgZfApq32Zu6exvOLxoVVYoryo9U6LtpfNnQ9Dw56J
pwkmiNB1BLH76TK7oiszqLngxLQvWe+NxFUTL4j8NmF2/E5STCDsNOvWKSWG167LY7tLAnH0IWM9
zJXBwTqdpt1G9rgbJk2S1q4Fg4UlC5uJ0sYZm2bdDq2e5viCPN6VDfBEu6nKFi3Iwpolptbc8tiU
EAmSgkN9BURDrsNbd+AocpgpU7NU4hyyFQmhnMfQy61DmAlQ8S/H+zF5p5jOD6ZP+cvqLINbHAMM
ZhRoUNQDxJrQwvfa5EOLkwaFOvpIYwo01kMdPHUqiKFkVK/6mj9gzhHlJ1RtMMom+KFWKX1Vk+WS
hp4QKvG0fNJnfDlfqR6a4JU6W8W46fhPgJUzZ0eSr6a8De0S3L1bp79Wjc9aqVhWPqXzLre8KJfB
ste2/vj3Cf5qVQ1JTI4oHEGrUmX9tKntB9L8aiPJTXnelcfGg9AFUFvwlWmQdTg9GaR2Gi00sRO1
HkJOZJtO4LNlVVizNnmorMkLNcJQr/XTomZd+qMk10XgptVvk1wl42vujMwaXdV6GLnkvlshOz39
aYKbd3pJQPSNTaiy60nNsPk+XjF17BH6HGcbK/b6ZFcoXsozL5cpT645JMIieHYWdj2gbU/3JRnB
RKD3Oc6YDil73b7Pzd8tyOwTDdvgkM0oU3pfvwJQRYRbImshok/GvWUMnY3j1k0+dR4I9/LuLbef
w/5nRx/QCTOQFDd/zeS03AAoOABMjK8PlNDpOodUn0w7BWXsELa7UQtAyJXcWbUhySvWQpZFF+Yg
VKX0swc2GkEo0fRJ6s4oi4KMlAWGO8ja2mu32bGRJS08ivJJU9Ic+sJYi/bRtsxst3a2IeHzYO6y
4E6XYZfXssxjc4KLVNVk8miCOQs9e8diBrkdIblKZS+xtWAAgjpMMlhoWoIy/XRZ3aTgBBe4vEjS
Qy53X8+PYZX4hvYzTSXp+4rXI/v4lgcDiQjg5aemoIsdZ5EBU1H8hGExqDnXKJzfcY0lxIWs6OV0
YOV7nVgTvtcQ6zxVwCXmJvF+rgpIzKMVi16hpbPM+EEgWg3F8csmV/zwxKTwzWLokOcmwAkuJm18
te3QqLxRZY6x8sFOjAjRex7iOKiXTJ1j2KBKr8DgjW1lTu31leRc6atfDOcJhC825ihENqAsj43U
mJY9TJ+icT9Et21OIPXqmdw38ucoNtyw/2zyz8g6BPPOJrU3GBYj6sbpMPSzb/mmDkBD0fmQyXTR
5WRhj7IQyEpZEd4NsjG01a05+rnC1uC66XI9wt+vQfpPoQai1Vu7+jUojm9/Xv7UmmxrhFdg7UB6
c16SvqACnM1rlLcI/KK0xVTVXgXDECDM5EA1Xy/uW+sqm8CXpz9S8z3Nwm0pu9HXbjNMjf3/Q+li
o61R02BQVfwaim0GUzm/MXvXTFTW9HsLFAHB8N7V49Y073MMf43/gcIX5kEeZ6HIiRxc2AwFL/Vm
XDL9oLof6bMOKhu9uBpDST6xer7+NSNKQitzoNAmgpm8eY9AacLLXV7JyDFkRoSAaBpKOEInBFup
/GgoZ13kW7Jm21psAuiFLnKJNnpuQqDQunFIk4XnPbR+pcF+Tr0B1PJ26o3JdVG8ja+XnXVtSRhd
X/jX8IJA/f808KqtCtkuPuHcTb7i7EznaZZlNBIT4qcp9QH4nhIm6uom5R+V5Suyebh1E5gUgVgx
ak1iqWkqyNwSZcD1Me8m402ND7VMJHbVBIqSmOoD5peKHG9hr2v1bGMV/fgEcbMpOYDG/PK3WKtJ
Lrxg/9gQgtRkahVvGtig9fv8wwBTLDSrzT969KPrH1Jci2aXSWyuLwvPRvB24kEu9uyqsgU/A5RJ
XBPDivwrQgmE/Ly8rLVwiKGhf0wIt22gqU4GAtnUbQJ/UHZ404AjMr+dqa/L5ghlqxEOD53QUzU6
mKIOiJa13RD9gOrZ5eWs3STHyxE+UtJNQ6OpsFFFC+8eM+zXyckY1a6JjLVmJdFbBqf/2TnhcGp2
VQdaCVND8VtTrtLmqxzx7t5eXtBacQSpP0Ar39yeuvgGnuMBCP4Objchu4MIEYO+Ewu6/tquLDfQ
azyMy1uQsW4nM7gBN9FDWP24/BPWgt7xLxBcpISsVIMhRmSazr6f/lj9s07A+X5V8V+Fs4lkYMa1
Jw9wjGijgJgbrWqxP9XTORwHzcSTp45cIGzT6MUu/DS4Go2ZjfSNoILc4ikuSQLPwQco0Cxjzzjj
0KqHRNlptLUzZaqDwoI8AWteu5+ZT34RL/wsMCbBon0NsMhnyIq39sa5niS2V44GTGNOAp1qVTvT
6gbvcBXYuEeWEOk4XtZu+9H/668IrU6M1C5D3RRUXKerKzO7HKtIwbukisCQtbHUbUgY6BSYGXlI
8mJZ9XLlfBwb/I6nR+8uS89rrQSbsksMTFbGJYTB9jNQsbLpo7W9O1rYtzsd2elVzh0jo3iTKxxQ
ApSARwbG3su7JzOin+6eXXZmniMldkPoq4Ilh9C3oZaAl1di1wIkpM6iFQFPEOJjYilzRhL4H4jE
D03RuaSKr9sh8otFErqPJWCblch/Yk4IlZGCUpeiwudS/TOpIhaBtSxV/Mq5crCXMqFpmTXB/Wqz
Q6KTw5pueTVa933IjHoHihxTf0i6r8tfa+X9swAVEPWQ1+JQixNOmL+nVdvyxL0GG/6236TPxXa6
qvdoLOypq7xErnHHD9B7vVV+QB3DL7fxwUPAYY3PJY/nc885/SnCNqtqYOWdrcSu3VQoil21Rs9y
GSjw/KzBCFjFVDQkloKNmPuCRaGbR6xXBzjL6LxKifBKf7SV/eWNPb8KYGcBDYCqHbRi4rsynnmh
lhHsaNpXYvuoRs3Vm57HrLceMntwQ1Pycvge3TjtPJ1aFLYP9d9YCwJYJHc/Ipe8N/5TvI+2nf/8
m7L5PXr8nTV+5IKwMWJlywwvOpQAhxVPfDP7xEeFbitr5p6f09OfJLhyqg6FNmXLZgd+ne96etW0
H5gSzluJ66zchMeWgPkUog5VyyFf3NisW2NvZbkKvuIg2thtwG80EsebiGYmnqV18WmEFn8MNSfc
At2RPF/+7ufIeOP0lwgOpk4aHwYLv2Rwa5Rk/NClfvsrVdn95JWs8iIcnWtlZ0t2YHWrDagBgoUd
lS6xDhnUtCaZGkFXq7ppoO2W6g+O/TGaXlVLouGqZx9ZEpKczIzVOrdhKcFYOUVmX1lMhZJXYWDc
5q03HoxW0t1bPbNHFoVw7xiBMWkEFglYYwZ/BkneON4F5X9ovuPboYSMxi1e+UioTr3IGMN8nFIY
Um2AX11Ta1gPalUUWuvuKzAe1eh5pLcQILzsM+vf7h+zIjA14GrMrXxZn+ZBZYnVyr1F/Zz66iAp
d62G2H8XKIJuNF5bTVbAkmL4ZnozzPfa9H55MSuvv5NNNIQEACz/pd2FITTrzJ5phZ+h8drOjU9B
tmH2L33MlGnfqxKvlK2MnH46NbLVftKwsl6fPQUKTuP4I5ijv05uTtdmnFqByEFmlouDROQ6jJ+6
IWLJX0/vLwFkgTCCZgX1apHSrKwzTOlR2KhMls8xc6Dt1WksRBX08pdadbsjQ8KFkdC8BZsmDI1o
XRnKb17dUOLPNatkugsrIeObDQW0nhoUxGzh4ygAQ9LZ5kjaB9/MMZaEUfenvrgFnCUpPDv7ey8H
SerCr4DGHPpyQryIQ8J7B8Qbbh4fbO0+Nd+zv89A0fU8MiHsXWQRKx4m9NaS/L7V7+v+BaMm83Sn
d5JrfaXVempJiEkj6MjVYsFQ1O/JT8OtcwYysFfuDht+ILcM85sGC39eIQe+a64wl/T1pf5IJZ5y
PpsOXkOw5UOWCHhzSxfLK5ODwujYAQOlaYx0zNg6V+rPKmXJa7FNr/PQna/Gr7HZ6JLztuKiJ3aF
u6bq0Fy1e9h1gvtUfYorkJS5BuFQAdpdPgxrYevElOA0EBFy7NLCPjvpV6u8W38wO1qUE2u6G616
1eIbHsgg7Sv32olJwYlSxTByJ8bq0LcZtPdZ3db0kMswKstfEfLCEyuCA/VT0syTg4VR7XPqfxLF
C+hjFT6m0S7QJSdvdUWOjtrlwqJ7RiegdkMTDgNaegYq8j2arVHj8vRAOsnXWon2IMn+144QhxPw
PpKkhR0+3+mmF5TPvSx3Xf6EuG1weESQpb9vigl83jphoQfQPQx0yGqpX0RWT143AP5TiA2gai2W
GYiDapE9Q0Oea8S3Ev1pNmX85asmUEZeEDWQpxJHzJNQMwcseolSn0X5aEFy9fKpWfveS536/waE
uz5sNX2c8wxl1+xBxT2lJ3d2+hjK0vu1z31sRrg/6rjqkbVgHWGzn/NXu2JxIPGotUhzbELwqJA3
PBwTrMTBpGf0QQvfUdDpAmdXWkmi6epXscCbCt0nB7I5wmqcxBi0RgVQwYwOBibHGtCSX/4sMgvC
YhIkrkWxoOFaXAmoC5amJCNf/SBHS1j+/1ElCVP8aJZRoDuU8CUynsk0uvEg+SKrNgAcXJSC0V0T
y7k8mPMqGYGsKMY7RfGc4kCyr8v7tJaXAFDxj4nFvY+Wkda8SUAxkbrldNs6rIN2AbDE5U2l7Lqy
8nJbJlq7FotBMY4JEe17GlzYN4BWlskmdN7CaVNZjQcCG5ZOnmIdEJ8rSAteXt+qUx+ZE9bXmjS0
h6Vn6tSHQdtF9qtNvKnelX+tC4f84HhdwuU59E7VRzMMdeMPK95W6FcYEpdbXQsQMMto1oJwE64x
p6IZpmHQ+Sbl81Biom5vcMDAn+JYknFJDNlCKaHqhi7LKgR+8Kz02TNeMGBw64GutSSTXqsO/u+K
xKlorjsAtQPv7VrhG4hkGMS+fYgeXXaB1QgNORaosyFfdcTMTYXsYRz1i4sTZqDXWzue2kEI/r/E
tCMzgqeBqyTWQg4zuvqgKO+V4l1exmp6hlm8ZeAJDT4k9qdHtYitOA8WgGM1Z36lhNdOnHgk0nda
OFyrw+2Y58DA6nnFctpIWmUr2APwRUJWCX2HpTQgNk3jnES2084IRbfadbZFC8BTF8kec0tGFvh4
pI0Sk+eiejhRxyaXSHIUmhApuipuYFLf5vvo8Tnf84Zpb9StvPILlaRteKs9aD+Iq3i1wpTPy9u9
5jWY/wbRI8YB8Y+w2y3JKJlzHLbRuQMfNTPj3aAAyre/bGbtBAA/uuQPqNQ7InNz2PZkbhycgELb
6sGffrqbbFk/Yq00iNfYP0bOKNeyqasyG0Y6TEwX3NOdm8D+MOwtNV0NwKn8MabbJpUc7rUr+Niq
UAbkEwE6arHa5NdRW7DSeLu8d6ufCLSv+EYg4APu99RBar2fy7nEgWhHxepcw46bLYEieuVWdmK1
LlSmaCY5hWuhEUB3ANxwBpa09dRmC6Araa0RTwngbkB8g8GD3nkG0r0P/lrMDP7/jXNH41gDlE64
Ka3EmSKSDQA8Qrs+KQe/wqyorr9e3sRVB/x3E8XKG5BfDajqlqhS/MzsfeV8dN3mson1yHVkQ/CE
augDCOvBhmbtw0bDwKsJEO592t7PaEE0gYfBelX3L1tdvoT4eiEoH2FSGqNsmK85/VIjmcF1acFo
0Br5xDBgE/esKZXKhZ6DszUHMG+UTRndKG2AqvyUadvLP2DVVRCq0Yu38BoU8b9pqjikS/EDDOSG
KfErRJGApkxJX3WZEOXqUVha4GhhoY0lCtKpGel6SjuUl+rIm+Pc50oLVaxUR+Jrymi7Vl3myNjy
Y44C81zkaTBWADOo5f1keO3wkjgSl1ndO7DxISZikuVs/ErhoZ3mKXxfq/JtlSjMdn6iUoBhCCh+
haYkQ1h1lX+tUTHfsaoW6FksaIqMp9D5mOt3TucHtFCu1Rz6DSVG7gzZtMf6/XZkVTgVde5URjov
5/tODV3+mPfuUk+6pf58G7nRnj/TrbPpB2/wQj+4Lfayp+tqgD76Afrpd0x5pehcww/IMMOw5OG9
rKy/ApPAHX5kQjiEtqJmyhhjZ8eNtjGfwucQSm2ecVVty2twKM+ha1+5/EN9rxlGYP+TE5lQWUEX
UtXEUn+WlTEBvQYOYPxFZoXNAyMmo/mLKZvyWnfXfy0JO4ne+Bg2y4noVMxgNhBrgl7aQ98DPPHx
l0EF5EEYikYquwAzoBhy+s16WtljZwHvgpnv+7IESWuVbsD2/9SAB92Spg5nRx3mdHSC9G9MD3iv
T82BSjI1nNFOXfQz/KJufpN2dC1FlRTNVs0gbGGiHSM8Z5PCC5szpucBJejj8j3vFdQC63sqZQw5
c/hlNcbCeo68EnQry884Clx2ZGWmEQLWEji56TtVEj+OafI+tEPnR1AQz4LyNomttwLMHqyfrZuA
Z4Sp7VyxMajoPmlMGXnOmefgJ6FIiDII1IBQTRdiKXopGl6NkBPvCSqg4BJP5luzdbXkKqPPl11n
+VMnF+JiioDdeaGfUoHkPV19Dr65sEnizC2HTruJOx64Qd4OrjYlweAGjYKBh8sW9cXvRZO4/UA0
h1tmESY5NYkplTyMeZ/hWmKVbzNwvtms/3gvthmDpNlnsbVBzw1UiascZvfK/Jx2MnLLtW9um3hI
At+OEWaxhtKBR0QzCH5CPUNeodNjFnfx2+V1rrnvsQ3hI3LEuN4wYSNw5noLvQdtrzfhLztrZKxz
a+6imxhug0rJgiwWzmPf61XTL+5CzRjDDsXM8tbSmA34lAvVuJDF1n8yubBgYawIx1OETIWjzSEt
nWXuOG5odwWNU/z7YzJ1t5Tx5J4nissBPbIlxFEjsvrYMmBrAsFwFu5ytEqbyFXn23b2CHmYwChW
K/7lr6evHYxjq8KmWgGPi2ZMM3fIkhQ54mjHN7pWND+CwJlunDYid1pgmX+CYXTKDW87IMZSSw32
XNX6h2FKc2+edQ35ljKqe6r1de82deNAXpF0GmTnFar9Dhtu+UPECfgJhxgcQalOyl2QRPwlzI0p
BQynDTdR0JsSRObZAQBKETkwfAaCBToV4U0a6GqjjBdYnUre7Kl5aBDOL+/gmgkdAwEqAAO4KcRu
ozoO3UiTCZdR2VlAokFMU8Fb/bKRM9fHOoCzxDEGBQEimJguRXaBXJZmrgYkiTM8k7x1ufmoGMSd
iaTSdj7DvsRKjO1BJpvgv8RS2zzFvUk6cKCTDVgyg73mgY2Ijf5vzeM+uKkfuE+u7Am5PNMdFl/F
ewjP+tkO7Cj78Xry823HOv9JP1RPuSvL285KqKc/TizPEa0YFGUhaJ9NKLCSp47u8SNDYzvYN3kv
ecWvxbajnRBLdJgNNqmy7ARdAKlsUGr1jzZUzmOnRKkkuTk7iPjEeFVDWXshmgC32+l1EQVZT6fU
gKs6T1bwpWheNt93skGJNSvoXCODwpQJqqjCPTiZA7QHCjNzVT4+xOSXUYw3Ze6Ac142ZX1eNcOC
MKuIUA0YA64ZIbJUBmgPchum6qbyxu6qJzjxO1rsFONaM91x9i0Lio3DR2xfZ7Lbd22doEbDNQFc
DZJFwTjtMK1b9lnuglXTDe2t7ewBJ2YRmOwun8wVidST02ILYbvMZhsUAPAR66EOfe1a9x2vd7uI
FZtpk98Gvup9XTYp80phbRMWUVTJcj75I9BupbYFzcxlE+fvM+GYCcmLYRZW2QywYT+9R/68773k
h+6GdwfNvZ939wHLgBk5RBvi881l09INFVzUnCkcRofp7st+nt/7u1/gkt2CffXqPtuObiJ7v6xv
Jx4WGB7CsRNjK8akMZDTIa1Iza8xv9c7FOwkTrJqAvV31ULTGhm+cLY7WsTRUCP3Vs1pmwBPBuow
VLVkncXzEYjlq0EFDY4P8jhN9Ho97RK9+/aMqGDTZPzi+e+sSw96g4g8pZ+1ZruaEaNdm+xmqMrx
RDYQf37ql59wlNMLXy9J1VYDXhrOCcUgH9pybypVho1Jh+WFHyvbwDSe1BqDLaoaXY9mpHzYcfqY
aZ3lg1dLkTjyWRxYfg5Y9BDrFiCuyDGjOvmQkCXvj8mfVvMHYEeqeYeC6WWnlZkRgkDQxdWglTCT
FLdB7JXBTRfjC5iStsD6B4ZuqgVUAtYlohI6DNVFTZVkLk/seNND5CCm8SGepmfavYV5elOnnVup
0VtnKZs8nfem/n55pedjocuOHv0EoTOhaXHIMwM/weZe+OyULMbgydfkV/6drrA3zCw+aYDN7Om+
H1gsuZDP8qDF+HJ7YeoEvFqiBl7PmwyPDeTIrQGBo1c4GxuLbR19ZjKopMySEAAhug55zCUbr1vT
o8k7CnWQUyquom7Yl8Eg+bBnSeSyLlySeCVC+t0W16XwqYd0IbJwNMNHliXj5NWdIRstWAtDxnIh
QzgO/E5nhwEVPkhr59i9youTlxH1Z3X2JP6x1AvFZy/As6g9o/KsqeKbs5pb26gUFGdUgNQwIju9
ds6mng8O6HchqqTZnh08SmyuJYXHNpfjeVTb4FEA2TAKmzqeuQXUhBFmyp89uSXBptK92boLK3dC
FEJrUnfToQOix2uzvVXsaSHrOK3enSh8L6SBKDmAJOX019C8Qe3dxq8ZimtOmWn8CcYHyHEoARt0
5HagofQ1iMPVd2ZyTQovcFhYXXWdXw4fKYZYYsmNuhac0F0DOwwgkaApEkIyHQuUfFLMXJrqn7l5
Ly0bzK3A0Wmy2rixagmMesYCY0C7WXim2DTgYW3BUuOnXrEztkgdNpqXHnqd9Ttz8z4wbWPfRYze
KqzZdhjwYIX7EfrEzVyHjdean+zzWwe0AmzXvk9IMPrXeRuwh9LDzJ7/etlv1s4DXlTQgTM0c+ky
nX6oLmma0TQGpG54ucJz5ujekQ1Cr9tADgwkGUYTvwlkjlyziZyiiyo4Qz6ZO9usbuxC2ylaIwmM
Z1V8BBD8g1oheFXADyXkhMDcFTylLXyuyWmEaq+m3vUgkr2q1SrzSN2qD32ndxjTb1XLnbIwf7u8
l985jHjugTFbqrP4Eagwnm6mOjfgGpvwC8pwq6tXfe2H9CZX3Kza8tQDj8C2Vq8sEDo2xu/A8UPj
A1SWQXcfyWhMzuvuy14c/RLB35OYRzwe4YXJa8Pq2at/VV7lzu6fbpuACX4fHsz70Hf8bmfdyqjT
104ASlSLwASoRpBNnu6CWc0AdzuwrYCgVDN3ZeFF/JXOkrrGmlchoQHf71LWO6OtoENaTRqkaVwL
nbt61DZOE/pTQHzJR10L5tD91ADCAn4EIO7T5XDT6puhXkLZRNPez4bQ/FL6uksYWs1xsKFRF/gg
I28fUxRWbUQ8JTJYDs5NGSv5ankMgrQ4Q8vo6Vn9GkmcUqNijJ3dQXSiY+Ov0fLMeqNslJyR+8sL
X9vf49qtkM9pMZr3QYKi5jxsKPmRZ0xVZGzIa5fWsQ3hyCYqMGbhvIRlDIehPKzv9BTcvMWmyl2L
7P9+QSZZgj9EGIDAF0IdNE+j2epwOpVqz/sPNdhmsui/tp5jE0JiWJVkQtsBJiq8DZXgMFt+NHsQ
jYL6rgOqbolvrn2i41MunDRSJaRx6sVcr7sYa70JR9OfolmSW6yu6iiYCJ7QVRUapBW+EmiUIf5h
1zXLlTewL1JlX9qSNa3m98eLEnxC55E+GwCguShTtun7zG0WZi9I78PyrXX8okD1749a7cFBzi47
yOIAYvg+LuMLDgLZeVvhOe7C9LnBZEZ7N85g9rmLni6bWdvOYzOCk2TOUDWligUGyRNvQPVZuI3h
QRp1NrZI7CWLWrsVwd4MVIAOAQiDLtH66PI1+jHXeT8iiX8H856DRu9HfBU8TqCLkXy5NW8EHTcC
P7jA0PRZfsmRpdpsgbbQYEk1AU3bYvzOkmHs1q6WIxPfAfLIhD6Ruhqq5QsNb/PwqTeeVrtZvb38
gdZeIsdWhGOlR3pCugELacHFrHcNm3rJC2Ftq1AYdHTgUvBtxOltMynRyDE1ZETkYI45y2bPIpJV
rH3470YxnmV4UIk0unQEirTRLSSiE7o12xnqrlnYMb3kbCy3bZ548SDxgNUL6timkABZeaJZuDAR
YjkUG/NDC6aTFmyH2WaY3Ibfgum+HiQOvnJqQVCgg6qXqBj8FNMNpeVxHeboC+iYUughoUGzP/E0
srn+RWQQ+e8eqRAiYAxlB1whQPaIAt1RmvAuqgM0qFzD7Z8Gg2UZmyo2vEbX7Z5ssqvZzR8B8hlT
Vt3TPd12OZANFot9o3FlpYC1OuHxz7EE4IpVBEleK1h7fnC2lps/cz+5CXZMuQmvyVX0pD5ePhlS
g8LR4MNUlUWM9UcWc/YgJPP4Q7uzYWp8Bafjvtx+Siwu4f7Cjlv6aVSZhywgfQKLA3S9GHhl3fEq
3txjXvsK/FPbRHIy116uJ1sqXD9hNwxOVsFe67UHcph7l7KEFSy/M1z1Z3HL2ZtVe7f4xKHNGoTT
jWTByxm5tGDhDOXQ/7aa4vsHNDeNvoGPWZvf/OoNjabABhqBQd5AMjq64tfouKCcBhUV0MKgy3a6
y2Dv7HK7h55JZy6iN4FnOT2bEr+3LahBf2JEC4qe7yWqWpSHeDZv0O1jCf0i8XyTodDaNTtjPFD7
qVX3lvPIu9xX6tSzm00mE2E/P+/LTwUpCUa60NEXY6ca0amcM/zUFLP8w6OWfaDK0qsoJox/Ln+K
sy8B0QMLc0N4X4AF/Kxw2lBltprQAqqnKJCSzgamYdK5lATNZWtPvvdihZpLrxE351n8AsdHicln
YF/sOpuvmqJ5GakOQeTcevn75aCrBt44wDGWwszpN+5JG0AXBA8mNeQ/MxSdZ11GuHqW2mAti2oW
UAIAJ2kiSjxvFZKiNIlmYfkxkad2BscKOhecgxf21bT+w86hL4GqDiaJMAknJBwkL6dkNmu0naP6
1dT4wQnrV8pLCTjpPCMVgLhCChWFSlzoNXByeHbdFD+Vho2PRu0nh8Ez78Fem8nYH8/SnG+DYO+F
uJEJbqPlCBylOYVq5pahTRiPsn/G5GsEh3AV3DXWX3PIAGAMDbBvan98MCGYd0038DoElpkrh47v
Vf02Ha51yO5Zkqf6d//oxMeXBR1ZEoK4CtawLoQAHgYwy+1c0+u4BYkiyYlH9bLztH7JgqutDvL7
sWk+S/P9suuvbihWCEo5DBsCy3m6oV3tzHOL1jK4MQZGFcPjld8CTcq/Lts5O8vf6/zXjpDaO4qS
gsBIxY4617F5bcQbpZFcUOdFJsGG4PWZNs2gLcNYhPpgPWj7EHKTD80fDNC1O+uptT3lJeBsdiMP
A2OSA3eWUp6aFnWCk9EqSRhhG8f+baKAdI27eJwYJ18TiEb06VYlu8sbuvrhwGWHyRMKIKLoorYz
6YMWYEMzkJYYk2tpX+HkcT1yL9s5u1SWlQHm4aBmpeLMCUchmyIgw0w4aDLvwDhURs/K4DflnSkb
RV5d0KKCivVgakHEpKYdbwoOLSKXpsreqr8c2v+mKSBOdSU53TJLwpmr0yCaghqWBv2BOhsjeyON
7f6PtC/rbRxnuv5FArQvt9psx3Y2Z+vcCJ3ujqh9pbZf/x3lxTNtM4SJmQ8Y9M0AOSZVLBarTp2C
urHAKL7nGte9O1sSc6+guQ6cnUjBkhr7uAyVq+HdN5Tpc93pj21GD4mMQUXkSa1fyoTcG2BSS8kS
jPYPHS1fGKAWLGbiWU260weyu/5dRZvABFM0NxpTb/DblMbvnKDWjzJBt5AgLP527a07gMTzKkJn
ojOEsZ64cUZVGUDKtaf3nH4OAzIlO7m5mWtv/H19QVwdgnMs5rOSAjl8fA501QTlGzqj7iC223mI
w3sfhHEfSsRR6lUfourut1joa4mYSQDJO4iaskRgfU6V0c7WAzLdVcpd14s4+NwvBTn9/wEwXyrT
JNzmDQAaM/dT7TD3ft5o4fBfGqmRnP4HZ3XhZ3erpVZDYVLgGMl7UiyugR6y7OP6R+J6kzOMda1n
GJKOYma+YswU2czsbapjL1OIl9JHW6RFxN03CK/rSCSgtsJypsZ4QGvXDKy2dgmgOleWvUmkLcO1
8DMU5mIjbQf2oAzPT3BkzTToIxcyi1S+t6NQt5+ubx/3mjkDY244Oc5HTVlVLBP5iDKJ1QUtUtDK
E4lBq9w2yY/rcIIdZLvjSjQpqMb8FRy80WqD5AjRnmLZv47Cv7dB2TVRmVnpmMyq9HrWFqKt93ax
t8LhTQ5iV05RD3bn+9Lt7o2NeaL+z9m1BXcbNyj5C8zSBZW6ymhZAbiT7M2iZCC69ceot3bXF8j1
EGcwjBM0Eog5RClgCG2gwV666ut1gO/ZpdUHnSEwrq/RtCLTKRAW9VOnstu029F50fVHtXklECSU
lBtMNhaAcs/yGShzu01kAGMqA6hR4zZDcy2icT9LiAsio69Zvylm4JHykZro0XN+TAnxJPqKQdZP
A2YJNWDApPr4fP03cQ327CcxrlKicmzUMX7SkI5ojDrVNeTWH1tpcx2G90HBtAUPFvKIEARjDLao
+2Koejx/e9VP5sErlkVgmdyX1RnEt6NnJLFdodXLi2+zYHLBTIrC5HnZ0DD7DXX3TPSwEgIyRmpW
sRzLq7JkeqCf5S66GfYYEDC17vIpu2rsSuH1PeR9qvMFMibrxJnZFuvjvh9eJ9mfrAfFejNEKVAR
CmOjUQpz0Bqsas7/oM6kxpnbT++983l9MTxHgsoM6AKQCXGgM315rZlj1aUQY0Iwjh5KPDgMPVxS
Ubf++kfYp+IZCOutbLWWiQpuHEpokKWMT07jO+mDjZp5uu8q8MoGUUKJd7edIzI2IasxaskqEM0m
1GOPqjjjqjuXh/F3Vor4iYI9ZKmytkMHdR4BJlVPGfWn4Vn7cf0rKVxrcFYNRFAuwOVkrKHvJb2d
KfpOjbZ7sjAIaDvNamg1y5tTKRj9OtrjZuraGVX5Qb2xzfxtrBr0TKeBk/xCCelgFGOoTUsvSDLy
PCn49OjEM0E3gc7Hpfk4KtWJvKqH22jwKvUEM+EiEOh/pqbbi6qIvG0+x2LOXQvpUanogFU34NtY
qre0v3QRP4630ecgzEYjJIrtedUoL2f0bsXoEciH2wL06uU/KSWB9Ye6NfJB61jCy71D2GejgWTC
1af4xpS5pPx53Wq4H+cMYF3rWcgqp3bsWAUAYgWSndDs1kDfjoaXSgdPS1ST5N0sGO5ogbwB1hHY
IJdgIKbPcjLpq67Nez3+asbw+mJ4X//87zOLaQjVrTjS8CJFg2msdT6xnnrU866j8LbsHGX9/2db
VkKrIyowO8Wr0t1gbCI50JXBy228cE/XkbjrQXkLqXncxqBHXiLlY1HZ9io2PoO43HShRqNQtQR+
g/tR/oKwtdXSiAa1kwESYdqGbW3IILp9eedlbXL86qhBvyOzjLKFGO6U4prSmu3SeU7pltNjKiqg
8NfxD4rN1MTQboGeZhXrUOOwUD4nTHe8/jW+F8EQh1oYqmqu5E7IYjProNSAf5mBYII9Wuo75BZM
epdMm0z27WhXt684oVm/qePEHXFe8cq8/gv4G/nPD2DLfqkkpS1oLms6lXiYPx+Zz1X3Ng276zB8
s/sLwzjsWE6USumwTkUhro27IT85otCFe4iclVwCKje6fxhXEM1ah6GkSNCU6ovRnoxkJ5e7qgtS
Ue6Sd8tbZ0CsT1CrOU4J0mHIIqrjcRyfZ2mr929tsdVFagzf+15XCzkDY1yDXjm0dRqA9dRdQuuE
8evunLomce8P7uvr4rnBIQhMd6uJOjm41n+GzDzUxyot89kCcooK5QLGR50IrnGuHOf54hjzTwu0
L8YTILQ7Wvjdo+RJt5IHiuPRCsAy3NVegE65+DT65bN+iH3Re5b7kj77Aaz5l3ZrkkWCzdjvyim+
rV4Uv+7d9PQHs3zulYcb6rduexRVmwQGxDLHK3XSu9kGqgpuV5dBleJg00PT+3r2npsC8h0PzF7H
myKpYyG5yoQWS+zoOV2d8ZRVYaKqHrWMHV3abac4mOg4uX1bC/j3XLe29t6Bf7+OEGHrgygPJkmU
IzStEi/SZBeqF5qWYBDvXdTsDNtNoj+Ild20uc3Ug5X5/bS57m+4D/zzX7Aa99mNKtntoCQDfkFc
3aqTv8S+MYZ1fiTxsYV9pY8RHrz/BRN5M/QMrY1JbGIT+nB9n1AHjxoItI86tDDuk/peavfE7DxM
tnWbtedYVCj93iO0ZoBkC7cHeloxApDxELltl0VpAtYpNel3nS0dSinOuKeTVOzKbpV5hTLmpsEg
Ds9KUw0PEnXEI9VeZPwy6NcMdPwvEnZrMfCriReiSoy/p+lSZe3adRa1j532mrcavrmI8sm7u85B
mMhcLRcQpCOCNg8psMmNad8hXEpHQWzGc4PnKMz5yefFGiQZS8E7w7UazbVEVCDROhhbjWSlkEsF
CEb2MKIpD+Jylu64RCShwrsg0cwGKrW6Hkw22MhsuWrqFm1VUty+pJZz3yrSrWZOe9ukm07tt9fP
A3fj/sKxvjUrktRYIpAEBoNuJmV6WOB4rkPwwgpnHSAHkgBodmw7gKlExhAXgOjqXxom82QkGOMf
1zG+03jQfQKGHZ7Bq3Im5q9eupLCzNtBbjA+efSW0DnoXnwT/2m35DV+qD+Q8tEe0bal/sZEz7Va
WnpVucter/8GjoVc/ATmKqZmFxv/1wXUzRFIPHVWP5BK0j5UvMmpO07GKJLv524t5PtxZ+D1Adrf
5aobJM1LZ0GTpRRpoKffNvZnDZmd6+vimshfEPahMKEArI8OxtvYHfVaXYa8juD0fm+wW72jYssY
Z7eW7NlUQRWPUVxGWAdBg3vhFp/SHRol93VY7vE0TQ5WMOKiR/f0LbkRmSeXrAB9Usxqx1xbDJNg
NlFBmstuOpzsiniD4yK8OGTHZjxlO1AmN9Bgu76d3AP+1+uyaVYjA9kw7nEcZkxNruJfFHOhM+d3
Wd8L51ZwzeMvFJtuVfTZHpMEK5vQjpKkyyGZiK9Oo6DyzMuy2mjxWEX51u53tsgtazk4ezoOn15A
bkXCDWYcImhMUQsdv169ZK5NyVbJ79GUE6a9qPuFEzxdwDNXjDyoaWZm4AV1eiihPjUh4+Q7EDHW
5DtZRJ3jBS0XaMxV02GaRJYlQNO0xx45h6UPWsh+W+SFarjdkYU7RFDZuW40nDN4AcrcPsbs6Hqv
YodJfVfHIyJ90RuT94a5gGBeZrFmV4WUY12S9BAZYWcHGol9XT4a0VsmBUkpue1vrZDClAQkeSUp
XSVikdoBcR9jwvaj+UuOf8zNkz2ImOb8PUezFw7namMszwyDUIommfDbaP1SYAzh8NNYwrG2N0X7
pEMpZtAhlixyrrzSu702NUJ5FBV2NDZeelctMaqc2Nj0+Ub+o/9oIJS8bXzDy54Mj+6VXROgrV24
Vo5/wFtexoMSnD3czMx3IKnUl5KKpp8pnAP1Z/SuBssvxy2qMP5T3pphcefAsnfpg8gLc7wFgKE3
+6UZZbBOWJ71qFEwLMWLJjfVXszqmPbhdTPmrg3vG0hBI69psXJGuSRrk2ahFaJTtY01/VLzcI47
byo3k0hbiHMbf01F/B8Uc2IaaCHaZgUogmZMCQrAW6fczJZgQbxzqZ8tiPlYmJrXO7jc0cmZbSb1
rrNFnbXcj3IGsC7z7Ik0pkal1gkAUtUz4+dkCEkiEL/hXYBok137B1fpvm+6/4S0UpsM0Jq3EjnA
8ATXVoIi+8giP1EOGmZCZGGeQApGFtV+eOf6ApkJmcAerTVDW1XumweK2ngBPssHMoQLihW136JS
J8pxcSFBWAUvFtQdZFhXEz3bUMVJo1wbUC1BqibvnirMyqJgmfduP1M3LcC1nvGI8K/bPecrovX8
Lyi7TtlO52wVXS2X+8q8l5VPc/p1HYJzCV5AMFFMG8WL1kyAiG3IeLut5Zo7MGTd2RbEL1/kSaZi
d47EVuy6oTfQagskrR6fDNrcpNEMTRsod2F2SNZrfq99tvmbqZzkym3MQzFBI8YG+cZ25QzDfQyy
SwYznIvWj81nNZK9Qv2VqJYLJqU7GOX9NBp3KYbUXd8gjkO4+NnMa1dOBqIYHX72gKSGWoWj8uKA
NFkG12G43wEzu0EsRG8UqIWX9hXrJKq7GSrIs7noL4njFO8xzLDFfHqNIJpd2zn70sSgNBnDov99
rA7VO2hV4B2k2/K3md3okS0wEy4BbSs/VfK+zAWr+27I+PsWLidAGOjEZVZXDDW6YVL8/Q7VWqeJ
vVTOQkd+u76HHIohYMDeRboExTpgXW7iyvowKgPDTvLkse29MQtlbTPFvglmeRfdGYvfDK7lHHqv
eTJ0t/c81TXqcBG5Rt5yTX1V4MSSoSLB2ExPaiWdVSy3qf5UmXnoZ2kzU1VEl/5+La4NB2g5gMoJ
qmNsqrHPS6XJ+waZuNk1nuTN4MsvxU10sI5G6/WudSx+l16xz29EI/Q4QR+Q0QQClR6wYVE+vtzo
RZapVMtwwKguYMo8Kfr2fq7UIXPlvIfadd+gISaptO6hmnIMuFkKKN34SpJU9wpSU3fgbkGvr6qd
zvS1MVKDsWsHMOQhiFC6kprHlds3GXmKLNo9jUuFz6bJmb1Vo/TfX8UrJxXXPXi967ljTTOqVFWF
gKlXoofF0SO/aQWCA7zPdI7A3MVzgzp+nQFhqh6GaL+MJzndO1nnOtrp+gH47kRW8b51VidepQr+
ufwsNBpajMcZkdVfbkG6lpttRIJydA3bI0I+7xrGXvrzC7Bvasi4OtpylQVuG79Qj+O8KZrAzgIl
3pp6OGl+1d0ViV9FW1sTSYmtC2GxQWDFXYxBrAizGftDk3Fu6mmLBIYeI6FWWzTInVzxLMm23UYt
DnOb40mVY/gN4mIRB/Ur9fQNflXCQEuJ9l3dXYlyNAe0cNbpTn2PfmpufZBQWHA8fQeR8rcBdYXt
OEKx46a402/Jn39PF8Lx+4v/FaycBSOSMjmt7AC/yj9jcx8lmyF6NYrNdWvierEzFMaLrd2nqbFO
3bC7xwxKMS3GwCrP1zG4ZwOTfcDY0/VVA52x2A5i/LU2rNrSNfTEjCNxtI0ZLQipKteWIkFA9T3u
hs2iTQviQZD8slnOS9doUqxQLAmq2p7Tqq5Kfl5fEGdM8OWxYHYtkgoba8WxaG67Bwj5SM+ONwfj
5nd+NPxjT1ziW5tXZevGu9pV0NBSe7NberY3BgWYuYLohfcNzzyCw+Y4dMwhaFaPIDeHFhVNZxsT
wVuGdxbPIZjnbk2cKFJWfXKa+3TaYUIi7tmxR2UxlGyvq7bXN5hTf1o3GNc7sqZwc2zWaCqzTC/B
IvXiOuz6e3l5U9Ot3d3NEAnv/9jaLtffa2kEMyvzKvlnZwjSVjwbwrlHHAOGO94CzIURNWacUg3r
LTDSFXMr3EEVHDwuAvr8VpmatROJQZCXus5Uc6XIaphkUhxlCIUINnH97qwHs7GL0J+Bcr7G3hRt
I8lNlKFhZjRAC9gX86PibKXsGPdBZfqxk7lNB6Ib/hOUD3lX1Bkwe2tk1hD3A9qvPTSrOdJG0T7S
/laZn7v6Rvn3HH6c9L+LdJijmM64JOt1kXVchd38s17UG4kkAp8iWhF7xJoyN+e1mYtommsud3m5
xyMkMj/kfguiswCNd6DP18ScNgraXpfJ65rAvbLeu/4GsqDXjYPnkzEmRV6nrlkgoTNRRF0bbdv0
FH4/0kFZaZM/yQC9urFa5oBM8RJgNK5owipvE9cMHQqsYL3bNmPyk0S0xFmJeEV26nuvsD1Jfq4U
d3Zuxuzp+vo4W6hAsxe6eBDqQSMzsz6dDkolmcDqHeR8Vd18qntzCXMrmQXHjOMaFRlDmPASWfUu
2Jx9LEd482J6oZeUiavMyW1c3aOZ6VZS6ptauyWyFtoGwuPr6+OURdAH9xf2W/5+orj8DPiPZHK2
mMLhOpPlx8kLVGe2kmTedPVTG5P9QDofAS/GNuq4oqAwki4lKJbPekq2OtU9Xfl1/YdpnK+MHwaz
gh4TQm2W0NfG6VBZJYzXrtDwCLng7IYYlQydOSdJX/CkX37YTu7sILI/blN9zvyW9gikarXPvLhf
IihSZuS1bGv5vlxVlXx57I18G3UZ1d1qnPqbctImCMrOpuZbKql/03SIR1+Viul3Xqb6HxK1Sdjp
E5QfxsRUP6yhNXblOGf7ObbphDJfuzxSp1VgFHL2A4JNmLDRki4Ez7grDlJJnWMmD9W/JnIgXofm
HBqO9FX2lLH/mMr6UKwcKmuWko1kLmpgYpJAXbftTtOQ4JptO3LnSh8EtxmHYYDJSDLaBFZHaSIm
uozAkqLGobTAMFAf6AvyxQE4BMSXd8tNFVaDKz912+tWwLndLgAZf4kHOkpBX5SG7kFD1dESMXC+
Z2wuV8S4yF6Pe1uCHXmYForUUCXVbpRAWunfZ+eAg0cjtKgxAAxPyMudk5qhocla2rfNJqA0uy01
aMcOreDG5NQTcJwx2wZUSOQ0LLYQXutR6ugVaHwonYwBiptbDHhMvXofbWPVdTZG7ZYbMJxer38n
3jaewzLfKU97RSc1YJXuBq95Sfs9V8c8EjHRODQtmL6KIvQ6KgsDGBgDREJs6Buig+IytKXsEUKG
I475+JlQqdvKOsW0VDOrpw+71OltOY2gUMhDVgcRjaSbCmTB+zyrUErrpaV4bhM9u29yiX7U0GUQ
nFKO6aKoA3++VnZwczCvlbIYmnTMRtST7NGHtrTfTt71TefcvXhUQn8XLf3Q4mWHeY1E0cehhU2p
s9cqgVoG0CJ0u3JwW0UTYHE+MBgAxqqF4zioFTDnZJD1Oh++qucQxCnf2+mur4I0E+wZ7/tewKyb
evZYHcaxmdIZPIB545xiCOF71aO1z++ie4y9+cTtlyVQR4Hmp9+IKIiriTJRLqCRhMMH0wwoTVxC
65h8HGUZ+AHKyTjpN3ogBemH/vBh3A4YuuxlO9Rd6BYSJRijpHnzNt2MosuYYzIXP4E5RZnhJKo9
rxSF8odpH1NR/ZVThcHMjbM1Ml8xRYLaSBwAGL9WFl4ECung6j4KLzIJ6Icpqvpw7vALPOZzkiQH
4xu6xh7Z0WNluqUP/bqNDgLrTekqD0h0vqIg4r1oT6KZRryX3wU0c0muqgm5rmKp7Vu6w6xHqMe/
6iDeucpqSF7/mIX//q66QFyP0JntknlYhnxlQthQ35KlIJ5KwSEU2QfjUlI5NftiXVOpZjuMNdlW
tWAN/GP+9xCsH/RsDU1N8maZsYamjKHQiCnK06uJutW/lyyAIWK8PXLv4FIhyrvEMQalJkMBnAKU
G2NyY/tnr906KRHsGCd8v8BhDNBE5nQGoR3C3tL9PBy78VWiP657Yf6hOlsLY2mZGandNABjiR/T
CG1yRVBaqRuP2345qu1DUu5k5+f8HyKXi6Ux5gZJfEdK7NVZ6FBY6kCBQRopOmqiTyXaQtboCNRn
nVXHP7JPRn3XxuipFClkiTAYs5urJSrUHhht/LjY22r00NflCr4T9/Sg/AA9DuSCMJzn0uaorSax
3mHDGgcdeVAfT7YoKq65X0uGFqSrJy9tfuqi0o3Qr0TzJ2i6CH6CDIhvd8z6dHXQsIZZ3ozZV12D
BrIKZk+bULMehiIE3TOcGi8qHFdGI4Q8HfIqFKDydhfDQvCKhZVibCTzBXuDmO2cIMZt/clHL8nH
Ap2txnU8TCq4M7z6KD9OkitUll0Xwy72HJb5qKmkpdgFMK/NDXrTt1MYu267nzz61pyavSVQVOJ5
rnM0JsC2zGyZW8XCO7bYQpIDo5jtzm+H4Pperr/5yppYKmvrFDbpVxSjfStrX1+O9lC7WQc/GUbF
23UwXuUMQ7n++XBszU6RmmlpVKB1bryZ/BifLL2zbhECpW4BKXZXfYv92iePJ+2m9fLUhxYipltd
/xW8DMHFr2CikmqidR8RmM9y95642XHZdh45OcEfddeFkdtu6sal+/0k8Kt8q0UiBCIU0OFi2bZL
rWSVLSMUzFu/hTxsb6Fi8yhYG99G/4IwNjouip210GD2+nDwjS29BTXtZwERrsgdNuOWiiI87mWx
dtD+b1WMmdIWgxjRb7EOoFbyMNpMT/FD9TYtGGPrguj1H64/B3xXBaE7plrITEw7IgfgNGu8l5QI
ng895k2LXpzcz6ThRYDpSkjUsA141dimYzLBpa28TLI2l6B8PgjWwXPdmN/wPxC2/26yiZUuC0D6
+ikCSTARFgkFy2AzGyPecHNa4AaSMKYRlCQTU+lEX4P3XgOHEq2KEP5bqROXF1AxY8yZM4J23ysH
efLp8GOwQi3bzeOLwKy5q9GRkEVZAJ0XX8+sszCOaqkVzxHODvWmXz1cROFaIVy+q56S3eLVD5PX
Cd5P3IDbOcNkjpJdqv1gxrC1KdQ/s/2IeU3Lpjrkt80OQ9VCYycqV61H5ZsvPgNkjlJu9K2JjgyU
qzbxY/GcHLLdFNSeSJ+U6/L/wnx1BZztpVEnxPwaMjSEVggCWRcaWM4g8HYiFOakpiWZFa1Zd+8X
xL0fogOEZyVfJFcu2LKvC+dsLXasRn0+AiU9RBsM8Hrt/CFIQtFd/FVTvvJp2DiHKjoUdCfg6A8K
rv5+3wZISL7lm/HhuqULDJ2djrCoVqErGoBMebtEfozRB+rzdQiey15nbaN9TUNuE+MAL48trfoB
41pBplfyH7V0g6SvXw3BbD5GVmg7mH3waclhZQmIIJx4BqiaAQk5nF9IUl6iGoRGJliLCLudwVMx
OiuJtg2yz5Xo3K6WxXyrNSaEgifEvNEKzliektO8UwsMHupMGmBKrRvZ0JqBfsOEBiclANMarYkS
+oLGwo+X7OP67nI8+wU6E1wMWSZLNqjXaBCc3NK+VUR5He4+QhwCOgRgQZisY8+tocPELOxjh/A6
kz6n6VEiRyIK7TmGCIC/MMw6eqL1SesARosPcXoYyNaIwv+wVWcQayxzdngXVbKbOIMQ6qSiZt6h
mTJ+uo4gWsT6sc4QpDZukfTHIlB3cSvnkww9KG8iJhon5oLoBNLgSISvMquMZS+dnUk1ZjJ4aay7
dYKEO0HLu+aW5S1SusCbDH/pgrp6nuhzJGrk4LjAC/TVXs7WmEnakEoyDK4Y0k3nWCd5aPYzhlzH
mokmC+jETQUM8V9PvEX5/3zRzBssydMYeVUsetEeu+iQG8dJ+aG179oiCJW+f0OkhC0MitJ1B+Mu
WUGdohsbE4OSUjDqZOJmtLktTMnNZSLwT9/3cWVUQO8dgzyRDv6Wwelp05ezmYGM07k6PdbTaWxm
b9R2cr8ZrPtS1AHEWxg6+9C2gGMso5Xq8sNNNfrv6trKPDAJJeU5I49S9+Pf2v/K1/4HguUbGNQs
nagCRI1GxVZ/06jpd7N/HYQTKH2xwjUVYzQ1C7pHlwuJFKdH8svOoLuCLjQbEvqfjlvvOw0N2K71
Lh3NU4YpT9dRv/vZS1DG7GeptkaMGs68xhoDM+18zA28jsB5rQLChgoPMuhgS7Glp6bvY5KAKOI1
AZTKQpTnw3RT7pxDvutMzKMqt1r5Ym1q7wF6uYd04xxEbXbfff3lL2CccKFLZikn+AXW4NYShvQF
g4bZy8PL9ZVyYEDRXKt4aCxfT/XlB8TxwkxZmmCB9Nlw9toUWvITVQT7ySEoQxITFgIdb3mdn8kE
1HKnOk2RF8g1uMVj9qIMbhykioeEvZvcJJvIzyFuBv3/AbNCi5OQ5v3lhy8Dg0t85sA1+aJ2zto4
QW++po2F+g/ldg5VN3+2j7+tzc/f17eVU12+AGQjbSovbZHaAIzeDQWtIBg0NewV1wmMI51C5RN6
8a4A8vuTbNWMQWemvA4/NNj2q1SepdaYYDGtL53S++Z2OKWWbx7MGoWRZeO8Kx60DSNPM4TvCp4V
oafWBhkb/EKQ3S+tyJBmU8miGFaUR5DVaKLHXKa34yJ1O0WOJMH55y30HG39NefXnmWki6RJmVcm
Tebq9c+pzJ/U+Ie9qNu5/7y+rRxXbUNYeZ0TDPo+Wn4uwdK0JlHT4EM6VQzd0J8T2l7M+nQdhOPR
0C4HTwNNcwx3Zquf6CPvK8sB82hC26+BKR299bCOLBZYJQ8GMwxwp1qo30M2+nItRmIXqSWNSJ6i
hAtuXW2L0gKcm9QG8x9XKHg/398XM3EKpVm7hawozJY3AjnxNIHij18pIVphUW4VaWWBtIdfzZxt
eGrUjcHJR1syW0eH1EnhkLhc+2vsbnFlPZohViFH92idg31YBLUFl0Ce0rPsgfrOSEa3UWykXlAM
QDOxhDJU5+mjhBposnTjbhwl/aWIOkTxiTzU27TWssUfNAQicmH2ZIMZq5riDwhKDl070gPK++1t
o8wx3ddWot+biwmPvcxLqPYz2ZtqIb+rc2Xvp8TudjSzjASaQQViGn3RFZANUauFWnjsmJ+FXE3h
otvzRyLNxkPVRcWJgPn2Wmc23etONoUGMB5qG/znuixV4heTM9zouWm+DQ2BSHw2E1zGRlIufjc0
0rFK0N67yHkXe3MrDz8Rr6ZdqELIbEfNBRFPO1rF/Vi2/bIHK3OM7h30Hd5BbsMevBGDQjFAtSTV
zjLI/FLTloRWMjixWykQvgQtwNyQRFvA/LOrGtrjdIYIyaIS6S5XS/kta5booeq7BHwry2h2xSCl
vl60CuhYaUldFOhIuS/rrLrBZ9QwN97J5j9qo1YFRhRmxROUx2sUFAxZDsuuSz47NH6ooWS1JdLi
lkUzFCBi+hanafOhWkv9ORA7/VDiVgvamOqYKFrm2kEnHcqMvRlJArfL8w8Wnpt4U2OcJertl2cq
cRLYz8q1xE76qvXiFB2Mzb/uH7ggIMMgVAQW+HuXILqVJ/Vog5Ii2Q9DF+bUNzQBBMeFI7H6F4KJ
Nxz0QZlRCiJWN71nhumnFA2F5Qj6i/JfduwMifGockWrepSwmG7eKu1Nh2BbxKrk3BCryjduJPA4
wVhm9isZZnVA7L2yKssQwxXCAuLBZCkCPVI21z/N92QXar8yZkhh2DBKQGwiNAEMkZpqlT1aPB2a
tqrUb5ZU3iR97UUDZi1JosQ7R2EKmAimQOVEAypWeGkOQ9E0JF6JqtIJFZvy8FZ51uIWR/3pKb4d
9olnngwIxjY+vS8+MMYS0St6+ETdqLzbBBKaoK2ixxxqFMyvMKLY0ssCvl7LQhPdKHQSlmt4RnkO
wdz06JCaKrsHhBOFBmZzHWfvA4VVy1XvndLXHppdcmhdZyfKk4qWxhzqusytqh+BG2tIXeazO5a7
62YjQmAC4n5WqD5/XZRwr11yO6kP1wF4ESgiMYRjCrT4cBczIW+PZt6q7GeE3JUqvVuDZf0oSYyq
WmOXoEE4S5eHRYRxRa5emMPi9iRKVL/P1OJ3G2sp7Dfp9nUyDo3A0/CWfh6FMOc/j6NpjNdGkZE+
S3gJmERAHORZzTnA+gPO4kNMfMwq9Usqf1RfMrXcNGhYMOb6plQFSCI/wzjNqZKLbJZQ1IzqZDvG
uzJHcQCDseQjIf8+6L1wacyuTYoVY8wXKtDVFPm9mfiz7ufViy43fimZ3nXj4Tk1Cy4GORe0WEKC
9HIHm7gaaOfAf46YdtUlbk08Td86reYa025MRTcC74OdwzEfrFMyfS4lwM0FaFyDP8uf0eAO+cv1
VXGqvxhAgTISiAPIuxhs99zgGC0ZaxDgaUADa+uc/oAc9AuuswWJIHG1jbwd9862fhsdX1Th4V3h
iPGRtVV19TtpFiMVqJEbwCZS74LabYMAqCwiOXYBCvvsnMtYNpMZN0MKgXmb3Jv6o0nD69vI+1pn
K2FzI8XSLk02YyVGbZibUctaMD+U44K5H+ALRenp/w+OOWPJrDd5lwNO037l1q8SgX4NxQ2Svl7H
4eUI0PnxzxdiCz1pU9iKtD7Ckp/Ok4xUo7sckDPDJQA9JTAVBte+tcPkQwD7nUcDo8T1iesctFc0
wl+etRYupI0odBMH3ASF4TnGI1VPyowsbuKTKuxnMWWNd75XXjW6xXXoprG6Ig5RyBhXOva0KlfB
IW1fUXqiY10ESns7gD0kOQI6LM9VYgolhGEREVng3l4uEwH9qFkjVDGlUaeBpN0bGY2gmlrKu9pu
3tD0KiJJcRG/BCIxgcDBXXiJaNJe75oMcWY155iypinJss3GRHlXs0giXqM3Ub4pMARcUBTg3G/o
etFMy0ZiFzKBzMWLT1xm5oiCdUmMXUWPVtRsrtsM55T/33wWE601oEIxK5NQ9rR1iiqenGVFYCyY
2WO23QS2v/XnOhKn+rl2R2AuLvT1kA1lE7xJMcxoGZpBMu03Y4ABAD+dwS/dFJ2bokcO5wBeYq2O
5+zelpYsVUkLLDQNFbfF0f5NQtOnoRqqdx76R4/yhyz4VpwE9iUmY5ZK1awTtIBZBQRKApWL15uf
eYmnHclt796Agy/Y0e8f7xKRifwkWZmGlEJSzwJ1+Jf8ksVe78672UVTUhCdFC+/oTuRcMH3s3AJ
ytjk2KmVXs3rMp3TIu11DF4yPa1HdWgWySJxAs8LLHYKWlUMhtlPwMLQ9S6Atgq6RT39VO5T/956
6E6xf31HuRtq4cCBsYGaKNsXa+tDifKOXHotnTH6BHef/tRMou/27VRDaRbOZG2+x6sLGleXxmlr
SV47c1F680K9OaW3U6wLQnY+BBwkmpJQxWalVtVKbolulKXXzOiR7qAQkwz1r+ub9e3yxjKgI403
AYZc4l3A2HtMaGLrUV16i/FhTw+19aNFK5I8/j/SvmtHbp3p9okEKFASdavQYXp68jjdCI7KkVR8
+n/JOGdbzRaasD/AwDZ2Ay4VWSwWK6wlEXO1J4sYbUHlcpCUs8WsSNSl2QAQF6wWOVWNcy6I7Wso
895WRiZFOErO0IMIKYGUti73c9Lepyb5UZSF5OraXDMM6GDdMHp9NTfJEzN1KszogJDhU1J+G3OM
4zEU02SRwGJCF4nMZdH+k4P550sTqy1emekAOTlSSUqzn8cvRnU3x5hLszLXdB4qEMs3Xi7DeLqK
BgS5gmnrjZNHfbjIJTygCvdKwDqmOQ36kbjEeFFLxbu9cRsrugCboowMuJoFgPRS03IMEz7yDHeI
A+TRsXITPrih8SEc/7aTFlzFa0HLkVtdKVaixJoxQRAz8uLVTgz9iLdBdZra+ktmxzL+9Y2VxMW8
EIssoD+mGFd1SpF1mgEnwersg9pMPo+6zlWB7ZKq5dkobDckslzX1lpqCCqW7gPUKcT0d2ZraDpJ
u9IzRssberybYt8pJzeUESZunDY08KLRG7CC2DYxnkr6oW2oDddhKs4dLYBXaQFouzKkgduWRjpK
kTrwoPBY+n3BrDbNmdS6H8DJ5U1Z7Cb6W+88G3mQtLI5sE2FVnIE44hVhVh9Ah6lObT3GGj00IHl
Z2ze3Tb26wsRRrjWZ/mOlT5gWMDgWwF9wrn0s2z2jGHH7MCavNq6A+PMiOd1o/gsQ6f+fEoMyRnY
VBM1XlgImigxaXspvnSqZjY0qOmkeqApWaBPIC3Rq5fbal6FGIuWf8SIfa0hwRtGySEmisGAHX4Z
jOaVqJXPdQ2zPTJj3JS2XMRLOdlSDUGpZGxGZaCIopCU8NS6OqnkW5L8jHqQmYD4+rZqGxfzAniL
mtlvrBbRIDWFqQ3roZqRlE9KYdzbzdfbEjb3aCVBMMVGnTD76ECCnfbgIEW9VuMvJMslpripCJAk
QVKJWc6ruXyelFPRqwP8E42eVXt8NWTsB9vG7uBtiVS4DjQFwbVXCf53UZkw9jF8CavZLas3u5h9
Urv0tSwDvX+2ydn+qca1h+zx/vY6brkOVAJRBl9CHEB8CLaOF18IrsLSS+ljCprVcviedAHm6yUX
2Jajx2AlLmskyFAeFo50CwooTU80yDHs80xrf8REYAgoSCTN9j3V3KSQXWXXvFU4YAaGrlFWxQgB
RtcvdcvnoSwHQkpgjxkfSTQeraTovti5caq5eS47Znkzid+s1n5JhhHgV1msHVsyqHdhAYIC0hq7
mgMtOtKM99urvkgWAhfQmS/t2Qi/lyL55Ze1takNINNFZn7QXAP4KZjxaHZ18TM0wevhvHUy6J2t
bV5Ghe3Fo6H3SIxi885MrDbCSxF1jbD7Ztu7sgancybZ5k3FVnKEAJM2dqwAsgGNq/07H596TL+Z
o1+Yh9o5a/Wu/uu+MGwxclCopiynB5h+lwuJjiNTCYcYLwCaoiK9YAsPLmtl7Thb3mYtZlne1YVE
OE+ZRrF8lvM02ICcA5MEdd5uG8XWEVmeGugGgb1ekbRToEYU6CwqPW18CONz0RKXIueq7ngZxJME
zWFTo5UwYaNita1YkafwOgS8l81JT/YMAFO3Ndq6c9YaCQcwYxFjCnwoyuioP3deqZVuXN3z5F3v
JY5608D/6EOEp0A/E3XII4iKtM81PYzZc6u/NfXxtkIyKYK3tJwhGxkaBTyHHp3641Q/gnmuHyQ+
efMQ4aUJO0Bo7IhxI4nyPk1QiEUxLfKdDiQpiQdpNqvQ2JbsgJnh0UkWH2wZBBgYsV0oUGrApL40
8SSt9KK1YRAIrgJgm7tpGwXUfr69gL/fsaLnAx4X8gEAaV46ry7FZHlFh8bAbdc0zDVjwx0sMBn0
GPEaRmDkVShbDqR1laZzzTTztPJ7YZbnbHR2Pcive5DvNeYvs5ElCLeWHO8YjJqhH8u4gh3FxR8O
qADAP4LwntcVfP6vrGb7SnsvZ1ArnuvCv70SW+ttmwaIYkD8dU3IU9sKoC8BzOlpTZEeGjUnXmbE
47kycutfRMFR4tmIrgvEgJdrTuBZwtKBclU7n50pxFKrb5Y9vN7W6Do1CBmApdHB9wK8pCuATAPP
k0JdnuNzae7tLH7veXJm/c8p/GEMwxHDk0B869DlTYZXLRkDU29rX9EXTN5OViGjW950bc9LZLdy
2Vxr0k5xYM8KcMLfu8xEXxI6lHga9KY9vZJw1MIdJUZpusAcAe9UrTn9V1jm4GNoPKqX3qdc8RAS
aNULRY/CB4AlJQCfCNE37jdKC582xUN1ctrK/lZMs/PSW22O7gK0Sr2mQGJ5HtH35fXoi/rc4F8B
cYGmap/yho57HldRtosUgh578JMCFFpj0xg/l07OcfqmkI0e2nMq6ukG8G/JPBt10FlNnh1Ya9dP
ddhgjDdJcyAtYkATw5Ej0Gkbjsb2iCsY2SALmNMYd2gEAqpo8+C0XJtdyxrLH0pnJ58mNeOJm9iN
ilplRPCWGgmgW0qGziDQb9S6dZf1toH+nEhFa3c/pmeU360nTNM7Y8D7eogCG5Rdj5medL5eG5Hl
xsTK9yTH1K8L0LjwA0Gbc3enc1agdRW1jEetLdpjHLX2bkx7xAQhjXDeG0YL1Xem1H4f0ibibgcG
zL3WcjShEFqXu9ThrMIUDBlOfcTGr6G6UAMMo1IHsanXueS0bPn4teEsB3dlOO08zG2fwvsWmMJi
4UMXvtjIKFEZuNh1pQDHxUELDAIYJAeuJgJZqhIARuNYTuNjWR1iGxhEu6l5pzRz6/QU2kdD1gi6
5XTWIhfdV7qNtGd2qSDd0mLYsdabGLmP+jmq58+3XcHmGgLwcOlpJAulwqUchwHVt8whh4/AN43J
vmrS99SwXupukGzX9jL+kfX797VOU4kS1ZJnnq2DRr+p0zMHFexEv5I6mOeAZc9p20nyqBtPC2St
8MK1FlpIoFmI15jaRW3CGmQAnXPUPFXDuR2/R/FXYBWm5m5i6PgDgkDvakge1NytQHidfeK5JAF6
fWtdfoV+ucyD1tKQx/iKPgP+VvjaAgetVAFNFvtD/TFO0IogGRi7NiBIBPAeGqlMkEeJepdmloKR
nINJ2wR2QKPsSEKPQygTcz12RyFnGfxGhxia7HXBgMKht+p8rhBoDdYrcfpngKu3Bx47d5aRVC4a
CAegKOJph8GrY1I1wBNWVSoxrevwFb2zuMyQVKM6qr7Co2mmmVMnS5o3YeyMeCXehwXtfGB0L91A
E1K9Zqy/3T45WwtsA1cdhdCFn4sI3qfundpJ1LxC6nzM0WaRMy9qhjDoau3nbUkbB2dZY2sh51s6
4MWIL9TGvNAyqFc0gJH/mcWTa7SwGeWzUnztp4dJv59mLjk5W/qthZJLk1WLMI9aApMdzfmQatYn
Hne7qiWSEHpbuaWSglS9bSMTJcgBlm1YEYZ8A2gri+Khdd4KhM3FI0XnchsU7FwA6+P2il57PSwo
gKaxnJhvQ2rvUmbRZB1oOnE4WPGzZZmXVg8hQEZKRbJzm2u4kiMc+9BxlgI9dGvZXZV/A+SMJhut
XbbhMky/VEVYvjZ1OlMroApvn2ewLIyTDM1NtliCIVCdoT26hBJZjdo4OAqzhD7b+YnqnayTaNNN
rtZrWc/VDVHUFNBJFZQp6aNi/1AYGlXGo4FAONTuBy10Gdf/wRRwopZ2BsCjoh/gUqRjNN04UGSw
dU78uHgEomfZJyBB/+tnPGLGP3JEqowhZsakxpATa+XJ0sqAW7k/539dMYY7XosRLXvMe9KpENMp
PVwyDWJwa9QFk2izkQuFHA3+AVhaaAYRX4dDM9SJSpHVRRvljFrQEJJd00e5cTQ7qo0+a9MkyPQO
iTnaKA8JIM0CAw0QX+hQ9CedlQA2G1ogdt4+2FsGZGt4vmhI0IJoXjAgpcQciqOA+9ZJjf6TOs1D
64aDZjNXZYR+rayJPZpJBChrBfUERHJwusHtT9g68+uVEc68bbQEjxSsDA371yrUfjCb+HYlecJt
KbqWIhx7rWRzPYXYZ3v4iEFFF3TNYO9+nhcE2hkhMLBK/kUvoFWhaIWRACRELw9KVCdZHetIsCcJ
DXdpo5p3lQF2iNjKZWD8Wz7t96wVUsFAKxFzoJzlPKoWUV1n3Ldh9ZSUsjbQzWsHJb/FisH+aoiJ
3TjMUj6rqLI0Y+dGrWdMB1098H5n8EBznnQQNvNO0lO75UmxfAunF4KGK6h6RXHUqR6RWjfRw2Fr
3Mvn6VgQElgll+zW9aMaeMgoEoDVHb0KV2weduY07ZzoJcqmGDZR/LlHT6b1udXPmPgt2/fbNr+p
2EqakKO0i4HPRQFpMZLWtNwbKkf6kLlVIlnBa35B+Dfc14jo0ekK7yO4a2Vuc1Yuek0mGNdNvjOc
wk865nKmeKmt+cP00UED9tSM5zC3d2E6eX+vKz4ASWwDHPCwnstzUBRVHY0DrsOYAFep+N5RzCmp
zVF1Eskebp1xwAYjSEH9G6V+4cQlswWm4ERZmmYeezrsVKA+8yeTAin2OAAR2bZbifvcshpUfii4
7nCJoCBzqRu1olFjeVJ5I/06awgwnwpgSDNwwNvAtWIy2L+NsB0LuQy3LcaKDpFLcXpT1cXEG6QM
OtqcmonQu1RBH7M7EtweBlIhe84pCyVabrgXTAUDiVVfYDsQcl6Ktca+GqvlSWKm5l6Z6Q5MRhIj
2RQBvQxkfdDFaAkL2VtonrcBV+ANc3RsdGSHUL39azvUgLqNvrDlHFzHzd3UOHNn4gYuioPeoH9x
vG8BEerEMh7CjdON1jPUPTV0gID6SFyvKs0zPbLg+UHWnA6RXzl3ZvUc6RJ733xLLt1uKjpbbLAt
CsGLCS6waMywalUZgoB8QOfCa+NgRO+LOT0m2WNNHi1rPzcyLsJlN8QYGoQzi8XDKavibqGBuSPR
AAW58lUh+qlE6qqMJA/yjaSrhgATTfqoJ4JnQuygsVqAJ5oFDhdAzN122lfV05g+WwXSnPuBPTDr
pIPuLiHegPBT+4xU222DuT5tcCSI1oACgQ+56o+rjFDvx7pEDbMLd1X3uTFTj6nJseyiO9CmHm9L
u3Yll9KEKwGjAqnVNZDWN0fgQKTtnTnEz3M7+FWVugZNJO9ImXaCLymLGaWYFvJyYPwVtvFUo1RL
KJprePowVnoucSLXh+JCP7EnhHI9t+2kgn64x8PxrWW/GvvHKIW+W2z+0jYv5QhngtMwSesScrij
f2FZCtNJS+WkRcO9XhTIW42jFZR0rNAqUhQB1/tfCq9lyJ8ybYWgliV00rRF21bZ6dSvbR3UMHhs
2s6/GCkqE7BPNHwZ4p0HrJRCdyZsY1yfi2aH6qBWZ67VfoxlLO6bBrqStLjw1VtzUGynnEdIcvQP
XMU67jCyO5et22UUqLAy3ojNFUQbL7qUgFoNNrtLcQSz6Tzpl31sICnR/AJTMnzWz1Y+SDyNTNTy
+0qztM1qtTYgqra1V6oPn1MTRJaDdWxNR3IKrj0nrHOl1XIqV6JYqmBOm2MRSeQ8I2Rr3LH7Rug/
ZBkv5QjeJCXgBB/imqGBKDBmv8TbAEwQPmar3SZ/4xgD5U8z9TCgdtuLyZZS8Crooxy7CgV4rzHA
LYj2SjdHijobKn8oTZlLuZ4SAG+2ifYeoBhg3B9/vVzNBqElaoOQZqbjz7zWPFWPHukYHXmRfArL
AmSVrPuVAnUjc8r7mKoYFWJ+2oQ+QHc+EjQF3dZ+kXfle/58jwij2it2WQ/d71UHDriKoXQkyvPY
CjB2rFh+7gRo5f6HFQeDy9K/DcAIhGeXa6BUuWmMZYudVisA7ZZ2gO5+fwbOAq4UCTjSxiMQCcCV
MMGs8l6paD+CFqloTkZ/Ui2PJPcAUKvs98RycweZeSne7tairmUKm1yglmwraLrziHZXJo8Fx0LW
Pk9fM1ANdT6pzpF6yNKAIXPBzxM9aMNdzF/sBBw9pySSZfe2TvDqc8R2DEWZjNjI8TnMjL4MGfth
6dm+HkNJwmjxpqIpofFHRaPhkt8X57o10DWhHAAxqd3tR6v8DM7I59vWuhUBrEUIbs8BMljY6cvC
pgx11RPD5T8rT1r2IVS//m+iBCO1HE5truFgtExz4+KZKegJs08m3mqskqzc9gb9WTnBRjmLwyKn
UAuOyAMeaaTo7kT+upF2OQjANwHotYEWLUEhdG2g9UDBqcvw3kOQgep0eKqNUrJFW3fuWoygS5vk
FerhjKHv4Dy2b5bCPrHyocr5zgKtXkwcKSnaEh5d290fxYTTNuOZp6YcErty9OLq4PyEcsYDkuR3
ieLNk9f15e4fjGN5WgIRCg9bccKYIw7l3Yi1VCN+nwKbWAGWV84fHO0N4Pm3ZW08KrBxK2FCFFPn
URmZqHp5SW0E4wA0mELxmrrF2PaujzRX6wOifaic56Y9qN0HdG/kMuT5jWfb5TcIoU1UzjnIK6Gw
ZblO+GUkLzHw5nhAFNxg4HRBDpaSR2Z/lui+ubcr3YUDX9t2bA8Mcts5cwFjpPbPGCNp9F0NbBwl
L9zaAj4U8TVEBrdFb57JlWThuIA0RknLCZJrkJSq/d1sjfte9qLZdJlItVJgQltggF3UX8VWyoBy
jhJ1zNNn1WfcxKuJd59uK7KRx1/27o8QIbAfkGOxnZEzT3MegVTO9Y+Os2+V+4I89Oieaz46+p7x
B1p9545kETedwUq0kFZQmowoGAxmnpFzAP2r7oxKfGzUbquie/NQK7Ysr7x59aILAHCIoCACatvl
ipp1marRDIlK/QaaCe64drIL68HNgafa8QOVzaxvBxh/JIq3a0/1nE0lJPb2noP/q3qastkN+8ov
Y+4aeG2wGvzKNLi9rZtLC1wvjD9jPAPZvEtFAdBWzEimAGxe+1CPsevkPajRumMXfjaGL+j5ONyW
t7mwK3mCB0DTFKa7ejBUm868N+Zxrw8qkEF1F43/j1Fj7dWucZNc82+LlakpOIBi7EdDXcSCY+OD
En7rc/TJcGPaVcYXrS+CQa8lT6vNEB3QEUBaAEsYkr+C0XYxKRw+Y2UTHRh7+viuzfU50eo9pfND
qr2jwQW8GKjRA8oR8RsHGYDyUc0cF2nMfWUNkrtm00f8hoxHPhPz2IJFkxGICKlJW29uxn2udy9j
LAOj3gyr/hOB3NylLfU1HjpzDBFgQhvMBwTFabanRF4hXXbr6qpeCRL9XWfaaFmzcXVZoZcAB6FD
F2KdzYdSSnS96b9XogSvp9McwxzLLvb80FvPdPjIgU132zi3z/5KiGAqQKKZ1YlDH7uIkCVCAy0I
zbL8LglBpIv6rx3oEZ5V6BX+HwULp78Mla6ONQgG2F4QhqBqN4KaHPq08drRnayD0Tw0sn5h2ZIK
LoD2VUZTQJdhbsG3FeKG0d5mvUS1TSFAIjOWzNACwndpiwY61Ua67FsJ4vgxqffodAxsTTY9t2ny
KzGCX2l0a0IjAsQADAFdm9/aKnMjtHiq6S4MZfRwm2a/EibEEoCZtat2grAGuBhT/lD3xJuir6yS
0czKBC3edBVPWJHWIvaGIEx6pcNeg1I29SZZiU62R4JLMmv4/yyFIag23tURMP7UaVc07PW2lW+L
wdwfZjZRMxBbeJq6igs2wy1pSyeBMSE/+jrqsuZkmRTBUZRZ3UZIqbfeyM2D5sRvU5Ps09KRPL82
L7JliPH/KSO4ii6x86ijDnws3pNzvCdhGZjJgeOZ0kT+LHsVybQSHARtw4F0FcRF1UOse7XeA8pS
1ssj02n5iJW5IQkQO9aIpSuQYfJb3Ykx9D8XX5OczgF4WPFIb4rBCIx87t5u28b2iwRXFQrfaJlD
3epSNumUmA8DyIVaHpjtae4CHpuuUT3U1Z3D/dR2u6Z1UWuS+KfN6/iPXBGjqIzmZuoz6DxrwN8F
ykE4ygKQ5bq9uiVXIoRbcuoVnucaRNAywSR969b2wYKj1VMvGzNv6nbWtMsjGV6dTDPhINhlWat5
D5MxFfs41t0HFOL3t3dt0ypXmgmHwLRQxlcZNs2pzi26hBNMV8I6bwvZjFRXQgTTR8MJVaYJeiC1
6RLlyOAFW91AjVt3rfGFZ3ezrJVbtnTCQcgHDMl3OkSWYYjMYn4XVuWX21ptuvaVVsKFZRkhalEU
PrfBmEHZnsuw2nfWOekSiYFvCzLQ7QraWsxpCnuUWjEavQyl9Yg9PGlFisHycgFTKN2Kko+3ldq8
hQHz9/9lCVvVNmgDshzYQ2Ge8HYatdY3uG/Enqr9S6LbWokStojlJiVlDVGa0d0b0QSclZexAFYP
use/9W1+NECRPtShrPlw2+T/qCjsG1EzAOYAIBdPfIK6UzBa0TuaSyRp7k1PvNJOiDCMzBlCY9GO
Ep/nLzWa7jW0v3NzV7dOEP39BCtSCitxQpwxd33naAWUyqOgR5mgr/cG+0IsWWu/zBYFJ6/lQ08b
FWrpDWB8l6dfk6A0kb12VSrzupuppv90QtPK5YVSUqUI0fYG3xS/J8MxrkCuiA6gzpuH0M2z19n5
hUmtivDD7TOwMYW3Xkz0G10KHhUrt+YCghNGfTX9xQBruaOj6nIEJE2m7Iv6te8n1+mpP4Cko+7D
nd6Des6IXb23X0bSPE2FKqv73TYpdIVcfhZm7wjD0FXr8fSd9yeTPvMqvkvzD5b1JWstidfZdtpL
c4aO+hcRWw8NbQJpeo47r81VN8FwIUhvEoO5pXYcy69TnqDpRXJPbBoXOkI08NpjuMERPMKYhboO
ppjWQ/oGONsB45+Z8bOxJMn97fzbSo7gARRASqcshGp2c6zLY5F4TPmet4eif560vabjrv3Rdu9N
/jyR0L9tXJubuJIt+AVCG51by51uNIfcAsp19oGhstnRXRf5ajf8j0sq+AWrZlqqcYiLip9N8gCg
roY+ljKotc3bdqWU4BWYA6DnGq1jmLSZj6bZ/dA6XRKt37YNlLMujT9XU6cuE4hImtaP4dcUw22V
p7zZ3d6fzdsBLek6EKUxCyoC1FGn13laREgAj9VZIcYZQ5sfLGAg3BazHS2v5Ag2yOMaeIUGfIwx
fESJRDOCdOlAcrkZBSoYF7qDFbpxJ4O42rb9lVzB/vRJYaybIbdFq07bN3fhbKDfP/PDEiRTWRvE
zldWxt/rlLt1Y7vAgbi37UkGpri5navPEOzSAHSNMfDFl+XdXU1A8YJmoWIcAXc9SxzZZkizEiUY
Z+GYwDpvoXFX/DBhOG2Kx129A9+xadPD7W2VqCVi1WUsC0uMPeC4tTswvniQ5UyeSiSh56YTQd8C
emHRSXmFV0HIaKX2ACNtpj1hP9EBUlfoyFV9k7+3qqzpcfMmWEkT9srp7IzbI/ZKHb7o7buFUQLn
wxDGXmkDaH83cRkirEygsGMZCxVSVYt6JbiiLa9Uzlqru231UBiBaQWGLB206b/+aHhFbhTHmGvQ
Yxx6StwJmYY55W+3LeOasmb591cyhKAiZGgjKUcopebqs5MMjsvyqnerQu99LR8fmiF9VDn73hrD
7NlkfmfhfFRoiPxh8pi0Wuy1bZ4GVW6EAFQjjgsG08JNnVAGprbR7k1UG5h+S0MYRu3EhuQ8VLha
2Am6+gyUi1m0V1ErMnMQquupiq6N7A7kZ3tSgwsKvlhJh+PInX9JAq0/QvCPBPlAlFLxEVr1PCjg
tEBBswAFhWRXtmLMtRjBHRJeKEaRYedxcbV0x9j9PHywAICd5J9Y+q5WB3BMNLPE+29fMv+dX0e/
vMxCkMybcQNbSNX5DiBXbl6Th6gBC+lt9WRyhJcjpv/SGgwtyKQl9cEIq6DBUA4gdyRitt2RvaTd
UeazxHnm3CIV+qOgjm2999bsssLveO/aU6CNz6olGyTcvjsxNg1kJh3lF/FBHA02aInAwOHlYDyz
J7fq7gsUE8f4bYzPQ3lw0Oyq8MotTUk0teknVoKX31fptSgBX3CFyr832c1eGYf9oEgMcvMCWUkQ
QuA8LkzETljKkSKpMO9qK/Qz+1ARW7Jnm7eiA+pHigWkyCtcqmKnqTNWA0yjjF/MJkhQuQe4WkcC
jBJLRG1a4UqUsGrhqPdqWS6immeiDS5IwtwiSnf/YOsrKcLKFVGMdvrlWa8k9w4qzJiDzqXsQJs3
E7pkVdg6EJl/VypXBhAPaDoygNvjacDZi5J7oN1WKqgw2KOTB2mWu40hueo3ZukXb7yAwaDlE6Aw
wmVY531WZDZE8hIE4+bL9GS9sQf9KdypvvqpdSdEccfoF6K42+u5dahXcsVQRm+zMgV9LLJO85Ha
AegysvRJj06d5k/p821ZvzHexQTrWphwOWLULOsR+eJy3DugcrMjN3KJB0iOp+Ku2NcnZ3Y/qiBX
a3aRn3GXhJ4ieV9snYf1F+iX5wFVYyOxCNSdRzAZn6YJaag32vqW9vW2rpslyrUk4eSZhVPqQwRJ
OlAsqqCbOt9QT6aJFgXj0Fq7prC8RpYfuuYqQOixliocQkr7SO8VrDAGxM4z4vpXNXUxEYdqR/yR
v4cvJ264wKr3v4ZBJCtnGzJjEg6nPmdgvkrhsR033oVv1lMKemU7SAKU3fYANSHPqU994rVH86Xx
lS/ctY579qmGddceOyBOcnzqpceD8bndqc/KKZE9jBb9ry2QgH18GbYkRAgEcmsCXHiR4g4DvFgy
epP02tpyg+tQQ9j3duG2USdcHpizMQHtpxT7UNrxvvm+W0sR9rnNzYTMyxVVwKFT8BTnAGfySPzD
6NA7kSs7Rwsa9X1W94OzMyfZIO7W/bUWL7wVlHpEb20B8aRR7rLZPg35L0XLP7JJ+XH7HMmWU/CL
ba9WZUlhUvb0ZGrvU//Kw1//kwjxWZB2eVfaEZTRAbKqJ7oXGvNuzkv/tpjNeGa1aI7g/WbqxGY3
LItGdgpe5LiLO3ps9cfeDAbtR6qdKs0HetTxtlzJCopRaBSPvabGEBuZn1rUzXrt2dQ/3paxffD/
e0uIoZpJU1YXNXYpGdC41zdIdyifKB1Oral/S+kro8nhtsTtg/xHonAAJidrcxJCYtucQxVRYGGB
juUfZAABl9CFOfaqIalklGnDcsj0Ln6onAHpEYdU3ffbUjbXTgPVBFnoIq/Qn1V0AA25vkhpLH8C
vaCK6drJ1xXDb6zHCNW6/02esHJFNE9ZOsAFZs1LSx7DbJdN9yn9XITA6pJNvW4a30q55fdVJGWr
SZqpINv1JnBFxeTYZmBKyCSdupveaCVk+X0lJIuA+5wyCAmHJgCXiKcmDt7f9BGNHhKzk22WcH9Y
UZmCtg+iKrQ6O2hZCfj8bQIirn5SuKS2tLl2C0os8KNUAA0JN4nN2VTnIe5yO/LNabjTqJ80Mlbk
7ZhsJUUwh5LotZIvT2N6jh/bw3xA9epYnOsSZW8XhVugrPvGEQhy52KnFm5+poEu2b/fwO1Xt/Lq
GwQr4R1RSJvhCPTfHw0EhR/Q0/fj05tuetRv/N4DkJ43e9NHGnSecTebHt8RyTdsdh/aq28QjAi5
0bFgEdahA1iNXwye+TKe2L4/pN+a7/GzEWRAWnMbLbh9GrcjtpVcwaLyUp8s1kBuWrlUcTH4d+IH
/Uf4ozNc1JZUsA0331AlfQRCjGEHhaz8tnl4VvIXi18dnpCQLHMSyDdfz06BKDG8H9IAew8YNpe+
dKfwRX8IZzf6dltxmVzhYk8tBh6oEnsO3s8EKQRynpWAyYpAEim/o/SVdnaG3u/RgHZJ+y0NT6D1
yVLAZDeS59vysTcM+PfVvxKjmyw0UmdZxKjw8tj+aSDMdjDbrxq/5lhF5K8ibyvrmN10Rn+27neG
byWVlHMb9xOkdvUPJQSxW3YI49yd6JuFvGHCdrd37JrefHlcrOQJDimqC0fplvzp5DWebePpZn/C
fzAsaD+YgIkIPqvfOFiilftyz99J6uXPyv20v/0VEq/4e2pjpTQHLAA8Fuym0XBWBm1XEQ+0fpKr
XyZF8EgVgBz6eLGbpi3d0Go8tfvZdeRfruLVgi7Wu9Ilb8ulTQFS1PQ70wLW+U383cyCCSnCNPVv
L9zGmwGoNkA+BQX0b8ow4cRVqd7lRQFIiHLajeRxAGO007kAKUQ9D8/gs2N6Hf1FgUILAG1fM/8+
TQn5FHgKQHRDuVlsqA6V0lAG3lfAlLwbku+keY6jHxIdl/f75UFcy8CxulzRyTZD02ohgznkWdc7
t8Cmjer31MzuQWRwABT/Fx5NnwGL6uqddqwz/td7evkFQpQPHEigT6Fl16vA7uqMwNViD3XMTyA3
8k2E31OSyq6Q5dyJSgN7CdlkqgPLRORFaXIj62aNVJi9iGZrr5hD+6mboxDITNPAX2Kgvj43qmKC
z9WsgecSmnYU3WsRyQ52XfXGrsuJepc6dPj7GV/QBRiguUXuUVuAcS+3g+aUMOA2AA6kUE+a+l1t
mgMbAbaSmopsFba2HnNhBA2rBmZQRGQjxMs1ie0M5kUfwuEd0HquGh80JI+L6lGp3q3u1Jl3Rf8e
W5LY4doPL6QIfyQLV2hf6m0St4ArVKez3Zy18qhrimcaD3aMGYaDxMQXAxJ32wT0JHA8gBZlWoKB
pSSOikmtKq92yD2p9Jepf3P6OoiiareUc7kxnFU1u6cKvWNa+Pm2+C1dQTKF5k/MEC84x5c7mnTc
7JqxXJA2nA+TiU6Yytg5KfXiFmnKRD/xiMgc16bGQA/BaMhS4BVBUpQRc7RhBI3HzHwbdfVOmTR/
1HjmZVZ0byHXPGXOHebyPTP8URBLZllLCCyuuIW1BpAO+mTAEnGpsxGi47/nwDCp2D3FIBc7Ujxz
Gzq56XCgTkCdPZiGc8MvUiA67jJZjL6RSwSUNLHwR0MOXxfJelonCVmnAo9mSI8acJI5CBKI8isG
JI2lHPLpSMLzKOsp2dpp8EoZDnhSQNAgpspAjBU18eLIUC1N7zOO5/Vo8hpBIsjguuTBTsOvfeZw
SdvOdcSG0R9wcBCgqQD5/fd7ZXUnakZb5onOK6SWDJd06BCyAFAzYl5di/46GYymJw3DapoBfhvM
ql/ua1iTVrUrtfJ687vDur1BLZ8DWsvh7dFu/2F2ZEHPA/w4RAGN83cJYKVZl4ddlzkA0MMV+zoS
EBvoBeoKWaDRBig1T72jej3wYyKgZN8+tBtreiFZcMNKZaXNsED3sfBpCFPUGAAuD9JhzIHIzuqG
F4YoYCaRhY4Cj9fLNVWm2fw/0q5sx20c2H6RAInaX7VYtrvde9KdvAhJd6J9oSRSy9ffo1zcic0m
LMxcTDAvAVImVSwWq06do0EVHo/IRT8aoArHDXObKkmgt11YVIaHMtGucZ4WK71ZRivq1S2guHSx
Nln1JzGhB479y19QLxklaY3FLigwm6de6b12eOpBgn59UyXng4CkEeqWrqaDHV1YKXPAaY4ziXRK
Y8fO4YAsaL5FtXelHvZKNR3KeNrIfSWQRbiQgwsVpMsgPPqT4p25kIG5XOAlYbPIDmazz8yjlkRd
uQfTYu3s0yWo7FcT6be7I/kXBXJew7g37Xu21b+Urh1SsKtCIrhkRDJ9prtTqsz4HTkI2orI0F9s
8wT0DZjib9zS3F3faekX/WvNFJI6PmEyBDzw2OmG+4P6ChLiYJoMr90Kees5EAI9Qjx4xdAaQBZh
CldrXJJ5ZGwBxaU6+HhkgDeXPdVae5PqxRPmsB+vr0sCwUCyBs7HFYUGjUAxrvfqpGagi2swITxD
bAEQ035XAAxmtKe68nPMd2dPcf01czKUtF6uG5dcahe2hYu84CNYR8DuDnWJBFJm+a2WbskqrSdA
3M6VasUF06cGTXBhO3nftqkTO41fKk7ogK7eVGdkgdnh+kokg/oaVG9WxQULQFa01S9PvMkMkxsD
YNd95zZRhhaxtxhV8lg5iRtwcyqjlDWn3LZgHGIi/WzkXprMSAwT84uCy+bAm2reiIQSX8KHBXU2
/oePKx7Vsu2NaraRlDdFzywfyXZ866QFtNxcUoJSzu70AqwWcb7FgrKuVth1wwLFC/YB1PPoBl7u
hpUVFms0kEtDuoR0d6NFA7JYvt23fun8qPpg4FsfQBL0L0wKHzpjNUQ1J5i0nSmg7RcXY+bqVIGl
oHgAaavXrKIXyGwmryRqVLquP8Zko5AlKWTCC9Y/ILhRDZBIXq67mpGk5QyHqcPUGi81bywSj5of
XB9uDBViTAUuPOOHC/aZ1uwig2EkQav3WfXQOda+MAcIITdebmU3sWNFKVGgsLeJaZGdOtPUIb4M
ZkE8xYXLifcsT2YXp67mDrK5Iyve8tiDxkTcJ19yoz0Y2ZvW6x6xxhdSlbs87zCzvzWpIzuYOI4r
dQcqAqZ4deEAaFkBCgQ/06HbmRnatIc2GYTq+m7jaSS3BHpD4MuAYRQLY2AHpiVbn6a5QfaOlu4B
bQ+t0t64GGU3BOAaoORfCR1sMQJMqq7kZle1vpMSBNF9VnxkTbMztjpC0oi9aqnh+WXg9SPuXD1D
1XXIaes3NI5JmGZqtTPVbkDipvAv3JntV41p2r5K7fa2t3vt1rE67QYTMBwFKzfZuEFkZ32tyBnw
JlBhihdIM7SatRQgRLbSV6t8cOLfZDpkfbiUD2n1bPFf1yOtZJvBsvbXnHBn5ENG1Gw1l8YnZwIA
K1y6r0BpXLcie+4gp0KtCKpwJrIL4SQ3SosJqZgBEtB5PLuNmw+m/CZDaBtvJoloHaE9dt3kn+lB
IWhemFxXfpZYQQm14XYBk7OPgcpXEMs8/UQRDq9oj92kXu09HNNfygPz7WCrAi/Z1AvT60VyZnpO
2w7Iet5icP0bVf0SCOluvh/1LdEByYV0YWfN6c7sxFWsNj2DHYWU6D9D1cedfGXqD6xpPV1JN7ZU
liKef0ThUh71NJsyMJz55fC2YDZ+aZ/H7ElVgiZuvMbdXf+Amim5g1ANQUoDZjMQ+4r37QJUh13r
SBJBHQuVtaqbpi7qoavTh4hB1rEbCNXDBPMou7kauq9q25EHxXRn/TjYFcZ6xhY8hVahd4XHQDCb
QHBonh/J3Ki2ry+6Xj4gnNOoHWvD3mdxMf0oNOg3+uac6GG6JLhXEicpbnrqDmNAuhQKXtTiTRpO
ptIdSzDOhNkaB/SaAM1bMVX7cAe135N+LOZARXE9C3ia17bfT7FzZyo0hyyT5rQPemKoL5Ro5Zup
Vo7qK2D4wjO1VxMVrGoaZufSZsgPDDO/eHihNx5oUCnGb3DYHbdj3fRKVUl+aB0o11Ae7p51qo9t
MDM6hiwf1O/QhkTwNNTMgvIqMHbWDsBVckzGZqq8oR2H0q/60UyjvoJIAUSiksUztNJYdW/VvUvJ
iKmpkpHFc9sJWhP5VFPEenXmx7FIXebTJHc+Gs0CezSz3d9F0mqHSnezCGWuOXBLiN0eV36+wB5m
jn1rsMle0udzHlCbMR9KTWCuYKqB+ZZ2ZidrccHlpxV5zHZZzFLg/bvc/F258fBDy4bZ8Yuk795Z
r9XPTdYswOLQ2QkGR3F/lya298lu7OSu0yY195O5bEAhYSy3xrDQkHdFfsDtiUt6dJ2I1zEBv1WL
rujA8uMyjvUBBMHkoA6gcqZTC2YoUqdVs+t6eJjSTXp9NM1Zr0612aBbqvAsCTqATG70hscnFe2L
bj/XGtq6BVHRV2XwXW9uSPNGuhmCHDE4iwCSmhdKg9E23eaxnfL0xupm3QAB1UIhjzpREDHZIL00
w6lIk10O0OKdYi7as9FN2eJRyiGORfSGaA+tyWsoZ40aS07K0Om300j6UMcr7id3Zxq5lgUBsBae
UW2FcumpRCkQCjKI5hj5ugw6XTfAe6oW9z8IAGMSpfQE0swiu9MLr873evO7W4JZv7WcrXkQ2VWN
ZzmKlIC3A+Au1q8aPri0L5BqQYn9tuf8zkw+ClJB4LSNCMzNI9+BCf+GVtmK0fcGo9kISpIQqCMU
QTnHBq4TEneXi68Vdakww9RAMELziB+Zt2w0cCpVP83+PTMaeLdVUMxBvxa8aGKNVFNKs9cGBTVS
BoWzuxbowqzfz/FLrGcbH1W2LFTnVPQadBBoiWWzdh4RNinE4eLeQD2WGs1RUydWgoKAmpWHKMKC
JdGK2luYNY7e9UgvuS5X+mqCLhaKhJ/Kkig/8y5fINhTZvNbVmahq3SnQVEPDhRN/n+mhBuzVDjR
FQum6ET3DjUxrgVvAhNAoj9ctyTZUlAprMh6R8MNJL5d9Alj884M5tWc12FcmS3gP80zoOdhbleh
UyrhNDUbqbnkKXJhc93os3zATjBxznPYLNmIwXYdr5Dn66uSJP/n6aKo/xJDxMnoZ9D5t2bsGdDi
KyYQbzobvXfp3p0lpcJ7t4YOHl9GyHUszMX9rXzNCvduVbVQ7HJnJ0bEE2XjuSFZGJjUHTB+wwV1
lDgutw40WH22jDgBxh+eb4acJj6UmbbxpJW4Oth4XADQUN6AtoVoBm0Vp01bZIbaEHbmPk8NJG8v
9lbZS/Z0hnIG3oI4zcgRxUA1W1Ortwmmf2uc1zcKnng0FmYIWPoDJpFbb7QS/Io0L2ZgtUcjtrwZ
+c73mDNOvTJJits60eybtOfuPk0siDciMbohHShINKPkKMD2VoEJh2EEL3tpOdQjHQeR4XV3kzr0
mSPol18lM1Hi1ldH6GyU08YcVZ4i1Te+iSSLPvdpe/0RZ6emQTFSG10YgRyyR6a9xj4649HM3i0z
vL4cydcHSzeBPMVa1AIPz6UllrPB1ho8tjgqVbkKeoZsb2lggfx63Y70/JzZEVaU95j80zWsSF/P
CyvenVb1Ry3fFaX7zYyNY1sUG+FO9sKDX6NARVZlRMgjXq7NBf+hqbKu9VsLNeoU0MCyDsvle6qD
tSv9DglrUgaVsUVqJzu352aFA1X0dUW6HGaZOYZt9aLPc1Sy4Pp+rr9deEoCq2dYUG5aNXDE1+tQ
6v3MVZQIOLqjiZ7eFwnb2L8tE0Lo1poOaUACE1VV4CzG6SMZso3rQbJXCGyY0EdhGm1AkSKzo6rN
y35ASUVtn+pe+ZHE5a6K2/9QwTg3syaQZ+eJZWVnDQ7MtCX+3DdQb02zU+6CITrU+WtlbYRu2fmF
VAMgMKtclSUmLxVFz6oyUQsd5hRyCcN9vtjhMBmQaI0Du5p3151Bas7Bv2mjEou2mOBx+WJRi2l4
dMfo8WlLGZoA+ZK2Q5c+PbXKRiFWdpSBsPnHmuAXUKidlHyGtU65X8beI+SjL04gI0mBC6i3rg1Z
8Qk6thY0kGzMSYkeYhQZAXR5gTXrl2GHrh1N4+8yfwElSkDZB+gxNvIx2Waa6OuhowAJKzRGLn3F
0Cd0a5OCQiYLuskNOFWX0gCXYZH7c2qDb9hiP69/PtkhALDGBWoH6iwgG720WKVT4zZ2i85/A42n
CXDsxAQBZ7E1OydbGd50OqqXKORZIiWGM892hrMGcb4+5MsNmJo8KAynHV50WxO3clP/tAfEpEyP
UT9fgDzz7e6tUVXoSH2ZIcjVxvt5q0u4upsQCV0oOdlocqErA+jC5e6pGbq0TgNqxMmpXp124HuS
OV1oj5b52KWxGv3rj4UngY13yUoN/WlcPk145lAX7qHmC8p2tEAqrZHCmwbj31OYYBoAgAwL6vQA
hJjrJp9FraxMuJuqHQWpURulXR3WnB+mzN4P4FG4vipJrIegGRo6eMHihScK6LBxtHnfw5STD/vK
nqLU3pr8l3g5KtqgQQbNFaKiWEWOU3DmW3pN/XxA2wTy0h92qkDQerF/XV+L7N5Hed7CnqFDsw6e
X+4bRd2ubbuR+lBGRrmJ3fBSDV0eH1rVjtShuysIPWpFu9Ni52PD9hodRG8ENbFhoHGOTycm7Rpv
WJ7aC/VJPIdDvITNUAJNw3cW7U6jlR7cpPcwJx5UlRnVc7qFv5QcvPUj/oEKEEDUhLV3rB5QdlMp
dDYW9B9bOnn6yO+SqUtDI1cwx2WzLXS57Mue2RQ75+hJwCm5Rv00DZDmfVctlF1KkmwEZtlBX2WX
1vEVE0FsvZfOjkOFTEGxY7IGZjdSx+mdaubeXLq9pf8HRnTIZaHTi/TKXimLxKPXuSUm33TqNyPx
69r1DNCQJ7UVoOwXFCr6jIwGFf9aoDbKebIRYyR33oV1YaXOVOlJQmG9ZxPA+FWDh2027sbWoLdp
poAEhOv3M5BF/jJoWypT0uODTjLIWTENjwaecAEiV1psdzThQmn+YIEXGjqf086N6Q9tJsc81iNW
FLcsdRMPYWPjnS37yHiIrA0ZQDmRvF9+5NrpZqdzbYrxNes09tMTwKZPSqK+0cX9dv2sytz2zNSf
fTjzp3lunaJGMMcjq8Xjeq6r+5xbqW91m0RNsvCK2XhgzcDyjNKZ4E5kHhw96WEKSU6o0/bbaJjv
11cjGW/RgIFAAxSwZzAOifG1AlwPM1ek9V3nQI1ApTfL/MGKfVnqXt2/pYN1A3K6uT3E0zPFIKAL
+qbypLS7atnbNYh4fXMJ2yQy2924NbP7+asSdDHRoEWLFlrbIraxn8zEaDie/hpgAtriMRAqz+Q9
d5+ub4LUjgWReIClVlCW4LqTy3Xe0RyN03Kdi40BnWTghj8am/KjUktY0kpTgRxRX53rzHlSpQUH
a1ailbfUUIF6Qtdwju+n6sf1BX12HJQaUFaGoKPtADMkmHEn0xiduMBDYiwxya0MqG/H8VZNQ7YY
nARALP8IBNqCe/ZMMfsuxfOIt1N546rgyGk6gifEmH5N5rH/1yNnBOBLAxNnf8BzoqdqmKSclhgP
y86OkTexyGS2bzVb7XrZ3mEEYQWz6kh7xVcReil6UdZ4hE32voo/SPl2/dt8fgdhGXi3Yi0rsOoT
60WBsRirwjuoMoE79GIMSRvpDbAjXm4cDPbrujX5av5aW//+zOE0Lc70soC1bDTDRQUiubSD6yY+
XztY0CpWAdYW9FHEU0pdfU6WZmoxhqLfKdA00Jpv7vRkk69kYWhpsJ9ZTLfAKteNIje8XJcOZRzL
HMbWH5V9z3apGc1oPU5VlFmZz8B/ivfK9WV+jvsE8FgwvmBgB60b8YpxpjR3oTuAYkBPPXfZKVDn
KIyNK1wy6QcjEBgAAAeoNJyry3XF09jMCUO6W5pVYDUTUEuKj5zMJ3P+OufWC2++mkoZFPEjiGne
Z8xtgc24czGPuyl1KOlSXf4Ycvlj+jGNnXjNvV33UVkQ5gcA+bOgwBXoDc5rzZobXmCqFcNx5Xia
pnkjjEm2HENdwLTj8kOlUZzcJhPmCfJmosDCOS94r4F1lvFVq2hTy2YNVZf5NyTHVANwa0yDQOpU
2Pam1bJMMZLOb2awpIJrGQ60qA/UTt5Ni90XtLA3arWSgTW8B0FyC71D4HVQsL/cXM3tame0B1DS
3JLvkO4OsvD9Wx4MHvTT/XTXhcSrQ7b/Mnqm97j1ppdMdkJJGfV0A+B95Exipmo4SmqSETCzfvaA
ZEnu6ocFZgMzTE5AAXzVSw+vubvqZQ+WiN31kyTzK0AiUU0ANAiRULxvIbk6KdApBP3Iqb3VPefo
HAr/tXlrDsVuS8RWbgyCvCiSrE87EdU26TEzsgH7rDxDf2rv+lU0+dVhCVE42ecbd9SmNSHepqWN
KScXS6OhdUyOipfel0GWedb9N+Om3nq2SZJuHIyzxQlOZLsl1TSOxc2PXdByDwxUoNsI7AgU5Bvx
7w9IRTgjF7bWdODsKrG0HEeVwdZ4ZOHP6aaI2Bt9szwVDjLdb+V+skh4YU7ILjSDoZ+8Lm14Y+H8
w77hHj82eJl7rZc8D1H35XEL7SRBWl1up/CCqg3dGbUGNp3Hap8GYKcMZj+9db2dXnk0gLTVboq+
paG6q6OvG4diLTh92l5AQ4FhwwMKIMzL7R1LV+nnDra1d/ej+LGLT8QfPLbDxbocm8Pm55SEPHOF
ov6fPcFTzYypRbt+TuOE9/396Jc+hi/eqJ9ECwQn78cAOvUnx683rjjJzX1hV3DZYZzdSqGwy/x2
5+TezyczQqnvP65PN1E1WjtVYoQrNQIxFJcjwh1JxH5VJz1IA8WrfNfvQv4jO/xIj+xm3kRhrvv2
+Tv+tSv4kFvrOrp7I9hN34ofKGkkXnzb/exCzZ9CtJm/PLKNgyk1uIo7g/Vubf8JjmMOuokhP2zo
qCy3wJ/eDDUNrzunvt70nxZ1ZkNwFr5A3rrOcF3MvuG7t314rx1m//7pLQ7iHbQJPfuOHE7Zl1/o
+HwbA/SWdlF6kwXGnfvyxdlY8Oohn37MSkmiA1EL3dTVw84C0ZiZmZMTgpPSvLTzU1lH85b3SJ42
KPch2wM8B2M0Yk67mE5B48IEl7kxBWC51zANhTm2hG9dhVJDmLFArRa1MEiBXK5FaXLosdQGyO5T
fz5m+8Uj3wzPfETVGzKofUBvVc8Olgembmyi9OpAionnte4A/Cy2AlODMtrPEHeddtzZtw8J0o7Q
uleiTN1YpHSNZ5bWvz/7XoAhZ1o1wRLga4aPETOv3tKUk5rALCAKmM4q0CWcgYyVPBlLfC+KEVqM
8ILGjGYHZytzkZpBkwezWyueW8wlMBLv6nyG5yXKrVU/EbpfMn+u99dPm/QaWieSAYEhmBohwoYV
TmX0sQ3FnuF9Ckbf9orIDhPwkTm3oFCAisox9e5Gr9nHJ/tANlIY2enCu4NgwBElIQypXX4tF5jf
idrwSNthD7Pl7Nng7rJxi15Avsi/dkRyv2rRKsom2JmPpAq4DjkaT/G1CDHyaYzccDG9VAmxyhCw
+dx355AEfGv4UIIuQVbo/pk1wCwM2miXq2V1lmpFA8exTv0P5ynBo+s2C51gfrd33T79oS+e/r0L
kxd1jx7we7Zz+cZBlPoUXhwr8wF6v7bwC4rEqEg64xdUy2GcHu2YeoBrYPzyX9fB15X+tSOE8LnC
THCTwk5c6bt0nbQHVSrQnZDwmDfaQrIr/tyUENSywtRzh8HUDPibpcW70XSDBuQORONfOws89+2u
3QIkSfPTc6vCqVGGWl94B6sLZBYBlHbJr1kD1hTvxcazjQPAzuhhDAPxHXIAxvT6oZXcwhhycHUV
TWDcF2L5u0POX+c1KL4tO/erePD6+N9/QNtU7ZUmA/+5IuamQtsJ7yaQNtbgbpktb7G/5eVztgTX
FyLbR5S/gNNcLwaARYSv15IEI6UMJCZV6Wm79t44xDvzpH4MIQ8BtDqRzbnctVgjXOgXFoUvZ5OZ
uf1Kt9OHZQAveRgf3B4ygF6/B/Tv+vJk3+l8dcKzghMMUjSrrQzqIYXtjygmXrcgCaAXqxESQML7
BTB1WGjdg9mXntIH9RZ3xR93urZlQpSu2sli3Urqo0bWYxqwMA+UMhyD5zmyP66vR5Yp2IBHaybo
a1a/ECLUUvWl2jXgFdPe8VUUD9htXEST10XWafm2YYzIfAGpHa5yvNg/wRenzKJtYpZgnIvcezVc
buKd6wOTkv/IvTxCEnHdntQdzswJrkf1Vh8xXQYeZ64Hfc59EJldtyArtSBP/bsiweOKGFxIOqlA
lQbE/KMRQUQm33W2p0VOwFwwE+mP65Ok9Zrb7Lf5smF9a4GCN07JSK2lhnXmgy0tLO5+8p3qxw9Q
lXluPjo//XXdoORZebFawTGViakTbbGho/uQlaECqjbdy4vYq/UNEJjM0spYQCAUBUSbiNPTpwnR
HmND/lzdQO8NEClKPposGOKNfEzCm48RtjNLQkQkCqGLQmDJOuWKNx6tyAzvH+5VzETvJy+JSu9I
QFLkxSHb6l5LD/q5bcFBl66zybDOkzSP3APC0o/vi4iHv5nt0Y11rq4gxpRzU4Kj0iIh5ZhC3d74
Xt+m9yAKOCmP/YaRra+2/oizx8DAqjTrGqxnZSAbNa+q0NmEzHUwLtNGIJYld/huYMkGVzaeiyIS
ZrAHkmkFXRe07MBenaBWBZn7cDp0+29genhzT+QlfZpvchQJip/FvBFcZDWsix8gLDalNaa+R/wA
Jx69pHujzZ0FEs3m3ZwDDNEP47thvC/9HTrHuglNaPKVOVubIP+qfzdBOJBdtbDJVddNOOWH+dGK
tBsnmm6sg/pRHbgHtZUd96Yw3mnHzst2doQJymi6d72v9mGLrUYWjM4+iCV0bWjVMXWe8VsWd/Ag
wGs099ejz5+qzicf1lUbY/14noEI6NK9ii6jS6ZCoZ2jLIEUJgKP7V2KHCZJURU19lnA9suDGm2d
HVnhFzDov4aFT10rGGXuJxheSn85qHjrqiAPd326xngIdKXR9ZWu5/7aQoXPqoB6uOgq2Bs04o3o
XHSxR7QOT+vwuqH1H7piSBzZh2xizwoH30ydfVsDS8uNkR3XBjma4ybkoNP36/YkjAmItn93Uuzz
AuKV57zByr4nx556v3CD4NQuPpLeQPWYB0bp6xa3VrimJGchqWkUjScWVsjyfd0GnYG+z64yfU3x
2uq3vWVOlh+er09IpxxTLUxzWD0FZElqMHU/k2EDgy1N2c5trAfxbEnmRCtmarCR36o++xW/lDfK
99yz7vT/0Ba9+FrC3dgPem8MGjZvAIXG9LXS7kq+4YES/YFLjxDuQIh7DMn/7tguPaQ+OYIDNQKO
aIBHFId+13njnrwaT9fd4k8157PnY3AWgzQAY4sQUZOWGOy0sTT32TraN/qri+px7z1w1GIMUJC2
/isip1+itKvu1UD79h/KTdjbvz9A+IojzYuszvAVNYzo0VuWhKkeTVsUfdKgjBagauiAWWJG+dJX
+qGxlQW1QH/KVQ9PF/BIbxww6ZMSAXkdFMFIHp4QlyZSdypV5mAhVoS+mJ9/pKmn3WUPSlCGZTQe
kuD6p5NnTWcGhZ1juZPHqQuDJhIMTFN6r9+I1z/P+2a/NfMnd5MzW+IJoCjlQdsLGVqoxqEVshCM
lf7kGYcBHXvP8qrUe4gf3tunJISgGeb2dR+CHddXLPmIgPE74IhBhQeaNMLNWhRdXFIyQ6QIzWsP
bdeVW6bfyGckqYQD1WtAlwCQwVUnfEbDLpYhdw20iFbRJSvqijdAcRdeeS27T7c46WVLAiILDXkH
iFz85EunoaVhgUMW6DerVJdna6BfZnzSf1/tBITprxHh2oZGUA0uTAAHx6yDLBE5DpaB54q1v/55
JDsHlD5ARUCqrPBi4bameazlNU9xS6PYt6PcBuNG4bZeXTf3tHOdp9ig9CUrqblhWHK3AdCGPAjA
BqAbTME5B57GDCKm0CxUDwkoqt2HDhlgfqLF937wi+Lx+jol2f2FOSGWGAmWbxswB2X7kKlhobRh
TjuU4AIQyW24o8RBQONmAQ9mr8ANcVwmMdyWVWuHb6EHXkGHqSw3TpUkybqwICzHLksT9KgTltNq
nlYXfp8/GdWp6afg3+/b+VIEX09HhM0ihyFLfYQWp1cnbbjQGw3yagOkGK4b21qV4PMtZvWnRkWH
ki0Kva/SYgqZQpPHdnEf1XogG2tbXUy4RnHAVuS1je46LpnLczyD5badQfvqc/exrg5d9rFZQ5e5
HYqviBIGAtMnKldOwY8+kwW93uYhM72R7cciqOZnXj9d3zpZKrJ2C/6xJOzdBLrNcmlhaY7iqPq9
7Iabnwv6FlAnejKek4c2MhIUxq5blUWPc6PCDsYkttfYC1hCvgdLYa4+2DwwWDCnTynfeEHJDtVf
W58Ujx3G8zptYGuYnrPx6Gy1kmVvYmDE1ywA4FQVSjeX7pDU9hJrhY5Te984vhpWpzGakMuZeFDg
bhyR40NoZ/LoBuBK5obndsml3RlaI6iZwm6WdBhneM3jMlCVDSOyxAOrQ2caWBjDtsQJpnFI6YL6
GCJGEsRTUEKHLrG8Xv1KhrehDJ3ptm4foRp93UHka/vHqvhGq0CzBGlHrM1pPtrSfCUdCZ2+fvv/
WRG+3NiUbluNWBuem1HRIgkvm6PubE1mybzdxOge6jVApGMg5/JDxW7N+8TAYmz1d1Pux+ppaQoP
xCsLGuLqz+trkr02wVP815oQ4gkk24YigzVMkFjf02KcbW8idfkx4cA9DFpi+mbdN7f2NMwHTAb1
oaqUmT9hcvyQ5pUVjN3ghEPRflz/YbL+KHD5jgs+cmQO6GlfbkPW6PVcWTPOSUFCPrwyPLlZSgKo
5u1G+k5s16Oc+VOLQS+VnwZ9NryRos7Fvi3OQ5l2B0UzjugV3ZtqHLTulnqKNBSe/0DhQE1dY6MR
hh9onaZd/jBGyR5z0ZEx+PHeeK4O9RFch3kECPD1nZFFqHO7QhY6pjahcY5OQFO8Dsap2irlyPzv
/N9f7Z+9nRsjNwrDQAQkCBQ6kIIDD2yInOcPMTTAqo1eqezonlsTvB2cS0pOMI4EHd3vM/j8if7V
dL9e3zHZhX9uQ/BxiznLSFvsmALSvuJFR9WmCMj8dN2KrOiAuQYLOoGIe5gnET5MAjKdqSqxlIV8
HRPb7+ih0wavQR3RjKz+aABEQLdKHbK1nRsVvlbv6tSJTXjhyL+UxYtZ4o18srbeItJbC7eVaakW
JmEBc790ChBZVdm8aIjrAQ7eEtz3UWaH+Fphe4pDMPa4o2c8bTUrZc5hI3lfh93xABLvysxmvAId
EBbXFmFG0Xfr+del/vcc8QDjnpkRTrJTObFaUPgHWFaXBnLRoLZbFp9C1xRk7Z6hb+QYck85Myh4
itJZ/aj+cch5AHE65uTM/BbvI2io5sG4kpqV4CZoQHzkUr6RTG3tqeAwJI31RFexp7H6mLFvBYu6
aYMmXJaOnu+n4CwKsZtFLeAs2VQ+cYdA9aSOert7gSRKCPzQRiNMeoed2xPON2ABgxOXsKc/B8YR
RBlvuhvEz/0OukQHdBV3/RYnoSwG26t2AkYdMa4q3tFoh0F6LIZFq1R+zfn4swbf2kY4ke7imQ1h
Vc2iqYWrwCvVqH8CIWnIbzS0LWrP2Me33GcBxEdvgH/aCGNS/9DxSHfAngM0mXDvjknMQVWHLCej
zmsWV3utsU5Oam4tb/Vx8VmEV+s/doRDp4F+jUImDoeuyr709EvG3IM1l0FPZl+fX6dFiQhnz302
hgnoEtoh8525/HJ9k2WLxQTCOrGJlBXoo8uwpmelMYwukGZG9TAWd6X9oqob+ylryWAI/a+N9b49
u091PM56XsOGTfzpBiPUT4qfhdYBeiPLIzvwY7Uro+mb9hFvnAvp4hxAcjTMpBLMdl8a5k6ZOEWF
1M5c+l3Mi8xr+tar4nijhvT5CloZ5PC4BYkcGCdEfERVDo5bxBXynuK3NYduBsXyIxjsr3+qz0cO
VlxMwax3Ad7S62rPthHdJWg0zjlA2Umqh0ZrJYExZ1sdOulazqwIhy6b3JS3qHv7GRgJK+ZEpAaa
CYIhVbGxns9p1roecDqtIQTsFcLXacoq0zUOS5YNririKwzItB/D4CfuvZJmG8dty5rghIvBUgzi
QER+6oabntNfpd2BVpBrww6U9jOYo6zMq1x3S1hBvp9/Vyk83VkB4gQ3wSq7+bmtNA+nHJraUUl0
/7p7fC70AeSO0gca3RgWRq3v0j0Mm7OhzurBr53YswY7bJrMm4kSFhpu8aUPKgfM1nq5v25Wtq/o
HCBUYlIL0FvhJqeZkeCig+8P050LepzuOdEOSfUzbSEKndsbi5QkDusq/5pbD8nZIWhQneIqhzk7
RXHRvLPr3GvUfaw/mOOXLNtVzK+L/+A65zaFg8db9JrLEjYTCH8AR1h3mI0y76wkVO1HZ6vWI6kg
rEu0UfNeIf2IKpdLhHaABba1ZvDd7Iup+voQ9cqhqBMv129XGDq6M5MTQCTJu/4lJSiXS8Pi0R9p
bCktDPO4vlW777nzo2m/UKXHs2EJHIrzoSuHeQAFrdWCl7MLGpNFvNKjHpAm12W7uM0DtdZ3lrKF
Fv4cyi9/m+DdA+0TCHTBu5du9Ej8VFtv+bThXOu/cXkhwwa4eQHvBrXzpyJi13VW3M2woaQDNM3d
WvH6dMTUkVViAInVd4DHjRuvPwk47NKoEJd4ZS/qlLSDP9vNl3waIztlQVtDdjBroIhl+hwU1jn9
1qrZDThk9WI5GdoXMOZCb5EHNXAkhr7cdvHWlI7cDc92QwhcqpWwiaMa7OvgReyVV8L2nIPc+t2A
vk+NnKQ92dWRs8N1L5R+aLDJrE1PsNiIxKh1TjFnq637MdV704bapJPs+7qNrpuRBxINo0GI7lD/
EjuSLiaTMT6PQ8272Y85MBsmDwfb9s3BXftAL0baBGDdfpyXLeSG7CIHM/I/poUYZozg7HHXGMYs
fswoPWAQfcOV5bv414QQQ+pxRbkW+HjuMO2mzkAIKcChu0XXJA8ZZ0sRQsZo1SrJwVjtU5CGBcW+
j9jvbA/+6NtuX+9rx38gz876NC59tt+qN2wtUogJbT1g5CPGIrMCUB83D0urD8f/Ie26luPWle0X
sYokGF+ZJmuUJfuFJcs2mAnm8PV30VXneAbiGdTe91mqaTbQaDQ6rIVmwNumsnqxXujInVAT7FZm
s1ysFmht5sAqH21cPekx6bxa3naiCppIK/7ctTapy2VJM8VrhpNhHI3x522NBAbId2ElSTjYTEEs
JJXPIzkLY8jV30epBzO+mL6DL72+wdAQglh1XlQozm39VNn/JubArBQenmhYQKb9+vcBnlCaWQMf
0YJJbgDIIFGSJ509Gxrb1kZ26Mfmx+0VW70aLiRyNlDlhlzZKiQa084oMdZwX0lbvfwZtgJjW939
C0Hc7g82IOTKCYIi69w1uqt1Tjw2gpt+VRtM1BNgTQG/1ebWLx1mKdFIBQc04HrLs3EnA2TcieR3
GQ0ELUDTb6/eWgwMOI2FIA6cL2gfuN4vrQMCbZmDhyKyto32ZimeYQdCopdlD75c38jjI/QFYoDC
TwVKZQiUAANLR43Mq9vBSbIKdzeaZ+i2iMApJkLQXl3GvwJtruUiaksW5wMEVuXGUu/q2m/LX7L1
rBiCO1EkiMtIUMmqKHqqoZmE2aDWQ3ouTX+oimvPgsTcn6cqv4hLiw5q0Ti8eJpcb1UOagE6RS1C
vsKJXHlv7A3MBwIHNd6Ct8ZJd/ppCO6S/bf70LPd7v2pOXRedtA3VVA4WHIXsCaCI7EClIDA6u83
adw6M1Sqa2I06Jc7v0s+3ZNteygfsjdyYof5LnmLMcv/kMqOfl8dqDdRBOeC63QlwYZPAECQsUDd
4H3F7UBas4LkdodW88jV9ujBwijxwBwQfvnA8b0HJc4mEiQVVuo/1zLV662YsrCvDQsyf9DZVY7j
m3w/3QPQyvsGeESMpSsYTo/22gGrvtUFFrdS27kWTq6FDzYYo5c6HIbzyq22Kf1wctON5AJN7F7f
4Bl7zO6sQDTYuxpPXK4zFxpRPG9DlkKstJ29ytedcp9ikMttPo/Vs3a2HMkzTiYSf2BaETgpde3W
upTNeal2qgZ5IlhvclaCGd3P5zH48WhgAh/wbXv5Xj7bLtlo3uSkb09dgAg9EZnZmgu7/AQunOqL
th6MEJ+gnogCE2v9x9kZA8n9c/SKIH9nG3NPfNu77aDX133BCwd2HQbM+Gh47LWpoT3W3XQSmFYD
MvnO6d9J0HpmELvskIB33gFYZh6EbiN6ea6u/IV0ftebzK5MC9JDVQNinq8CIfu2gmsSNAXYHwC6
RT6Qb1xjqNjCnNEPl2WJOwPNN1GD2xJWlxCAXniwY/mWuerrE6MU2ZDEMkQ06CPzqi2cdPsDlnP4
LF6Z84vu6PPkRLvOzV4t0QKuXbCXsjm70RqFzEoI2Xbau3RwaeFFSB1Ig2AZ/4eSsBAQLBigTebc
gtHXdVrNEEQ6Z/60HfRXnvMP6qSu/pA5GL0Edo5bfkOCBLS3G6FXWouONIDB/Uc8ZyhDFce5MS5r
PDn65/ienhJUaJlLewx2gFXlg+ChkZ9/CrZ2uWD4SxGs4tBYI8s0NhcvJW2fhNVAlpGVVzNzrPSX
YR779DlVXxPdi9J9L2qYXb3zLkUunuIiz2XGZAD/AUTWsZM+9FvFMc+FVxzYLt2CG90gaJ/V0RTh
Jk78NL4mPsV9/aKJaJmW657THLDQBBAaSNEuFGnXn4GmVqAMV2DfGY0XsBfZ+ZlpG+QULQsOojpb
osh0ZYOR2P7TKYwmGnCYXctTVRTKDKVCyafK+w3IeoCNFiY9HkJZIjiwKy4BDbMLjyYSbTqGXa9F
ZTGLe01uUOW35cBi08esyYJoalWbCxHcJhZxj1AbEHmugjGGtpy9djj30+a2da6cfcA3ABsSKQUZ
oLXckhlVl5CYQchMkAqlKbouAysFGPq323LWMiYQhMQYGi2Rz+ZfdVTJSSN1LWrRyn5EeGhHTq9t
SOhQySmUnZWdWPR0W+baHlmAZ/6DS4uBZ043ShKWpH2Htj4rD4qQ7ZC0F5jBWp4Lav2VwYVZsx4Z
RZZCRsowgg/AX4LGkgJE2iSoW28G9ensRW0QUUGNeM04QI2HtlwMdOPBwrlSZhcsBqk9arbTXRj+
isensvt9e/lWTQOYfOi1w6H6kpuXR4CTTj36Y1v2XNkK8P4/zSzBDft6W866Kn/lcG45KmI9z1vI
KZmbkjutu1NaUWi0bAPnicDSCI71BcELN/jyDRcOUTLjbAQAJKwvLx/mJGTbMC1f65ksxK0a3QKC
cN7UMiuOpRLtapt8swcUU4uZ5o+3tdVWlxV8yQsgKTBb+JKHohXAKQdbjNtnI82cxjab16GM6L2Z
jexz0opRdZOBmRikMPTU65vCuovSyMClKQEAHA6t2OLHy02RmmPmVIhLjqPVDCZg/AyKId15vqcL
3nMssXETl211ZBFtX5belNrJBgY+M5nq8X010OYhkoz0ybJnDMBOIIuVx8l8je1BYV6kxd0DuOAU
WHGNnrYxQX+HmpzLbslbhWyyMFTSx0GZTuXvAZTJ1AGWqOyjr5rcK0WF53OldOpe7TorFkQSK6OZ
C3cMhjLBdrCwqXMPzUFqZyD2om2nMCR0Lb5gnX3wuQWzPW8bS3EIqO8QUP2g+m+5ap+sCTRyavKG
W8PL9cyJMFNR1N9ToEVrzbBlpYKSWi9Izq/YNdpTMYWOHDGMjq+4ZsBgkCsdGw0Ci8MwaE5ZjvvR
fLttTyt37JWUxdwuLDueraLTZUixGzbcaWDmi5zISknjyEaMScKiSR9T2d5QM8xdNg73t8WvWDM4
3zHfj7eVosLursVjLigBcCt8X4vpn3LqXW14IpY/NQI5y33KHeArOZy/k0KLTGOOq90C9a85ByWI
AGc88oanvhfNvK5sHJzF0oeLfrSvYaoqayWVLTgkGelT9MVsZKk4hpT+i/sd5osGGIDg4lBwIYQ+
0txgoPtyo848M7n3JjuLHB1orre3aO3qBaAISoEmMPCBDMet3VwpQw8aSEA1JT0NTKUKA2DIVmAf
7KunmiIanmmpgpZGGRwDfb++2hX0+fZHiOyEc/IFugL6Nq2xpqCk6+wRIPFulvtVI1B2VY4CsjgQ
oMBz8zwaHbVbojawE9KCA6Xwav3ENMsxFcF7f80e0Uex4Pwj4MSj4truo3BkWbIcu7pEDpQ8JSx1
0FnbDy8jFRGtrOl0KYs/Y2GEB/YEWZK9t+uNHrUnIPFmpohiZVUOimZ4pSAHqvI6Jb2lGzOFncSR
aj1MKt4DutQov22ji5zZ0IuX2zaxEp8B9BcVU9wLuH34AZxiTOM5X25CG8DcAxke80GU/Vs5ylci
FpUvvGPfapU9LU3GA+CDEiD228oEknARkcW6mAWPFaEYRlQ4a6CxpZTTcpQ1QPWBbHoMnxLp1+3V
WpmCxA9Dwn+EcGYA6lIdpKFYrsr8U0xCa+WYvhfyTlFeSLbRMfQABtahvevsjS2yjZXcEoTjIYcB
LPB78+dqjqSsSP805xoN0JC2Q5Ojj/8uRYYXQJd9JLjg1241tF2B6mQhQsCqXu9b3gN0fKoXk2fD
Lky0jTKO39Eocihpf9S0wpVnbaeT4fX2Gq9ZJBAQAQeCwQEFrvJaLAuplBoN9jEZm02rlnfAafzn
Xh/39V8RnCPM+iQnxmIquhw/9HL+CHZT0HiKYJjWLBK7BZRwZOQ0UOxda4KEXDqbXYHHY217czkH
Kpt3dj55txfMXLOLBercBJs1Oh/4FatMpJlVrcQwWKRUJZitsGFOHeqYw8nTWg/6SDcCq6/GJ6tj
/R3LstTL0ICPf5LwkU4sg9HWMeWoAUrb2Famg3m50pP1GoQTNWj57gFXTU4Ssro+JkjCs9om0eiE
sjwew96c91oS5uh2VBPqVGCLeGtDG6ySkZK3Tmu08XFo6vnB1gb23CT2vO97Enl9y2bLQTLIBEwi
ZlIpskAsSVy8gXLdocjYfBIdPDg+eGvLrVQotkfHCKA3g1rhnlTNIQCwY+HqTOs3pBrtxFEbCzXr
KLqvexIHMu7YnVSEu7SU1J0pATsdfHcBYM1Cbx6YjdY7ezoDJXDeaLqkHfUKT0gQxXVl7ndKhX7w
Ziisz3zUyHaam/l1qg0ldwYzYfdkRtHfycaoDZ0pKTAUpEf985iNyqar8vSbRGMFTMSxgUYqhE0i
eKrVaGIhVFwqGUDP5F/VKnBmi8xExAc+GvMIbHZ212GIZQdADe0V7Xph4tRFN3pMGq07xeqSwhlB
3CU4Rmt3FcYCl6c3WttVvrW96qekatnyoENiqe9+15jx0cAXHP6+beAiOZzTrcsiZ8RE3KKAWdw2
gKeph69JZu0He/7nzEvovLvQifM+NK+mJjORi9Ht8IeBd5RD0UnU1JnlDKX5eFuxNVd3uY2cYhkq
ZmzQsY1Q5AhWzMe06Da3Raw5cctQkftDyYuAQOfaBw14MzYacr7oKVSAVhEhwcQoHicskLLyRymX
bphYO2aICsZrsRlIuZCbw3sEIGBcYG3bg9STJQYslKMau6UEPGIkOJNsi2Kg4KJas49LWVySDvzW
IyiCsIzMrDBg1WV5IBnyc5tV9WNjS6LRhzVxlybC3R4TUUD8jIImQkFMqGJU1Eh9pj6HkUivtb27
FMTtXalOadZpEJQCvtbsRr83MfZov84E9Z04vc9r5kxNJchqfd05dHyArwWUI0uXpsGtZooydSRX
6CHMUBzof8i4+8tTqY7OJIty0yt95YssTJIuCQSgPHEapnM6zlEIWXRMwJT5c9aMQ6t+ACrENVCc
VYzBxZutdJT0V2vEnjn1J1tvvLkG4HViwYTvR5o+3z4xK871+qOW/b+IV7UG7eU9MhYuhjX9Lm18
CR2b026KPWK8z2Bqlu9IJxD61RNAJjIzKDupWAz+mMq1PZV4M7VubskPaW48ZYkpOCVfo4RrEZxa
JEqlcarQwqEWxK8T5IA3cupJjO4maR8VnUDc1+DnWhznAJrObqWogTgSy84A9pIoa5z5X3A2Xovh
rHUwmDJ2IRbOSJUtbYIyAYoLWXhEgKW/u20ZqyphDgKZFmRZbP4NT4c+SnoGw1iKASDadLTWB0vX
bSGr5ofufRkVAcyuyHxKwkBvcjvm0KhWfkcANAQiAqb94tCVdLxykQA0wLu5vS10zfxAQokjCBro
pTZwbfLmPBqVpWOzGApFbU3usqEWTHJ89Zrox70Qwd11UgWuxgoklK6EorsESoUECAno+2Ivt1VZ
c1+XcrgLPK5SrCqDnMJMMWt3xrTvDPcZlX4reo+JRC2reuEoKrVU0kaDqFRFtdZyWK2iv8et22MW
f97WaqW14Xr5Ftu8kFUXqTHlMkYrpG0HSmPVsU4I93zbVc+gj3FzD+znruLPm711jh5fEveFeqJ5
pzUPcrm0nAcB8tvQye1imV3h54U/zGUwYBhCVw4S9STp522dRcvLeRCwzcZTaUEc+A+eJXUGdAKI
XawEM3FJ6utmvLktb9VCF8A54KTCUC1OnoLJayJ1XetqVTCTI9NOFv2YRUazuogXUjiHZdtxloMC
By2v+Waw+q0k6U4cHsYm95l1T7vgtlIr9X4YzoU87hVfVBXD+xBalZNj/Tapk78TT34gb3ruoOjO
qCu9ApRtq95VQQvGCvp0+wPWnCZcJYAAAO0ODEfOcHuiS2M0QV8pQfMZjd1Ycw1RxnHVf10I4SyT
gmFW+rOoIcBDZfUt7kTcwMrin66T31jHZZoDk9GY4uVLRnMKcsQxxDoW0rkq7wv6raYbc/yMtZ91
fzaSvcFOVNqk8vO/WL8LuZyTCUGal0bLwW9m6ikNktMmAiNRRexrqHmtHbdLUt3n/RxCSlXcaeUv
bTqqGPo3NIeywgFZk18a/5ju8Voit2VjySrUTxe7aPZ28i3uT7T5pouu7JUzvVR/0AAAwGhEtNxt
0GNCeca8ES42DMAlJgkyIPOk1rlXYkFwsDJeDhEXoriNommmDmYxYDwNEK9PSu/M2/g0b6STdl/X
Tr4D7+HB/qYIajIr7gSNngBpwLA+5gr/JCwv7gWGej6hA0YKW3aywtHBSA9eeY6mlEgN+l0peBys
nOYrcZySLRkyc0ghjqnHXHpUkq0iPd42+JV5mqV39a9KnC2OBhusSoaMWn8c0EdYg2711GVeXxRu
GPtK/7vVgto6yNZD3R/04r6Jzw31Oji2SLC6K008y7f8qXACRR0JtutrV2lkXZoHzP4xj96Rc4ed
LT809zE+9sd2Gz12QS454TY9FneGs49eGlFD4colePUB3DEpQglgMCk+YAyDcAxY5EX2t96+Y5Fo
ME+oK3f/1ZUcZ7EOUYR6VbKVkYVztJ9R8Cs9fiZB8lYqXryj94NTHNHS/sw2H6IHr0hZ7m60rHI0
Kxs73+XeoHkaCuh17sf0O0lebxuZSBJ3K2ZmObWFAV21CbNyhyrbT9ljMz2FsejiWE4Ed29cbiA/
qaGhb0lLakiq1WOtfW9TQVy90v2C/icN8JaY07AW5rtrE200pobaMhY7jWc9PAN1f8yCigRzcZhG
D8oRGrmzpgved39IlznFVOQf0WGO3h7AM3Nvhog2DctGbRlQIl4N/zaOYEbfJBi+Ugc/Q9IzSTEI
bGxzdqD9SYoOYKSe9INB7gb93RgegIvpqBOqTnSThl5S9v7cOIN8SOdgKD1zxgOIOJO2Q8L20IXo
X7eQAcFARVtIbjO+9hEDE8SH2m2y3HDNfHJYepjqs9nKwRi5Nt5NVHVikQdcsRxkOgEDiOKcBrZd
7kZBwgRgs7OOOAAeEJi9pX1KUxfzRJVee7eNdMW3X4ninG05aHObqYuo+BgbXhO5BAP3seRZ1DOY
wLOvCkOqbmmKWdpiOE9H5wF5MwJhWW87Yz4HsmQ4rfIuDceyu0tYG9xWbuVmXgT9Vx7n2LpmAgOz
Anmp9CoDVp+oz7Qxgrnzb8sR6cV5NQXsl6wxFr300MmbPLDUz1LfEMwEMtPaWbMIcHBFIDKAGP5F
/Rbng+8Kk9TICtEE1aHq48uU7eL5+9SepKI6x4r/z0mukItQwfGBQh2G8PnrPy9MsGNTu3NVPXQn
9jKFAFk2gqEQWMey+9xhv5LDmSJTSKQ1IJB3C/s8pqdMeY5FLWgrjvJKBGeAZCZ2DCCgzm1DzcWY
rmtoghBtVQmCYtyS2Vxwya49pToTgxYRFkuLure2mL2eRY9FIogZVvW4kLLYx0VE1iuWZMQypIBi
3CHA4kX56rZJi/TgPH4iRRhkmyGhyn+xyicTUl7Ilv6/hPDcTppeEooDAnQyNCm3+m6wNHheQXuW
YK34OpaVV72pldBE7vRz1KseGEW823qs5ZgxCPPfXSfLw+5iP5Z291YH6yVIvuZTbBz1KUXBCtTd
E/FYXBzzNnOKaMBjXAadt+lXCnoHIsxu9IWjD/ImHJ7aVATXtGzRl/N08VHcLVIAobG1Jaxu3r1Y
5VM13VF6yJpDT09K6vfdw+1FWHG2V2uw7MPFGiSh3BeJuthkPGz62Hak+C1TN2EqqAiK9pM7w11v
Ww2zlzOcJvddXR3y4vm2JiIJ3LVRVtS2RhkSBu0dE/NqKxyIlgVbw3kJI85mwPJjrTJdfraSJHEA
vWahX2q6H3vJt1MrGOPSaZtHgIIIDt1a8vdqozjnEdEZHZdDiAMhP+chytE45N05n+8bYz8mQP+Q
DoWkCqSuGiOyXrj6UXr4UnxoaguFTinq3RweKyz8WEucoXLNsXOyD+NRbn/d3sM1aySY+kVjCcjp
MCpwbY3WqDVsAalxO7v/ndeYYEYurFMKTybCBV1ON3/QLmVxCzq0YGGr0hikQEfgeNaYczmyD/MU
Pr2oj/VnKeh8Wxm6A3bQhWqca7ZCLUsUTA24/ad8F7+aT+nd9KuyHXYwAQnle/ruVX8QQqWvmeyF
VH35+8XxZqaa0SaDVLxO/eE3wLz1k7YDz2DkAM7j/7V5Ohf2Wwor5WKErKmOPWA9uHPhpsmjJaJR
X7vkLnXi3HakJ4AwSiAnJwDVyrRDNMTuMIkSRCIxnCPulKgmebuIwbSVNewTZNdEyfuVrrErq9AX
p3axP5M1mVO3CJFAxW1t6vfkuTgqmAUq37WnxHBigRtevfMuF4/zwwD5kft02aSmeKUfpmN8b73G
kfx4g3lX3ZF+sYP63NeO/ZC93jYP0Xpy/hl+M6vjGpIJ+RysV5U0TiW/3JYhVI9zIP2UKpK82IZx
IoDs+q447SHe64XXDVCpfJ/3433q6QwzvZbouS1wKDrnUHBrG5ingmyUx4HmqJw1V2aOAeov6n+T
nWJjCmKklcllA1Odqm4BbPkPXe619YRTHtusVcD+w2K87c95tk+BlEE8EJJ5cfI0Vaci3Hbdppo8
qbpL0o1guZcjfe1Dlw8AZjYgs1Gf5l808zhTOys0DM8NGFvvgRDLdHeSHewtWHsTUBJFhj+Hfs58
geSV1rZr0dzJKS1qxegbaNzUOACOtK1zcJpu02EXpyfJPuflsa7eS7KpzVdbd3o1BkaAT+RfivJh
4I2iO/KYPtgLkySVfdL68XCyqnA796lrYqKGBKr0npe1Z7PEaUC+3tbfx0h22/ZMZ6AUsi1RMaVA
d70GihKkL5pjM6Pbw/puzZIvtZo7ToGibpPZZ/lOr/alVPjVsCukTZjsjGJ2WoDPWhtj2tT9Uzqe
QnLW0QZDE+rlxU8aHyhasQ1EFTkwO+f7LDkXqmeoAbplGYjJinOS75IpkFvEq8VrDrDtcJuYW8t+
LdkD2qtdUhyy6SFD+56Semh/M6snqw3ylKAP9agb+4Q+GOVRAqWu+Waj7j8f0/pQkgzcBTuzfMzT
TdF8hMMz6iaF/WT229JwzGmTknOB8yP3oKyNPxsNYyfnYQ56U/Xj0NHyd7n5Vpqxi5KIg6AoNU6R
5QLVqEiepPKDTI1no70QAUsLjC1mgXK60vaN5Nnxp1oCE4N+k6e7PDlLLHY7FFLUHrDoVgDzc5Py
Jay2eRjM7e+2chP7KIdnpLH65sVKfwwAj4qqY18tC3LQZ7+wRzftA6r5jdzspK46thRzq+o5I4Mj
l9bGSt/B+BnksZ/borrTSnUN7Mvomwafhvxnbvj6bOY6DWs96lCjZK6yM3c1xq07P3ayYwNiIEe+
JyfzpfZhYU/gCxHNRK+JB6uNoqFlDVgqwEm8Fl9lOiaBVIhPjpmnuoObusW5BhO78/ZkHKlX7D9R
OHprfBES+wpjClL0F5K5g2mUk2HWuNT+dAmFvrqvnPmNVg7Q22T30fTNE/Ob47SNdqbHvGQjjY7s
UU90EyzelnNNV5+xXEcXN2vUNyUghPAZ6kKOCNGhZ2zgjAcww70UDm44zzymzrv987Zn+hrCXqvP
XXM9S61JNlEvG6kX5d+Z6jeMOR0R6bd8/y39uJtOTvOhMnXUr3Inv9NccoiCFHpWXr9p/fDQbIG4
6N5WbaWQda0bd8PlEWC9Wgtrmr9WGHcvgkoDxRzyj95He7pDk7s7CMJmkZZc1JyROiuaxYxNe0/0
TTjeEWkr0GoxyP+9krbMxcjRxCwjrSEjMegPWd/OcrFjSYMm3w9UnDw7Gz/aQXXMNEqd0AI5BAZx
hrh/SFPRC/NroQWoaMj6L0way6mVuVNrdmFm5FIxuNZ3OjkVHuRBEUg9KEUBNjA5zXkCz520SwCQ
8Xt0ze9sLx0TATbJl+VYvgGY+ZhctfEdfLNDnbHGKkmC/rrsqCm/re7X7fVeV/JCAGdFKKEPOW1j
9NWPBrraSqfSEjeRrUf0JRdOx2wU9lCzAM5AMml4a0dOOCKbP0RbyhJXIbqDNmbHnqszpiV3qYVx
+aF+snSMOTApFnnSP3zst8yDe9bYdqYye2mTQID+gLloEhS7xEvvQu9HCqyY+RGRBhARCqcJLMzs
D0HrDt5eT5yn2+v2xbFgXzRA0aJfV5UBVL4clQuHNkjRlMlqiNB2qgMVfDsVLrzGPAmh3r+cucUA
0JIBdnrMQmh8vt/O5owZGvZHi0DabhRYVZ8IITVWzexCCucn1Z7M2Qj84wUEwQL9A2Jmp0w2xTZ8
KnfELUanREHxH08ccbpxXrMAir1JKxi3VD60yTPTg0EReMkvFw8ngjNvZJGlRu6gmJTI8i5Lq/zN
1hPrrOQMaGYY2y5PZpdkvyU0J9//cxPREW0Y2Do0//Mv8BQjVEo/ZwPqtBsZvOgyoPrrg0reb4v5
msv4o+JfOdwLfNbUPmYABndtBNyeAgypDd2r3yTbpUfrqXhkB/0ENCm3EXWqfn0vL5JB1gsX+Qfc
gds/as72YMfp4GY7HL2dKTtvgLP3gVK6+wOT0Qk2UyiQ282OVl1cdxBonNpjjJT9xnb1B/P7EIyb
aG/dCfNEXzI2nIbcjSfpUzGYYCpxKx0kp5iecFSAQSGEDgoxOM/XjopraX+yjhdOpSuysp9kSBs9
5Wxt+s8SM++TrwKAqj3MG+PcIGKN3PYD1jRtRQHFqqfBIw0j4gC/lvkeikkpy0Kd8wEdb2g57rfD
kl7UDeffmOuCcwK2FRWwDJzRGK1lMhvLiii4+91tZNfwpWO1Zz/Ce9Ovkae6y+9p0A7/ynYubnPu
5uisuaOGBbmo+H1qD4qXBaGX/VCfZ1d3q3P3Q6DnlwTEspkX8rhjqUtq1kZROQCLHS1GbeugP9iN
Nw0gtYAq0OFZLljZr7H+IvHiKueMtU8tMEuoizs1dsb34WN2SiOIntj2kTnNFiNSwTx4yZ7sR1cx
vNGdvKd/3AZz/Qk8UB+RtLHOdLjbfN5V8nepe7Bi17beikyUDF+9sRb68yXVgcFHzoySXq/ipMFZ
mVHwKmZ2N47yRrCFa5e8Djh9zAYqgKTjWVbGwsQbdTn9oI/VwZ99190F+oGA5fJb69Bnfd9uajRK
BiKkFJHcRfcLP5CEdUriFnLtWN1pbD6iVO3ScvIjEQPw+ir+1ZALY/pk0ueWQpJlv8Xxqxb7t5dw
7fpFqwv6XtBBgCiJO3RmAziNgVYwSapvGmQ+wnt7fByKDUC87nJRz8eaNpfSuCMHiIA5ajJIm+y3
jgYlkClvqyMSQK43xjBjfVQWAYb1pCk/2357+/cXo72KbnF8kPQ1UOLR0a3Dj/Iq6kQIkL8Gtzd/
4LVBAMcUB5hssanIG65q8leSxT2zypHgIkghKSZy72IYE2nnNDnl9CcN04ACM78qstYrevttiAuw
qBbtq9xjskG3yrswa4Lbin9t24XmgBPFrCRuBkRM3MpOVKtIX+B70t+gf7S9Fp1FjVMe79CphKxI
KwuesmtHbMHvB3OzCsIKHphVi7EREcbDXBqC3M88MoIZbcUvG++2Yl8OAO45DIEDF2hhhfrCsIZG
Uz2Z5w7MDihf16EXRWhfo25fuqn+GfX/nANhEQdXBcReFRS1nFecaGNlGLkt3ARQURlmiNGI1McP
eqoKDOiLpS56oTCI0BZdNADnuT4JcwhuHTmHoCZDh/oJbFe1maDrBFlVEYDN6hJeiOJOdYEapDkS
iJqko5yqjpp3fpbtqYo1TI+6iGX7y8ngNOMskcQkku16WUK5CtIoPNBhEBzzr4EeJ2P5hgsHj0JB
HmsdZIz2R0UeJsUtMahtTfs22ddzAH+MN3XGtm2yRQjqGvHLYD8a7f1kpACIf75tol/PHvc13CWQ
qF1Zyhq+pkaptz5oOOXow3BADegw42CjvK3KAdBHosLvItHBXwzlyuUtwk0UwYDPhdF7nntPMqqU
Wmgyc0NL/ZaShX17uJPQGm0p6WYCSchc1CBu/17YWewwcAQJlF+VDzg3+FsV7V58arbX5WmIJRRH
O4AJE9Jj1h59Jt2LbPTIn5OtpAF8LQ8/NKN+12TBE3GlZrQARQBwxlpYbcCJcG0IJelAeWBB+354
GwrDC9Xam6zc1Wn1GtoYhy9Nn43IdUyjT/X0fRgKPzTaY52jM+b2SnzxiNiIy0/hjpke6mTMWixE
gTI4jXzZ/kWik1zRf7Pil4K4A9ZaucziAYIqsNFk6SsB842MCLV8NvrOk4pN1TfOMrwfCedYvzzn
/ugIdGxUAYC9ynt9W27THiAnhUtJiZE2Xzd+EvkhV/xk1P00OUcodqiCEGh9Xf/KXNzbxVmfNZys
roLMKi7nylfjiWSekeTDps7iET3ibHi8vZPLL/JHCor+V0vuHRDNMct7BRJ17WciHVLmSCEwx0eX
yKckmwV2s3iH/y0NJZZr/UKlmhK0uQEpuSj3cdlsWRPCf/y6rdPaffNXJwDgXEvp57rDGD50mkYU
EFB4UjrzVMRPuQ01ZxFUx6pLXABcwHCMQADdodfiMgwWlZ0s47cxLxjNaPN50LXMYeazZfzACyvD
lFasvZfhuSsE52PdXv4rmm8SaUZJX4oWhdtWYzCo4NnpvJxQJ/4XA9Q48Xg+LUzplolw81pJsx6l
uVYhKS9fozAAO4dKTyrG/hWyz5Kls3sWBbgrXfDXMrnTYM5zVijoTMEccOSkZpDJmiuFRysJJP1g
VBuUpw3Ji5WP2+bzNXO0nPwLXbkNjXtL6jIFcou8d2t7V7d3ugHn7rbDMe8cWWq9MAuiMuhUJzRE
Z2R1T4Hhi9E3cL/Z/Py8Aiyi1M4BxZOV9Us3JA/xgPxH9JpJovt09TReSFq+5MLbtGOfyeMASSU4
l1kUeQTvCIZq9+31XFNoCdXVBasCVQluOUulH6VYRQdmJpWZayaAhbEo/Gihad9TpRM0c6xKMxZI
aZDnoSWYM1SQ9+VoJJEKVwJF2hgSx0ZFPZeqh1ATpRjX1s++EMXZJ2Fo0SIUoiIpr72UoAsnsxLD
Y+BVvb2EK/U7pPMvRHFraOpF1PeoLwED9dCo31X73gA8THWM2Gc6e2T+LiuvSrhV+7cyfVTA+ZUI
vmBZNt5zX3zAH1j8C1spxspoWgsf0JU/83wvW0cFtR9Lvc9j0cN57Uq6FMW77yrUGpvSEtOR5u80
el16rkujB/ANDIdFQa9lAuVWN9JerBNIfphq5SRKiSGlDei13KjQd3bT/R9p39Ujt650+4sEiEqU
XhW61WlyfhE8Y1s5U/HX3yXf7xx3c4Qm9j6G/WAMMCWSRbJYtWqt5w49WXUf/JuNcGaGi5pUM8pi
osEMosgDK7XNDBPxqPtNrghKgStziEIQcigQJUOKgKfxkWKI7vxZLk3SEZ5NNTCEcr7In9O7hEmy
qzdjZNO+bQTxxMqLCOxigE8sxBeawZegiqozojyPSkcvY+kBVWfL7VBz2FzfD4u7c96oA7S0iDpC
HhPEcJcn11yrUC5R8TDO6xcDiqPxcQK1U/BhgqIemnA2aQTou5VefXRjqEi2YGgGGkEWFzrz/7rs
JQPddKUTm5WtAkKTdb3dzRSMUDowVLpvKbMXgyg/1aWd2oEYnIaezuItm8HbFA43cTG4gTF4s0Gf
5JKA0zXbZla6SUA4UxUW+AZEAnkrJyE+GWSo2gJkQVrh8pOnccjqsULTaNG2bhUgGknsLPmZs/vr
i7HmawuPMf7poKbiA2XaF1Kc9lrpjAwYHXCIRbtweFJSvImYT7GP/zdz3KlbkmaW6byYC59LVHWJ
dZP0t1HwXAzg0vg3zwC04YCvFFSzBHhqbhbzqobSjwx1oXBwQRjVWAw9cNCAUl5i02713QwiHREX
2NrKQYEW2ZLlSDJN7jwKlU4fI3Q1O33jMuC6iuxXMT0NciOYypVDHdylf+1wB1KYW4NRE2wj3fR7
a28Y4KXUbDI7WSVSh18LqpaTFVIWIC7Ae4Obxykcm0aLYYuSu1G7k0ZHwQMaNFIdQ6LQAn2qW1Zo
AQb4UN2a/a/rTrMCwidwzoUzwbLwl8dGgJIuMfJp/OOkTP5K6w+qb5TeB2ZBBmvCjI7DUbAv1o7C
c5Oco4JHbixaA6toLDTws/UInUbBabu6gGej4s7ByFCnQe9hQqqjI5oVN1JYb/omPulp9tpHk6Bj
bC0iP59FvmSjGND3MhlmkdbDzya6pZmMImN4ixzYvlK7Ryk0NxYSlUx7g9SYLVjDxR35U/9sQnk2
UKu02FRZGG3U7tLaq5PRHqoHqfsZhC9mdCyrR2J6jfpUaYKYct15/86zxW2UWFKUYjJhuakTFzLp
9swiIDGT28Yon9Eyu5mGh0mNtlLYuynQu+oLAaRWMPxl118bPpcLSVVjKocKk5/WP7PgvqsHl1kO
AJd9jQbPHYCpRH1tRZXe1bPIQBMJjiIZXASci01TKI+FBqtonyrYI23vgmGTFAJHXrtDAH74jxVe
TCpNgq6UdFjRNdzp6FHpNjPxFf1DQbv4IEhirkQPSAosCBaweKJXhRtSTKcCqjQ4iizzWSpSYAtf
Jkt6bOQCSGPjmOiKDeySoIggMMo/1VGMJdLAYLQv3bJ/1oNDggdlBEiUfKQhAMOFwF+WA5VzF4iF
gYhNAQswIkHuEjHAYRoqDSKWnNxXIBdSmt0k5JNd8Y4LI9zG0HMjD5gKI/N4x/BKzyynnhCDiaS+
RIPhfD+WQARMq8WO+Rmh8tNOAYig7Os7bOU0NWQQri9vVAvs8pxfFDWIwlPwiTp65mjZi1V65uxN
wIMllWhxVucNTfa43pFMwcv4MjazFAgAlDJMVcHt3P+qh0caPursn78CMKC/VpYb6ixonVNUlDIJ
ViSKRCk0DUzPCLy6ew/V2hkCgcOt3bEGOFnQtAyeX1Xm91VjoqSkLOZoftuEn4Na24PyYgB0M/tk
8IZuK4n8Ym3JlpoAms6gDPyNC0Yv0WCRLcFgpjM3DpltQWE7vGnMY63FgvGt7WCKUxAIaYRk3wjV
TMgpK4EJWyVUDsp0Z5HnqHwzx9HW2dcMHD5O4OsOueYlcA/QViFgAh6cc8ipNrIwGWARKki2xEAX
p4VHMgcuKOX/N1P8+x41hxRkuYspCXXVMfUl5VXVZ3suTVEdY31UeEJZaEBBTXBZ0zOvbEMlqMZQ
h14na7KfRRCWn2ZFpLdBaavHliqB7k1lFh4GPcqO2TzTozEpOduC4CvatUEDDjjZ6ql63xc5ATB/
juoebYZ5L4jfVu4kMEOBDwOKnOgu52e/0iFp1UH/GREqhLOUjdHe6SClz1LQGpeRPTTv11d7zZfB
RmOpYKGA2/JBRmiAyLlqYS9itZ2i5cV6HxGOG/KdGUcCX14dG8q+IA9G1vpbcUPSmrJTl7HNdUNe
RyUCcoxWpyasZncAQCbNyhikdPTj+hDXjgiKKjr4MKGLtADHLtc+qCAvBeqdyqnKd0U7KVbm6sZ9
pdwrCsQbx32reajfXTe6MtYLm4s/nvmbRuem19DDDL10VAihmZ5PP5aEnQ42EYYuG4ba93WLa6W6
C5Oci4/TEI4UHbHAQ3tyuSm1bT6j/wZoBepXhNlxtbPCkwboAgQ6q/vKern+AetDtvBeBZIGETt/
cIBHJeuzrkIt4lSVbsseTIYi1uyhcFsAn37d2lpyBCSTKMyiLrtACrjbLMpU4KuSsHJ0aLW/mIU8
PdBQI49zPCrEUfuMvQ+GmvqKluu/a72zflhj1Htt30Eca0Qlb6cVrf6GcxzfZrDcfDCTVIewZakN
g2vUfRR5TW+kr3oEDtDcUFs3kUClGc4qsliEQARLMKS1iB8r+N8Z5MO1FJyTVUDgqImMhizFL60b
9Kl2tSPlEM0ecyT+XyrZRykrN35Cyltkf6X6eGGfi95K2bRyM8QKhvMOnDta/AoEfSg7U/wcqf6o
v1VhIrC5EmNdmFQu98kQI/pXFqdRlPuo/yXPkIz6fd1TVq7QCxOco1R9n82jjFmNIsj2AJ8hk42O
8qqV+/kM3W44q3fd4sqhCjQ1VGdUE+kHNKdfDkoaiDXM6lw5s7WfTFeGqI3VfMbBlgrXbM0UsikQ
mwRzE0h/uU1nNbkWTOEAVT7pAwop+gyURgr8fW6DRt+5PqyVOxR8zuCmQ5S68Fpyw9IYOkuVdgSx
a46KX3FEpO8lyVcvkl9dO7DBeoOXGY5rhD28qDfpZSPoM1I5WqdTZKKo1mW2lmkQ2m2hnYfuSRnd
lKMlF0dDMtng5kk3ZC6UkXNBCnZ1es++ZDnzzo7xNmOa3KvoyYuj8b6dv8r4jaHmOKWousyV4H5c
nV/AzMCZbWjgIuXmF+KLYZN0GHY2Az8dUElzDVK8lRZ9k0DSL1jNtZ1HQPWjANOCvDY/yX0YBWYx
JdgWoGosw/KYFSoalkRscCsziPGQpTdkuRn4R4esySYD82SFeiqmLECTwSPqp1b6qQ73191zbZ+D
BkKFrOsfRTZun4PVLyq1GLzDZg3yiRd0HNhyu2/AaSuN27yMdjj9r1tcS03hEQBqdchZQb3P4Haf
KTVNVRNI3enybzndIlq3SQcIfO70Y7pJrfeyfAnVl0REd7PSuI45/WuYcpiGsepSmakwrEk9iD3c
GS2xiXWnBz+UrLfrATTPe6ve6qCOhGIyiCPpWxy+z+VNK3La1bDj/FM4rx3ZlPedgU+RJIgdYF8O
BBip3NXlHwmFOmzjK/kRwokF5BMlqGw4AZp1rq/DmisjpQL5PdQcUP7hPoGqgRpCxB6/2rS8BARA
oLaWy/frRtZOJbzEsGUgmYOIkReVVyhT8sCAlR6FFoiGKD+CHE3BcORmk0z7JkGvFRWxn393aoCT
VZzwKDghG8ZThWs0J/EgQ4dSn8AaGURgvW29JNOOkhHuLd30dPAbloMoK/F9Ri/NapfnXp8q+gjA
KxQDGtVuGZrACfVyY3d9SkWDW77i7HRVoWcY9ovIZpM5JoYxPkNuRVXfpuBHlh4CwMqu2/t+wF6O
avn5mT25NNI6oos9zYvQ4BsBSvaKuPFfWMGJukgFohrJL1mRRXI+McgdFepRHrd66A4dNLzfrltZ
qc5jMGdmuCWaZtzV+WJGO81v8Dv1E6J90k28Z6/Gjt1XD0Zok1+S4I5aOfJgFipEQEHThXJnOe/P
5jAOKV7LyxzGkNzUwIu4b35Tw6XKLVLwNHPH/sck4in7fodc2uRu4ZC1Kp0q2ETvWJr8HvXOHqZX
K7lhQgTe90eMYpmou8kqXsOmzlMKlRGjedNq2G/mqSlOXXRqtFtWvajzfa8J5nLNHc9tccPqFGme
uhK2NEgFgvmiClytBBZuEGwz0ZiWbXi+ZESLSwNaktAmBP/yaNp1+TMGNwSow5ABVh2jMwUXo2Bk
/ENmHsKubsJlFqvbMvxF++cYFWlLRMm25hc4kKFYCY0DCMJyvtgUmTxIFFLjOtIzZnZjDPsZ2OCA
HZRqe327rR2I56a4tRq1bCw7A6bSBDImP2S608Nf/5sJbpmKstJq6FhCxIegThnfSdVXPYb/4gg8
GwcfOFitluYBWXwu7jQPcp8NuMDROhQHpnFLrEAWRJmrvoc2DguE51AV4yMkg1Vmg/ZT2BuVlxnv
dWc2RrcZpoOcFQjk1VdEjgKbq96nyXh4ocyCNBoXDlhaRMJmCCDhDLqMdLlI0B8euZn2eH3B1u2A
fE8FSAopO27BQqAC0L9BIXlYDOjcdZIJ1R0pdCqRrvfyiy6rKjiUwHuPJDBqYYTv5Y7R6Ni2Myax
7n+01QGxKJKB2xH8fo2rFh4ZBc6+uq/O7C0DPzsw8qoIB2WEPWX2y8FWFTdk75ScikqQJVvhHcHI
4BugPNENwA75HazEA052TOFwsm6QJyKvqV+B7rzZZ8/EaSU7BFF04AW/rM5PP6XN9QVcvczOzXO7
Wm2jVrYW8/2mvMEbs4aWyGd2kLax2/qRCETy3V+QhYSM1VIcQy8BD+dRcolkDD2BDhSKW+oN7BTM
7qTsrg9q1Qry95DqwrRS/pWea6muTHPWOqDeHvWjET43oyuJkn3fezkR3aBgCcYYFTif72WCgcxj
3oNQadpLdgzeFslut+Sg3ih7a8NCdD63qi1vEjB/7OkudsH6dIhdEX3Md0/FVwAeDNVivPvQJHHp
qVDiTZCOx+/OGjeaXQk9kBVAsneVKJ/7/fy/NMRticEMIwXAp9YZ1S90LuU9ur8+ry/cn4+93OaX
NrjNYPR4KkspBiPfs2PtGDtzo257TGvsML/bhNvIqTzwLNmIEdzE03fy1vSQzxbEryuRJXiMIIwM
Og8oASC5ejmp2jQHgwwVcid8ab4Mj3T2fIuWfbC9Ua/wIbx9IvtJRE62vM75wZ8b5bZirFtjrCxG
2dcEknyKluTmGNvart1IH83N5F+f7LX1PDfHnd3ETOVI6mEumY5QxTWWVnZBeCeaRz4K6ipFqdsZ
Nl6qnXmidn4v2QScSsdXax8/shM5CTIggkHx7+DR6lKmLAaVaZfoO1XeSqLI7vtVdOEbunLpG1Ne
0iDIYII+qq8IH12wHD6Juer+lP6uuAOf3R9lKHl207I+uwaybUfwrJFNttGesBe8cjdtOv/Z9ECA
ts3sIN6YghBC+R63XI6Te12FRghA8OKOA6i2o6N2wzbJOyQE9uwwPvQ+wx6k2IvyLt7d/B7vlFvF
BRTzM4CjihDfwrngDjk0IyRqwPAt4UvnqW50TDZAJxcby0uPyWf7Vr1I2+TmMToNTrIVvb1WUk2X
M8GdfJY+6Xq6rMS0N7xga2a2dZg84hP71xHqUV8QKb03fUuweZb55defogEKtwvgMpBKu/SzSqqh
EkhAn0RjeZux/NCEpQCosLZbzk1wJ06oQvJ7nmACCpN+VYU+AB/AKYgYz9euKFxOMtgkUFYnvCdT
NWOsZIhGEzX/hdoRGiRzOp7KSH+IwELhgUNfRLm9tkmhd4yCLjVMaAtwh5s2oVURgHY8+AjQMeHN
bBnbvveieRdFKqgJ7TwVnDxrQceZRZ7kO6jRpdj1y/MICc+y9kBs+dEXwXE2epGw6trORN5jqeKb
i1oN5xlKZ6ZxsLwogAk5pCF7MPIUbI218TQOwUMn925pTM/Xb4vVTXBulPOVVq7R4iEjUKThfNdX
qA/m5peZzI5FPyZKHehRgWoRe6OcpHujbG+oJW9l+ixngWtp/b7Q6aZKQ8FNverBZ1PBrXNdxG0Q
5PgqwuZN0DU3IwpBZVQLRr8644ixwNyh4knFB+maGXedOWKj5OOHwTRbQ3+4nDjACMyj31LJvj7Z
qxtmKZuB0QJPA76TjsnAWicmRpXl70wtNiap7/P5d9GrB1TyBQf96tjOjHH3WW0ZIQV3fOME0E0z
i9RP251sOUZ0aNmOmCIIxOqKnZlboqCzl1UTNrHeNJjKOQggZjkgWy07YywJcH+iUXG3VwfVWqkP
sEdGiKhI6o8odiX5B0lee/NARfJ6q3v/bEzLmM/G1I9WY8UtprAEhwqCOLdmP8Ox2GVgtb3uGSJL
3FXUSkUTy8s72Ch+l6nXgcA8bZ8K85/XE/CYwMlCQBuFZhGNWyUFVUmaEAvvbVWzLSrfsBEU2G3q
Xx/O6h13ZoZbpRq7DRpsuBkqlsouFOeIDwyH6l23su4LfwfDLU8Ra3JrdhiM0R5NmW5U+tYPu4pt
DcmpzffrxtZXaGllXPgkVH7v6mMxW4EE/0YfkCN1eCUZra3W1I6Kf95thEUCJM7ExYqqD5/8q42R
qIGB2VNiNLsYD2r9SkcJ2DGIXxOHiO7UtVMJyVqUZRdtU0AOL728UGd06UR4vBeNbqfNTQMGAFDn
Tv1bI0J+r00igLIqxFiACEUXCGdKQ+ALLXjkCUKi+30TIrpUknhbVPodsHns6fqarbnhglMANg7t
xJQnOOiLstRyFi6lusTLlfAGbROb6yZWJg/QZwxGASxC+5aoLfWwMeckBvGzdB/3pwQcjLRyDaSe
TRGhz0pOB2VmHZkWA8ky7GJuoZoSN1kJQk4nStDWMX9ZleSSvrKreNrESEFTFY1Q8jChgDE/FHoi
2G7Kn/QiF7oS4EINIA0pGpT4Mn5SmvkEpbUWjYrxAGbHJHqn4ZR6hA3ybGdKmj5BjW3wZDUsd1Ks
5l+sNA2nR3vZI/B/8hO64+ebcILgbFpIbGMmsY5MjikdB7XpbzpGhsImegmPqNS0/hrNvH1Ls1F1
9JZUbwo65SJoB1YSyqHl+ClDGPShrU1602RWAKB7HvmkD8dfcWfkKpo2qQbxoqAHHcssG7+NkYFj
Rs0iZVfNo+QN4ZztZjmiOYD/KRDkWholxzpoJzTtWF0t22CVVSZ3GkHk68qSVgx2apSWskW7pVbZ
wZxrkZeQSgXlpUxbvCOGCLJeoK/w8JTsf/fdaLV2RJMIRFxJZ6lOAO6F3UTU8ZAQKT+2WT48melc
vbRS/YyOqTuY6v2xLGgELfF5Bts2tQA5j5R8obBR1E3cD9lHR5npzKTKHjoUSKHpbJHYmRTA0YuR
lIZjlnFTeZqRDtAgyGVjq+mZ6hmJnOxIViheRpCkM9SR7rFpJK/oG9BCN3291/ve3E2WovQoOoyR
x3qpY19p0JFwD2Bw5uCrK3PfQGm89Gqtoep+iEYFWiZlbtnqiAYoJ88a0B4wdaoetSZOELemuKOD
yHjJqwbwQMmyNmMflKldU6OzTa2VP8YpQZ2vQ2u/4WpWOLYOSYJkA101oDjqqg8fu7ll5mOWjR3U
6PRCeYWMZO5XGjryHGPOU9BXkumnTEPozTekqrxcSvtnkJhYikuKwCi3c63BpgIu6ldNSmtzr4W1
9YSgO/cn1rVKYIc62F6qUa8GG9gSw/QL0rHjqFS02LcoLWjgB1Fkr6jlqLRLywx0Wy3Y1NtlYdHZ
7uIK2R11KPtNVxTaS5yHaQCSnqLYS7ks+1WQNv5YE90xmxlk6iCY1VCCThUK/dAweNJ7lbg98Fyn
TmXjJsJ5vW+jovYDiVlHyErGCmyHKegBZBb6LBuSBzR4zTt1QDHVnkeIZ5UBeiQ1sNHbDbhagUvQ
9SF0q4z2u75J0W88xiNxoeJLfqtxD8xb28cIonoFJOVGOAZHVZKyR5mWwy9r7mJvsub0fhpK5odh
Mz6RLEuwAxNzPqRFErh5qKv3dUskEBciB26rGPNGr/tUtmcpbD7QEheDMDivwnclSVDHquLKHO6C
osj3TZBJqG3JLLvXhtZ6ZEod3uVqMb0PUzvRjZyq1nYelKDwZyq1x4hkFNe8HodezlLjvq8yuXMH
U8rIkclZ9aBLoDtXJCP5XeoIEe1htlAC1LR28Myw6CzbSM0eSkVDkYGRv2Z7Y6aTq+d54qXQD5wE
x+V3clDUZ/AHr1XAZ2Tggi8vu8GiuW62OY6FrpBdaUaz3Ahu/jJykNbd4G5/1utfWtZAeRsHZ2en
+88pLN2iPOny+Hn9miJLtM8f3ecfw0VkrSxXLfRXcfNmkKzsn/IidxP6MY4qxFDD32X9VYf6MQoQ
dIIvMYaQnuADltLUtQ/gLq+MSJlZjEvyfkj2SdG5XV24oLR2gPMDSQrxNUjFG1nk5ijlAqb3+q/s
L5mKpSsKGO3L1ZCkOlGohbvLaD7TSHOjNtqoRftRkZ9zOMe2hRo1M8rQzaoI/xkFochK5AMiw6XY
ry+vPz6dr1EctxmtYZ7V0KDsPrFV9n2xL1CtFoz0O9YVfndmavmUs1dLKaGPmnUNZGGr2o0tT05q
D7lNuwHctX8x4u0Y7TtFEPGvxOIETJB4Q4MrAr3k3PSmcqYFKOUhiMQVqM/DC1jF/HmWgQ8tqFM1
6YM0/bg+0LXQS0EzNhImKJSo2uJxZ+OMQkmasw4m4xayN1oNLcsIUK1dkDlMxNewEkkSsNEgrw4K
AAr1oktbfRG1WgXNBidSv8Cmb1PmXh/Mmn+cG1jm92wwOAaVujRhoGN17ISSlt8UQ/CWJSk4yIqs
Fphbdhu/G8EbvMAJ/9TruOXS9AS3tz5jufrHZniJktfQEHS3rk7ZXxO8qms0SVMlDTAxqqNrjK3b
NtvrcyYYBB/eF8GsDYYCC13zCZn4jj7/i/o0utSXtn9UN1Gi5ulP1BkccKC3xwsijnLbBElBWYOu
kZC3QqmOfcTu5whs6/UgQjOs7Sd1QR2DnUxXwIN06Q+pmk0Q5lZap2+JHeSfcu4hXJOi2Wuzp1FE
ybh6PeCeAtB6ecqgo/vSnJSPk6QwFOiMj8JlaNi8bV7JDaKoXfmzZvYkyOKseTsAjRaIjwCExo66
NAdSrq5Vl6sxJU/g0sjmT4keRtFJuGYFtB1EheavgWOfs9JFeNbKKvwjKW5byBVA+7tWEUL8c/Cd
CpLJv3a4vatXFhviVMZo0Mkml9Rv5wyKsJOTFbIAVrC2qQxdNqFjvOxcHnQySg1ILSO4BcKNY2bO
xykVneRruwpNLrinlqQAns2XazP1soZQAa4gdTS0e6Ogbj3GAcR8UXa/voH/PBj5Y+gPfhoZaKoB
ec/ZspRa0qE545Te+IY3j5F7B7atPc2ZD9UmdozHYAOhlGfU3u2ptJt98c8rJf8fwP1/H8D5/QDd
oyyjywdkrR2P+6L4BQKg66NcS7GfGUGH2OUoraFGbWSGEclH2F97p9xjn60TbLONsSu/gqf2bnht
PkSE0CtNNyDYAK4KDPFAZuh8dhuNTF1TSKhvtY39Mfs0t+OPiDjh7hFvW8XPU0cIO1mc4/uC/jXJ
LagazpCCDzBU2el3xA8717jr0UbqEUd6N3ztIdkrN9Kd7Iuqt6vRtgHEzcIYBxJ1vhil6NUUqSyA
BNh2PCrPSJQlbrwNfGAKtooNsEb82GyHw8v1tV3dj2dWl5+fXdsTyTqosUtYWsipQQ4+UARtGosD
fp/Qv8PiwubZ7PE2DmGgORZgwzwkv4uXeIO6Gvl5fSSrV8D5BC6n6dlQisJo01jDBOZQMLthb8Ux
9iSAKjf61gLbdvp63d7qMXM2c9wxE0Zh3LMJ5kIA9cBvYmv1YGciboIVDP+yB/7OH+eQeB9XlPQw
w9z8BlpnTu29QfxR3gWP8uZH68eCYa1g6S8NcieKZkBTsKcwqH4BzJufZtlRBrt7a5/QKaA+XZ/E
VWsLmQ6qhYCayX+wTGeLBgliktAa7jFlLntrt9Ce+EVP5q2+10X+sXabotsFs7kE+HjEXPpHm7S1
NUOvxgEf0YP62LtAObJj8mbuogdN87qDuWE/kq0luCNWN/a5Xc4v4wKtjiGqoQ75Sr3opXDj0UZS
YXwANlt3lBvtI5FseRudRBIpq76DLkywYyP1Bmk/zkWNOK6jMjUQX4KP2G+LFCl5nU2QEIwSaQd9
AQx/rlHuqlQ9x7lqasnjXMvtczmAfifIyeiX6lycqgZUC971lV8OFv5cOP82zq/ZbDZoHsMt3RQ9
uCPHXSkNm+sm1p0LMM/l2UMXNOPlitfQj1QHE50u6awh/ac+kvp9UCI/BY9jVQBZAG3tSr7v9UiQ
rVgf3H8N87w4cHezjSdMfJCQDURANgURcdStu9XfwfHsN5GBzN+UYXCg2jmSny3SL7gm5WczssNf
R+k0/8h+QyhCVAJeO8+RO//PnPJd6WwuIwJCwxaasPILqxQ/DNrtTIF/oxqUd+sQPV7GXVtp79cX
c+24PbfLJaOgHwbUj4wpzaW7OvuspT2tnq+bWD0goMKJpxI4hkEld+ku4PsYTRpgRkGMR5G/1G8N
YMnlt+tWVn3jzArn+F0saWk5LesW/zSrXSeCw69GTShdgu8SaFbU3zivh17vIMchoib1FoNw6tqm
N/Jd7Rpf9cbadf4oqr+tjghPTMT1yJ9g6i7nbTYKhOElboxeeZGGYyoL9vHq0htobQWKVAPRBrf0
DfoI6KhgQF0DEkioDE71fT/Lggr2uhVK0UmNNx1SaZejGIYIJ+GAUUztQzl49XTXpIJX46oJlL3w
LlkU2XgHC4nJejbgsqunP2/xmwB9QcnQ/hs/PjPDeZg55/i9yw1eJztdS+088DXjRc4FT4/V7XJm
hpswK5ORml/u02ny8+qY0l0nge1KkHddPvbbPfHXisa9PaARVcxZCCsKdebkKDcfGXUtsjNHDzp6
17fm+oWJZyNoHS3cm+aygGfRiJTpvTbUEXO6H2bn1b037s3CVrfZPnZNr4dMfO/2haMKzrb1LXtm
d5nqM7ukaBJiNIvd/bClt9ID3nOnsnPYiXnMYe+df32gq0uHJir8AVAcjQuX9jS5M0a1jSGUSI7x
rDt6ku6S5mcqVSLmi7W0PRg5/2OJXz4d5R0T9zCWb3K6amMaB716JdNrVOzSArpm5Y4l9zkY3EMR
nmf9gjwzzR1LakMGCvk25lhfKIhar9EjechPYGsp/NFBYTGVHHDUH0pXpgI/WvXZM8vLpJwtZ4/a
RMiKFEKDkVMODzk7qt3L2EEM9zjWok6rNSwzupzRmA7MhQmkA+e0chK1Q1NjnC1125O8B6HsuAdR
1R3dVj5Kjie1svNbIRR9mb5vGxMNvdaiHoekOedDalnUqT7DZ5nbv+Lst4PHcPcenSx/vrvurSuS
F4uezX9N8U6UDKYVBjNGWL11nrGtb/TP9Fd5mm7Hxp422ka/SzfyR/ge2cJ8wHK3XBkln6MHn6Ja
dssoe5fYlp1vswO9Kfz358ApD0LHWffZs5FyngPNP5Y1fyZ1Y9nEv+ud+ARFDUd9yOzQocfslH+K
QMxLWHNtiNz1msm41Qt0V6Lj9rYB5b981wxQiwTqybu+josjfjeETCaaUMENy3MB432c5EmAZYxB
89NqxB6szz7aXTeyGows6dL/M8IdpanRsM5KcOBIemCT8QFVyusG1qZrwTYRBUgjtM1xx0pa9TmY
WLC5Z1Rr2BQ5c5idyhGKiVW7LWgjqEKsHdXn5jiPCJmKNr0K5roEsi5auOmak1RtclFr9GqS79wQ
5wZKMyZhrGDixo26S6Dl6uv26I6HAaKFB0AI9Y/uIPmQR70XiV0KTS9renZeQqQnQ0YdprWt/gWM
AGiZ3NSzPO22qRzrXttk23A3e4FXiF4zosXkz06zYWqXY3Yt80ce7TP6NGUAP/hdsrnuNWu+fz67
nFta3aAPjMGQDhAmhM3LaKtAX+m6kdWrAMwsiyYb8B3fO8DbvAPnyhL5FV4olcDAHMLstdF2WWB3
yUGOHkAgBpaYWDsmylMK4ZxIkO5bm9DzL+BiTzkYIjosWUyW32bTIxAENrAsKLraVhILhrs2p4Dy
YKcvhR9wsFy6DYVy9myOCA3j6VaRftb5RhWVTUUmOM+UmrZXpMXEVJL7IkECzAg2rBcRvqwi486H
wvlhCuq6qitgh1lbK/vRSV6jeGH5W9VPwFm70eTk1u0oUtRYiVPgJhAhhgjinwv2cgJnMILjrQKr
pKltQj77rrXz3AZT1xgAhNcJ9sDKUXZhjjvK+jIG+obg+QMyHaAlaxcNgn6PRlk87pzrO2HlFrgw
xbnGjNeiORjLS6vPvYal+7A1vOsmRKPhXKPpJapODCb6/HYmrxN5NOfH4l88GTEQY6HtR60bkOfL
JaoHyECUS0AwDo8A4ejxrmCCZVlLk53b4DtECJgkC1bhXp7MzEWXtGuFuY2+0ndGS1sJa4/Fswvu
Nr+Op/vrk7j24rqwzd2mE3j+LH2AbVl7SypvSPeQLivjF6gdtdFzqPtMfZzq3VC5mnyvigRlV06r
C+ucR6ZqpGn1iNnNQ82J5J8N+OPTKLSDUn4pKxEnkcga75RWFmXp8urqrDui/tJ6CGYUvS3nB4A5
BfO6fDkXayHnidBNQ4O/hmbjS79Rk0rpzQAj0yeEyzXU71DaHVh4VwP/Bp6B97IA1pSRB1S7bk0N
yt3p2/VPWDk6L76AuwnK3JQskmK0ydiDOdccCABuDQHfe627102tTuzZYLlNYqhy3skFBtvF+iGS
wk2l6XvV6u1UyZwo/3nd2vrAAD7BDauiLZhbRjmcI+gQYWB6vdOgXV0CtLi9bmJ9QH9NcGdLFvd1
II0wQYALHaldpdBTKo5pv03Sl+um1ncgSBr/M5xluGfBF1EiEAoQBF/THoWz4EQ27cn8iUrMXZHZ
+l7zs3vRrbpCEIlLZ4FhQ4sEhDXfaCDImJI+hk321HmJC4J40GBC59WOHZR5IQKeu6OXbyo72hs3
+MERvntQ7yAqKBj84hnft8nfD+EOgDqFWw4ZPkS/zZyX9AC2l9xwFOaaR8DSncn/ATWO2paeimd1
FwlC+9Xr92wWeEcC4jdudKzylPngsJbVAyh9NcWLobtu1KKhrrvt36FyPlWOTQqu/GXON5ULcoPt
Wzs6vZ+41gN5YB7UX6atiCx+3blMMPaA4RXAe75IgdmtB0X+f5x9yXbcOpbtr+S6c+ZjB5KoVVkD
RkgK0s2V5f5OuHxtmSQINiAaNl//djizMhWwlVGJgQe2rBMIEKfhwT57c6QviElIDFWNyRkPveds
M684kTnBQF6Y1DdJWx94EOYjZE80+YpZhSvvhb90qScrsZ500wSr3M35PQqTcgu4VgfwWmFKej4u
13S0fkGdgeP95LOsBwtJmG4KNnzruBxevsKtjLln9+qUvMOLVJcnZy3vW/3NO75hmNv99yf62te0
nrIfLlQlDT7aS4FaSDBto7rjPOucmcdmcaAlvfymVvCY2NBmZMLHbd7HFeT1WhRzeuor8FvF72hy
D0qNvBVXvuMvK68sgsYeqMWznzhXvD1M9DjjQyvd5Rva9VkyvQGzRHBV1/KXPvPkk84reRIbCRHg
m4rxSTUunlrQV2AUw0+vhIFffwhYViC8kmEoxcpebSZVR/xeHRaFUjibbpnMbhv/mprwr3ftnx9j
V3kdxAH3LsXHrPyWecehuu/kcaFXrjiufYpVz2XgpmtWPmDHuhPZvit6z4ZjTf9zJvTzufvXl7G8
OcNEwxaAsuWAMkcVvmy/emYQH4eOPQYmav5+4P7f1/W/6sfx/u8JQf7Pf+PvX8dpm9u6UdZf/+f3
6XH4yz3/8vVR/vf5F//5Hy9/7X/uHsfXX/qf/9PF78D4Pz78+EV9ufjLzaBatb3Rj/P28Cg1Vz/s
Y5nn//l//eFfHn9YebdNj3/77euoB3W2Vrfj8Ns/flR8+9tvmPh6ElzO9v/xw/MX+NtvH9pHNXzp
f/qNxy9S/e03zFH9FRwk5+s4griOK5Pf/rI8/v0n4V8xSwIkNaYGzgSciFHDOKsGnxj9FVhGzM6B
AeosQZHiuclRn3+U/TXGv2Gi8/w2DzJ9P/ztf7/5xQP61wP7y6D7+7EdlPzbb+cw96+87kGsEYUv
uuHWbREY/7Zx5+OKJngCae4v3hadnuzBPz7p/2DZht+vbRJg3oUvZaOWr1HXffVE/R9hI/+5aGJV
yhNbobHqDSsUnDGF04rgoQN7/cFt3eeE8SSEndWP+MrZUqakQVU1oi3TVdGtm/FzNHhqfPJQQKGA
LEmqX9IARFs7R9ntZvwcN58YzxIJxUuNlWcjmi4Rhn9uRkqvKW88c1KIlSjXATIlIpSmHAGiyFlG
ee5v4bWboOesWxVA3TZMZXiIpahxi5hMc/WCdttydNsZK/pt1dYm1Z7ossumEsJxNw1NrzzRy9r0
X2fRit9L15q16jZT8nD0w5MBjwHgHSHrxBdl9n096K0KGeZdjPciHmLM2Tl9JfueJYT2Q6jmSpXr
jF6hOWuBcb257Zd9f5TwKuBbFWNgyrTtfd/34tVM4iuZ75lHbd+DTZ3OSBsOuuxT+qqa/bHsunq9
co/6nHErNGQEI2KJ9hUG8Fb6wHij33neNR3zZ4zbJEgr5n7XAZrI5dAujw0ZjsEov7k9TqumCcN+
4rKPdIlhV1q9IfvAizbc6+VKu/mZpceWB2COYWY9bXQZCV/dUTWKu0BjqNFt9dauUxzElKkJG6O8
VzJIbuRq3rmZtsJxoAM9YN5blyJNtwRkZfNwH+/KOO6LFZClB4iOFkKXup7Yg8+z+LRhutxxX6yI
XPNYNb43YvFiprkcEgybVfsbt505P+on4X6a9jrZayx9hiKKOG5VMP0JiFP35d+bP+/ALyoDu2uD
WwmaTD4CTIixqyj3+FKVOur7B7HTTR4r0vpX3jifOZs2ygf8WFEqiUS0YQ17EUD+Ard17NrMxnPW
rSfcZmpP6iVS5TBVbXsnWNv+vrbp7pgXbbnpZcuqBcOWsC9xBaFZihFuob/++4fw3OKtZ8w9mnYa
rzrlFCX0s+cF26dpD66NzTxn3Uq6ihrWbh0e8dRofcBoxHJoB3EFjHD5gv3PxBhZESfkYpsWMCyX
bCbLd8FJ+GKY9vTe20TIDr2utu4W47rEbadC6+P8Jpy3flZzKTz6KuJS5Xrm752egs2CENd13WBy
GESeTNwm1XrcxHp0M23V34rJMO68dS73QX7EvNaNp+SV1+Vnnq4tvzRO07hELVatmuBVr/gdm+OT
06p/4E+ehB7STN1WkUCVkPD+tnTby9Bb3FZtdzqXZBIyi5FKfFMXzdp8X3dG3cKx/UY/t2E9qAVl
Dc/QHaXZuzic3jrtiN2TWKAzP0+Q9iypAaedb4qtr+/cTFvJFVxWA2zXKF5xsZX32vtM5m1x25LQ
Sq8NyCbM5CM6KrA2vNqDbr0bl3D66LZ0K/bqoOKrYrUs6Xy3occVjt3BzbKVWUnIVqhGhHPpMUhG
S0hDt6mjS5796cnhHoI0CpvBw+gZT3/Xa/t+zALHR2kF3BXNAY9NO1atADYAT8e7ZhWObwQ/QCNP
1o0R8M7TvJ3LoCMHdGzyenTckh8orCemQTVT7UEyzGWdjl9ooB4Ebx1rpB8QjSe2wRCyemM9zeXa
xCASHjtxpxvd3Tidkx/99qfWwzBpMMw4lxERhzjoj5pdG598Lr5aD9Ngknfuh24uyYSJyQRcZOAE
+e62bCubQU+bKzB141lG0R/NNr5h43zrZtp6YR2XCtIRWT2XoHTNq/oRnGBuseTHtfnTvQY8WGbn
vW68PR+jr2gWuD1Fm0Uqk2k91BOSezrU3xqNvnm0XKMsfuYx+lZ43ZYVQkXROJfhCmY0yEE9gvjF
LUrZ80RZXKet4EyW6RbeqTS46bhxCyW+FVoTOQXoKPK5HBf/3szJp6pvrwEdzzZ+Ufrb/GBT5gUr
hujQW9Cj8HFHAcnGA+W9eOz7kPTHmGWz0/t6eu5vPg22WdfrlNVkLmla4+LF5+AKUk21Jo5PwArm
ECruVz+AfbOtr4gM/0CL/MHJkWy2F1p327RiSK6UU7KBQGQEq7QHkKabdWtjajn6alUBUgUdiiST
v29GurVPbWI7sOTEjPZIcPuG2aesX840rpCtc1u4VdGObN37tfJEuQXbTd1AzKXiTmEAQlWXh6UH
DhjELUhDU+pzaKbFM/Smww8u607tyXQUQlomGnER0PyDXN+iyDq6WbZqLEl3r6OgyyznKcJdLsnH
9Mpkya9jF1iHLjek9o2XrUGFvU5ArKWS9N3IwQT175d9LqV+jgK4Y7g0ftaKq5N1kWUViE7l6RQJ
+jAkAxk/VNCye//vP+WZr2DrCy4j1C1WJUWZ9Tvg4i3ie2KuXbs+Y5ye//1JRqKzUGnCsPNsrU9d
og4iuyba/JxpK/uHDUeFn1JRMiPA4TWcDIpQpy2xJwY7iaCrwkyUvvwm/TlnzPGIW6kfdKPSH3es
OZY99J27E/jLrmFMn9sPy+1jzUDSNqbY6qFJQQdb+XnH3OrPn+TKBqiYjrJFjZianZ0EhgGP28hC
p1SKmZDLU6JpS6uYYr8zEBdxHeXd3rk9SptFyAvNujQjdnzN2K0WHkaZK6euWZpZvo/NVSB+he+r
gdwpHr0M8J7ldADtqa5ORsmyAlFTZmtyZPIt9RPH/TifnicOGUBMKW0Etlou4XHKstuBeU55J81s
h0yjOvJb7EfUbweMFwB3cK0eeuZsZ1Yu9jXCHSa+Ral5B+wtYmEdOK7ackkRD7xTGw5IhNygQ/5y
+w8HPP63AYdhucu9btkiBpZEovR2Fj7Ekd7yOWLXJFqe2RN7+jPA5RwUBmPEkoixPJjTd5Je6wGd
E+MvMk9qOWS6ymavNbqeqeGJuI01Loo2UOROebym9JvZt209rH7cX5MKfO7LWBl63qum00MPX0qC
4xLLP6FczK+k0eds235aiU2M2zKX3byzmx2yjvmO6UW32GXr8AgdeMmctaJcVsARM1Hwq7K8zy38
/O9PfHVjAThhY5ge9frGH8K3tE2uKKU8Z9ry1X5uaaC7APu9izIBrUTVXxtEe860fern2Cce7UQZ
7Cw+0BaYnbSPrgFon7Fuj4rPQSqqqJ/Am7pX6WFNyZb7zK3RB7mDyw2P9b6uaYNTOMqshCDzlCcr
pgucYrpNMY2X/S40O1Io5VpB4MOf5wCTE+N4jXD8ua2xzrnutzBmPQo5vLocRAuZzTFyXLtViXqV
TBNQLgvEgw6zK929EsYtiybnb/PkkFd6YvVGmcC2iBdsnY+4ELxx23HrkEPXmS5M4SRKzz+Cm/+2
Hvo3bqathLR6wRzWfj+XC5Ecc3R8GvOJh8NXN/NWUmIAY5CKb4BK9G3wAJgipBH2jDy6Wbc8NAsr
2jdMoCZi4SObm09elrn1QMECfvk4t12B5SPgouxk9SXx5teyBYOf07pt1FHbcG9cCE4hn+lj0AlA
6fR/xgzxz1xtE3f5Z9XhOMEDHT2/Cm/oSqftuEIiwridGGJ5p1DZMkCcBRvT0jAPTH9nJHM7LvY8
deuBujAY4UOJXF6DS6GIReKEFQFl2+XzHCPBayggosrwwo8zyUptrpXm5yPxiyLDHoZroi7xqmnG
WznfJHkTCCXYbRaB6B93LAEozESzkw/MqJTdALKrQCAbSWkcv5jlwUAbRDzjoyjbRXzv0mE/RKlw
A1OlZ9Ti06DmMTYrI8+XI4q2h2EKimaPHd/FbBBMRr2FhrMSZS+2D0OUfUB59snJw2LLe1kUQoYP
ckklHXf/u4Ge4nGfR0w5uJm38qvZ5RZJoVHGp+ygfFSPvTJuMIOfpHwqOVWiG7Atm2zuTTV9bvzI
MXfHlvP6gDE1w4TDAgDnSVfD+11dU6B4JmvbCgMJYH0C+HcEY4hvrk39AtpcD27bbfmu8vYWYzgD
tjtiDW4aDM+NduyR2OiUwbQ88uZz9eiD7w9FTI+pAbd1W64ppxocvCne9lqffApNettx7eb1NmiP
6oHvXrCgWq/jkyFLf9gwheW4biuvcnS6AcJKUT6G9f3cV69kl7l16W3IHo+lHE0Lz9l7U+WVFkne
Bv6fTvsdWW6JOiYe9vMrMKXjH5yKXh8CgKa2g5t5690uXjeSLgNaDmqt3kBtK6+WwK14jCy/bEUY
zMG5LoV6R5zPMuJ5GruBFTBvdhnE46BKYhMhY8toqXKSkMc+2R07GpHlm8KrlY5mX5Rh2j1U0Qo5
3M7xrFhlr95VMNQpTK9zW0IB4V7J+sHtUVqeybPZJOjgTiVV1YdwZQ+hiRxN2ylz2SJM4cPpM81e
Vlp+GLLFsQNgw05WyTsTaXg9MfM3xICXoh/camkbdiIhwAJtJ/i8WluIINUveozDOG32D1XJJ29G
YyuzdFVoAiZ7d5Py/rVexrdupi2XXHepGAu6qfSZ+rbO6et6jx1zZWj5pMpW0tIdy46pKffaew1U
ee62bMsjPaUatCzhkcFg3qRT80Cpd3IzbfljNm1RuEcIsJH23zexD7FBR3+0CUNHasCIbfqpTIX/
XvieAmv+5Fj12Kg7tYKTozsnNEyvQDQQxtUSOl4p2LA7QkbRs27GO8uYeTd6D+gnL12kW7H5Q6n0
yfkOqjNB9Yy8QOLqbl3o7w1uRJ2epo286yMBgHItpnL16s8m898OHnfCK4N37zIrGLKaiO5IOSGR
bc4GkPvVZrs2kPlMNWhDiOJpTZRpQtQnHuUHfZZQmWTidsZtEBHqhyBqGZnKRA9vM0XfqWb97Lbh
lmc2CE1NK/HavxjMHbJsOG7JXLm5vQ0hSnXIshqEYeW0G4g4006DtVzduK3cypapx804nPu3HsSX
oAx07LPALYD/oH9+csAZ5pg28LHggMtlA5uNAduoDxSU28KthLlUasEU5ibKChozOVnpvRDSsdVi
I4kGqYmsaoRDrSNMnnQsb1vfDZQD2s9LF0racNp9jee5yvW2jtn7uZZuic3GEpmuGwxtUUUkcTPl
oFR+G9TGCbWR2liiGvRaCdF442ELPfNm9/tN7KtrU+/PeL4NJ2q511RmlFPZwm8Wv/lKluBa3jyn
3l90Wmw40eJXjO8NcGF6XdoPiGD6AaJldVmhugUxfl1N13o6z30LK43SNYyrZoqnsqrEXbqZdyxg
blcWNtpn6RuV9Of2tiegC6IaXR+9VURu3oRZzouOTcNJulfIG2UjyEviRwXUgxxNW44KCETkcY65
t3WMoEUwNd9a0/9j4Pdi3vf6kCcYRS7XXa2xTFS6oriY+Y30zP1WU6fw9ZNAyRBDsEbFAPuYOfTy
5syJ4G3ECTgDuvjLde+pUV42YlN8zl5m+/yaN8zppTA5D/M+bb6hs+2RQdBzs4ZtOR/lixEynE65
KPkJ8JNsGjBzRF2tNFThuLjfCXXDyoE+6XLls78TaNAwjDlA5a8X40Poe19csgU4NS5NR5v2IpEg
oMcxejWp1wYHiftjpyMOuvpL65wOIKpozkk0im/nTr03KXnvtnDLMfHuHUVh4k2laOlbM6WFWMQH
N9O2Y4ZhOADPOiMODvkQjIfOXNPI+HUcxFT55YawDPeUe4yrJ94D9pgtfnA7LI1bgwzMv5fWqTfR
xefLBE0x7w4o/EflpR+d9sSG4qxzn4y9h3jCVIB5ufbgsdWp0kpsKA5XAjOVqkaDFixdh7Vpg7xW
1+TFn9lwG4wT+GO3qhDn2/j8c9Trl3EdO+V90NVe7va8+Vm1eWj+0qg/0ql/MHvl9J6SZJZXQt5H
hICtoRJKG/5n1PTkJhzbztG65ZVBJcFFHaL/G2V7cNun4vU2K+KWHWxIDmbRw7g3qPjr8A0Nm7tY
ckfLllumsaYBM4jfnZiW0yTVkicjSCjdDrjlmbQOtm6ecFBoou8Gs79YA3HnZNpG5FR8EWxOcVB2
wm4h8PCGdtTpXRlaBpdncB+2BFhn4DUoG7+va3c7ULee3k+8a/1IwFNpEGBTNk23apf7XTf314gb
n/HLNLlceE3CaaQDrjfmlbyEjHA58fqd23ZbftnSBlBBAbQGScI8idu7LXEbr0tSyy8r37C0lvCc
uYlzTtF+a7hbqkwtp0QOHsJ9xSGpk+SENvuLynfLlDaSH4MB9TB5eJBbqz73NJiOvI1rx2VbTgkC
1VFNEEUs98Y/jBF/GfvXcJTnuuznt5MktTwS7UKOYS/cA++CJvEfPSCmf/AxmNqT0pWf3EKZxL/f
wGo3X/kuZ6f5xQfat7MSitApehVdOeJLNIe2reuXaz3TF5C+FcC3GD4+YNiiavMmGblbMLZvbUPR
h8EGjehSjIp9ipN9G/K9u6rv9oyf2bgo3CBUWdXi4UOs617U4asxGN1WbqOiGkhvZ3FFp3KAGDkU
DcI/OJmucT09t26rWK9AVRXuAW4U0qS64QN/HaWb0z0IGEkvQw/Sn65GiXVLOR99mYqcRoMbXgQv
/pfGU9VqTmbst9Lt98FE76Eh2lx5xzjb+MX5tCFRddNQaHvEYzn5DQQNk/nBRCz5WG2LW6JKrBiE
qZY+pGs6oVwfojxW4xdm2LXW0TPunFgFO5ok7bYF6P/3aYgjHnH1OLVjOBzqKlMNWLaEd1+No2PU
s8nN22qe2WgAlYqYhExD+CrVyqnVC62vy2es9DDVVKNfutMJo0X9zPOhNW7zRYmNlIJefFtJnMpy
WJLoe+P7GrimRbv17hMbLBVEM+510LwvN6K39361ss/R3F+TrHjGbW24VMRFMqfBgK1ZkrEIA4/l
Y8+We6fMbmOlVm9a+W5wg0mMHHCrRnsI9cjFrT9go6X2DiNpKsbbU2NWDHeRey8ybiHHRktRNDMW
COuhJ7sEDFptsTBznjT7lQz/Q7r6F5HBhkwNJKrBX0jHctEqAC9j022vFYAX7XFdjZF5lurxHRrN
4mFuAv/9wNTqoTTq029Z3HcvGhWl7BYyH/TFHNfe+yyKxJoT1A1vWtWNn7uMz3MuWn/9pjwCzn4k
elm9DFCOvzCegC0zGWhn0mV1GxACl+Cljw0Cult9sA/lHokXs5hesZG6tZhsMFO7LpDG4YYWqAsf
GzodxtH76nRAY6sc53QcZtrBdBy+AmB93t1SrS2fC+4qZdoZduuVH7IGJ4i3V4qeZzzWhjCZKmgT
iRfCAuor2ZtztnqL16v+D7cNsdLhAOldWiewPgt2XLf6OLXf3Cyfv8+TS5Sg7mZu6glb7ff5Wr3I
wM/vZtnKghVbJppUIy0GeeP5/JBqtzlsSDderjlsEj9cJSyTaLrZZPZyASzNbdFWHb5EAxF6hOmA
sttI7kc0lt3Snc051kxtjDkbHL6B6PpQ17hGhjDXcuO0cBvBRDbZ1mEoaNHVe3D0zXBvhsytxQ7q
+csNZ5XehySF8dib85TcJnRwOyQ2NVLd8EiuGCAr0iE6kkzkC3vntiFWeUr2OSQ8GPAkoUAGzouc
Lp/dLFvOyNi6ZEaOSQGRMn7YlWSHYKjcEAeJjVyKVeXxtGcpQMZgfM100+Q7CFTdknNkOSXA4lXt
0TkpGCHti5SQ5mbYRXslgT4TBG1KpJWkXsLTKSmoirpX4cird0Ksrkfc8k0qvDCWa0KKbOlzQ4Jb
wUJH77FKUTbzZd2NIUXgm2M4/tHO+8npsNgAppaC514GKinUPOVj9U3sjhWojV+KKw0B94rDsqLT
sY6DBxZMmVuT0KbNAd0X76CvSQq2mN+rfX0lF7c75MQGMG3RzkRQE1L4AsIKSlR9voyJY9n/o7R7
ks/qIWljsi+k6Al0IhS7nyV5cHuUdqrMMCLidzCN2qSYg7qcY7e61oYwLYZNGWASBMF7a0+B1PpU
QRrCLcbaGKY5TFkApAspEFea29Tz1VGNfeME+U1sEJPcWCRND9cxFGOSKWSalRuyK7ERTMsC0CIZ
NCmmhR4rj0KlyC1Q2QCmOhYs2NuNFFuQ9TcZ0/4NDUD+7nRQbAzTlHq06jSsZwuZbvjYRgcfVZaj
daul46F5KsMFxxBzSy9HzT6Oe+yWHWwEk4qbuJE9vF7qjH3B61W6HBYJMXi3qGJjDLZmIhgY39eC
jv6pkeFB8d6tcLMBBnvldfFcrWuRCJCILRt9h9lCtxhu84kM+xxkdaDXYiVTczN1tbhVVTq6dYts
fqhOLQJsogGe5zQ1dxHeFE+zChwPuhWz9iZLWr/xSNGC1IpB1ecQD4ljYAmsYiLjBtiLEMbHWsR5
ALjbYYlN4njOw8uik4pkZNBlJsVSM9C4xBBAAS6lrZnbuEzyQ4LrSarANGqKe0FoofX7dDT7fAhD
6vY2aOO70F7PhD9yv5BVdQiCqoiW0PGg08tt2YA8XzB44hetwRjqyg5NSN2qIBvdNYEcjw+y9gvh
ibdTyN+J3nNCF/0kPN8PEDqaGrMXYR9+AP0HuOe6xe2g2NCuJDKTSvdsK0DXbfK9pR+XdH3jFMpt
aFfXz2YXfbMXFQZGQzSAWvNOdr0byUDiW+4JdYI1jFiKqKWTV8nQ30jqu72l2MglzENS0JSxtdAQ
JdWK3wxN5RTGiU1TlNAlkEicSzFMaIrh5rHL5y3+5LLjxEYujdB9qf2WLgUGooECIlA9dhudJzZy
qQon1ezS0wWa2sdUNkWXxk5BHJCkS6/UE9eyNY0pWrnlcRzmHnFq1v6kkTqCdG5Ng0oXLFlvWFbd
murRbaetw8fibWpGHWuckGV5SEhKTtkUuY33YJr/ckf4GPVr1Pi6MIFIjw3YCm6ixY1JgNgMQpjw
j8KWGV3whRx7EryqHWeeiC1QlLB4bbOxNsUU6ddSj0cg0ZyCIPSPLrfERKKOiRhNIXrJc0hGFB7P
vjs9TBuzJJZV8A3M8EVD0mKZvWM9J04xkNiYpYyaDMzSOIFrDMYDPmwDxGiU51RzEhu2RFYWqNkP
NIBnkbnxKCV5TVVwdNsWyy97wUAR7K+6aAfvYWfLbdslf7qZJpdPMwXrwUp8povA64oqHN5kO//g
ZtryzC3G3FNLlC5ANXVfhfRDOLjh8YnNIgQqT6PxCqGLqeN3fNlOqSPpCbEhS5I127p4WDUPfWiq
pyGkZtOvbjti9X4CzipMgk26CJNPtb/cBEPrVPRA3fTyMQ6KKwKpTVjGSPze6ztBrtH8nA/Zz9dJ
EMW5NB0OPIYmx6KLFBpD9Cbt57S9MdUcfq5xKZzkqYyZW5+J2AimVS2+P1KNYB61L0LQZqrJc6qv
iK0cyXRMG7AeqIJ206HCTIE/h46mLfes9mjawjFWxcaW6r30p/Zl1adujC3IX5f7nyQiRRLyVBH1
jZ+DOzh9Ea3j5pbybRBT2himGWkRcYczgQI9dnXrFnFtEBMkJrMlAo93sajkLqLyJZgbb50cyUYx
jbinBBu7J4td0jydq9PUpU4vPcRmOtw7XIJFS6OK5I/M3ESjo1nLQdNkZXTirSoC4x1IyopVV++d
NsNG9dCUIfqhvVFoLwVbCzuB4+cayuQcq3/h/DasJ4pX4zccu9GmqnqxwItOXsKkW9a02Y76NZkW
yBTJYmbkfbRlfT5Qqd280kb2QNRK+EDKqwKK4bzUc/t+ambl9P6Kse5LpwTOIKKg3pJFRvtblqYn
thKnViSkAC9NN03KWlP3qtgD/paF85Hw1a1ZAOHlS9veGkHqARpORW/C7wEL/hh14NYvBJzy0nai
sjljXMkiHB/J2h072rqVPzZ6h3Atwkphs6txPwDOcAtuE7e8aaN3lm0Lp/l8oOteLqdEd/MNyZS8
ElxTfPVfeI+N3qHeEOgUrAxInSwqFyCWv4ipJzUwfa2Ib6CyXQd5JEB/7HbmbdDiIteFTWCxLXrP
m4/zOPvHhLvRexMbLORvkBwwcpJFU/t7PmVaHKBA5YTDIDZWqFci9jLDZTF4+3Q7JWw6pkM/uL2z
2FihzlNrn8w4m1BT8l/yIEUJMDsyBxMbK9Rg2rwJ5TwXNIA8X9P3n4jibvxkxEYLkSEEW3so5mKk
6euBvWnr5K1T3rBxQvUqVIxhn7mIOpMvNPrWNaNb+8MG7KimXeeBwfQ8Yv4JkThPFn1tUPGZnGSD
ZBcejO0+xXMRBCDC4f5LJUe3hGSjgSJopi4GIqxFtmVHP63yoXe7ESc2GmihPjiT4n4u2rG63afH
0K/cYpiNB/LXDHzYPkglgzA6gjngkCnH9ywbD5Tsbdh44GIq5m7INV3zbBrcCiKb0mjrxw7jSbso
+rGuP2XL2t7vfh3+6XS2YyuJ0rHJKghjiaIGGQvhVd6vjiWRzWmUqa0ZdAfTS9aoY7dpdkinaXU8
gVYWHfXogRAW1kXA7rpRnwCjdroAghbpZYIGh19d05r3yHVQAoda0nBqNCC3bjtuFbjTed4s2oe6
CIAGQin3JpvcLvSIjQpql560lb8yQFUCIGurgS8fern3bpzEUCu+3BiEk6qSDewbtQRHsXd/aI87
dhBtbFDcZBG48D1yMpKWaovyFMyBTltuExs1bb/PJm7T0+jpI9TuIW/AQW7kZtyqcDeQkWhvipNT
LKN8B/IoCdx808YG+aqNhWhbcxKtiW+zpt7v1JYZt2LRxgYBHDmnNanNqfOSl17T3FAz3bttie2b
mQyIQhP7BMnHJfdn+iqsWreLQmIravFlkSGgnebUztu7GXIk+eRRx7rf5jaiXo+uhDxviq4hIZdm
Bdi9HVdug4MiyF7Fy0r1idZgZs3CJTlg/W5NBBsf1FfQJudrCuNV9RYcNh+rxa0mtMFBcz8Nchsi
c/L4dAhYc0xN6uaYNjgoaMTmNUuo8VbYHE2YAR/0xekI2sAgPQe9iZPNnHzCPnOvv1262XE/rJSJ
JLnNzbiYExHri8m0t3R3owEkNjJowjVe2DTCnAzrq1tae0Fu4jF0e2G2kUHQFwkYrjjMaV7To/DZ
+2oX792220qZpu/QVxHanJQKXoV1DRbfMHC7Xseo52XaQXls+KANDiARrylNR3SbZ7dQZUOD0sFv
R9F05rTI/YAPuotS43ZObFyQnP2OtB0e5t77Xp6G441HdsdWqk1t5BlWTcLn5jRKXHNs3Z7cgFH+
m9PTtIFBkHkwRGMe+TSu4m7vkxyb5JZ1bPiLn6kRfXKYTkl34LI9TLWbhAmxiY2qOdhE2sH0uu63
1JxJNqjjo7TaQbMWPhjG4TlQdFX5OLD3mT8ztwLCJjYSGIsi8zqY08D8A4n0zZA41lQ25oURvzYB
/pzoUn3H5dWhEcmj2xmxnLKNKdsHBceJ9vh29EeTZ+i2u22JzWk09JucGWvMqR/Z27D7c/RSJ1g+
sUEvYhhpKEdsduSvyAnkrhbKrbC3GY188MKObMFmtxKEN7y5w1yP28uOjXkZY7CBBbhKhh77kCeQ
1kjAr+H0HG3IyxzAU7qemVPd7scuLdQ0uiV3G+3CQzOGxvP0aW0gLa6bHIrFbtcaNrLQF/Mm/AHR
rz5L17YZpp13Rw0TYmMLac2SLqixbkrnP/lO3hq+McfdtvJkyn0POHnYbqKXOsgO/r47Wrb8kQfN
nvh4UTjpacu36nHKProckNiG/6i6SYhacUCApzkCyZ0vXDglA2gS/X/OvrU5Vhzb8q/cqO/0lUC8
Im73ByAfTr+PfXxc/qLweVgCgRAIgeDXz3J1z0xXdk/0REZUVBw7nSQp9Nh77bXX+vPBTkwiR6sz
dxx8nEAMBIS8Sdngwqt/gs3/RPiTmUqE+wy3LaWuAjnlG5tbf9Fws3MG0GeCnS4jbt1G68H49bD0
l0nRsXPdIpqGoU9hgHZEhXco+k/pmFxctijZuXKRrVMOcCNyx5GpvHTdNjz6fLH/IZr646z9VyCf
ndOA8mlDutQTeyQATcmRrHIM7qTJHS9jOrf8qW1ok6EKOS7yAM2GEcY38TKPhzH3fXNoSVezgqy5
V3dy88NSwxmzZZdBi+xceyZucV7NS2uPhnJozlH6AV+yi5J1di4+M6sg5h1cCI+b6X5nsWiAFF9m
M8XOWRxzHzGZhsoeM1sf6zarCzpcRgtj5zSObesGlYEHfvSzCYthmNcCqpbZZcskO9vveiJqv9H6
c8SVKtI0+myQ3S5T/2DnZA43D72dBoy5w1osBOV9OWXxx0X73jmdwzV8hlI1bp3H8pVMy1U0Bv+h
3MWwA/2bVXLO3pjDepMz47jvUFTMR8c8vazji52zN6Zu6pbEYqqEtGclzH1oucHt8KIhOefh8TlO
EIB4e6RtdB03voIy3EXBAjvn4WUzycYmt7h0voTFEgdXClINF54EZ2dj3Yl4roPFHhVxO9/gA6DY
fJnMHDun4iUicrLjoz0Krbsqntdut+RjdFG8ys7ZeJynpANn7jOJTAekHh1bBHrKJ35RZsPO+XhN
00lFicbd48le1c0gb/JpSS7Lbdi5kJjLFwHTXSyiYf4KHbRb5ZqLwAx2LoVEFtPGNabIkU/9770X
D3gG/2Erj/8fy/Pz9/8UOMxLEoosa4FK5UxfQ11In1werQR9pTZ9u2gpndOJKBrhyERibOk6zYpF
2x98NpdB0uxfCEU1jF9bE2K+x80htL97nV22ks75RDjdAzSQ4sokX0XZRKQksDi57LA4ZxSJyVCj
N1xcpsMtH1qUXoaLqubsXBUp8arvY3RNHxNmgqpL1H0g+GXAAzvnFXVoWR/JEtlj+8khQN/3W1er
C6PYc2LRFC3bWBtmj2tT37KxK8epvWwJnbOK+ABtmTSimIOirgGUSl5Cyu0yE0J2TiuSY9RvPcWo
ZGY6ahlVyOkvKtCxc1JR0gdNF4BUdMzr9sATXWZdchFfCZbjf177pPd1skK2DQ5hAfoo5kLWl9UW
2DmnKPY2ayHOgWniaQHGRpZchHWzc0JRmIyDGgNceIYF1G0g8rqwTXKZvBE7JxU1uctIFDp7THm3
iGoygxaFkQZ9dxdthefUohDqnhl0CT+fpilN7L5G0WU9vOxfeEWxGdZ6QMDS+i6sQumPi8vlZdvV
Oc1nGFMDD2aELF3LDsuUFzInl03wc5JPQFu0OLW4dNSmJ0AolTSXeVWyc4YPh7jINkczJniQy1vF
O4x5i9LoRc/ynOHzSduGvCfRRxYJepKBk/sum7LLFuc5xWfrWD7SYcDVa1mTom9t35W+E8Nl+hTs
nOkTB6tu4tboI9ddWwzIJ8wqLjvxz6k+3RSOA1eDPbpxK8Ddula1/HrZqJ9lWbKxuR1oNxzhgun2
i4y3MiBwDrjs6mfR8wp8cBrb3B/rHAB43D8kzXTZsXxOI9qiIB6V2fxx9kFdQZlq3PmeXBj2nzOJ
wPW1MhlXf+zb7EUA9i107C87O8+5RFzB2ICGw3qEo5+FCNQcHmyuLlNgYed0ojFkIyqu3B+7dJ26
ApyOqCvzYV1+XfRIzzlFUveQZfR4pAFu2S3NLhn+E0fk31M52TmhqFfU1X7GI0Xhdf7I8XjZTuhl
/NEPrIWyFgTFm5dgSzu7u+y7RH8+sTdPzJrmxB+T6UtgAwg9XfoUwrMr604wUDn9MVaumFxbTPFl
/gTsnGIUrAzq5BlGSS72vknpgV5okMPOhYfSdQu6qab+iBQDgof91hb1eCEocs4wEoxD/d2O/shZ
rb4COwpcsY5h9J8QBkr+yGz/DThyTjJqugGN/So3R40+X/YMj2J5mpM5iG/khL78L5A2o+bZClXD
lHfdlO3ffbJEK6RHuWnnrqhR9dJDASSx306wrYGkjt+EHJ9ol8TDNR1bV5/GeVinO7uKOt8pgnbf
qwlSXmOl2zB2V+uULNktg6ED3Wkeia6aYwGVh4LHuXhlQRxmZbthC6haPvRjZeMEPptRHrTLcaoB
Rj2w0AXxXk2EiUPiwZt6WEzGyi1evd+hUnmau5C9IIhy3xnpp9v4xTzqnfwCuElake0t2M4/HD5t
LWO4hiRHaOBB3SjKSPYRoB4JSRxsGwL9/XUq9tHas/6JNuH8sXnIqUFqtRsi+KPAPuKq91Hc/aR6
Q9UrDtquP8ombbaXxsjW76csCdZ9irbT8QotTG12Hdh8Hm7jLtbRG2TRV3eMYLVQl1kyNV+tWGNR
8hiUxNLR3rRXnVjEeNdBYXN9TmA9WleqR4NfqUSukxLOBDHfT3Tj9vRpSy4rotXK7lFhrpci52GQ
f18x6ONVHFoHb8w2j5pvdeM5uQoW9A9WPpFTt8+SLhRlHqE+sEtSH9wv8SbZDlIEa1Yy5nhyv9a1
/rKETdPvhHSaPfZQV8DdTFp/ypH1GSkHYdus8FOj1Z5A8Sa6VzIc23KArjzqU9sMRVOpO7TfpGoB
4X9hTgRlrtN+qjYPFnpJlolCaX3gCSSbKOv7Q5aDYFcMLN9eFgu6VtFEmQnKhSjBim11qdpDcJrk
u8460ZSZH90317YUGpiSLO4QxUmQ/tqgYBUdI26oOEQUHuiFMxGMfwLIN7mSD8FySglPId4Nyowo
t8GE7/gYC4HdtJ1PSPRNUkAr0dhX12RWFYB10/xYx5bMECIKgaR7hlVUTDpK3IPL2cplYUMxb0XT
9dFaxZ4Heu9UttalFdARhgvOtvGy1z36ppcozexuNCFos6wlvC7DTCqxb7llvqIg078vjfBzEZC+
hy+HbhyvMqLy+XlwLP0G4IDLyixxPhYdX/hysPh1e3RZNG1F3Q4su0fpILEFZJGX/sC7DP8epE9j
WQTJ0MLAXkHgx1ejc3J9pWsuweOD9n3T/0rrfMwrUncuumkhG/kr3GpPDkEW+B8jLFTeVqHCZ5pp
lQCzqIPxCxdqIxCYSZbtOpYLNIrLho2G7iYeJuxh6daY7J3oWn21Oh72B7mkaihs7Ob7YXat3mNt
Ra7s49H8XGoG5I9DQtsdYSQUNIdgncW3PEELt3GEDZB7HLv06xL3wUnN+E1RQ9Ul/TaZrGvNDrqS
ba92i51Z+1gnvNUfqObRZAdZmTBz4BLzKDn5KYKqcqFnEUtdKpSFTFQkJKrXEl92He8MBAfmwxCw
MLsxi/mcA0EqsC0JI/C4kBfyJ7Sx1fRJuaDWcC+1nA6FGQRQtKTpzFdNCal/ZkPUiZ8WLhRDRUaO
ELuu26S7riHf7a90Qrf2fhub5KX1KohKReYl3o+9dPYOu2ngS1a7PtmjcpqGBeQXVfcV7SNR/lX0
lJ8yg7o+WqK5FSeT+OSjdWEH9i5L9XKrtUa4EHaz/QaJVwf7Nemaj6mdp4deep4WncGKCkq7hap7
atwW8IpuiDEKKLQtUVUjXhoOxGBOkCCR2Z3PuSAHFbhB7BqEakE5ZKmIdim6zERlszroC5naONg1
QbC8JzrTw1WvtirasHcUC+qdn8P7JcxnnDUZAkjJWSH5Cine8X4Tdmdq+6iCMd922BJS3KFQHLuz
zjgj+6nlhF4FgF17WkXocHkZ1hh4GU1s/j7SKL3Oon65Tcag6U95WnfRIYbHRbhnWATTLQ7AU7ea
coAUpPP1bb4kNbpKGrbdZokebgBr4XSPwBsJyzXVvNn3Kl1ksTIgxgUWaP4Gxc71LpesTUvIIP8e
NkP+M84H8T00xOhHk9YbZkJNJS0TUmeVH6jCgQixTEivrRyahSHssFRbf2dztp+ZcietybADgC4r
6NjoXT/xQ+39kZGmr2KJ0pFNo8MYUVLkdL3nnR+LiG9dkUMcrpCQeMK8bB4RRriiRSdu6XywFBs0
CVSebhVPE1fwPu1vmjC89VRVcTq+8iWY9yFp6srBEKmCXfnNlo4roDyVBdUEe7eKd3Neyj6Y84JC
R+/gBfSvsDu36W2etc9uHR32c/895XzaQ6+cVcmslud0Fn01NJC3hrLAOJQ5TAAdpm0msP3E3p+g
aBcWMGF6VgwZRIAdHkeb/rpmAfZDMeQFw8MtwaGgBaPrLV35gTb+Np9HsoPsvYeRaifLKVV1uVpy
1ybudwxjshug3HgEkPVdMr7tomipQGvlVbc2H/AjqXeBQ0U5g+MZAgDf7qWXh7XjQylyMpXEOBwr
jj6QLrt3a3qKDLiCdQyKD5qFdZEKd+jYkN8Y1t4K6ZcqSdbHVo9G7Wsf/M5gXVUooa6nebulgvcF
p/Zrv6jsZJNs3Ikl+VD1fMcVysWlxhjGbT9hJfS+HEh2g5Rz+zwBIGHu5x5bkA4mWhchHxFtRXFk
9zJKVJF5OZdhK4OSmeGLSHl6DCcO/fCePDI0kUBdqS0jGZpCubFoDMF7Uo0uhBm8310bM3UFsCIR
BV3QY6IAOhejbuMHGNenOGlEhS/EdbXB3FMWJt3sQ8hp8rEkYhJVPtfhc91Hbq2GuUXRkYaNam5o
TGNgB7Oj6x3chtJqIZrLA89aqUp8PxqWcdAJuk+BTPkT6SN6m5BA9gXj6EUt/NhnP/o11pVpoiC7
ylqRfDNdF/siWif/CsPIhOzzcRDflrZdLGI+9IWe8pBlHjNzhIYxN/X2NWeohO4yCIOW3arDb7CH
6cdibOrxW2oG/jFyVH6uu85hdJzCmsJyGlI4T9fNhgMEQNldEvh2/TLqnOtTykkW7seQEzCuu2Bi
O0PHjlVZqznYTnoRdzYW1h3aiKm3bpvUJ2NdMg0issS0Co1dF9SX1txVfGpxrwztMu1jlNf0h03h
MvdV9qR1RWgAtgIjXYZX0naDQ1CV1e2xFka/9NPKzO/9lC4fUwLWUjEmEZj8IyJi1K4WTVkFAe0w
e5hl1/e70LXQqVN6bdUxhUPTE6FMqJ3pJSbk4DK0c/J6gpeqdOl4Py0L3xCajJOCD5V3+sEMhjdl
53REsbE0ZCqAsMZ2n1u90WJUfB1KND3T+wGy+OppgNyEvR8tIcPeEGflvqECsWEeoeu4XHyIbmB8
Cz3tZxM1FesJOSJoDvO1Qip4A5k3C/4zpSfIetj0GmrmIeKxeNvGXYt95hsJo83/jFcBumc/D8F0
GA00rCv0BTf8UcGmNLoaoowJDEWTRMU8UylLkoYd9pWE+2LB82yPMTSpoVXsFZrvYt405jHQXjf3
lCa6rmKEvLSYeiggPSBvgV04sxvLdoitH6C1WKOriWQ4Srd5XbfKpTK5bjyL5SmjfAK/JkmdBA3Q
ZqKYm2148i4b39kAUbxDCx59UCYN/NNLpuTy0QeZDAuJ3uCveg0gw6mHpOVH6N0jKkk8miiqeULs
XgR9Nl5PTR/sFA7yd+ai+NkOgTolaY6EotH+hK2Qyrs4mthcKDV7dsolbxhSgBny2WzbPtQc2xdk
dVlatGYUUTmG5BgKLneBWrqpmoNsYIeIBd6X/cyof5xoM61l1Ldzhb0ue92cElDVhj2xxhoz+jUg
aeZ3XYtY4GbAzrvdK4SrhYP74l4kuiffyWSjrUSy0+jDFKyq32055V/A78jr3RYEMz2lnrH8mhu3
PsOCUn6A5zHz0g69rg8Dwq0G9aRloNXG2ptp7pbwvlWfgZF2Ao470Ersf+Zhw5KHlLNtZ1Zt0xLV
v6OHpKcvLMw3+0IE7DYetxwZIoxjNKxMxGoBtLGIVS5hnJSyVgrxGIy1H4faBF/UOEucRJNKH7Ml
le5+i60ZHxa6dt/1on2IvuJeBsUqQxxP1kYjFHfNFt7FWs4PtVUGRvBL/Sqb1Q+vgib9XEYCbWZR
ngVBhQUApQDe2s8dfh3GHLt9No2l35axPixqC09zNtUNhNo25kvbIxcm0G5qXxHUtUmhWdjAVR03
8rTlefMrlnJ5BFwefa3TeOl3cpvklYUTLoKkKVlbLMgkIKcazJ+q8XTeiXSSR4lKXSH9FjZ7op0X
12q2nt/VI+Ffhzm+h2k2K/oQzbuhnOQuhRl9VC41KHy7JPK1urYmWiAS1kYTJOX4ii4XbnK5mzzj
zZ1roi04kFmRmzAbl29iiYJbHaRsqqKk7QEhoCUpPW4j8oodHaJovBU2lN99o6UqCCLZZTfG1GXX
Ce3S45qrFmyqcB7AuaCJNDsTD8HLqigrACKkpc7i9uCibvik2fwwM7ljzsDzIsiSDTFFmwaVTmnE
D1wMtilmvuWP+dJu733c8xNd+HynJDLBIvcdbW4znOHrd9jQrvNuW3EGHiY9m6Onm3gz2q39blhS
jdNGejPvtaDE3AOTQ1I+hwgPYUPKfyKHbp+UncC0rbfkOGTz/DRis7wK10gk18RPtXoAjN/94lmX
D6WR61SFg+9OUSwQ36hxvJtyDl1HiAFjGzM5i14H8LZYEUIgcNsNfuvvJtNMfCfiJb2nsFedjoJP
SEu7lcQ/sLI/wRqSrsGXcfCtQ0KbmxvdenOMQ8deLfiYHeKrfF52He1HzCocik2hbJ1fJZBRZcXa
pH1Q+nyYw2uuYp5XQ6o/j4S2fqJ1f6dmFlVKbadmW4eiiQ35AjvG7cYQmHfehlHmnzecFcOu5Qta
zEcIIewG2qfJlXHehyfNXfosLWzLMOiyUyWcdegbRo1FpzpSeiOg9g+htth17OorsQzzQ8JS7KM1
DeyjlJmA9bDs8uu+XX6B9Jls7xb97b90OEPNFyCeKpRc19IHEII9LHxdSbESdB/qdLomm9/FrKX1
ruukvxVhc/Sie1g7yxaAE2F6hcMflDOI4REdlwH6oX6uPKPHed3sU01Dp0p0HMFwg7bUDlesy6Ar
n1m2fQk27WjhWha+gzuvfp9DF7Ej6XAmlXMU+2HfrGiEUi38EfgaLrfWzSPCL9UHBxcD7yiXcdnk
iUBb2l2vFkXZko1haG4CRTIM/iLJsxJktnd5zPJ0H4IFOjyBJt3bslvWzj1PdV9/oMgw9RWO4Bkw
TC8MrrKhewdqhy5ubgKP8Q8jnzzEfde3+37YYPzL3LjGxxgM0rDgOVTLi6Wm7L7Jwj4uZ2zst6Tn
y7us2y49pMqAgIZdqIHKNrQJadWIujd76BbZ35n0qPLC9A67zQSdDVX2jOLkg78b1rJxMkyOJtWz
uqpXrPEr9KKYp1TlNL42Y91iUrO+rmbNdFN0ONBkgVDe5Kc1cmFfoM7jEOCSzslv2actbYUzAxYo
8Qr7sT1THbPVOHZ5u08jbeu7XvQcWU84J2bnJjl/nyDHRUo6h6gzzjJzWUmHOnuCGFrDyyFI4vqG
REA0npEE5OtV5KKVPocCBsY/UwmW/t2SqcmdYpBxwsMwi3Z8yLrORL82oZU8QOCPf8yTo/U1Rba+
YeWqMb6nNQCCSo51HTyIcINESEElChFY6TYbcYhStPdWbu2QTnsJe4UXmBmlUIKZwvguAroZdkWA
XYc9hLEmJ6KbdK6WdOiiwhEMxnWD5pjo0IT5oPaswwi+LJ2y4c4Lv7JqTuHNUapl6vSrm1bsbihx
Df7eeICUhYsj3RY8U0SUUE+feAXF0/mpi2pY2/VcJ6DsLMinC5wi8lviGjvuHQ8AHbjJGUS7iaXm
TsH3Laz4kqb1k9ckMCX6K8lSmnHz00PqmmHXaYe8ETlIp/Y8q2n+ARgpXnY6beMBZStE2oUFIGW+
gN46G0hG4g1XbUaSUBWid3Le8xRA5utAhWS0AH6B7g6ssii4H/oAO21nZQYRnUDn9VqkrLPzjUKU
JX2RzGHI30WU57LICVNjMcE46l0q/BshUhMvRddt+B7Q1R/fgXonMK1HMXQqRTPiCXU63cbjgg9o
q94TdO01CKaTd9LDCObYmtjGX/KlW/guEZjkRbim/QNpyaR+ZGMA1SfTNqKpmpXIFJSCED0ftuqY
9uzNxluQ/4jm3gB5mAfX7ED9DZA/dWpiZdpbkhcesfh6GQ3uvDl4iqRqat6bo4Wh5lHnY3YPsIxd
WI45bxAeqaE96UZzzCbiq1arvti0/Ic1xn//yVbY/u1/8PMPSHyNtZDT2Y9/e+47/Pc/n+/5P3/z
53f87fCrv3vvftnzP/rTe3Ddf3xu9T69/+mHnZ7qaX10v8b1yy/r2umP64tf/edf/v+++F+//rjK
82p+/fW3H73T0+fVsCXq3/7x0tXPv/5G0YyHwt9///Mn/OPlz6/w19+ubPv+X1cT1oj5N+/79W4n
XIRlf8nyMKUxQ689oZ+UhOXX319J/gIpLXCH4jhMIyACv/2X7sdJ/vU3Fv8F+iEp6hIkYjTNP0lX
tsd2iJfYXxhA2jSPohxqpQm6h/73/T38vcD094eCEfnHz/9sBZ38wVH+v4UoXCZG/ofPIgRFKhae
t+2atdNjH7TJV8R6P/XcwgOIAJUZG6lu+y0Pd2HSfMhB8yuVpXcb7bY9l93NBOSgqOl8i92B/VzY
IHRRb3lbwln1ceHh8Ghhm3fXrZm/Sv04feFNqA8sauN70nTxPXxagC1t3Y2FGXCRtt5Wm1vFTuT5
eu02/qMl0WMKNLXq9PDaSar2YTqxKiXi50prgViCZ0WemaduFVe2yX6nc/RoDKuP2P3MbtFzV3ZQ
0i3iLnoUbfPd9e0b75CHrlndoNKRPY99agtKA12AOz8UvN2AnBBgjtB0esNR8RIO4msou7deQPMi
NRkEf4N3SVEbce0HDOMQbRF2V29iHwYRBFT6CWBgaL+to8F+A8D9FXWK7zXNnu3Kjji+goJA6rP0
NrnjLDgRlwY7+MxFBWLua0DMn4dnmFV8gGIPOgliBFibPpBpNnsncXcNhZ6c9+SFC9wmbAefXYJ0
hAboP9cRBmvQ7QekYUk15eQFa349rLNFXr/SCXAd/rew5meKZtYCvTq6QEuNueehSEoUX7JqjPWD
Rcm5WCfSAmfp5U8REVL4Wrsjmy1/W0zMX0WTyr2D7uJDO7fyYW6BWYoeWRU1XdH7dqlyhxjHjgJp
8LRBEGdgqLoMyuwojKzLpsbnpxsx35O4p6/OYAagzrchKmrNfthGWwGt/Rm07DFPA6QG+NIpZA7K
oJcfOpAfdSQ+arOECOL0Tb/6rFIGQyQAQaMa7PgV8WtwrOfA7zBN6nLKBTmKxXxJFTrMrKHxcUVB
qnAgZWPWMtgMwwalwlqQBXoobuGktKJSplmFHq+hEOH6MmcS4Qkgg2Km83iFzFydMk1grmrr6Fu7
AkfGOfXGBbeHjSwvMD5Zy9TOsopp+mgZhxIoj6ODIMldYOf4DqzH4YcOkB0YcMOBzLBHlPXMjqT0
UfXNz6XxL82A+1Yoo94agCdfOzc0BQwygkIA7y0hs/Gc4BTduTaoj2mCq8A870GP0SN0pbwtPMqY
BYsmW+XoDSq04M98aL6DnfOkHZ5+32AMlLF5+ceYa2PnAhvYY0D1XAzZ1BQgTF8vyjyQZb6dk/aG
1rSvtk1DN6nBSkr7NC6VxmS3E2Zn7OMDC3tZND2mbvzZTI+yg7jJu+wq1wSTu9cPQ5TWj1uT3IV4
msW4mtfAh20RzAkQxj4+9hOAMuAxR6RWb4PdXkS6tp/ZwgufME/WRTvY62VTVU/6ph0129fC1QdT
a0w7hqwcpSGsiDqzz5aodJehsPhsJuwvzWdwhraZXRuM4LHiu4/E3YqsvdkM7jeFzL4NzUM/Yz4R
qCwNG74TgTJdISV4ZHYh25GKaanScJpRG2s+AuNuB5jGV1EoOuiXh3PZEI4q5BgA9kwG/vbH/tdb
NBkzwMw7FOShikAwi1q+vQTJGpZk4v0OwJEtk0GidkLxjAewV0pGsFQSlCZsyB5JAAA2zJL+HmpY
rMy21KMiiGJDnUXBjgTEQkAMAgaoicVlP1KPGTUDkysyjiHpKV4X/dRebRPg8y7H5pEO46um4+un
JkSROmz5az6gQrLqp3Q0QxF5Zr8AwYjLLk72MfHhLqi7rMKe+qIQzxXaZs8I96OC4GaAa4+vTuKk
MPydJfKjixdoVbVI9FMzT7s/rq2jUFVghlzNSHi42sRudAQKcZv6vs4tqcB3s5UVaLZFE57Zy0XL
Ylqig5brC3Dhj9DWabmh5nRCtnw70KAvF4El2+q4LnvZ3gyruhk6vB/H3l1ul9uIc7/bRhxLGWve
NBtfR9eFpymTtCDB9mJsgh7tGRMxjDNgbYsbZKmTJB9hmhw0yA/TQK+lbbbxNncKc40gdV3Q4oLC
QHYXmehxXrDuiDBPeaffhqD52gzI1YTEXFADqnCwmES6x8FXAMRRl/GG0oxqkzsKGYFjiybjp0iZ
dBdOjUEVE88yxHHgnX1FjUydYA3406AfBXjxFJaLC9YS/P3o1KLl4yhC5nfw5KHP6KpDUrhEcTlt
7HGJVI5KWwAjqizfofXBwvjC4Nny5Bk6/rBGaw3G+FPwwk7yA7yAp431D5A+f/O4rXIV+GOogX4X
QPMgdaBvmmF9Cabkbu6HATnNnB5rGCYUEcMDncT42m0tDE0ajMSUBb+QdqiqFemVzts3zINX7TGp
U5Y+513+gwfyJ8lSvwvDDbt3vRBUFjb+hXv90Kr1Bdz+V26RHRvfjLeRHgDmWOjZ5EnwCyeNLRQy
6gACV/uhgyNp23VvNOCn1SRtuUjxMxCfQ98n2IEgCf6/qDuv7batbQ2/yn4BZKCXWxSCRaQoiWq+
wZAsG713PP35qCR72zyyNbKvzrnJSGJLIIGFtWb5/2/acSEL9ji1T9NYJXYc8hklbvMwB9ZGMOaH
qRyDbcrEGq+c8uRGSEOOUohiOpMmTnR2U69RGz6Clr4BYPw+TyElvfAt7dllKOX3a6HKyvVcBRqt
Hj6dOXLWjXFEL5uWiI8SSvZqyke8nzxYDqyI1TKqbk6Zwc0E2mExb1sj8OykkTOQyXt8wj5+HRRh
m8OBdaxcOPUaW3nfW6ZNbYBPg1jF7nG32Iw+pvyRj3Y4shsUs2naIoppe2zOdzAiHR+6UGd9I1xo
HFUL5n0zSOqDFHE3wo5NVxspe9EOiF81hZO3E7JjVVCYFUXJaRS+upVQsFeEiep1X1NY4/pVIbMd
pcEpUsWbDhmGbS1NBTiWF2MBVOs32ULiBqzRbrIous4sauTnndLp2+khpn380gw6XyZrn87xXRvn
rROnY+EnCx1akdjKMQuCmkpmy5Hj2loZcSm6Zcs+G4hBYQsEgp6cZVdtLr2Uc6q5yVB+ycu4XxE3
+93Yyd5QhG9x2rL82K7SlN1fRDJAa5LIUUEqvNZmvaGMYigrasCyF5EB+gK6FDsZ+IdcsTQNdcrs
hAazJwzNcBjrqqN9J96IibFSQlm6ig3eGkqAtl4EM2rD6jiMfL5ZzCJ0SmVK2WrgMGjZI+OI242k
4bXJ2XaynIN36jS6KTM/aXZsZxSqWzszortBkPvV3LBQU9irDPPge+tK+FZW6ZdwtGZnOIfYUZbr
+05BWM6WlboRSbYTTPnoRoF5QilIOE0bAH2YtAmbqnG0wV9eQTYPqHhm4TXE9+eqFRXbVuBFzwIE
EO+bYQyuygsDeZtH2nfKrqOXlOrsEPQ8DFXQralktb4VKKkX02R2LS2zVkPHCpbpEe/CgvPtvLHA
safLPIUAqWbjtLTEy9MSUR+OddWN5YnOdMNJxAw6bmOqK1sxiro/TYj/KCvdx1+bsi2/d5c5509p
6i//1v/BzBSN1Jl28fvMtP3XXdW8dNn8Y27610/+lZtK+h+qgapORG/yV5r5V24qSX9Q4JNR2EjY
qKWzhPOv3JQ/wYQh8kOiZKJzOKvg/8pN9T8U2aDpxaA/0VKpLCv/JDd9Hyzzn9RUkCXVUHVTVbjA
jw61JgKeP6u9gSd122rFV0RLbi4HCHgkX2hKuu3IScbrPrQ+8X2Rin/kWL1EkeUQMzK5lafNIip0
0y1f7sUacUj8EM/VJ7a790FCH32rCyWvGEpjlNH42qT97biorlp07ggYAAKfN0yvAT1+Wvq7RlnY
Mhqn6+h9Bp95rKWzqvejq1+ofTM9Z6K8mgqMdB39MufoCQQCxcWW2hw051FUiZEY50eM7QhTflV8
Nm/qncby0ZUv5PvIRmn41nCpBVP1zdLvmnijDagMQxJ9cTiOtbEzUt1thJrN6zNr5i8X0YWuP6Ui
UTODs9zMxEjX/SG77h7pR9PFR2xl//BufVBFoVDz0U29rJ0IVNG7dimDDUPd3Uq1XOy9/txcUy5w
+9JyI2K931/pV6vnEoAWz6NoMRdj2oy66S8zaatJ/BXIthbGx0xTCPQX/yofdn1xQqDi5pgNPrn0
+UF98AAvCWn6Ikzo9cZuQ5PGH8RjNxq+1oSAYEj5UuqoLXdU3dUm0Fv9s9GHFLo+vOj5Vf3BpWpa
k1CKxtJtUlm0zyPzINr4wqD6Fq+MOtFFBDYVj5+NvPnVKpUv9hyO9NmsO9PcVE/VXfwNqe44OZRW
gsdmz1DH5dN1+au7eWHBS4MmMZVUqTeWYNilcsolgqvZel8+CzsayoBa6FdSotyLn25w0nut96OH
eLH7aGMgzGPQlJtupRtO/CA9Ffsy2kd3cW2uomOxkZkTbtjp4gzu8DXQt6RVh2KPk2raxYH9NUh2
Eu1l+uJX6UHrnfYhOWrCy3Al2MiDbTNU9vVLeShvs96jG+nVvqbtBc9yWsSTh/ImSTbd3qykx6ym
RvhIAG5/Ne1aph1Or27dKdtWdSyZhPa5ux1uW3MveZJTXpmdY/jtJvHmtbYRdsG8mVaTqzpKsJr9
Zlt6nbhCdrMp1k2xCtqv0b45tOs433br5mDd6vxGHE/2dMpvhVV/XR9rwy7iGzV4TR6Vq9A30ZSu
w125hk4leQsyyjdUqsTojTu8qiobxkHYjjg7/MYvfCPZwUT5xE32yzV3sSdLYw6HVZjljWoRaHaW
S+qwptsDJnlIjkZpulKguDDabZN/J/X8ZNt6x5F9tBgutmRBGes6nUR5059fX1G2Dcmi+EejUf4S
BTHyHhQgzZdYgrLKtjJ01TGPZX+miNV9+oa/G58/+hSXO7Q+sXnKQ7Ax1Z2olNQbQbYAXB6tZNsu
wYLcyUbR/piN4i5A8O+VWrhdIlrAbetqSBzOlTzROzdIp2FEAI6YpyVZOBcs55EObsh86jqub9FV
NqGV2j2Z4XY0pXiVq7FXx43Lmdi7tZxdCwI96lEgN5Y76Sofe2ShKIK0dkjsxnSSLHw05pjFNt8n
obRhqlK00hRJcYZ+fo6L6JrBz8THGQr/UD1OkrafC80FhF+vlNywzXpxZ9IKw8gP0YDuPcndPI7u
ygg0gdRqtBvztYgGezUnag+QTjsUpXxtFaPTVa+h+UXqPmk1/eoguUQCormx6CxVwSaI10n9ZFnh
qymI7hT3RwNESrR4nV7dzubeXJAj8sTZhz85xH6xp18iA3uA8YOW0kmQgvo1UiSXod5urBACBIYb
h8auZCl2jfIJh+SXX/Vs4vrhDFEbE7uzmAebuvD5alpAPskiP5+adlneRsNst/EtlE6293BtGMYn
3/NXscclYXBRJjmfQiHY6JRVCuxVRUXFDz1ZRGHFSqqduuwG7aYobz85os+7+Aev0iV3UFXQlCta
k2yLTWVZ26xt7gUERueHmpShlwr7ocmOmsRJrcu7Jdxam99f+RcR0CWVcBZgYLeVniCXsna1KlOU
HHatJRAJzLuK/z6HQb+/1C/v6sURVopjZlKZlzflLB6jQNya2ulc8O3D9h7BOJFRbFfYLeQo+yz0
Oe/EH93Xix16WtqmoA8nbYag2wnxYgfjrYlgEqyIh1NmF7MbBrNxHRDaanyUdDY+26Tld0bRRxe/
2KXVdtaR+BDyTcMuHS2mKFcrk8MhKTFNSmj/qZeLD2rGFpWm3RWqrV2eWdd5Az+pORTLtFuycZPV
wXOllFeK7LRRygCe2K6VxBE6+mQrs12lyrZuV2W5mxe2Ij9tVujjImkldIETYfua5TVTrin2LMi1
2WUR9bFpRTxZpoHWU0+5NDof3E60UHW6VZbdWL2q1JAIEiN/GGBfbQpzTSNjOovN1gYjlyavxPtp
C7GvE9AJVPWD3Zw+KfJhzHeB+qSpt718sqbHSv3eqQ95cScNfqr4g4GSY82gmKHdiNpKlPw8Rc7j
S9P5Q6N4bSYfmIwwrKNwE2obLaI6t0qQaiS5XQUSbYZKvhrMmURkSCbHKIR1omCTavoTI1auFMYU
9MFCbTbdWcDX4aKs9bn2QnlylHhYpb21GUI3GurDNCPeTpQ7xkn4/bwRxeWgmo+Kfs/oaz+e53UW
cobyuneVuksybRVZsR+Z05sEO8sw5zsroxLSKvjdCul2bs17tTug/9oomX6ylGJfKPnXzop2Bv4M
SUX1zIjHudU9xBBumOPSQM8tWYInze3XUTBXFlFO3jZulRQvi2ghFo6jm9ikAbjM7DnqfZ4l/lIX
lGm5GUKLwCQxxSsxSk9JbTCziibotyiuEdyWdlt/aYPvcbjGcJ1Zbgb2x26UcR/1ppdojS+WiLuz
AkX1iKwuJKmjYTEthashsR8VeRMKlZfLyxGQoWPSVhqqkaL47Gv6to6znVmZN1LUrItu8upeca06
9qrIWeDvCZG8xu5yl03FdTIMboK+0JDETWCVo234wVSfb801OeWpSx+VdEYYRtOdOju9iSG5TfPx
a1VQSiuQqS8VsHhmuFXtXmcUx5wkMYaG6TDH5jdVnu76al+jMjurI+wybUbHoKA2zGtZjLdjqN6m
k7rvZ/1uDI1X/KwMbAH1L8rrKMtWs6ZddXaqz8c6xWBTazeDOCK1THHa6ZtR7H2NeoWSY4MIyo2m
yvRYzbUeHREGenT/d2ZX75I+9SL5WagC3t/pJgqRTxNuBwn9OjWNX6hIrsKIigB2EkV8Yme1UwOt
ZXyU9Pizc/JXu9xFIIbZrFFLuWdq4cwkrWlt1gOVaXpkkelq53Tze44UqwsIqXQ8p59lz+8++A82
uEsOqkHDXTVaZdiY+L/pnO7Djhc8H1ZlIh6UXmM9Z47adpgFUfeXyPfv8Na5IQGfqN/VIItMw3SM
sHarTMc0Aq6n65kX03lDXjtlsE5wNYcSUiFlcTMzcVIjpQ93aotnUSTaeYtH2bMCbTVKKmck5gxT
8M+OsIEQjRaM18sznLubcKAifpsaPXoDJPenfPwMa/mOAv/oFpzP1R9ClIUpwjScw3SjRBSci12Q
bTP5VIjPnDC2RtZpTj1ldWTfISzB+djSE7SIWZETAxK8YYy3WDhM+7ELveLwi11LVq6I3A55rXs3
WBg/OXzfyY8ffdDLWEpSo0XVUkYKzcom4hA2hM6lkeHT9+vUW9E6NEvqGJSiU/mmoS5uFjneh+6K
kU2rfDScBk9eXx1jeT/QU2aRybtMrLdYOr0+apwsdfoecWr2pHQst9e+xhiWBX7L9MWUmasTRLMW
iW6YFq4eMLSTV/zcXV/ObpcaE4/gYc7Fr0DTmh2jLk956MXW4uRKS839a5Z/P6cAmo4vEi11O6Vo
kg1bmtFEYsEwG5FpgDQ2uhdh/CKFjIqXryqNirYw33T4R+VURNFxk3abLNrIybVKz1pfUspnrEJc
gcxwvCofp6pblbK5Mmn8QRtzsLY5cwJBgV/fyJo9BZkX5jo2rOeiE+3cOKmc3mfbFptuz9Tu34dK
7ySVj57WRfVEMIpQSVtGZSVXZiL5JRpeP5P149yVfpi2dptutO6uTx7CESvK9FxHN1o+OOe+1Kz3
3oIIkxFeJ/zBKzPbJXgJ8Xc1yXuStR2N+U4DTDvRKw0bWnRB6vUpDHAco7MV+EnaXFspTUOw2mx9
dq7Lm1wLaF8PbmTOrjJTPqDaOXapU6T0Y4Zlrdapk+gaDaF8i1Funcq1m+Scq1rhLXXpJXHImMzQ
RRhl40Oxf3+f3pFhH92ni6oPkEKpMtsAe3b2HLQyHVt9z+G9E/ENq2G3xih0qGPrBqX2WyXEp170
I0Pcyzw4FO0Hpak3g17fSM1GZZkns3C96GWGN+e+jdRHOW83eLWQucroekqHHo2jFeckegjJSZ71
trmCILczhXKtyJBBs5feKhyLs3QJU1rxgm8mohexGudCuBay+roa9Q2+CzeqG6fu+7U0f1HRHzAB
xB6m0tO7aV8ZOPzjag1FzwfZ6SEw8GtR94ZG98Wod5OH+ozEOGfM5V2QYC5tzr1jW2ee5yKmfqrR
KcahHQSfbR7vec9Ht1n9eZcrQ5mmAfKkbVzrrmk1xOntTU8B08QeM3fXk8D/zky/CjW3bq37PFAQ
3UwwTLtjPVv+52XF9x7CRx/lIolY5iFQKQEIGxMeI5uXshPn63YuJcqZKD1SiAUKXcXMGE+E3xtl
uWNyYGruECqx/wrYPLubxjawpC6yKjrz/Dhn9wvd2EinrDDmr3m/bCjrb2XLxmBCDGp2twum8a1C
D1y21qO26dLD79fvrzLcS5izUama0Y2ZvqkDldpY9KRQ0ap0t5OgBrhDou+KLnyQRWVXTjtdEdyl
o4X7X178Ij9JlxqVTTPQpqEgPEsy4jNzV1bWS672u6iW6UYPOwVN3/kxWkm2g0hgC+pfutOfZKc/
Shh/lQ+KF2FLVki6IDfIDJLcuMYpuVNqzQ369Bgk1PhLqpXn2tWoHZcyefj9d/64goE0+eeF3KSC
JUrTrG0k0tqCZpFpHs95/blykhGa4AewM+2/e7o4k36+mhiL4CtES2Faen2vszdrAU4i7U2OrJ1m
nvK4ckvNcNWoOQravDMi3P7kQb//qh9n9srlfPmhLiRLAReygRXijrnuL/1h1mmz8zXbNPBl3Gq/
v9IvsMrKe8zxQxAkD8uMYYo8sZ6vsTi5iZnfi3zH851F1O4339vadCYp4ahsFRddAOcAoWmifLaU
Py7KIxD4+U5jimw6RVnMTcppibgfVbjiSCm1cu4n6g236yRfzkyH1j7GMuWTe/yLCrByyavOskFq
RnU2N62Fh8J4Or+7dfDQygYBzrKTuPV6IbhTlR7r8tP7/atHe7EHYnlV0SqLFsNn+9KhDtgWD+ZM
YQCnvS3gPdalNYOHUOi6SR9uC1O9mcIn2A9fGAJwDKlHKw2Kz+Cz5tav3qpzXvLD889qJe7BwFib
KpNfgiH0WlXbxaLmY3El6Bd3jTDvpED7bL2dN4j/fQZQvvn5erUCyLocKmsDTuUVjjoOx2Zbj+/7
lalEnhxrblk+xiTDn6zwX62vi60Ka3KoCSYrXOPNiVXRlbXKVcanIDTdSG6P40yxuHqqDV8Uwv9u
r7ok9+ZRrzHB3BKI2IdduGi7hG5Zzxt83hbhsu5EmpUSp+4n3/EXd/WS5dtrqHGaVBU2IaW/84ZR
8p5Oi8LpPe9AiNqBivyylVxNC/685j8SeZw+tx78f1J4GKKJioK4/dcaj/1L9jK//GvHzOKsTV/i
l3/5Tfzy9vKj3OPfv+ZvMwKCDxEZlqJpFpr/83ixv80I2h8mvj7rjPHAi2CwBf5tRlD+0DURiwIe
tncDA+/n32YE5Q9FF/mNhilbmmnBhf8HZoSf33/Dki0dtwQjjnRZt2RoLD+/lzhMm0wuxOZeD2gf
1uIuV3UXiaZbir3LD6/SvPKT8jPXjXQRPv15YcuSdNnE66yYl8113ZLkuuuU7h4lnNdAIehU9T62
Uk84C1hFKfcEzIAgUoY9qoIBvg16xLKFyp4jemLGgT8Wqduq7Vad9NXZMYAV04sIwnFA3iagMrKk
d0Ox2qAfO47lq5Rr4C4KRw+1mzxLT2X1GlGL1ev8CqyXh174lMzD3tKJGS1KbelUbnSGynbL5CuJ
/mx0SP9wHJ6gLBsoC0V8sGMCa6PyxTY7WMuZkhK/KKHWb4bGPIH68VCAPRMJ3qsqEVvduVkcv0UF
3IkovNGb6XZg7DH8ncpyksY8jJlxYgTd7flXtl2zGUY+SiuMmxRz0mgNzESVg2iFVYUcT3WnjpuV
tqvz/jL1wjbhDO2wsXjkyFeFGHydK1TzOLfXhZC8RXBvVmnKfmSM1RMj3bxKWb5Mc6fZbSREFIiF
lbwMnqzTBD8rU1Vk8gaEeqdT9UNfk60UTUp3NHUNtnf7nFYYWbutOD4LNb+STMHDSQWqZ/bwxX9y
Wr9HA/85N96XC8YgNFOaqbJWrYvzs27rvJ8kobkXzdYVmfgdnakM9UxLUbuZA9y7ij5ey0l8GvRw
F1mZpzYwjTLjEFPQ7KLqDvTNqp6nAKVP+xRm00OGtaUrKz9iQiQVEzdZAi+SBleLVdgR8s3SVX6M
YnXm8LIxiR4KvT6WwcQAzIBSMI890a/oAD0xl5CDJaApMu3qonCEMQEQx9PBueORhrggi2jAS/2t
qJ0XOJSSGMKFnYEyyTKO3Ah5BUYGgwQ9zbSruh0HZxDyL+PZT9NrdB6Msy+yes405tIM6QHp8bpX
whtLz4+5bFwl2XQdKlgZ6/rOYvxVlgk7eDT3UUyWa8n3QxOupC5z5iA/GrwmU6QeUrlZobTcD+FX
NGGunufHsOKzgoLKEDbWEitE6lYKU0vNot+yQK+iJfiEuyqJ5wd3+WAlBSCGRrqt6JeA1AG/d14w
YOC+Ea1TpVunRMw8EtPV3KMcF7E9jNJ0HU+aV3XJvhspuTXlbTD4pVpAjZuuE/hMTZ1cxeiuxTJc
gWpCRirvK+ylY1Ed9UA4qXPvxplxVUEjAH3nMv02tQVp2jV1vXm3UBjDPp9Ac2kDYJ3Ra6vuMWAn
bIPciRTVL3jfEmPexSkKXx2YWNZsEU65SpO8Bqjgx0GnlhAl5GPjA8PY3QpwWAwpooxzT4cElHbd
yppLHw/8Sp7Qe4vyaugHp+6w2EznW4+IdSjWwEz2lTU4E3herC5gpcpN2RW0pNt9qAzXuUI1gaJZ
bkwc8IsnRC3MkXGfW7KPKWRxOglXBE5LXgkCKusQ1Q9Q2q6DsVqX6ZsFCmNBtCxMBriBr43MV5BB
iDXNtm/xQsJiTSLE/F2JU11h5w+E4w/n5fHPJ/tj6nihhvnzTZbo00scN5YhXap+EkMHmhhX7T33
et93bCkhM7NmzWnVYl2TjlijtjaD8CYzAjpalickFSCN3sWzTSMg8+g0PKtJ7llqDFsPIXi16Cvg
WSugH+tAV3GNpAcz792p7B9bE5mNotzXQfz1/JbIvLch236jD04wn+3+5qGxPpuOdq71XS5qReRQ
N0Ukmegpfz5V1UyuDT1dunu4iDUa9cof5d6dmzGlHJl8sje+d5r/19Vg+yi8RBQfLueugoJThGrk
KFXLbqvl5cqwDVfpKsr0u67W7vGZ7eZBu2rQcU6gtsU+H2xpCCIG4haftG3fmeM/fhhF4y02VVNC
yirir7xI1xWNEq8yDuP9qGN5TeqNYJGnnw/VutDpA+pOVRFlYDxvDHU9VNV67DQg3dqKqRSumPau
XuqHpFMOHWpu9ustqJ6rMqqfpqI4JkW4q9lRccMzlR3SwlAeNdk6xlrzqC7hbqg1GjXyfS4Mt3rH
1yzm/hG2w+GspW8y5aqp9VWYhG95Xvtw71xz7vdiprlKGn9rObVlfbpuEy5CCJSbxV06o8avw7mx
Z6NuHVDUDxJ/B5Jz9RziclT5CzYITK+UBcxP+tWkRLsqQw/++9fmvGJ+vq26zJgeUZFFSdKMS3kD
44UgVEfcVl1Q1uSvvpL9NcT8H0X0vwzX/9/Ktpm8/sOdPhuWf7ITb7817bf5x/D9/Qf+DN0F+Q/x
LMdGq60Qc5wX9N+xO38kM66a4WWmIrOdKQTof8fu1h8yUnHLsmg2GpJ5Duv/jt2tPyRSDBhg+Ix5
lOQC/yB2l89J+n8WhcaxbMGENiCgELmb4qXJHEBFGs8N+KNG5APai1C2vGtCCeVh1CiAGzTadm07
L4kzd5LZ2Uw25/Ufx+mtTcf6ecJx3NiRkJ6CsacdW/VJ8diIZeYkZWY9q3QFjrGoWHdiNNHrGmvh
hbFRwdf3G/6P1t119a2465pv37r9S3VpGTj/pn9b2/9v2NQN2bJ4GX+3sk5xXjb/um5ifO8v2Y8r
7N8//FeCKBt/4DjnQZqaaZr6eQTKXwmirP4hqnTS3+0AAB7+kyAKJrp/zk9Lk2VD1KBOkVb+tcoE
6+wW0BQRKSrrgiLmP0oRcRP8tM50U6Y0xQugyRJHjKldDmxQZZUTQ6mqXT8N86NZqKAdYr2YvmcZ
XmjyAtohoqji2sO2a0GMwEo9CRUykKrHo1ZhsKkSM/UCQ202S9lEj2KwKEQifWutCohNGMWCCEc7
/S8rlWGHwM1CgqBHiccAl6yAdJMNxDZ5FB27pAm2MXysGsGojOERrOi+6AFjYLJso2NpGPS2CkP/
qidBfuiFXnZyVU09VTayldw3zggD1M5UtbnRFMb3iRNelrHvsWX1+M8KSylftJFPEZQRBp6xsnAJ
1UqZI34Ga9GApwiCxqMpu1yP86K/QQgxv71/ljYw0gDVhoaXB+lU5WSRuNzMDABwpmmIb0qjFk51
O4kbMoKU32oCx/GCEGCp3eRgI7U0XvYGDFpglMaENRgm15vYn2ddlgy/dHL0mE9KpePpJHKhKAwc
F4JkWy8oIOp9AgQWMmKSzqtkqh2g6HII/jaWb5e00a/CtstPXS5XzzH8p2dpkiY8XxgcJwd+UKHB
OqwAgaq486wEauGihir8Ga3oPRwToluFPERzji1br8ppm8TnTYMpT/WjJJcBGlE5OHWTkWOyoJC+
nmkU1AQaJJ6BWKe32jCmig2LVX0Ihjw6jqmcIfNuFGA2ZCItzENT+5JUorFuYWwfo2loT5IUCI9D
kCIWXFprkw5h4QVsyhvRyoOt0U6yI/c6bmN9+aJRsH+L50QDIRIr7TXA0ZUIH+iZLX46TGO0kFWo
47VRYNnTYL2iyzLzoypiujfTc4tBHOVnVZTS4wSY8XnsUwUs3YwNNCTXdSnVYLUK3lUmwwpZbHSY
4sTcg/Qrn6awE5/qKJrvY9rNR3GIsFqb/BU1VdOHYcGu1geigDma7K4Xm84rR0kggM9lOumm6avZ
3GzqZBmcWdBTz5qa4Z6Y5zpOqtadSQ68GPD2S3T2yWVRAH8MAeKyblveh8LS8V3WKSBPiQEcz7hp
KaIgdN5rlcQkK4bPf1nQkvnvHkW5492kpYugDtTtnkwy3StZE99kULW3M4RLW1q62FcjeuqdppAN
6r22C7F/+22OTjyz4MCJSSG6Y4bncYAKdqcDU1nNco9OsGeYdiSDwM1jLMZnC7BFqduBVTHvFXnO
v5+9iQe9m6N9QBT9FjA2yNdTTHdtkojrOI3TfTanhKqzoj5kcwwsZhH0bDVmHcBrcENwcaKw6Ws3
Z4gyyrOWnvHZmywFA6LgdETWIBvhhCcu7oxjOE5J5WLFUd+sWmYJyxVLhxapW0ySiN6mhDmZz3t9
6UQvGJlJ0zCsoy0Qnt2CZPGStljlRoDsrXUSpKth5HZZ7lsT8oosc4eKX4sbe2fqb4Z0nYa+FkE2
Hfp1rKNPjHfJ8iJoHL7UKHDiJbeJgh3o1KIJK4N7fNQ6h3eAjbpdF+RlyRI7VkABAKzASzHd10rh
TflGLq+T6XXOojWQuCTeDdVi95bkDuPNIO+s+ADEcmJbqhDfXxVJ7CGRgGO/asIUM2CzQpgCSf66
r5AZrsIZg2TVD4eyKrHMeHHgYD7epPkKsk8h7wyjvQ1fK2Mt9euuvAUlW5Sjk1IM6W1VPKaFBhwV
OPIqsL6a8jphc+7hoCMqUZE5x3yzsMcC/xLU8aoxZicC1NXIOzN6ZKaakn2RlMkP8OZWw4Yhi/YS
oOLWIRrDp/Z7tX+bkvbU0brk+Fvlw2Qno7YdamWHixuksoQ08jbWvk+Mh47JDGXmQTr1rZlu1ajs
vzRETMiAhU5GzyUD8x1HcV2ZUYdWMKg8Jv06eLndylK2iildCUMOzBqnbqEyB1lJhVMkop4LFdWe
8sqtceIWmIqAGHoU0+ygaE5Aoby21m80mSkXUtd+lTEbz4t6WOL5cey6fdboDzAtKcAX05OlDVd9
trgtR56cjLVrxureyCp4TArZQywr34EVP4mF/FWJELtpt4VuPqeaVTqCcqpQwiix+VDHLzC57bbe
s4M41Btqt+j76zloscHuz3fRGDtbg6iIZ2ktj/WuXiCOdS3Zfg73WsZ3VsB1z64HAcQpWiczyBlK
JTmg1V1NYA/m1IpGw6Z/ISEEnNZZ/a1iROVQvEImX01MGA4FbVuN2NasxWboFCf6VpM2LJKl99Mh
P8TSaxXHbtYFeM7Tq6pAd9CVb5E2e3Ome8v4CiQCtsnekIv1lN+BcVmKnaq+Qh72dO12jn2cuU5l
Ps9a7Ev4gXr8GCjkLaqtUzNfactY4A2R+WaGPDfekscabxHVNK1G6GrmMfc8UYAWqfWhtvKbBuZ3
YM6HrlRWsZzsk8V6lRnwVffPuRjXuB+E9SgBCcQoIDNXxLjLemS3eFXyLUDYtHTjtnBm81UxThhU
ZMrhpnJVjqsh+do01VWcXw/KqQCeGIH2esphxAWhx0gDu83D67rfmsEVq5CBnJv8FRSv05jIBQAr
fo8MyS6Fym3Grd7c9mc1lrXKlGRDeo1P3HzTOm2F1hv08kZKHnLtKYSDoKHsRd9j5TsjuIuVq04A
AaasJAOKA0loQ7vHEbRS/GIl4vyc68F1j89DK64wEdtZ52nLY9zYcoleoXai+dhY/mJ6ho6Rbgp9
I9Q8lVqiyGF1lmlRREljvPlPQuBN34Tge19uluB73T3q1UYWX+t+19enWH0YWxdJUTQ0ThShEqOQ
2bplh6ruSbmfpWMKHLZvN2TZ7Jgns3LhPTLTV9JANO9y8XbOTt3/cHdey3Frybb9lfMDUMCbl/sA
jyoWjWhkXhDakghf8Pbr7wC1ezdJqcWjh3sjzokdHU3RFICFXJm5MmfOKc6f0bhreG1qpBLc9CGY
t+9WcRT2yX1366Fv/h7nh248A8WWQjl/D2WvTXwCg3iUhfYiVxjjAQSRpZ/kYid/EVAGQJ7TmzSX
6KYCLdTEEcoJr2foUbY+KTMjCB7JZqT3l8NymHBVG4W57aAz1jKnx1qLvQFO3qa8rKvThsulDCqO
j/P4MLGDhD6o6kM3fUIpSSrDee5JZxK3RlETFkOHYV1HKENzqaCVLoFfG4EgXBZw7mc5JPztQdS/
p8vZFWlCmtxsvfaEtTutuy4S02E2zpnJqRG+sqv8fAlznVd2F9m8uMNEPbMFW93MnjHdbehziBD9
lOnNZj7Ccwe5iJeNYQXLQcJDgLHLo1HKIdigHuhjZmcQpX0Braxizwz1zfP5g0jpuEKVJisdYE1O
mkC3ArZx8pg3cBoWBk5lBx77ZbwqK7gbhRu9+Hzebjg2e33m71R06vxYNvetGsqbzlBOKOonOf3S
5p+3IvNG/Y1Sk/Q0I/zv8+/TuYRjmCWJurkfhV+XEjUIFRJFqksUNWMsNu/m0lVNUy7dzGqxLbjH
1oamyXC+6tS1YqjREKfPDCFZDuQq+gWD+o0/6QoMOGdp+ohauBkgjzR+1PJsDjJhmAhSpfyBwdZL
iAkapxN0+ZZPTjK8vWBe6aVUXw1j1oXDuVcP6SzOrjKy/n2XMyo35bxTq5yOqFOvLqiSz+Zw29Xy
oanYg9uerMG4282DP1j6pSFV37J+uTVRnbFJou313LopEtbIuyhQqbP2tXE2YGCG4jWRln36QHSS
KQ7h9cap9pByV6tvQWAoQBlSyo9Gvw1BpZ+RbJDHbUY2W6h9cYsMWM+TfZefhGo86WDY1s+reC83
3+QCPWXJPA3V+2StjhQX4EaQeZMFVXWtGT38oWaxd9K7Mib3b67K8nwCEQSl1oTHC5J+hhCRapl1
ziOLGKJbtKym8/3AmzCGhFGnFZdIc6X/tmWXcC9fr+qXKh0ittpNmZHThuM5EtL1gzTPfl8VwW5M
46QHU3EOG2jsx3Y4bqZxK/UwkWzwe6REwPyubgt72uLPad0cFfD77aO+QblhukZ9H5u+aJCAWkTk
Z2f66x/G9rycLb2swZg6FRiD47dCGUbiZPC6gQqLZVd2Wjsdc2P+YE1ogGhNSal1/Ey+uZ0KhAWC
7bxkiHEkDbkTrRZyDdFPGrX4USP8o0LKf6+A97+scU+J/dlb+6nGdzdOX8rxeQXm6Q/+rvHx4t5Z
MqQuvEQoRKUdRPF3+cXQ34m6KGsQpEG98FRi+bvGJ2jv0GClCKRrsvjECEhl8F/lF0l8hzHoNLXI
8MS9V/knRT5qPM+LfAaIAZE6I1z7KjWdn4S9ekNtBq3RhvuxjEunWkf9uCDkdqtVoxpmY29G536p
Aj3p6muZKs2BDLzxy1XfrnuFMaaxQBGhTM9BkjCLb7JNLixraDlYL+cLY1fe0In8odr12xHqO7F0
ofGML9oUQPCgxW/io188zk53uCMONEOn0gX74VM/8BnwSFQ7TQeVot4igZYwVXNmusU0v4pzLkTP
XvIvtuZLqNXfVzJFSYbwEZzDXgd+DnEa4XrJ52bUbuWq1Lw0XcxoowgTnLWmOrZWqp+asVkH2+LU
+4ZXePnOni69Iys0JjVAVeAjXl46NSmPmJUY32ooHHrnrU+OML2oF4mmr29EwZ8uhZFR4qNzbEms
5uv1zLGbyWL24k6Y9cFPV/1LpaciPUVJc36/nntJ+5kl8lQKNXB4SdgQtCAAy7x8KqMWdSoba3tX
GKJfJX1kmppvbozBtaIHg7dP3dvWlOicFM6kfmhF4UaiZpXn1Ey+VMZ3VTWJoAyyzcNhra7FLnWn
SY0qtfKr8pbi2/2iVQ6zuyHDQ8e8yo7dlFwPqUzSKEtv9CFftuj2h1HFvbIPDFrkwuYr4Iu5rKgS
yOBApGIWfEPs6Y3FTLlU4PWdTEW46ver95M1UjmVTehD4f6kPa+9WrxmXowiJ57eUcgH2BkvW4iy
UQlqK2aAdGHkpdh55OTuTQt52Tran5Regwa+ULboY8Af8+q1wfWjW0mm3o2GPnvIUQAmlePqjd32
qgu5X8aU5Z2ERqGYbRHHXl5mJ7zNBXgF78ZYYrRfSIsQ7pMtKCrDWSWzBH/HFEScWCTmnZ55fZzq
NvlF6+RVl102aG6QiQfy2IK2+geh9d/xAypMO4Ys/2jGWPRcXviBZmnLsc7j5D6LE6CX5TBeGZKg
OjHwGJtCBKRVUvpeMATj5vcXln9aeaAqsMWqTLioAL2UVzYmDRuMZrrW3aOdsnVnJuhTioLGfL5p
+/VDp0x3eQlFu4EAj72Wyl8D+jOz0rlGpcawU47XsPL09rrCtgUWpRjl74mkDDaY1r9qfSPV3YKl
aT2ImN8w1lf4bl4mJLhgAUx57zpaorW7gmdeWmjoKSTbtN63mnyKNz2gmO3WpnXZW/Mxhw1Rgyon
E9QP0vjDjv4fJDH/03pGT8Qg/xjuT1nKcZy/ZMPzLOXpD35kKRAaYz7Kj/7Qj5bijxxF1d9pbGqS
GBNuyh/owr9zFEV8B9yG5AU3Z+h0Iq1/UhTZfKeBtkHscMfeWSC3/yRFeX0QMxR9lxYydOiMDQt+
w6eD2jNzWZnTU6tOblxp7imKJhO9eUfLikXtHOQkrF2GiFLHBmDnvMxON+rzwlywSA9njDtI76Yl
gWuWwFHvrGw1imh6lsYHuV7HzDlP6J8xybN0MRqcabM4xAppYTgKnakTpIDImMj9GQbyTKnR50t2
JLlArZ2zVTFKCuWoaTnUYrox/TKZ0o0uS8l7MzMZ6tkgoUJ9QW2YPjLH0aR/KpX7XF8jgcuGwL9w
FAPxHiBY7TkadKSu4P/rODnFpm6G575ML7oMCnOgtnKaQJOjZjska2M2Xt6MFNLWvoOlni7X6prn
eEDPZs2uxG24RDDJvFxqUTjJVgJ1IjV7Nb/J4zX7lCyCloBgW2cmq0lbaU3xsSnz5w8K5KpnKC35
8jzEKmNEbaWu7wkojJoVraDcxjoNpW/WmAvQrqJGZBzS80zdzpSoS/il3um9B6wydtsVnS0g8DED
sGYKgfJlIqy1ZmsTnt5JxVqWLscp3Uwwk1VNyVGywvM2S/j0MVXSm3Nq0TQTE2UI4YAe4uuha5XR
m5VqOCgJomEMenMYW9r2rP7Vj7V0BTM8StLnxNRg3LPy61KRdQhUWWU30zP9Npak8oKz80RkWLaV
707dvMHWqzB9uC3N17SAbIBCqaF+1BJ5DjmEtrotrw06QCskqByPt4pltJVBqx1NPQDUKj8YRRkD
tdPqzckTYKSJOIqaN+YUduJMLdGfFJHCkNblaigtmpXjvOkTFDldadn5wrF/BgFnL0WfWWBhl+4N
xWfpZX913z6kipw8+EImI3k6Yz7bPmqdWpjJNtJgyzI/gVk6kCFcbG2CCzSThblPjmU1r6lV1Eni
qA8ZPsqGeqjNSnM857Vx0xg14qBmQ0vlLJ3vmUAvXHlNF/f3Me1JyPnfNZe/7xWMkcHJZ0+uX8U0
dVhjsSiB6SRiS/8szxlFvI6z3jR523lBqd7S59FGQLLswkbuPyP5KS5HpZELy1PafnJBHCOJYiEW
0kGXjCiUPujJo7VQx2sE6xwKVqHeymlBb5DMQOocAwHWYyqDxT2n50edhhvTTxAcsRn9c1o1tT33
Y+EmpF/frVXLb5pmGz4j3ke3BaAQc/R1LKGW06dSTBlVEL6v6NPdtKpZXla6VRs2VLENFDA9H+GU
HZ0lYFpxEoxVMYngI0pAer9fxifeldfLqO8IMXDXmgVi6mWAzaXFmGa0SNy8yLT3ddVNH8dWvy8Y
8w3XpBwixBcY1ewAR7ewTPsophtfSnHsr9F+kCJ9yob7WEoFeG2nlb4KCF6jHQp/FeTpjVf+MnN9
euNUnAHq4d0VqOv3E8gz67Smc9pAPjy6WyePH1LehjfnzebXoygHKPK2kELsHOlsp/qtZfrFzuAI
JZm6DuQJoPirZbKsDkHAFfwk8rF6dAYIHUo5yqzDtjZ3Jlpauy4I6mpZX/lI0zD3WaM6tVm1X9Xb
5qEW+z2uEuFCXeXK4zgqHxa6sW9ozct7BvnyZXLMo3ywayWDtHldAzJRI6tqnTlPBt4JKR2tYghS
4ttm5PDtbIjYMHy7rOku3iu7pR6PXjwhEoZAzkeLilk4Zbr6UVZxPUUrC5ddjBKkZE5VqMMmAYlH
OQZM4EvwN8Rp8uOs+kcJ1/+0VMoyNEPeJ4r/czp1+/1cfEF2tk9hL3+eVf3zt/9C36hkUOCnFNlg
EoJTzD/lH1l59wSnpNKjUfx5hr6RNUpGvHGO3fxEBxbz79RKe0emRTYmk0Aj/aD/EfYGE39hWz8I
OU2OVa/Oi/S5VANNX+WUR9mxPfSXDCOHNEwhG7HNk3zY/6lempe6ZzBO7PcOcmEH6bYjU7mKb7JL
VGK884lR2ZAOiF95+RUV7YPsIC1+yC+KL2UES62CcMxqNxFDSsfcS9zF1x3Jjx1Ch6t7+mGKCm8K
VWfk68WVg8Yt3pOVwTS3HFNnddqwPfae6kAtd4RpKRJC+icuc71hF63e4IuBemiDIsjd1RP8OtQP
zW1yUFzJLS57NF7t8SS5TdT4jQ/+8zKB7NqWfMUdQtUVTvucfGabF8XJCNtL+WBc6UF7uZ5SV49U
dzuUl1k0hY1PFzMofdUTQrpth/omvhYu0SA7WJf1qQrbnZbOyxzaZBHD855w0gJ06CITahPEdU8w
JTN4zSw2lD738TX4EHv5Cy67CH4KL+djFb+3v0de78b+XWZbjhTobubJXvyoO6yr34T6022onhTy
CW4bKC4IJLuOet8Tr+OL5UBXMwD470D1HI7B2U392W8jNFqD7ji6UoBa8qfuyEy5rzi6qxyKC8Ob
fSMoIimYr8/hxF/N76ub1N8C62ZEOieCQfAGWnynCOhTqnYRTA7Q12B1JwdCYjs/pIf8YPrKo3Qo
rotv8lfr8xDW3AfSUPZ45yTO7A624UyedugvZl+/qiPVRyfVK4ImpL7jpuF4YdzEV+sFcqeu6Isu
CoR26+pX+Xvxovq2PdBqo7eU7FzJdjs53aXodh5STZfWqY+KW+SfvTZaHhHkc7TIcCs+hCz2OAUg
BgINgsHBk7zCz09IFbplEMNyQQ6EFOmtcW1ENORZ7SxAENrfiuvzAalKNw8yV/yAsMdBPs4fGLRz
4YngZk1v+JrxNW2WUH1fHZVoDOlTrJJjXqrvpWssMYi9zC+9ln2CTt77b+OxvJeus7/YP/xmfgMh
T5DRSjiogeBnV8UtzeIL+VBe6Kf6aL7PTwY7oLvIo/RwPqjH/o0skDLQf9jqrwLsXKPppdetdIJo
3oNfY/EHt3GhMgpH27Ab7qFzHx+HIPMNdmUZNRFnfw9qHWdwhTsG5u3eq76Ap3JKR7TBO/izh8iB
U9gPmZv5qJg5gKRgrbezUHK7iB3mF6EE7aGdf808w8OKHHRMHBSlfcMHH8P7VrDy4agmhypAhIn/
BjtzoPsJlrC+0Y4w7Hjw6AZJkAXZd+isOWZo6I983/6q7qdwOEJqcG/m9hJmwXrVhMD4IYh3puN7
wTEc4UF1O743hPGn1Nej8qhGhRO79b35KTnJkYTu94WJLZ30KwwySiL5bnuvvTe83p8OxokSYRJN
h+SiPG6Xsd/76pUWKPU1Gk4elRMHNvfTEsDujnkv+37wJ8e0Jb7/CPLP+fKptL/CXunN7AV6wm7v
iQckGu1vjzl/P7vsSX43dmAhdFa7cvkkr4+0w3yRh1OQ41jNyzYcYMXU/AmqI1tyZw8IgZP5pLZr
aGGPwjH5gMW5jfNFt8UIknYHalNu7hs+/EINeCkn4Xi+2PzJ5dDk1N54tK5LR+NfxeXmD77pme9V
pEsDmEoxPTnQXDA3LjzCXulxBrTpk12th/265Wn9K7nSExtJoIRL5l7tpx5bIGrD2lMDOnje4hY2
egcu+ooOEA1H9zp3dlRHOsL+7qAs5Bf+bM92B8vnSKjpPdrn9mg/JkSEycXr24t7jjQXwlTkw6Kc
32pD8X0b5hD0GJ9ATWF+2UeO/GxUJRKIQAJmnPNoUAa58XsjglHJlgMhbPiQ9NDcJ+74Vsqo7qDs
Z+nYv0Pm/v1niSrqbAWjHqZ4oqVx2ghlABEClEHcNqwAwfBOOnfzO9d0eAKWcnSMi5Q3wdgPi4Pw
oSu4t9DL+KOn8WXGajxAvu+vXmV/OztnB0iTzYk+4AzDhEUTlIc1BADBNiQF9fctS//cXdzPZkC7
0ic0Q9Sa+4mHZDM21vnlbO9mswdJfuAC2HCg5/cm/loPJL+LzEOMo+p8E1ceeyVbWPw8Hspo/8A+
1LEx0akuF7/lqxSn2Xo9/41eB6NJAAusbTr7t7CgL7s99yFT1fwbJpyoeK/yQS00cBYmIXOZPJqd
hYfdP7z1pCjHWAb3x4PkJAqMwuEMUtd0SxfhXy+P+KsTA/mOYbcPI08nYz46D4NpXbJoBHHFx3vx
5OwNv/6S3/H5rCvCh07s6Z4YDD4YTE9yKy/jP90hqzjweSw3NiVcl/exZ3ott7Q+8lqcxmUD/iWK
dnIbJ3Z63x9bbEcNNhdqIqd0EReOKt4zFGP4To6DvE504lzLh7NUgrNWdswAOCq5Cobuit7krmyc
1dkpdPef7WsGxxQvM/ETYgczmwRGDUPm3I3j1DBlRDUIQbsp157F30luzUXOPEMFXemFZCMV74J6
43H2VGnw0a0M8QS8vRVrYYH4DcHeTa8O98U7R9tH8zQfVpaj565N3j35RBAHzUUa9Yd2N1RXD4Sr
/U0b7hqe8QEGBpz4XVB6nXMLaSrPgPiBfXYeAaLYFreb4hUK9uy+FiBruGnkOZ4WeeDmC/4nEgdE
Mhq4MzYMltsJ5eMQ6KEeDkTlzI09KxSO+KCjcD2Hfbhix/u1VLK8fY8kbu6lT4aJnDlxpuMFNUGn
O0IEKoyryZ7BzttN4nyBbwrL3ZLxLiImluI8Yq8LwLW45B0O+Gin97aP28c02kEIbgoxcB32CT7I
INQb2LcaDExKYnkiUbn9i3H+qPOZdeM7aTCHArt4t9Ts0gwgSvaFsPPD2JmPVkSjKdi3w8CvQJVo
K3jgyYNI0k1JdXHRjhCm0fBVxQ1bF7uvQkuXJZUx6f1RKWK4Z1YUiAyXMLAqmbVcPVY0YEvdmPfz
jXqJT+NdV650qtx9vRtuRnWKkPTX5dPswkVTEa8XO+RIPvAo+xygUG/DicXvoHPDhsTVBzPvZb4E
zokvMTFKyBOjkZ0Q44sU7moiULAvSKPFwDxpX3W2r3izBiYhBki623wRghq3hs4s279+wALI+mWe
pCe45LwbkU24X9myDR9dGxIJ8leHtC2MXaTnfYvnhHsKR2B6llu7JHNOySIPPgvrigflybeJTxa+
+BIea488+25dHWl3QyKvmp3qKOSfDY8Opv2ih+mNOJKypq0z2bELdtOTfOjAZv7sKepxK9MFnWl3
ssGe2MX79Ft9uS91e9C40ZJlwHvy88azSMnNIL+LSbGbqypoSVRSlwIvSfd23PTT+aq6Wb8v4Z4o
oL7mZaQrXYjnYKvHgcSvWZdWZU9HTiUeGpZBcUoOzBfkPvQbbn0A53soDsmhDsr1AkLy9IqR3lN/
6r8D+bUB1wQAeh2SIIjE7sEjB1nIvfjAfBzmP30MzE7dOWgdlEeg4p5sFGTIkuqg8bNwI4MiuSXP
yTlSZHbldGRFe9olcD4Bjbf/5w+2+E1wEs4MltN4e97SeLwgfz2Nl8uF7uS+6Q6wZlvBQKK2AGy1
ez5ehgI88+JIiR3rsgmVAKVkUvbCEaPmqF3GdyASB74Qb417Ck1AJ/ULEjEvZe7OrgJgMo4W6IrD
KcDOWBZIcz39bsKZRMMxjup71hdDAb1yNXIKOR/l61mwzcbO7tVIJoNTPqvfzDv1OgtYHn43v024
Hf1T9h2euqN+DTbIK32QYxkypswTOMkN6HevC6uAEEmaueehdOI1LwkEj66gX5EpAknk6blJp7SB
zbvQog9hQSalBXzDbp3eviY3/XL+ApvbsHrFRXaR1Jxr0KQJZr/xSPNCJCXVNkS4Oousz5pmp/zZ
R/k2BvqNnfBFfccvk/PtrxdeSR9hBo3eIJYMcMito/0cZj29N4sPZOL2i7ochc+kpxig0F/EIRrA
dnIHUk+OMmZcgtSvnbObf0Iz2v268BLjr7M7+4v3haFGnEJnm7bJTuQeDcfw6HfYOtbVuw22O/Cv
1d3TUKaRbfUpa2RkmEsw4FvBdsmZi+Ol6KKa4UN4yXdXAYjvIyBMb2idlYpoxu3IX6soizovvdw0
f3lc/c6Ludye3cI4vnD8arkCqre2zLY1uRJ3YVsMyIbCjezrPtzY3AYKhswc28m38n15uSaB6tcE
tz2tIwnCrcXYdBNyED0ZHtaOW0/83KtcpnK5luhL/E6DbyDm8OKwXefL4CgEWm7e2TdNw9UZL3tK
ujN/T7Z3494Om3P/mAd7Prsv134EQRqX22GUlhDdOOIHAR+l29MBYkC7I2TvNzU6/D8OSGahcxwS
2TkHAZnvScQdPpm4aOD/4bkhk96zOuGYOwQ1DqNnnJ0LsyNh1Nyfg0XnGBqcvYGbpQLKjaDDh5Pf
00FIWkl1c8/027sa529FZQBn/ROnPQxK/Cbh11muNB5ADa0DdnTXRqwXQQkI6sPmw4+OUzaJvWBU
AzNsOG0QSIO9/jIE6e6GvX2VOQLglEkLLiaY4h97MkbBR7jOoxRLbCFxsfkDbphEyk8jVO8v82jP
sU2DtF62OYGo7sLDQDbuNd85ahNh9uOiQFbxrMr2i247883/If3ev/8s/WbcIKvWupFOJKlkmhWN
HgpLxHXvG3mKB2XxSgw5Kw4HAF6AQWYFjp1aEJUjfFqBB0SOgFAHNTuJyuYmYXm951tLJO1xIUhx
cNSnqCWRmdrbVXwfn+JTd2FddRFN/AhqHSocFhlr71BjIqmeDxo1o/6hvFs9ph+imHxvdnQ8NvQg
e6EmrA79qfSnI7y4/A9Kiz1onIajHu0ecfTN22k/tnGH04flw2JfGwShKujvGbi66k/5bf99DwPS
3R7faFIiw6CFkl0TAvob47jYXyc2d0U82F2VZdNdI/Tj54l2KuaculoIc8jGj+E4wQWX/HLupgz8
k2fucQWJ0KOAN5Rc86A/SiS+1I/cZsBpA+hl8SgsUaTbQ8rGwXImReX6DpUTZ/VLLpG7/Z60+ntQ
YtrNn13cBL+z52jxzeLv2Y1GoYGs2ZYfNnfPDfbynew1fo8j2xeCWBoIge4Dw356HARrSApb3BRv
BMC5pxKdgYYfzspNr7Pd7ZpS1oRHHwAXEzINKgj5ORgpEMG5csuj4wYY/PCmB+FmY6Mh+e0ph4yj
vkbUnkICc7DiLxWPzcE5K/MpohP8F/Kfzt/zSNjgyBD3HJvTAs8AGhRYwpV13ZzED/lNBR2jSKqX
n0AskLfunkpIHKciCWscmFEzTLBzd5ukueZ2HLWOTHf59zQPnTFiLhY3vdrlzaI76aHbHUi4H205
XLNnZ94jibnNBrzaU8SR/GdP8RSvRRwjtZtD6cFL5+yJ4cLCjRGhFV/S4DX2lK4hLaOSQ1LXKBf7
ocRgP+ZPngs/doEW72VyPbsLPmkvOVS4GXg5yGd/v1uZVP4Pu/UVwqMqGq0oU9M4xd+lKzRja5sy
xJ7v3Yvvt1tk6yGN9Td3T2RNXOOeWkr++Vq4mqkyD5+0KLvVrusjVbWb7Wt5wfcf4SXxlZAY75kH
iCX99AoBY2/PHuJrKM1uwUEfpUA5bI819U2oYp3Nk6lyrn4W6SSGwwUHaNIYjsbRRErMIc7vwvWq
JNfQr7ujcb8dqO+5fUTQ9IpDjYlkF8gZc8Q8fSI44vpd8RLVYuzKAxIfydfyp+FQXRCFSGhlYlns
jxQ5W0oTethH1o2ZuPNXRAnaqPXR0zlaV2WEf8eLUz6n8qZcyZf90Yg4env7AT8PrPDpFfxR/+V/
GR7XMnTwIHQy/nN75n399Uv/X9++/9dF9uX8tR674WWP5u8P+LtHo0jv6D3SVmGuGTiSjrH+DdHd
fwKFlgzAClEAuKT+GcNXjHdAXAxE1uit7/RaNHb+RujuP6KBrdK/Bt0LeFL/I/jLvlWetf/ozmjq
PiNtigYkX7QAXwY+AMJbLWhlfZNUj5C+LyJoF8Zf4ABwlvLs1R2jFCmxucSnUOU4A5x/tnS/iLmv
ybR+uoNXEDeGQQvF6rgDREbAxC/MLnIShIZmPq2RBm2T2d5k4+dKH5xdTMYSvv3/teHnA/7/5wPz
nc33b9mX/wE8ALLCUv9nK7+rz8mX54b99Ps/jFqQDOWdoRiigeFouv7U4vth1fzIegeKz8LWAYHB
IYHt/gt5LqFTz2+jbw9x3I4boY3wL+Q5fAHgzrFowNWwQ0BU+keGzeZ5Zth0NhEqBDhqQs0EB4Go
7A2LZxmdUWS5lkK9dL+YtXWhDjUeM68E95zryXutXKYQiu7zncqsdQKXv1Uzd4+i39oJDCGKU+eO
wyZxiJYgKnq2jL+w+L37+e8tt/dcUUGkmAsCX9x5Ofau6bM7q5ZGTBIGdO5jMe3cmHkou9Vb6brV
p8LvBLV8AxD500rs1+N17AwICpd/tcXTSZ1hTE2m+6RnGL6cGxiY8v4t4bVXsMsfjyUxZQT8kg6y
+dQhevZYadwUUnxOp/vGKArvLFhMYoOAgCE/teb35ggUK83N4aKSdZqkSJ0z6dON179f25cdZ26C
iRYd5CechWB5Mc+Xa5sVudozYV8/nM/zGvbDmnxa27V0zcocPwhqg4ZQHcc3cluLN52KWtbvL//z
Ipi0zqFOMnRmBBh8eHV92IoZSq2lBXybNTtoA1TOKC/mtSIO0iXku+QpWi7DPMzQd76oH8eCWfff
38NPr5tZMkArELIapgFNy/7zZ+/hPABc7stkeOhkmXpKJXPq7Az9javsD/LCiPersH8NmX0Gu8ar
B10WZoGldBkeWl3hBIMWLxRioxZ0gKffuNSrMaX9pTIfANUbu5gTm2y+ihBbM80SerLrg6KVW7Rt
iRAINQ1XsTCtwyQDTLbrJpU+WoPwUZ+hLRcyYgpw7ViunAyBlDeI3172On/cDyFZMuDW0YFWvDos
qkbV5tXYzQ8wZH8eGfP2uhi84KLdLCXlwoxJ7N+/0p8XG1AGjDwwZOEbVemVL5PNTZ30plwf6iWn
gmDp9IBkhp3TKnvrCPzTpSxkWiVMl8kMDZLOV9YD5dbakw5MD+XINH6VqYASrSn1FrWX33gq4sBL
E+JSwO3RhJVgGBVf0zifmzZvUsh7HkbhXPmLYQmHeNRJXjsNVNmqi55kdHSh6krx/nA99ytDSEVC
ZkjY8H5nz7ZIPowpE2wdbIhoyobSMAqu3tfAMLQ1feNSPzl7LqWJOpgfQDc7x9nLSy1JekZVQl4e
YjW+MPriozQlpb0YGYPhvfLX75/rJ8PkYsROKBcgutFZ1JcXg1XcKKcpHh+KpYGeWTMMikG50YfN
WnFcy4QKuU+zdv/4qpIGrpohVuK3Ib9C+3TbVqxnIxUftqKK/0KU+6uSdUAfMlkIhRECbmMVlMff
X3Nfthfuh+QCkiAdaBMPq6ivdgR3oU6T1YoPU5JMjjXHQNX4gPCPryLLODhmbFQyXutV5ETI2jK1
Id4e9D6lNKP1qCQpS/xGfJZ+YSOsG8k3mQqAeO2Vf4vXWpkabdIf8sY8QfhmN8kuTdNcl9l4MXWe
pHwaDA2gBzpCDws65kzHh8uw2npC6rA8/P6hf+EB9ixBY1OSxpG/vTSiFsY/oawr/cEEj9VT8N5q
ukfbWzNFv3xqRpcIk5xnJIiCX14H3P3MkMagP6SpK2fRXNrKMTuZtzOopRsWQY7ar0gKJt/gsIit
N3zPrx7y+cVf7ZRaMkqr6nr94WydVKBCxiWz5n+6jjJUaoQJZZ+bYuDy5fNNyvkMiU0OcQdw4qDc
OibFCgMp9VIr/thOMVI2PjmlZOxfvbyUMMMRlSI29tDO+uwVMoBWva2bN9ZM2c395aaTDZDeyHhr
Ctm7qry8jGTkXQaC33owzQmheugrh+/JXJ5jBgWMnApR3eU07bRzETUDeu6tmSy8QKWoUVdqVfUT
5I1WaUuxnhZuLajnb9AzNVA0DNJWMYOQosuzmEVG9ViDQNPe2qKcHVMZ1qPatNM1oxfn1Tb1wd2Z
42p3HtGaDJOsxUx6dYhFW5lS69GEt/QtH/ezv+HRmZNmpAjqO/FJiuBZxNCYhE42kNsPDE3UXoPg
iNM1/fxGsPg5fbRk0lcIRkVGUaDae7Unzoood7LZWw8wo1AcjSE9seOhNuSDbGVzpKwmLA6rqgHC
HWdxu87jogD90JfVGxoSP7skdT+fKTLZjcT0zqszCvwARr9kcMtDJgbvP+JWriwWRSjM9dkrwLe/
4QN/Xl8UXaBCgCeZeoim7vfzbH1rdWsrqRuKBxHKH9fYkErRKyYrfr8lfzodwFbOlALnQeDrlE5e
bUl5keC9ZWbmISVWgzdSGg0RnjYOi3nSrs/J1B2TM3qjSrvQgEmS5g2X8Mvr74dSE4/HKPGrp+xW
TS0341w8MJKUXS4VtAKCmOhhVpPn6JVguSh2G3T7awE2Lil5YwNLu/m83MA8v8aoBuSNFtj0V8+/
lLMppKmeP5Spas+iEBBhKU0yDeEtCqD0PIUcQl/j/GJUSB30divDdpXUN4zrFy97hxgzVMgsDvSA
r24jbqV6UGJeg7l2TNuaiARKzbb+uUntM8VkzYyhSxwhXprUjDh22xqYVA1PsdeXy3JoxFy++L1J
/fJZ9lFJArdF6H6VIpRzZZw1syge9J3MZp5TUD+V0b/x5uRfvDnSOWYJ9pl8krxXQXmMpyGeJjF/
yJql7G1Zyovvg1BAHFIaWUxDdW7TUwmzzr1ezeJX0eozBO1iWhDn+HFn43s0xFEABDcbFka3nddH
qRCARC0wqe3ESxCf/1/uziM5jjXL0lvJBbSnuRaTNmsXoRABrSduAAi41tp31INeRW2sPwf58gFB
JlGsUVdP6jELJFz/4t5zvhMlGimOCf3VXqpK+/f36RevPhcAzna5gmWH/vlpgI2GewfX+TabK6Qq
Bh/46FNfaQRJAtcjo8P2i+csly/KHuD17w/+8w6Stx28PetE2L4sso5mroJgwAiOSXybw7vwuihD
3Kn3xs7yVSSapRSvJ2WJGy26/BAXvrwm0Xq6HH0RR1Pih/+F9x9rowWYFTClenwvdIo91pDl8a2V
isa2EaNiNYRqvv79RS939OhjNxeg8vtxFkPs5zveW8ZYt/0c3c7mgD41GcNVZAU01bOMTXShjV8c
7xc3GQ66xC3mqwOrebxa1g2l5hWtm1tr6B9KAxFCEcqaPUg6MZGjot9LbX/fq03g9sUQA94SCd4W
++ZEqYvkT2dSSi/4R6klqhTfDfCYn68+jDIjjae8vQ3AZlS26LfNjv1R5gVwNte89c0dNy5f6YGa
BSA6g1uyTL8ErByPDstZMI3jNqMgwzb36K2vBJ5zohjtUikwoczBnmJVGpD2WdDMFcnWynKqGSoY
efJBk/S57ZTp2hfk19zKzoupvZy02vqiRrZ4TT6+GYz/S0mFmAkse2AfYXx8mmyxUhK2SJTavcEU
vw+6Mr7Xm6bFUIiBCrkjJDJ4OHUj5fY0TNohMNPqXq8mtbWleNYRgaRKelrlHcAaqRWJPjdS5CRG
qDR2P/QNPWN98aHOQS9dZyo5DbYwhcCG9DlF3pJa4r0cLPbLuR3y68oqJJTf1HbOm6GRLqiwZYiR
FUz/clMqo61o0BicugiqxyBKw5eCafQ6zYpYsau5yfmU2Z1NQKTmuLVlza8u+0HIH3P8d7eTiTcP
XGYRorJU/DB2JD0On2SxhStsholF0BkEOlauwUufKTlDqyYXz8o8FdeFFCrfWkNQFDtOMvlZ6U0Q
aAC01WfJCqoLFQgSQolcC9BplCIL2Zl3aR+1SvhSWgb6ynxgTa4A60Tsgx3sWmiKCcFSXJIzqYWz
EC69lfhBzDP/+47gjxpz/zmczn83+xST4Idx8Ccn+tUTxOJ/7LuX//g/T5+aF8s/+9G80EU6cvT4
6FCwWyKZgw/gR/NCl/6JM4rFEdUaaAt05/7VvJDoT+C0EpcSC/wQaCL/6l1INENEE6CxTkGQUBiO
9QfUHOVortTAvfA7KDpgUpU1LPCfv0+Wia1f+g0ksElZ6VMcWTDfCKYG9bqzqlF7IYSguhpCq92n
Uj0gCVYadDdTcRJpRv6aRprKZ9Ya0wVcXVO1tUydn1ozCPfQJBHt62KMKLqoKj4XP+zO5LHeK5ml
nrMisJ5yP4rOg8mfL4Uokhz8ziEqwinM4M3iIbcJcBcu/KoJHyWSiVfQ6ickRlrVM9HkF1Eiduj2
UvCMYxt8n8f/6K3+7/a+UtigTLUUN/99q+38SUgj4SWMnoSm6T6+tn//6+/vLr01TLdL5hERFCyf
l1r491eXn3AkFla8pO/YbF7Pv2AKpC4RbQDeQFlKg+9mwL+6yTIwBYOWHXUeERgYpdA/eHMXg+DH
qeVv+8Kyfv2wf7NwscclUT2bolCjta+TApILEdJ1ea4fLThv9ihbRBBRqtiIRUQ4HvGeHrgAdCty
KpdbfEQzZnEzejL6GiyhOLL3VAttF8zpfTxgxe6qBpCdgcA7z671uoekYNYZznaiFrQwm3iXy9IB
FIy2LIypuCTWLgxT4zJURgHZOxPBumjMM8Hvhn1qsTHQkkS9Z+qllNBPUWf3nPyhytNHGASmY85M
Zw0fIqFFUByZGq8k7Qnqc+300oQYOmpQzleqk8tD40pNA0ZTEYtD7ofTpih9Mn6htZJHl3OWE397
o5GH9KJFuX8VxrVERrMUBPth0vXHgFL1LkhmwysroyK/Cmzc1EzZvk3p0rq5kkakPPjFqxKr8Gl0
JdgUglGflFOev8yy76/qWQ+uQRAYt0Yr6eDuxQjQbFLvBEuSNnkQKRdVMSkeAqd5leKB34USwAHJ
mNgIWyJ/TPyAmZz3y9GN3CKo3pxZEbTQuWX4gDac9+B0CHKM3ZLab33NR78FouqlIZ7CtGPerdQO
TRHbuggVtOJm7sji0z3NapS1quZt7LZjGh/6Mi8PUKLhk/p1vvEjTUztNGnFVahD0GUxmB/UVpc3
ZSzGp7pZ93dd1JdOIfjGJZO3dTbRZtnnQdHfTEWa7upCw1BCwq2bZVl6Rh04ObXGCiW3rhZ71ZdJ
gC4lsAxZ6/t2G+DsGoowPHTUyJ027tGr60LrEqJQ2COpdDZsGskTxWoWKHXEkwjJnEUOrnXHHJWb
TACg3ljmdDv0SvwchHV50KL+wsxKPEcQEkH1ReaZUZNR0sSE6fotj0uRSd/0p+ZVy3z8JipJRUYI
BOJ92PijAfI/N+3/WrWzHOj/sbQCXVuaynBelhmXwgncl98NpVv00P84Leq3Ik0+DqS//DU/FDq6
8U/W+iCmVJVxEqjMX2OqtPxEgnGwNN7obC8/+UvKAIYGSY+8UG1EkGLQo/61HGCW/CfSB4Q1xGgw
srJb/4NB9fM+blEMvf8mFe83gzhN3c9Da2oGC9S+Cu+63VSjyW/u5y/6mUdlx58PcVQqaQEz1dLM
IVzzJnjq78EsY91D1Jz/IVzu+GKOtQipYSC1MDlSgXgew+CHR33+fXP7CWj5uUL940KWRhtSJqQV
71qjD9NQkHfQrsMhvEMXykrldL7zV+J1eRqtfn8g+fMS7ecDLfPghwOp0mjGpTyGd+CkSADNZnwp
NeKk53C17W1lp+3aXXmCIxtBdrdFiH2qeDAUiK1ewet1QTxYYI+/2vRqn2bfn89q+fmHs0rjMWCL
NYV3oCZmpOKbVfFqeR1uEsyiT+Nt/zgykEtf3fXlDfy70vDzYY92uWHty2plcFhxh0X3etzOe6J3
hbvmpj+Rdr7dnCP2iLF87nbG9e8fhPSrS6ZUjkDgved5LPMRKiHW1bgN76QXauUmNYfHwukeSKNT
r+vAVs8SyNmehoz3+fdHXgoIxxf98cBHn6VFoR740/KqTZ4R2BJM3NuXYvP7gxzVVL7f2o9HOfoy
Gxoahsr/udMJEScG/YH5Vcrg8i8HZJW/hJkIDlPY74+rLCXYn6+O1hy4PwvCxPLzD29SHxWxSaBz
eKdmHvA3oPvBNHuDSfGwpMgHLVnBdmvoF5kWE803bhUKOcx+ensCny51uoj0jKAnsIT4neKQUkNm
xZW4yWhcxUL9KOTmbZKZOC38DAuGNK5zWXgrJiPcGIWBCrwXotWoyG6SN3czdBRPmssf2wnmsOCV
xO50Cor803DxebX61939+yqPNlq5FBrTKMrhHar+s/Y8OIyXsBZOA7u/nZ6lB8UuvmgAHIkdfz7i
0biRx4QX9PIc3ilXACUl8k9s1aMoZbMuxed1b8pfPcmvrvFoTPAnAidqpDp3FT77CqDGRCEK32a6
Fx3q1KLl9eeLxzPzMLBNjpIuLHbLdPpkE4X2AgPHiphiSEzX/O/kTHDlkx/pXf/2QfxqAGHXjTAO
WRxl7qO7Mpu9GNIEZNzazyfWKYLxx9+/z/qvJlFTWvS0ixqD8uTn9xkuJvSpOoruWIrjoSAX7ZBc
Fpf1N6wKi39B8F4GUt6w8M8noTudtXfUpnG2PbYnhKy1Jj7/6Vy+EhnO8bncBejgobBj6zWwiktX
4zlmclBMr7FjPSCv/0bedSJ5F6JbnXffYExh4CHHDmsBQTzB+dNi9vn9FSq/Ggg/XuHRu5yGlSS2
oJTucKBgVu3d/Gyx7dJ5TXFL4M+8FCFt7MIrE5NcNeFcwjkFtEN9xn3khI9ED/Df6gohOpbiL53t
v5owP57e0SOepmnOVckP76Z1jLdWDJ3mNoEMAm6hcA0cS+163Ek7cR/ulHNrX34FgH0X2hyPaB9P
4Og7IKh2EHtKG3eABPbgzh8ogWwKpz4ZzhPn2tjELjZ0jDx39a5xLWzPFR7Oymnx2KDkPxkv8ufz
p5fxIl1AHLgd7jv8P8qDmXG3QgBSh+JOvmxOBmqBmDa6Lz7jd7XAT6e/YHkp3LKuOdZlhXISwScN
ozv8+oAMahg3a+tFw1mTr2IcBYzJpadfzV53Fn1DKQ2d4O33b9gvxy5qx8huOAeVU/n8DckhhD1T
j6O76Fa+lV+FS/UbteB2l2ceeHcVOzlulOyLCz/qWX4fMT8e9WhxAX440ZQ8i+6A1ZxpG8E+b/YI
BHaLMeaLC1yKFD/d4w8XeNQzqEujtHyBQyWnORalAyOCj72DzCaAGX7h/f5w8q9G5o9XdrSCqBSr
SIwij+7woUAowuJ+6oNjGPejy4B0Oj4L3vQgbslPcrHVbJsrGuNudPf7s1hAmr+96KMVhjFltKQz
LpqPcj2Az5nX6XN4Fj5bp8FOw8JUHnoIMwf/VGTsXP/+6Ed+ux9Pl0hIle4Qr/Yx55p4tFECIhzd
LT7p1I3PKHqepHjEBCxg5dvwUGEkxZENMQdER+tCcBB/QMT+7ezzXR/z04PXRfSOqFfQ6h01cafO
CspC5R7cb58zzM33V4fn21V0WgFK4I1rQL8U9vP28GzYJ4sRDgSE48m2t1sT5WSfb1Xcc2cLtSbb
Zfa9vn5sMGVn62vGkHB16SXOZh+6GCbpCLjbc/xmi4Pu+TZYgULAZ8Qs7KxOMGXCt8IReaAgYzf2
48XBWJ0U68eLxD6b+beavQJRDUBCtC9GN92Pq8MZdE4AHb6LEdaBn3T+ujp/uHzxpjOKHLI3ryL7
cAbVH79bYZ/0rr47O6je43WI6+sNN7N9uH10K/v6tuLPLxjKnLPDjGs6szeFfZ3aHH9hWtn3K39L
Itb7DcA8jwOQ30qvhGHy9ewREpV9UbiZfXU62d8OjzOX4J4Irnd5hrF1n+IP07bu6mJ3i7fXPnA9
37Azr24237Dsc3KAB+zNTYc39du9790+gqPABHiOTZKR9irhz4Vzxr1c3o7x5JnnQTAcVkMy1bHy
bTX74nAFe+Cwbe3r9Wg/TuvHE+fbiL3wsH0cuajFkNm6zOUWZ96szx7ZqbHmshys2WuihVbJobUv
CU11pnOd30ISuMt3t+L3tzaewRYTIH948TTPW5u2M+4Ux7nydqcY6tfb89VoP2xuOFXFWffOFlc3
zSbe2/3d6dVJ6pza5/uZ13m/2VkOnnnX2+133uXetHeWe1/ZJ6CSrmoP7+Ceg0BO4ln6vF5vTyZm
UFaki8l4/aDiufR254HX7kyb4f3Q2ae57W0WWAap0U7nnF7J9sYL7W/zSuOGKruX0MWjLeyUnS2v
nuzTm8lNrgP7MYQCoHPjvEv+U9q7YHl2sX2Lp9slMArOQ2nvXw3H25Vr/8TbSc5yZq+Fs3JFXjZc
pWenew7EeWIKPJxFrvfmubv167LQ8U6/4aLddXg5bxjQgJGce7m3foVfuqm8Q7e7mJxDD6oF+yyw
qE1ibw6AdRx5d8vXDVSCV/a6dwHNTBA6bm4PZ5p9vzH4IsCaQtLw4LwY9u3h5IIzT1xWZB4GbfzS
J513dpu4OKPfFPvq/htv8vIZGfZb5nqbm1vHO99NvICn6wduX2a/3W7uB5u7O7nx6dN+sWmfPgTO
w+Lc3HntxYRnHY+nt7ApQjs+8e3Fj82jyBfL+WrDzS53IQZmfuvy+xZYzMLe4YRuvBvOrvV2vnN1
cf882CcLyoLbC8xhQbLV2+tbYBSsRE1u4QUm6RsMl5vytN7lzq75Yhf5Lsz73fh2VJ2XBVOP1Irx
zWB4uRdO7mf3+dDw1tzypPhgYcsdFtxMwwv/fI19Pdu+UDaotnemvV/Wrj08BsW5+q+tChF+sMWl
r0cz7vOSoox9CaRpHVE5yLeiF8CXWJfbILHTqxiYxOAOZ/qGyKjcA9/GC/f72eddN//Tfflw+KMZ
2AoJUlDzZlkTyhePxem4xXJuryNPOfU3+pm+KnfJWfXF0/jVhIsuAPsEyFxNPb5mMUyi3lSG6K6p
o9JLTWEfRsGLKc0Q36IObz4FbGrsVeIEQ6x/tcZZtgHHl0xiCFBSNvVEPBxthLLMXJIbOfrgzVvx
zXxTH4Z7+Z5tSXkwzoXrHybdP6pI/6+uaeunFLPkP+yufn3q/lG8/eOqfWqjpo1emmOr3Mca9P9c
vxanT9nrT3/p/8FK9Y9eHS/Rv+/07Z/KNvycqPv3P/tejjZF0pmRDlOI/t6R+9jiQ8Jkot74wVLn
1fqrxUdLm+8H2wbmU2T4SwzuXy0+8Z8o4OBbY7fDrYIi7k+q0ZL+eZX8vcVHRfpYF97QL0/6qhLW
hBWQC9+URDaSWpgnrJBLfPLlGD7kTbdWJ+lhxHFqd9mwr8Zyq/VNSURkRl6dUjxIUnDSZOODXgT3
E3yILtmZ8mM4NTC9ugu5pm7US9mbn83Xgjzdh/Nw3Upx7vTW7M4igYBqW+pO0JCa2CjhaeEH21Fg
JUAc9MpqrdOOrCLbMpJ1WlIQDFFbuuXUrAZhIv85tsO8oNVFnuxc1mTDdXQM0zeL4mRQRHu/nx7T
VoIIHs72LKE/0S1HkTAX6Ka40VttaRdd5nV/GUj1fdjoL2OrPkxi9NpZIY1M9DyRLN+RKLnpiBHu
WvM5rQQULFPsEwForMXOOIuJk2ggTmJZuhorzqIxdbvpK9skX9FFqPJUpNJ1EAzAIrT6tVGGyxQG
9IGblYctOATrQh4hGpszCVpFVhwmIlSIjWs7AHo48eVQX01VfyqSMGabGVSaKAq+laT9kOA0u6Eq
rasyUmxBoOE6z6DBKngIKdEM/A67li61sfQdLR3eY+wuzLkAz6WfWkICujlR1oJohDcJChYrsh5q
Xxs8XwYjZtSneSSa3lgmljsTS+ex54faqbebYEqAMIrttYHgZ4XRqwf3ERTKuiIWdx110bgPtTba
VE2yFvsMQorV9WdzUGvfRrMK7Fh5CcfK3DThJHjBqAgby8e6F/VQQErx3GpqwSnlNsrIbYNIMlW5
FxspHntfrsjxMGkQt4n+FiaF18eT9V3N90cj3P9nPbdlovz3Y5j9VP/H/47yj9215R98H700BiLi
SvBUIZFZDO//Gr34yRIjQxuPkWhxAfOTH6OXrCNQwK24pAAtYVEis9aP0QtaMaIEtNoSZUFyghiO
/qCXdlTDQAm4hFBRYkTdg+cEM93nBYcmaAqvxgQINjS7VRxnb0UWR08kERn7uRJSV4m7Cs/UCFnR
J1mqKyp9JYd1sBInZLaKMqjbD/fuF0XoI0jy91OSORMaGPyHyJKjUyoJOAA/A4upnLvOIV3R2ll1
145eWnQQasfIfxLUqqeb3PaZM5cpObxlxJpX9KG8EifxqBE1fG5W5bMeWZPrU5y/8qd57pykHNTb
RabjCIEqPHSJZUwkBLBvw5jBYBSdUVYf7+tETdFiWqVxKwdq5zRGL6wno41EsqiFmiABXRcMWue+
RRKxYlxNswaa0Y8Hp9GTSLXTHLgAQXcqmRhhnrRObRj9a2qWrWpLxGaxGdUHJMcKGZ0E0mYjyXfW
pD9OdWvZmSDGXykv5eWu/b3O+X5XoWLjlkSTzZx5tKU32znFiVrWbmV0npTJnsxVTyP2k4H0l1bw
D332jdyfdZ/2ntKgFiQ+Mbys+sTOxWBVGFc+HD9jFZUEEMfjlhweu+tIDub/HTVsuZPINaXGrlRz
oxbCF1T2z6WhH2evoNWX1WVOX/rOH9svGF/aIiB8w1WTIHBxvJAOnURfKYR/dY90fPZohA3sXsem
C8mYozAjAdA1phwCtcYzzf2LLtunRvY4Y8+y0yr6Cot/JGXn2lD8AzIVcURSjNeVZYX6obUUKHUT
l3oL8yavMq9UM3E/EFzFbBOJ45Mmx8orXzENREsKigs1o2Bn17GIphI39V6LpmKfYrcCdi2SipmF
obBH1h/fxZWU3IRIU92qHpL1qE8aOCwzUL/YNRz1fr9fwCKgVUDus4Y+zqRiZJm1KUhqN0z70a2V
AUJ00ofOPNNMkGO9WNWdAkay96FJil26QsbHByiWhlNI5rjVmhA2pxCm3gg52W7lstnMipC42aBB
A0rrnaY3FxnBL05WFbGbyZpxkAphOEO8D9q4FC+JEMjPkjjIsZMzaf9+RFo2XZ8+HQ2DE4M3NnY0
Y4yUnx+Q1gsYSDqinuNerTdyTbB7ZPZOIKtvkkwH25i/UgV87s5wRzkiSmTsxkg90I8fve5pgp27
zzhiWdfXE+Zqe2KQchMBBVHzlfn3qKL8/Wg0NrHgYHH+udtEYAsidbWuXDpFTtpq7YpkToME7Yi9
e6ZARJuywi7OWfGZZGdH4xeF9PcR/egGM5cha5FxP7JiPxqbOl+op04NKjfQrWCN1xK4bZf529SY
sdI1GsSuSYaEmeMK6qrKcgp4AXalGaXTdHXvEDZvbMXegrBmtCtLaa/nPpk8FW2UQ9aG6Mq4CVw9
yXESZRnLXDOE8JyDXbCaiuJZKmrX2XihmnFvt+wGz7M8qWzCvjRv6K3gsokF87oPO2CfQB08bH+Z
PQMS8LQxnDK7bc3iRopSHByMHeGgIbagC78dEavdRiGx0VIBYyIyeHRjMo/fe6h/tN767yYC/T1P
CKlgWb9+XE8tf//7ekoh4YHXlKBgZlD8RRrfznfBpyL/k8UU4Q90tZZgyg+cFYWEz0XfjyB0gQgB
o/jXemr5fSwyRP4VCy7E/38U8XA8mFPEWDgXmOlZvmDhPzYsFhaRPo0fQXbs5xp1kgUVwhbjpKA7
ZqbdVa31/YWQ1NLeKlX/eWC+AdagSvXzGOukRht1I2+IjCtvSJUZaLcJZvtUaHp53/gGic5VJxmQ
HuO2JEqnj8J8lcvJrK5+P+IdTYRchbFEnS5IpaUHoB9NSTR+hkKsBcnRpAmwaVRD0mxizYlnFTGm
AQMbR0IQdw9/flj05Ay0CwiBBenngdYaSw1lpyU5U0BdUvVdLg31ZHY2j/Ou7PsDLIvmi8F9adJ9
GHveL/XjMY/qP+M4CErZLscUQRP6pUZ8hE/nu5K/aLkfdSzRjXBTuZsYnylX8N4ejXJiHRmRUGII
jliQM5UVcgbquE/Cyo7zXrhuJ0s9ycKJFWnRVTEkS7G1x7mD7jpGgX4iCIW2MTVx6O0+kTXELyEd
M+CgHURT4r2eRC0TNBsrT9fZfmoV56XSoN5E6pmk7u+f1PtndnzfoBMt0Aic8Usl5fOzkrpclfMi
nh0U3AFtiBjbHcSTARgnfIvRU7Uwl1DITyXNyTkVVFvIqvnemksjWg+DBux/6KWD7xNChlKsGxlH
g6p/DdWJLyaZ9BjUsCH4pZt2atHZUloKgy29X6K8XK2ayMm2TUq/sOcu5XYsOa24g5e7NCz3ywqG
GUYqN1HNFdTM6futbZa7HC33u0qmgKiD98cwCAN0atH0QTKqJv4VpVRSmlJhpr5OccF2fWboKHaa
YhJJVIzdWLlmVwiuNM/jmzqWweCEHETywkFlnTi3lvKWlNEs0AGWWpNFjSAgo5F9tXJKpfdHd9QG
Nd43YT3yy7Mxb52sqUc2XFWsE2OgLhgmIrZlyaNbGPJcJ6X13YS0u/iKesCuCuLRi6Vc7ndDHvv4
eOZR83JRlhFVVNl4l2tGETmJLGfMiUF3mdbdfBmXqnYdxkVI8opkVM25GFgUVlo/zS5ZYRXbcOyn
fqXNzTB/02ascd4wxhHcYsMax9ORqlVga4MQga/um+myMIs5cEJ9snivm5acLZ0celpYaoyVdWrV
zEDKoBmC03W1RMMiaGBAa2jM7SyIEjKSRPTXTTRO8qrJW6bUkI2RHTU94YFghbTEIe5uuJb9qd7J
Il69Nf+KN4SwOJnQpTZDlM3uq7liRxaMTuMH8lvoj9ZgMxQrr0WkaZCiY1lhYZn03RPC1uGWeNMB
unvEg06DKgO6HBfow0fW57EjoDZwx76v6pOMpzYSYpulk+eH5eCvE3Tki85eR0fCXvi+WcbnPqrG
Cn82o7a+jN+UqRnKkXfUz0UjM8Cby1jvL6N+s4z/tH7bq/+RTRrbmqpm82kJllcGpe6NgRhJtm6h
W6E4NQomHBbRYtmiJ9Z1FGfzV4v3I70goxKRuZhAcdkvIB39WC84YLoZQiPgJGTjLFeyb2Y89W5m
sg8tumg/djWTkiy/lR3ifqtt3JlaoYoJz/GD/pJkuk0FFu/3o8uyoP40JnNOJoZoE8vPwo06Gin/
vjFRg/OdrfJy8Sa+U1t7vyfa+/1JWyFkhFlu27TcwPdz+KNV1X+uivXfbe1F4ejD4/jJMLatnz4J
xd//+ve1F8GlOqsuCaPYO4/ub2G4YpKSTqmd1Q9e+u+rsr8q8cY/WUjwGPkpIvBPyaVYdDTIPKCc
VAQPBOj9SS0LfcLxe2MuCe46LQFOEeXC0VxutJ1GNqSYu1UosASr60bfBLlWEBaQt9vQj1JUK34D
LMqoVBq9Yz2EG20O4vDGwKNL/OUYauGFIVVZcr2Yi1q4i3ldriVui0yNvWB5IOIMLU+zVrSQGeVA
Edbi0IzByqqiUCedU8uMnT5TiqcX3tRK9di9Z3r6RVkSoyrEVrqL80RQb9UpbZqUzUhAUajVM8lc
h2koPYgjjginSDqR3JhaECEW60NKNmpAnJVXWzL7wqBOKRmVXUoRG/9ZfG7WOLrtOqqwf1ptKhB9
UdbddEOiYgcTnNxGcmusrODvTGmLoFEZ/DeqWArxKoreFeteBD2jOn2flNVBw4+eXFRtOao3TFld
5k2Y41qA4kVUCKILbWgAxxzg7LGzUjdUJ5ZzDWV3N/WqO3RGYKwtoo6vgY0JxFDRdYhYzCXdKU77
nByEjtBRWyFFz+Scw+msSaebNNEKpHdJHj+Z5difSXHcT27eJUpuJy1lBcc0hOKb6g/CSdqoMXk+
c6lTCFJ6DYSwJsqRW+VFT36UbuCPqbVICldNtWzjgjKKSyDMc6ESDhKqOFkGLvRGraSUJSYRt4c+
hQy3TeIkab3SFLrgLc2MTr5uS9FsVkprljTjuxSEQGVmNGX8volY1FdGjujRt1icBoqarLSWpFd7
DBJepyDoCFNKrIxDq3mALj5tahF0c9CU8ZbU5eCmJh0WOQO4N0SvikwlofR7E5a/0PiXodGKHcGC
RIZ6ppWa33zC2skGwFkGB7pQ2nBfTXJ+GcZU9xyjUvzX0QQLl01+zSahE1rI/ZY1VU6dISuieCYU
JLxpmRzyU9KZRJEYurQWs7Wfm3q9swSDpowe6Lxickfmpj31YwKZOjE5QKbUwyrSx3B2c2MMiJYY
hYogMb+cR7eT5pRXrOqtejXkqXk5DbpxUMayrFyLNRazeUAbye5YTpFzMjRNaMtZmJ6xLIt1e/ar
6qGroRK6Uj4VMgughF12rGUVQkijNcFKq4HY2c3gy8ZhkkVpcgsfw9u2zPoSA7PB1K1IQftmRl0c
uJoG88vJ5sa/09sJeA5WpfJmDrWOWqVWSoKT9u1wGse1hZxKShPKyZPqH1QJg+dFVPsJWOywxf5d
MiP69lQFpmKrakbNU+1L5ZFqXBe6vgJBguC0Ilo+d725EoW0hiPt1ypE+ZaXbNXLVKecWGH0OAx0
43o7KfyI6lYpaGh49EK9sWJDbjzF9KHLNrVVEerWKJmyqlleJG43TOOLL4skEoe1NlD5GNX2PI+6
9jmRMutbuZgNHFHsh0PFq9BydxN8qaUQoKfW+lm+S1iQINFIyJClll1OD3pUGbT4CKflpQ51/TwV
wx6AkO4j3Y/JI2Ys1MqG5VkaDySDlEonbWFFxKVDgKkEISMLK3SfwiCqdA04A5ZbZUZaT9jOp1E3
WDjWlwoL+8aEFbhiBWPuanLIInhS9TrbZEWA96JgLH9RwQBkTkXvMXdgd6RohqtggHlbNmjhp8Ai
r7dn9DhN1YKFJDnDNTJEIcpWQajLz5VGPKhdDapybxT0S2xz7uSTadBqxZ7zqrlUfUPAXMigw7o6
ppblYu4lA7lkrSxT4TWly1SOyAFMzfayERuclIESDfU6HpOWS5UNn36qKtHEhOsE1F5MaVfStzHZ
ILP3CN1Uzfx7TQ4K3865a6h3EkUKHVUpmoCKmso7pwyJsAVcqDhVNPeeHIdnOTNVJGcYUHzc+HQb
b8opUrYGEWThLMenSmT0ex5X4E2teJFowXBGYKsbJCWbujRILkddPUnjqjpPzPwyVZvobMoQLJnC
SVGHV/5iTq4jIoGm8twf8C1GjUDEk9mfK9OyU6h2eqLhCRmCUswcxv9ik4UKnlH8Xe5QVtWFrxU7
tRa3YTBH1MqyKLCV5pY5Ds1wSgRYbsY3ycR6mqYMiaz5pY6OOam77lsgjmu6DLdkbm79KEStFJLA
FPj6meSzira054FGttEKulP3E0/El8tNr898slJymKvYX2GrXkdz/FzoyU1D7cMRunZXyY36Wkrj
amIwObSGKexGpWlJtBKz+F4NiKHUw54wvb4JtvoQXlf8BinxCUyZJzMMIHOJSmpPOe+77XddtQlr
5TQZ6NjW1KgzEW54S76LXshunwXymTz15kqJMt3HDZCQ491riN3l0bwgLVfewPoD7CCFApgv8ckw
ZjY9WLpiuymqFXSGE38odrSpMkfpEcE1ANCj7CJtkz028ZbdYa0l37paOyRCFp/MAWVII2dG0asR
dWuRkMsCGLWLuuusL+CqZxNJoVN8M9RRfuCxY/ExCn3vJ9Ao8fUOazMPEOpXJuVwUb0Icwv+vkbp
f20l9VrOBWMjqMlNlaXkXBnMvAAkSKGLuxNZ9a9rObM2lZocfEAwVw17IEDsmXQhdf+Xu/NYjlzJ
0vQToQxw6C1ESDKo5QbGJJPQDq386fuL7rLpmjbrRS1nttcyb5IRgPs5v6RLebHNh7Xv4Ke8RX7a
As+AV3fePekcWYyHfgvlyFVdCzrpPAKsw9LPzSGypRyf5qWVv7YLVWF5jbGHHdh226Q7t6O2NnfA
zz+CMu9jp8mo2STnzqaVdcWrN6BQXLu/A33jg4DViCVH8EHH6fLktETklWTJBfUg0bv5U35fpOuc
8lJV86XpMhpNsrrkdh1bDCU5wvbWLyMzy557nGp6O2oPBrRrCG9LqWjeviXTTMvPkn5X1fipmx0j
zdWM+KSlevPswJXukq40f1wjeSn0Wr1UtUbTgG4xvyjK5ml4B7bKZ/i1ZW8Sxxh2WVUeUm6LilEi
WCfrZ9IQT7h60DHIxuTPaE9uUXHrzZUT2ZsH0FEkNy3ZYsDHFEFlLjNr3tyU3WJfKiXrUJjr7UAI
MwoH2y/2bmmax9Hyj1oJNkY840MjpTpuWkshyuBisxDVjv2vup+cVPzYZvWYLOp9E9lvPmlgkdqy
PQu7LD7TsTOS6ZjZhcEub3eK6CtHtmLfNdYgj2zIxIbEHKjX/Jghk2y0+obcAE5oLm+FMc0evTNj
udq/XdooAB00+pYZ4dUc+Y4maxge+xH0/7R5DXm0oe1Ikf8mdo78JAANcqgbY1RQbaSsdRSIU6rF
nUnqLUuCQr5nrx/bPLaLbB5k5HeOvpYXW2mTmdC0DDJwatptWtOgErVhIx/xyJp5KDJz7J7MfNXW
D7uuU3eJl5oJyjw5m5rzYp/VWWPgjas1Q7T3nlPzv6V1KNelvIegrrzhfi59URZfSdcDFkRDMie/
LOUu+orGbfiRhtZZPi3wmKDLhl6FYnUM8KHZctb9ZLbOY+GDadR6T0yc03oLV7gzEyR+gSbQzJdC
eu07UYatHkuRGfpbm2eW9s+l+t9aaP+fW1WviXT/u/Bi13+xDFyLB/Zf6utf+QLj+hf/mzBwWD//
KaSAoPw/hIH1D0SWPrg/2X4kUvwrYWD8w/7PyHaEYo5xjVT9b8LA+AfIPmQV2ywXIUbnf2dp/R/G
QsJh+fdZl5CV8ROalvM/yEWshI6btCkaA7uieHLSXHmZrxEEEJ2J6a4nLTFlFaYtHXiCPtCF/+Q6
dn/oEUOskZF1JjMjXZm3AzPS2e58bdsZC4FFGFfUEEwkU98N5gYJm8mUltQVhDRqS1VHzbRq2h0D
T3lMKm3l5pK5XezlUGRB0joGJTtiSukVlg14G57D5r9ohn/rkfz/FGNBwPC/P7f/qf/M/+8Hlr/w
X8+r4RL7r8PF/vPB5Mn7L37L/wd8Fwn5YBxgG0Tr8Kj8E2OxrlknOPrJ4oHcgs/iGf+nXshCSgSD
bJFwaJJ+7iIl+jf0QsJxryDKv4BzwHI4yXkp0CwZ1+f/KtX4F7lCkeZj5qm1wCk5J6dhqkMfdJQt
6D1JMzpj3A61zrDXzb3Z6oecVSW21k8XGU84iwqC2ZDZs29v0xZYWla+LEUTax09Z+kaMK9xMZGk
mtkUSNN7VPNwG7nthD5gOgf7usvz5wF1T2RY43E25ri3TFCJDMMx1ZJeOh8nqpFF+T4OdnNj+n/6
npgA4QUyS8rAWqnPYE6OGkI1C8zR6dqeCL6rAjaBWylFaA/eQ+frkN9vmjEEo7+FleYeu5p4rEpX
dxmHd5Qocy/Q0oXLitfXpfmuv100P+gRD9ZlcdKr7WM1Ftqa+nLfGe0OU3bYS+r3huR9ZoITJfKO
tZjiHG67Tz8bcrYyunjazxHctc29d6eMLQSlk/kxyZ+2NQK5vs3aJKKNV/3g+nU0D6IM2DhP/aS/
dFXNe7u8TKX1rTLVAjqUL406ic2Lcr/0d15JNtIAr1FIPCLmevZL7eDOMrQMfzehqjktgpvLL7KD
tTyS6XxaMrm+gimEg/fs+ndu1/N72nhlayNcm/UOfSkadKOe9ldeXRVu9gBzwSmjHzTT3XeivtHX
z2wu/IfK8PXXpvW6Z0PLp1s9aV7HkQKnfvys/SbWF+/NQCpS6d2HsNrTWKI26J+KbIASYeVQZOqi
ayE9iXA6wKy+OcDaMCv8IdzmthzUeaS+ImrXNh4UsBSSsqjczOMMYDx7Xf7as391C1xGUOh97BXZ
o1TbE/RL90d10/LXu05++InW7asvWbAS734qqvteoKfsHrhRAiJOAq1K4LZWnA01gvS6dVFxubW6
EYoMit56RuczvK6TfNkqeI21ljU5pluxY5dBYKUzp06MvqtJM6FJBrik412+oPWLF+M2V9WDcNoz
vAHMoMJm41m0Q/iXxMCHWqfRMOWHurAfMOS9Ng0fKUk6ZXmyKhEMJVo139kvTX1MCHJ00tvWOSYO
cAh6ID2zDisnfqrRTifqF0+QE+T+FClNu825dOu7gQEIvivy7LMtph1+7LNwmsD3h2eR+U959a3S
c8rOIVroyebWMcspFuB8zvyp6j/+8EDgwMmk7X1t9pPfRpkB9FWefXaqdWr4+Y3tvGjjHyNxQVi7
NbSyB+CMIDEBeLo+CfuBsADKrjdtCGWXv3Sbft+r4m1LvYsOua1gMQ0nNDefBkaYFs89VZ6sbvyc
vd9vnzsnfWjdo7lWRzeZMfHaxqEeGlTRyGVRIHXIkGaiwQnPO2iD9rvCxJ5tr7g3yv7W7KbfJc8/
635ijdmK9yZV7j7L9LibzYsvijGYoLvoSbG3b0JB0nfVtt7DQhARchA5RgyKoAim8ZxZ83xSqzfc
1cqfdlo7a3z82nJcWDdCNCRzIP3+Xgz2U282j6W33JY+KENVyN9SbfZr5S4L4Z8otDpBx6eJ9M5H
iryGbT48liltikN2SvXhMGfa7VTS6eop0gmHTzV7lMzVbKK2+GNU/aFKxnO/aWAAHn3exYdVU0iW
yjFevTndyYqWLc3bjJhcpyWyNCsLO2o8u69kRTTdSIRZs4AN+l2Yd2Gz1vfJOjdKIS+e5jcCqNN4
dtLsZ0kWxNy2oVHS1W8+IezIbvTEA+5wewkPqfTPZSrdG6PPkjAjaj+GJKR/rtSpx5Q8pp3nTgBn
thYNHQKuAetRauFoTEaSd80OH4b3TOWMvi98jQ7zTunfLKVm6DeVFQ6qo7LOduOuexNu946SFfo+
IcLqhEjTe+zyn5bUuDSp3LDssJPwklHAxsvRroF0Is29y/WTNabBRJOk+d304ZjyarSckN15q5pj
nc6fTlGD83nJoUrNUznou5LHsG14ZM2vPOPgTnHj5ABwHn7yhbUadWmzWrfVAqOYKNBhI9vr2/vA
eSZc7UNXReR2NVGvtVXubdW4cUXGQ7B5y6OReHGx9DcARTdtXTxmtvNEODY+IL1qqnNbexe3zT8H
ZAtBNq03Hr/e3FOe2j/lAnIxmsApeEgEwnblPXhW+lHneZQukpJQL5qGG8t66jhfWT/DTE8/rYIg
63IOtLHcp80aLr5/5ztF4DXHgcLf9J3Aq09t4KXuTrOJbxGx7YSEaiasxa8xpro9srT00s3j3kX2
aa/VR+6uR6d7qav+3Ws3yNxmO8PYoDRNzQ3cycVZljQEBzjVjsw+9+K0KWBZL4Ns7ju4c2MB5p1v
tKV8EPzbR0u1sONpqg7tirLGvch0QZxKK2KaAQp64K98y5v/Y239Lu1E5Hk9CVz2CDNdEa475+e1
6I6TwJwGVMUTSz9uM89HX0Ky5+SiRtRffDRa85ws8o9Vtee1x4O/1ElUI9ggpv5GUxQmjs38NElj
l5Xej1hLJ0Id/DM6/ttoEASypOPJ4s0P0oHsNkX4x24ThnZONAtc0OZR8SV2XVdxlXysjsaBtyoz
roeC+JDq3UiJDVm7gXdReGvgaRigan4ZfX7u1uLY+D42dlJACK9Dzt+/22b9rBnJg9Ep+iABrbIu
8RGNdlvYqirfWxxVoLE7gxu+bPxwVOa5ddZdcl1KsUhi9Sic6XV05iOCIz78tpsClVM4pgsmE9XE
pWecm0beTcURuVMR6Iug+dvl0+noWpB4Xdz5UJXkPFgLmoo900EzmfmRS0yE5ZDsisrdq9qPnDW/
a3oRTLr2dzbJCPWRiWz5g1F3T61Jy7NG6KKzPmpZE69mUn/ApATV5DyV3fih6791be6n5tfYzNMy
nI30K70mnJnyuMCPrNpycMlQhiPiRLhpdcY6eZth0/Y+E3HS51eDNzohmCiv46U92dub9GXc0RlR
FgefuGdpSFDwOdL8V3MrQ2/5Gmovtvt1J8pLzl+c1zTk6+S7o3kVsSCVBaFs1sNiZFwX9WdxHfBG
XYq3vrIjkdgoFKkEXrzA9tbtIBaPLmHHPcORXFVbga5NT8XiAQBd1V9J8avjgcmm8pxay02OpgId
2HwpsiPpwue1ggUDlrisiE7yyfruUeT7q24xyTSUtVAibqacuu2hrXwZihYazEZ74zUPTomH0Vv/
UC1zWNQkg37WQmSnJ+DuY5WCautq3dlO8+IVQzx63aMx3IqexyATD1P+6+plpIyS01Y/DRkFikre
I8zLI1UTKEQ8Pef89Nql2IedMU7yxAjMnq5Fm7Lm3H+15v6YMzpdSHtsa7QZBpsqB6eZbfxBGhri
dK5XWEUYKn0lbI7vovAabwftBah3Mu3bqaad267MXydRL83Cr0DxSphmk/voFyamRGimsCrEfdMR
ujfXD3bb/wEMGCN/5TtxVjJAC+2xkv4nsbuxMrQ70Rt341Yel+bHbjqIQxaHOrOaU6Uv7AFoSOzi
aVIv0mIL7/lAaUoz8fCAyZuB23i3ejWcjL5/HS11wF/wZmfLa+mK2yo3ztwT4QKmD1p27kwdKDK7
FU1zEJogTkZN53XoRNha88KZvQaa49Yo+KxdlhWCg1i0cVtkZ7AthOATAbpIgbreQCw2PReDOmA6
ilh0njc+cqIjo6HmUCmUvJmlwBw9VnQnz+OLV6/MupNOMXuh9oWFZl9P6Sktxi98YjiQJ/2b0bX/
cCTnf7ka+iWtHYvDY5Z7VYqRqMB+o/La12BWC2n1oeYK6oy17gxakR9SsWGaMswD2df2sYJvy8fk
qXJUel+tGua0oW9fetVz4mZNvbh32raWd6sCInOMllLVWdaRb5M1o3TCAnBVGwAWBMdFjvR37lQx
+nd8GJnU3uirS+41wao3m4CsagT8p+xK9Sb12pP9DIhx8TxwaZ4cnkhUYB6tcQvcjO7MZDWSauKx
9jXzFHtupr1hdBmor3WTT83x7wtd6wPwzyEwRHm3Fa7aiaUcjgQwInoqG44DixRKwhtLH8ajN/Wg
adpLllMnIoEI+xmyfpY/tOvFFfAm+rGW3ti8pOa3ll+kKxf3eZEOPwaaqgNwYhWCLoVLzujWmaYK
F7fQ9l5D8fjoWnQMUFVGywwV8vnk32ALgCFP6WZfde1kz0RAa/BNpuM1YcWmBbgeuav4msVg7hoJ
nZFbQouWbvEDNTh1QHioCbrj7lsD7KdtC3SOrQwGn/a5edi1skdupO7Grjzmbv+A2OiuZvzLEPMZ
5fzjqg5EW02B08N6dMav41U3Ujl37tQxa/KyiMkNBaKweDQ0tj940FAtMrtbJVa2xmLHHUe+tkRJ
J2ztethtPVIKw77qpvXhs+3F+9Ibj2YrDtvg3hDCG8Mi3K082ecy/+0s76PXp8Piu78yL4i/Kv/2
sw2VlXzhnzqI+tvzX/EGvprG8NRX1rO91tkp2bJvzXW+7H74RDL/4WrTY27y22uWuKuzvorJB/2i
VihY9Bz5UMbIvI4gbG1kYkHI85+aJf6coXeIEAWi3JtNauoHG0Z8IoABgkcNDBLFpN563cYfo+H6
uRbrFV570a5WwkE9CCyg8OufrTFRrqHPTZDTady4HSGgFQSMMw23qhqyi1tIMwD9pw++2ZESHihd
fx24QigyeR6uK2E+/clWuYDFqZaDxlkjbyz2Yh1PTZq+VTJ7amR1Sezh0ooysiuGqVb9zMgeTS7e
MOsNinLLLOpGruvVYWjbFpKv9Eivij1b+WPVzruxtK701fZFkNmJvM75xvXSX5jRq+jwDOl5L/X5
xx8dRMCI6wMFWQwn8e4pd6c7tKISuMvQLmPZe+99UfMBoaEJZOvjd3LT0BVRWhifeTHe51mC8sZB
j89FIpwO33dRxRh6WVbTqBLqVFn+vh9snnzjJA3zrC9ToFfTiy1qOuVqd49/dDd7BrlSS5RTy0SF
GJQCTA/huxg0t0M/roGbgg9NpnhTRUoztAW8YQys2W3QL0iCJodRyv0yzZo/PZ2mnJtwbI+TCaQB
UFoF/lR2UEvVTcqIus2JcW+2JvxWHY6m9po3bPGNhsQBqsjTaTBb5gPiDgqUmi1jFF2Pc7UNbK3Q
8m9MRNON34lvi7tu1FRkLIx+XjaApc2pfZm3BfbCbFfjmJlbfsHdwoWooSRaAtV6MINLWlFxbDvL
QzHgfwPNeDK7ljQa3dzex1aclha95ErqVzDOJKpOxfAH/Uvsrz84+KKyHp+zfL3MOcJISXo93vfu
kpotEcE2spUX+NmlBJCqAZqQkDJiTJu+TVzAGP7coiNqVxv0xy6RZ37sMSz04UlCqwaKlyQe4SqR
H693czPGsxxCnDOUWDntXcU3r/l1uDTdbUaHRFk7zV4fPRkhA3Qia7x+5opWShTvaT7E6KBe4Z5j
D+kR9jzbvrEBcy6zavTQYEU2i+29rbxj327WTloD1hWMfSc66x77qcxvpm0lhDCXu4Xw5309ridl
cikTtrcGtizK567HCVdvsx6QWFjiNCw9QoYmnpB6/a4RydhGO94X07ZzryiFdC02kcMyuhGtIzuj
xhGnJylVQ/nKYz/OqXPhkC/fPAGwV7ALcF5/TNtYA9gzv6Du2iNHQv1Sjdtlsof1ZavzjRRsPf0t
JWDndOlq7ZB36beJcXcPZZgg7LJpjM9YtgBFTlXbB6XmnObq1TbYo5sEUgB3njfZT5Ob0Y+2HkrY
jP1sHofV+jVzsI8Sg3Bt5w9rI3dmoXZzkrKQ+Z26zab2TTP1Y631jwsvcTB3GeIHgqnTxP4ds35/
nVFM6rMSMsiKs2bQuo1AzLKHvdFXz575bWLIQpYd+9b06Eu0WnVn3rrT8oNCjVu0a45zX55zt64O
QiWPhdXddsLY6yvQ1DbzX+eRRx/pNkNClT/2tX5bozLe6emMWrwz87cq+RiK9UaMj3792Dny0Kj+
mCROegcw5dgpOGe1b4uV+na3Mz7VsGGCL2wZ0wwTtV11sYb1Nk/+tOYTBiMjnO1L3pvvWxv39rsA
lgPSW1UdenNxgSEMFbeSRmhcpMkktrphZhRR72AeJyp1DgZi75Bm65OLPj8gwjFaje5pTjT2t9z+
0HT8GbJ0ysBhQAelD7zSe8yRDBYjzs7VHrm3/djpBZmKI0KNpejOhf08pG5kc5aNXLETWALZ1Oeq
MU6eA9iTAwANenFIodc1hj1RL6AIwjqmbD1X0bVY5i0YN+9tTYo+sBMvWDSrZpNuEABhopfjxwDJ
Ayi9wYG3Ina4eDbKTrY1CZyhiCxXcRypxE8jPV2Xd2TLv5qb/l7fKgcZnS67vdbr72PFATxL9Yj4
LLDMCtV51MsjOOhpcO2jk9FZYedhMe9n/63k2aEtBu9k81lauo2ukASftjr6I8fxMj4116NCe25o
7myUHS588MU63s6zte/06+Hs7+X6vRrV5+BnkUreHUCJad4tm/e3YMPRAD/LqY5qlYXOpu8ddzqV
67jL6phO31I8ZetfUX9V3vtWIfTIfjiyz34PNT+J0Ck/hvwFREOv830L1K5bSNrS5TJU9m4YWBkM
42L52q6c0eLYcjjX6W/bcKsY9W2PNqpJ9b03+UGykUCcdVYk7auuxw7RjEKdFd6O3EHXKXcsuXyA
VnoS2WcmTCRU9VGb7ysDBLl0pkNfW4ccDUFnO/e2fPLMr2pCPUTr5twIBPks9L2l7ScSAgKrL++o
Hzwn7Gw4RszYcPBdmD2hxCDUnTY9OGr5U1vpT2NwC64DfYkejs8ufbBn76Su3l+ZHytPQUzUmSRT
Xry1BiG83RvxCBIWJFleDTPftenvCpdA4kov3iQ2y5GyxfqVrg4+3CG0HFXfw7vrp8WSR219LGEe
+fecvbOOcVV6JzQQN3rfAAjTbWO+52o85u3yXInPCiK8mN1HSlH21NEEqAkjIzmn9oeVewfZEq02
+u7LZDdEQtbyxirzfd5V52a8S/ypeTbyDLxJO3SFGxgN3SGoed3kKS+Ss0C/I1c6vMS2K+w0VuVy
dT9w6XvhKO+Rg4RKw0FRPy7Ws5wU+RKivnXyOB0/J3HaAHvHo4Yu1e2JCl6KcNZPcDxGf8MeZRnn
ur2l4CQoACezU+kdh1wdtfQkmY6zIr7an/NYytdK3VVOvbP1T40rvLhpm9OaEqfI/JCtz9Zc3C55
XOkbF0jCs3PyWzPIS0zNXRdVPDLXtdDSmkOufhAXRnitH3BEovl786wN0ymxT9VwC77cLFfYWV0M
mxVyMXe6TO+xWMaVYe4L85BZ+aVHylvCYF0NLIXFmASyhnU1IjLl6Hb2HV4OP3nj+A8SV8Z6R5XA
2a5uHYZP7dCMQEVInwzKhP+u8tUc3kQS54L7r3Ufu5o/ajS3xNU/F6I6VLOz0xQqylp77Y0iHnOI
jrnOMYSL2FP7rTUPzdKGmOAgdy6EBfPG7Tt/+TCLB0WmnwQsd8n0KtobKfeIOEPg4dHkYMk5o8TO
Iu/E0AdKs6+K276+p3RbwFLAfXh2YPjuWRMaymgSfQJh1eh5Cx9xdfubtMvEITMdCL5gQKQPslFH
QScANEE0GESg8A1WHarUotbdmFYu97DBZhStukqXSaC1zAmyJuPmqTAc6F59tLaB3ay6aQ3w2mq6
GRTiOam1d2OWfC1O82lq7Lbj9EYmekf+SSVPWH2ZCI2SrH+//yjXd6VDz+vD8N1U+U1fq9CcSoAe
Eg+mNvayaNQ9ykTuymQMrvg4eup979L0jFim3e4SnV96+9Srx3zYQktr46lr8hfL0u8217qhxI8K
4WG/ii0nRompBMT3mc6rsFODHZPxENcIw2nBpQ78a5Fx7b9uxmuH6lCQPwzpobQupjGNLpVql4ib
2pzvjeF7MbVj3lBw7X35Y/54ddiK/B6TFaRMH7tq26f2GDMnLCVeouq4kb2avIvlLO0nQO5LX5uM
3yMaGeSS2DnAoIZufCKcALntaH749hJV/oc3tzft1Z/bQrJ1SR64ncdpUh+LSt3qm/kj0z8W2HE0
AVP6YsWtm7j5DjH2BbjABIpq17C05ptZ54ekUSyUi32o7aG8k0lffjgqcXblJu55vca4gCaJVbb3
ACR87YM1mzfKhQQapo9SEf9Wqp1ZmQ9pTYKM7uR/kwEFVCVu/TlVp3yl7qVMSWsxe3A5eUg9jdK7
goe5MwCnQUMjbXMPs6v58MolBG+v/Wk0/yIRYcyabl2o5vDOXj7Oz7Oyvhydl1z666MBOLT6/e80
dkcSc7QAAeII6wXg74NOhv0IJbKuD75f6F+jrTmHQU3eyenZKIk77+yvDZ4dZa5B2loNwpLOTn10
/e12mBD+G27qRDLBNWV4Wfeg2cmjmlg+sNC/+CI1Q4DINqTHXuetGtJDURvmQ23sEh8lO1EZCxJg
ODuijurc/PIzlYOiphsb52rddRxJOL+25dAICxYdY1Pyxl7o8wj56lyg1N57CxXXdTcZduwQILBz
Qd4jq+4Prbu+pSvfBqperIT927J4By2zv2gc3JUYTUAPxWuqKzYwfGMVaeZC3Tlzd4Qg3qVeh3I6
O6Kiuxl9/eIi9ST8wgkaQedhoUitI57oZi2JJKqUpu/JPRvvXWc7G006e4R3pOlRlna101t3a4O5
qKo3MbVWEQtAkv0wWCKLdFG4E1uSKTROlfQ5L6dWBO6QgV2WGf9uVGzFfnEq5GHmeKLPy4khcczz
ZPE7DZAOQLRjmeBw93J7lyRtsx90+UgHqXxsDPhRf0vcuzYV3d6U1Jyj6RYv7tDelgjYYjbNJiST
og+MltVmbvU1qhuQCpXp4xNmDTMG0DfuF5TdtMhuxA6ZqoKqxmmpkEyIfHvo5g6KnEY0Y9cKVmOd
nIqgNo2nMmm/J28yyH1NhOmHFeFEHzQ7dr/zFeNNhbGE7QLQVJVd/6tyvQz8VE1/eQdn7hJzulM0
eMZm2QOu1AVccKt1t8hpDYQM28xWpTT+F5Ax1hzAT6wxTObPTC4VLs1K3PeO+zr7IGRWmxwKlBs7
zPfmB4w7vHTTTneU42j4NQ1OD4l9UW/1Cs9i7r+nZcaci/D+k7CKv5nsrPEgncW+6YbF/OpTOG9s
NOVfhliieYmFOtGVieBkuWYojbUMfFJvyJvIJkYPJQ/o2+WNo4E5NcmB72LkbFztk+z6v+NsEMDr
ZyyOsJFcuasbtoYC6k+12WK0WxBOa4xm+rBMF6Pa7PdZ+h2GlWHwf/V8NRs8ftq8F1W/A/VY7Dgv
mi3KWGj2baYB+yZZN7hBCp3FGlxt1d/ecsuniTasx1muA/yJaqJ8UZ9jQmM8itTqr180ObGp4EQw
sXNrciHnsngYppTmeMX0RiUOEl4Tg6Q5eyWzQS3Q2y/iw5CTuOv0RHyM7DXHtrTrW7Gobi96W1xq
9geGnJahilR6SxAMZBjhWHbUaWVLAv1ZJZ3De200lB34oINL5u3bDmG4hYeK762HT0nK1tlLHeXy
pkEkrpb309pzHUNo633kIG650xvp/6kwn+8Lpbnx3CKOTgjM2OmMCCcAauYo7tO7YdbWN3det1D0
wrkfDELNnGrGK+C0tnPue9O/eKXpRnM7IoQx2SpMXwOQWDvcLZz/8x+Uvna/zzWNtSUhvqE3e6mf
+sHj/hSp8WiMKWnWrek2ceLD5rKAYTrJtQZgrrzGi5njgMUltWhZaLb0fgL/jdkz5/vSwRoTjJ4G
KW24y86fxuzWNiCDaX/OQadyVjlw9n1ppnYaaq3+5iWJ6neEUq4Hq668z7kcaXLXy1p1EbeY9igw
EkWuq/3oSb2CMmzJT91bgsZEOCeKKI04R0slQSgS/+KngCZ95U/RWLgeX0tuH43Bvl+TrubWlEYe
E2VBbCxBeWyKjWu8WVVi3oPv+CSwOW1lXBwMW1pQJAkWBcD+sERDEmuaVxi8s6K5AdoA/i7sOXIt
O/IEdmiC3bwHHAvbfk2W4qz3xRw3OKDD1HVcgiv78TGp1vyhZcXohFtfCmZJNB+Y0fK235YgwWZz
2zb5PeFL2z4rZWjIXt9NrgmPmyhA4lagTp7b9H0pXetULPbb0sjuzhrlei+w2nBcCzPm18LwYibJ
AQxpPHdUR79fj8Kd7bNGiVZuL4s+8yXwTDxijLH3W0+V9LzmPEVXy4NlNduzM1EzUa61wVSIhoYO
Tf9B78X0AFDVajDvW74EHskjzn9QdybZcSvZlp1L9hELgBmqRna8otNdLCWRojpYKlGXBsAAzCbH
khPLDVfGCtLFL3693u9EI/hEIyor7j1nH7AfKXSS1JAOjvWu+BjTSAh9jc05L/QxzCYotVo1fBGR
sRl9y/8hk5QmjeN3O4wu8ZpviJ4K4nuiLNjpf081Hm3qcV+rnoa58uuLYB5oJHdEMB3zcS6vcbtw
gkoVO/wuK+Rl3GYgWkabV1iLC3zuu5lYpksiZij4+x6OZSwfDUftu7qU/RU9S7mzmnG6EpOatkaX
842lLdJqwofux7B0r2xf9zfT4IzYdRriiauUglNNiGaPSmHsrwVNEpxwiRmy3xmy27Ebk128FGM7
O76filbcTDzbfsXmRGyNyPb2eTw+JCD/7gjj7N8N0gsfK2MyKbhlnyzqDOvCUNZmHscKhWuxCwap
d9bQkhXFrvFj4PSfForMttZLbbSa8v7B1wJ/SdVELvprt6OaNHtdvW8JBlw7Y2ZfpSm+syiqzB3b
H9pI+UTDRdKnnOmP3kCCQpVVUAWikXwcMy2u8Qy26zabP1PooT5T6fErfD1zLfMR6YV2eyro+PLH
up0BxtBIz5ev0d7WI56FxjBDmsUFMQND6SVbj0D4DRsGuPANG5EyUzXWh+GyoJiXrzqUzBRfPttR
ZkkmbBdjfFCP4SaqguyLVfLoQhtdAY4lxyTmZJFfNKOuUXkhOemaIvxRRpb/bqLq1yCt2QBOQshD
niG4Am9tmto88IJme2yj3tciC1Bm0pO8QcMhGKj1LvI5dmnyWLZxTfIH111l+7DrW4ow0ehemnqg
BzSKiNPz1IU3vG0czRPV5EidwuS+Q9fIFtMfqm1a28m+Y/+BJQJJX563at8grCOiPgFVwjpmecNG
KYCMK6qC442d9R1VI0Rs156ZW7etLsfL1A6hvAZ9P6+lp9LHmjMCkq8msTe1FY0/ddEkN8SGu+vK
HShNZ/GoKFwE4wHxKw2dmN+XsD+eB+ud79eYo+QUflWjx62r3J7jUW403zE7zT+zPK8OwWzCZvQi
g0aBGJYG7Bh9RoDh3BjM5Dsy0vODPRAAgzYGc7BBwtx2jqzuqHuq5DoGjzmPg3qC1RBtosBhNy3y
+j7om+SKMla1LbTNLjoen3LOD3yJlUHBsEPj8aHHl/szz9LiCn7jsKtyoEIr2zYSDnweOGQT4d9c
jS3kSKoWUGyRxmKXnDft3CBiLbTf3pAjvR+JY13XLEmXLiE1B9tjhc/0WF41qsZilk7TzVih5mkT
7z6kPbkbPZE+xX7WuAhe5+7YG321MUZ32xrx/LkJx/qD6gLUWSlOzNwbuwdT8VKtxsRsqdF13hGQ
LvpEfSfciIqhQotgTu113qTioivt/mY0Q9rTSeYFH1u3r8Fe5vpiKKxma1S9uhPGsjCMQ84q5BXM
pN2M9bX1S9RL+LSuMbrEG74ZWMDCkl/xXSRXsbCxNkVRQ5cd5OjWpzNE4sis7+Y0hRM/uOaMvseF
jTp6TBEZRpZHJpOvPU3FS7rCpPRQXdhq0Ke7MhlB+ONF9eAYpHwL2pn1FzeYgjs/uspDOh/xMXBu
wyIuDlEbqO+YLlmdwndNNl9Qzl55bscWoA3nnWctq/lsHJuIUqXsS/otR2dAdNh2K9OSKGqLoywT
kirawOE4Gc4jH70vonYB73l7NijON1oS8omVI7xAqpgn9Eo851vQGOFDX5TxPqecQfOcDv24wrFr
sLFP3Y1XE5u6yfOyWpmyIYzXjy8Kq91HWfJgUgHsSW20oltfHPBOH3uCBXZ1q+kdV+0MXiunTBNR
iEnoeZJY+dRjkzOy+V3o9w9GxU8ESR65TSHfmX6cFO9/pf1/PXPvBe74v2cP+J8ERbYg5fzX1oDL
9v/+n5ck0eW//+UMcJfYUvvECbSBYvgLFOuXNUDKf5mCFoS5hJGwtfEQ7f8bvxD8C8ioJEN3Cc7l
n79AiZpLmBXhJeavf/Y31oBzSp7jgTRawlRxcFmBWAJen/sCShTgU9pgqC04CIcH5OnJMU6VFe7R
nIrgs4NswtvbZdSZxurZLbr9ZT54nlt1xn1ArueQtulIi3BxIJHWGS+kxKqWZDI0t0hmUno36fRB
y0Gt+yVG6Y2xzi8TDiAHYpZ39icQL5zFHvHM/jAUymLJcTmm6ULTLBDfcQqPuzmP3EcLFd51HKX6
3Z+v79Ux8XdQwbY5qJxzKR0jYztUePD35YQESWCIpEsVPdK2NK6zpr4nm1S+MebyuJ7ZPOhEuTAB
LYvgenkCary8TqfvPFNRuNlIxJkZetxU3CCqp55ulGP+vuAofffnq3xtRLhtVGptaXkUOF6OqCc1
t3nMAdjRTXYUZpMeXW+2d2Yj9INpQNL+6/EW8CbyHYxXCy/k5XhUYBSTY0OYjIiO8YDQZ4jj65aN
1aUwkf7/ebRXnmHAThKuI6wTxzlHOrYqQNRDNXZjZk20rsbphli4q6TghOWWzl748fs/D7j4cM4e
4BJoT242ZiEuEujL8xd1mkZi6qdsQoLmflTYMA4O7c037uFrg2BWss3Ap0xDsf3lILYxBtJV7cR5
2iKXV+mKeuNc+f7lny/m97vn8U7AT3NYLwMKOy/HaWB1wH0B+RDpdu4uAAgMyY3ApB3teoMcclRz
VQxSLIWk7mz+bmymVTBEZEIzezoC1OrLse2CPlQTt/NmwLqzHqK6+2jFg7kLFT7YKCnnw1xyo9+Y
Z87v7DJqAN9ZSpyBPL4zBOiczdizI1AblJdD0B0uirx17FvRvPvz5f02EDMZE6gHC593xT/h7Z9N
aDjw2yr2HAJhPFpbOo7LO7swm5u/HyVw0KUJYPy8/WerAz59nRtObEKWomuRpYHyN04U4+r48zjn
L4pncSXQ6PBn+mC0zj+zoUEAlFbhvHF6N/sumVO3pmMVN6Zb9MdyEX5DwEXw/+dRTyvM84+Nrj8Q
7cVdx7K8BNS+fEf8PswjlWYECtlLQ5nO/9ZT44WLV0sZDkCwgI1ujynurdfkt+uVLgAlh/wKAsiW
b+TlwLKflGFklKUaT5CdTTlpA410AlpSDnIbySoZNt1kdbd/vuDzFRcvk20BpZHsKkgpPKeGkYc9
gExAEgKBZXKp0IuZU34aTrh72Iwayd/ynxnPoSsJfxcrI1PNy8ssqlabTQh5KGobizYpitowAEzz
l1dFJrwNBBSoIZgq8zyJBNmiP/ZR4aOP0M5hJBT8ofCn4BZIQ3j/90Mt0Y5MLMQv8oW/vCCjlVQV
5thnhx2o7dwGKL+8WCfkQHWsFG+8n79941wYu0ITNDR7NOylL0fr5VjQj0V0r1B0X7adH9ImGNs3
wjx/eymWUWxuG9OkwKDKTvP5igNiKXaM2fdoyNfet9Ksqm/YS7A25mD0Nn9///h6gKyA1fQAm78c
q0PJVTu5S3XXDPNto1VyhS02OcwUhN9411+9eeCRIY+D7fwtki3ysjl1Z26eHaX1EQKyou9SqL+d
IJebx/dkse1igfPtlxdkKyfQfZr5m8Ibqg9DWaeHIkrLNx7R+R7LOxvl7BG5haBL6fDaFa5tHCEW
TLeTAGM0x5FAVxHnH//8mH7PFzgNiCfZXs4Yjn/2nFqsLwNTl7dp3U5/RH+cvNc0k5D2TtnOStGc
81Mbe6qiaimMfgOjUWxmu9ebNHMWKVj2Rrj3bzPm8hexBbMly4PHDvfljY6z2iPjjzfHU0OxMyz0
HfTNvJ3i818jNf5u6tZ++PNtWL7mF8vDMqYDN5LDFnTgxZ79/MvgAE8Zp7A85Dp4CExqDRdBbhQX
UEGMh0hU91HY6ytcrN7+zwO/+kmiMWBfDqSRteLlwCRRY08uHA+q6CD2Vp3P26Qf8PElpvfGgWGZ
gn+/xv8MdTZF+yWeIz1zjX2syS+JrXu7pxAMLAg+DvpaX5nz+yYx7F0lUNP/+Tpf/UYd36bsJF2y
Kc4GrwIlAPnyUNtUg5cNMGhPKij/yaTzn1H8s2m0iSY31oPnUWQdxqPsIZSUgY92tsYg8Q8uaJmy
mRGot4uzC8pnbcB9M3hwdjBcIEaolmL0W2eEV99LXkyW1ICd7fkZwYCA6kQpt22ExXIIxOwdhlBH
j2PgyS+V5ZQHjvLOhY+G541b+frIvsOyRL4kb83Zi+mXpi6wRG1ynVkTOqjK2rt0uXYwZuLD2Ei6
gW4y73Q7ZN/+/tay22V/yCcRgFl5OTTdakjCxsDQALbek8JbHRJ7jN6Y+V778p6PcjbNTJ7SplCz
h7bYSncwNySEM0VWxhj0vwJ3/su8ztde/udDnS0dHTAzz4/58rDjqct0YWeprn+LFPva0gGYW1KE
CMCpLAj153OYV5oA7GwuiDihYGPZclirgM0YNf0EN4RfqTdekVfv4LMBz5YOU2Cs6BLb2zRIVr+V
jp1vsjBPHuimi3/wtVG5IjEMgCm7ibOH1RCK0Y8By+JA2/ibB5HsstVj98YS/9oF4XMFQG+yyktv
+fmzk1ajZNxEDt90JgNM+Ca6R7sOCrJV/Hj753f81aFsYcGwCdjwnagzz4YCwhDFNZH1KD79GlE7
3EysUgUAu7i7+/NQr719sEoCCs3sZX97LwA9zy3nAW/TCRTWZt3UWzDk2Rsvw+ujAEAxpYQiu+B9
nt87P8hcYbcR/jAQ7TtL+AjXsANe/pNr+c8oZ7PSBEk1nAye0NSmzPLRQOK5QHX2T0Yh14NKouQ0
fP4ehD7ij4G5r2pmwHgTzQArQ5D396MQq0hANlVDwXn45R3LhnCWc8G1cEimp2hHBXO7eKsw88qL
Rr2VVZeuqwNm6WwUZTt9n+raQqe62B7aEZL7NiSnbeeEYRS88Z3+PhpfBZt+XoFTweJsDpqBgvaw
/AB6kxSwuJpgvoPjcEX+zqwcVb6xpfn9pXNkYHFc4oN1HB7Vy1uI0dWfTDPGu9IusreJPny/UED/
/KBeuSjHIoICTgK3kJX45SjK74lioOK4qbomx+7p1Tik4TIihW78LMv++r1wqZIv2DqC05khzu7h
gEnDDsDII2Qxne/UtiYJ+Imu9hvP6ixIm92E4wp2FfiBbV9Swjrbe9aApaca/PNmHqZMfw3Lxm08
RIeGOV1mwdRBMPGVFNmjRE9EFOAgdIti2EbrRA+YswRnAX5yT73bTnYV1slmF1iQI3BM+/BF+ZmF
6ik0vdjehmrAWz0MVisu/vbxkEfhg48FYg099PzsHLWEd3QtOiKv55vdeZ4zRAQ3SvCnY1ZW938e
7XyV9XF0w1yi/sBxk8/3bNHjic2ce6ACleCXCggERvbUN3GVbyxjltgWQyHrv3wBGTOwfUGkgIXB
7rcc+15FSZWX8GoDNaNDrbUQJAKgeMFu2Zdo4v58iedfFV3+hXMmXEEhh/KR/fJ9d4JkbIJMI3Fo
Y7i8s+nKp9Yd7Ddm2d/v5BJfsqRtcB/hVZ0NYyA6Syvk2Bsj95p04+a19wMtIqogJ6w/O1mPbfBv
L8wPyC8C+xosLPPznCiKwJoysR3yIWs0rKpML2ut/Ddu39JQ4w49P2pxnOPXS/L6AkqdYgGBPV8M
VatVSQOo2sJ2LLMvuekazd7z2bzcJ/asNMZDcyQXYwr7T3Gaa9ACdnaTQ1e+iQYB4oUuv0BTPQWl
gdAkRi+aZuEX0h5QwrUGrjVmw+rTnEWEaFgfyqiSewsKro86PxT0yosgvLYKduauW+hbNro5YXhU
Xh7iuYGeDbX1ve2b6t6wg6ZczVbcRsfUhJtz1A45YSN7q3gPq5EeXWZZ03XptQ5+YDcpPjhdDzsz
TOQllF3KqImXOo9DBCcHfeF0bdjNjxqFBA67HiFvG8bW9yIFR6EtlX62pkAdawXsUhsWy6oBB/eD
6CEFe4KE0JC/BJEBmSLSmb5mI06rVS+n7j0xeFW8CoaptEkyKfHKDo2BV5CUiDTZgCGKoIZn2gWz
MBe+wlo7OMaKOD+UMAsFwNWFf2w6oyBxU3j5Gg2KjacHFDIYonTrOT0G+kGhD57axkQXXZqoroa+
2k1SZhaaLuJd0TQXZrqVKvdXUBPU1RQBqoR8VppPYI3Gh1RSEcls21lnzmLir9OFMhTH4oe0B3tA
v2TEOL96NGltxcI4IFdFPct+96GrPQOZIVhM7hTyZu8a8YaO1yR5IHwqIiqRu9AtCJnzwYp6j0Lk
2llVQWM+6Ep6nzSpVuWqMiwkiLVvVV9gFpGclakSTHpnlUfFI+7BkeQVALPW8f2KJhdcTUT+rq+A
Mg8YDvWPYvZi61ZF/MONQLZ5401WEB74tYri5Iz/GMCTa9c7WleL9lB3uXXViB73Pzlw9T6Mctlu
m7yrY2TmaM3tIrTcYwT8dyBlKx7qm4ZJx7nwcD2a34e+SOodolvvMROxcWjRBybb3o+KR3tM760Y
8vCEHuWTPSFGXClDQyMqKuigmIKYbtcjZPhvs9Vlt1PdY58E9mytcUNn8N5sjGBe2mKJNHF13rWK
YCNmM1igG4qeWGtwW0WI60tdANbpkmmK9naKFhnmTOo2AGh2iWfFsHhQKAG5qecY20ES5NfQUzPE
XtWo9Fqj4bnuFIOt8ZUkGL0qP8Fm7tqwDirW3ekKP1wmivuKYwy1ljEKs/GjQMjPd6TrCtZBTjbp
uiiaKb5ngezTnY2u1wGgltbpvevMxeIa9B0/ghQk86G6CZrUKK6jToFrW3M7AEKMTqT6zQwGHy9Y
5mVyRRybemi03/hrTwVG9Lk0s1LsvajMyPlLI4O0Or9TNwbhMEtQjtIKBU40mXji/boI14mZ0C4Z
PDUPIOIha6wMr8P62RP2Eu48X6Xe1vWjCVkpczyfWtYExKhh+9lJvtV+o80yrXYYkOtbf+BL2sVj
Pt9GsA1QwbpDSYtpnDhqCbSB34uwVQKMBeEqsLxCYe1AygG99BEoDiskqwkYJ7PXgNBMw/a3scrm
ByMynAoLdjAhKcXha610PsY3SZ2W+MdAXH2RmWnfOKhdExDUjYE+2FKSGAOgo+9ia04EpmadXRLS
4I7HGn3RJ9REmd6QEzP7G3hjY8J+JsrJFEWSjpkNRdFXnWamWNelPzyBb8+8C5mC5mU6U9EXl7RE
idQ/wmcwx0gcVk2KoHIbW1n86LYQ+VeiQeO0pbsPLWgScrzQjmfgEE5I3Vp1YwUXop3NpkMg20zH
qZvhALYRDSpyosm03tamwktXR6Kwcfx1/phuIA6k3qWnLe1esbZTo+UdKKwDLHjl7y0irfNN0Bk9
uXqBN8IUk6P9GEcN+OkO+O68HV1kffDYh+knhgTQNoNfZ+NuiCP3XZAlrFaDA5AdCP5o3doNJPQ1
kGNCAvAueT+xIgTX7JqE3MdJ7zy5iEHNg+jamVbXmAbpXtZEBq17bO3IQlNp/ag1XoStLJz6yfbY
e6571LKIVUvwigjgrO5xDjofZmQyZ/W+Y9W4gzEJAELiFQvW7ZwLjZ/WC0JklqH/DqJ/9d3IKnjE
haUR9qZNB+k9wp1EQEg1CbXOe8/9xvsFqdBnCba21mxxBbWYhpZY7VQBvO8kwAU4V+IurtLUAdpk
FCZ0wmr8XlU4Sla+O6l405Mf3e2kLOMUnxx0zXVdeMAP6Q1hpsEgpGkyypStqOJF+Cz4jTaqgjDX
IHlG0W1jsgOezFaKzzpPKAAPMJQ+pbLIYGd0KssuLNrKe+VANFkhAl5eJjgtwcqs7eCd5aRkeqHI
Dn80hhxhKzjI0ZDwSxILGjfu1C6jxoH23E36G9/KUZBC/6KMQdFOVVs5ydwnuVGM/rqMo1FsFAHY
Hzswh0DrCpHh9RG66XeORFs7h8zT164d9x/DOUv6XZDF+jO+5OxdhigZ/12ypHx1ZVT8MHqmxXXd
dXFwV7kaKqefGPgBUf+jve2LDnGbUGMME8yMWdoGo+EBBkWgxWYaMvxz1RQiAsZR05QXUzUn1a7n
ZjvrGmEraeGwokysyLA+Vy2d828AnIQ4Nl4FSrsuy1quSuHPwSE2p1hiE80hsfB1AWwBfNP7qzlj
iiVbQsSKSSASKVQfq7qOwcTYix0fTGg9JxGQG+JgYVRMyJIrlM7WmgiatseVziR/OdSZlW4mpR37
S0hkhrWdpa2y66qcadOvqjiupy0pZniw4ygXzd3cODNYRkIm4vSrZydJ9b0bDTek8uglfX7BGugL
9THxlSjnzwST69DcAN6vaPcT9aXtcDc4XQvFISQVp+Ykb1gt1ZbMzh3U58iFy70TWcTQXli5EO7P
yjVA1Ww6tK/JdyDydvbJI4xsiU3uC+ZJLCKDtyrCUSMb9Vr4A3XhTtMuL8nW2DhdpvpVEhVdfRPa
OfhIVDGogqH04R9SMv/BdA1lEOooGsY6jmcC0AqqUMQkN2hS20THP1QK2W8xdTXvzQIV0046s3NR
0miAK0d/M1l1Pf/Pho/Yviro6rCmDjzUlWDei9ZlzT7oCgdFGuymImqfJL/bwHlZ4yFuukFfGEXX
VRu/ZU8Kv9zJ/C3OC32Xp510jyOBDp8GbGxqJyPPgrY+E2UHXDxrAa41qTOipTYjrO6igIKDXCyd
ELf7mNhzYCQHEyFredlXIO0+tu0Qqw1LRo1sujLw9+HISL4MqABngo47Fr85GGY4botuew2+Cauh
Rij7fsy7sllzBx00xv2YhbtojPt4jYsTlrxISqy4vj0E91EzNdc26ljnaCTGcEQvg16elmP8NIGQ
f0oBw8YfSJbJmgsZz+kNsmpmrbZJugPGDLz/XuALUpGDPGXHSJXmyctHGx495Ypo1+L7QdXc+7Lc
mbL1b8tJ5T+trJi8daFUb64GUoLZOQubIFuZeuN97tXlV2ZF+0NRWhOZwTbxJxezwDm5Qm+xwPVm
VwNZ6uKfi75CXhSZ3X8HEgpT1Ih9qpthPdX7Ke3qEAOZzH8GFcv+ijqNmRIk1A2345J2v3IqK/yR
2i7sAV277Nybac6IymE121Zxg8F7ID943Rs2C3PV5YojXGi1h7KM2RUOSnj1LmdV2BmgH62NsFKR
QtgVtdxmnHj0ypynkJ2kV6c4WESteGcIseFFLr9ZMiIdKZp+eqLKDp0kLGCu9XzX2/1t0cJXy82+
viKcACtBolo/InAkrNRtzHf+odYjgPzEsfvL2O2hpYBd2rnwi0DolT7UOpZBRTA5JCd6KcYuzSKI
W6IBy9rnA8ZjQ74fOf/EhHyzKVo5feJ7q2bEIT4MDXwvU80bgimXmAfXhmXQR665YRvOEWaA+2PF
aXiPzNwkkpI46Xd+aFzOKd5kPY3WBwkv4t2ctUQtAaC48mOv2dlTEDyAUwqPgVmBe/NKgtV7Uxsf
6qQ0niBelu913Ru7xG4leRN6uBv8ArZgGCSfS9JQOXvOhsZxkHJoXR5Xu6lnfz7EbOsvEuTYq4i3
5zHylX6PJ2Jeh/Y8XEunyLERteylDIL8XKf4MOPEJVKmQKLSAekd3GGtW75o7N7TvB5Mch/Y8QCl
9lP5CGIg2VsVESIzq8cWGmawlrop1044+lckCyYg+fimFhIwl1Vl03ugF82acF950PirL2MK16ux
w3E650evlBedB2kFVSr8o1BWLINU+AIX93umsS0iWLAfcexXe68as4uqGu2nWbowpto8fSjLbISH
FpneDTTnYdeO/nGcwvLjZLjA1UxgAyRktsdQBgeDJszPaVDNpR6ST0Eh42thGvgBpKkAx+KNHXMH
6pkpmndT65QffEd295PRTe4OPxEAYcx/5l7m4PHMKb0S8yB2IvOeBk6ZhKaAiPH86rHtqebOeYkH
lkxacqEadeTsmUx0W83gKQHIEO8kjpB1rMiNwsXr70lWizaTrpJLJHruMVfF/NP3DbHPGoz0OgMk
GHB6nrX52a1dKH1BFu5xuxjHNImTPegUWeHnSNK1NUa3VeeoW5lbyYckcVWzHvrsKh5H45JyxLjn
42MOG6YfILDVjnXHIuvH7T9RhiJUvc+6FVja7FuY4diu6Da+y53qC8YzmFy+wLhVo6NXw5QcdVEm
X4yogDXhZPahNFq1bUIKDavJdbnHvpmjiW2GXcrqma9DaeSwuyg27VLO8sBX0/AS8dXdHLTBUQ4I
XQFmlNBiZzg/SZlBbYjdwd3UVFAPsIONQ+1aUH10eCndKjtC/XmQoTBuZ9+CUqtkfXTM2OR9hNPy
CGXLu0aFcx+VrvejSCVrghuJWy8Lf3ZSPfZcwxdOHaBsCyevPo95EOcr6acgx8Drvrfnojvkc9Lu
halv87IXfDdMplhhwxR9sStuUWGw5ZKdfsK1A8J25uA79iF2I3HKM7JO2UZFjfZ5xfmezKNsiT+y
QGfGnJ0oj5GTpuoBTA1o1CUGc97ndcNSnZzylPCnju1Faypylti79fdxSbINZ1DrfsCkNW758x2c
9CXFhE1/Sm2STU6CE9t3dT/qJdfJb3P76J7Snuol+AmyHBlQRrTEQXV1sYthcZMgdMqLmns3vcYm
gzOUqlBOEtgpXarhaaUYdpfUKXFKoJK69r9ZTLEQfCIXR2DQ2/kFmfYh2qwsY68VnsKs8CK7MDtk
GaZr/D/zdRwYRYAxuCYGKztFYslTPJbTLlFZcHCJzUrqJUIrK3HUrWeHm7cCiWiwAsfEppCCusRv
4br0bo1wCeVq8L46q8wX05ORLrFd6SnCKzcigV9uCfaiJUG+U5PaHRwv09FXlWyIAUuXRLAWnOBX
/CndbU6MPPYoQ0bRZmDW/lYaJGluWNOIF8OOQtTYjLqO4JZTBBm5R/Jj+SuY7BRSpg2fnB9yfAgv
609BZtmvULNTwJmacPxsU+WCATtFoMFHJw6NVbeLNxIm5mdqWj0njqL1xKrTHcwh8gMc6mC6JGDN
OYWtdUvuWgeJI4bEaqJNG5NUX0OHJKStbCI8yxn+04/eKcYNrGD4KE/hbib2y2hDYFv3s29x+6yr
JQmuyoamuMQFiVq4PYXFGWI5K0/eEiJXVmGFflgu4XL2KWiuZ9vfb6awaZ7qwSfGrZgolgYDBaMV
My13z46W4Dq/WkLs7FOgXWNl/tWwpNzNzRJ4V6Rh5lLUaacRHCNHcByxiWFeNsMczegMyM0jS4wG
xdR2abqzTtF6SYmQf4PGg8g9wMDE72EEJ4qvMoGvTKHzJE5BfU4epdlWU33tUCDnoFKBDg1kkRUR
JO2cefvBXZL/olMI4OQ25b2fJCp+Z59iAjnAWgsrn/TAmo7ksI1OoYJzFIf31a+oQXuJHaxQexZb
IxEhvjuOWh/zIaSAzQuYcuTzIzfeIvCqahigXYFf8BRwKDuocUwCk8h2/pKBiO2fw1hwikasfYAB
K3J0jJE1Y4lPVPUSpZgVHrGK1SliMT3FLfan6EWLWtsVgZp1/9485TQaFZ8UJxEIdsSVycKOdz4H
l5rCyJLyiCGSBcQUg+NsklMS5Ejalb8WS0AkPunqe0rfRq+BkhCcYrVpaW4mVCHXzRIxaY0BRrFm
CZ+0TzmUvWvC/oFTueRTSqe77gHNJJv4lGA5xoX1YTjlWnanjEuUfJJ8ohpN7lqecjCHluPYocFZ
jUy1iXXduSvrlJ1ZdzU5mh2Nn+yubVTZXKXoeWCkxHaeQ8bxcpq//hLICUCSQw8uQHI6w6Im+jM6
5XdSx+6nj/4p17NkrqNM63oYhTlFpbfVKQXUaJZE0OaUDtqBONDb4JQa2kyOZ4G6SRxUNqGL/7Os
M4VcHfG8jSCrVrpv2ALMUHCntCc1nFA2jmJycECEYovN6tsps1rrCv89eQLB0OH/BG7dm5TEiQK4
cJFbcwzVWNXY/EaFdzkOQVmjpWCn8EjSGrLoXrM73DkV4jMMrdiEzIcxBejh7MaRPsAxmLx0PFC/
HLpbpepkgr6W28N74jg4T217Wxg8yaJIUveiSsK2WRDMstj2JBDqu3AScPTayiyMQ4wWrD5g30TS
x8TStO91MNgI0uDqBl8r8u3cmKCyVBBcYiXScC4cGkLlpWKXC6K8tFzwqHx5SXOdUOqDvBTU8WBV
a7OgeUSiQd1rKITdXNUTXF6oHj87JcevbtjRTCGRIHemTUBBwWx3PSEuGa7SiuDDBypdJuy2rDBm
cItlELrNAJW3MSiR58pS7sdgzIAnzsrwgvskJ/9qYyXJwJaol0At6AlLwUGAnZQVHKQGaHJD3Twn
Jj2WyoAQZaXAprGgz052bQAw6Nqt4IBg3Ospt9S7yqZUtI6MxuDs6OghAC8cTKPLRq+kywRJQyms
tB5BrtjU48oDIOG1hnfQYWiAMxKTqMNgwx4wKh4KTMj9hdeMoAkIqgfGcK/tJAZlhoXHGD8iOE7j
ZmOmRVcY63YKKn2hQDoGt0XaTdMxrIIkOrqc7pNV1A+SWDY6BJCr66FNcxa3QGd7ojS7+p6uVGjv
HIAsw3Xu2hUNeMy1tX/IQoS086pXJWl3dQdX9Utp0eR6P5EkUjisd6NR17/awX/lW/zvmRL/x4Vt
LeaBPzgTVfvlR/4iZGv5B/8/ZMv5l+sjXMbt4/M/OEn+bU0UhGwxCQLjIlzcoepDH/bf1kTxL1K0
JMIR5KlY6Vx+pCpIGP/7f9nBv2SA7cwHW0E/nBSUv7Em/hI1POuYLilbmGnc5Vfxp6CyeNkxlTFB
Mp4HIL4axzTdzE4+f2rDor3zR3v+FFZ9yJmHRN8fkyfqh9I2JjBC2tbenRfHbbMWlWvFW1zYlDJn
ip47EqYVQX5h4VxbXcAyBJzjw5CiLYT+78z1dqRD9mCSuejRNiw33SAQNDiYFMECgA1BsVAZTQXg
y2+YbL0JwXMnqtF8F6VCz5uIg2W6GbPEsHaJ7+dHaYEhz73UvprLtqcYR68Q0LMsAGcN+C6ogBhV
80Mq0jBXTjHW5bGTBCytEFRA0jWoZMF0tQpZvbcJ24zAn8d1vkUl212x8IXVJcHYpUWfF+//Toi+
g9mUBGDyotLySR4o6SAuR1Jm+SpzrX4PEaMnpbBPfeTksCy/jm6fj2zyiTqg5JJb1GkjOp2bAaH+
IXOHjnPgpLJmnUgzNIFRUipeh4VPvLRVOMtEWefDXdMCJSK5JdEXqZtjB5xLyH/rse8VmJbUzOX/
Y+/MduNmsmz9Ko265w9OwQE4fYCTZA6aZWuwpRtCliyOwTk4vVM/Rb/Y+Si7uiS5yoIvu9GFRqH6
H8xkJhmxY++1voWAumQqSHflFn+7K/c10SP3HKXcMaDlzJE+ha22MT0pTq1+Gsudr48WqDpLPTAO
7ceDHgEVoqEooGtrNlTw0MlSvw7gLyEswQ4O33kEOZJ+wsxePBGLvHyWFm27DZOf6IAH3YTqCWH1
FNRiwcy2opQK1NTXJOnMkXcytH3pbHqIR3SNo9QHvYgXlhNK6swmsBjBNGfKB7mE5shzRy4I6OqN
QUVLBU9+Ko2yUlUASdvU/46fDg7X3MYm4RdZXD0NQyW8LQx77Z7jJeIG8kPmvdv2a2Si6+Vn0mc1
DazS0B79nkhChllKbw8+3QF73y3C+1oPBC2N2ZANm2Qml2OTwaAuL1VcZ+ddpo88mQqke4AIhKGJ
Hhna8zzb1amCDTTv7SaZJ04nZVTvbUpaGmsQIRguZah3QWBOpdE/lg7tmjMU8WRDkLESg9GNgMp/
zfVGeaQjWk10jBBkIQxRlL6+rxc3Ag6Uj2pivJnQCDONhe4v0+npeGCcm32GsVQpAs4hAfHm9Ml8
rPSySA6myW7VYf63y+xgaDlj85bMhYkXiC57kInU/4zuiUSmsTRn4pXUAgLm1Mq9uHtCl56GZZ8K
8Ltm+YD7FGqlTkcLlnvdGEuQZ0ZzXfEknEMNSE+bfsXpJS4BwTid/d2CoCrwB1/+mVyUNQvLE3s5
i6duYKt5t2bJyrcMDblGQEXTEbBGRnDnz8uGN9D4YQv5303tb4aJeOZfb2rHVfv0QD/nzba2/is/
tzWfHYr9gtIP3yKmZJQ2Pxz3bGsUbw4iXsxiuot4+PW2trpEmd+w3yGOXA38/9jWMJehDDJxd6Lg
EX8WxvdiNn+9rbnQsV+uz1GHh+W9Cwpakc9WovrAp0Q9QEZXp9lSkZJL3eu7h77Vij4YY538lo5O
9U5zZUgzcCYopbX7kxh+3FFnWLdI8WkfpiDGzaa/U0DvYYKPIGHT+UaTrkXqQEu0CIGR4762smnH
9HU5nTDJ80wCysZP15x1QpJGZ42GH2+LibTerak5st0B0JLWsZvm/erzsSQjNPz1aRE45P6eKd1R
PZgKpyRywPGMKP9eiLU3R7vOxiRqYUIH5xInnsZZkjp4C7jY7OpNn0ls74Do42nicI9sBkEBmVPW
SGbK2AxOc1K7CVzHes70jeQd3liR4CSot5JcH7D5BOq243jkVQRwbEjJA7zULyWebOzFsFqtVG3L
PDX6dd44LhC+Ga6ZBJW0jbkv1eTYnyOtJUEB/DpZK3E0p0ddPwH7HZfU0AkySuDQIcF20/iotWr/
2upUpAOl5Xsi6cGiQD4ROUmdmqHJO3jrk3taNHV53pBlEuYxughyEMY8yGa8U54ujezM9jO4S4Vf
8+fSTnE5qpS+eLBU3HIPKOuKa93hoHbs/AjG7TMzqTH9xEqRVcg+QYL5rtNgaANv1tMvymgS58RR
IM0F4wAgb8epcgwtzFKj6cKEM9qX1HKmJaQZC+spo/EuAo0YNOukcCL2pUr4zImsvOuWLUzgnPZP
MZP+vIBlY48gzqJb05zyPKxzPe+CKass7S4ffeIGrV4nnyxOowm6TucwiOPoKkiAUHVDjnct42AZ
Z+apYyo4Roy5RABTp6LIETstj72ZYT2fpsUgjiey9Tuag2m8lRyN9SsTzlO8pzSNbntCzx4Km74/
fWtmBhsih31m8VmSX6l4FBRM3sz+i/+Ko51OC7AiHCsDcYOMSp14zjTyIynlXgi7LmS4OmIvwHaj
AeEAyanRoBvehKivyD4aPfvZtS3pQFShEkA1XFEUvBQIdlXnJFhrNnFSWk0JkTaufyheCoskH6kx
FtSxjEXtuCYbyvbPcr6fhYyFojzKWytlvrJk0OYYRs3XrWgTaqkxV9+8tO7JLYQO+JS4nfJXZo/+
Faf8fGPVlRkFSBCqEnG+zK9hv6H8qNKZOZjdVDI/NUumIWdqTix/D6WDmhHZZFmexG1OLdmsZaV6
qTDholJt9g0+ndCi/UQVagvjzB5ibCdrkWpwdDUIvltrV7Cfw8IGDGT/NPb0fgyjFhkG34pTE3LB
DMvc2i/1cPdSG5cOXdRw5ZwZuSlvtXatohd3WADprsW1vpbZDgPGc0cvqb0Ji093aQlmlGfVAdHs
vFTqttCV+2mp3alYMUf1rdvG3Xfll74FIVKbvqatzD97DP4ZtUyWcYARwZAvqch4Cmn/6e6ucd3p
gt5teRjovONwmY2IFhbRalm7F5HtAVaLpi7fWeapOeH2xrPEibV3vB1DT7nRB9eOf6i2/3eH/pvp
IhD+1zv01cO3N7vzyz/+Y3fWAOKYSJZx7OCk1nFzIjH/sT2//C2cerqP/leg01gtlz+PnQTsOuyX
WOswK1uOYSHr/7k/r3/L4AlhdxYudlzH/aNj51ud7mrKFz7wHUTVLrRRa73Qa52ukdEeXCLqyKX3
tb09pwcrJszLIbM54JT32MXGUYSEcAuc7JOoWtII7XIL8/OsKAfzzNKtXaFZ9pno716+wj96mv7b
tSdWD+S/fk5O//M/vj2U1ZtCbv03fhZyzl8vj8DP4k38Zej4bijeVssKz8h/PRzUddTdOuU28iV+
vdXm9vPhsKy/0OPT4KC9QfI35p0/ejh+Kd4c7GY8Hi9CeGtFfbx9Otp+QCQrc9J0nZRWHfzE+Kl4
ObgxcM3PdG1FAmR9fifX053m4kkK1cuZz2sdb0voVvWk2KbHYKiL4ibtx+gbQfVE1CE+NC6jCJEm
6gkNGAZZtOV9nOv9hhEDaQ96ruWnmE7zchdDHi/B6Buc9DkJMZpmUOEP/JkgUYPYMRBE6n40PheN
L27Kws+us6HMr6NyWGmGjKmuKndcRXecKE+lVOO1nPv0XBuIPwmzIY1PVWv0zq5oi2hNrlJRaGiT
TqqJmNuvvWVAQO6ZlZahI1R8nuCZrAPXoR+qBkiPYauV5bTnIIh63GAWR9zIBPYyUVDtN55QNWLL
eczv4rR+KsY1v7eZUaAhPUYozDCOfovUvTiwGz/OAxNo6T2VAEElZMN9sRLjvBA0LLYaEssyyAF1
7jxLuduyUX28M5OqDzUPWt+GSXm+RiPiy9ggHx+coJt0/ZiWRUnvyJTJvSDNZdyUxTCTRaYI5mN6
21gacXdeYQVGDMQ55K/SpbRp/YBE9cGfJEYxXg2Zx7G7E/qFpWsZ8UZgPcAmVH6WM4yp5zYkMU+P
9phKBbz3cr73vEj6e+CR9kQcwQKvvfHLcSsBTK+sSxVf2rbp5AFYm4iuRV6PDCVcK7kjkRdYb+lw
HtggzvJhx3sOnYbKlc1BGcp8LKoh3+uLHzU7AnfzZwnE4ilNiqw5XtqugANbas53s62rm9KKkBoW
8dDEGJUnEi1rX8lv7dzVHNC7aW4PZNJ1Z3UW43NsiV/KONoj7wuYabWf0g595KaPmPeGourzZzNv
mDAJ4WjEXQwMIlC659010mh5Ba0OqiXDUElimVU3x+3ax5jmUdh7pMm0N/58jfwf2uh1frvjXsj3
CLr1n/+xjgr/r9VOyCJirOvmC7fkx5q6Lm8/N1jT+cvy6OswMcS3th6O/2sNNViHBUqYFwgJHtg/
OwC/4AtenX9Xi9nquIGf4oPpxkH3dglNezTZMsNiZmjQFAmhJDN5h1hHJzlgmo1LGoEaMfGDNzRn
YMv8cpOrCV0cyg0k4lrNqWyjTVb9XGsRglpdq6PzzKwIQWqkwpvU0DtbVW2Gv6aYReLR6/qRGMR+
AsyEai0hAyOXJIThsxNXWjkMt/rcJIJpf5XNG7c1Szu0/Rr1nKM3+qe+15Kv5bIIZL7gNzNWXE+f
NkyJSWjkdGDmhAy1ojjhFJ+YRKq0051E9tiG5tTSXst9FwNH2jStsRPw/uE39kaldmaViWOwHlm0
lw19AhSC9bIA1GhX9QkBZPnW5x2yNzS+03zX5WlqXftMyk8mcMIuqnwr439PmeeSqUs3ddPHDeuc
1ynkOeAxyOXgBKCRfBQRL5ePiXU1GNwkLHBAVRvDbT8AOrzYs978tCBDdMYJPi4xsZZRb3/aIjIQ
xsEHCcfIr6nElSYQb49SjgcnKpxPGasj2Z0cGUANu+d6p/dO4JCMx9R1dL0Df3B5+aqguPxx8deY
wbflHCZAg+EG6ij6QJxrgJG9/UhEXQFwHX263Sq3zok7nHDwjh4WG2L4TDTiuz++HrMU6ls8ch7c
mXdeQBS6A0F4BF/IqVt2qm/Tu8hjP5J91T2Sx9v+GG39S47A+vlff+UeuAn0FYxqKEYoV3mjX5er
CoKsB5vGC2EZTtBg4vEYSlFGcnRUfHBrLCC/XmplkuA3tNdD4ttLdbQ0HUo0j2AMrAsoBKrHdKyX
j5gFv1yG5QcuJP9tuh6+4fUXfWWDT8e+ypY4dcN4dXRAU2t2CU2vze9/J0Aqb28HCpbJiMpnYgVQ
gvt5dzuwdu0xXUY76COMqGR8TUKbQiMerfmYaU/a3KAk0sVdYdPqgeZhps9UA7CGGYVXJMaWSSvY
yAtbwNfWE3CPF9OI1YgJ/2hHd5lNcUPqAjE+8L6dmoSW2ZRjhD9Kj8sDMXEa3H+ngSMcW9pwUNPi
fLFHJH7bpVc8QDmLZAvsHSoOySItWSDB0gswCqM3LvIuMWwqpSDxAQTuHJFNLg2CAeH4jrF7cUXm
C2tET5gbitHCrP192nWR/anUGqYMuAYcnYgtmViSwdoQt8QrKtQMgdCUhrywG1iABYMehAjrGD0R
M6NbDTp3nDtucdBKMZNJb8iKaITSGeS5sbC2hr2jspLcgy53oxMFP4cnUcpc38a60We7wU3rggAp
VE3RqRyIZdkK9DaEYI54sG4cSVJf4DHpF9/oY5RAougaNvvE67ryhJCBiGz5VutCf0GV8HXCIfu4
MF36JPIcv8qma4y0v1zKXMtupZ9k7SdrbtRwrfuofA9emlfp2ZITWEUQTCmLVUw6OmkTZlA8jZ3d
RbM69Es9NChk4TPfguu2s8+N2Td1HFhtkp6Tx6yZIAsnNX8TRVTyUaCp+xcDjQZ4btJrkx1X9KpN
PuFZCZfUFt9mmNV4z+KZ/PeB6AR0+llXP2EgyhnlZH3sqQMNXt8iOhhNAfGZstW0G2aAznRUSL1f
DkbPHrWb6sYdGN5Ysr/pElXZVwPuyOkWLQoZdF3sTdiGZAEryPC0ebgomqUkh3aImiL6Sm1mOccc
zQEcI441ynt+C4wIh6QfXSOm0hSD+WDGytX6fW1MsnlcakxnqLl7hFBB6fkpRhWPfGFq3SonJG2q
kNhazE+DuWOH5GcfcOEgq9T6ExFbVral5vPGUCZylMcI19x9nBCQsvP8NXOmqEZWKu6cwHOQ5OSm
9ZpmudueT88wqFyScte0izIPtZ9XdzMxuhzLVT7GG9X75RQy8uoLhBhxRMZVrnA7ZuNM7Dxjngh0
f0+Ta1vUYvGJHdHSceNEHoqcOYpPyXcrPGLLRUqnjhv2t73XES8lRrtFLe3Wdpi0EzllGhnkLSpz
g/QYaVrIfqdyBvbN5JFpWpkkCIadGinLqWU3EwmTnjHMh8SsxUkGCKVkNtb492nlxmS9t5hLQs1E
5LVrmtR1jhzZJP3GRe2oH9OYJ662dzVt2MChKM/MfPDji4HRrrgGRU6WZWUpnfjGXC/Pu0G4NatS
XZH9KaP42h643wBpCluMx24j88BQmSWXs9lu60LDqelbko+8OPzEfPLC5ToKWViScpo8J3kbO6uc
2tQETs7uwTpkL7Qn90g9HDMmhcAyG6YVoSqLIt4VXkqvmSFrLe19OpYE7n4EI3i/QkMJd+FB0pNh
w4FL8K6cYCHpS6Q0WKEnRE4l+qk8ss+hvTT5VtWuX99OUhvJBXPwh+11ogrue8ur/NOyaoYe6Ddg
in1TTroXcJidffyzmBFvfr+RvNuAOZABYvKoMwz2RYDO7yZ+JVlMSdpmCWKq0r4g4l3S8IwIalkM
7YMN+AVz9mqzf7mW5bItrts9g6x3WxY1Zc3ywORbbweyQYtFIoQeMe6ZlbidMel/rpH78NfM+Dzy
NB1aO0aqNk/qo9/f9LoHv/sgHFPXo4S3sgmtdzeNxbiz+lVpZ8KBcA5sOER7sSqiJADt4J96bWR/
xKb49WmgGDAEuA2iLOgSvmvMZVFp2Jptj6FBHEbYl6yxxVT9IWnD5pkDdQDUj8KKM6v/rp4amCAl
9YAMtRpXFidg0v3gI0z4/ff3673YMCv55lYAtgsb522N01RUPwVhsmGZ9DouZNs8GrXOffz9VdZa
8/WvZK1MZg5sBt1Uk47ru1/J6syR2VJBB6op3K3wGxvqWWHs/Mpnn1hH7Xje0x9v7R+1Kf+HHsF9
vuB/3cwMHvqH9k0rc/3nfx7Bzb84fHPuhSLtQYxZKaU/j+D6X8gK6VGatC8FLzaPyj+O5AYz6nXw
TKcRQif/0t9n0vZfELDXUwZoHTDHoEj/7/95c2bo3v3/r89I755GC7HCeuV1LE6jlE/y9ml0bVZR
o466sGtr+4wAu+w41c1Pr76Myx+P3W8vwpsraI4RHAuIHbbR24soDp2aJ0g+XZnCxwJL36Fp5ujP
FiaaC/zx2BX4MrnEL+jKzOu0ipWrDbH/6ic0aa8TqDy7lFDrXaVrxo9+05tv8vVNrTvQqzfsx+UQ
GvDVgYhkavD2pjo7jRAQ0eqLq94JU5Ixg8UjI44J7Iiqf06PYZaQJkg2+f73X+c/vzLvNi+3cGlL
v71y1Uf6TNnRhlExEHSOcX5vMbFdzYFF2CzDiG7Nno8yQdDk76/8bsN7uWeXywKLtR1OUe/W4WE2
AF8UXNlv8OCMI6puguw6ONd9/EFD4ddLGVCW2PbWZ3x9ft7eZAphsxhgLaGsm2lb6NRQjd+1gUCN
Gv7+rmgL/PJbIisCOcNDiCkdptzbi0lOF12X0mIqUH6PQVMpCWPQja9SI3HKLYVge+/RLO7o5VgG
sYm4Qo4KoeR90UR480hUI9QdU+dZQ+b8LSKQpArbOU+foSBZyKtK9+vU5BVGpAkQuekFGYk1G7Kt
MT7WFWexYMFi8nUmluCLPUTDvWYk6XXkMEkLRL4oouWivtdDs+jsKOiixBTbxJ6QfXkxc3lp2IR+
eyKNApIy+1POmk65sVXD7NlAYHwr2NAfyStT9hYdcdHxV8lWBPJh+s9U8r4WOE0304pvuhjHXelE
J25muIFT6fNdFKvofhyK/gvilejZJXSxCFRRl0+0rRrjaMw6EF99X8gb2s5rLDzHwnTTquUmped7
PYvZvknaykKuHTkTp27XXJDKs6ffZZ4xP5ozzalQijEzqHMl2d4OmS9oQFzsOHOfFOU25tiiQgHy
X/CHiKnfWIRXBbhLuj4kr52ClphjPMo6AueHjrIa1jUZ12uunUOSis+5Kizrfn6snTL+rrvkGw55
1sD4bpvkqy6y9Fof0w6BRiuc66W3RqrdzC2esHrSoqfxpZ+h4caTm83Ltie6iKz4FJHNsiTJRUt+
5LGsTVuhMFhD69rW4+xPgUtOwYi2wwFK0Y87KBhMaebKwAg5oIVQwiIbWRbOuWF13bSRfuY/IRLv
PqW6DqeAhCfU1VXR0g/FIo32GteyCpCIZLcRoxTUCXUf+dsxK9tk02VIp+o6h2eB3luc5AAXop0B
zUAHGVYT4NRB79gOBkp8PUWeeEgcuwrjqAF7SRJAfuiBXD9BXSqHzTQvPZEcRjHjpBud6Xnw2uq2
GLP5oZPt8IUAwKXalOWCO4hVGYPfZNTOV0805rwZ2mpQQeYO5heO30Vg1UYhdykrJVb51uMomA7f
lNdbn1sd+21aLcNzT7o8eQHgOBBflvonUxkfEuLMdYV6u2r7xrrb0aMUBua2d0M8oDCV1dNhhYq5
BBmAk2b2cETelDHZxKDwmN+tYU6hphyAKVd18zhaJ4gEgsY/F/7pJC9QzoaMo7zomnYNpGxSe4sf
C/wf1VH/3ca9zPNfrbohBdG/fUeE2c/nD/L7v//t/7UP39KHf7t6UE//+R+vK6WXf+9npYQonf+g
w2P4bq4g3b9XSkx5qVNod4p/6Pr+Lko3/zJo0bj8lvQnheVzMPq7OoC5Bus6VRQpOzpQvj8plJyX
Q8arR4czOBUZCQQWIvc1oufdCSye3Rjfhw1HqjEqbR+hkP2ewrnxwrJ1wc8L1jCzXRY9MDVTHzeG
1c+3Cy0642hg4fAD3ZHFMzbA+SpmvGbtTLvPDsozs72ZLF2OLQORc+qO2BdTP24OtR1nQZfNTbWh
eRw/iTJujqhybsqF/lzr6eWJwexWDywrar+kGW+xWabaU0S98hmzvrEbxZQFfNF3tPeyACspWlxP
jfR9mtLqjuo2jx8ms3DuSPNtaQa4xWfW4xJ3d5/nR3lMgDk/ySmf2+82vFi0Q1p0UM9IiVBRFS2l
RqNK+1LAokJ63NlBHVnjJ2EJdEc5EaYp7q5q2Hf2oCxQEIkN5rnvmQYzx+A01y8S5lojF/skIvHN
Os7zAn+Kl7TZVRon5gARaZrr0O2ivD+jz5ruK442ZxlJOssmLV3xVWemNN2YELvKoyXK8HLT7Pwe
JU4BFqHQMTp5kPNB2jfFDfaglDff8BmHIMzGVnrAPRblj4wxc3YQCGmqkLdMgWd/CKMxkk6z97zF
jsh59uaYqWfNhke6/DCoZngek4lzXrZh7F13eDKFVAivvxt+pSmYOAKBpc8PFpv+FrWkqlotlGwM
tX6GlN0jAy5e6N6dpxqz8QT7LR441FGx6agcKYBplL5xhk4LQfcyqBbTgrKjODBLoOcjGyQfmCfo
jLKja4/GBvdSMIis8k69pTNhwDjDEG3hqjlfIlhRGimhXjNQIE4o/MbR8x8UuA1jU4ncP3HbQfSn
ddHbC3LwFsvCDvSsJIKRhIWUR95kL1CWWZwBxLGHz44tBx4taTn2nRDJvBVLRHBgpdrB/+L7uXft
Ue+cO7i41E5P+vyT65Ar9ZlqpBRHY1TDosKr6txGi589JXpp2RdNNdT305yX6R5dHe2qKS3ioJl8
SmvylMSlx4aXB6rWJMqyRubJTTe6+bwf2ElkMLrl+Oi0Io+DnJYfx3i09Y9ds7Yb3drsk5PInJYx
MEioXYJekJx6DM16QdMgKNwSo4tPFnMkHFKj5Vhs3Ck1021bksJLRlU8XsBsHqbDUDP7Wzjt+TsL
jcenWirzRgg6lGGUNvNdqVDhhsCskirowJ/uBvzumLm93jg2wF7RhWOkGURisK6bdI66YPAM/yZL
FhS4VDLpUWoIkq5HrY7pycdjg8M6xvD3oHtjO26J7ogz5OwYL4+TLG+6QyfTBGBZsRaTxHXVAH4i
vQmnhWi46zKpmUxWM88isJzGsC8wKypy7mbLfWqnsnACDQVEjLGhra8VKpX+qEZXtwStkgmxWchh
JRlhDvQzMidXnyO2hG1PCM24qQ0neajJMj1UxphczAIM6G4oe/cLx54MhX/p21oXjIbJjxIZY3eC
5J/XP3NT+/tC7/SyNifz2Bcj0+CKxMJn1wNttBsLshU3vW/OCjtoomPr1Iq0OoZiUYP301snnDpX
HqSu4ObNVVze0vQ2vy40OOESArf+wixL3E3GGljptw6+Y6Ocx2ZTi6hTPCpuDkMM223PbDmOk601
ORY+w9TOd3Njq5jaqY4gCsfNBR1a/4vGwlpvRsZg3i7pbXlUubWf7rzGwHQh1y77Ro7kumPwbpai
wlI9wDoluxeDspmWRRnMEV7wndtnHmeYJbHSE0zasXtkNn4FdEpLbbTfHXOvst9g1ce8fIWYbvia
kgcQ7ZjmJEugRVIf0FWvGlt4CZ6ztGOg6frgnNaVQ5I0iwfdLblBjDzeyyb2t6nZWE4aKBOXsjeE
MqvqDCUrbHwtqi/d0bRyMr0bIZtB5Jux4Rslcxriie2cI9EtSqAGeqnzbDStiasc/42WaIw4DOUB
W6ZEluH0ouYuX5TdjSWaNufwqTUZ7msitk5LvZxMnSADgz93m8TDaleZ7a7csOgQZmEKstJwwuSx
nPZgYeDbIfpWEeGjMUA+pch2BD91IkUS4X9PrdyZ8kvNRqqHutj2ZYOlHeuMYKJFwuMYT82pnfFz
okQy7iFhzfnV7GoMbISnZj+Mob1ccWB3q8BJFCKrUYrZCYhp7ttPGSIvdQq11R0PmWDCdhBT1z0j
OuquSc/qp21vuU7MB6zl90QmtMMhGnZ9YCxFMwcV8Nt7ZivJco3TVZYostx83AygasRecnhzSVG1
0vokts0WpTi5mx4vBaM8wGacA/kJCkRugad1pE03a0BXtuEN7Jywk95AJDmANBS/c+ss/UXPyXCl
aMWopuoMcsDOpc5OmRM25QLrLGMxtojldI6sZXbkaaKr+IgM5HY8HaXSxZYjMb7hvV6mhX3ORHIy
Lxe9lFYwFW2S75qpdBjdT7FhhWY6mPfxytbZFPh8fIZiXtadj8iDDt44exc9d+TfMtCqPJYU/Mjn
RREN9nFBbnOLHDrXBlg3hPWVF31uIMvwRl1c6KWLw2xRPaSXbC3lH4kgjKvAQ5l2VzRaDBhDTfG5
GLT5StQRoMHEZtGEJZDg8ocGJXvyrU1l3htpm9TrkmNX9zAC0q+FQVwm7vOcZHrAfYtzJDWSST/h
EC6vjBlt2K3G8HTWgX3mhXnMuuHb26JxwFgGseG3z3bFTd1Wniz9bZXJIUHw3DcCBYXyuuikLVxb
32f1WCw7aCWonPuITowMUt6IlGilxm6s49jWs0d0Z069RdjOrCzhWZwvB1LB43sFf+Y+YwBtBcTW
8EEz5Bv8pgU5HFsiRa30aLaGTlzHpSZqiTNc9BKCVYYjTU5q2tV9YkSnCn/y8tnwSLq9TmfE8Nul
qXwXJ4bfmPclrLbuUs6ivMTb7t5nha03WyTRprVXUN4sfNRm3W4ZgTEgHZkx5nxty4j00DJkOtyr
DFMoq0NXiN3s+Wo4JHhVrGAltAEX0OPZ2xSZVXyNeLb1M4Z+rdhPuSgS8oGJNmd+U7MROIubSXdT
DD23aDXrIUuQXw7eLRagXlNttndUXcmZMY3ml7KYsgsTr8W1V3kY7UQEZnzbN0zpg84ZqMF7gw1Y
r6iGu2SmD+V4A2PzprAtzmi5337R/b6uAztRCmTESlXcFkvu5Be5qPv8AkRRZG5UXvqHJYVTdTwD
ywqAKJKKDVFOHUfofR4iyMBDgJzFu2/W3JdQ8tA4V/BhZR7qkYuWktg+hceG8t7p6/gQKY0uSqbs
7rnSxXRTq8HYDyv4+lCYsv688KrOO1K8eURTFyOMwy0cxSbxugPh3J8iBp8XKTO956XNRnAeUlQX
jVMnzdpXqLFzaLrg0bfsPgCgyEOjkQMHYhcaFOsE/Rwf69kIndHRyiV2ESxFsbOjmWmfLLSNdNCp
AO+eZI76aIc7IwKaYSeCzVbKzj9qBsv5Wml5dlLhg8WnhwumD3J8jTCZcn16EG0z2xvLbehI9JSM
ycboCkdSWkete4o+MTnTjAj1QNW1yJJwGulgawhGv6RQ9x9QBVQANvpZbHrQwR3qCMVLY2V0tEIK
3eE6WSC7HhYcg5fOoFh9ZihSB1Q3ijdgxSJsMQdP33I986sjiey/2JCrZgEcJxoIvawYVXXcT9hk
tiOuIpitE6v7B5OctcP7+kCIOZrlyuTwSSPWg9H+tmuY2yCLBdqHgHwIXpicauJ5EquClXMBn7mn
eTzRWIfX+UEHeO1SvLkyAnpBCxbnts7ccRXsvdbJEAZcVE0JCGci9Gzc5IuIr7Iyon9ZQA9KJAmV
CII1eWmlfXWAUGCOH9z7u7mBSeMRwxw2R8JoHGD4699/pdRhr25AP7JO11KPzsEZ2OQrzt3zqx7B
5Y87et1jfz/1XC/D5BtP5RrAof/SmF2K9SQ0QscSEw3S0G06WQfKSX2MHGOlbXw8zWhZFmLg10KO
VcVoHGsJEmZj1whlk/qDDviv900yJ6d/j/AEz8WQ8Pa++0yrosImXBxJsr0zHE7wZTTHfzYw4bbt
NQyRoAeLNxZ1+9ur5FCGB4zskCoBCh5xNrKpc6KPwsXetdi5ChNIAHh0TiDlkwXy9ipi8jg5Zh4+
I4ejO6s43gwOLs18k81xXH3wzP76zbnYqBh/QR5nDGS+u5rl0SToo7GkKvN5RWYEVFs9qofugyfz
3Xyau/JgFABn8QjwcsiLfXtXzCMUex7vRoTkPdtVAIHrTTS3tIatutzmyLs+mjytf+Tb15EBq4PH
gLkIVrJVfvv6ZfAN12d/lXJ1RXbPbQqUSyTJcKInyrnWl1E+sudMga7xnH7wPP7yG3KrTAldblbo
pKO9W4MqR699Z7ZpJeQF44kYIRvdog4z+KaNM/P+g/dxffDe3ClDH4f5GiMvoiKYW769U7NOa5ka
HgXOAFWVE9rExpAV83wjBkmtxfXdT5FIxC2Y6ajci9aNztM6T7/+/oP88iPzOVj8DLCVJvnD6+T0
9Tc+d3oGYkbIIOuZ6YBIXzhHGC0FVaA3OXAUEAYfPln/ZL2nKwg2kDxLZlLvn6w0QlGTeyOLUS/E
raxQThlBmvkCk26pD/Hej70FKFbe+rH8IDPql99Z6BbZicQv8FTz+rz74o2sXY/BiYRUi7pOFwsD
plTzuuc4sTnH/NG3S2yuMNYxGGZswsZ+iQafO0fpk20kQcER9USpwc2JNnHuig63Bjx+NrvfX/Dd
2rBekC2EBY+eL3f4PuOk9rM+MbExBxUUzYPKxBAWH6+q7x4aHOGm67Jbrx1h3WLZe/vQCDjsSe1r
OCJzWW9bPzPCxe4SN6hGMzs4+vTR9vXugflxwfVyqzMJhf27CzoyHtCm12Q0xJZ5X3Bq/QLnY0vT
RIQqphWUMA/6KDv03ZPCRRGwcOzAF0fCE1P3t3fJ8KJlRrOKFrXxKaILE/iVeipMZ/rgR/snFxKm
ixyY/2Nlf887SObUqM02i4OZ12KDLmwOioLxSWbmfzp3XqfAa5QL41kXifV7Zc6oj7OechLYTFGd
hS83VVCehv56e79/FH8RsnMtBBFs7sxE2YffixWKCEFtZ/1/6s5syW3lytqv0i8AB4DEGNFXJMgi
WbNq0HCDkHQkzPOQAO762f4X+z+U7XYRRRddumuH7TiO46MkgEQic++1vgV0qhRckQY53qHmKdv+
OobZHB/8yQ7uRdH4N1PGeWtFK68Fxzdkk3/RG6mVXiOghPL0/s96e7Nn/w/+Cw2wBE2Sxfuft+DX
4yaiSjxxtvPVGk6h08Ubd/6rjw8lmDmck/lUv7nZELHCAQh4uNaq/snu5FOfdU8qf/3xYdhC8u0i
sUlDS3Y8T2HgGyU66mDdajE9XS1NN0Y8J1+1dfoHNw/vHhYACA/cQ/14qKjD89LDDsGzDhIwjCb/
BtsANMv5r96/qrevPC5VulAs1Nht+FYcD0WVJU1qAicg/frxjoIz7/fQd9MeFnK8o8URXJv4Tn6+
P+riPMA7zyacjwNaECYI5tXjUfH3KX4smmDNCuei2ebAeSPNrrt1m5Z5GobyMwhRJAsOHR1Ey9mZ
/eqJ2YlpVnfYoJNKzI71eHxOzMRKgG3k+9+X+p2tpvq3Ip33BpmV8YPev9q3o3GpaH0wHLjQVpZn
jyxLyw5jDVjoesZdKNS+rfbpP1gL3g5Et89mZ4VNgK/gbJl6vcvQYoRyfThS7ZyGlzeB3tkfvQmY
U194WiQaQghZ3D0gREM0eykh9ZOsEfGMnquh6+lc8VcfvXUWu+M5qIrLebuFkW3rBEIruXVNfJjf
7UyNDn/ybjMRZtUawjdWbHtx41LT5Cxc0Sp1jLC4pOj6VyaM/DIO27/ev543GwcAYfh7UaFanJY4
DR0/IRPYcB23lDtiQyNTAkqed/5qTgwCK93BaU7x/O0grZ2NEdmMPllBef5gmGHzmzfK2H74Ugj2
mv3NiAE5/C3e4UwWSOKaATpvL4J7vi/5ZdV2506Wb6e0Pd+vOYkbyAtdquMbxv42wtXZ+iu9sHTh
GVxbfwH+ge2zmzTs4N+/qJPDIXxEYchWBNfN8XA+3gDfpi3EcHJ8SlGX7KuRggFJ4MPm40MhD2Yn
yZGWGMXFnAOiPmr0BxTIDok/eKkbFZdqwvG5qGaI+vuDvZkSFAEg3YGOECrOq+WJD3+OiyYGN0Ts
q8ZWoRK0UUMm3wdHYddooIfgtMx8gNdyfPcUWO29wTCraJ5uDWVXrxydD984RuGmzVJGPsd8s45H
6cq4V6w6gfTL0VnuutnGwFk5sz+xlzSqDyaac1zjsDx7Stnws3VcvLFDJxrHIoSFpkYSPUOoRr4A
6vzTqPW03GMruP74PZzT8l6wDuzrFuOpcexUdNXd1UtdWbH03htcJ959eBSuC0IUs0EVb/ZMPkcb
gPugtcNU8cdLNRs4Djr+UI3BR2ceD4qCjcP+jOqNucySwy+DUDfCS6ZnVYc/ftDbYhU7mVufGegl
uvDVWV/MU2LemZEhhMCG/z6eF00gJaRx3t10Xrt7NxmuI9/Xf2QIEq7KRkBYl+RV3ZaEsdEVNASZ
h8EYI/EgzoFglTAhQIguCeiAHJv8pTqCu0LiQBSa1mbRRgOieNO1vfnNLCyBdTxMmxtby6bn0IWd
f0H5cXyyjLYoLyu/oxtlV6iz6N0a0T1dbep+LZ0FsQqhTQf7pBGuv6OJ+bnypYgPmW8GXxsT5+9W
n09ZTwPGoBsK61DQ6eAU/doES/Mkp9IJbpo28w2cTaq4qwLdmbwGTcOVSyTXnNoT+DMxUFjUlfFb
/pr6gUAm1nKCMYLaGsDmj4Vz00aN9i22FbY7xD5Q/v3oDMNmAipWp4LGh3X53hAy1+CEIfCnC9jD
NomS0306O4/fHJFd5+VbSouRcisC3ONn7nM7YH3xeTCcgnKSSAf/Jnc79pBSIUJwLKf9xy4LtzAH
LXRVcwg8JtbFgEUtU0pEoI1gUza/B4CHF7BUzomJl8s1o7CQUuWkQkbNeqnvjR0FISqKjxUEIbbi
EdusCSvyw/vXsvzYMQrhzS4VQBYCSnKL5Zqsa71rQpUwQliQl9j8oEI1qc8JIEOVe+agceKSOKHx
grL1ZyO83C4kMSTeouiUVScV0FgZn4WA7uXfF4EPKREfi4x///f8z/wEklwjvGpfHAb/+l//menj
4lcxiwGb5R919CdjXvjHr5s1hEf/g+gy9IT33a96/PSr6dK//4rgVzH/P//Tv/kPVeLjWKJK/Fl0
eTv/aeSB5EeqxNkI8e/9Hg9RfcwghIf7T7+HoaM6nCsvUHChAbDJ+l8Vo/k3+hkIzHH/vMjaOcb9
U8Vo/w1yLspU/km02i/sm39ibPjz2Gpg8Z7BSUCQ3I/IGCkXLN5xnBHsKdgpsZSw1UTHf/yONx0c
rbhV9HUkFIBtg94gkp75e5uiDFOXhMoZ7zYJCmQUU0UzrdPYMJWvKflR9N1f0HBqYgQsDwTvDbTw
SlqYYEcJFUWn1hLiRk5MvQ5DQe+1DpRQXCpCb03a4fhAgZuY40TxElJdLscaaN0LwE7gbQzmDmwD
2S4rIa9eChnGn5PaVyzgeWEq01WlltD5kaOJAMEQLMIBrnxbaVW0GbW2yn9aWc63k8iI1ky0Z10L
24oSDVFs3UNktwMM+LwYbWi+5EvUWC7D0Ix+0/dvE7F2oZtuqk60wy5L7a75NPgVHlMYaqbwqrrW
B+DibTKYv4XWkQKx1lsSnK47d6jVO4eG54+YnY/G3RxpHA6rboAg81ylWZfvrXyAQji2NhwzLfbB
PKRg+JxqTQYZOpZVhrH+G2KX8TGNreYWmjDyfZ/sSjkEOxtyxc9GsZ4LX9y0Qb/qqbNf6Wl7Qdw1
4WfiF5FB91Uq0VvinMY43qEZzStNRT3v0paIi2sFA/rTBB+DSm5TX80wkI1ZoDfJXOUKT8CVauvE
oZr9eGmO5Q/CD66g4FzQ9F2Rev4cFmxA5+jpujaUK7QCXjC50YPV8ju6mYfbbBVUZCvNXdOSW9FS
V9ZGl3/uM+drPZvLS4B98ooyWbPhzVmPlbuNpJIOXl3Yj0QcbiuhJreIE3JSd7p9G7kXjU3kdMl0
hTc0UI4aKfRr8gcnjXwTDfWmywyUNY3c9Vq3h9xxcPgD21USt8WecvrKLRz9wnTbz0gFia8UiM5Z
m4tIZ+dAg3kV8oFHnCaqS1CGG1MZn0ZZE9fDRD64UI6cIjSMdVEjF0gt7Z6IqMbcBb3UtwQLEOMY
AGIKfUTzHSE/sh8xKNOfDtdNlYdbEmy+oFlGyONP32K3cvaEeuwasiVJL7HMvWog2y8m3b3oK+V7
XGGpiBXnrojJc6rUR3KM7kfSDkgOCMiBCuVlPoGq09r6wai+BXW7g77rb6cUaVfceD63FR7Dih5R
N20KIYzHIiDjc1OqKHs9TRJODi2aVIys3EUmucPGVK9s28+3fT3cRDZxGC5TZwXI5KYXKq7u1vXC
2OXyw2JnWuOnviL7qIxaT05tfkFr+gkS0lZFr7BKyLK7Fi1pS0UnLkmZgsCptI8NiultVaETBYNr
xqsZeTrzJk3rnpib+jvKT+vTMAmTLRp4JGUPjfCqLfrLPqquO0XI2CujMP85ApdfdznxD6kI0IXq
kc/LV+vJNqds/NmUQX8f6zK9s0XXAqEPH92+r8zV6PrzcmYUaJUdoNoegDfj8+iXRbSlDRBi+5fj
uuyJt6uTTU8SWZ3/ipKNBaK5QOFTZGIXS6v9lYxUoiAsMDniUeztUb0R1uhfG2Ho6gfISsp4UdqX
SZQeQEpfU1kce1o1mCLiDfESiN5yw9fKDQ5dkK6FUu5Tytc5szmWV/BgHdIdaN/DMxzQquYkE6mG
DIg7IDnhxnRyawdxxGrWwnLN4H4suLVD73gYwx8TmzV2ZoGFbUtpioAjh0TEK9X0D/i3v4x2nio/
MlERM2Y5q9op9rGGNj1y1IxtuJ+LnwDF2djK3MEGXrvXuqPdRAXrZEKyLa31QrkzrPBQR+VNRLjR
ZcCt6crUuE170ocTUkFY7rjBat8aKNjjAcVbR06P0H4T9uqS483Vib76VcvM/12H9rfUVTaiJxnW
FUm2IoAXDOPgf/b78ZpPgLIf2mx60nMUzKrvVvu4Fzf4ZUSyZg0qxLoBivm98JX8Nsglsk6iH7za
gKqRx3fANG7GJKgRvKK33fY2NHYFspdHc8mh7QM+HBppsIIKgu/KJKoskZdaPF0jUBcb3hf+ljWo
nzUs+msiiULlXgsq85JKQLriQMGVx8WD3fqeQ5g1SklYHmaydhW8Qk5I+G+jXgijNG9ASCCj9dvG
s6zQkbuyiusVpib0IQRhjb3pTQ1fk6BoaKWO9oMP6cv05RfbLOyr0X0mJHBXOFAf+mreQzZXE+vR
GE97RN7dF+Jr1JXtdvu8vjKn/eASxppWt0lFKh8BOODvyRWeiuo5qFWowUSirWdUzibUy0tEX8O6
i34OY9Ct4jAwr0FpGJ8EHNy/RP8rhTGPJIM7qDRNchfx8oOwuHdbslW14aL1kyuOJ7jQy+o2onu2
SjNL/WY2HODd/CoNxSfL+V62Zn8FxRiRbr2rJ/8WW9k1AW7NThlZiK2iSre0F4sfbtDdlngnZKhd
I+M7jHF6n+h7UHrorwhLImk6IMpY5NuhLrxQldcEHF8Fo9atYaU/jaOJwly5rVretiCv95ke/CoJ
PAr2oMnztW4S/YuudstW5spRfpfafTcLu5t0y87hc+9OFHCsGAYxa7FbJu5clLgwsiiNPFklP0vW
waJ81MUPB39fHxqrOv4LxTFt9uIWFuBWHeRara8Boq0HTFdlHjxSXeM10zAToQAjw7tptLVCOJrV
3tTKQ6bUn6tuH9ELoAHIkuvzHf3lWERulMjAbMXrhmqbxnKX5d2NNd0YzrcJjn4XRmv0/Kveste2
c8P58JpX9o5N6DrNkMQS3lZNCPE6yTI/rqoo9pKGDPSoPzT6sGu1CrLuz7Q2b51I3IVZsUmIgc6g
y4BSYPPx1VSuMmEAD6lUjf0CydG9e511/cZlB5banpVplNQ2uvFXrfL91PXorkPOCSr5MKAoJn7X
2tQ+ZkWl2ThKdeXipFz5gex7InTd4n4iOsAIDUgX+jbU2ZwM7m0JSadJsl1n3VXEsJm8Dvj9wli/
RiqGRFkCMEAcU97HEOigy7PVXksTxbMFHcfDpCoIBsj2k7gwAQwOvbigguBpJbMFGWmJTfEguzTx
bH+4QMF1KweAG1al+S0PuywOVjA191Ol6HtibfMDSpFoF4zZsHFQoFdNc13ELe9+3n5pRkPsUaei
p4QQmrNc+1F9r8voU1bf2mFc7PpMq7yumm51p7nU6v5Sbze1cEZPB1Hcr8hQYokskk8mPO3nQbj9
jiKYs8Z1gpI2rjKvgEI8JneuO+wD/pGV5Hsls+wBQbexHk2z2/U5GctwBbck7FzWwJNWshyvHDV8
qAQxvaaBMDcUfFouCuJy2rUhyw3/wT+afzFyGR6kbJjdWEjQhli9DgYbL6ajh99D3drbdvy5CEL2
jlI8+GO4CdmBiYqQIbvZG2b6qDNyXkf1SrGQvOrOsxF1nos7czXpN0Z7X8E1J2Mh9cpOwPm11x2M
kEyJ1kiYr7RIRewXcGOISY/3oa3EfDHWWensiL4dt1PQbvq4YvIaa1cyWaNhlxJtiYOnXc0KcKTU
Xuhn21JRvwiSLtGfe/5YPpCPcRMDFSSKXDw1av15/qesOn1Wh+QhipVvrplc2337SdHU363SP0my
0vnOEx3lkuPQkuVOGclVbieJ248Y8yqNt9lQXaupdlBEBgedeLxQRfA96A+a0TwNeIpE8aNJeb1s
/LWwUy7V1GIGWN+0Zvjqolt2avs66NSNNeUkLQxsQvTgIo/Kp6Hwb4zO3HUFesy4c7NVWecm4fWq
eJI2thTLUvyN6Zgj/yxBpSa0OQVH69oMk3SvR8bGxgagKh1S0KC0Ri8LsF/GeHbMKdhyYojwywwX
SIa+tX1UX4aE7e5qmxAEiVlxjDZdC61bpNDPD24uvlKivEyYJ+0AhhvTFBBvlR+KcDSt3S1eokMA
0knJygpa37Ajj3QzkkA7OdZIhuLY7PJS/a6D7xt0ojyxizisjDH57AbA8rlP0hoHkuI97G/f7UZ5
dH37MUh7Mqi0FRQmVIrW8MNMLn1FJ2u+xMPKkQ0yhntrxf3gZS5xoGK6jF11FUymeVAkolRrqDA3
m+UOsyArkMBGBcgo0cH64QeT6gV8no2uZ1tbljYBU5Ls5vFTZEd7vKV0Q3OywUm1YpfCCrOpmuJb
mlgbfLSepLfOUcazZxSVmV6BEDyE021BSoxtfKEzvxHt76BQNt2U30djDzewIx2kPthB6w3cIyO/
VfEgZDk5xBylAOCxowrU+0m3dniBdwZftiQgxCRpPTWLaZLW14qlPDftLcmrD5UZXjcBatrgu7QD
3RtGdxtY1nUS9l7cyueCEI41loMexLaSPNIM4NswOMiQ9PK2b1A/+ZHy2xIkopbQjXQLFkwTjJeW
NpiplwIsItd3rNKfSeAauBxsky2emhShf+HXDUknAYynz3aX0J1xjMFAazkV/s80jLA0o+wfpk8K
CVLtutQCy78wBQpyzh6a/B2j7stXNtGNh6jEaLLytcj6HpZ19s1Vm8zg0NNmv0MCP0KvQPMLeVa4
44MxprYgVWscq+tQuvFetDM9FV5WDjHcNSuEyS+EVQfw7i3nPGxso6k11jq2RI361G/r7zDVILXq
L9RW2w9oOyZg3SgpvpBdNbSMkg8WwFeyv7FdNkZNFP0LEVbtKD2s3BdSLGYGRV1TVAcjy0HC3qiF
P2xtq1bBzL4gZ/VQu7FeKLQzj7bTQ/WbeIHUdtkMrIX9h/50UIj722Cc2IQ1O2RPhAZJbUTbFMRl
vzBwB0XBGl5mtQ9ID3zRJdailK1Vj43QUxB/PZEkAFOXNR/bQ9SDJeheqLtyBvCSz2iV6+wFzquL
rrG2yczsnRw5tJ5fxdENP0w+BkpXXkldEehxOL8/ZLbNrIlmEnA8lMkjZCrzaZo5wYqpgQye1NpN
1wAyZ7aXpmZyzjjjWCEHlW8rAQ8xPC4jZfemFwbsoYmq+AQuAAn4OugxPno2K4a9NnrOkquqra1P
PvitR3D4gLhoMmJj10pTKldxg799TRSCaW0bK5dQQVRS6zZiyklRMK3IlCubGuut8cLu92eMv0NY
HvDiGe7PthLO/6TNzP/khf9vvGQBtIEkFyCItPhBa+k7sR+YkwNKrOXA4fBdfI+IcnvWXlIG0pfE
Afn39IE5iIDGJJkEZGDgyZckFZDpTmZB/5JfMDtWlPX4kmvwUjT8UHX1Pyud/p9zg8/IxX9fP91k
Uf0d6uV//b//wRf+q/mvpzz6q2iOK7D8Cf/whc982lnmjnhPo2sokLv/g6Cj/Y1WOWJfZBNotdBq
/G9FFagtelwToTb6AzonGn/cPwk6+t8s8shpCSAfAcpjfqiiOpdLX7fJKPPOilDEaUioqa8sqv5Y
LSf2a5EO3Gay1h0hdxvdKs6xTJcKn3kUNHaEG9CIoxO0UPw7QkairDvdQ5FfU2KT4hsBFwXfPTW6
0mwbRUdP9DaOCTEzGoq7V4/nhBB/2dpgeKA6/MumK4gIbzE8AcQZUe0jdFec9hslU1l6tVB4oi6d
M31Hbe7ILm4oY9EcZhy6qfpiLIGHQdeVwfAgmG+NbHp08Qxj4hxQdPcXGBixQ9tNhKeOhOBWj76+
f6knnic3eu6ywWrini/annVfK2aaKVwqydCrzHeVLa6zcw6ORRGemWrPyCculHYUrLHFRWK8sibH
JwlV5XB4NQ5p/k1h3JUWZcaVmiTdz/evaumkmAecxYOoay04T+hYjqv+bkmGdidtQMstOc4aJrK9
EpPnu558vYCZRN+6W1ucU7adrlu/wYx+i6BubsEIlE9nfst8CxdPmN+CYEyzaEaAET3+LQ0VD1sL
A8PL+r5kl2J74xDd4rYHRdJTqAWasC785trkN5Noq61odVnfgphyj6J21fr9n3Nibh/9Gjo5r1Ve
TtaoETZl4ZnUyOkLNt9VP1APKo3q8MzcPjG3TCSlBKyjwdJ5j4+HaslZxp1az68RNiuIQA9p2ehn
FBYnr4e7MsuiTBTcs0TxtTXHpjyS54h7XF7ZA3IFihN2HO4AP/8jXPPfMrDODbWYVIbfOoMVG8LD
2sY+wA6poHTldRs0H2Tz/X36wuudpWuYVYx5fXx1UUA2KTaxNHklNSV8kWp1KUXnfHgqgA/j7WCB
Q/uAiOh4FJCsrVHaDnt3X6j7PJvGPcbQbM8mpPmDoZAPIeCgW0izZZ4qry4IBCcaB8MuiWLM2mdo
FMpucjL9OWj8+oMSmJlQxo7HmPXTyJqXa03bIU2hXoBzXsINDQsO4RzvzsmIlspX/mD+fLI5Xr4R
fCSOL2i04F+KAn8+n3Htl9WI+KqZLHetWhRFJWltP2K993cffXePB51Xmld3sRvsKrN99q+Wrzkw
AKqe4pBqtystda2L98d6+/LOjwoxKNMQbfgLVPrVWAUpX4ZZWxQ1JAyndnDBohqtf/X+KG8/DEhN
ETIy+1w+Cy9fx1ejCM1hk92bjUeBU9uJprR3UIwwW8qM26gp5hkdwYnHBiFypmras1NhOTlMMrRC
sPMU/JpqrstNhVz79kChmELioYqtbuPixz6zEL5dOHiHyZadt26aeGMGs4swEG4Wdl5CKN/ayuvs
kBZ16zmxVp+5wBM3dM6MYWKC0VDRKB9PkTCsSIpCgs0Rp+tvC7PuiCsHz1yUVFqN0HWGM9d24lPL
V9Zky8n+hdh6c7EqNkHSDHoV1R72VIEZq82xZFkVPPxUgs2DEkLKqFXU5vcS83C2rtuuvXc1Wd1H
9An7MwvNPNrxx5ZdLveYJQ24qWEvVs6ozRM7S9vaM1NBo3loUw0LStsm2E8ACn1q4hFLNrnSJGfG
sRafY7qfmGCsy0xmCP4zdGOxLvR5o8MGYfzObf2tyJXSw6nWepwvv3exG+6rDp34+y/Rm+lFWZgt
BHJqFiWU1YtrhpKuTW3bdB4MnXjT9BFBEgTYA17Lf70/0tuHzVC44dAhc20s5IuhylYEjoXfziPj
tk69zNb9C4fG1b62WgHFpZII4kjx20xjY9hr3Q/tvSON7mCnsoq893/NietGCWSDS57poUjQjue6
zFP48TqQ9Bb//cpW7OqTmWrhI3q3+MxH5c1rhVR49jdwgpqn+Qto7dU6NeWwtDHgtV6pFuGmjmKb
nm8wPPmoR7bB2Dlf3r+0N6sv4yHjRIGNQBrQ8eI1tpQ+tmufFaMOXfdnwnl9i1NE2b8/yssdOnpb
GEa8ED01jiAvCLLXH5S4932kYpLLKhP/UmvmlMkCGpDXKhiQDvC0600ydM2sughBxQTxxgZLdZCl
095lCrZoytWBQT2mjTbv/7ZTd8A05owN9H+z2vT44Vp6ik43h6I6WwWJKRDDdirS8MzucZ6vixvA
wjxvgRgCZdk8xV4916gDU5OaE5isJCrDddhPyVU0JYHvlVWnXwhavNcNS6qn04PdEdTrKmcmsTZf
yJufgL2c5zAv20u3V1BpiUY+c+MFYaIjE7V8r/JzEicL3bzsUtIQo6ak+axSsf7CHHXvGkkmtQN/
w9OnWtuV4BzPfJZP3ha87tyVee++XFHIctDtJO94s/wioq9SqpwVRqm29ONQ0ezUSPXRgKjpYczV
aScHszDOLGpvFlKMt+g/8ddg/Se8ffFyo/YkpMKepybZqLcld2NlJWOy71B2/54UZ2COTtqZ11x7
O6owwa9SchCCLvsSc2vhBFWCIiUN0hafjfomL1rYh4pHKuZqVu1iadgLCxlZOJKCA/wp2QOW6sHn
N5JYcdq35EGfSVo+8ZtoV1NsgYWPYm6JoQ1dbQjVmu6HWYvuio63ftOUWnU3GWwhlHiiJzfa5Y/3
X7+3Cx5TEs8xewkksniOj1+MscplB9lC9fLGji/H30mzMYYy2/Bpy87sIE5cH59MnLd8N5F3viiz
X72DmTRyVGHJ5EElre8BonYbnCf5Q0IDd4fM1LmahKGfAe6e+JLx3cCGT6Vn/oAspbiaQYgoLt8R
BxK3MdTz+ECDtNm12DZI4U38cIfGp96WYYbdU699lBzdeNPqZ0XBbz9j/ACDrROfGOrdy1oFjS0T
pXc0wbrv/DUZFcGlbxfNV1mn+pkF/+2iioeMvQmmkflev9yUV7e6jMt5ZzaRSpua/l9Z7kfPeSe+
vj913g6CmHqWHQPzFrhL5+f9ehB/dIgEVkdvnDTtl1KE4meU0+p+f5S3E5RROAqo+POhgix1nXIk
tUIL49HTujrdW41RAqPWIhbuBlJPGI2u8+EvEgJkCCREL/LBwHR8fF3SmUY0mO3o+Y6m7kRdKde6
7M0z696pu8fqM5+5AJ+zs16MogZ1J0pyOE0lIaQnRkEDQCfZvn/3To7CJhmJPXUp4g2OR5mg9skh
akYvJTyWLLzYuuziYDgz3U48I2AQ4NsRiFOZsee//2omJJ1KT8GGai0xbuyLopqRVH71yUBK5mlA
Y87cu7dvEgkAVKcpM8LeQGV/PN6QdDERzIyXOZFyELGiuKvaSHMbdtRw7ht56uIwl9nzU2LP7Sym
eZO21KAbtFCK34ZeTCc5VoPfqhrfMXvyM7P9xPPicMVxYl6t5g/U8ZVpQNysanRahLmVy8GJAJQ2
rLrd+7PixP2b3yUNRfbsV1IX9w+4DHVKxew8Ip1+ZX5ksOMRX1tWo4s/GYiTGodUqrTLSa50dY0v
U3QeYNH8UyVzzMrUvK78qTuzGJ26JPx/Amurjgx8bqa8noKKk/WR46udp7paeScKU2wUWykfhnIQ
Z57RC5XieCc3F7j/NZZ+PNZkhHrg2Jy9q9IOrno0TiSPI4HGep1r/r1ITIS3Mgfo5PXki+fspcoB
7F1us/uDj1W4axvqBpmTGHYmenB626L86ukvDznwykep5OWv2ux1HQZXNtpeNkFy9d5/Nm87EpYx
W6x5fQBVqISuHV+GUodx2CtF7xF8pW7QtTfXoP/bLyPmgo3pgvdEi4uiJTMmtNFN5O/Ity//YCrO
N3OGr1BCW9qxupFT7ajXPUoh1FyBzmYXr053Mbshzwx14kWeN3tsd4BWsL9azPoRRzIIEuyMVVol
1zlqYsSHgVJe1YjIV2UoqnMBLydHpK8Ak5uIhjdRdmYOr6lP2t4zqJ3sI2F1OyAqiC5Bz2vXIinD
u/ef6Ynlw0CvQZOHnRLdu+XyMeFCNPSRfCG3KNCSjYj6dCs+M3NOXBbGJtpI+ED4/i+5Jm1KCmMv
ya2p4lL1Ypl2hyqJ692kRvWt0gCWff+qTs1UFnwYMdRYbe7mYqZmsR5betEOHoFj/SoYqw5plY7I
O46LR4QfyvcMWbXiwRGQ91Htuj+cjv3Pmff+xSa2eO/ZvlHB5EtA7cmc7/6rzxyB6klT18PgjUiS
zJUAwHc1GGl4K3Knvxz1UF8XFoKIFv7lmn67scJJUl+3M+M/0Gwo10aQXQf5YFLYbcMtB/buzBni
xDI4958wubFpwpm8nOOcVxC+KNIrnREJe24pw87NpHZHQr38+f5jOTXZmNy8vXM6JibB49vhygBG
a5YRWhYi+giLsoJHZwbbPxiF99ahuaeCCllMaam4zqSXRKPRsfN3aRMXh9KFWPn+KPOf8ubRYkJi
u0fv3HYX9y1C4yJL4UqvGcf8LsUgZK/p0XMcj205XFh1n31CgubLNd0U90xx4u3BiNoEu3T2F7D3
IMMd38ghMo0hLbiRVCmm/VhG2VUa1DECMN+/kCly1k4rjR/vX/HJmWLTOQWaABNp1hi8nswVdJ++
cAvUaG3yuYbXvlZVpHmBO2Wb90c6OU9ejbS4vIYSZawWjJT3OWkVqKGvwymVZ0oZp68Hnxl9Z4Eh
erlG6EZOsbfmekxSKmt0ikSJwSjEDpKqX/7gihyCWGEaILdYvmVx4nckVbIeJTLRtuMspKsbtTxz
Rafu21z3RBY0l9uXG8/KHljrzWbwDCm7jTaGGJDK4RwZ6NRi/nqUxfuVaGpTaaLkvnEEe+gKIFWD
T2xfObr2vgw0dH/v37wTJ3Jc03OdlYkHZGnZupCaMarwuCVTAexoYDi4eEDHykMfZM5nWbvaYRBO
/WUo1fQJwLBy5bdddGlko2Odee1P/xZsx+zrZ9OgtZibPYosVzEa6Y26lrJmD9EmU8PPg2bXF2Tk
/O5F5OUdcvCobaaVNUQBoNjozHHm5IOm4gPKh42ybS9OGHHnh+owAQnFR1juzF4j9xQk5JlD2hsE
1BycRnNKg6QFNwANyvEbTwKkg2iVWw7U376csiC5T9h73vCtbBxP9632EDWBvYlh1f8gbT6DbW47
X3Tqct/xdmjn9tGn3tjXv2fxxhplYkvQqNJzfIBTXc0NoCkBHpjE+DNz7tQdNlyWdursOkqFxR1O
ErYV9DPIZhgFYGzfQGJcJsGZhe7UR4SPwlxY5LRIqMfxDa47CXZahtKL2XN3qwj9H/zJuYF0b6gJ
Uu8e/8CVCuZP4M2Ii4/y5uYHTLOGcGTOqpzuFq8yjdfAngJTekXoZgccavUain396f3399RjY4lV
5zIetKJl1kydOGVu+kTtuV2u7SndwGwPROLcjdOQ9Wdu6cnBkMFx3Ace86aj2vcxyHc6F95E4W6L
o1VdF6Gt70NHl2fewpPvh4UYjD0e/8KwfPz49CpMutahGFOLMfye6mYQefbUKY8jmsvLTurmD0ll
DWJzgnFzFfSIdvZTqymfpd4Y1arpAgyn79/sU1sDJsiscbAp04vFI62SCsV/r0oqK6rYQUQfMbW1
9t3kONnOKsxiZRiZ+fj+oKc+CfMm15jLU1hI9OMbEQRdpCcZC/RYpNEmCpu7TinidWeZX7VWeX5/
sFOvps3tpjHCFh+T+PFgetFhTRt592lh6wdROYQ4xGZ35j6euiRuIKufzn9z8D0eZcxDqVJM4ptT
hO3nTDeTR78AcGcFYXUYNLX/k6uCWEh6Kos6c/d4vF5LTDuLeG4kMOCDyLO7qe3rh/dv3cmvF7Te
uX2I4gAn/fEoETpzjhq0SAInCR5cImHxngCvjrVM2egEe0DTm5pDrtTtN3y67ib2BYk3qtT+5Pai
64C369I5XhZpaVn2cYFqysPJGlCUrcNDVRL2tsksqL+rTM2Sp/ev/eS0IdIboiFyRm0Z3V4V+LOx
TA+elK7r4aM0PKWP4u37o5xafrgitIWkTkAPXXwyo7DWHRlpg+djB7gRzeAeaE61exW//Jnl59TH
A7qYwWJHvQzt7fGzTGvDQrOe4DUJhLxJcC8++Xab7wZQA5uMWbAPCHz+kuu++INbSf1ZnWvE7EFe
yAqvjrWlajdUqUmKz8QQPUdFKdZZRvLv+7fy1AOjwENxjrMiFJHFGzgBAIj6VLC6NkBe8T5n+N71
wv2TjyDQlbmnOasw3fl3vL4adjS5RZI1rvVB27jSHS+ssay8P7maf42yeL/hSFu4thlFtVptg+04
3WiTW//BwZBmMQcAlFM8msXaWAXM+9qg4GAavrzuiLAON7LTKHarpL8QxZiRzqOm8oy26GS9ZWbJ
MvQcKreci2XeYt3SOBPIzsBWbeaVfee3Y/PEJ8Da+f3Q7xuktxdTEfe30g05MU/VOSjzPOGXR3LS
0dhocDKe8SLHD9KYtKbQBt69VPr6NtXc/qK31PJ73PjRxTjlxl+qPomvue425Ho02FGCuDXvgjT+
YLYxwSfze/GvX7JYZmPSQsoknDiIWf+fvTPrjRvLtvRfKdRTX+AywXkAul/IYMwKzZbkF0KeOE+H
M399f1RmdVohXwmutwYKValM27IYwSAPz957rW9VHc7JSF0njvgIIfaLGwTRPk9AejdMU853b0Q3
6GFslFREc59GwDC0Gd9NVikffLq/OA5lBgUPeypKnvOBe5UrapU3rbKC+Jcfx4QgM8FA7YMdt/P2
02O4DmBrkRUuKP3Xn16iksUWRpmyGupIvcZ6Fa0hi45eigXe6wCX7wnXrkmniSZvTqtK/uD4v9g4
vTr+2Q1KOE8tDC1SVrot4bzqzekr+QzFRqDL2maEnuHJQ+eyeX9Z+MXzAnkSjV5cBYtU6+yoIiJe
JgpDZeUonXyVU7v6ViGmWwuP/L9xJPqQ7PIZunHBvD6/cHDmMMOuvxoaezqQ7VT7c1pLt7JGfuj7
h/rFBYNCCVLkMkO3UYu+PlQ8JNUQxLZC2xOywWiZA26pKFi9f5RlLTu73W2KbYQtJi0wGnGvj2IL
IxACNhzJuBYKMsdsogcHh/C06Q24CsewKNLig3f2C10UW7SfDrpcxT89LMy0iczWweUSiFr8wOPY
XfY6Huc5Xmy0Za6TQdwNua9LFjih2R6VDYk0+ic1lg4Aw/0yhnUTAg36+v7J+OUpd+RF4Mi+noL1
9esain5OSprhq1HjuFmahT6RKcUHpxz+w5uTTkmB7Id6EVUCJevr44BVGRypoT1NHBzJUNY0148z
9lNdmZ+0CYdgZot0Y/SEtnigfqI78sHKdNUokYPkuguKUygxuPJaED4STASlNe66WEjhJUtQcTF2
MybFDtyj6fZ1aMv7Ondwq0N7tM1dqKlJtY6FsMKVGYZxtS7x730Oxgo7Nj7CkhwVaSLvNYjGaTvP
3UTzpW3U8JhHeD4B3fCYB5I/Ed+WC2lKN3mAfG1FhhxmoliMqHXkhLbHSlHDBkFRo5iEANqN4ytD
hpFUKfTM9qHyhcfJqOb7oZwTOqAFUGF3tGtiz+weYolPQF3Q7tNhqlovxs+CzTECTcxPKQEpqYNF
b1Pu0iF0ycHN1RXApfJJAOVTtwVJR8W6UWiBEm+bGJbfiCLAFCyBPFyPoQFGhpgF+Ci8pcAiVS+x
NlmEen6vVrU9rPRQ0xJfRFrYHTqt7h2P2RbevwQhhCeTGVK6WSdhbxQ0GjCH2k5MYjd+TiCKkqTX
nxbjj7JJkppTpaSmukrtZr5WDRhVyMnh1LjUmFK9jjry11y+1yLBmYjAB5UuEZ4sICcXZS1Vj4bR
EGenWmJfTZgu+GlxVXrZQOpkQc8pxV0w1dJe6tk1gYDoZpI+A0Nxk3ByJsK1ApuWeqgl/SFTydDE
tdk0sDhjvV0pdsrwIGyZ5G+yzkxJKwoC65iYluBUBbM6bsidkh/UME8mpqapdorDCYqQE/Gc2dGx
SzTPatVG9cwxyupjjbNLxfDeiMVp3dUHRwtQN8JinCHCdjjbPCXorXrb21ClL1WrkD4R2tE/km4N
ftIalKwD8FuYXyYu4WfTLoZLoWBqtfM5Z+4vD6pLVSUvNtVkuJN1cNDAesWwt0rQBS4KJ4XsNDLU
WwcRcj4CHLBD+yS3jSNtB3JQx6fOtlvDTYBq4UdtWwLwyOfKk1XWy9qPsSCPDvCMlmx6SUg/SgJU
dVgluIWAOBRcwnKRTTcsmeAr5mLOH4wcJg5BiXS5PNq50eckqewdXNz8O3FF8dWgjH1yGYSW/pDG
ICfdDFWY6pKwFMkrgLCB4OLJ0UnnTosdewjhs+xIsGvgkhlT/FD0MNmRqAxBeTWqhDCuACDXmQcv
S3wzCCMq3TQrCkJJrKr/3MJ2rbZ1i8HZt5LQeCDpcOg3RDMEKpSsTrtMo9ExmDBDsozQMEl+mzlz
40b6xF1KymDe+XrqVLJvCYu8TFWancs0zCRc5gEvJMYYFroZH9oSbDkp3wRlFVBHrf8CHkaSQIwZ
cUyYYKo/xHgpQte2KuhYaZTE6WpE/CN8lGqKvXNwrcur2LHZ1sH3MmHxNHN8pXJzw64Ggtl5fYDR
w4MqUEhgzrJi5+gx4TVxVWiKL0RXhaAniOJ0s7GGAKSGCVHXnaQyuR+juCP5WU6LajXY3O4XpioN
hhfPwgHoJkUkuEgw08j3arRIrCiTikd1kMlw7vq8TDaTI7g7VTmyc0T3PWAu7vQO3pmK75pcG4GH
Jy6CFlmdoxXX42gbt1I01CrMh1nkqAvMQVmwpTERXx0QLzdAAT25zaL/dvFIAAMyynTYjKaAdEZw
rDnv874plGSVAytBcd0ZpFIS5DtKgdJ8QaRYjNK1LA2zSVYK6GUpuy/H1CYcHbCm2kTef0PNiwDW
mfqqb+LiRNPSuTXgd9wZqpDog5J575uxme0TwBQANIaYhUWqPVFb6v0UKQl/7DTiHpJXxRWVlVLx
wU7tjRzXRmTDoA/1Fb1MlEtn9WiItLQH16KvEjO85XTBg1CCiZQTOVsRb8H2sBD1SgvSbzymiGdN
JBI1kEO7DiGMXtU19y+P/P+4pv+JuuSn3c+bDG0vZmYrvj0T4v7KKb38rT+d0prxBz5hRLHIY6EF
IKL8l1OaBG2mwsikFk8Ecqtlo/Qv9qT6B9DsJT5oGVGjO+WP/sWeVP5Y5BE0PCircThgWHwhf8Lc
vPpzSwqu8390C9Lier2LgmJNjYPcElEwTVO0pq93USZoc7puWFwUJ933gf6p1czuqoox+3ZMGbZm
zcLTDxbZpgTAHux5vFIzUa6LXLa8EXOLYKMBt4r597GThb6RJRswSarNV6Wpj9uREGwyIUdV3zAp
XmloLg80n+V1nJukqmZgp5uWyRXISwX2V1r6XYGXyzElqHS6dhBT1q40tS6NtRa10mmAfCh16Cbp
mEnrtjeTH8FUKpdqqxQPqTQpVwDvpGt1NsVVN8Tyni1/fjR6Ambcsph6mJLktj70am0dBMADlwxM
GItTctknijtM9soc1Rt8hutJDPDKTHA9sSYezZxvK5yW4OI2ulSSxDcj6xgZYqdm+caYIPJEu/QZ
jCRpEuOVURbPgVl/Lub6ixCQjNTOzyznQMzysbRGQIvVlRWaV0pYXOWF1LqGhkQ9UO6AgK0ks9qY
gT9YV4Wd3Eaiui0sFM1qYZ3YRfgQFdx6UtiNkYmbjVeD/ZjE1kqLA49H6sYeiQdvxmM/1Dhgugpf
k/S5bs2OZTO/bhuarZOANGgkn9sRN0qbPxByeYxS6zD1wVNazg9Dk+0CBZZl2ZAipfphZ61J6rqe
QgF+IyCVN2QTZJVPDWF+I25gQwou+76c4FYl7iA/adkxrL+PQEXLOjmS5X2jllDqqjw8WKWzHgnh
9exQPRCIwCuJ7YtIyX/UVFdEVrqm5JwqIbZ1Y1+qNUfE/TkTR7sN7WQ3J4Zn9OmqTS6d2KXGvOxC
w69F8EyF/K2w5pXUXktqcplEqT/NoHRSckO3hnrVkTYrifU8P/XFjgTyT5EyL2mHYtVPYMBk9bkq
1W0K5UKB6oRwfeM42QYCSQHJqH2UMmktpHndhOW9EdyVGtym7EYoAe6ScdOpyYYHdxLFV7EU7iRH
3wjCox1GlFprnMiKOamFva7LT3PzEBTdDtfKZ3iRqyo3tkwTfehDF1M/761c/xyL8AqK5WaUs8tJ
YqOjlxypBiZQt40XatlOSj83vbJnB7E1KvZ88uSN0wSM0qT5Ym9qVb2g4x6eKPr2dNU/G+ozV9Bh
Fs1a6eWnVH1K7Bsl4nOqCcsLanLWhx88C6/ldLgteo3HfbQJ09qVR+CKxWMh1WwaTeNAR8K3q/ao
Dc6e8uQ+7oxV01bYmS8abIN22q2FcgMW/0FJrLU+XNhgWYwDHGiimq1p40zjEXD4QZhYQ5O9HGZr
bZHt8/S2Cm2jxq3fNOFnJyNs2iiC6ykbbq3l1ots507pt3V3o9ffc7AHWrIWENAKI1mPLehwGASD
vTNFvbbl5qiVydqsnIuSNrvLtqMEB5qMbklcDyAYF8IpezagYVp+aUjiMbOM7aQG9+yl/aaqjlKa
A16TnOu+Mg6Sed2HNadB3ZROuFOpqoZ5U+TCn4p+2xiNb0SfJ924atoGh0yTbYZR/hTU/YnIhwdm
918Vm0ymKh7Y7QrAgK0Pzcowy5j3HG7apgKvUm31cA9RXe8X9JDudqoa0hQcIUTqzr3syFeaI7yM
XHowgHHhCYb6rqlk61H5MtkTO6B5FTrWehabmsuX7T0uqP6TKodwOUXwIwpmz5HngHI3PTgJHhUt
sVzyzA9VUXyr8C+xjgcQMkFhyaq+F3O/NqPhFljksMpspffp8sZeWmXOg11UDQt+9dkJInHUo6S6
EG1We40lHyjYLzVpPoLZp/wZJHwZUm9fdgF3K2O0aKPHhMtj+wyU7Gg6AITtpksOJMxeL6AZt1QU
Lg5rm/NX3crEN9wq6lNazLetkT13ZX9qoFEc6kiw624LeQtUuD+2lYpnldC9k84D58bIG/VqmDTl
pMqPGP2MJshWhOethkT2wvg+Cs0YDX6Yce3WysaOrXXjXAxO/JyBzEGpks9g8SDNh82WsIzrNofc
l0zlvZTPfgpmLGPEeCg2UgrDLsFf044pmdD0AdxGBAZ6hOHgZLKzxYBN/mld+nUYP7DmZ96SIU6K
OcXvJpPLg5rYj3XU35d6ILmRsO5FXAO94sNKLeYpXd0d8+IqzuFQwFiF2WTQsWjycd+r5TdQfl/n
TrsDa3QokqH2gpDg50K+JOEdYpUiP1ZmFTxXwuo8YlncNubuGPcFiSyEc0K1KrwSRJIXUQSAEkTK
0hbcIEMnEFVRR8m5WApv00cw/gCesd1JWhLubGW8SOZnmJOPw8R3qTQmkk2e2zCVcMgUifRNxiWW
96RkSPPGKephlYbaRANkBkdsZKeCQbTiAOcyF95YPz/KnfZDmmrhzoqDtDjB4mdoYYBohRKjG/Uj
HaBjmgV3yhx8TodgyYs+9YXziJLzeXDUK3Rxa01vv0XjrlZvwnIAVAdFueWhdDfUtMISWZZWmtHL
kC2pw1T4MJuhBJAVVaRwS4lEsZ92YNHGQWP5zm61LByxeEMd7QlBEP1cb/TGqNfBcsYyNuWe6mTB
usyU7qKNbO7pqf1U1JAXiBwLjiCqNRelRXiMo/QiNnl+w6emExFkPOD1uv+uS621tpmJrcaOgQho
JttNnbjds8H4VpjkSTjpfMTlCnJxjoFGKXm/KwIjPUaNmZ5yc5I3sa60a1t0gFmb1iZRu0KeK7Zq
LqpFdzeRe8AmaaauM+0RfKrebAaz2GSapNGAeazGpzrWjyH55V7uBFeaRZSiBmmD7YXBOmXfSa1z
2WRiN7KMaPKwFQ36nrEVCEjlU5h+cUoqQShnna8a08ke6lscACSmS0A95VS6TmHo+lqV31FE7ifK
MjsKhNfXfbSutOK2HqPjXCQKC1ubgToW1d40OvtQtKQreq2kWaeKlIULxrPZFRnxrJ5LliQZk46+
LpWpuCY5gLOm7SvZuLbDyd4NUfXYSlK41uItmZTSzUxIyD2BSNPsak6VyDzTBjSt0LL8MeMTH+o2
39R51myiWnsoKsvy+0b68d956WiK1Gso4zWLbOl2N8n5SNlL54Oc7F0NAz1dBNFjNV2oQv0SN/lK
7dVvHftLvQLLFf9V+P2nzvonPYj36qyn7/n34lWFtXz/XywqHeIUqklMaYua4KWO+pNFpSt/oCOm
O4xBgEprqZX+VWEtxdZfFZWi/sEgghsWlwcREVAyzgqo9wqqP6PBfp4FYANA6rOI5in2kBcv7fGf
2vIVLB8jNoB3lwCtpY2WsH+/mlM94okTtk7Yk8s4LtvksG6k+IhSJzc2CC7mS2umWbQzYY4uESeq
VG9UrajRYiVzi0NfzempW3mRP01qj8S3pvP6QMfPerLLdI49KUjLB1sDIeR25MQoFZi5UrLgdNPK
s4FPagt3LRC2Tt+WcUVRhwRMTRM/JAr6/l4xwzJdh1kdaZQ8jUikH2nW6bnw9D5SoCTI9INSOmVS
stiuMV9DfJJDRQIBq9FZP9pBAme0boro2MqdNFxkQwxbcM5kFd5jNiXUWdpsN1eGHJv6jiZopBXu
NAtjoi1bp+Wz3coIFO3I1EISaqgLIl+xpDRzhZUa9N5wfUfqJhnAfRyjrm0DGkLo9vGhDZ3xTNPd
lu/YaBhI2FOhzRp4PSOWiuiQiKTMPxWaXfefp7EZxb1Ih1HxKjHmwPSGIsiXhiyBgCvHwQyYe9Zk
atNpzsB0Xztz4HweUYtXO3IY+uhiBH5kZu6A1CwRPFWkKTBw2GMkUD1GHQEMJ3JnK5JTMHnBXA1C
Kp+1oIxVwRKUA60z6I1JJcKcYgzAA2tTYFklQZKuOgMF6n/IMeODyHfmqVMZAhRVFN1LBCaZTK4J
bXP6VajlmHLc3mhHrT1mNS4byL70wNKvxNb3oEEJyoQBmretnm8T0xbxD0IMJPWWta/YzLElIs+Q
nPQ+kKv2Gb9HAtM0g6XqFC27ETlIskOddVWyY1Qg8gsLHRKPocIyHnHEC22L3tqs9sWQK+G2idQp
8MpZp8/aOdn1QNDYqtWd+rrqOkiDZsTe220GqP08fNpdq/aDX9vkWKrV4Dy2cl59Afx8CbrdepDD
RJqwUmv6damJ/KtK/7n2dK3TwXbInXiEgotdY0z07LGSR/m2DrG/F33lPOGtCC/CkK74yqioLr3a
cEraw12xHmLpVqv6mXFOmR2mOKMBoU9G+3kwxuo6iwb9s6oLcOlqBESGxIYYlnk2a2t7sBXGOTwb
80GND2khS+uFTKmR975jwINXoQHLa49sormbf1A7lj7wSEqjWb7rsxYAc6eaR6LJ+RG6Km5Cu7jp
X0YSmT7+gNYsDtNUqn5ZsMfj5kgJ3mQqc9vkTVl6zmgkQEHVegE4p0lu+lmRyialdKZFXkqsZbqv
jZj2Qhwrjray6VzY694JmvSUycqY+JqJRfiR6yAZvi1wDsfLmyGQT32fZzWq81Ayn8Kkmfh4p5HI
CpjcBjuzaCbAfkk5kE7zGBA7IpFFY1067FxMX20Zj7vlnEY/UprgPb1ts7rpzd65GsdYfLGVtLWW
KCgrIou1VVt+UlzeOxI2QWjFzFpgZpI19eg4eVH4Qu4V2VfTdq5W5aQnKgiBNmq9MlEoeuVQVh8H
Bd6/j7WSjaI6VARnpiJJrXWkl3HxnDdRKvZk05fJVqrmUPGJtINPnM+QbUp3dIaof9DM2h6pbPtS
9bQuTKJjXS3CzGAUzdy6IqjN7Ls1FGpypVd1Va1brRRC3s4EW863bAhaiVCSWs0OoiChqlg1dO9C
V+t7hig/PeH+6tX9o+jyK15c2/yff57PURHOM8UgjJU4ceQO5xRDOMHox60ugHDekpBcWBgRVlUl
2t+c174cB3c3siZEf6CUXj+wDIYrs6X1gTsDzP5SRcP0RRHRR8ybZdD+82NxOQqtcvZaaJnJfTob
xM/wfjKTWeQCAdW2GOgJfCiz4oat7OjWVdpcTAE3xfun8I0YaDkqvhQT1RbsnzfskGwoHJtPaIlm
Q7rRSqMGWl2GbK1bc+ITshhvmGFLKZp1pwYvW2mZW6H3/PT+61iaqOdvnok3Uigkxyj1z04xaWwW
WbDktoVFSEMgCY88aumS2pPYvX+ktxcNeorFkQOUgphwdWn3/rT7sFk341IBot+GhXNnzIGynpvp
I8nk2/eD+kaloY33EXPHud6hsPKkBx9PfeZwPzSOSmJQWATHqR2r374LaMHDSNM5c4SfnZNH5slg
AmcWgWswVD/YDMuiQf3Ip/WL9wPGYwGToj7HVHqmVSP8RaaESxz29QGbn1An2qENwMeoaUbH97c/
InOR8nJnmxCgzqXaCbKNPsRdsngBHyWZrJM5TOMProNfvSP2oeh5uAbo7p+9o8qoNSnWB8edtaSM
XLnr2vSQ9sXMvqps6n71++8J8NBi9VksPxob7Z8vOxPU3JKJRuvEbLq1KlrHxw72UWj0ucwG0Cm+
G5OpiL5Eup1b5y0EkXA4dMeNDHpnTU8f0ey4uYXUd/uykL+9/6Z+cTjKAgYwLzGp+rlZwGptLa4a
06InLcUPI6X9Qcoc9SA6pzxp06T/pmKSUR62eY08KofVGBnW65MYznSnahJ6XEQVppu14TMCG9r3
vXKaTPDoap9/cMS3VwlHhCLDA59lDr332RHjUIM/zRHhzJXr2UJnwSPCoXuYfoT0fLv+c6hl0dAQ
JCPHWhaunxYmQy+aHsG35bL7BrieDsOawNjuzrIZJoVKEt9bzYCa4P2P8FdvkIufu2CxvOIJeH1U
YWYhK0hnuejt+o1UxY2vVmm9birK/fcP9XblhWXH6s5XRmp8kK8PRfOvCNj0Bq7COOwQS9ayz2z6
7ftHOb8mlwcajgo8gvyLO+FMaVa0NmExVs41n/XRl1SkEm7zvPDbKesvc8Yw63/jeBacSh0swbIA
v35XSRBmkFIY0jkWGJNIR1HVId1/7FlWOpf2Vv7BaXx7nbA3YF6KGp8Ht3IeTxx3s7Ro421XQUjG
yMtk661GVnqnk2i+F47DPGcy6+F3NZdQjRf9P25C3ifY6rM32o69IqaOvJl6yPW7rJoUr8hISSmE
0X6dMFncSiXSqvfP7ttrRjXxooM44QGHge/s8tRjZ7KkhqxsOrPMOJpM1r6oSGRW7x/m7V3AfAUt
MrpOB2GeevbeaGT2L4HqTNZII4GY8I01qNwkDtHW/8aR+EhouHAw7LmvL5c+kQVdXETepaw0jJlo
6Ln63MDoICjgI2Pc8rJf76rYG9MIIXBTZsfzxnpshqJTTMQmZZBt1AX1LTXW1yHU6ORp1Qcsprcf
FXJjvMYqdgKwLeesh8QqRTBLBcoWkGKePAa0io3S+eD8vVF2LGmSKisl7wgjBTqg1ycwiqoxiwqL
Vm4wD8GqMwcGZ92kdtPKlMrCIanK5pwmvRU9MlcRAP/lBui2JkVWtZ64PYwFaKjnhNIW8kfYjV+e
hGVLARBigSuevTqDSjNoNN61VZm1ZwaM8Scz+IjW+XYJIIUaxgVPe8wxrD2vz4GNYjeyO8YJEZm6
xxKi0VUoo9FT7Ka6nay2fozRxXxAVXv71uBnQE5kDcBfyvt7fdBBsoIOsJ7tNpzWTWRM+apxsuiD
1W1Znl9dsgjxOYiMHxDEq31uvtYpfdtk6ExXKAS2eHGW0oSKyY2uVyJQDekU1Qm0cQOkDdkUWpV+
f//+fHPLgB1CUGLSJ+UZhUHi9bu05ibOW7Pi+IRdHLtwpm2hCwWZRjEx7Z3b+CMD/fITz94xprUl
mp1NNI6ns7WncwICA1nm3dqK9OJeD8oAAWgJkHE3k7XnfPB8fPMxojo2KXzwZr9Y5tTXb1CttBa7
mWm4SksWtBPgrMC9/9sPqeUorKhs4iGIYP17fZRMDL0Nc8VA3Zw2AFRLZWOkeuMppap4ROhV3+rA
6D9aG5br/vWpZD1gkIX4DIg4e8TXRy1mUG+9TlRN6oSI3ZTxMTaVT4VjneyouTPy/ouONEO3+ruo
RO3x/pWjLLvP10fHCIGdDOP7wl86v0Hadm4HZcoM4lQM4Uu6PO+iMOm8dDbGK7OmjWbVbXJdN92w
kRq12XaeweTt2/sv4+zzZf+Ir3N5GezoAPKfG00SpSzQSc65l1gFyYEtnFp64b/pGng5ikkMxVLf
LuG8Z4tBlobTXMXEtBrExXtxHYHQnlPlg1N6ts6BhFMNnibsANiiYk84W+fiQsUYu8TyOnPvhOsi
MJ3ntontzEvjTnSyC+QIzYjZN/ZHBqWzu3I5NIyMZbfDTpwycXlpP+/G1bCyoxlJOPNc6YaHRk8+
o4byaS0x+W1/rxjlaDzWsMlibYNF9oY9Y9IdAxxjtl4bMoFIOetEX6ZJl7umNdgfEX5ersSfrlQO
hyUAU+AiuQMXoJ8tciMzYhErVe9hA5cQ4iu9UwyuKRpr2PTEYbb7LkFciRNAmNNd7fCCfFJvbGlj
OplUn3ThIBUGaNL35rOQAQms9B6hwMpSQ+WuN8s8QvRWjY55nbHf6XeGVQ3GPkmVyllDPSfxw23Z
KZdID2Q9eX65A/4zA/wnZmMYOVwntJRo9ugQqn9aHN5oL3dN9kxMDZzs5/xZ0OBt/nHxHQEl2TXf
vv/Db9pn8mt+EWPzy8P8OUqULOMP2InYhBgnLiLLxbP+5yyRTeYfuD81xLY8W+AGcVX9pdZU7T/w
+C8eVMTzuEQXEMdfs0VJXnJyMMWxYi7BN0vz83fGi2emnwVmDe6GnTwrH7kv9Kpe37ik2edhH5vh
U91XhYuS0bhRmuRUNfNBquvvdQ6qjfAwdwyzdq2MIZS83G9tGuZxogy+KLQPFuTXi9hfLwieIQ0L
6N7y+aNwEC12kKkPn3JsEGspZCz28gXrdLySUnayeSc//PQ5X/15K//cGT9r63IOoUTQs+BBrkBW
gsv/+iw0mlpIDCC1u8mU0BAKP88H8YmBYu22Isp8QS6AV9R57pH7/Mkk7/P9F7B0Uf9eYRB8k3YB
73pZQg0KY/PsU8gjYLC1GO2b2ZhcJ+5dlAPTWke1YkrESMuGW8TaaVJ5Rv7ugVm0Id/xBIbixf9e
v3GBZmchWmk3qikpKJrS3h3isoDI0d86zbBudPPWUDAvlPrT+0f+kzPy95vmEuYDZvfI50zgEdXW
2bGTXjfQvEX5deoSH8w/FxefdzsmpV64IVzuaJwcH6XjFgXtztzFG3MnDoRYniQ/Wtkrx3N8yVt+
f/m+aiu2xbZ1r8S25T/JZ9qpV0i9XJNv/Np7X6/MVbGVn8TB8fWVxR8nX4an6So7zJvxerwxLsJd
5Sun+RQenfvxeiCl252u1B1TKK91LQ90ki/8r1f80K9fyf30SdhdcZ68eHVtrDoP/fA68OBD81+a
K22JSl3JG3lT+vKmX4t1/iPZEcu4GjxEXFtjlWzKbbNoFN35m3xSdtPNeDleSof8gM7uqF5IW3kz
7Qev9juv5KcpO/Hy823f2Elrgs+385V+ovjmJ3Vu4P3YHghtdm3PWi0vw1nVWzLPt5l3m7uJZ3va
LtoEnrEzT9HGuWu2g/uRf/Blr//m86SkfXG5shM4+zxj4nCD2kDzuV5d3sWucqi9chNe919gQWot
gkvXqfyc1LbDvA392Y19xVXcbD1vY7/c8K1+7SXr75vTHgOYK7zbyR224arwJpff8BM/XZGc7WWc
8mL554KWyuBe4wxCIty6xb1zVeBD4derYSut2AB5y9/dflQRvN64vly3EIstancWdor3ZUv5016n
0vOhDXotXxLOETEZg70nwznZOWWxGQCEMG3EmBWG9pdWbmukC8uXPNpHBMfvXn7VTMNTEfYNKqG4
dSs4RH6MlNxTxoq01r6kRDeVWkYyPXhCHcv9yxclab9GahV65OIBa8Y7ioyBpYHbSD+0ynAZFIm8
D3gDeyds/vpSlCY50TidVn//3sv31ePH0Tqvl7GXM0M9Qe+XBxsW2XNYcEC8XzLFIrmmc7qXdOlI
FORN0kZHO/8ute2tgpSR+OWTJikXqjHfsjddz/WO6YU/E2mtzvtE/hZG2rHQhzsrKZ7L0rmurXiv
pM6hy9uHriQhrEHjWXxhGPHUtPm2HCOYnQLrZHdySnMTK59samH8TM6VbisbZtxoIeZoY0KvCrrx
OLbpOtFjf9ADv4wujbRD91n5hEqSOWR6rdlvsyUrWpZXut4eEiO+1DLUj3V2A6H7dmjL/cBU74PV
8HUt9nLqwMICC6HRxS7zvFefJ3bHdAzRqpzyqGkTpBe4dZC+/4A/3xzidqMYV1NrYpNEfPd7B+cj
4xNbQElU8fQq1bPHzyisxqhaBRNnRPBkUMeGR1onqbw8NRYty70yXkdF1t0IXSJcjByI91/A2XWz
bNN4BhLXx14N5ND5HWUM+FDHwZgvk0b9nuaOcKO+zhesJR69Bl9gS2k8O1XsOkmjbN4/+KLU+unh
S+ogM2SFIpjbGeDIGxRqBb8yLDpDviOUQN1OeniT5HZ6ULoGaV8gISgnyxmjZXlRVuUunuPuIjXK
da/kh4gG8IWpF8+6PhersAVSEI7VV8BIzV1uieSDnuGvXyllM9UELd43Y1JbjtFRWPJdp8RPNoMf
L5dxEyAnPBRN/NSlyJ1jur3ZTFn9/ll6KXL+Xt2Bh+DmWaIpWN3pVRgv7umfVj1lyIWtkjN1nRUd
FIoh8FG+7Nar2KryTSSAL3UqPRgEu80pjyPG4lZxP3HRHMKCptBQd84RQdI2FFF76HXl0Z6K4Zqm
itgIkTbeyy/NMqp9Qx8mjyFSvMHbc9+FeXai/UVAqJ5cW20V3Ovtac6H6ZiEe8eK+ttSiQSGYuS1
CJ/Q6aJu8Rq6/fu5KOTVXDTtjRUGJ9nsDaCpfxFjfqt+uitz/v+/l7/ztSS9Ng6j9kX09/ev/n+L
9wQw9tMV8qZYuou/C/G8FEbF87f4+z/+V9gtv/FfP2sqX37En4UQrjVyRpjws81e5uLL3OfPOgjX
GihsOi8YbOnSwkz5f3WQpvxBCbQsi+wSl9E2xdPfrjW26TZsaxYPSnP9t6qgP/e5f1/ddJ5l0pyo
gRyaitT659lzWT/gUDXgGBGst0vI0hbaKazKL2Wlzm6kZjRTMOJo5n0X2HtEHXtYaBdV4mY6C4VG
/3OW5SerUixPMvHtauP3EJ3XlIdH3WMngW3JDtZK/Ny06meMo5Onx2VIHz6rPFyomIia5lgYBiJO
jOGq/n+pO5MluZE0Sb/KyJwLJdiXw1wA38LDw91jXy6QiGAE9sVgWO3p53NWt1SS3ZKUnttIpjCL
WUnSF8Bgpr/qp+KdeJtp7vL7ID/R6N6Rl7XDpd3E/tptomYftKCDto6/F/751OM78zxKqKM0PQBj
G7bCXlcWseV13EcmKTRitf1mycNQepR74/a60jVsxmvdpsr9HBS39LxnzV2cXwMeEE3kxKuLZ7Rg
kLs1iyM94YF9Vd6X9/mKTDaL8rd4tPQ7Qid6WCURP8L5Dkt1KDflxnnW4tVCBOiNGEl7z6CZvOyD
ZkQ0iookktlXatzV950fPojy2GhPeLTIJiu2TFESalYTqbA02xuRb/XOx50YSW3eUml/SbyEaaVW
V+V8AA+5c4fbRgO9sBGDd02wt6zLiHxlaGzpVutNCkui4WX51N60t+VT//lP/ec/Lz+m7/33v35M
383P/tv8/M+/xu/8HQvt1v4cv+1PBxUH/7mJ4rMcR7mJl03AmfhgenloB0VItDa0BiCG+7Kt3spj
Ljc6PgmzeSXipMCV8yR/Kd9tKxrJ2hQP8KjvZv2q6NdYT0Mjaq5StZ6r1ZRsefBN8Ym6MMPZTOmK
NLfbnDoRzeqERx1yIr+XZ2z5ccCG2Zz8bufhRFNYG8OKqpiwdjaptoYf9zqzjwSNVIYWSJm94Fdf
0DL3czR34RCEwdsY2afwcozx/ffGXtfkEN+2VbfLW9yRJ0JgYbqsLX2bDJHnRe68scrVcuZ9pjGH
YEyCK/uhmUL7YTmnHzGpFHmusmuv3s+AHq5jWhx36cBuVl6aCO8S7TORp8o9mFflsEm2/PImfZrn
u9l6c+r92dU3ufbCpZrYyGKUaBkJdd8Tkhv2SX9pNjTU0BVEp4GnrYbxquAs0ESZfd2R97Pmczrs
rHGrK/IJK6Gta94wAU8v7MUNEe1II0IQtcnWiW+s+KY9UIk+b6it7w/+7ZuDhyWAjZNGwanr92m6
Thpu6mgxH6R2luMQVRf/U7fK9TO2yek7fciON6vNyi/3/vdGzKuGGOn7jRY6bFAQ06PajpTaZOlt
KwlvRPIIUV7i3VwH1qHDr/2gncZ0ze9oLmsnWctlPZtIfPG+NA9F9R1nz+Tvw2IBtXKYIrt/J2y+
lpiIbZ1Im8MIVHNCh3YiCnpD8TO8pUNn1HZBel32eWRkHzS5r2a57whL9oc6GcK2OAQM+mJspry2
oF+3Z/0d2T8DY/FElkrcVeK7IAWfLFFVzmsPAfdOobGmLT0CtGz7LDAngly51Hf1j4yoEbOBiKQc
3eZh0wcRQSJ+7v844fnmpfGN5uF8ZaxKC4tcZHhvRbxEqfcVTNpzn29KZ1e2V4t1fWHrl23oJw+p
8Wz7Du90W+ubon6q9Se9ZJ9xTRLk3cyx6KSSyrPLQWEqry2TlIq/ZqQZ1puhPOvLA3Zpu92MyWG4
8Z4n1kMjbG6r20CH8xcuNgyJy/+oT8ONvPn5r/l3//p/dJZXO2StUpcFjeLxf/3tyEh+NTecYOV0
xcKortXzQoI3CQtcuhgcV9RTkOE4C/tIrsZYPrjsOWho84csyffKo7OUXEnPmr6mDDcbuKcEUHQd
VQsHfKl/GDU5O+3O67QoSa6SVmN+VqMLXMmceL3jhRM2YX/Zg/1K26vOeazW8bSe/FWBzSZXQ8Zi
7b5InXUVEby941OtsRoMXBjAyiDO1B9+GPMnrwIq3QOTQF4zhl2wbSSwlBADcNC+lJO7KVf1phi9
NhzTMHh3D/nHgPzAzswWN2lzdJOnhmdijMuw3qGxex4chY06tmR07chR0Wy+1NTe9sxSklHDADuv
M597B4u3b6r1UiDIeD4/B3As3pnpr+u9w02b9c+2M69biIxB72wAuqzzJt6AIP9OnDJqc5ZYxs/5
0IQBGM7CfIyN4oOn+WteYt2atTm0MfkTkVgx4zhX9DXEgxvp9hIqdas32JeTMUoCK/QHIxps40rW
7lor2+vS1Tk6+itLo9Sv6dbT9D0lB18S+562rkt7T6an0M3OmkX3WEpcMcQFvLKX7DbjzL3W/GA9
Zwp7E9jk0JDjtRmcqvneYCdKU+O6MG3IJGLFlgOzVZtU4TSqjYbjRZvfyN0di9w4zE558sr5qSrd
H2ZNdso+pfX/g8T//9v+E0rB3+0/j8PX+P6/3r7K9/oHn8ZX3Wf9cvXj//zvn7/uP9R3QMb/JJUI
YZuCDISav6rvzj8hvjH8w+9BTNRGxPkP9V0zg39yBDfhsGJQ+pcw/5/qu0OtPHBIiI2Mnn7q9v8j
8f3XqRlzQPwIOocq/KgM7LBi/aokZWQsGJ6P/avuTDOxyWXK7KhVrnE/iwwMyNiVVR065BBfR2FP
7sqOW2KUXuxdUu6ecH+4dcYutM6d9gm3/fyjjoFIrv7ywf536vjl+P/vzfHlZTK8IHgEe4sPxv2d
eQY9wFblPNivF+mgXNnOEDybGhjguM+bJ+ba2PKttJ65EYXTvBraZB+lM2qvjWuMSzhbefn99y/p
J4r8ry8J7Y3Nv2fql6E80vJvo86RLXli+aP5sTRakm6SovG+lyAnzkFYzpebohuUF3XWHJz9ujL0
MNVU8lxXQfFRG0F7HfSBSYnRVIN8wvSjhrBmsjnvKFIFmD8syruJZ4bxLIaJ9+Aqp9qlUHsvoPDk
rius4a6vB+1dibE/BLrIX1VXVPMagx1gsiWomhcqwuojOHdke6QPOqDzGu/loHShQq1w/XRXsgSc
KmoET3Pc5o8LUPujgRRyRVfP5KwyTKnWyivd4ryMnffJGbu7SobR/uiHSftiDCxuhsWJA54kS31P
M6m69TOamKAw18nGCIDdHPy2s4h9E7V9buzC6FaG3iozFLpogivim+NrPVnFtVl4/V0zyoYkqtTY
QJESIiibpy4coL//6n4a7n796rBWMVHlK0R5oeXh14s+NXrf7+iY/NBrS7/1C6smQr/A2WBcAIrH
6ATOtXwal4PKLOOsnCJ2IouUGVCarvJlmKi8O8JR8m+Xhfww1KZMY6EllH5OC0d8pabV9CEJv4qU
f9J6ZtSOZrenXdm889zBOTJe4mFupMPX37+138xWrBnupbQH6gnucnxdvyOI+3mmpWhQ1auWXspZ
7bxF9F4CrXkrCuE1YUah0f3kL8VnRojFjaaC7inmWTWPAzzit26TeBabu6T/k8b16y3MK/MxTCNX
m4TS0Y9+962WutYMs2qLt1lU7WOTDwbxNDfTX8qxEkYYJ/jRIqtKmltF5OJOF5o5R2QsGLcJ3+7g
kaV66f9BU/pdebsUjFzM8cxGMWCwvvy2/hEQ8xrN8uu3qXSNY6MXZLWdugmezKUwKmbeg2uGtMv4
InRcLXsb7dY7pgjk7z0ZnphZpGY+8XNen9+Cmik7JS7HUDl+Vk5dnspMZ+er2yVDxD981ZeX9u+r
+PKBeh6TOpQH6MQsQ795AipTg6hEP/ib32rae01C8y6FwPAux4QNi1+JhNVSOR+D40p2HkZPdQQk
UwFxGsDbnwqYfxvj/nw5lzwK3mtWawsh9debKguCpGqFLd8EMul9GzQDF16d0frc+EI9GtQrJat4
LAd0VMMFiD33l0uga/z5RwNolRSmNzmHoSCDHrVCjX+yw/58SPz6gaGtuhhULB4gHtrNr69wsSrr
QvWb3uygbm9zwyie4RTq2SYzL7Ev36wwO8AqU6shHeeG81br7lmF3CcqS+P95CrvE+xhBmsPxagO
E0TreytLvNNgBtPraC06yEEyatfeMM5l1I1d8+0Rh5g36SS1x3kQ42suPY9iBTqJDsngj5uscIpT
YrspW+dRaM+x3vNtLdIHBjHObfod1JV2simqfSqsCsTcqEg6/uFSuix4v38yl9pIXMiBw3d4UX3/
oqxOhg4cvdAVsEfacENEsukpyJ3m1DRm+nHhLT4kfWG8mbQOg0SwYOlUOq1dYa8843LDyPhe0KWD
eDB//E9fG6ZRVjMm8Re1jTj0r6+tlIPp1yTb34DnIibQCzJB6rC50cAW6TwfGz+vHmAYzseSVNlT
QLWSA/DBLjGUSac/BVSHkgGT7hfhqFn9aWvy6w6K6/7iOaQPE/DVxT2n//YwEW7cpjlmINhIcrka
KmkMIUTI6ty2eXJnSjV8sPI6Q6QBXjhhOMveYj0JnhtDwhV36uWGpdzD3Jp3+hBZD3//8eE2+e27
RStnkTAvY41L0/Lv1lNvCmY8xKX9ruxaY5YMEjzeeB7H/agik/wSLDJmB6EqrYsAGRrWpq5zcFXz
3A7OlZ/ntlxrMAbUtiXEa4djbrvZzmWr0F5n+mShNVV6TbxagCKM4mWQUOhgKtxfojxfrQ/CqfTZ
mewFzumXqmrzhzJts3iPVjt/joVz2TH5Uq+u1GirbGMFiR9s+tbr39piEEQ2HR30tdY55Y+R5rE7
pF20G6NxAZLUTVEeMnIn+5bHogxFoMthrYzO1tn0FVZ2m89Uh4d9G6gPc7GaK+VOzQ+W8sZ/0bUl
r9dsTIyE9u1++MRFWig0yyzRd/aso9xntV9dD+xwWcOnCrN8CmrxilUV6KiTFaYf0mEXc1oHQA3G
UCzuUxnXJcJFSiIY3dUZHl2XhpG1qee+f81DpcNRAbNB3PheJ5ZrwlvxdOgqHtdbU7qzfXLZdlVb
GwyiGUlzGH4kcRncMneBOKggAO4S5hHaaskAq0ZTPXGdC4Ldt3nQGw/93CzACEeRzuFMaCVGjqra
O4YU3d3CDdQfUtdt7vSi754EG9IXtleq2snJMY5G1SU2u52ExVBJKlA3A3s7VIugFFe5asxilcym
9Z4HkwUvaErLr6EyRQWKFof32gGnxcg1ju9ZGYi2t8rxXhYyHxWNZIPbb3rTz66S1FVPXAkaIpsP
6wr7Wu2fZeJUlGxrxqvdVUkeOoxuPuoknj+HoUJmU9WsvXWJKO71+GIEHUiLp+GklqoMS8iV4EbT
rPHw6di6uxNVY/grZ048PhooYTvLz3r7pu852dYGrOl1kY4JlAsmVbfTUFY/zLmn5KZjx7i85rXg
gmindmIJ11NHrJqBtY8tb/3csWQD0tKH+AcBdw9QkLQPlqpR0rPcRXMFTsIqqAAb5eiew/DtQQtJ
QWJVZEtGL6OXJBF+/TF5yOVd4SHVyyS2x2jkv7vXOuBfYxm0N3OeIbz4fYrWaTK/3sse3/GqCrwi
fR2GRQZ7sKky2Zh2Vy4AlRL/ue8o9AwV7tnnbJDabYonn9Ito63PWm2iA+mjMu4ruka5l13u8opd
+Ajxxp2XO4i29bkzu+A1LrXm0KXC18i2z8sY4vhjxn8ZcZEK5kqqQjt1rLfJXgrMa9TlQmmM7Soa
J73edVhmk30joRvvwR2kb6YSg3+VB1qmTg6RiWyjzz7CdcUKbd1LI0leqJNDo/Qg1VXoTcpAu1Ce
hqA8auK6LDObtVWVT1NtW3d09izffd0D+gkKro+M1fNIvccImYxg1L22NECOuibLPpae3s6wr1zv
oZ3zbu+w4cZgm7oDBZCOhD636PIVx75+qxMXfx/sWLwaVBoCSVpieWIZ7OFqceh600TT3pG9VlkI
CSE95xmnCsidRPuj2hAGn63P17w4Y/duGXny0bGkXwPzIiFi1LV5qKrMJqcoPX5zz4z9a2/K1VPB
PdWFXQ88g5vIFDtpZ/WPpUs9dwfV154iPWh5oXEQm6+i93WxShu28atyyFr4gBwIGdUwgAyF1Zuo
QHZiF6uiHn2ACHZ5FmKirYDHJ0Ker0m9QwPSx+u5dJOXbhgv6mUOQ3RjNZoxH9iMq2YdN0PDk6AV
/pGAD37aGqbve+WN2UcVLxVaEi2kQ5SIRXpRqrCqRdI28mDd4xJ9jkVuYGzopgxym4rH2w5c4HNt
xRrCXV5SCiARNy7HDnnF2kopnFcMvcvm2vSfnbpunnRX6ChgqXd0mrFBsJKifM8zXYOobokUlUv3
Eh4xxeLc5JZC8u28mBeRSD+FkjAldz1fK0p6rqyF7P8lEVTMASSIJHZT1D+7d8+mf1k5MiBEP7ig
eqBtuvM1mXP2aJEYh4gd196778ngKcn4r8J48KoHHqPBa9Jnw5M5pe5dmy/lW5ey8V0niRvHGzdb
dP92aOtO59ucxpdKwoSN8CtJGiYrrMhccRmk7DkveJB2YCHuiAnOr0pPg5PgASYiH0LP69jRTL66
wBwOqSHcLHJTuYDQHiw7D4kH9U9WHMhlm+ld/ZjMCZ1dMwATmLp6TRVyYzMX6WQLWCghjtibecXj
fOJwHXbwfvYCMC1wAtu+E4WNul4l2cZUXbU3Wt3GEKYn5meQ630VXjJ7JzfW5u9JwnlCzbdIWOk8
7ooJH5WT3gTS5c/JvLI+FEgZH7RBVM88aLt5x6FHr9eW2Wvv9pgk9808+ojfteNdGU2aydBOOnfT
wKm1IyrLsVHDX+lBAtcqYBQxBfoXngYoYUPXdaeANjo2VuWcDetkqttxHUiDY1pqVvfNwsQfRvEI
waGIqzObAO8umwrvRDlkCdGbKuV8Tcu4ed9ZFbvDjuP4nT427gNvu1SrIqslm9lGIfjnhrpxAmFf
gVOedHIIlZNuOFdrD+6Y1dmqZH3JiLYIzvoOC1zkOpdlxsljPruRY+NOH9Ls1rPHwVpz3wb3ypjs
HotELvdFQSlX1Kl44KnJSfGw/ITCJR5rmtAS77Ckk/8A6Bq8SKCK5SkOSrsOZ9XpD27tuC/KrNSH
NjVFy9SFUlHMZhYC/GjUfvLsDYWe3V5OuvZ5nvrMEqGWtqChWQWI5tSAFrhGRtdJI51+uYcqbyw7
rBf9spbpk6o5+KciuyVJV+564QXVAeR+sy+XljqhUJ89G6eUNWDLmaq2XUuvQVbqdDeuHuxMWbw1
JQQW83BeOjd+trqyGW8yNqCcriZ+w7AlKTYyE1Hy3W/GwOYXWwAUKtG32RVwmdH67gexOE9FXkhG
OV7bPwcpOul1N6SesUkyGajIyiqClKiaZX5aOhycPKOS1ln7BI6O1iRH+3NWPptxxP0bp5w6cz9g
LVnW8H2YtNli6Oy1Cwr2RG2KNK/sTJprJBnzaZwV0d00IH7RDoaTRFmeqiYEyOe9suIVbki9iZvv
enNemlVSM2bfTVWa3Ek/b05DCoWQZ0vuibCFA9ZcPttmvAcLucR7Ul+g/7RMNBQ5cnHYa5xsUEtL
ntOH3En4WKGpyfo6KPq2vOpHqzBXyA3aG9dEe2PXpTtHVIQuU5TT9cZMt8vreTvWptVurRb4dSST
vtO3sGqmq1yzSntbyNg5Q2j0cWOScx9w0Uo+aZEtyXQtZePhde0RjKJO1qBX6SDHvTIAP78fSHqo
dVbJpdwVhO9g/ehes2zM3DGAr2gVw28vZwdyJdjg2uuYZ42zzVEcZATitXRDWG3xi59My3vpAyKo
WPBoal8Tf/WsY5qLAndNMY+MYDrRZrdFYyS4CwyO4tcoz+IEn3pBlzQgkC0JYL0h97PXJUvJP2Vm
XFxXddC8eM2l78fVl2C9JF4rWLmnHPx33BK282w17BCzwU7mejwNke0U/rMnDfcedUQ75UmVZSvB
SPPbDvriNU6t3ML3aA/7PrcQPTNVczALRAa4zS/7a+r70l2jzT5ocb8ovG216P1TIJPpRUrX9gHm
dgOjcKqOHA4MA66HsuH5ErVaO28n1EYer0QBw4sV7VmimRcw07WqCbXSrV+dbJiNu9wlVn4TOKlv
Usmpi08FkveDM6agkUE31F1sLfBv/iHpPc01OFdvyI30CwSGqEHdgeWdwn/Ap7Vy3W3GN62vkr3W
Vt+1ZfL5Sq07/6NtizptpYMqCPL3Fky4xXR3auZgBYe7/oMo+TOM+295gWpwJhz4thDZoCk41u/G
LSDwrScAKLzpatF21kAtnxHQIdH1hs3A0NT21BzYYTsoe9N5jgal3GvJ1XVyB6wIC3EJE38SzB87
p503HCkx6lp2fSNZxniKS3ltaq23rhNjYaYNJ1w3cLTIwomZsgn/eSk97Q/y289c469v6lIPRPr4
Ev23kCZ+1SUAEKIV8gR+V7nFAULlsCaN1lPPfaqqDieJGN5A1idPuGyzp3LoxItjzazrU7rId2PM
3R2rz/DhtsF07hqlfY7xRRBrzTLnqeMPnzQc5LxbDtSPfy8KBJew12+vnawd4SUGFzonjd980vnY
Z85SePW78PhDVmIosRiQ/ouvRD5Wj/w6fEC1rptbNQcxMuzSGRBti6C6K8aqfadgy7vVmVakIX7r
8a6pPHWDKTMGfZrPYDmL0RmuRtwTz63dJxyLupahaxLXjGLVbGrrQlUZ/dRmQKsJyrC5R1okAM9S
lD2BJKrxZltt0BOxbMZHOjQ4E/S+q960hccxngrNvQah3z6BRHNEmM1dNkRBNzVnjSlnGdqeL59k
Pck6ikeiYFFVZxNbmzRI81t38iaaKSRNK6FD9unoZ0vsrv1pLF/Y8SuYSXkNTGlmXHLu48B4h2iS
FqgjFfi1S2nHwWMDQWPhVDehXpric2LOfOOMqXNSEyauKFYKoKhvYzuE0tjflEva/Yi9sn/puiym
iAVUVwTnSQEU8xyj3HrKH7806XLoQkJxu80E236NpbPKWPhq5+A5csBlP2r9Yzo4zhQ2iSN3usqD
zyyRwYZg7fjsN3V2dM3F5C1QSPDeKXrYo7HgRvIGozqVw6RmFjhH9X+Yqfwm/3KP04Bn0bLKhE4n
xfG7DNabgMN6KhLefb7YH9Xcp69NndT31jCYnxzEqUF0ej+FvOlzBh0qD1x6CzOXpVzdlZzSb6vY
Mw5EPyzrDxLdT+bAXy938ksmshYGUguXLVTEX29V9s5wvIrYBsZXJ8264e0/xmYzJ5tpcY2T9BjH
bwX35WsrSusWycLcKX1km9cYzrDDaz9ct0siOWcr27zYogN/S3+jfxIDI4OwsVtY6YtyX2cicrhr
UqtHkRTjgxakwdYRLnO3vCnZrrGyabiGGBTiiUsFvvq6XM4XOQrohdl5dDFk0g85Kc2vVVmxhShE
6h4Xve1klCZjjukuYa+a9rOCbcsRWESUAddG6MMGPAZpZj6Z9thzdXlj9+ClOq0UyrIZCNBMcYQW
KE5denHHdDDuq3Ap2GeE8YQlfmHbs8BSttsrpduzXHH+6K2I6CDcxcxw+luwyk3BYZSlYzcx735q
pmz4w4X002n9y5eFz5IJAsNJHyM6o41fvyzLEaD7gtj4oeuN/lHok7FtzWaCmji0V2Uixc6P0/Jo
50UbpY2tPYkiAOvuVt3egHa4zUevxoAoFV0oC2bxlPTuRvXLvNbzaj4ovXPXeVs1Vpj7RrOZxpot
G2sZxyKjWXHzDZdde7mmZC6/6WUqYNlmbKpapj2OFP2eVaFdMyGwV1PrmH+IdvyXZ6UZkNHDDu5j
SMWRbl2W7r9I8cpTtJMKK/4ocgwj+EiS5Cwl84JN3rTzV1tM3Qv+AefFWjx7AikiamwzRmnccQLR
7KgI7PEmrjhZr2J/zvVNXOi6iPrFELe68MhzNZpsT7Htp7c5l+9Bq6viGxK88dGXen+uM3Ibl2eD
3CB1mX+YNIBH++3Rw1AS1wNpfXZ5tET83qArzWBQuT0P73Yw5W/I9Ome5yzQBxqfnOcJ1O5xNLAQ
RLmJmXwVSJlZa3Ym5cEYe9jGiTG7D0Scx3GnZvoAwm4u5nOVG/4r2ezlweid2MeFyH5sQ6G5/Thk
4CBduymIyPYp+3rbHh5BMF5Ouku/3DlJM+wcK8crrA3LJvPbYdMOCTYuz02TXR+UQ7/W3VL/7Nno
0f2YGMJ6QOGoBCp1O53ZxPr5Ogeh9ICVYjZufE1hcSzsQK8+B97mlz1XsKCnMXExYDrgS0tvnnYm
ajZuX6CSLY49c6QnSKvc62Y0srMjM6dcK3NOz23qWTdCpsbLEEDoTntZ37UiWGhxuaBIlwCVvclR
KXU3KVjAZp5EOvvGm0xvtHO3tPZ14dECQ5GQjSNtKrBr1mgPh6wGxRouXtJ+ZXM8/kBAql+HxTJc
cOwXPOTSSrbxIyfv66ls8i9Ldb7aDFZDkaeCzYEHDbJVt+lqmnW29XLBZVuz8JcHTgeTomgJGmiE
DOCQpCscutyKeLJC4czWg6piB1HEy3oCFlgSxtvewWdxYA3HQ7NJOADIJCpk79XbIWdijOmrsTiL
xKUTfAGDnpI9yXnu5cyW+sskaTgMmW+Vh5LerS2KPZ68RM34rEDrVCdDLfmD9KqBVgFZdLeeMRaP
WTrn59ajfShsXD6OlZqNvtxQ9oPpDuJ110B5nMw84vRrFPga4/GoLN+/nBlGDoqsL7PY1kbjl1tW
IsPfDvgN8PONif86BU5DDg5DQ76aNYCMYbPQw7NiWjWeWOJgXWroxnuQyrW9T5vaLJ8r4KJlaAxp
WW3a3NBuZJkaoxNmQgiCZ3MuT6mTtHh4m2xAYA6a7EOaPqpkNg3LsmY2lh6Rd4JP050wYkP62ilL
JtYGj4d/0wZJL7ZFbqfF1i7HXG1K+Pq7oU/is0u3WheOUEKbMLWFjK+ctg30bbykmowEINxxTfin
xCjadJgkhqTNMYbGnpswoXF98hUcCT8QpooHXY0u5tMOkazoF+QJM87sZmMiszxyaal5lxd0woWt
lZTX/bhMMyIUdG1bc6t4M8mpJdvrlAw2OkWYI+x5Vh864AbFdTtxhHR7z7xn0oHD0NJAb6VSBPc0
OjVHNRq9u4K16z/4YsbF4RuJeecWOGVCOAQj6kDR3yaz6O59I/X2hryc1IamFXmY9W6gQuk7TRol
c9eBmOOgd6QSk8GSDav4Ji5Si82xYe11ffJoUmGJWPE6hz25m4koJp0wt6xgYx2NmT2+mEVKVt/v
eTVzydDmckfRStImQE+1tMCdOVtNdVRMkpJt7I6VjtY1lcdyVN59mvbmTZbPhXXvVU17jRKmMPEu
SHjo7TP1UWNZtc/BrCa1LtkHXAvlNG0YxHX1I9MHWLSlO4JI702Bu70v1XQy5owJCr6lfYlbIYug
rerZLp7j6T2pJ++Ym727LloGxKveHGjiUGBIp3USK6pmiiSg1eEil35hP+mvujzA/WWJ5j2d2+qJ
chWeu2MqpY+6VHZYi2cFB4p5Tf6QaAGTPHY29U3Zz+nnMLsVObJiotOv7OnSdZOyjMqgZv6X5vNW
+pX25bKtytZksTI3mumbeNOrsXryGhv7say1hONx2xX1bQYaEJhiFle3I0VxL33X4GynD/huocvj
0gXWJ0+LmpubWqDHrOYujqfQFwhka4DuS31lDJ748riqBnhgTL6i2kmN4Jk1nczzBL9G3wJGvRSK
Md2vzrbWXRJyPaNT4hDOkNwMY+pqEN/jmMUT+EITFbSgVZu0nia6BHKtLXcWnh+Hx61rzhdzU3M/
Fu1svk5GSgtBkgpgrmSsFy/fWFLGR62oS6zQgTPciX6hazP3+ulWVjUXZlFK617HzzBtTCsVGpe5
UY57a2DtF0nsvTNMyA6NRMUNs5hNxpoBqKVC1+ldAuSpZogDMhXmbINDS9gafY5SYwfp2RqMtro1
PRHHX3ju0A8k6+CwWWAr11c8PVT2wcjfwhFbJvmjY1V2weJej9NOJMVMnWEBc3gYvDk7JV5RPrSm
XtIvLboyXWlK5t9uLu3g2E2a7YWDwfRqw0EOS8M01O2RGhzTfsFwWzwJPIsUnvSkH2lzEGkZ9VWD
dVy2Gq0xRqySXdnrWLLYjk3uI8qDyHdArLzlZiomwzySftOKq4QN9bIyuG8oi2gqPtLYl/G0yqzU
2U7C8h//L3tnshw3lmbpVwmrPdQYLqZFtVk5fCbpnAdxAyNFEjNwMVxMbf0wveznqBfrD5JSIUVl
RleY9aKrrHaZIZKi3OH3/sM539H1dqTwUM7W4kPBVDO1+2ila0mktqMXKnIERGOzkxKVtFdwTMo7
zbPqWyOZ5ptWn7BU+JFbGxsGYGF21EIdYUThjaiF83HA0CNVgkK46Ib8i+t2LNRaOZlYXhL7swX5
ZYm3MXR5NmCuZ9fIQAcjBLklchXrtn8zeCbLMUIi5S2uzerG4oymTSjd6cEZpuKWND12A3VpgZOS
Hmjijd4m2ZG3SD+v9Fy3z4ppYFEdmX1pbdVSMgeeGc/OY++GEdOKiiZW4Nfbx6BnjhJ3obnp7TiJ
H2WIZXPXV1zQgFscKR8lnfM9SEfqM7fm07wJ03lA9YwY4IoJcvOW2bRQq4GkXQfPTx4/qd5L7jn8
SKMzjTg1Lgxpxkdrao1rG2RSyPEoxAe00A5JeKYRQacVyRddj2E3LdIs3gIK3ZVeshRHXIPkY6WG
jnPDsuTMZDrhYs1kZ2WBLg1MQomJ6FyOLv5nBor1s9ONKeP7BMdKqvUVU6G5hAzTEy1IkmuuontX
jelnqefGfZ33zkNXmnV3liGQvLA0DQybPWgTQnX4YMnGZkvTBXhuan2R9HWnvJO1he1SzieILPlD
btesedpU69Y6j4PckHkc29uE+ZG2pdDoj/EcG/TCZjZiGC9nwhaMIU3v/cL2dgmbGm3jeyPTOFJI
zy0GNQ88G2y2eSurCwmXIkM1V2D46bEE33nVoG4jPZ4ubBjX+mpwtXTcTG0jrudymB7GqXxMI/ZD
cHkNrsDSGwgZ1JV01wPk0RuiQeybppTjwBKPfmyVNn110RVdCoZeNLzM7AL4z2yckzsdcdAuaR3k
vZUMp/fWLgpnWwy58G5TMKzJJo+yfg2XPjvhurQIRSOme2NC3+G9ZqK1nS0ZvZXWRG32daL1lxyQ
F8mXpmqrj+4/lQmSMOlFjvXf/hbg8G9skP+SdzBh3t7z33ZV/q//65dIie/f/MMACYLmd0X5d/Oj
/Qm4GIBIC+4XykybOeZ3GbplfYKjyuIVDgzRfYC0fzc/okKHkIKbUkdQ91cU6OZi6vxpGLkYH3HU
EBtFm0fLiyD+1443kbXGVMnXgzqk/qoLR1AIpGyVB0aIXr5NTe98do1HUt2uGoEMn2SWqXIv4Hng
l+/aM7tw9kWVBcNcXGqac6x6cTJs98wbsoeEUB09nu/70WGCWLtHRmC7nnmYAWfEL1Fv69GxEfoN
2mSwDZlfBqKw3wpotUVP0WMZH463pNO1xbDLc3KSqjR9dbPMeZd93y7ZBqZxP5a+2tl2TbQmdKZj
73FIDKlhHcYYrqmeO+qhy9CFWmY+PutTaK5Hq5CBRtAErnbnNWtfokxWl1HD/oH0ni9ST8Z1zKpl
PTVtcYz8od+yOI0vGXDFe5G2ML0lrfaC1CUhDHl70HSNczNOGceBXX0hAHYJvCVWXkMadupSZZPr
Y2Gcbmq3joO4Dns2rR7JWKX7iGCmJSzZ9wIn0oZAgv4PJruBJ88ElNzhg5WObOKLTgW5o7EyZrHH
6k4Zn+083DQVXwSJ6pgVbXTtF/LQ1USXFXh7YIAGYZXt/L7ANarO0qIKgP0fljRaNztrh+zMS4mu
s5qgKR7arjtUHuMovQTaVa08ez4ljInlhAomDeOHKer5guoUCzxPftPhfpXtqx2529JUV7z3n0c5
bwYAFYb3RH7HdvYZDovyMJN6hyFPc6ml/QDmZYD+ZeXzjxKQ+Clkz40YcVw0qitqxPKzZAmDcZHr
pl0ZRF18aZkzr1Ob48xYhn2GWWYPSC66dV6Gp0Jmh2bOmy0T4+cRkfF9OMnbNpr0/Rim6WWdcZVU
RztM30V/1sbplk/b1k2BtGvmzOI5sm97psE8wV8woudXpi3tfauSY9rbQRbyKxZ1D1NEQYq1+mmb
Geh3mZK/8SBoweyOxppfK9uaeijPihzZcegSbmHivW1ZMo+NWRwsMZHDoIt5ubkXaVF0KWZWvlEW
s/f1hycIld+pCv91LP8TQkrDAMD/ZyfznSpef7t4marmt+kbx+sXl9CPn/DteLbtT1ANADksVP0F
2Yk8+dsRzZ+ACvlKmwNrt1iFfhzRpvPJBLkJs8pdFjmc0T+O6OWPGMhjErL5PSl/nb9yTC/a6N+n
stCLwUIB+sSOhFzFtP6o7jaQHdDBEZ3s6l2QKdGuhip+Ykn6Wqi42fmVMW4J+v7p5br69uN/gWL9
ql399re6i1lgAbRC4vqDppz/kDhTGttrQ3aIOD3XxthOiTglxbEXyWlqEAiVjrWjbrpC1+eSI4cF
OGvi+5Qjec2lMwd6mYpvQ+q/9Fz/R3OzmYtB4B+XEbcv5W8bBWGuVkn183P69fu+u9kc89OCT8Br
gDmN5/B3N5vmWGDmeECwU7DiZQFE0fK9jjDcTzgRbJYirM6/FiA/HlL+SMA7wOfGV3iuxwfqb4XO
9+fjz5OqfnlKGQChbEGRrQO7Q/MMLuTXUqIgYChLS4PU3Tp0g8kNAzG+IJDq9jwNhAza6To5Ik5K
HvOhsOnXnVvTjtaYO/V1yhUX1IN4MuA3bsPZfY1oW3ZN3l4ZbCbhjmjrqqIVKZQbbVx8KtWALCBN
p28omv/UD9fXKo7ybQEAQzIXwHT+7GH7Hzeb283Nw2b9P397fG+796b87ZYG/OXn5+7v/sgflSw7
YN5lX0fbztvNMfyjmnWXUnUhLhqL3OCXapZy2PfAx4BCZkLFx+FvKA/zEykZ1MCkInw9RMVfegq/
moZ+OiyXivaPr8XPO5ymUyifisYIIqbcKwaX+4gU201SSUBjXQIhbOjjXWUv4iTtOhX9A3bhtYrw
BduCBFkLD0ajyDRs7JNaBKO09spvT1nd5s8e3WHQaygBC0DV7CIjc0d1i9iKGX+SpxWZhNSrXjOJ
S+xMySZN5o/cxgykxSVzHG8413LmX+U4BXpe3AwSw3VBXtq1YswUuH0lDtKACoKcPFtNmAkH34+h
8/sJ81Y66PqmMSmP49Egi0wl424ivIz+2BgDBAvbagRTV2JvLzyx9fvyMUsZDogE+oPtod2Zk+au
EtZL3CSnsnBu9BjQlK03gVV7JD+l8akiInGukofOR76vGeeWrl+w19w19jRviqxVZF97JC7a1sA0
Xc6BbabUta6/E7oyN2WrXxDP+EHYF+nREUmMjGXPCzWfT7NOXLeAf1v0noJspb+3MUTO0DlF8Yit
z9MI1ER5z9i/sbdjN1Abtt6BHEvF/nGKzkuJTxxHaRC32RnNLJv+ktFzmB8qtsHgh+Zd0VXje9PW
HwRisLK1I4r0bDp0Bsms2SLY915kOB7CjA7bXCMzSJkvMjr2N0PoXpZJ/qEmvC2pVB1FKtIg023k
pbPo0lQOIyBNc4KxY+wIi9yrPZiTPq3yRhOnEgNoAA222QleQlagAh+6Pu6r1nBvB+PVLac0UHHL
EZjEt3FkomzDmop2sWv69ch7rFhWPCbJfF/E7q5NIl5lRWp3XY7V1UQk1XnXDAMOAXRwvTZo0I3a
z23LiruQPHFu/oURE1sxep4uNsONsHv3SBHP0pqE4rPWmM6xQ5Ex24/3bbcEpmagrQNTwhcx1api
Won6Ze+7xSXDyTuwsxs810Av8IE2H4SXbUkIDlILICi801WrrECV8aaHyoXL8lDBZ2mm53oyVhhH
QGI4QUucZlcauwaeHcKVMwSxQal/7ml3fAYldlNsNOwbI6F9ITb5OmVAm/tXIwsdt7nSY0Rb3TH1
k61/yvCz5ZDsHOtBJPZFScB76GH40jTj0hWeiWI12ugu0um+3zXfFDt/6U74h/ON5af8oDxxX37/
qcuk4Jf/s/nqUL+GkjTdvLcq/8aHit6r5Sv/vX/43ed+N8n3f/6nL2TMdctPiyBy/nx4c+z+41Lj
X/LXl/LXw56v/3a0m8YnfZFp6ChILPb/Cw7029Fu+J9g0xGXRGASe3Fjce1+LzAE0wiHo1032SxD
uP35aPc/MVPg1EdKsPCb+KO/UGD8oR41cVCBH6MCQs/2VVPya31RqxrHSMcDE6ZxTxAsCdGMalNt
U+WSCO6fXpS/U/3C/v6lnPkmzgIazHwE1iNSiD+UM7VdpCKasjhgoyGeZr9LXnWad+aWrapYMwvV
bQevxJZUFebwCp7Fi1Y5g94T+EfH2hdlDpmeHUiKjnKK8k2EGMJf++QfXgslHGMdd4j+g9Dyi7NW
MF9HJyWHQ6/0Er6lj+x1NYKsesrCiGQsQSTkuOods5nQ0hvgSV2k5Q923HCGGIwurjOnqa78AWx7
a9XAUhjruiBZulz0BAR7yRO6zOgwwFohpHj2Co+pY8qmOEwko3XU7HgYuiw0n31LcxG2TG78wDLW
Adxk5D6GnbIYvZVtawtCRuusYk0rpblktMv+FDGUeGzHsDirBpneRCX0u31qTZhrcsImFR/QWoWB
3pNDutJUXV/1PfjrjYE2on9P3ax2vnoYnqPKty/jMF7wWdwDT16rNJQ7TW46Kz83B0I55rJ+QJky
JvvRlJVgUu+H526GdAPJJv8lwJNbfzaFHz4if2ZYwvQrdzFK6u2AbUlPOPa1WX8RetIuYTCGh2i+
HzF+jl3xWhRTMmwrMXFdqrplEd5iP+wDwIvG9aBFhbUXnY2pwJ0NdZ0OlqOt6gE6Jfl/CQqyDvG5
vhtGR6mgxM5/xlMrCUNvJv8O6DFkvKrgWCa6TSIjdjTXeY5HR5jsKEzxohWtZgY5skY2rRnCtW1J
AsrVNHT9a9qg2EARO3cc16hVwf+Jtq9X2CPNe1xCJByjcCeosa7hXXaIf/WgGobpvpMDAxeQJSkn
qHD6SxR1OdvWvgAuFbImXRPbyRjHoZHcWaDG3xN8e+VGmF+BKzwy514TDyRUN57zRpYm+qkpn/S7
MiKzFYNZ0wB4kT1kIENvWlApSBqfxLBcVeYUm+wLuEpMFqXu8MxlP9arcHRY7DZVQ0cbgfiMVoJU
Epu59+AXh2JqRX5wBMq9AIe68ZGZDn47B6EbyqESmZUdJsV9rqP6IpQ2JasTaCqJsnGIdyPzJly8
I2UUyBhnqm+jBOQApKNCVVvF35DhVBDIP7QEeuGq6T3no04M00W/HGU6i6Mq8Vc9hhe+PzFiC7V7
NksYah12IG+20cnjIYhXkfTzKGCXBl7KlOzE19gHQawxuxUWUp9JEn6OOloLCP9Ok0NXIT1ge4Sh
agOfILtw2RlbYITImeTvN4pNsWyAcLD1CqF92FjjKjYyPQuk1LzbBsHGi0TBnfBTo8rdxN6QPw9T
R3vOwjhs1iH/oAjhYmS9D5ZddBepnNx2ixSkrXbL6sM++vgO72LoOsPGHMum3NpJ3X3JWUl1AQpC
3broppa0rsUwQmHZxArfWTsvyn0nd55nR2t4hRETTIHM+/ImIuWWOM0m769sH6TFZq49E59SZrnF
+uuZ/P/mHv75Gv7v/9HGAwx8/uTGLt+IBP2lPePrv93Yxid8mhZtFVMo16aD/9GMGZ/IYeC+RFfE
lQ1lGy3bTzc2/T6XvIu9e1GD/WjGuMyFhV2OH8SVR9z0X7qx/T9uF5hWucuzjrUd97Mp/nCHomnS
luCCdBWGyAmTPnWvxFiNq4mKejFyElHFvXEIO9e77xHo7kNVa/dhLc9rS4eHt+zjOkRDfE1aTD2l
3uCtRD8mD2PDzZLYwtuQOeNt4eSzox/hPujN8xzl/brXpuuQJ3TnWkW+GZUfB7NZZYfcmVVAxFG1
6iPRPDc4wlFtfZYDhXJZWWfTGN7rTowRu5tAZtfNmYEcIqCEvpeOoU6E6r3jC1rV1VwgAxZrnWnG
Yz31/aatJ/eI/KDb4btCD1QY7ibVEJR2xth9EZp+w69SXPTICYZqaDb+QNtTijFZNeykL6PZS7aF
Aaax5POGljDhEh6cfh1qFcnwQ3fWNYa2nSJVbgj7mbfd0EQbWVlvlZghfDE5WWWYl5UX93dpLm+s
SL6FmfYo+tDklU7sD200jt6YxHdh1og9p/Her6j52bzUgSxY6c69V37LBPxLn9p/Bx/1HxbYv3yw
d+/V6aV4b/+4Zfz/sAqniv6zT/VOTS8Lx+v9d3LV8g3fPtaa7XxiF0cBDqMKf8PXRIJvlbjmGERA
8LFC6WQi7SJr8ccH2/u05L9AkaApJ4+FYv3HB9v4xDeYC9OKjeLXceBfKsW/xjD8PmWh6COxxyDc
nmw2H1HgH9EttoA4g/CEXRZCL2OV0BeUQZuhXw6a0QFKVEbp/IzlWdzPknoAvpKfwqqb67hbDWPX
3w7JUgdMRmY9t7GXXOlmE8IQiEvtbspm622Y5ZKpEpXHmsXKDU57wCok7g6Ekmv1yADAKInHtvro
pgqBfLFYmrNrpTr73EAZV699yseHMUuwuElM4oiOcon90GUVg289M7AntHOk3w4RPt+VGabRU6ur
7pTESWKtibM2uq2Oa10C3MraJ5yvKFdEaRU1N6fuvjRCRde1JNVlFSsre49a1AWUNBFan2HMGrVJ
h84GWtS2L1jZYZJM2OsZtzitJ3ZaWbpntRkyAQUm00VrmRdwXDE8h9nGMCvPWDuDEX3u2khd9F2U
o/32fBiFCMen69goE7Fz4qE9FrqnqXWBXfuymRORb1u3w4Rl1j7lZeYCt2Jo6tv9urSwGi3vS2Ef
5KyboAwcV56GKBZUo0gYPiMzp70ihFFqa7K+/fgAIQvlh6LNsnntF4d7lPTgwduagdeu821/Lx03
sw/WYN+ivg9vNLomtRta5FArmXfGjYZDL1/XCM4vIEyIaD1gusDCbLnzfdSEzHQdPfYOOupDbZW6
NadYrIUYdTVB5RjwGtKvkBjuvzrNSDy5REf1aow2Cg6LhJx+b+qFfWt3yURiupb3d0OWM9QyRDtt
ZaQQp41x6gWmso9JmbGgHJIQeYrC599jR7XXSOB4jkfNNT48DRUwHhCXflLVRtvyauchRu3BJ2Rg
zk2BmDttnGnt9j3BvtWk6ZepEtObRa76ez87+sdYzfqlQ7p3vQsXdyCwx7AvAoAGsK2zLPfHlSm0
jresnpLX2EFPs2rMeQJ667X9cw8M7NktqzgKJvRzNS5GMe9zxyE5YbaHC6ZoWoLKqAQYyYnvdSzB
m+Y5HQDyrxxmZmZl9snWEFknNrXnOke763J/7U6hO8MvjIESFnUBY9IxK9m8TqhsTuGM0HqRFbcH
QupdXkjkjWIzLZuFnWv2NAu6o8x5bbb2mYHlKtxEUso7oReWBwA0Rp2Xmg5c2JH8Vz2YoqyYd1WT
YkFHiZceCLrxJyZquWUEKLS9V1nOhhM0grIXxS48kdOogdsA5LAoJQ3AeCvYTflbR0hfc9YAPjiX
Tk49LPRx1HeGI6dk01l4JUBd8F6gTqrkh16U8Xtm5uFTgvT3RSMcIA1MzXE+I4lZhPi6kJ/zWIOy
WUUpS12dHknDh0+zvwKdlBRIwuPxDtUXDPEho5nvZYx7JqLXe7bH1HoZMjHha0hjXP3FUGaX5Txr
L65iL7NGJ+m/dXIEHhE5Y3vn01p2B0RIADomxD23aZIP1zxjtD5Ta2Y6ZuS4Lze5NhJ/6NEoSKZh
TvLghTpUV0IjUm/V1Dr51AryA/bNypTqrBPSNzDVymE8sYgjA7cbXBCY4dir7uhUPi+HqJs6Dwrb
iGEgm1peBFo+N85dVccZojeEU45ur0WacsjRy1QjYQeGOmMqi37IRvrJHDlu9WTddxmivnSIwXcY
RaS/ailYvlWYx6GHJgN/ZzAnupGubcRe4yVG1yrd15bUs/PKbipoeI60r1SuTd11NbcgekVbJiFe
D0e4N8LQYvPYxFOlH7UaJfyxUQVQFwbVFFsmtR5Ul3Hl4iDTVj7FWgstV+n37jygQ5xwNMJuEO6g
Y8/ReL7jGJXFyfSiqXkgNrHL3zMiEbF8CscjIJj3VQZe7QGmziIktisC6ASw3cK7QrWFK943F5VG
MZrGa2RX2mvB5x5MVrhMSADaDDqhkUWHASFu53Uu6tLfpiz0x60mEmdct1McQ6PIhmNbhvMTirJQ
Bc7spxczOztjF3p9X4FF8LQ6GIZKfolIMPtio4m/rOosfcZA4J7FsWM8hnygvxhyiEHidD6zCQ4d
t1kjAXXf3GFQ9xbWCTA7Sb8MHsoQQbqiq8fBCOqmwaeE0HJFl+s9Wv3oV2dOo7lt0M1FN25qCEEb
Ey4YEI6aIwdfGj1uCH2u5gXARLxOp7kygt7XoVLCoUjPEzdRt6ZTimkPjGDxHg05TmisdPemzHn2
+iwHJtzWkehX1jAgRk46yzS3WdEA7K50jxewbuaoPhpJNGYrZ0bPvTV6E1RFFo/YMlRYK/gTKDhQ
igiBphhcCRqT2cMBpQYrvU/cAXnz5Po1sUxomjqui5S/NfXD7Hz2C/49nMewXW1i4RbCuvlsKsF8
uuJA6bn+s7zfpoVvPzsQbz7cCLV2UDFWbraastLPJcmOD6wzbGjJoe68dp7s7kDqmdygYkQwnpst
eDSmRO0X1JH+oceU8oZ/MbvyMfNwYIjeLNeN3frFRsZ2fg2CLa3GHbetX+pnTPvDB5WGrEBYHtSK
eEzN/8iqYvrogVJ9oCLROZ0KcUqs2anYCzXtpV1qxR7BX8VOZ+yeSq9Gy2sZXXWXtDZaV6wVer0C
a2seEmgz7t7TessOytBrzvPOimguMFd0G1dHpbM25qXJCl2LlQo0AyuIvUkrWRhY+psDg3RaQz0T
1X6yXcYJhPnlB33soZxbqWneeZYSd2WFN2prTikjyAGCCXRt7P/nxph6d0D5SlJI/ayxVq4sMdtZ
Q6E/6aXTP/l62VmbyGlwQZWtZZEQZCExMmzfUOtWqfaQOInHek5iwVWCHu5UFOlgrO20iO65UfQM
kE1mPLhubWLXGdsQ78GiFBo1vRPrCct2tLFcTDRbJhu0jmXZOPedxdhvN1M5PTVunLOCYsF3N6do
q2AGJfgndE1vyTeDZcWhDhUeD9dbobLojWp2es1VWj0T1oh1E5IFb52VzASzMFo1mdI6o9usDClb
PuZO2F2hB47v2zH3wiBSlGNoQiedGa+WZXdDqsJsvZjPP08qnc/KKLHrLXs03z8C3ML50wxhxxoy
CRlc6WlkPNRFT1atP1Xk3Mh8fGNGBEjcckx5ZoQKRHwjyoXBEqEsBsxeu4dOpQhsOyM1jsM8p/na
alOHVVFUzAF6eiy0LRMqli5dm3Fpmr1uLW6ScOcRqihpkSkPZt22oy0+CQA8EX6jJ2oEpl0K0ys8
m9pvH5lca2z0SbjNVjJqyAloO78g7D1JtHTvh22SMhYLTXddNrN/M5XzxIDPc4c7kdbxY2X5+Je0
ogwZnkO4eSR9bXiHS5QT95RROhFGais/yCoNPYkgFYdBLIphtLTuHQwzg3lXHkanpGEsuUKiy2rN
h4Nl4uQf+W5Pxv4J1SIWA1x2q9JS2pNVaq61B8wwg9yHJnXUBsyd7DEn+8DwWdxjIZccsM3ED6js
NrzsLZPfgfgbsPz9hJVlNVjAUgNfxWye/mu01X3lMS8W0n8821r96//Oo+TLL33w8h3f2mCaYIZb
zI7+JnX9vo0y6XOXZdSiQEC8QojijxbYNj4hAHCQSuHjXDKoGEl9FxoI/5OgDWXk9X1V9ZeEBotL
//cGmEaarBLWQ0iyPBui5R/XQ+RwjjlyWcoCewIswaYeyNijysVZ2DcdSJ/2/+LeXF6Gf/s3Eg7M
SADmF3jZX/dfBIZUA652HFM1434je0liEEsazrqQu9lX155UAP4H69FX9hfdam7SRL4CjWLOjpS/
UfZ7bNvkAZSBU7dPi6Fv0/YO8+LWO/30Jv6d7dkiHfr1lyU1kBEAsg542byJ9vLy/eSkVRO8Jz0M
zVUTIdRh7jWuWqfOThCbYk5M2yi3johhuXidedcwXr/OEnJO4mbYpfN8P1WlwzKt5JNnYZUSiIZx
N/oaTQsstdyKwXXA/UktIgXYdlnPnvKvG2FxNrJXtxRF5exdMvfvNnVmbdthBPnUudamV1F/D6TS
WttuMa2rMKF/9LHXhdH0OuIpAIYGya6YMahq8JLReZI3AE8uIoTkxmwIaFONVXOhID8mli06Z93l
rnXlIKJ1q+diJnihn3PkGbhGMQfT7K9jOzWua8Au1/Dzna1v4rSCgmrt1czOsJ5dRNdK3/had3IN
x9uGRR3Tr6eT9c78LntvK5FuVaSNGMO4h2ylbWj66Rjc5BZWKSaeouRMFv6BLvtpFvLWbjlZIwMF
KhTrYyaSdJcqPdu59TyfM/71D+kQPpDn2eOzoyOtR14g3Y+aNct0bacacmD0qm43Ua8d/b6+j6ZC
v5l7tgbFTMdiaL124U/6MU2z8tEXKsWraO14D/19XVXqMtI5XNkP2BdJQSpUnL4NiVZc5X6YnLOI
U8Z6Md/sEuqjFVyXbJfKZIcZEbFNh/noYPshrkbND8WZB0AEbc0c39ZmaW6qsMVxE6ebLtW4hwmn
D7qeveSki/skK3bplPkHfzZfSr9hRVkZczCVPhgNsyzwaFpXNiKYjeoI7Crbho4zbiqU43hc+6yq
N5WUM//L7tZxriTsiH4EqRN+pPiR36LRfmkn/P09/XHK9R93zD8KqMlhka4L7NHk//CUppjbGXk0
VhAZAgEGFPEtE/kvJQy7F9PTHsA3WpcWVqFztjLtzpSadRYb0Ys7V/lT7bT6bTY1GDN1FxlQZIft
GrumuGiUpW1MFzgVyKt4CEqKrCPdyclnRMYcO3T3KRp1hm0RcfOFmx20RJZrjSnbRjQJaYLSucQH
ZN11iZvy4tjs2prSDSRLtFMYdnLLgMJ+dZM532igoAJdjc1W4ISu7JwiEmLqigra33P+Rfe1Pt5U
UDD4kEb5tummfV6F+4RNIaypZlg3UJrXYSPZfUfxvmkgpHuASm9yQaiQraS9I/GgOmm6P3+eTHf4
rOZQXOcTAax0WMA3pj4Od2YiAdX5123ZqjPaoGZV2NNwISjpYHLE3joHqrrrYCYRwqOp1xyiumM0
JfupZqNjsULqM10kg3svJutNWEAjcQshsak8tbEB79IopV133RchMTma3FrAxne6w6qBeoNeg4wA
2s5EJOtMjfVbP2p+EDXC+RyG7UPBnng/xbDJokT6q9aWGCYjaKwPolQv1NgSQKIn9m7jPKaWmd7X
kdNeMx4LT0iDoguOoSSADmdssghLV4tW87Ls/CpoKnxqHvvcZyr0FOtPo65lLeW5TEpE6lDscJDG
7G8d2FpmkmXYXkn+MEP5kg5Fi1Wi6j7CGLo3tsbo0qa5WInEVcFgdtVTLePnqcApX6juBmafsYuR
v50Vdo92iaEW2+M7zRSPo60/EJFYACtHPXCR5XW8z0RjOoAxe+OmtfTxaOemcbC9FGgFh+S7MTLZ
pKwP93IpUmkEjMZdlbKA2txT1R4Kt+ZJ7BVxQV0cMkuDXb+3XMnnui0YaNBGWnvdKqddjQINWn2I
Ww8Ddy0vZW3r+I7HWq6rWqrPLiuRZJuHihFmHccKTkzY6XfVVI28sk35IaQq9nNnYjY14NCdu5Gx
69xw7YVJ/saWxlwntVedCTlU+9EXmE584hVebSOqtpbGnKJHf4eJNAesWHRWc8Q6TbwKdI51SD18
4VmpvA6bPLsUeT7to1Fohyi0qKojZX6ZMVAgdPJUiP2d9BFEfL1BPqgcTiGIsmM3t+U1offGhsf6
wPQozbDdsxJmmT9tNb1aaNiEqEeO1VebwnZtIKSztuli27+qwOAtr1gOW2HAjevbqwIG+WJMRwPA
7PQik374QXRvf9WEzuBvjZJEKj41W11pMySVdBiYRU7ZQuBVCBPMOffPVRh/DBrwRSiGROxyz790
vUvcjxID3DttViT/xJk8SeXI3ZCnxRoSXQHoBIPwpYTE94pljwmRNcz7UfS3Zl2Gx3hySQLEarSR
jPg20lfvDLTyUzsW1YbUdmPb5sMRpne2QdfeXbWm8Ld43B6bBurJ6FTkzGh+Fe+nhPkifmW5LiE/
XOS6Hq2nsnc4JpBLruzc168rzew2GckwxPR4mFUsWS/voTZ+tmHF5jZDKJVjVyzqS+Y4ySkbhu4A
H+Hc4wa6oDpgjDLaRG/gOD6kijtunTf5cCvdQm61Drjh2uuhHmK3v+kYDQR8IMJzrfOtR4vag4lk
WV7aBBbuGeHusTI1cZB2w0Tmk6bDMGNadw7rxjhkwgg/FDyKFanU1ZnWxs2eKUCzr8z0A8O2dUiA
yp/V6G8ekpaHlCObDUhMvzzVzVFPZT/egMHK7cCL9O4I/8DbTx2gcGRFmHbzshXbeY7T9Qzd+ELU
NFGm82HmjTBWcTX727wYrya7hUWRG6277vToookZuHi56a9bp++3WoGbU2R4+FNpC64kxz4NDciL
XGnyaWZmt6/nijRjMfwf9s5sO27k2rZfhBpoIwKvCWTLnpRISi8YIiWhC/Q9vv5OVNk+knyOfOrx
jnsfbA/bJSWZiQR2rL3WXNFVMkftdTzO2UsMcvbQ1aoJch5/V+1I7+qu8QeYWg3FmOVs1G+uTqOr
KRfdN2OOoi3jBCDILqrpZooXcXQwNz26YqIlckjCsoyfps4qIVupKVhd+FigNMegigpIUpNnhiD7
aIvm9rMfkFdCAHnZVWUZzp2aADCq3nGvkQG7S+kv/RE+8n0aWX6A2yPIXJV/89wmOnhGbp5kUp5y
5aSHYQCnFSOfB7hw+AJacAcHZ1qCaWzK05il0G9n/QJwK71O3OgR2J/8gLm9C7i9lBfkoK8snqoL
9i7i34XzXI8jBIQRQT/hZSuz/dpSdFatLR0MI+hcRA5GeDBZ0hjdfQqp8GGAQcaDbVXqlidp9jwO
PDw7J664OzbNVS8z+Hr0FpV+Jr5FTlffdHNrP6cpmHPVR+hoYFjpcpjUHNZZKe4Tu5zuJ2dBhxlj
2nNXIUF+kmUdScBn9ZXnZx3+ouxVtluEyZ4QERQsLdvR7a0FiWkfGzrj3l3dRxbsSVBegb3t4mYc
nEeHPYttLOlTXoubRncag3C776Whrx1nec063MuwHvQ5s4bxAEOkCnxzPHg10AVy80EhU2q/JU+y
Mcm+1+2wEp91vuaD+FJE/Yelqh9WzmM3OlfvtXC+sCFPPlSbR5oT+k2uig81g/aFCtJX7QKWxhYN
Sdy3crR+dErf0EyTBRffhLXrkDcjtMYUjpOHihNoDXEqjaihKpalCKvMxpPdzPXdWqxPiNmwUZIt
99bNFEzFFu+Xe88nqZF025tam/VjbYN2XwqeoO5QU9RWRV8Nkaa7ukNKHRk3F9XyskvS7T0zzgK0
WGuX9YsOYzC9u6Ts6g+CNOR1Dvn16In8ECMMsQcaz2bXFTfa0wUtYVho16EBetEVLsOosu/NlHQ9
cBH3gFUM7u3a43uX0yGrJwVppPAep7n+6uDvZL9FsC5zJOuQjCI8zycvKZzLSKL/lo5c3OnF6hCy
kJ9lbXQn8G7znVuQh5t0f4gzhXRVu3g3SqNNrhftheUERt7pWuJysNHjRVoPuuIeWQkiS67hXtNC
U9wnKRKq1W88yAzqbzfLQdGGhW+w77AUlul6nc+z+ur31cuqyzeacqYQXzrrKLxE826yzfEtzrfZ
Vzr6ySaKSshf2Vyos0f9e92q4QzawQ3QlIZw0cBN6BBxEIDge56Ghub1wTgtoEpQJ82hHHboizWX
HsfMNerJwZveHtQat+MUJE2w9h7PRIwkyOnmp6ajHWyez2OhFAFQEGHTNPp3c2L770a+riE+0SkA
iY+I3mlzZ1EDdphRd4/YVB47lrt00zkPbe6/wSh+0n0SX9yKb0MKmGHXL/IpZad0sqmkeoWckx6J
+N/OBQqmr6rd5KWfC90st+Z2p5O+1rski+aj78thXxSuohwQ6zZV6VZeXfuFdVZLDYfMlmXo29XX
jlqapzwGOt2Vnnl04/xO8+ULebIgd7Vefp6KgZxByk9GVe+Fn+mTWJ71Ei8HGDt3HNjtx1ZiyRYa
PmAxL48eANODymT3aQNpc4+IxRGFMzmaeDopv9mOmzMow94HjtyunJf4+caDifclqBRf2Lpus9BO
e8K4pNiLPXGBS13kxYELaC+SjOTqzAhsztcTWMZDx1mcVfwjBLT8BlmOR5Yfw/u0xcdK6pMbs1MF
JbheY6GrD0juIF25L67ENZ4cKgGembmH69ERy7koi+hdzpzZhQIgQ5NySDlO99Lmw0XCd9nVVbIE
EugR+PlVhYY31ZdMZDVgKlZbH4HZ1MeIVp2bFY0DWiwYb9mCm9GcZb+tzlK/r06bHdoMctDfVwr/
X7TT4ET7nY5YsTT8QtLz9K1dv8UVR52fNUX+9F+aIk521EHLwf9G2fDmS/+Xx937gxZwSQaUEh2B
DY4/80/HnPcHSTzSl9jApSn/zDz9U1VEjBSOLfHBoMzZW0nx3/C4w0r7WTjDVOOQpHNw8ZiYaMSv
PTkzIBaPQ1D2p+aFf3x2eSxEhVY3lrlyi0c36j5tEx6rH7LXEI7albpDkLozIU1SM7DqAIesoQt6
70tM5clHcO6gC6NlLb2gKgAB78EW4RPtR445+1n1uB08G1TrmRX7NIQ2G8OZ9tBiXJm8kVtuPXMu
I3BwC3X0YK40f1RE834YgcPuBOCQZ4MZklED2u8alF6GqyNCjL1Iu+eemuJVeqYjMX1pabihunfw
rZ2llfdEjwX26chjQt5V0LnPka6HaR95Eh5PFdvWyUpHOwtZtJoXtVCGc8OiQRH0sbEFqHFyjB2Y
ArGP5dBe4X7xn8zCt25giuqQCkf+WqdU4+00RNltuji6AZ8+oidgsS2KnRhwafS5ae/56fPXKI7b
Kw3oBke3wAUbpDkYkR3g3LTaVQ0+9h2FY0SwjKn/3iXcRK60y/seNgCHTAo2Uz8NnUm3at+Mne9A
cOrM6Dpn5TUS6TejvdWYDJORgALJudhP6XEwMatgifHv2EvBBm/6yfN3yajjGyPrxGejLfDhDrIc
36vclO+GW68LhRU5o5+Hux19JZUn8P7K31F5hiAwanZQNGHA+JpkOYOroajntmBvfdvZHXYHW20F
STKJuMoShftll1mWfS3yOvpstwPuGFDrkCypZzrn2bb6Zk3enqhy8NqAN59s1ArUC8h04aYfR53x
yON7UX/MZBG/lVhawMZHlaQ7rCjWl0K1PACKuKZ2SgJt214aKiL3yhIMhGWaQLLHlCrVqiaOjGIK
oO+AN9OOrgSmE73jdNHKvYqEdZUtC5ukuk0RBOoso9910+CextXlR2skjgEHuudZM61n53ppUIOy
YrqVYs3f0tlE3qWARUOXiK3rddI29WK4DZ56v41JVZUdeQD0X0QL3VpOwSA7TPZeQF6jr4ek2E1f
Gtz9e9m7XK719LmLCZYE69zhvXfLYrGClfaEJwMfwUpJ86LeU2wmoGH1wgw/ZPODXUXW/TCbsP/d
zB4Tns586Q6EzZZjmcicpkCJshI6fiQQLaLMWS9zLKxnr5H4w6hu6LGnbKUlrbssc9gupSRkVyTI
6sYiK4wYFALRyADRfouDzDNNxkx1X+G1g+nw8X/f55A2XtJZ0zQQFe031HAASmA5eeOWHJ1tml5x
jkyv2rTzR2dKnOWIt7+kBHdO6ulYjTldArYVKQqxCM/vYMd2VEPQ+QJUzYIGSlm0aqFIliZgIW1F
FL2AKXd2U7yagaRxonWG+sXo+vWdbSTrw8FM25yf08TEX7E4DhGixiM0Js7rPQWfl76rtc3ysXS/
TnXufur9uE729hJR+MR5UHo8mFs/ZEsfuYGf9MvHNqMlaZ8pKDghtJLFPaiFeoiwM6zyTS8FDo+c
QxDpkdkc97M7cHDvo1J1+5oqF3VF+4713A4MoayrtxE+4pj0XDgCv66IQOiFRDrFtaRYjy+avR2t
szWf3nlOGGXoIU+RuTTZ1Br+SqcHXwJ8+zbdAsne4JD60lWcw2hcobKR6Y/wH603c1pdZ4weXoDl
g3yHAbxMBtlKHcRtEbflu/JVZpMLnYYHyudQDiH0iUdbNoQpgdWZAVQJvDjYRnkarP1qYw3wV+gZ
oPvb/EJQAQinrEGXB1T24PoozRWFTVExsAQ+EhL39FgYp5GD5IjpeeuXKLhHPRPf1fKYwLBxTyWE
vydD562/K0StvYOhTPOWCwu6h4ALUj80aSSoCAYf2sJBia3vKDS2DhqOIdnTWq9aX9jyGsZHxHL+
cQI8LkwrowEnD0K4V1eQ12I672vLN/YDD+3P/iQxTVkTAiamRmhxWDYM+9akM+qxqvhMQ99IBgpZ
pJjfhrLUL2JwYYtWVSSvItfS8J7Sbnjvk3S6G41eNFdeKWMUSf8OTG857ltKG8nUEhPNw2hIks8/
zCP/3Urs357rIHwUbvut6Y19IdbcHxdiLr1o3MlTTrt91t0XtJaeeW7L0JB9vLezEh/i6JdXS4YA
+/cnxv+du/r/ttiE8/uZcNDxl19y7duf+GsOtNUfwnRcB/6exaT1A/HDtv9gX2mB9bBhX1D3Szzi
n3Og+4dt4eQj7AgTyXa2QMM/50AL4ocHNdgiDcbe2fL/zhyo7F/nQOZPcCQWPyMv5Jp/zok/LFBd
XKoMLXBppzjO8CJQR+EZHgAZ1VYmezx818HS9QoCzVDZhG61gnia01RthanZZS/0wwqLeK6X32Jt
i7oA4Tcrw5TScng+dr++Wq6ROgEmvQ4vTj7aHWg6OgWDfPZgKPb23PrnWkfN4wopj+RiGruo3qom
z5XgbHwYDE8aO2u2RbwD17pw0IZLiEPGj62vaJbxF6zG83NG7eN1H628LHpTziGzrqV5lp6GZJpH
32wLJQq/DRs4YoDJgbvvC8PZwZTene0UQFf7V2PFxjupG8NDGcnmnV904TTmhwh0vkdfrR3Pe0IO
+6SeT1FJGquzTvxzbGwyZ9yzETLPjWI0NWCo9/ezbzpvnv3c+mAACI3Z0OJbFpJpQIhqj2f21Jn1
l6aXt5GBsq6yK5i/H818flgUviwj62m5408OcqL0DGhhCUduhrw5U9rcVZz5+Ld9E0sKRhJlMmA5
C3+EoTxKjKDmvikH5zWW1WEpi3Ov/No6GA1OYYVinlJcboglsBvL+IbDEZzSXDynMSA90LmpqN7i
xpQ7UU+smXR53iRWgShUW6jI+Qd3bQ7p4CZUmicP3Woeeq2hyY4Pbs7TokleW/FMoRMe+k+xcg5Z
V13M1Q61MwV5L26MqOVNmncrdFuG3Sl+VU3UHryuo2M1Np8Sun2S5eOIA8tOk2NcQlRMh5piHkRm
NUBvZrgIRTkcKPXD5ZfvU6++4IBGsGjsq2rJCPe5927k7wmxBspN9xVBSYKdSI7iUZj6imVAkKUM
CxJsCJaiErkOOEilQgyA10536UiZ1RTkrdmzqfXBEjy+C8lvbX/EynTV9e4x9rXz2BufBaiyqkaT
yJv3Vk3IGIIiBI5VfGqp7Ki+a/fEBB6zufw+uO02yT27Ehhu1wELXsYQ3XKDTt2V9Kd2zE8ZSZo5
E2eXMrj9YjtnPd+mzKiEqR5VT4vSQGdi9BhNBoucEneA1Pc+A/jHZGqb3bzlGSN9Evl48orVQoaq
97ZpXESUNp/a5mYwmROJ0VLTmrfPBv+YbbDPXaLhroCMO2tC/Mr9oIvRDE2V4XAYj/Yq8D3GYQt3
+jS6JrZW3XS4vCdMDJZg4gFobKXpFaDWYBpY6kcUZwGTKENG7bOH2M0h64bFIeZWEr5mqm4njO5j
nN7kkXUya33hmIAA14t7Wc/ntodBaC4cn+hL3ZFv3JlNF/hTfguv+IxgdpqF9x1ecqiK6TByhdhG
cTansg9QkIEjN3c5y5J7By9DBVBiLC6zhSxo23Y4LslTTtcrOIj6gY3OFaINx4lsMk8GRUbEjL8J
QqtU+gQMz4B1lxAbQrWLjfzTYra4PHDCZi56aibMEkpBHgxLdEoc3lHNMMLRr2rTw5TXxzJm/Bmm
UPvu3QRuDWpCaINOmzUGlbSg57DjbCqpPcy2zpqe6y+yP4JbDUhPHXXEr67ii7SKU+Z1u9RoAEl0
VnrltOX9XMS3y7zeoDtdm8O8Z2Uclo0deMI/s14JOtc92eDRkpySwImipCLmxjAgmyX6+1zr0GDx
IFR/snpu7STWrOLBSzHttw2mQmTD10VPV2603NldcxFly8wLb8MycUvEIWt9cmXZOab32KQ36UQj
KLPi0lAf2y9hqc19TsR055gNGlnlva0tkmai+JV8kxSBaG8o1uA6Ty+YYG5Mq7kwXNNWlH9rc1G/
1E4ruHPHB7vrUAWc68jMPmPMD1Hdz4XnBY27Pplxf5O4hHYlrv02nrGCXjDpczmVTeBCxNMuZOGl
fTC1831V1QEnXhHyWJtPxOfvwO7v5k7tlTe/kO1mWVfhOEymazmIs2P2IdbojnizDPgE0qCjFCIy
5KWXw0PlNtfb7WiOEnKojX2e3W9G5OP1A07vyK9zB6+dhb0E9Y67FSxLSe4Al5SEdofVx1iN73N0
01Ob6q4QulV2TZL9T/zKefD42J35djKTw2gX+Zbt/2wTC85WqhkZeO8nDlyxi4hRrY8pnatNPQME
nE9u9aTgmkx+ekUrwE3TG1g0ooLMk28Vi7pIgpEb8ryCA5PSVlviN0VghuAXVV/7WfSvCVGYF7uV
Q3miFDheGYcd/8HRmGSh63Y8WkhhslHynfYZ+rN+Metes04aPe9+HmmHRvVglK6SAqVzKbw3fDFW
AeCvXVLcRl15DfSX9TrEar6Nhdl4dxHg5ed6Ine409NCCLhD7v5Iwf1oBUUhyYUQBOje/FYaT87Q
eTpkc2NeO9Ui/F0WtXa1T5oYhIcWQBsCHBIT7OM+m/akODA2Yd1neVTP7XU3uViJdTfwJowm2xfo
gnzDryvtFt+Itk3v0iFFdQu7TRifMQMkNp7Pfjw2JmWO+1wa9XBMqCZuNiU2UifZ4L0JSzo23JB/
Re3V3C3Oay96flsmJFbhTeSRQJtdVLSUNNscymksqmtdDIS1c1zL3bnqZY70VgKsKr01Z7ExtANT
UE7AhNOcgWGZ1MxEpJVOROqVDE471ytlWeJIyq3YAIakG4Kkx6Fzu3Y9Sc6iNemrn+MsiUJDuBF3
g37qfFzq48JurM1ZHyqFeQEkb03ZY7JGJvENSqKNfTbMS/GBz46AuoIOfpIjqdZLDssR6cOPtLoe
s2xKQXYXUuxHy6qm22lOKKmkSESQKVGE2I8SeGZ0R+VbK17xVmBowkup1h1OhYEcK8lYRBZo7tV9
7q1EwoqOY+pNTfyKuwidrtWOUsTytcHcTmo8JUQQcgW4PIdj2VGrMNJstV/TaijYzTM77jqzYsZh
Y4zS7vk+OgmQD289GdFKm9boI88FVrWxZIgLZGbI98ecDtPqr7jiHVHcTcqEOc2HD5Vh02+n84q5
aAhmHFEXQ44UHOApcD4CPOcgntdtXR5oZRM8ayf+ql2ZEzjZx27EN0Yo8NLnPkoZBJaSqOC2avGS
T7rwwJBGKfjxnVpmqFAGfHF40FVU3nPNrvUlsozFPHiRW116FA5jVzYUC+zZKvf1lYMX/wVRBpMc
hmunPXmr3b74ROOvo2ZCTKVcfbjgehAO91knc3ck7UbrsIydLmlm6serGp5FFkRM7txMzD4FIN8W
jXdGXqTMkjXThkATMxpYb+Tu5xa6XrzP4tHUoWkuCCC6nAt8+6O4GubaYG8ESvl64ouZhbD0I7hL
ABAooqYbNQ/XcXZn2NTgM3d4pJs+8EC28ihn7OV/KZyyDptZ9vPBURMJyylpVR26K2aUHfJm93kZ
JLRuv46miQkDRnqgsijH9e1mFq10tPKgp8FEQJhxEmiBIhIsS2WFNW4f67X6WnTN+DYgdaRBMww0
jDh05l2nQFK+kSUBDDTiAl6CtKSeK3TjJuws+4muGJd0dSLi0MwSrHKew6eUaF2csHWQw2od5iQ2
3tOLS3ee2tn9HK5Wl1Vhl032m1dXZsEYOIHxrycrvYx53F3pkZlvL0oapI9FRTfdEa+t8bAAX0wP
Y1zFnzz5HHOFUJfgDl9pIh29W0jdw0M+ttQm2bFmqlIi9t+Jn8IZE/Te3C2L0Rcg1Cf7OePmHO10
Jnk6G7CvaV50SvEka9d5d6q+Qh2aPHZYpTnV7wohCoBU01YO9HuP9OdkRojd0lLmOWnmbg2Kuehf
ia/VMmBQ4n4LM0yAKlLOdw8X8FdynLIPico6n21oEBgmAVUMuI/E6GLoSCbueqblFlQNKet7DBEC
rGk92svB97yccX2tiF7VPmrnToHXRTTPK/lYde5sbf2Y3fvcbSqwnAY+vr4RI4GcyuRDIqDAIwlb
bb93KF1NAswtcFG0fnTahsrqVoO1R1D3qyZI5ErpRSe3zuZmyfIhsIupAtdVzptxmQDxZaydBYMn
fR0iaFQ+HZZ6i7uJkW7UcHKq5iGJUqPHcZUlnxvR+l8to674LmQoXRhDVUtUKU7GdueIacwOMNDn
R2he5QPn5+EL2QOArjggSRQO87aP5xSYQNdIoupc0aUwsh22nTicc5vVoKc8di+yGDEidpAxtrxE
1SB/lhYWKnfxy7u6EiRcO+EAwQJFl26Vgx5Fq/9f1/krMyBwk//PmQF6378UX9qfQwPbH/nHgg9g
q+eRfWfNR8TPl/9a8Kk/TAkHw3cJm1r/gLz+Q9jx5B/Ss/n/bBtpzuU//iXseO4f/HXs49CI+DfL
/VuUTPSmH0z83KwUCQTBK7FIJOBooS39KANWZY6mm67IOhUZKb9hYYTrttkvNJOefnhX/hvFcVMU
/yuh8OdLKQtli40lMA+YAT+/FPSnaHUHHse2w8mJl7MPKUut61mO5TURFsx79O9+JPWijnU6Juff
v/wmrf3b67PMdLYlJgywX+EfxJMWrFlrH6RuHif3lp0ogvMqVQc0GQxnUBQFZKB4Gm6WzGq/xZZo
KLVOYutJOqN8j6k0vEeHo5eNlnXu2FnuNf5uxU3aUKxlFBYpi6woj9LKpu/N1OBoLkWC77xRvK0t
oVdsd2OFtJC0TclIX/GcK+xMcu4mb/UUs0qMWaM00Vssl/FlHD37o9kZ5Y0/ctveT6VOPv7+TfkT
ofbv74rLyhhGJp+K2N61H3S9pTYjPMwZlpvUZ9YeUP6+lKOHyWVh8cuTIRPuC6cv64vuYAGHLJ5T
OhWqmsyRAEn0dS0m1lYMj+juiY5FCCoQRLY1szrxWW1GgVdmSpKeiL3syCzrvCPRedaRZ1f/Ieqp
zya+rPWbNySNPhjQHOeT6uvqdR6UQz2eiPB2kBAHg6mSeWAFbJAj81Xbv2fDMn/octlB7uO3mLCD
DcntyIHKxuNG5BFyF/XUBxoqi+7MAQIEAZ0IBYYRv6b5fRZ23+7zyRe0+bX0tYa4vGdJmXzZf6Eu
o8gBCi9Wde4GhPwbToXSCLvOUZ8jizv/qZKwy/fcya2t4WiWkioSP2XeYCf5JDyXujaH2k6bCUol
X2TLuuJEHt7DtiLnYmQ7IZn7u472533eR4Tz6WHtaIsATMCjqE3NHM74lkJErPMEj8CRvRArZH+g
JnucqQihayh3rkfOk/KqwwCOARsw0mMq/NTcy9kordAeuKYJUuhWnlJr9u13fmHhXS0RjV3kaWVM
4W5EGu4moponOqzUnkFXZOunD5qrogg4e9j6HDmOZr875hQk9zUwnbvMYsUEPwz5NvSSSTs846z2
jmDuWoWOliC6JhbxGMaisYvehtVN0oPbOwT++JAItmVGI5pwnXw3CWXu09FuluyXQz/P2nrvDmwi
jTya04O5KHP8i98EoAWM4f/yhqQY0bE4AIc1vS0z9MOlT7XLko8QNgLYVT7wCo5nnegQgyyb4XiY
iCavo1EdoGhuBtQh+v77L9/PRL8/b4jQkKgTNH0oZ/9WvNpbRpxqpcegzuJyv2H9ruwOzjsEYutY
WX729wjaf72gB/YQForN08P7pU5QNInFscfFcl9ODEAuFrAW5tZV2lbqy9DM7SmyVzfsAQuESzOa
Z93Uzls15VQ9zwtSZZFF+rB6hEMcI4v/sRj6Hz8P6+cdw/bz4ZJVZNjMDebrOr8Qvu3C9OemoSG5
MSI+YH/xjuSg3f1k5qOGx58ixOIQPZVjITmfkooPoMOth6ow+mPHYe4/PLG2BNvPTyye14RLXTK/
W0zvl4djaXSlaTkDNUOFi1g2ZlOMVL5kxV+T0//8i2/ps19eiBnB5ZnkQwf1vF9uwlade5OpwOMl
1QS3TPdGt6eTwfhWuJ3EjMwoiPrlCRMsYsJAiAGEp7UrErwD1jBlS0hKdXptvNWxDkS/Gix5hsu5
wUDRCYdqcwD/3WsXaZqFkLQd3hjmkJ+/Owrrvxyj7Sce1/rNcqruSHNYcaAYKnlKV8M9/v71rO2z
/6+3iHzjVhUpbNPG9aT4yvzyZTVkTkEQ9RXBaGj3ucHNg1OxFfR4s0dxQtGQ8T8WLHnuCGXnz9PU
OpQOEdM9/P4H+fmaYHRheMFvhX/E8kxKUraP8oebRrJ6tVVbGZKhMqYHysztHeWwy4ffv8ovDbp/
vQw77G3bB0CPb8bPLwNcmwdjjnsGZgiB5abQCFzkOx/TQS/vg1tHhx6Tx0fAhMbV0mWxE8yw7YnU
ZCLPDwnZxmLPf08eJQH2x9//dD9PctsPx7aRyRGim6L22v/lPlKz8+9cojxBOxW0RHvK2BNISY74
Zz7GQ57tlYtjJGry5MpETHj6+6/OqVKZnhCmADH/81uTtnaHninAIK09frFeg1Kq8tRAPEnijtrG
yrhhezgRtqvNYd/C5vgPu/Ofv65//f6I/zDHHe7baOQ//wRUIyXMeFwDY0nVUdDXFNXv+qyZ7ysc
a7uIwt6TvXTj/ve/+C/3x+11tywxs7/HTRIV8JdrD/4juNV6qnHqOBXEYds0adNqmIwIvOX4s+j7
MrrKuqMEJ0MgnJNppm0qzTUSvF7rA4yVZA5//1P9/BT784eSPLx4jpJxdm3/l5s214jpaHJuwRrp
cSexvZ4Hcx6eXe2uVyMKzcvvX2+78n+8EfAmKMZDKf8c4/9cef/4BXTm1V7RmlhBlI4f5obh7WlA
0XCtVP9UcBLfWzhWDrTGiv/w/v/7V//HVwbq/vPHvlq61IqNdtBkTIqkIPN9JLGP/f73s7ab/a+/
IKckbnI+76v3553whzvMBOKW4jC6cnSdFKeYTMqN05Lzbwar/DBo2W6PurcBjvfBLTo8+qmMP/p9
bN64GKsuHe1H5wwQwxdv9NR/+O7h9vv3n44yZ3wFNJYI31S/XINDNdjd4oMH6urpPm4c9UCfHaW1
pUnDD9N3GwL03SBQ/cj8Rqqy2Pt5ATTDOKokn/NAEF+6wkCHHTDmlGjS3YbeT6AkEtj2dC/eC5CF
bFAS16jCOiYYECa5lbwKQmbZXndMzzTz6SMX/nrvkirJYjO+ljwyon1uKExEuLfkfUI0oQfyoIfv
Hk3vr64xI+nQ25iue9Or4egWHZDhQznXy7sBrII0FPV6Z9SjAnmu6McZWd2O2GMKxCoYPfUnt5nM
O6OGuUO0TYxgX0pe/Cof1br53a2R5DU67p1tTFmy62rLPiM0+92ZkRnnEow8sS3Fa4ymlT9FwUCd
pLVrIVPEQbksI+gnKYgzczhwWnprkZQvmOr6Q5FWhLeZntV31RgAiBWEpmeQRP5EiAmYW0gPOPRG
r2/ab0SQZRHAW/XWsNZGemGXwjAdA6TD1DP0H2bPqV51lHbfVOw0a7Bly9DBuzb7llicAM5cmy6r
qY4y8R253+mNqS0llMBA9MF042I+CPY57YkvPqnUzMR+dshwAeK+qKzlrhy09W1Q8/xGr2pyy9l4
dIBPifQllXLhBEB27GbA98apuLJRKdO0woTfztgrgsIYfMxtfUGCFK5dnxPHq6g0r2PuYbupXvnJ
eDI06lbXTvqaANC4lRPCQmCyT4EdQ1sg1oVoaCnrtsHRkycqibTWNaqvVS5rEFmecy5bDZ+ppbCR
v5Sz3NdlyNdnF/u8uRtx2Z6R+yx2b+BsrSCvlxE/J1TijfTRZc8Kd8mXDN6OG7CiMj/ZzKZfOUos
TThYxfpd5DJ+TfKkL8PcnK35vOjFo83LKJ0PrZE3nyoWCg/4ZPwHQ0+bWr442aUAZUP9c8kbH9j+
hOm5FOt8249r1QUGqiM8lWiQ75YiVojnhD3kzqY+4eLlSkRHzi2c4FFoh3Zv1148XkE/4ohokPm3
j93MLuiQZFMmd30zVXWYFXVyB08L1+vipRUnUPIu50wlOGz1Yjj8LgOlOxdH4BgO0zEnxkfMAafo
GiWcTy1RNV9EkYPhB8+D/wNpADbRjJxNWqqem++unpMvqnLwf3rzOgBLSnM17gtzoJs2xtkK7poF
Vr7PoQqqy9KCWA6aPDfO42KzP8wTDX6054n/Rp0563m5NqKmRQDC+u2weIRn82RhBBuITCDL1DO7
mj6yImT+1eEQj49IZ92Rlq5t9eV5tbm5StwuHCJzKQkxc7HscmMrRdZ25XOJ95X9ysl9ygKVRs5t
zneQdbFJVerJFiN7XgyFot5Hq0lhg1sqLmxY21iF4ty/rfigVMiB2qRhgK95zceY9teNUeVdGIsS
EFpDto+/sIjtV3AQOI0az68bDlWZeJ46bY+h6Ck4JSoZZa+uoyv2PYYajHPu+fJzXfUGGeClK77q
RTYPxtiw9xsw2oqjkRo+H/wSlVeArZJijw6DPC7alE2Nwk1EP5zjf7INR33vfT/CU1uuRDv0sL2v
8/YFdPzuA7wZm597rUl/W/gEPMp0SW4dOqkMiIwxgxcFmxBno8Rz7mMLA9eBB6JHVIhg+s0GqFR7
sfLW7L1as6SpKV09EB10H30P51MoWwWsrOKkl0AEG4ixspzFAERoZdm7C1wInBdeywWyjsU1ECmv
PoyqR8zO/Mq8wiSw3o9zqp9MLBwLUEcnogO7bz30HJ3E1QmdP2UNiF+OfL9XswXtNzIoITnrtq4y
Zz4gB8Una92u/JLZ+atnwXcK6I43LylXhB8W+K3dG2txOWD5feEPBH1GwzioXjBydRpiZ5x364Mx
2eU3c3WyF/4G93tnRBg4srkpP6minXxoYXnKdvf/cHceOZIrW5reykPN2aBRc1AFlGsPLTIzInJC
RCpqYdTkbnotvbH+GBeoCqd7uSN72HiTd+8Fwpyk2bEjfuGFYD98nWHWanAMBOCZFTFbClRUp4Dn
h08idK3xGoEXDT4nmm/3jlbU3jKXOj1DtXStpx6tp29R1rcADDSnf2mTvC+uQNw1cge1YojXZlua
LbRSOgCrqhiSZNcLVLRXaNfkDbP5bvxDDBV3buRRyssKMhIabYEfrlB3r8tFU6jWvumgwS1FKT3G
Y2qejM2mA2cEFg4AbKzdN0Ta7gZJuAqioVdZzLFyCyBElFTMUcoe6+wCav13VAhtwGeeSjcK6YDY
JSIIEOLbENCtfisgUEC5gBFrolNg2Mpa15j+LYfAxKTaaQvP2+Rq004cNREQN9CZuuLkWDqEcwu3
hdxsNuD0rG9SG5Qn1OHGGl+/NL7V+oo7MdAClWar3jTNVgH0lXS5csOosQh3hhfLaFmVT2CCuS4k
+qXLUVa3yAFUv7HLK16E7B7KluEf2c1V4adMwi6keMcFlAUsU1cFY1WhU6oeZpJJzvEMYXDDRY0n
Ldo6x6WwG0q8AkyzjH+GZgSHRoui8T7SGJ0ventKEbymYHDOluomhiQRE2uTiWk32kHzHTJugTu6
VAzQ3u6k11ipA7YLtGyS5kLOf6ISoRSffjrt3gm1OqvGZQ9wKemtfulKFSUcVAe2xYAOx6opRP0L
X4pnIzQZy6MWX+7pLqk/C9Pov4R6T9u4VTO9v/RKVf0oMaUfATAVNKyhTWXJ4TsFLQUnMGZe57pE
5asWFjonoMv1dxAatGDdInTBBWpK+M0GKAW2soylswTCHX1DZh5j+s4R7aOboSACMUClccpBtlCN
jenA3sP2C36bmhWkK0zPmd25gVMO1HoaBkAsOZD4ggj7BShtUu8JOiND41XjPPh6kfyQpesJdM9c
pCZCYKo75DLBwrRCYVDYtoP3DFC2zRnDDP4Xj+3+DlOn11eQSvU/tGsR4ht9pChQxobpGjMVzpcq
NFc0Hjt7MoKMuM8QW2LH7SBTAfuysFn+moQ9NILA08u3gFHSsy5ikCNp1krwpWOIq5TjYwet17Ut
ceiRqXKt5xHAUBiqeEJYFloMSJjFkP8jacEyJRdYdCQVaHXqBib2FcKEN5M41XenLcf3NhqiBA/Q
Eqsiu3JVZZX5JjSltFNajJSSLPJW5oC985IECIhVBlUUZE/u4RbcyJcGSU1/1Zh2oS/TmubsMkPh
8LuvND6xxMwRgdHMVmwddBn+AFXxjF3StMamJn0kFOEoDL+KtYtlGMEewp90qO/dkRbIggZRAlZR
wYZJqkVRMT0N/GhBQVvckqmaAmCTEiuLzg1yd3H+vB+XyBa+M5ZpG7x+kzL5cGuWvnAatfLw7CjB
lYkhLVbwaLgLYKYRLgGvnV/vuIKkKzFJgTFV1DRrss35XCKnpDlmV+IRUmmZee3WSviSdzWgSyMn
5p9f6ziUmUzUWIO2pWYf9WwxwnPDxMNfNhbAFXhSnHWj0acpYivXNLeztVYnKrjnSL2zslrbnF/+
+NVShzNWpfXAsNTQp6jwqVgWg5aoHm3OZRm4w90YeMVWGUpjZTWNurGsMLrQEj5R/uIegNC4ak9A
fXsWZYoey7S4Ir0ADgAWucBGNROTiAQJy1cwA3AF6YM8nn9IMYXTWUuAGGrRDdSgayA1d/iUDIjK
FgxNBawwLG6QbFZeokptrwbG+Iu+pELpvCqCANR4zE8z5icKChOBW5QXhNROPD468LDFGCJYuJBO
LZJPr1vJQod+BJCcKoeyU6W1hWtA1wLzNeEnByBJwXeq+/OPr5/YY2xn7aPDBNJsPqiJDbwYIBxW
Sz2p2l/wxdH9EG3JddMhJ1VvaqWOEXhkjOFtM6tH5Nxzg+E9qDUUlCTZYAadWiuzdV+P/kYKMzSX
XtI0tyifWWgT2CUFClYOXb2JC6G8qXpFiqwVyZdxKOKVH0SorI3xsI5zV79FuzxHLgwYCkhwsH3W
0qzaHGR45vTFYkiNBLiVlvmTHR2aWbgweNbKZ5pYbV0lrxjNqQrgZUydPRyrbU+/cCJPtKlsfTJm
tS14IcwTDr8RwwM7FWXcAYhMtT+qCOgNo7oJhO78ZznRiLPpwOLTyZAEu89ZlEEU14FbhaBwWAvY
hSS2lBQCjkeT54+42hCFyehLhDrK7tIzHh97iwMBrYW5gGPBbjl8xtF3NdPqQXBaWiC2rtl3YOlQ
VS+wtr9SIre7kPCcWM8Aj4GEIMmFaswnQWpb5qNRIm3s+e54x40uQ8bxvXdfc/gRCWFAo1x4vcef
kaEgoo6WzjjMsuYELbvJ+fdF/aGFUQLYdIAosJ/BBJ//jMeHi16OPeVOYsJ/wBM6ONKiyauqNAjg
9gBamDM/SftR+/miVF6blI6HSU6+p1nZrvVUiR7OL3/irjIxJub5TPIwSsTD5VVQgKPagspo+9rZ
NI3uPoim6Jepquav55c68RFNGtVMVbiw0K2YRVHVqfyECM2T2uPwjJGQ5sHptvO141L+mPgGffv7
BSHhTx+P0RWoncNn4ySqOJejeujEZrQB9pXuPBoJX2DODjfS6qIL62nT7XN4T1ggjTRmVMyMOH+z
I5lng1VZKnumTKmvoNegtLwgDGQrCWlxKyrhjtu4a4YvuBYoFbwM14DVgUQhGiZSjZbW5M+5cfGo
vwvo8iqIFsF8XgJ6b56iWsEyVy0Gmu0D9lbqqvMrcWnIcWI7Arhl6xMpbCQMZu8MA+lKDDo9JgCr
A+rrfXyPizMtAWmq5cI2ff+q7xQdjlME2UXrR/PCeTi+4ghqBogYzATwKFGnDfvpivNprTWZgdKQ
XSHlWDqpvu3VocBiC+KCXvs9/hBANM7vlBOHnUiqqTilGEw45zG7cO2hqUqEb3qNTTkyzrrSg2i8
/ftVQGAxueWsTwOG2aPloIy0hFWgIY2PJcnSEthI8Y/Bzv88zT5RiWE0bttMLuGXOh/CsZ/eIOfK
pr+Soomt6d/pL5fXRSXpjFN27MOilktdKPYDTWG66LUc8KQNtLsWwvkmVi0PS482KdULX/VofixU
gB4oR7kUd2CdTO3w2duxdGUY982y9hXv3jGyYuegGf6tFsWAWLbaWWun8FJMR6MwemMTTBoUMMHO
f4FThTNiHszwuJvB2NizyzmrfTDrbUqV2kiEXQtmrF+rOAVEjJAVXHO7wbpCRaQIl8O87387ZesO
D0kYiJ/k0Rq4ORTk/PX5X3ViyzsMmsU0VtR4R7N3U7WVk0JnBheieO8ZLpN7HbDoldr249oNqRI7
gBAX3sRx9jABUBgg0ctjlGfMEncnUZyk94MGmYIRZpCHJwseIe6CPrHEd7iHnxi16k3QttXPv35a
qLTcqzppPL9gFmH8nqAcuW5LrR2rDwEz13tFg9/h01JBaL6sf1Cm5u/nF9WO3zFSLjbyw+A7uOjm
Zy8PU3/ql3H2rLx0lorZIO5LYhMWq4oL1ltUcY3JXiBdxjjYbfTY9ajVKG4Qma1f7B55S2YYRpAt
BwiiaKD68LsBdTUoGdPp7iJam4W4A4s2PDaxY/wOapP4pQuPBo1v9tATpZEqSKxnlrUNulCD7OZX
w206etWFi/b4Tgf2wK2Ou5POWZ+3YpA0c4rcoY+oNK25RU05WZNZQSzywnx//r0eLfVRetokZ64N
FPbDF+pTrIm9KI2C3AF9rtVfRqn0W6/szCUmKebfbliucdpK0zybOQrG8ocBJHRSNBo6Wl5098NV
J6S3h0mSLVVFFIjTCG8l9aJ60rWs2px/xmMwCJvVERNEzNRRr/74758ekl6BbnoQrOBTJeozuG7I
EAO98RL27w6nHushyYAFYkQ6rhiq6HcVNNpHEYACb2rfRjRFVndVPoWP87/s6Nqy+GX00TnDEyLZ
ml0oqpvqOY8+4rxhebeB01jXgNH1q/OraB/17UFeQ4oPTnoCKtvMAoxZXoPgq5bKHIfMHp6nswmR
YUAcw0aCYw0pzXkFy5+/qr05QbXMvgSkmEUdA1Q99zsKEwgq+KwqaP+5AW2aRVkH5Xe3j50fiNL2
Yh1kCGxAOB29bN3FqvqsKLK9T52qxg8BPQxkO6NBwpbWotyjhaga+VJIxQr2Rie1ZkE/t55oygyF
wGOOerBGrEiWG9E2zq0bSWw9RpuO90KNA5qLgxFiYl3BmdMnvQwah2HcvFVCgAXV0hKMk2GnTQmh
ahh/N7JBwDcPkkC9LgM0JK58iYjboiubqqXOVdVqj2RlC03STaJhX7gKbN2EWK9AJoEDt2sYltpP
qTOU3mr02RB/dNmZX13Zt79wxxmzXYCxBfwtWy8AH5Yl1ELiT6FvqFwZnpUAlVGTb9v6h5dgx8tU
CXZYq/gpuWXT06M321Q+1GkNiYIP5YGAthX/t2n7w9SEliHDA0saP0NpaDnENNm8xVik/WEMrV2P
vQaEVCnjwl1jFYTVcDok2S3DIBFdjah5w9IBkQWuR/frZ4aAZkAO6tLe0BABggQJ6qXBDWpIUKnN
KsojO7RIXPvuwwHOKMpn5PZKdQsDoy1WZluDbe3qbPyG3636Na8NDL7cfoIgjGwGzBGtqZMK9FR6
q6bqinvf6Lufjpb16hoJ7+F7PXohIsCySL9iHGyZ6wDjcvRLrFiH6UVNly44LaoHNK5Dmq4D9hvs
7FHE8RZP+GynAksqd3QPnAS9x0LALosm4qut9C5QBxlMzJN4gHcIokX7Y4R1iX5niacONRIhbtGD
cii5BkS5yLKJIuZ2Wn4LVC91FxbZjSDljzsfXlA2jQ7Qjyr2si4K3I2Fg1ioETWNAfU/w0BeeL6t
b/Ff7X8UTH71G6za3Y3aWBC2sZ6X0Q3O6UiARKFRvpZEuYfcCpx8iXlYcwsMKXuJAql9aZjZ5+sK
Q7dm1ShT17jTSvfJTbXgS+T2LnLN9GN/wOwvflRj22n0pF3rNSVZgywuBVY5nDBAnkrYwd+WjsQI
DVUaiAL4qiirUtACBn6qaBgNMX7F4Ff+pAJo9mms63DTUPKLVwguuz/prsJVrlpZbzJjpPdcmwYv
pq0QKcPRxHbkJmAyzCcelDxZZrQWAao7YKQh5XEkF0Eq3V9mbsnXZKT1PZnRGOBbNIHJyVC7v4eu
9YkFVtByoCsrgHzeOLJZoAEXMGo2LNzqdHBS2ap2zFbdVD4Q7uuE7POO/B9Oc6nkGtRrJGW0C3fU
cTyeBh8aqFULiI794YLw6aII6zhN8N3EZRuBzollCpNCKcZL99FR7kbfBW6KS+vlH0fXw6sQEVcE
Ti2fgXHTMUIt2S7fEwG3LvAU54q9VD1oiQN70CiGbRLk8g3wAXsmT5wlIoVAxRAC2vUDMBpEPaIt
U+W3ApWzryig++WFO+rU7WnbGqYcrsN06KgKR/uyapn0qhDqDTvb+Fpmf80sh+FFxMjtmiFgNC5s
q++fCDzek2TUvM9kHD5iLxg31xMaysKfT5QvjESi5sLPO5HAUOWiHcKvEy73/OG7JAdNMpgiyFek
kf6jnkQ/ciNDwzIPLqSgxyUQn42EFzCzQwnIAPJwKRAVeaJ4VYfIWuevNA8kP1mnE/2mLWLdNwg4
bfNmcJZMjvzbIOzz65Zp74XqcEoJDq9ym/4ZrYkplRGMQA9/BFxHnUuT0SfNSWXbDVhyOLJ/083a
uGuZHl4obU4uxyiEwYRgx86fuW9pQzo2zdA2aPU7X03TH70xxnsYCnCe3NC7dDaOWjC8ZAYvFlh2
zF6AyR0+X9gm4KV7GlgW+jA7cLrFlxz/T2Q2oIcS4bG7crFF6LzReaoYTa0LcPeXehinnpoSl3RJ
09CWnLfpc/zmOqRDoFp5Zfuml6P9bkbRb8Dg5qs2euLlfIJ2vId5ZtIyGjaGBtJm9syOwEg9JhNc
Mm6q9klmK6DqUmtnI55xYaUTSwmhcb2b1G62Zk///VOE89xBCQzmr0vmW2GItZfr9YumNKy3rnOR
dLeDtnqj75D4WyMy6dJaahjeoIrKzc7BNp6KwG9ecIXSnmvFByAEC2Vstq1ZiK+WIhBx7UPzDkqU
96gydE8XUu2TBNOWLs9IsAv1x5jpBmRPgIfbhFbbV4Tug3cPT0TQWpTJ112bubdj2DrBRjNaVHmG
OkofHC9Cd8SCoWqvCiHHLTLHSbiKErTL1giQZ++IzAZo+it68QPDNi6+pO8M6jUDsEyN61+BpEeq
alitKwEmmLrf/qH33A0LrRpL5m0dmoG3LWAe+dimAaiADPl8gRFrmBYP57/Cie0l2FkW9azGZ5jX
IwwdasvUJaVQn7ylqaXd9CnPpbQdeCxgHtmFGHliPYIFLU0qPMZPH/OhTx/d0d1wBKBE5uIK+PYD
EqSgs+wCFQJC2qoPDPVSrDyxz2AFG3Sv+OvwZWZhChaXqQjOECDccbzruckWfqHnd8Blqve8DoDY
Y5exsi0xbGiGlYCOwZ7bsfVauOqwA7zmrNtI1VcRevXl+vz7P/njuOFRA6PMdpxZB0ORneNmBuWQ
FH34ogf44UV4ItC7sqzxQoF91Leg8sLSncyEfIJ4Nrs06ibtAkW3WctFnDuUUt4UzaheAzqV/GMe
bD3g1hceUDv1xSmxUXmY+vV4yh8ec8wLg1AxecI2cCFIYbppedcZKg7GpjC01iIz9/xwYyOZ+RJI
BTKl6+EnIlDHwCgnDNvhhrPI/TZEdLKQe0njn4Xj6Tivg9N/AadVP5s038ZlWRmy34ypdO75m4a9
piPXrFsziuW2QIbwD0hhpoON0tbOhWztuBlIRa8h0QsJzLBwz57SuU/7uuXI9h6tvaVjNeW3kFYU
4lEGqn9YSbtr3yuRuDF0Zem3k7F1AmcerCJqUl5vVTeldMvd+X11In3k96BE7FJsq+qc21KKwnPB
UgPVyoo4JH1lMrNgaORfKOihKM+TgA8ROSjOBA8w5rPTVcJGdYuq6xCtH8JdI9S8Xg9AZh8HO4Op
j34QF2iHRMs7AhNYHwkuU5RRmhQJtx4UwyLBTmKPkzaC6EZupU8qSYV9JQ3ybqrxSiCraw/9Iy2j
/iVMFBUlrbDDfsNAlQbXby1ARMRjvHiNuuJoYNVt5b8oeQVmvb2tLWjUZ08QevFnGdzgIUaJHl1h
BTvJjaOqQLZxq5IvYiwAb8U2YLYlWCLrD9p0ybgZUJjhaGiReWkk+NE5P0iegPYxhOReZ4aF85V+
uGH82kbPIizMJbhmHJ0sZAUmKTq9AxcztsAPbfFCV057chRU9FegZPsUCXPH+Baano4whJH5jx5S
CcbGY77W3Chen75nw2TdWMQ2HQqXX9+s7QothGfbjqS95i4Ny3+YiJPr/X9TL6sP3WkEHpjxYkMw
+8f/+P9TAtIhVv/PUgFfwt9l+V796z+bqi7fk98VCuH/mdX/53+XNaaD1b825Xv283f1XiEekAFS
/XAsnP7kP1ICtv2/qAoNGInMVmitOpyb7ndV//u/6aiI6y6aOAxyQb/BS/ovjUhFCBTByfgRLoZj
CKlM+y8tAQUPQnQJmEe4hCGSqb+QCj+8KGhPTnMV/pLpMJjHZ28WsqMQnkIO7hjiQVB9iXU7vq9H
Yb23quFtEh3E3Iiy9YWL4mNM8N8nglWFBWmUrJOWrM6NMV0kn0Io1BMv6Q03WiZxs5LNnTBvEvtH
6aJ59GRE2bItHyvtSdbROs0hnLhMGaIvMgOeGK9aDL5MuGO2iunYj1KTG+B4KBrvNG+P5jMuce3e
ah6zqt206AF1iIeF0Y3mfpHCWWcVXSs6gy4W7gaZ9tBk2xahnkKVSBdv6aLQoLxYy0637bnHnTVC
9RIKGK1wrAuendvwDjXdBTIoK2VDs+i+WOuPybcSSugSE/MLecCllWd5AF68CoBEVvaAVi30vrv3
yldfRGuZhX+a3twb1Z9PR+Phn6f6V9akD3mY1dW//9us63v8bWdpTm5afZrqLFnsq/VGrjf1igbb
ItmYW2+X76Ejby6UF0d7+HA3zQnIwwQjVKfdxOWyTu7R0N50F+rfk0uQuHG/klPBojrcsKJpEYrS
lGjZ2z9Hh/rEhEUll3n+LY3ezr/ASSTkeLd8Wmu2WxKztGWLI+fSv8uyRfHL2cqv5a6/zrfda3bn
//avtHswpcZ19oh0Zr3Qv/R4KL+c/xUz8NrHZ3RV+s2k8Ew90Rk5fGIDDbUSh5V4WYHyFivnGzqJ
CCq2w7qwFujOh5BALmGTDvPH4zVnuxX8EzAIDQZRpcfrNmy2WT0yBuvzFEeUi/2w49UofD96blQL
JE8E7M9BqHIUJVWSyQ0kV4ylryX9o+863mSrY62yXNd3DUD9TTYW6W3KpH/pDtbwFcesZoe1nLwu
0qq5h3Kn3StQQn6jkGj83a4jPIKwIYUnWJI9MCc7/IWCYob4B0bJQCFqyYjBwvgZsytdGSC6eAqq
L35pXggZh+kk2QlzTkOwLHW6ZusfRMdPsVkVqZsIDau+JkCQMnV8JiKqE+7O768pCnwKiRBAeSYa
6tR+083ozA5UQjs2Cp1q2FkOXjNLLbcadJ+szPxSqmpxT9loX5epGNRFXFpInquj5T2d/wnzLT5p
p6gk8nR8+H+c7FmkqqXWwRd3xU5rrHodGb12XbU45DWU4EunC8UGDG18DYQFYQUf5bI87qOnqkb0
7vwvmUUXU4UYToOPYmIalpnzVz7mbp35FCybGuNZmumjvI4KKfdG6fzWkavd1YETXbiDZ2UMyAFQ
HuyYCQeIrg6iRIebKwcxXisZuKF66NPnIgV5GzZu/NXGFHIXQO+kzRsMOID4pNwwQQcEOEO9Koel
M7YFM0oRZxdwqrNe5/SbmECzBSmtaIR/ODJ/PpItTLi8k2gPB8I2l2E6xNee3YIGpcW/UT3nV9wl
V2gKM8jzkdWtXWk9nv8UYkrGP21MUKhEA8S3aQWCFAaYdfhaECqUQikpLq3IFQH4UpQoF1bSog4b
4JT5lFmR1m2qvKW3EBqBby+twclvPMSB3m01zTHmzTq0dIMeQaALv22KSIe/TYe3js0CmAT+N5nO
fH49ht9VUMc03PRCHY74aLnjU5RBW6eBlz7ZZh3KhWq0Bb4P/tD/RK3VxNfU1ge0JzBseXAAlQlm
PLaSrycP36+hpkMk+stfyUkCOI/sg8HnnPQWDn8lohy1jWWItSMAeDfo4KavokOwGzVba6m0g9jE
uqgYXPoqYsB9tq8701pXTu2iQKcxZnA9+jRhEW97v24uFLFH2376daDeGYWQPeO6PSvG4kHHQ1MV
1i7zBiSaLYA5ixoo08ZMfYTE0Ue5yoWn7/KwbLeOU6YIIzpiiS8fmsb20G3Ov635J51+Dvue1ijt
biDas+1WSEgcha9au8iwJX4NvtzUTaUvtAzu4V8vRcOXNh+gC+Ad8/Jdrc0mhPNo79zR/62WI+K3
Oo4oKaINi/MrHR0i0A40R2gUMB7BLFqbX1yVlL00Y283lNHPwcU3uk5FsIIiFy+sOtO/drhsf49k
kiwt9MjhGZRwTSVQ4A6Cx9LuZH7hXM9Als4EwJjaNrQtaB+AKZvd9p1OGLMD0wPLWUe/+kQ3Ht3G
3Kt+osA4i/Mtvav8OkFidYMjnfZVDB0yl9FYb/ouTFeFpzTXFQP7ANsXV4dDWhXXoAYcrI5D+SS5
h9cCuNr+/Js83h78aoY/VHkUTIzvDs9Swr3laFXo7ZrWxpIsBN/WN1LdJRBhL2yP+XU4vSGHzYFA
DCGQcc+UGHy6+OvBq8MosNxdZebyJo0z29lYJZ53tuoW+MUjVvDddNLqN8QkfaNFAiWtYUQh1Wxp
cSzPP/jHk32OddOvcWhhEovpJBLzDn/NYCEtirmJt8uqTkKE8eJHozerxyLocfdOPANOXWgO6EDV
Zqv8yjha+CMaBUKKjqpUm3qM6q+5WZjOvsWIFq/1tskhSwFqXAR64sabtm71m6Yto3f8RMx8Z6em
Wmxz24Q2OXlaP59/oqPLbXoil+MgQFhS2M+L3jrIYC0iTcAODOxN2gz2Ui+DcQcWpF6baYKoAY01
/Bm0fFMjproi5Wi253/Eif1Eue3A8jLJ7I5042pviPuk4RRIZ6ih9yYj5W9jXOExlF/YT9MZn31A
cjsGDcQ3dsgH8+/Tdkok3KGIsccugv+4bnRMioRmxxunEcpaVsJYdLn6onpVdSH6nFwYWRPWheJo
fOzzTwvrVTG6ChJCOxUKNHZQqbYEzirWIp5MzNNMXafgKu4HTHQuSHXNKorpBE35Gyha4GYohM32
LCcZWnKPKrDR5PpVVyA+7jWD+oB/LuqzffN2/mPO08b5crOQ1tdBqjqx7+8xE3J2Ug1MNFysZDOQ
262QKUellRnfhc96YgeRqE76a4zQ4avNEvdUb7lC8NnY1z6aAHhuvthZZN6pdldcWOnk4zkAkskG
J9lM7TAC4D2t1U4ueDxKkpVpYKGm2uGbPbbelY5B0zMOzBckgo4/IOFPnWR6cG0BKzH7gLGBNxwC
SP4+0HCo4t1+0dPcRjDJMTaQduWFIDdd7odHhOWmYwiKnDpDm31AjDHg2NSRv+/HuHnniyXYWTTP
RTjihdaZerZ2Sg+fWWdEN0255CV0/H4RqkAHahKRBF/xkSl9Oif9mER4V/N+9cDJ9ooTJguEDPq7
0p4SyLDwVmo/ppfyr2lIMHtm+vCI901flVA4yw6jyEmEGBx/7/j0uaF8N2DmRsVEKqfJvf5Pljn+
V632nGGPNIm4SgYOM+2/zH/L++BSE0CfNtHs50wqSGDe4SRBjZ5lKsTpPhtj1yUgWvmqM6p0F5Qk
oSiAVktkDehFZKW50hLF3LtVNFwJt0w3SPu6W89WJSTgxHtE9GTCqYh8x5lvriQIFUBSDBCZZlXr
tNet69CLigf8SZu9Dd2ZaTumawkV2L4e/PRB9J5+W2MseIW2ACZqXSuvANoky9Cp7QspxfFnJygC
NprKK0BS8/FVZ4R5OUJY3MExXpXa3VhqgK1eM3mHR+KFUHxirSltIb2lGgCiPktf+ii3y7TM/H0Y
2sGtbNxXxlLqNRryHXrfyZdqxMfsfFA8cc1CJWeQjUAkFFNu28OwESa4D6HJ6u/9yPtVCN3fWXUA
vZVwdT+qE7LS9hg3uS7Wwmha3nj54F14xcdhhJ/AHUAPRTDrnae/eQh7cdQUfx87MAxBnbwDOfRX
Fhoda6uD9Hj+kY9DMv5TvFzIANABmO4fPnGWAW4ofKzAHGZCV0IJ5S34zPYmGeBRn1/qOGJNA4NJ
RYAsGlLGdLo/xYwBi7mhC7Jg3zvWlZ8DHcWt0V4ZRpVsK94mmbznPU+8jJVEjWVzfvUTKerUmSJq
AcinepvbmsLO0JV2VMJ9kecO2kuhs0ffPVhD8MSVRbfHXYVr9o+qTcQaI6vxPsuVlxAk5N9xw6dq
AkwDoZvKbSJSzylbdqQw1ImdcA9TolyJVBnfUD3Vb9u0CCPMIIr6wqMff+NpQQb5kFCA5s/F67wy
6iokkcK9CNE8UFyjukZX+FV2hbU7/5JPrYSjLRkbypTwPGYBGknZRsnk9Gid6641u9d3VCcSqS+1
vtDfPLGbpldIs4VGo0qIONxNbql3DIATDCPzqr1qPfNLghXftayKSfSux8swUHG2arDTafIuvLCX
j0+pweoMl6kKJxLj7NgUIm942CLaZ1UPwsCT+ebDyqPP9f3Y2tWF5WZckn/2DEkpzRHi7wQgOHxa
wgzmKT2OogpY81Vn2f0achyMVKUKdynWsXdN0UZXuCgN26oIlWXfDuaXoK7bhWyQPKtVrLWjJgx/
qA0aFjUy+rsBusiK7NZbIwRd7HOFdGEMpLPFlN3fKl7W33qj4iw9erDvZls/wkkov57fMCciLi+S
QMuscupPzUcFPjJvVYMiz57RJ1ptviVWbUNzJ/AyH9W74NrpGn2PkUmzQgAtXffhoF7IFT9C6uE9
zkwR9VligoNo1Bz5UyldIxx0qvY9Gs/rng73qtB63cEaCtNT04ruFTmwi4M+N3YoedQ3oN6cVyF4
2ZgZ51s7F+hod+m4rpA8W1SW1QGpNM2do+jujWJgJAnaFFU2QeFplxg2eO0kYaWg3ILzZfeu89fh
Y2XbyhrVC4XF8T3K0yFEAYmE9t9RKiynqBIEfbTvhIGDG0CT9SjxJVUSH8uICoMHBCmG9/Pf9VQg
gPU0CZlCrGTudbhfDREprUmzZC+txlzAa8NXaOz0lVua+YUb7MRRpA8PjRL6K2nCXCkh9KtGRHXJ
DlJyzHg91b9mAyUbTe/7bRx1l9Qap8Ay2y0aNzNbFjkEDv8sxrl5aTBxYceKSlgr3YDuHiDeeGFT
Tgf6aBUwj0Rupv7EmcMXqIx2AVoRnpzXWS32Xg7slxAgb5XYLac5c+8UrctXnB7vQpZ98vlo6duT
TjXT/el9f7qmaz9qi0hzon2FhsmtEEr+DenC8uH8Bjn11ZhKkcx/EKzmzanBbwIaHUq0j3pXrHNf
9W4nNcSdYivxI47fxYVs8vR6AAaoWWilzIVUQUejztXwPtswWptOlW80C3E7RmQGKNFLw8hTX49c
g9EnmRVzsFm4hqCg+67NanYl0uuga2IktjOsFWPgZ2K4tWT/6uOOvP5/eKnMwzjlIDOoRQ8/ncsI
qPRQmNkHGIxsowiXAl8g0ul7g3Jrh6p5oTF68qWiUTIthzLKfBBXy8zAhyuI92BpEwRAk+wG+lCB
ok6VbtscLfjzz3fizgdsTFeIYTqnYn5Z6FmSOyFigXsan8qyE02067HM2daoKuwVOFprfJ1ymq5u
sJtAsxdSjhNBjbQcVDmTCYsm3OyrRl5m4T5gxfuCZ6M7Y/Z3fVR+75kA7s4/6OmV2DogMFVy81nt
EzDDdmMZJHvRRt7aD8H9YTg+mUak8YXjfuoGhgFsGKTkVD1M0A43zRC1vcAVjE2j1sGPWB/lfhik
vZFjJPeh1RR7v4cr1+Ujvg6mUb2abXWx8JoWmYe7SVaZ3JGWrfHxIz8FnQITj8wTWHOqiuktVasa
tqTrHvIT7rgJ7FasEyROdux9H0/vIF/6FnBAgQblzk2Vdnv+9YP3Pfo98HWZ8OrUu3Sq5s0cQ0EP
XJOjsgsjKfC2s4P8T1ob4t7GAGLcAnAajF2NDfivpAQDuEWZqrvpIdm9VXXR0222xLOV9eVtDc8M
m7ym114iTMKuzK7Vvw0GnEPcNurkYXTo+U0sQSh4Wuu3eyd+a+vsSdPK5r4pUNDcMPNMf3th1vVo
fPbmW+/rlUMYwWddMxdY/oxPWiOSu6xOMNYkqXhKDaN4UJATIKPq0prRlKkO2CkZpKcr6VkQyEK/
EzF5eVav0L0D5MQ40sHLSNGrbFMysUXtsUqqbRPJgszHjFOQqFHlsChmbT9zfXS+ATTnxk37pvuB
LFJy66hJ8GIooxUsizRgDm11urdoGpshfYAkvbbyM4l2GKjT215qdYRNWJ++4h/Zv5al31tbJo/8
tqFHUhzMd1CtheO573LIq28pfR7MNswUgdqwqpXnmp+N4m7sYzc8hql4S9XMf8a8L3QWSo0cK0D+
OnxWzLxQtkzfkKkaGx8gqYjMm84pAF34r5HbgOhqi9qtcN3MxKtEOqhHypsx7B0t9+6HVJ1kHaso
By7oF0dihSmMvpveun2f9mEFzxR+AbpXigmRsSETo1tr2P+XsjPrjVzJ1ut/8TsvOA+A7QcymaNS
mZqleiEklcQhOAYZnH69V/ZtN9wGDPi+dfU5VaeUScaw97fX6mNL5subL0bx5WXmOMQu+82H3XgM
4gBRWj4ItrvekU64XW7UmHv37bpkn47Ik+AgiXUeNCmhFRbVqO5hlDKAGVQTs5GyIwW7q53G/86b
auZLLBsCP5qrknMwu/IpEZPBxCsxCAPrJ1MnYa5qTL9EkBZjo+XB+lTZOV1UlTQ+INYBgx/TfWP9
Ulnt3OwsgqR7O2uaxwnX5mHNHMpNuEzP8MDaR8/nxMvi19GC8MZxfGhRmRSEqgPQtMAjjWc9YU3Z
y1IVd6su9SuyPpBvOD1ETaJWE5gK3UnPMP7oKaOqnbVESbUof9NM3sV2ya7u8IQlI+P53dBtGlMv
4d85lf4XDyH4VATzun9TnLTvJqjRLzjIzLK2IAiLsJd6y2RR3vwEzIw8Wc6qPlcdBQpPM2w9e1ha
/hLpVFyKIUVy3y+O8+UMk9SjZIYSF5lEeyaew4wU4OzIJ9VxUw/9hEBiVCvH/ez7bKmihTXoUxRi
KmKNGZl3U3jFDqlSZYFGzBlTgPTKn1MWJT1pckI2N+LG+GpK4MO7oBfZA+2m1GT+8GbbE9xsNgGz
Kq85+MVjjYVsisrcUEnExMoILdm0awT0lFhvzkVHgeVb0jy2zNI6IpYlX6CMDm+v7ITlxDbb8ru3
VFkWAgTjVbJz+lWR0jOZblWtliVGFKfwGy8rAPe8cMsrIrj+CoyYQVhr9phbIq3x3fRz9abh4zhU
TWAWeKqJd4Y1ZpdDMM3W6yrq8e9EJZhIV56OeKJzgea7FwZytDXRNLJlWak+5KQHAAtJgPwB7l3L
0JxWhjJB5yXfU6GG12mB2weVS2d+PbVKM4HdqOAuZuROberJ9tIdeFOH177Oqvty6hjT8Ts5k++s
BuexgMfKGA+iOK67tZyvmT21zzm8cr5QxVO7VbIyfzK5On/1hNtPuLbpcpWFhDisjQXM5l6ODk95
3uZXVvB0jFbHWonCY7/+nCi7wZAW+UhXBHoygksxf41JnX15izHddBDkThCQ68G4scQaPC79RJ+3
b/waRS7b+3OpvJkxlgn9Szi5vW7EvHRzxjeAHpj2ffmA7HT4dtqCxnD+pq+OfRNZk+zhRqNS+yAg
lumbVps6cKhinTYJgbcpLMe5lQSM8ia7tpmtbyuj8+p9QzY8PfZahp+IHpb2oFbLLeK8WOVjn6vs
MfDH4At/RvWcVv1d5QRv3B2LAogeu000sLqTiq3VHWMiK7gWHuCPVt3kmCxXwbteptrKDdeEhVfV
VbLGPvP6uOtA3z7fBpw+hNFlr/zxEk24zaw1CNMlOa7pyORtrvGyhFR2mt8GDjqgWkS0LxXRyBfV
443mhwI0GhrLrLVg7bQatzvEEHah3kE7aa2W8+gvqtmVc2velR2wuEjN2s04rAYNe/ptLgrIMqzI
MM1osfNMDAEj37cZeuZ4RLzIuh3gH3HAWqueWee5y4YsUgSZGnibU8o4vD8HhwGzwsc4pv1uSqfR
Zyy9rYyoSTWk0LllZSHz8964QeHcthu3GWacV1Yz3A+KVxyxp9t8VF3XX1pOiFgFrWBmICyj8ByZ
mgA8M7UpeVCzG413Jrz8s0/38Z+t1P9S8P7S/tRPg/z5Gc6f7X+//dZ/ZfT/57//ksj+P//kzefw
+W+/iP8RT39QP3J5/OlVOfzv5Pjt3/z//Yf/DLk/L+3P//hv342qh9ufxuNZ/5/599uM3/87Uh9l
PxAQKEj8/Cswf/sN/3Tv+f/h/2c0kBozIye3WPx/BuYN8z+oS/K0kecFlUWC7V+Becf4D2pYBCXg
53GE5Trzr7y87ePewz3CZZgxc2oZ1n8lMU9p8t9Plrcp6tugKEimWzTzVpb5v47bqfA1bt11dFMw
PTV1cekxJe/dwHop0A8dugUp90L7O5R5QsZbeZ8s6k0I4/JN1noX5Z1FD0gLio30v3RbPOTMPKZz
FU3ylnW0A2ZeYAFzqGksDkL2eW2c+p6a+MmriMdLVmJTg4Tu9M1hJcZujxaTbv18KmW/bzOODmsQ
F04BBrs5y7Q5azU+8wzcgFP9cSv9mzzF3h4ksyfB2euBBrXeIyecrbLjrHzNgp9mPo3B67Dqeyc5
phMygvzO8F9Ed8OU6Avn0DLS4Xgnyy5gO+4s5ztov8TMyG56pogL1dZYY6YYrwNAfN0UsQ/VOO9e
YYseCCHEvtpaSXrqcRx5dMeL9Wktzya6gkEkU+ho34XQX1YG4ybQfX7Q8n5Xey14nipmekznUsiP
tQYZUzI/t3ThyvxVmh3JCp9Z0KSb7zz3Cz3Zol7TilQHG6UCuZCfZ+veHI6djgDGr1GGOj9aqj0P
AJE3C5B2Q+ufZfpJNRfIQpSWT8zJRaVZ7A0igYthwvZPrkjDYwfPuy915OTtftVTeLiB7Zybvtit
Yv4u5LyrRiKUI+j0ZcY3rk+XDNdnanEZEONfIbez+GxaYYUCVRvc77Amz2uaO/jvD0tt7INRiyzt
YkNrjFJuAAeyTcVDyn/2hoYE12KNV4kPltiLAuPZTtdyON4GTusRGbkCXV4i0DhwaL8bcQxEQksj
J5GPqEkiz7hSY4gzD/WblNfUHZ8kyz8LLqVnq3bAafErbak+5objNuC7h7TxTxaGYEAdflj761Yf
1gB7EaN9k/7YowFkfxDv1rwMkUmB0F6NX0P/sRnu25jNiJzxVaeiACUs6vFcyPGtJRV74P4VFY7Y
6JzDMLeC1WIymPhBOBHbqBYvXNbD7UjgDPUptzmkjn1zcZez5arfwpvvAQ1vbg1af2h2icpDR3xU
7KYjQHfwWKdc9aFdn5holt0ETm8AU/yJPeJFpsGeBmFYIpd29PHaF20bNv5dzyJPoSR2+zyqs78Z
ikDbKN8GUz1xfTuYnLXG1edoJe8ZEI7hZT/0HsjMtjyUtrafrOm8NPp3UDof2WLwHLwHNKXYBJNh
5fAvDzbwskaexnrTNDUttCKk3HsacWaEc0C4TLevC9VCXyQUmKvfLOWk2CEbJ4lqGDzfarOazr1a
x+HTM+V3IJtj9o9vg6R6Bmsvx6o8azb8law7wkr7yLTkLfB5Peix//aB/gMniQMjh4e4pOID3SnO
1uJkamWsZLopaEcHaxbrs/8wK63b4iNpoxWX4NaY5ifIgh+BI9YNPBvvoi2WyXy1f8gahjKXdFk2
i6+l2zkrL7PHPmiM8mXhRZIzq4Je7jlBQz/5WNs4d5x3Ia5iyvcdAkRWkKd8+DYSbtpDtW6Y9Ocw
mH0ZfnefeYxLTyMOc7XC0i499JKaxvqT2OuFNNP8yEo6bQxvuTNq3mmZ+S5nbLTynnkyS697ajLt
Lqend2Bht3fd8qJqEa2MpF671HtPjIpGfmM/Cc/EqZDnsT30nNJL2YXkk54WyE2Vu5gPNGkuxeyS
XSgntXXTdt0n0qvixtDc7ZrxTnpo3YAR5X+E2Z8aP4CqCrZubLRQE3d+Yy/P3IHeEJFeQSufkDjf
GzWYGPukKBRv2jH/GTLA+BPHHtwCPxJ2EYKDAjXAUmT7YDHR6pV+cZQ2tpvKma+jcrQPawiAsEB4
EdEC/o7peML0BNu6rdu5G2/hNbK15C6ZVnnPLPBMhJFDaWuD1naSjjzagg+mXerhfujs/JxX4B1E
oGIfcHh4a7nS2WmaUG+tFw+y/qEAH34gr+s+aTd/gyc5BTuafk6WJHkfaAVtXVolr3Jop62zZO0D
D0YR90Oa33mYOhGcBAgEervZuyUijNpHXctxlP4JK+uGsWHqZTPRCwgzZ08GlLEkX5rGa6eYeGG0
lvXs29EJaBoFnbDKscuTLQASpX7SxVJJP06ztjkw6klJs/nbDukTyPa91eGFXEyOz411l9gDOA3Z
4hpjvbqy8fLOjIFb30tAllsrG8avTAuGcC0xNB0WZveZqg0IQjpmjbvGXzfTOnYg5lcVL+6z5szt
YS48VsdFyWgG2HTb9VLzj13r+ibzzU0wWdVRtMMMwJ3+OHxzDIUJtRLKoYNX27GrVi5Mi/gY5kzH
+gJ9TQuytzKF3albd+ncqoO9eE+5WOqz7RXimzaCFnKlKI6J4MCPM9CHnTy3m8WoltDuAj9UeWns
SNS6Wz58TgOu+VWhQQvt1OCpdW/21qa/OrY2xk5dJpHdYq112gp/UXf70yzUHgl72aWuzU/LKOed
0zL602fZnvnr58kyL/R44UY2TnendM4H3qvJgPhuTRcrksW8osNbvsyiVSwRc37yHSRKeu8ve+Gu
NoPECmFed17mHZgtma+/6ZAb3Bq40JeufFvr+u/opg94e/UYRALrgFmeKTS+WHl/6NPlnFXGw6p5
W8uq96Scn02JRc5mP0nW79kTfxpGfXOt3Uk+9jwvd4RHdq6vwnzeJvbdPLsb42YMaZxj3ju7QADu
zRnON6ZNgwh36rPjWlFBaKTalcTAu6U7N444BnN1SZGMlNOl6519XWv3+Ip2ieXGcPNB33NU620j
plyShbbR3vPZc34Ah1UExxbgxkeT9ONpHdc0hXHGS5Dpo3EpNVg7fUX2mH6i3keikoEerdQrDzRi
/J1IzXkra0RXQ9ZoVjggLcjjoVv1arNOAdS+tafeZ/Wjs089rwax3eRF5Eg0Y5hBvRMnZfcLfc4c
ZXoCLka61PbSQd817Zo9AHhlX8zMptz2Y6VtmFTWd25aBluzsmcCT4MTW71pRD0+ywg1woovztYe
jSwodmpanb1C/HUHe7n4szDK8tg0fRNnGiKEsM/X5MlGYzqRiqFV7euFBYodptnFIRt66FpH3xfl
3L1Jm/a/Pd3EBfqYj9Gi1fW+BWP7XKyLcZaBo469PTi/5MqbqBmm4QFvwacz1eyoZE+He5JT1BPS
htNM1enafVGBf1B+nT/rWJwOFj96OGa699AojijFmDqH0vDaPUCdLm40zFH42geWvwxP5TQ79Cqm
6ihzkvmRR8Fry/rBjJjVWvu5dNPjGOSUQfvZ3hqD7rwZpUn9ZCT1zrxBcQ3cGbxWUPWWul0fs7AA
bPDijio42Bi++FK5tqYy4ZCy1FNkoIiDnAAnZC0C680qKijdVl8eLWuaqFFWKwfFdvE+V6ghoUaK
77Y49Wo3waA7z7VWvMug9A+z4TA/j1Ux4HxZtuPftWzt/Twy8KZlwx/HHXQWRAtisKbss9n4j3ng
7Jy5GcKUyRDp+ttOYrfRtWOXjnXk5HO145PUQivVzugs7vE+v9qCqjMeZ5PmOo/SOM8nTu39phvx
LBYLjkeSFn8Y9t+WNPFv4Mu7XDfuoL1fBSm3A2KpZ3+qXizm8IsBnbI9szw1z2yuR+rksV6Pw2aW
pDSctPjQFNV8qC/bGZhI3OnNGk8F7CpVptj2GOdzwOsHrJdhUSRnBFFnZDSE9z55BsFZCdzPgZu+
MswV4rm+9J1mcvwDyAe8KTsWPjhTYUK5Bd9CczG139ZJN2M1mnz4noyE6X9Rox3ZBzLqkEueH4vF
bp9NswNlMa/281rmKnLoc4fuxPXPLgxz22BY3rSFfFlLaktCUGit09WPhtI9osXdKHSA2yQpmwvz
heiRBA++nzI1o9MfiedWO6aevTVb6lLGH8qHkdXeCH5yl+h1xI4Se1V/4yQy76zFbUq8weNDKjhV
BmZLSmHeAUWLmNb5JTUVdwENaKBfcKM3uizOnfEG3qb7GxjjX9UDrPA5b2+yUpeopHn0DUfXJt6y
HEiMywfAjWASJ31V42Yem3Sje8xxKw6l7BtadYKXe/QN8z7VSEPWuqKsNdHWp2iyKwPY1nlP5ViT
uOvsZNMXbrZSHernuByBXocIr2vGC1oPH6gjdquZ5nuHUs2bLlkiSGcg6zRE7+JR1J37cqjduKLm
dMmsfISVB5+nSlL/1IPtI8ifmNXWTMsCMVFp75kHyo5aXtYvs6YFMYMi2bU0y4L0puW9WaVadq4u
5W7AOQSyb52Dtw5T7ZXBj/GlAFf45DnKJFk+DtQjGZjAjhI4byb9lHM2dsW5rLXgqS4BXXZNaWMJ
pw3J5WbqDoaeV28T2IXntKyrz9krh6+R88ZxWJV21N3M6LeqM4aXYPRoG4m6OGqZX/5xUyL70SjG
cWcjlFjAFFbBfTC5w/vgmMmTkEX6aKicjQlbN4deM8mrZ2Ut1p/VteHcAcwwGBsxISNaQTvvUasn
kQlP7dmRnbn1azHfC6fVT6uRcyHzeFBdGnVPidlpG8agtPM/4MLUATukgLljRrbbsvRTJBxu5Eza
QWwC62m1be5wviPrN4h2CQ/NskSjLu0n2O7ZO5hEKTdWtvRvKnBQitiEFF+pI8wHmaKL9ivRxLDK
Dyvmk8Oc5nJA4iXNx9nABcWtVhHDrRfBRzOyUft9EJl+nr2WhW3HnVun18Acs19lj4ER4poVIkya
VfFoeVmyW51uhKtlGttVedwTPa1dTiJI2SMC4R/7eWRAranjuust8rf1XcZTmwfzwZgLPAxrSE+5
34iZ2oQ9uM+VJq/su304jZwWEucWzLKf9CrjMiOAjSZca+Ag4nPsYEJZ9Wr8pcvuorkBOCusPBrn
ovpZVD7cj+Tf8qQa45rreqwcg1Y/GCKax+9NYpY708u2mNbjwmIN9wDcFYCmQmBwHMPER93MDhd1
811W1X3rdDXvup4++zZAAR2UcDjWEtqAZ04RTZ7xVE7cMbPflZIJ81vhqPQ3lSUU5st4sg0Vmv0I
GtBcj76eJJuB3sQMVS/Mp5XfV053jVluRwrZYcBVzGqrDVfT22XygTiky/+JVcRNVLBZxgd3fSmw
ES0ltQfKSr59Qy5mz3oOK3u1mgZP53rQvWbvSGkQvTJSrn60Fc32ZzAva8PJC0NEWBYVV+3Wiwzh
OlE2602kTdQ1vA49kM9A9CnvGNTtyE67OWQwPf2h1r0tKu+nxTf3UlfauZ8nGXsd9tCAwYG9QWQK
pDKXLFG0F65XhB/EXwx7ZmipRItTxr5FOn+6pntlkWPNH0BdWu3fBTGO3r4n2rpELsWTIhmniFHx
FIPX7aZWjD4LgnB2RMD46xvqH92y1yHtY9Cy3E6D9qTkqk66cI1tl2W7PnGDWPpgyFZRAX+sqBwy
BxDqtHls/84qt2lRfHSucUlF+61lODJyxR6aamKJ4AL6m6pu7B27kB/KshZYnCq1haMsOEi0FvyM
qtt3vEKglpv+IV1J6CGRY2mp4BVB/Gjmu0ShVxKieZVptwla/5OcwRgNdZ3vDF2cR7EPlPdEXX7G
/LeeDUm0r6qirAjOaaJbESZFse+KLo3apHfi3mopvgQL3Fn9TgWJe8+ajemj7k80sWikyyaAyUov
ivJvVDrZnU5VKHZRgXySluIhdLvmbW3mX2MaAGDfbqNowYo49c176JjHIA02VDY+yzzX7+zUvVO9
VlNGM4yLqt3gPE/WfBG99HZgBDcMMZ+aNolVrkx2JedXd8EqlF5wdnkOiGM8BRjcXq0Jqp8NQB6c
+oCKpy2ncB4LScOsZUIUBSIhwK54AtU4Rmk3keXqh3sp1p2bpw8V1ubQGs3XhQt43K3BvWWmfF51
terUZ3rGCOx6W2HTqpv0RTQWHcQa7rKLGwQdbXbo12brJzylMpuvRlk5zxXFxty3tG1arSAtyszb
NQ2ZDrNZil1RM7vKud5/0DLx3U3p1VztI3+TV/bEM2ZMXnn/MyhrqlwLRAVIsOjN0vzg5HZkGqDw
Zji6saM11y5hAp7p9BTFbQ4BhW4nxqcuXmz/FHAC6up5+cNmZXDWz+ORutCdIvHJuYKx+Elf5HXM
jfbC0eBsDP3pxoSG0WJbG38qHkSgeUegXz8GEaN4dNdv1wHD6xqp/zSXsEeVaB4oprFIylltQVo2
D67ogMKWjSrDxhj9bS9W89gyyXe3lEF6aTQz36PEwE45KQo0C061zqbhRVGzdJEj5K37aikBpdIf
NqbXtlc2nl3dMfJgrL5zGRwyBzVrsOcUFzJlT77TsV5Zf8d2/ceuxDeSoITlERWATz2xqYvuxfFm
sU/xp0MG3EIsBWtrbgbVvVrun5xY6gVCvXXJFFD8ZuOZD2NWxqX+yYS9/uQ3AGuAmHRHQ644S6Rh
Py3mInb+sI7PddI3IRkSdSlqSwNJJw4SJvXZydRCu8//gFPLQTGXrx3FMartLLyqrqfQmko8b0Eb
tWRB+Unn9q7QZ7EJEv6hMjNxyhjiqfXLaDrzsdCIUUsiFb43xuaI4012se42diwyXojCtQKOvAt5
JZ0SreoOAqWwbmhnGp6YypuwxfFo5i83wCOAHnPfSY0YngM5YeWCTBH2DSxwf876zAntivn9vlNG
KPpxJ1lzRWG0YWL7XWRy+7eqvQS+PcMSSft30QH2dbrGOdVNrzZJruw9/e+MCgLHrmbo+zPbpRP6
48I+WLS/GSNBcyO6OPcRRop2LbauqXpufpnmHHVBgyJxPCC+Q/VtpvDCuvqOup11EEq8y4URlFG5
8ijEdKiqtN0XeuURpVhBz1UtHHJjhQCteuOHOMywm0x1V94+dq3iLbH67jjm5RAb9OBH0+KzlF+B
kRT0d5I5iWpnIprCQ54nHtKTQm5JQ9BTlmZ6rIz+Gxd4/1wk7k+GvXlM7aOinsxMhbYdVcaOlAZT
pGio84wOuoHwruq/Ot/5FG0XRCIYrefWn555DK6qcvNNa6U/nH7MOzrnR2tyndPsaKd0LCowbdSD
g2XK49t8CEeOJNZLoTNMZYeZ0qZD2lroDlculE1lnUUxX7k1XNw0fdPUQgnCrnbOmha7rjCPVUo/
SnacBcoquytt/RhYZFk1k5FkdMNVSPmTSjVZc2udY9DknKlQ8lnWOVNHr9p74rkW56EFeLR4GwaR
t8zfu+z9DCx6HWY2IC8gSEn8yMbc3Jq4FBK3fivPto7v2DYegPmVYYZ2mOFYlNtOcLFIZIfrNM+4
b340BNMVD36jN1rUzJWImrzfW/pwBR745AxVenDUdDFkd5T4GiPbXO4VEa620/8mKOconefOrssH
0mn8CxfvxpYW7oCo08HCVVoLKIU/hGF+OWrvsfvWNIzUVlv8pwDgNteqC5rnv7WdW3d+bwchyZ42
NlNnuixaepILN7rWW9+G1NEJjDds3PfwZx4CED6UDqN8DY6atezrwS42a9Dv3Dk4ksIMNnz8eWRM
ddh3y8Po65eWPW/SXzqPF7NGmFpNu0qgMHbKNK5k/8TXStCdtlIyckjqk+C63NqPLXmGkfBHWklx
sZv1pBZz4/FtpikFsnpl1/CS7K+ZpWecnEFo6iZV4bI5pGQLPLZN5sSofEp946dX91apN7Q35eRu
PJvZBdLIsvEtXn5VNOslN3ilJgvyvlAeg6mD9x4w1d+M/Cwzffla0ZpKd+TzWv6u2o78wofFH6l4
picLSteg/o4Z+3Onb6SzLd37IKi2qZttQaafu6SL3C7bltwaW8V7b3yUpoF/yv3K1uqkPIY3dyuZ
4KXU4qHhU1jk2a21sz2rI43iiBnx20z9JQen0yR+x3ZcFBwDsYLpJDsk9bcnt+HltxvTB+/eUZJz
Vx4DfX0K6Pg+d/3sPLUeIB7NSo1nq7m545Ok1mgQGZAEuDAfsSmjaAqS6oaK/IOR14lUSWNusZ2J
1LnxUHAZoYaN2drsBjTsq3ZIGy3dgyr7ASPCHYqGLhBzhsHLBud1MS5TWHQS4xMhBtNe6BADTahv
N6JW1eWhq4pNMKqLyMHRGzpQdnyqmEka7UEoeWRe4EEWGRV3+5JppTjKrNppQh9COxhO4DKyY2Br
03b20zeBZnyR5HRTzAxtOXsxtT0vTKkyRUUP3rPS51NFgfGlaLpfpitxNnhcQouV/4A2BU8ey+Em
h7q66evS3mmW3Z40c4B0URLBWR8rE4g015aHsbeLB8Ib9NYCjZ+pJRt4bwbaXZv1W0Tll7Uzwwyl
OGSc3bB8D0l30Z3HugGLUI0Ro/Nc6iRd4pKAXG/u7KV+9GUbmgN5O/G3H7ItZ/z94AuWGdaxQ14U
21qNO+YWtwwmhpAf6XxDbiksjhzw+W+WLOeuMEbYUKehbjeZ/eyK/mKxtqcZk5ImqoKB65g1tbdv
zf4IyF7Fqhd2NChhvhJeTCPLTbnYTFOSeNGq+On0wNzm7nOWLpGQr3a5bBNH3Gd2uk3loRg35XxH
oGVnp98Bd3JM6RGecG53Pc0cM3TKX7O9bb0zP1UQkzJ8d4d5aw3f8FV1q30vC/lJSvyqT7f0gbVJ
4Y+uqGdaUcVyuCuFGen5Z52VRDt/loI1Gdp+4fbxULDvUaEpXbjAJWvHmG843SNAy4+ew7fv4brv
nDx5bjuk1IlBWU/AlY5cHufD6nPvDpPW1R+L0kufZNp317qiWtiu3XjopRbsTDswCc9IZpeCxN7V
iidaUyxKkewnI6Z73wgiPnZKZzLX/ZPwE/uWL+BHXbLl3LaqPyZWPe0GmM9xU9X2a02gjjt2z7pf
mBQbA4w18Zy1FwCCxofj8So7LfNRh7JMf3vs7gddsF4Xtt68KWMYFw6v2RzLwm8fZzjfkTWKF4sm
/BgWNj7C2SvQG5j9VXAseJ453EdpXW4so6fL57x3QbL3quapkNqLN+C/osT6kSxt3GLA3ngli2lj
qoceqDqb1itt9GbXYCbH9lsnYcV1oWbEi7k0pAs8yUdQKt1GJOW3WbhXOnmv5mgfzCz7nRzBVQNF
7iBLyoXc6JX7OPj+MUio97azcwk8arx6Yl30nBelD4I0bmmLtck7q32+EY2iVoyCm3vM6NAj9JJp
DjudF2XK9i3dDQQfU6hZw8MyEdrym+oqp2G/BtZ9WtqXzvH+IPB9tCbtiHL8bi3lrnAmEoD9JPgW
SVinoriWjetxPkyfZr04VtbwjktyYdld2cntzNm3pbalbsrgr509dbN1rfRs42tUq0GtwX2hGalo
3xjijKhAp1qovhzxKw2lRTqH/IjbKsESSr+WmJESKe+XieubPJnFnbwhmYZ24wf8j2XmkFoSMc60
7N621IM/gJ9GE7OzZvEHxBX23rT9UUn2ZekNx2w3P8rZrHd8+fskdQYCj/O+1oydZXdbb02PgUs7
CJExbe70VCTBKwfEe8sgsVvI/DrrjBNnyz3DHOGSOFCyququsNhWG8vnxQPz7Xq35dioNm6SbZJp
WUKoJuO+6fhBRSLeCSLv/Gw8GvZ8azQmTHMFG71py13rcHVJhj9LW12KpOcM4GdPiOi1qOsIs43J
o7LWSC/NP7W9HOxBXYa62KbULJKs/TVtTUedEDznDYmKHraQ5sUSXe3GVt3Ox7i995Z62Q7MqGPu
MgM4RzbbdmkDz4ZOXlnXseoPblEhyunTTyOroCC52h9DLTblRuO3MJYgqgv/SEucwJ6vrtlsXJJg
vjf19KJNycbth3dT6y/1KLeatzx6wVegtnmp39NGbCNvELHjWvltIntTIoEauAMJfdwT5PwBX9UZ
TdgRcy90sqlkZw3NOJd0r23y835lHgqKbLNRPi7qyfcOS27u/bp6gGhmCm0zDO4tHOCktM8cieUW
9cySiEMazCfCzyLOJuL3c+bQj6nzk7ciQ+6M5FIQdqP/R/VqXRvaS9xwqSxzyNWHft62nbcrvECC
JXNPmdZm/4u781hyHMnW9LvM3tugxWI2JEAZZGiRuYFFZkTCoZXDIZ7+fqw2m+lb12ba7izHapUl
ohgg4Djnl9t5aBHpVN6XWKs7NCHPRC3FYqXHpRk1DTegdmpAa4h6eydn8HPN64wMM/VRtsup9J2v
tFenWjpP8OzR1HkXsI4Ta+tCZRR8J3vmpvF6LBO68vd2t0R+3eyX1t2jUgzgiHpqz9Vo7WvTAmgX
uuWWg5lkHMMy0Oi7MTC+KJDZkAzz2rXVr8Svzkuov+nL+RIi2WMtvfnTeXNbY/9bBfmjcB0wqbF/
Clymbu3RATghvErvwnyAniq3M86dUf4xhNKx439TSfHaz8XVRWuxVcVsXc3GOs9k+clpNbZVr5E3
hNU2bDhHx7U5NxIospnRhbd5+cGwezQ60ndH+TENib1ngzzPk/m26O4PIlTSJgHygMHFi8GjbQJE
8Tj/0es6boqGUzK1gu0YeJ/AyLcyIWeMM9k98Bo+WcHyEOC9Y7bY3yQbfmnuIPunyKnkwq9YrOiQ
/b27WHd5Xd0D3flbWciGgp72TlTomWRBD4o0lz8ZXW8c+LTTTMEYlYTGynJoI2xgd/3Q+lENcrYZ
LNwaIfM15704Bp0mPw7FDHfxfMrSqtlqB/AWoYq5a73w3qSj4S4ppNxyearXgWrjxhK/VqVQSMmX
UdAASvcgQv1cxnYRyHN2M5o0LURZatkEV/nmmWp49Ptd2mxV3wJ585jyZhD7Fq3Pvve0s02s7I+b
h8+LM4JP5xbQXbUPU/1Tedhynbu6hYVZeq6xzLPI1/1PRNh3DquC3LXOkmycFqmG576FKovgTV2A
jkHH+P3QRNfyk3a+V3d25LmeQysqrNL9ZQvjD6HgHKfmTX9tsFu3Pyx8KoQOlxAS6Y2Y+qUG60eD
JtKFTM2ViwkixKDRdRxuHytFWdFUMjrZVnWHuh9tQ3YkEuuBb+osQrRpsEoPeelErcGNZEFLlMgg
yoSBXxINfwnlFbkQLaB5rDzvmFvtKV37Q9fpp6As26PR8lS5ZvLiKg+9xIg4ZjGRN4bTybPnDzfv
vKsxW7hWlPG8tgthxNXZnPVVZf5LZ3EJbWvnS5r9AMU2U+WJvRLMNqn9I2ke8YBEcHbrTtiJATkJ
pVXJpw54GlRu48jw0UThSDvpe+qVP7tV2ns15c+DKH5rFIiJ/20zMWCPO5EGAwXiniy1x5PQFsfF
bREwQMQW5eX2ROTNrpTrNs1fR2vcheNTBiQwxYUTLT2rrQHP0eYkuBo7e0F7uAAbkQ9onWrq1060
o9/h0NqIwIhfZbg1790b6V7VoM6PnfTkS9bJ5KnHfcDNMBgna1HZt19gh6xGW3wXflngR9D184oe
8g+BMrxcLLUzC15C1ZTJa1a50xLht3RgXxf1XqDYuqKurfZ1QJSZWMf8vAgVHJe1s3eBrIc7mm8k
svZC/kKl3/M2Z3W16fhgYZoRySfUcQmS/jYTNOkHLZCf1D9csD19YiJxYgu7DXSLgusRvhWjD2zv
tFz7S5nL4urblXE0B40ZgctoJAChsS3qN78tXPhya7RPZhmkcJrFV5/2W47bWKZit5pOhFcwkrV5
3wzyfQk0ojbvbSAKMjKzurutTg9+bVmRqDnabPj2ly73UO+HYJ/2Jz063bbN/E0xGpe8LR66wt2k
Y3IQYBAHoCSxh2Su4s5Z7QOWj4cu858QtGVPk9dG+PHQUVFqduoRUEdzOaBfL8dr45kfWabOjfU7
p00v0+wdkDMKAlpB0efFvkB1P0NT0VH5ERiXiQgUPd2ZXrrzoV1S76Hx9QGefNMx0/nmt5igF+Ut
vEtEi939tPNfaxgCI7/x3G6BhEP0Q+tPpuVlNwoAv3QQiEYGVDXBsn7afnJWBquu69G0jpupZVD0
T5QFxIAl1zRvjxThoGpKERBa2Xsf0rDFztJxqqTRmg+xQ6gxqT8otMRDQ3VZz8FnZZFjHZuqeuh8
R++CbIzt0kg+CvSOO5pseMEifpxKGc1r8y6J9m6zc5Mtj/kNT5q4JWKi3/rTgtEJYo92gF4/l2N4
h5U/3BAaQ+N8kM1Ha81TzIr9j77yPzk7EAD3xa/EEPjl2lLubALGUMLJYhtOxk7XNzIARVvRUqul
HVJQSLQjbuw2sPTUAHYB71XsEP6mpEGpd+WF+oIdls33VfXnQSHXrd09biCEy3n4FVockmAs4odv
zuZ2kW56yb0OfF6sZ9FMe10u+0L8lRRbYAzLZ82QZVGEts7Jxg+TL2lBAyqkryLUpO7IO199Z4OB
WsdhPnLcZcVsUX7yvuXhmZDENfNHvTZxU6N6DXifw5cXOICbdqM7prLK/O3nv/uWXErwvsvkM/yP
/MFFRLpxmbDLtlfb1sBIl5RlzlEyBXFmt/KKvG7D6RxCR/jAoyTwpWH6sihs0/iR/e+qJ5ONrkEV
pWZ7QgNw6TPjDZobJ4dTToiw3WqJi3Ko+BRwtX95Dv7/9lWQDfF/9lXssrr8rL/+5qzgP/mns8I2
/+FC95P4S0IGUXW3Dpp/Oiss4x900oDxEw7qoIJw8TzUDZWa//N/+AamC8skKZuuM98lwPB/OSvc
8B8kHNH14hlkVZtkOv93nBV/i/e5VVygq+fZsBzi0AieuHnH/8VBPKIfkFKFIoLect+yOoWz9wZn
IBka8RVz7tyvr8uSQVEZuBQZgjJTs/qurPT0AFOl8y/X7uGf3uX/lGXPb/Yvlua/PhBxJnjVTS4V
/VM3I8i/fKDbUGnh8BSR2WkExyt711Oa2mrGjtdNn6TVznqbq8AhYaW92QnIpWreEyMpPiuSzPX/
w+ehVYfRPSTMiNjmv+U6tMOMUtddRITFWv0yBZNDlOkJwQ4Foka+Y5xff/qtFcCL2QKauBaz+Vh1
CDaitLFy579l5uf64MO5xTWTKWnipv97eprRizrByezyPiSrO+qaFXuZhWV43Xijp0GU6nludreQ
3X5TFg3Aapik6t9YvW+e/f9tPL99ClJdMZ6TaM0NSjLhf/6W4AnyJeR9SZPXnNLp0LmTs3UCpHoR
HYcWwhwsGVtMxIi6ZQkJ+29yPszbbfCvH8DycJiT4Gvfoin462+hAmjdePkY/hoXpuF8BrlPAxir
MNUVYa+mj4BasXVbE27Muuu5eDyT0W9f9DqpbkOR1fBDZ4bz7yoK/8vTxKe6RZxwy3F1yBzlFPjX
mxfhH0BPSP/pJAvrozCanhqyVnk2mL9h18zYS/cLjT27N9VUfEGjVZYXmNUBH7U/9v+u3u6/fk2E
83ABTLIBIDv9vyVbDL012EEb2Gzlunt3rDkcQK77AFWwv1ghvr4pffYEUfe7sp784vB/f5hhJ/7+
CWzu1tsNSxBwyA3j/y2SYe0hp4HSgqivhc/0jIvd2IYIydEpGBMiFs6B1IymwE4fZ2OpnqtlZnCe
PVHb26At0182AUGQADwW5cZtde1suqpwze28ZsNPiVuQUbvphPnM6eSoWKNBW0/pkuO98UZlvgXD
kiZRnuO0pJ49kFPklT6UwQhdq6PKyrwOzXMofsxTVfxBDdygR+gCMBjJ4ettVrclqHVYHAfPv0Aj
hPjGa7EfC0q13r0qZYTJmbBI1vAbhetmZAOOYZ5dIsBnp2RGYxt38P/idzlMxKlrkvHwBEQeo4zY
pJ09wb5l6D2qsA8CdAeLO2/VqhCS12jK2MMT9I1brVRSxYGbfOVhEj5S+ARvZpeynjc0FLXi3RQQ
0ii0pvyPUY6JFzlDZqYYLwM+unI8le4YkJaHsk2a53G2G1zinjHePr41qKhqdDLzzMAXkQoegiRm
qx7qfTWiPt2NioTIzYC9GhtXtmKgn9yyR2SRTr26oRZ+dgiz2fic6TIP91CKdb4NuSsLZlE9kiq/
OCDrk/SaIdL0IIGz2EPwQKIB4h2a0xZrBxCCQ3lA9zlG0rORyCQ0A6ZbRmdQfrQLzkumsyxjPJZq
juZKBM0GZTvbq66KsYvT3sqwWZl1te282fkmYimErVzVtu/xVQh6Un4jgXNOdqf8/MsQ/almCRAP
BJwCIxOCoyNCwRXSAadl9Q0JN8iOaYUugS8k7cmTrBZKzXOgTZbJVjH1LTlLE0I2B0+gNbAzCqfn
hsHxPB3HsTWXuzRbf6/88B+UASEAWJbb4J6AMEASocPP7OUpIThr3njwwMN2tmZLPUP3ljuElleU
QnGzivzHilBsRo6W9hsdutzAPaqkJ0nQslSbBoD8M80STh11g49cNFmFt9RRn9pMtks338+BWhDp
T0UwRKUZGCkYrq3RYacWEeENBscwrQ4aAyBQ7/DSoncEoyv9JM6cGvcABZ0WODB24K7DmYeDafaQ
Xtm7Sc22fZRLo+tNyJv00PTJ7T2U23sfxziEXlsRUeAXAAGqFBdOa7ImjBsP5urXUlI6PAQAA62b
Kb7+UJsw2ladXidTWcQZFE9k75nvlZGv7skVzlzsZ1xHyOtK68BjsDcmzBGacD4wIHNbjsZbasrL
4lfrJ4ds9Th1Yvg0Mlo2b5BW9TRMebtGJe6xJz079rJ308DDXSc+8DYuBzrkx/1STetJ9DLb8G9c
moKSYvRbFWP2BmDTJbHAKErOhTpb44QyabYgM+cnlc3tbB9EitL5tg9MZBP73fKRhAonTGGhUjsM
k7yQP4sXYa7j7tZtkM/OJiyrQ2cte1zw6lA5wwE4+QwMutHJsUvYMctaTgdHl11/TAZL8H659Qcn
Mjhn2FlIGiGupN4a2t8ow5qiCVBcXArQuWG7enn22hIDzaXGOxSvoquekWMTa0KhtmhrEH9Z6WtC
nDZOvGJ4dAp/OKSZldw1jq9/klZgf/qp5b3qsZqPZec9hKNzDEv/SDLGA6fDnUFRsEqdF5TWdbxQ
NP3elW6wSW9nhSzBo8J5L3NOPMNljZuMbJcmMo9SiSShmrFTEgm2Vv51ENXvUFh7Q0uiKmS+XtGy
rlOMrNXh13WMjZ5fNbpa8LYkUPDKw/gA9BpwiwYk8IVtlC0y3zhuRiB0QiJ+YganBoXfMIECAJ8f
gxCEcTKSjZ25dh6TftRYd0MTusl75Wn3ISzTDnfXaC30rgf0rD8aunlvEgxrXlv264vZtv51nur6
NxTNZ53M6X3XcRi4uWVlF2jPafxCKmjW51tLJ4AY5ajWR4mVwCdjvOEdGOi2AEEWlnhqW9mWW3q7
4UMzQoxKaMyZPAFnKfJsP2Dt/eY6j3cmN0EbE40yXztTYx3GBIawoxGmfg/9pqv2PhccISP2mRgf
hE+5bLHyAtTyNfVCedYkc48RMmsWSROcYm/LhMRQt4D+jXJnWg+2ksZBmplhXyavqv5UyUjGBvWc
UyRaT3VbZ1jaT6PGcsfvPAW7NEvdOK+CdteKWSUnHHpGGLVeFjx1ga6fXGHP9mZeZBZEvqxw5hLU
/ccbKavAxSiXV0QH+FMNqScMQtx+D1Jls7ezSzzVGyDs9mr2slyxOinGqlttYK+B/iklN1scIGRY
HNtgHT/G1TSnzUp4DaiuP+X4UBPSadCVop4eA8C+7ZoOw9mGK0g/5yVF7aNcOT31tbvigDPs4AJR
JY9NABWImFJl4S5QN/YcL4Lu4PaaroCSITOBIZ/q8wDnqGqba2ObyceaBNLazp1OvY1WDJiRq1wT
V5OqS+xZhZdg0wQRaTqn/8qpYlCboh/fm2yC0laF/dg75KPINcOCk5tdf1amJYBo2x4nGS/BLEqL
IkpQ3hFc4615jDNAEDCTEIiA6UNO4mEo+mXYARUaKVL/qYi73su/c5ja7SC7MTLAUBB5jGu9g6Pl
FTgd1sljxkJ7F4LmVKXn0qWLAs9CE+TazvEW98GdT7yqMZjNsS+rB7QIvJQ9TNOhXv1wZ7Z1cQOx
4LrFPJrbXGSt9ndNoslzIvSxJYbq9n4SbRFG9A+J3Zzm3pWWgDur+1mOcID5IKtXVVfWWVoidgpn
vDX4JnHj6TM6jR3RMlBhpf9S6/QzRKXP7RRup8rcWZ53sM3mvjSR/ZQTnMvsxlNYF7t5XZ+8VaZR
JrVxREoBNZ+O1lOxpnaE73oP3vTp2bnuI2IFRHnmAbOulp0b715KhBfEzEwOKs6d1DwaA3V82h0M
eaIfz0elaiFuUBjoVp/i2xxCiAl1CmSRpZesnIgAkiQZTA9GbVSASy7KnpSYcTmHf0wGNuO+LE1D
v5uJSGWcl/TfYN+dOtfeeahXg10/eBPW4FV4fWzj7oVhVilJ7Dt+6aX7MFJGmttYKe1iJwahx/la
O10HVZ/nBY9G6pT5Nx6+Bov8mCzqqV8mggm60i97iJrM8jZgaqj4hCyfqHL94PU2IDIInbcwl+l7
M88YV5RX3nl5auzGzhruXdJcXtrBZ6pOFGpCL5s3QUZtzNI6qEFLD1vmNLdfyTTlWyTVvzplVV9z
i8t+aNGMOQ6J5572w0eHVeESKvqMfN1qiANkVvZMWHPZ0DKvZDLHeYNeWoXOiF6f4lyVz3B7jjOS
Ke3O6t2R5NMzMzTPIYHm23W1rllOJiiQtgkz4ro8n+lwmCwLgtScEEgYE8aH1slC+LNJxzPS0j0r
a3nWlZruS2JT42qCqXTrOXvOUgf3Zp3q3WoYd3TfIv+SrfvoMlVERP4XHyEu7ftx9NC+4dzFskHw
6aPnCvpOw/5N3TA9Rk0dD4PX4lyZKWYdjIYcclud87ofopEI6/uezHGMVvahLdJszxElfvT+dOU4
wGBruJB+RsZSEhGJztaTVK1853Q9z6rzEMli4A6clp4UfoVf42yG0QBIkvt1jUyyDXbSQtdedxAU
7VJ8tnX72ua5c+adde1uQjIApmljpG7wlAd1uhO3L8RrG3hWZ3Vu0qvsPemSBxOja0ydYU1Bh3yy
vcmPF4vUYH+UO9+y0sd2bm8yPR+dte0Mn4it5jiZJPIuoyu+gsKpT1JabN0IhzZEURkcAyuvhKk9
OV1Qn8tSiYgftGzISeu/mwlVVivH6rXP9AzZOj4UzWReAxTtn3M9pdtRN+b9AKr8i7nrz5hbceNk
HG/BerbnMACi18OZeNyjW2b+PnOc5kfayFfXVJgqRvxCaW0RnjM4z1VgJiyPSxovrGLNFpcioW9j
EJwlS/qdcxOn5g1uVyMfwUWt8byuetpZITun05rbzPdire31Duz2l5k7UYMzbMqM6qWvx5c+6JqH
MGjUC/0p/H03uUXZ2p+WM0UjNomLLbN73bY4SynFveMsLA/MOdgk/HHdDwjTFtt4Y1+k0hhrgiAD
Czovv30zEZryDyys1mYhAEVm69a1mosHG/OO7uuAHMWKEsdt7jrT+dHNyH6DnNLzOpUl3vSZyasd
3nl+iFcjwGVTJYxfRo8A267VePM0ERbX+AgraYDo7fYdt2hUZvC5HZRvMGGyIu/9pnBnU3LJ4AGQ
Kx/Twc7iGQ90ZLfO2SM4pKlRE4aLU+7C1kgePJMxGF/nsaqT7tkqkzeLxMuDq4kqyoLZIk2CjLSl
o5MhGJcS6YGwdhoWfxPSCRHrHl1afZOPVMpAQ4uGyzec7rz2f2x+e2LQfmJR/CpCrFgYsJHABCcy
3gSirNwkr4rYi1kT22zpRf8EL89iqLGvlqiFOkyuc1r3xzBYp00fODXZYl1ENxoDa31aF+jabiUc
ojlQpxSNpXvMgu7s4ktDQN/bLJ722J6LnBr5cCoODtFGaKsGaOi/FLRYl+qHkC7yLYEW3muPa3tb
Q3DsddKdgzDt4oF3qbtrqoaljGKj8rLqct87IPhuOtxgfNT6flclf8jjqw6ljdVokf2x6XR7dnq8
M3bWhecgWx8BhOpjOWT4emB24eLSB8sLt6NCzGcWCw9FCO9r8c+zwt3OBlTm0tyv43zvp+qxAzzY
BEHWn+aKopqskISeLB0ZUZL70eqIHQnn9dFr1p9r471NiY/fuX5ZpL73DMUhVS+EQZjqYPcdPIW3
BvcIWGIX2Yq1Yj1tl3gQ6oh8EU36Ou7nWz7gPBxZKrBP2gwaRiYfAwurs+5OhYcR0nGtx7LHKFNe
1Xwou/IV7uQiuz6eVA41+m0v4pMCH3a+gdlaXDr2kB7tjks0dT+jkhZV7E+C48WMw9Gi2LLWMdnm
+6Q2UPPO6muVwY+KPgnCtVghWXC1O8WrfRb5eiHk0HzjoBJPyLc86mL9VadXskVT+RWu2k7uSY9z
xQvgSYFiStgllt0yWFBs5BVG4WwsgnxX4hlb7toA++VxcKRtHYBps/nAhVHtPqVlHcPIBNRa40il
AzTfzH0Vei9du3jov9eKynVWNxuEYOOuSxteOgep7KXNpQPd2rRTCKnnrzhIkLr6ovtwF7dr33Fs
kYaRTm1vfSTJ7FevBtQtb0XhFtyxerLQio3WrNTBTLzqShunlUZ+V0h1VNVfUjmo3LpliUhF9p0l
rHzKH386aQfd2g1vjjt+cRdsbzP0vE6vOhNqk9hJFZFEbn/OoeAauNVUHQFlTGZHJopoxiX7iSb9
ZBhTuwckgbFK9BhXrkr+APgOUVIlNXqjHL5wkCMDRdU/ohbwdksC64b4D2wbBosa8fDi2HK658m2
DgQClvctsOtGeyI2pFF/lmZav4SEhdboGIo+AhBLozAVr44InJ8Wo09u/FozOXO0y+d+sp047WYZ
l0XHYxdk6qeX5k/kKBC+xDvvp9kOp34I4ctN79GpPfeV1kpskT4RycCMghQ5lTloZ4r8s50GP6qQ
Fe0WA7goLIgAWu2uRDfU/gnb4jIxGj6RQwjzp5zBeum98DjWaBfqm914CZDNqWntDo1vY8auMqwp
2AtyZ0xPKaZqsg+d4pAFuHY8T4HKCNBuK6BTa5MrFPmz8k+lwulKTAsjVvpbcJNBLbAyI3jMVvIB
tklP3atnsAp3YgzJHg0+jPEmdRh73iDTITfNH4qcD7jaDBWsvebFOfMIeyD58GFw2/bID4QFyheM
XWoYzxRcEn1iBg+uZWeEuQpkJ6J6T0dmHXvJCOYrAExHlIm6Vg+tKJOro8furiD9Uef1gWM9fEiR
tXCmgl1ASIvx1JTDGoUsiYCRAsLa6/UGG2iyoxcj23YIbT4ILDEOVqBenB4Nei/n8bgKtVzMyT6w
6s57swW5JVe7R0S0+A8EigLA9comTCIM++sipPgkMUTGvU12ULowmuaNtuPSgc7dFrlr7qmD554L
ecmHhYtiZcnec42FUNeuP21Xf8SZoqyfjY95wXHZlrtlOK6++1Taucfi5ooorCz/xb6F93PBWeGV
U7+WAcHLPFqcyat+ElJz+mVetpUYOA+GCiIi2sF4cUqfW0auKCSKB5l63W6QTE0XEi3cneveokjk
Dzutgjsss80BwJM6HbYOdJia+Z0g0ZOX62Y/LIjPg45gid5d8ReDSZKFUIo77kOTcbl0EEFb6fza
E3uiQpPckdBzmHjW8jMbrEcV4q+BIsRGPpEhaExVQMGLHA/W7BBvkH9PBiJjhzy3cxmW+fug0Bt2
OrsmdTudRC4AP33nUMLd3wmjEj/ofix3poGfwJf3dmrHRCjeS+A4ogVdPLeeg7OczYW5vEFeVT27
k2Vf20rU29HnqpkOqWiqZq5f8kZGcAFoVG/JYvNS/vCnyj1phN2bPmxKfMNAONqLggrsMFtZZ+D5
AYV0kh7ccLiuRv3dWWi8/0q+zTyUrjZ3R1ZUv4Lckcck4/xhFb/zHNfhT0i3y4BlBGyoON8A+u3S
ep8uKbxoP/xznWXXpckPuP8xpgwpeYpFSJkeKjTjbiWRjKCDO+DJFHdxfaF1qt9pZ9K7uqpN9iFW
2mUN37ulv5/68A2XpzejY0+yc1IXVLISY7Lv5Nij7PL9fZ07n7xyutck1O/LDE2L5QJpuT89hMxm
IJRLmR4cMkq3ZZLquBK+jaXA+61r9O7oEctfRi+N7UgeYORZdI31C7FgLAU3KiYx49HodmTJ5ntn
6OXBA1C9VCOxdwjo4IhL74wAxtmXtT4qLyfCMsMar6dFHvSkwjhpp1fH6n7IwH+xGuyDwpds+vn6
uOg+1k5t73lgGYAGc9ob3tSdKs8/0CXgfrSFyB9U06ioncp9N64/m6YK4woLMf3F5FYsy352zGon
6pAXAtpQIPImIRpB7sHSjGtHYPhmBsWIeq/xP8zeFDtoceT0pm/Gre1vF8SEeIhF+BayW0XWSsCD
XTvGQ1EnRGvU9zPi0q2ltLetcNjvwoBIuKoMT9IUP/LUxMxdEQElkuRtrIaJUFkqFV4b7d4PQEtx
N2bT3rST7pUg4PzUUYqBKzGl6bngidt1bjntC83R7AZ5ENdi4WtIejtuJBpxVVn1FoPwd699PKF5
lm1Hm5ikDsEhud5l95KT4ckwYf0pOi+PLIUc0sfT5Pe2ZkyqjXPVZ68Nbkgt9MOYJHdtM9nQKIG4
Igr47lKnP7eO/2pJ/OFVf+I7iNykVcdqKvznoVR/bDM7YIISLCujEw0tJSh5GLgMC3hCN8WMMAkU
EEFMOm5ceG/E2+68adQiL1aqB0RaSXXCK1cfAz361ymZtkWXPS2zxAwxhnMLGpAdEq9juIQ5Ils9
SsHO4KDmfVsP4cknreYQpmhzfcVVmOyRu6dTA8JcmoF5NeUtelrLfhWpsh8Yg503Z0SsNQNcnJiR
sf8w1Zz7nKrhyHGJonCJgHuE4unO1oxiPOffZgSRd4XBsWDeIutyQl83ZcoAG3BStsH0ZM6ofQE1
iWZtqEOelUnlWJNZKh5TnL9ARSc2k2K3zhoQky809myj2GdWQKT3TLDGRgfe1WpZlUj5jofZMLbu
iJeUCNZ8Z2H0g8A2inOJe+vo9rwYDYaSKHTzE9Ve5QEfMbGSqfGcUOv1rXvdbVOhmZIRpm2hUusv
Kj79s78Mr0ED70XKEng5VsqtfxNLGANwH90U1wIsOWIiA0ArjfKexyZ9snN7p4VBxQ3/y9Mkir1R
DOmD5zQaFpuNxuFeQRRrSyMyxHwx0ZCeZqBUZjGXrNwRy5RwHrHyMMoweG4ZFE6qwuqo8k9lLvem
P8NceBVHY88Ezyo96+wL/pPi6VKeHQNtWjTVNjsY/ASZUeFvX1nE1I7ljrxHxe5aYHjIyfdL01Ad
/Z6ObpR+E7dADYNSDCty5tRN9tr2Lk3QXlK0cAcWnOaVYK2Z1bn8XVqkbq3BOLKpT8VlCXEu3RJd
6ql8rNPqpvXNCM+fhXUkXT0yCzONwPY/SHXII9ap5djURfcIQN1fm3AZ9guG6k0pkIg4nfIvHGQ8
OyKT0ZijvGx9ZGRjIdhA7fQmRpjHK6VhzZVYv4PPpz7qJPeOrcNc6NjBn8Qid0HXZJQVFlmSBDGi
ES3VtJdu1h3XxJWRLQJiDiHsJanqi9xVa3JotFHcN06VA8XZw4s1MrFJnb8ymeD00EF7b+Y5gJaC
q8wbbC2gdsRUhTMj4MjpNrroBTn4cSUVIRpsx1+PPacQFgqexHH1633typs+UnTkCQ62eTfkFZVf
aTPe6XUokOR61QArTRVb1GungCwjkqOJQq8EKmgGd/puAHI4HaxsvisG1uNNU9rjM7KZkQGSZGb8
jyhLzFNlLETqDIsKH9bcS3Hx5wpWCwhNPysS1Z5znbclc+MN4XR7rwIQEaWHxVeyfeU24QTboUxT
Y2s6KXhXUhFow0YJd3Z7mzcfa9dnvw3iaH4i5eneA4/JZMMPCwMCHgSWO6hMxikQh5CV1rDfmNrn
j2FBeUNk+IiyXeRFNzBSGIm+KF2zT5NS4wcRAF1ffg3gFRMpF375RUwL55SauppMkcAvjfPQFzUs
cW4zfmcLYBYgUQKfSDxW/YjH4Ra9WVnuwV3yzNh1tRsCSg2kTWzJDit+gOZocB+y72g9W8R0rhIY
YIQ4E0mufr30bzMhNCpqXCnTc0kwBwpT2JQmtogEute2P/8kFZOsL3oYW33TWWGMwF5n2jsxgbGf
PXKLfmAjHZoDOczBr7r0yAgy1rR5H7VG/T8AHn+1yGl/pw1xW3GtyA/mIfEwsIW135/6pWfRX4b1
y4H44n4pqu67NjP7P5g7sx25kS3L/kqhnosJkkaj0YCqfvDZPeZBCkkvREQoxHk0zv/UX9E/1ouZ
t1EpFTqzLtAPDSQEJKQId6eTZsfO2XvtBwZn+TdYPdyVSuXo8TGrF+lZtAv25yZrXLGj3qvfiSFn
4SqiFtKzTFoXgP8YZNU2jLJVCkY0UsKcK0t/DNao8ovfdAO2m6ULTjYHBM84kFnADGD/OmaxKoDb
mHVprbPuHjcF6EqE3/mrg80Tn5LTC7rULbB8bEo0g/dLSS/1KlfZJFcS6/IliVPIU32N9e0cM8ZT
QNm86dMYj3o+MawIKRjjEEGRQ4zmSOCHGpge1T33C9e0eZKN10FdgxoHKGcOmv6sy5x4jiVHvVTH
KEO29D3HgF6tQudr6EhM+84vc6AHLdqKnYe945MtHLr2TltigSTSZSzPPRlUGHZbrA+YHYow3CZk
G4Tb3BChSurTNyQKhE+EsR6QreoCTUOUjuYNtSmYnqSEL7NxjEdrImrQ46Z8Z2Y7uw5WT+xC7S5K
4HNvXZiA3XaZpiZ9RFKW8WZtv70d9OIFZ8ulzSvcFBn/1NcTDHzyECBz4PTI93Gc+Y/a9Xi87Hw0
t8EsW2ubjE76NRsB0saKoThaenAucYSslkmVXLGsgPOwbntxjKGGTfTi2ZGT7QHDITEIew71u0XF
uCpHRNmf66ZxvpYJZxhow1UTHZYmq37UdYKnGffb8lUKRI48/4V4KALBusM/VttxqdrntmASuAVJ
mgccAhyMu2kHEow6RtFRIaojeZmW0ukOeds12QGCvXx2pna4UjFBE/hVpEA4HTfVSnBqfM7f2HP1
NTPvhEEMcsIFyTkUfaQwCcIKaVrniXCR4DbTngvCqNDBSmyqtLVPyyr47nREy21F1OPUqbsUkJAc
+99nl1ZiEMLExoMMO9vnAQ92ROBaNDNdT7Sp2D2k89b26Tju4eNAUqdZ6w7HKUv7ntP/GKccBzvq
YHjZA3eqXRlc0iH3+2YK+/EdpJBx93VL2NhumQpHbUJ3YZxs+Rn4fAE1ddpp46CwoKLEDE67KmB8
g+0P0z5xBpqVt3SfaZpYiqrUF3eY7VjTZy8rMfgpBziLmQaGT8OUNeF2aYz3veQUcUmBaO0GSLNy
wxsU/rarc+eScbpSZKiMTJr4baAmCqTO4WYUxhcr6qr5nAyDY3Nq1rkGVq0QWRtHuV9J+uiT3WRs
KH+eqvtHz0vTN9Oo6aWhZWE2MglInYt85OdbtVCkMl/M+36/OBV+gcw2QObDLt37dpWj4upqS7IK
ZdjrRZTTIc086Qc8cKn/NY4oyQ4mSm0eglbzM0HPvDIuM+cLDVzwmprTuL9PY4yhcAACZisMibHw
lKqf2XOR8vPkVI1fbC0yJ79hV4HzVKUu3z3qEu5FwWJ9F5vZ52t0gvZ5NgkZ0zYa8S+t75CEEJia
TmaVDM4DZG1VXMIyDGCMxuQTIf6vPOLzgLg756WhK7dRUbKC2HCekLKR6dZiSujS3ZdujBMxD0K5
MELPYAlDNiy+OY2OfArMxhIEY+Bz5F1AVtsAZMshNhZGhxtmn7Qjcr51s6uDjoUwJO/9LeiDkCEv
HvoNEqEZrTpyHHmB8k4HPHdLJv+6k6I98enmbO/XKpUndPbRg59Ka9lZmnPTnjmpKk4T3yfWX9Ki
dwHEIoygTZmLzb81kTvXZtYzY68s/IwTHZ1bp7wpPlAj4cyqQ3v4agdFFR/AD4UeV84R72Mw8WGV
Iyy+fHJC6KENYJQOf62A/CUmSrEiOw552spFac1MT/+iCB3LegZnrlB9le6MoMHSsHNE7vkUpAQb
MFGxHOoIkiX5tlW7HjdspXCR1Cr+9Nfv5ecYsN/fCu8CtbfnasKZgjU960/KaplRfTBRbvchGgm9
tUWXkVZUNLBl7LJZBYbt4uhNKdsOvtlSwa0Z3Ej8Q1H9/84B8FPOwk3y3gIr/dH9HLjw/2X+whoc
9xc+gfa1fP/ZJbD+wB8uAY0VQGtCFjyk/b6tV1n3Hy4BS/6G8DzgzglsqQLfET8HMAR8pdqWDlJw
X6GSNrBTcRB4zm+CZAYfhapw6MD6/j9jE/g5sU56iuk8N5DvMg7k/35VW2ekgrQh9KqVcA6TCaXb
AoFU6kvZkoOSUQnafyNz/y+vKD3hOkK6rkLZi3ni55uVtmBNjAhbdV625VbEUgFsGkeEU9XUtvWB
Q8Ty8Kev4/4P8fhP1oNVDf2fmnI+F6KMAFk5X8X6369a5QrcQhXaUPgnfynosw9zgeJ1CkFULO6i
4EvXau8rP0z3eZJHX3qvsjz8VN6PiYHc21i7A3ZhIaYXIgXRRv3121s/8c/vDrUs5ktXeviZxK+S
e1H1CC8iGg9ZNdOzH0rjz7twMf6ddCq2kyUfgx35Vgwr//qFnVWj/dMr+67HPeSA1NLEhfrrdfvT
wgH8TqVxi8JxHjDtbSs7EMcoFwsJqFXc2+cE/AJ9fd9t70iXap2rJuk167tnOPUCuIPCM7OO54/S
yRju/827W5etX94dQXOktKIyx6Pxq2HEm7yqGH1Y6Qi0JtD4wvHvW8/Qe2qRz8FPKhJ1stoVHiR9
kEBH6I5E6ASk6cF5tsy3XnbJQwGe3gKklUSY75hd/12QJhadX6Twru0LBPKAnpWD2wcfx8+XEZy1
ryfJxUhlyAA5ChH3UDdfZVlun5hLfMdpuOwB9LWf42j03poyRerr5aq7a4Myv57TSH4lWH3teJeD
ebAmDlEkzmVE4gZt458Rn8kvIrE4DdYJ3umdGaTz2reYP7fpuO612ZzFxybSq10vsLrlfpx1Tu6e
Tpy3Jax871S7IX3gTU36ccbhGxUujjZoEQ8IQIlSFwxMgFIVVZAyb0ziCo1JF7XTAGbYWdL72Kda
OzISJvyEoxpDAhLKgwjqJZ6e7km1snb4oqbgDfoxhJM2QZp7ZhrUHYYZlhSwkRoKfQg0QW60o2rO
UlDUttZCgsO55QDm3kGEDOczydwKVG/VWSQftRyGsd8PxBiV3Ti9Riqmy7SUmocByquXXM+JZLQv
yMvYs+DwG5d6HYMM9uDBSCPs6aHFJ7CjVSGLbapMcuOhLG5vysQAjHDtiT8tNJzR1soIQttGFTLX
DZJULmVHxmNzbPTE4KlaXBq7BZq56Thbtv2GNrK/Ybzw1qVulG4jCUwdF/TvhX3UXOqQ+vHQLSBi
ngcDzC+gd2xtxixO57uecB2m9lWTf8bhAW0KDGPwPZ8XheyiFfG2cHr0T4Ve1BugBYOUEDZRvkH/
NdG261iq0dvIK2vomINz6nYJFQ4Mq1pdBfZ70MYZRxqtw5sAj8DBn2t6eUU0MAQlli/YoYhdwOiM
2BPp8sHBX3Ddo3dHi8xEjbiIMO3jhyUQwfekGhmxz4m/YaCIttMUjvOAYbZrLyE5Ix1zPKmnZ1Cx
SBxaUcX6UMSBs4102dxLojJbjitd+WKxuAynUMT+Uy3rajpLa2AKmBbR+ICWKAG/NJF+vaFZlMg9
rsXqvJb0EJU65yLygAGIVaCkt6rsdek8y32v/bA9GDtLv8+plM16nGG1asU8OXvZlwDtirK/mhf/
CqfO8t1BPr5p+s4cReIO72sr+wZes/2sOrvgZKYB4pJHMnWnbmzFbRfKgnlkb15o1oqdWLE0eCSK
XYUxfxuTEHqQHeMPEgdc6KEYnEGdxggq4BsMB/SmyLZLifN26yE0OExFB+7QMAPYlaNx3pcITxVS
jdB9oY+DLMfJylFAx0iJNkV/Qp3NVsHwTH1g70ifrdTTPxqrIZ2m4+f11pi8eK5q6tSNCFQCDXGy
tjOl4I55S72Xi6mfUg8GIa30Mn3JKjvbJW0wRGhtXWBnMP9hRqEgi+y9HRHFUBjDEraQgXdRcy+f
vCWVb8k0l3cAXSYIYXQuI4ITzzhMq+uqQl25qW1ZXdWQk8FLNr4YaAhnaXfwU2rNQ9579WFuHOuD
8I72hkPasu9pE2FFqcL4MnpzLADk9NmPyixrPp7IUhy6Fj7YjB71Pa37QB8nVcmdSdrl0UbNjPYi
8K6yyKyAWPLcbuZunW7njZVtnSF3ME90mBeMa7f7ekzgGpc2m5dtL3crPpONrcNExliImxWRmbhx
TawOpm+i+4A21jHNMjqlqDYMutDOfcjoPO24MrBdTIARrq/k50bXVUKDLyEtKK6s5aBbF3te4roV
ikrgWCgtEc31o5dcZnIhjzZy+e66gv9zFqU9HwmPgiMO3cxsaWv2T2z++VvgJ+ImddrhUBRTGD50
zkIbWOiAiXizuM0jPjNib1FC9g+z8Jnm2UnoX8lBB9nVAPZ0P8zTcm+VdA+lPSI3hrfIchYb6G69
Wb6JyHB6oxdKUIVW6wYUVV4AyqwqrIeCO70+J7jv9Ik92QrP9AOnYjcaTlsNdyzPdubdGoWIGPvI
uEdCNe6gjVtbJLP9ziJ76jLl8n4IxjPd7mc4cO51NszzAQTs0c3cY6Ocd6RHj8jIP4xTPzqQa+Gf
v81RdNcuIwjr5B6NicdwxDR3nmgZcOerB1706+Qpdp7y2r/pOKAeDAP+wJ3kVarjil9M15W8WbAy
PMifVp/eoXGlfyhrnZ6GmYkX4hdxZp9TwCSS9CNE18wxOQLbU/Vqn/kj+HCvIaaL367YezjW059E
sR2I5nOVMvHbdUDu4nmZzMFuA9z2UnRlcmnlTHuzBRx61acOqsLWzuttC60q33hZ/5o2y4FurJ3c
+PiYRiKxyCJhsNbSj+JahtErTQImFkEYWE91EkUHluY4gqrmCwotUeTyFIaRHdzQJJXBHsOEea5s
1lOg7g4XFxwZQpI+fCwbsey8SIRA7WLmETYYzehSlAaN8dTJ64EAj4NCgm+OFBrjVreTjMmgHAGW
0+MZN4Hux/ZazPW0TwYb8RzzLThquhkas7cdbzjRopC3jb/292fhMc1gVku27TwpxglEWC2PRELX
PL2kIzlbLy7kVzAdsd67RG/SFbJh1KZ5hDhCUUV94nFtrtPZnsE+W4FCtTCU/i6di/p+Ye05pJzg
y/1govx7wORvvUZIVFvsxegQZ4ldkCiOZ0Vlr2nDI1zYzqLw3WMwMqtSVkKzNNXZj9pBFNT0NYAD
sg9LoPdRFO0Z5YGiVojedZS5n5CrBV9i1yv6S1PBA0X3mHjVuUtgjWzoozOlsasG/R9ZU8zf9a5M
mvYOekIZn9hI8ruAictXNGj1o5dKqAiFHTwM/PUNvbuXIUjNRWWeewOsOPrszmOx6WO3c75JDoFX
2LdBC4c5BCgj1CcaMQb0dNi/c2Xl184J7Su+OO4YPl7Y7orWtTrmarJ9Ae4MzsmfFrGHn5nv5rJ9
m9wKGxAnOXLN+vpkXNwDG0Q4EIhIAfSQvVhiPPVRTg85A+YVMAu5OE2lapiwvM9sFGV5yLyh45Fn
lLRUMRwXMU0XxkDDsV+hFmNdgUAea2Qyirpvqf3gYhdR42xVPfFN9nrN9LAkuWeTk43Xgy+ukigd
LsXKHAkXnz/sUb3NNu0e+J3+vg/7cyjS6OgFyyyJHDLjbeWIK5JQq0d0meMaiSWGM4DSaN9YdXA/
ys55zmJZXhWd09zOqp7vIXt5a8hQqQ/ZCIE+dFDnLPZ0tuYh+8bBlGaxHpkNs2EcAzvAjKAKgq9i
5LFEMqXE3EjBeYgTY/O9dL3wunAG56ptLfNJcFI/kU6BeoFo2ht3rKL7hoFulJo7tYTldU1QHJjp
iIw/ZZ3LtM2++GE1vmI6qz711DnHPPcf4Fcdqd9mWNiVOcIUQ0Cthvy67aUB+1CYDf1E9+A0Tn+z
WIXaycVN2cvy8VCBsqZdraEEY3DcZE1RP4uRE3oVwMCGPbaKxBgDJkmGzH2ur1Veo4xk4nKrM7Jr
MP7A/cAqsO2aINg4YoLCmGXhefRpTwk00leIJbpLPYwWVH5ypFtZWmgJY4D1NDtrvveGWSmsdQUJ
x3M/z7ipjoGol1V9PhL8Kd/impxadLINfo0CKQopsccsFB+NB6r8ACCq2KOICq8aa0k3cQx+v4xn
9w42VPXsxAatTGmvroIoURAIBYX0THsZstR4CBRj/rlW/nayZgKPlCV3tYV4qvBK8xwv2Q+kuOZ7
MeoMafCkKyAqEfkaq7In6cfwWEdpfszRH1Hsx1Dh/LK6LuLiO5288EDZXV55PrJJ5TLXpF0vvmUi
nLdRXaMjb425VWCgGG1WhntqlXGJtN34JUVHuHBOH/yUrzjJjob8rIc+6Nxn5cXpCe9QeSCjF+5O
XTb6pk+JQCiBbG5N2nAfCPQBNuvuu6Yo/FAt2pp+IMCC0AD3XJgQ0GrgZ7gHveCT9hDbbLsuH6+s
nLiteMg/B0vEmiuZcYWYWiFfue2Lg6LG6sL00lWaXv4ofA5WzsCunzd2QaTLGF1b7SDXgtjeJ820
XAOddA4j6V58J9MGJ7tguhSSo6HHz3SOy+0Maeo8zfa98YijFBb7M5bq+QBM5BjPSbkXuDzrbVNz
iwx+Ne9s12F5KWZUTyOhSVnGCQZzrP2M01ecLKqoM4HAXMyyFO/4wHEq9eOj6GokeO2g4xcbA2+O
yfZgucGHb0v3wrfNaJqt5ayThLRMqN5t093O+TResRZwcBut4olSbTllXpdvY9dlL52Sa5dcx3lT
Fl4AyVernu455JfBqnDVabb3iMf7ROMrPFAXfy3UGB81GaQvRQrcvpkHiqoq9rGRLP1BjegGTabf
jA6e3AG/QB2m7baunX7rOIBTfXc+WTxApM174npCJ/y9BFfzwniISwBXYToHI932eSnvicSG/z8q
1DgQL2tk8fTmNz7h7TBh4vCE/vZLgk3yYMAvcg5DU0KcEMoVFOI430Tg9+dgwhNNr7/viOvtBr5C
8FfVxlMcmFA4U+0HzJ1oj5dvYVe95NMUfG/mLr3iB4s7ZfrYP4dNL2+8qMYPEret94UMJSD4QzXc
WrmcX9E5tPejU4OLhLnY4H2Rr15t+x3Yzba+GXzfe8XZXN/7RLVeGs/yblq3FPeeKYCPVpwsRsyH
D5wl5SUMshLpT19fhIODmPyF2DmXbd5frDIYb6CzTw9VnLe3TaL534KcQ4Yp4gmyokVjwxu/td7g
vBVjVyBX6fr2KMuRpnZmsvmkszITCBttfYZaYPiDQ4DBE7dvKOs+QY0GUW15y173wfwdnyRhxjLA
qqHQMKBJdnLm7uQISquvj1PO+WevwwxpBK1Up9vZ2KBBI01TAgDeFOKTcsXY78NKUnTi7H+piDcH
h4/N52PAU9ih9mqaB9Q56Wex8Eq7tB76h1BZUFFbMGF5lrXvYTPpU+Y44gtKiuoSlfL7Gqxz8Wa4
DpYv1DMV+xMDueS6STnMbnyxPIBWsF8wTMX7uJ76k23b8VvmBdlHzdCZlgAZdXR1juiEzGUoFn3d
tSU1UpfVz8HQBA+2ass9I8TupNMVDZcSqjXV6UCue+fC24usR3csH6a5jpFV9Q995TrvQKJhEyCC
IFBo/ArohklN7NidDX7Qqt+07Q32kRWp3VZZFXU7DkgAIbE7hdDNrPrL1BIQMFYZWHU/JbiJCw65
zo5u0JArAA5W2aAcTP2LKIme2ExFQRuHKtY7MPjifu+mnuAR4YEgRooQPtb5nGWnAdEcQLF2QlLm
zv6HGv0F+OSY3tRR9VSIcKreAQusMhH4/aXzEBWK0VVFR+NuyHIZ7kfZjKAnWtu5OH2LAgSrjgtx
lIUFwbJD6tznht4TQ3W/tt8cXfsAh/Ox/6YpvLLDgCviGCLJ5i5Ui3sFWMV7IM6G5lIwE9N4hDJh
MXeOatdD6Q/qOkuwUqgI7ciwOvawIvvBlWwG5HMAsubgpEuc5edyoddyzTSYRlplhQhEnEa6ZB07
DmifLuCAhcwwOrLzER5TjbiqWE7L7BXWQUKTO4PGDmVUafllJC7IuY2zIfd/0H/LalQl89AxvErS
jsUTNRI8w4MoKLmBtbe1c+f5OZkaRT+Y9JBStXwfHFE8uxwItNR5/4iedAqvlDfmn7uizT9zesJe
HdqF921pM78/JmUgl1s81jA6EkSbeylH77bnKVtJpy6aJzT5SbEHrL/cRNWMY6Sgk4gEuwvNfesC
AUcf2MN2qZDi7CyvLK7JXrOAQgbxWm5W+YSAKYgTSs0heohlSJgHSwIKexMnoODLss5/aEbq7c5x
JLJ+R6suP5LFxJoeO2Ba9pFb0zd0A4ekDjPCmCa7wRPVrWNPTA8z1TLfXWhLZoRe+swPWhfdNoz3
he/VFJrpyWKa6X5YIALv/Mj3hscY4aB7NxnDP1eUnfiO6OI9hzW358EZbGx6mAiIKMmWzkGBEcUI
rlXY0sGL4dbRGQpXG/wYNt6hQi/PUNRFmOenRsEldFT/wrhjPA1ZnMtHv8L9n8Pda7YQDrCwcUjk
uCxLnM9U5SDSIsYPW9FPRUwIFYOnreGGgG1H9clEP8pGQMa9R0iiE2SxvWESTg8dhCZ05cXJFvCc
U5cAOaQC22mszephEYmnSCsIE/8sBvhkgL7FiL4/srgyJeyBwl/wzfhpZxuWFYXDhr1lesbXoqiS
UTJFDGZnNpDBwxd+XkC0o8F3C9aMqaq/x17rFNueA/fXsQ3je0Mg5fdO5f1n3x2xRA61ufOMzYzV
rRRaH7kC2yBZTuOxF4jBT9IPHYOmx5+Cc9W2tHNj1DQjumVprk3D+D+mrLp3XQEbvAcy8Tk3FmL0
mHZ1s6sbCP9sppX8JO2ZFI9Ww/GBHBCTE9iM+oAOsGKHnso1H7dWQ/GSrOIJ6h2jkh+DHmjWO7Hq
s5MZPcp9Os9lcaD7YvR1xF571LJFP5YE4TwdeNfidQD+0W0EOUTc7bNM9v2kuPNE5o4XhALJFyw9
7TPq5A7nfBYd6TFwu5ATgjqto3aMTl0nl+xqmTObgLk6wplPnFKR7/Ct8BinSyHcYzHZFFWW5bj3
slGFuJrzkk/d+dLNkfwkZY+jroHqb4fRFKK/JMdkGzuFvppKQ5M+mC0WtS4z2GZm3OZ90hHEavtU
iHvOadzYY0qtv/NhYX5L5FpyJnYxPnldDPgnrnqeCIKqSE3DN4oT0gws82OuKCfmcAVmJ7HmTulI
QsAYit1NhzimTktbZLcm6LR7J+zAdmlGOJRVuKjA51rK4yO0PJEwzmqLI6D7+71uB1H8gUzG9VHy
iPLW5UOKXT0w3wzwvUdwd9vqGwJGQWby6ENHDk2XP9HGDV6Tpsu+zS567mNaixxHY8ITsESZ+Az0
p6TRWKJngtlfoGfqCN2E3+MTQF2iRUGvgCrZaBorZxs1F4fq328tVbiZv4/xd8EYjUKY6K6I7FsP
UsFbONBvLrqGh7Mns5WchBWqeFSjRNibDJTcvKImQ1R4cHD2kK/qQxZUVK5pYxXXTC/RnGjP8249
hCGYaXPbPo5dC6TaDy1/b5O5K3ZJUxOnx/Ei7M626xrYuShjCIuVCwIcxP/MVYZy8HJ8dDlWt2Ko
xwrPFMsi6UBLrvZ94TZ3qIpZ79iA+x09jik8cLgpyutVonRtvAVhWoOWe/nie0X1PislDTJGQkKu
sMll04OJ0eOSnDy6DfL8ZR5x7lfNp7FTaIubomK8MVtpMDz+Pr+aC6cozvaSeGBbGX+9VWbUt0Ma
tPPBAIBGwcj+yLxW19FTlg6uexosx9/7PGxYveJef84I+k04iwbdo07omZyDFlD8Hq/fh9GEaIgK
bhM6G0+f44FWEcqgoPssZbhMO1R6INiqrJC0txu2ObzX3ngdNq6GjWFKfZRWQG+/o7lfnlBasSvE
fg5OF4Xqdei42AyyQAO07pUhpTPVXRPdtn7HwwseZemu7WmAHtnRJHGvTKbSBdEvRrj17Czys9Rd
CMYCUrLhCyraHy2pFjAKFiv7XIvGnq/GKXPDry58H6yZ7hTmZ2Gctnu1ExtKiBuulUHgjHA0ZTZo
hbQXH+GTFyIxZgfM9rXTwbf24WN4O7o/yQ6xDz0fPKzsF8xOEtTKXCWOlmPdk/tQKHaJN29BTk2w
+NgW/T3N+NQ8FE3ifloAUqu9abSYDijRIrmFmNXLu56YcSo5klCDwb7KoGs/oqzPDi1twReYt8t7
lNjhjVzQjgKRlVdtEi0veJ0TqmtjHmGrVqd6DiTuCp8hTucHp4xS6a5xk3bn1o5d78pwUdcUcryS
WxMdwDxWPXnC796ReEXcPhrjuB0Ds2aCnX84dTv8MAs5yjxVc7hb8qF5TNI61VdjXwRXft34cCSy
cUzWcB7YFFE4v4B8SU4mrfedC0tkl8WL+jZ5OvxqbKU/WZS9O9VxK6gsbuDARPKjSFCH4XVW7g2S
XOTtA0FSMbI+dYpRLbiXMZyJj8+rGh9jlXYnFgN54khF8AZtkuoNSgF+2rQfrQnLIYk0ft/Er2Lx
0pOVT5z+g1Ff+cKbLhLdBt4XS1/mGLtsNGXqNta1u/fnrgu2E5LybOdN0sOrxQZ5LAAdP8UJfEPG
VyU0M+Dp8U2weDhy6Q6+up1BmKp0dscTVJNtG+cUlAqf2/tIiCI9QyZQjLuH9LrzsNGSZcFtyEA6
KXEWcso9DLrR2b4iG+duodeKI7w2DFVlhHXRc2rMTKRpFk+LzOMfTLFZ7JyB01pc2Ha6pZ1ck3td
gGCJhxhTOppDor0TzNtjVwticbNkVUH3FV+rk23TIQnPeP7zTRoE/Vd/cfJd3/Tttbss0RnPBDMx
J3xBQ1Wy98iQ2AEFI0gC7B/bl3l0fgSJl97W/fBJSQcBGVkaKLxwazA2ne+AB6z0Q69NHolJlthw
VvQLHU+A4aGRl47AY/rmVv8cY9h9nUGGXDuIKyAdrDf+glj8YEtCfyYJJi7VYJiwE6F4We0cGv9q
5YbnHPO7IG6I7Bjl1z5C+8Ju4jcii4k2lRW62baGm5Im7RGqAEBPixfcwUFPySXgZIzFXT4RLVdc
oyEh8sS2A4WsPPVOLteMITWH/Huvn4m/wYVX3Sxhrc8cjvPPTBsIocx6eDdkrTGhD0mt33ojuZD4
kKpvUzKwz+L7qj6NdaBukyWdv+q6cfca9SNW0dZ5KeFK0M3t2FKTqqVZITKc34d+pIm1aYv8Slrs
5IjmwCVHttvuRqv+gRV5OMmy7vLdKg7a/huC9pmvOoSybWl6or3XuXsuu5q3iMap10iGu6QJDSnj
kquXB2O5/2v5yc+qHGR9gQD6qJFSK1cKX6w6pj9pY1rWSxuOO2tuij0ftKSQV0vYD++jdBmz2YDP
0tGlqvzrl/1ZHvX7y0qUJIi+ENn6gBV/ftmyJyJ4mTvm2GAVARHlM7G+Of1ultQi4GCgyiH4m9d0
7J+FQLyqhoS6shyZ6ZDYpFco558/rPF1V6CTZRPy1k5mWtnMoGwWrw3aoa7FNTP2z1PYMbt1qKeR
QQTpiVk/p72B4PluH8++/TbnMN44PCU2B1dlpvpFup20zr5Ft5xzIRE33asPjqx8r6WX/iiyHIdC
hXGKct1GR3k1p073rnTF+KeHUuqwM+sSkkRelQ8pLQ2iOvJF3A5O3X8KOOGO24I4UfFQoZdFAGT3
dXcCMYLlvEuJBtlnWNibHcAERnPgiJzmDWrFqh0BW8QqykNHm0zbzrNOeganZJ1bZzucM4uJ0tis
rp5hOUtR+o+TSMlpyjgnvI3TyF4XTwH9V0qrg7AoLpGae8KDuWctlIUW3g36bz5+SxQudvEym3I+
+7nNSW2Skp4Hwp764mQ+6nrKMfFSdklT7mpZWR9FCadhA+0V6ydzquSrn5euPCbpEHR7jL/zex5M
ib21iHlsNtmAfnafDhNKAKAw/g7eCwkJ1G0TDz89MQhwOGeac150kDJaTSreRqu2vdL4VHkjCwgh
VEOruzpS1YyHtcarsoutpDxGhUEkV/lCFPixuh5nzxgTAJ06mWbhRiojN3NOGpbn5LY+NNMMtYu8
8On4+2PxT2lLnysEDcWvctH/nqj0p391/KhuX4sP8+uvWt/Ne1XPFBZxZ/5QokYf1e61e/3pf5Aa
Jd380H+08+MHBuXuf/w7P/mPf/nf/ct/+fj9tzzP9cd//Ot71Zfd+tsiwlCQjv7+V+fv//GvjmIB
+L9LT+9f/9f/NB/mXzavgJP+y8/9oUBVvyG11ALxqVTMRmnJ/B8FqvgN4adkxIh6zVGBlijw/sGp
luI3uf4NP+gR7ihWTK/5Q4Aq7d8UBr1VkscRSyDR+2cEqO66tPynyg/gMGcSALZM4AEO07H8hVPt
BAsg5gw3gakbCwW8dFmFOhvzA80Ps1MZZhlk+abbG4whMIzstNij5Jg2q1l8FXDxFLISXwIoOV9B
V5ZAbSaUD7KzkMqjv8pI6at1+Ez/HBBMbdPgnNV8+NN1v//jDf9ZY/qrBpuPIbkYEjUvD4Pr/qIB
tD28PyJog00AA+lQi6EjCiHymNlGHbnsedE8rsKh02iBywey/XeyWrG+wC/XUQYcfH3qReSI9i9a
TuaSVdGOc0BEIdR4dE0ERI4JffcOtBlherhqNyYawkudBdaJvsS8I4ThKfcjc0bLvh+WViGCWk68
S3MHIKm5czVigXHtbNaBac+CBri3rwwKwLisrU/aFjh+PF9/xWC7eDc0bFIf/jA8fjlCDPzjUhec
yf/6Uju/bM3rLeNrLC4CXa/wXO8XvXsZKVCYGE02fZLVj5lJ9S12W2kOy1Jr//C/2TuT5biRNUu/
S68baXCMjkWXWcfMCDFIBiWS0gYmikzM84yn7w9U3boMUMWwXJZZL+6UeZVAAO4O9/8/5zt+NvbH
Tjpsh6JeSlymeU/yZGS4OhsF2kpO28U/7XKqlKk9RD80W14XU5zlmKJQBw8ZcRduWT0Xs07D3JJ8
ryzHlBrzcP5dBz+C3KGmp1M3RXwUon+lDj+uqTMaa7Jx2wMldXdfO/09sAVydZKOIotXm89D0iZ4
+6hErrI0A/PaQ+ByS1q7sAuc5mBgM//GUUz+8ioi2iDKlsGwJHym+GaMqYJ1g/iVIdCbjW6l6q0c
sg0qDWPLayw2SlJbqzSv9G0fRMVzhAXxWjh6+RhRFfs70x3gOCKJ93ZAzJTr5toxB0u3NDJcnDZm
nyWFqOpAU8imLpTKddZ06b2NJuklc8dvZSTHh6wp0seMVNwHxY6tVSPwblke1uzAq0AHNMVwSzkg
HpYBS2O1iJJ+n+ANPeZ4P64zatk3JUUYttet/kjuq/vFFKD5HCc62bhTj26N13fF6YJqSBl397qO
gZNvF2TVHtkpgB3azNT6u2vbVr5IzaivPNRmRw6sN23sbOhHjEuHWqTTqN+1vPC16eRQr8JeIQgu
hRK5JshavRPBAM2uT1tr2/eY45NehtceQpuVBXCclmLG3Lb4uCwAJEfEP+ePVMqcTWu15I7YVUQO
F9qSqBDAPWFeXRhf8+VHqMwGDngSPb9gesyWn9zygj4zB29ZyZbOotXnwKBQ2RdbLc/Lv5teU3dD
TcuAY8Nw06lReT1Y9iMUTCVZlVGLRAQbkCVW6HxgJOqk88FLCnZvfQ3NTqrV4Njiy4W7nkcCcNds
rA1TwArHgKBPE/3dtjOVeFbx+NP9yBWVxpguaUyPJKMTtrnrGUFYgttXQTD8NvaEjk5xIJswDtzv
n9/IfEGZ7gNrkjQFHg2BLeH8PnokHxziEYe0VGLYCvJ+Q7sgt5Fu80ZDgf0VKFx96Z19vCofC5u2
IeIpDhnaDLWvEhijKRzpFwnpPC2t/K54MuzS+0WWI61eK/FSGCnhmH4jT57ukmomUY4Vs3G/twWR
cXh9YMA1VfVFwY64yLGQHdhOriIVo9mFBcyyPrwrPBvT540SKZEXHFHOn1FJ+YiQRdQ7gUMaJZbo
G27+2R9ynTK5Zrtbx5crAoEh8ueBmaH3tg4t+ots2ceSdjnE8qWSaj9zsH23ZkB3N9IGapMlnSHF
hK/WGW75TGj3LlCyYN+2sO1iM30EUqYuDeQwyyCt3HvL0pIrq0jUrR0b30rF6wQ5My6t/Eml6zu1
c0+3wFllnUc3l6DfdOnXNs58lf+xBPBHA60ivMzx4i89EqwFcTc2/BQ5gJhtm8dKA6zhGr5zawpA
2mVDAMXCcy25GdXR/xE49rDPLCm3IbLAdeV47ibyIrQcnszMjULc3H01ZOoOrb67JW4aqhewhDVo
Ib7MhW98h0yL7g57sEfUnLCeehSkU65cCNd4QCqVKoqhcO6ARtVp5a1pFtUd6KX2BUWM2LCcRcep
3OkCcWrHfeLDnliEOaFahN32K7sv9GsfsFqGFZpeqJ6jQSowr5DFeDSrJrjFnq7tPXyEa5QN+lUf
xu66z2iM9hm0cA2T4r6yynFfxhZQJp2Q+CRv8ZxaqkerHsejionANrOdhZjsuSossa49cHDwZwH8
mKHeooLV82A79YNA7pFHiee/2vWVHNYyiAJS1NMy/ym8LMdDMFGex/CKJNnmOAQd/J7A7b/Q2LxC
EFuTTGU+acRxHvTCfwDYpSywYqJobINrObBTLBJtRPORVseYTArAjlW9jczReQaBE29Tq4Aj38YZ
dQU8PtlKhxcE9z+TkJzLb+MQu9dVVssb2Y4OeXhpfE1pDpeCyM1tZau3aqX8wDrSn96iNxXsrNRM
2lYjxDimP4HqgyGvbUMx5kCT3Ce6AxkaB0vexNZQYI2N0KMWg3hgG03YkhfqBzBtV7o+yq0YfFjV
Mhq+JkWsLL04z0/10Ef0WXAO56H1mCpdvLQUo7stLcRtraMEk0LC2I0J29k4k1s3boGlN/TlVq1s
IJO3DYQyv5XI9mJQxWGAKstD//mDd9jdI0P+4eZxsHfqXrtt28D8YiZVtuczZz8BuzPIaLWQr1iJ
C95MCVd6E78OADC2SUYzaun0OrQGuDTanlIzecI+Ge1W6E5mHP81o0ZD0mNiB5s+wvqat+KrS5T3
kjpucd2AOxk2pUZ6cs2EuevEGD2nGfHY0ujXJeqwX+zFyFWidcYIkigKdSPRTsSd4kWVZfOQFto9
KBhjn2gVqjnEsWB7TAbySM3UpODrI9VG5rOLeQHHVPGNn4JF/1Gh1L7LWHu+yXjMb/JKy57YqkLS
1sPhS6V7ETvjSLHDLfQ6msdI7dI1pFe/29AhC71FHQoNuZ3ju08KwXcEIBOnWYLgoVjmI/EMKgXR
XWZ0V4hbtS1jrHhW+uKXXaRANUvImmR14hHwHWsrIm842J5XH4I4GG8qrTQP9uSMl8SZ64H1d8aM
n4KEt3wanalClqB5D2+1uEnwg/TOCp2otW1IHvrZBtYuc2Jcnnlf7tjNRPYD6pSCAo6TOmzQxqB7
oHte6KveIXrYNFDcbgIcFTcdLaJfA97UtW6gZ8lJn0UombbjtiEoaFGalbt28tpFGgLhe9oKHH3f
IsO8Qpp/7FC03QPQVFgW8irYxuwd2F+r3s4dG4LayDhdtKLGTySH/nloPHmAGpNeKwFEcpIFgLvU
bR+/ELdBzkQ5Jo+AanuKl5bxDNa4ufcbhYV/MNYuXIafDuSsKbWr3DGhBQb73Fl3tsObaU1bsVaV
zFNr3/aoW7zIRlGKfsYi9dboS5cGWkzNme9/9n0oBr4Rg9WVe8E6Fi5VQ1OYAdPczyf3uBZDblSR
L9zgw55Ul4QZOuvW1bVhHfSp1n8LLFjOuZrSpe5pcJLmQR3vpaPlAYAjrEADvF0ppBZ7jWGQrpQ7
TYNBSrTYxaAS6E6aSU79ZehwJgWWlb00jktMJXd8bDNXh2JpkLhLjJyKJo8gWhgtBSSuClycOsJE
WYB7CSb5VH/bwYiQy8LKMC70ozjaRMKswOXpV6HJ4tsk1iQt60V/m9oZ3PnBLX1zjZwRn2VVEn+A
+ITsJYRh7FEId2tixmsNf4sNYrDtgjTY9kjWyPrTnAcuHheYMHwc98QbeGi7rEJrlgabkYhdsMjj
Df58tUKfIAE/Zn5Sv7Q5LGJ0w1A7qFfv3m6VypFxRchZsB20TnxF81pS+43FMWkYxqL0xBEtE9nG
go8xh7dSrgDG6FcuX5kvAi2QhRiEXx/0HaQweusnjHAGe24NGlA2TlJM4AlsgfSs7W8p/bHBqCnk
ncAVon8ZM7pDbCcNxPkZQ0P0g02ZUzFdsQk5UJLsEMEQrd40nSq98V3Vl84X06xgU+h6/D13He6j
jfAHYO7LvztNCRGwhEp00nLHLiD4ebRanMnKk2a+cdUEDT+kSkfeRpWHdr2Cw251/PecynIYQnRE
fNLfkk/v0ENXOuSmfocPqNLMm4x9YrqMhUMvLk2d7BD36iBWNpyrBzI7eXQ0uCn3kQj0YmS28zCM
g1+Q6SWFxY6iN3/GrlAfhdNWCJ5E39O0zIz2NqQk8vcolfDacDK5McFbQBvFB9T4/UpqyT4v3aJc
Nr7p3EKuVNYAh8xVh9YnwzBRQ/4NFH9dTQ4PcJx3ajkiADSFdm0O5VWn0KKuUFfdOeh79tREu6Pf
wD9EtwFsLe5t96seR+RVoJb/lfm1QAPAaQqjV4yEr4yjG5ix+V0Ta8Y1waVAb+KUP1fr5b5DX4e2
2JlOauRzrwx2EkiDXftZoOpg9aHyuSuqOD+IetBWNrCJl8pm11FoEGNUJ8TjINmp5E2yw+Kf/g2z
qb9O3Fr9moMliWD1o65bWHUpgk1a5M33sY6nrUqO4LXLBF8QNwJoESSFAJesp8O2LPQdVRX8m5qd
VyX+pjHeYeh0B76genDQIGIBN6PvPOX3UXfORcnTJvaB7YQl3B1CI/uARqB/NWRYrYxYE1elrvZ7
AbrkFBqlhqeJk/8uM0bvGmNJAii8HR5I0Xlkj3lv+95d6dPIVoq8PMCBFFs4YyfsxiCHkOJT/Cmf
vQx6Y42dComL7d3kPRsptC7KndIN7NKpOW+HUbkjPgPYj89ZUrFMYD+6S8uo5UNfa2Z/49Vtc8iy
MLupkrHfUUWQP3Q/1W6T2oGz3UX6TejJlF4NDClh0jTuBgDVVRy5RwhZ1V3qF+G3VtEf80w1djqs
6qOeNj+V1s0eMJES8aj4eEgCWHgrBCbBjmj2Bw932XfyGVByGl75UgYGzbRRVoyDuiwWo9VJNobS
2GrkEhA7afDNrOs7JCcqnZRsKtQL3d5mjWbw9vWXIDW/OdpwPdbIZLO4XP/vgFD5Dm8Z3eVKHjm8
eCggkEGwE/2Wsu0MBvVGpdROWZ4Tmy7K58qqT7Ixf2kRTS8STRaFmp/gk9yDNPzqk4LkRbRPffXb
21n1/1fCL1TCp57Uf18I31KMT6vX4X0NfPoTv0vgivaXMJ3pdC9UKaiU2NRPuteq/j//i79l4e3h
g6IKgTqGdMb/KoIbJDJiKgeS4EzwANXG+P2fRXD+ljHJjPhTDmYmzfwnNfBZuhx8AnjfZMELtJ/I
tcScwkAaZN1DLO0XovTp4ytu9KAUTUjasuIfGj0h5i0wbRBZeX3tqBVHQ5M+W2YG9oUqtphO8f+u
Iv++E6SpNt5SngQt0PNTPphTJrRG8FhYRBGinVKPtnkyms8NPNOHBqeao7SSFcj36kVDgXZbmp33
va44wi889GB3HMGMHWy7hLQkSwQnJR/Gm3ev9g+19vPCydtN4rOfeAUayEMM0uc32VqsSZ3O4+LA
Hm7gzuqswHvbJU8MSOoykW5++PyK4rx8+/uSFrRkTYfQQLdkqr+9q1QBLZQti22HRmjZJKOPrT/z
7xUxhR5ZlFQ9a9BXZLI+BZjIV5mG1kQnPAvDbwBdUQ5onLtpSxWZ5e/m7T9aD27y1/S+Ll9f6+uf
+f+ErtaEOvnvJ/MhKIPnn3XwfjLDf/iv2SxoQdGZt6e5TEAke6N/zWbq63+R00iNinKaZePQ+Pdk
/sti+tPSkmA2iNicJtl/TmZFiL9oQk1/2aYkB3LlHzFVZhGWXIJOlk7Jf+qPkfNqzCYRPClqnXwo
b7EqaGtvMj/ghH1p46B7KYrIvhJFbZLQh3A4UiEphAJeFzAwg41CIy6UGWcNtuluWN+AxZiqMTFm
JjTN+6ErCKRIfHeMbrsYZlKpkMZNoNcD7k+YGkpa7hIi1+BfAtklXb1eE88UQFN3sBqnRFV31qRs
S1bMgOprT+IzlTYDXmWGEMzvB+NQ6DFcstZ56ikP/h7cv7ulf5jps1bP75t3dNOSEHIwE0wdyvc3
34do6qE/hLdqXl3FqbpN0zpkN1wBKnWMiL5/613JUdZ7cKJsVKXwNq4WxdsOacuhqbzyF2qA6iGH
Rm7SWRDi9d3I/MMdstKfrZjT4zUxu5D2ReA6S+asht1msUFuHXeY0AE/GRTL/g44tpHsYZlrx8be
SX5JjmGMjCkBv3JFtlC0wbWxMKUTr/xqMjsnRgeiNMNhRnT0NnICtsMcAxalmqSbSXWzy6Sn3hR1
431x2P+v2fBYK7N33AsL3RRN/P4DQKeXBXVqFmt81NC/zBY6YlTsMlLy8ibSLVyqrVrqKCsb09hI
SVXIA6hPa9UfT5VJCtqhrdXngqLITYClG1NqOyCerL2Y6mxOApxS1UezjrDTEYhYLosxV34lIXLJ
ZWI5jPlY2Sq9md7C/GteOcxCFx7rMb6TJAKiEysV5HBdtStADmzH0Ujw4rItr5fQ9knsyuPs0BOl
gugahe6jZRMOvnDb4qhgyniCTpHfx0XF6SmjKTQ1mP30B06/cSW0+pVXVpBlWKv6dOSRztHmiaSQ
94P8CcBGtwak7TZ7kA/lhSEzTbh331iITbbUqVMj41J1nSjk8zGtRpR0vSrI7kcxCHiEwtrUMjeO
nw/M+Sr04TKsn++njqEntSkzP7uvxwCMRjj623gsKfZUmeeivJPXHGh+MAj9ZRZ6yUMKK/erozdf
Ex7e5/fy1sg5+8m2obG74siJzh+B0azVYdhdH+qDlZ+oX0Mb163+mI0mfh+ZyS+NQOjPYl5uux6e
gNmiwiOlVPmSsHQdqK3jlrSlQaiQYy1Ne3pmQG+IAoSfE4dkMnHq0V96avtbvtA7jLZMl9KqDiKJ
xA5aCmUhner8Ii3HXTzW0aOvtv21h7EJ/o4kedMPs52ZVyrxgJ048S+E2UVYPKDWkLvPH8V8r2fz
QUAooJqOQG+FZXjWR+kHS3dr6qanXNeQ+UOR5DlUIdYmjl0UwPdW3i49AlCCLrsvOOdduP6H0Te1
CHX2MapEcWers/Uq14LaIl3COLkjVmYUkDZPt9tboGAXxEfFhOK5wX1Ax2GNfEBCMcBaCOwgXPHX
y2Unohgu2NBd2NP98bZsVaBfYA/MHut8tAY1ug+96vVTJoZHq9bE0QwonXz+42drNc+e384HGaUC
6gE2DucXGfzIdQN91E9YI/QtPhKAYNCHqN9cmHyzbTQXMlGBOERpa+xOhJhdSFNDiV0zyk4jfJul
kmXoCIsy8kkVHfqHJNP6Cx/K6R94NsE4NjgI9vl5FqnZYnq87/anJcxt4Kl6fUJyslZblKqVWJLz
8tIGESymBAIGcY+fP80/DGULycnblklDXOTM3lmYq+jazTY/9U686Mby3h/kciwbPCbVsx3SmENs
PlWf1dD/W9OS7efX//ibJYppG6obbjoNdtr5bw6sxKh8o+tPnUIeIOyI4S4KGrifLclvVa09c0va
3pBNu/v8wm9P893Tns597O9QQBm2yWB9+4i+e9q42yuE8Hp5Y3Qp7jawNIkisn2HkhSqE3S5BTlN
4xpuWbYZo8Ql147MOXOIil3RyOYnn6PsNsRBcOGJvB1Dzm7MRBbD2GMjIrhLfbbORm3AzGZnfGPV
IwI22ZpUnTuNlB1ap2iFF1aPzaN2I30T584BiSb6wb57kcRHL+CoBKTolZOCBpnxqNrdKqFtuixM
i89Dno+XTpvnmiVTMj0cdqTcra5O/ffZNFE0INZKNCo3KSD6Clm70hKGal5Dj1hpKaeqWgMfg1I9
Hi+8wtnYAe0ALJNjrsmhTiAjmq2CLtaMsOzq4Qao6ELWg7XTKlb9GIE9CYqCxC6yIncULy8sv7MV
6O26ukWlgWMkm4A3lNy7kSPiUMO97o83ekd9q0LrjJatwn3nyPrC051+wvuxQJueDQaLgWbo+qQP
OZ8eDWL22kYAdjugOj3anfIlHRVlzcB2lsBFKAIa/fcLE+P856EhRuLEZljwhSFSC93s+TUTjl4B
TQZYTbZD/T3JQLXA7k+QqJdiZ8fAH7zWS670orGxflm/XJUAvMwGDa+OpcBMorQbNwnlFoE1PoPP
b2+WWf92e2zSp6INoGsqLrNV0uzpWfH9Gk5JWn+DnAIpuCkJaJSD86VpdRPGM1YZtVH9J2QyeHy8
oDoGDYlJUQBxAZthBlmF+I2gy621tIiysyqoOOjhKv+7QZv8ShtTQpgCijU0t46JRtAY4CRYer3x
1MgRLDo2zD2o6vDSajzd/L/f9+8fZ3HAnb5v/JucbSsD+tW66rXjCaKAhUU6aA56R1hsPvaQ3ZEe
KJAaRLUP5XODM8TANI6MqknuGETftMGtcOclY/Pr82d+PtG4q+kcjOaUYaghT5pLfHQczREtPYrY
ZOG+mLJJd36K6bRIqnSN76T/Dr+33MC4ubTT+fA8uDKaO7ZZDkoECnnnY1G14UeaaSZOAZbgTekD
/egHR1z40n8Y8awh8NVI9aHCyLZqvpCgfehEIcsTS1y7LXXzsQBHvaKseImHeT6fpydpo8RVsSLY
7HZtbTZ4datEfqln5cmsQ+/JzESzNlPnAGODiNoet4XvkD31+dubfemmi0pGlEHVBDcEcvXZcVAW
ed/yNWhOIWeJjQVV4NYqkOnRxq/viYlxEP4P3UOjOVDkqhY1x8SKqfD9rXAjeTv0B+GKuITq0koz
XfhstL/d2DSHJ8cCGoHztzt2fapXuducNNVgAxJo4kegGc0Boet4lQ25e3BJcZ++aVjB1Dzd82kJ
qR5EGiax/ovPKWxDHpa3NWFh7uOqfs6Arxi0tJd1CrHk8+donH/pfj/HqZzqGNRV+Y/ZMNFSqtOK
npenUuvMDQZisI0ZkpqtXbQbABrErdA53xp2aWwc2fSntpVY2Enx838AWZNL/pnVFSRO/4urV96R
U1b9bOJG3JpO4B4SxC2vWhoke69sdfJ3vOCA/BZVL5qMZZSbzhcfo+TaaIL8CJTghxpFxQMLQ2ks
qI7ZR8KL+dyNXXn0O9c5tfWUMxtCo20EYLe8MIoVHgdrGTSJf/X5s3nbDM9eJcuDRITO2swQm01U
SVuIbHa/OOkQ+UgVzdydOxTGvsskvLssr2+IblB2bdfcmrR3H91EOt/doX2KZJlsWHlrGpImPX6z
RPgKCpXIN8Pfg09Onz+/1fNt/dtbRHjscJdYZfiOTIvBu6932KSkYvlKfsKVAzVjAPUGS5LIBsh3
q3o0x/Xn1/s45dnNIw3i4bCz1+ceJLJXTYvQm/zEMUN9aqCsZQ6FjzJwqMQMtXWFh1y7MOU/LmiS
wqpuGyYyP0wBs20D3k7qNbB9kavTQEadh9ipNoYl01ldff7z/vA4bYEyWgOPzQD4UNxT2tYyKi4l
E2RaShh6xwyk6DKAOb+PG4yK//R6YLh1xItgemkeTJ2e96/PBlbnswfJTrJylK9d3jno4mjUDWre
roUS5tefX+/Dt4+jvj3Bvw2OSfgbZsMFyUZdBm1A1QNly24Uk9km8NuNFSBhgF5K7z9PSF9X2+bC
NnMqjp8vj1OVAT2+9XYk/KCs7a3GQkHGTw0cpfveF0H/nIt8fKhT86gVpr7tWFY3UaBqR6UIzE1k
5uZV7JcdZmAFlEaqZauY+tRjHO7GLACwB8cLkUTXL5xga/FPXvX9D4WEV8j/FToHAy9AYTTlYxO3
3mNjD/C9nXDJbA42OgTSAA/70CHNqmkfj9kFJfGHQTv9XJu6/7TZMOnRnL9ZpApD0rWMJHKQSc8u
3GCTsIKyx0VO8PlL/TAnZ5eaXvq7NcBthnR0BWuAzJH/KHH1lKfEOsSd81j7xZOGyvrCsNX+cEkO
KhzvqSQY0OKnefTukrCOwswaZHxitKr73pDKRBp2sicrK9DNNng0ddtP1whGb4tybFdW0A3XpZre
dBV+mWUC+ILQVEaDE47BJu9065SBVKV036dIAFwbl2X9Oh0l1hZIrCmmZczRg2VjeCgk5vNeZlPe
16VfNgtR4JdIei2s+KxwlM4/li1Aa1Sq00bs0bDsjmipNk5Tgx1AkEZUIoJWpzfu/VafwFZlund7
58JM+bAGTXeAncThPvj8zIsIcddSk4/KCHGQ62NsUSxyh0M92vQgF74Caoy2n4+fWdXk92+WdC7p
xtAl4vx7/jbVlO5PSMTNiWRna09bcaNzvDUzPsVpJ8qdp2TGMW1JKMuNEbl1YZAu4/eXamEft3b8
cuethYbknYP4bHWCHm5TH/HiUxkOAYJCx99Ghp2REu26sCaqV+A7/o64ULl2CQ6nEm9SQm/bNeUD
8651S/nTD/uHz5/Ox4lMC49zK50qyipSzh5OU2lpJUFUn0Rgykf6+DGmaYukKPhjd59f6k1ff7bv
kIISPKdBDskUTebVByyxFLA4JJxQhJJjRtKJB0MCKaaH1Ius0iDx9o1upBuii5xNoA3JrZA+/5/O
l+S9E9iOi16nfJCG0VYID69XnGFKqjTo15pWb1BMAnEVaT8xXDGIXPhST1vc2f3jOJvKb6jWdUpx
5wPJgNJLkBJFRph2FrqUNNhQ3LxoDv74KcGWNx3mNVtjEZpbS1gOsDR1bXZqFe81aO1dF8jHrNAn
J7bp7bBM1Wj9AvdOV2Bo0AMXW+zNw7eIys4yxuF94Wf/aQJJVnkkExa7FA4957/bHWmFBaStnJSU
czYeYmcdDVq4D3LrK5u+8TodbqBRKAe7GL9qSdfs2kunj9l2nsoNwxTrClsXxqg2b+F4img0pc66
O0GxYN3UEJKMSP07Me1wndhVufUQk2z0dIq+pn6VJO2Fcvns+MMNSB1uBcMX3zldpNkzAJQa0cVT
y1OOVGmZjx3Alip8SEP1JzYwQvLALIFnLqjH6uKSAW828H5fHNsmB19GBQW08xeggq8JLYS/J8AZ
L5oyGF+ogCdfP5+e5odnPG14p2fMj7RNZuP5VSyzbMccMumJeqrc6kZH/Bct6QWvAxD/oGvAhKEj
HMjGzDYwSvwFWONurfi++9XKx+gUZXL8aYVZdEwl0H5dRO7TxIj57lVqsCUYw99opElvUn1oNhJ2
0sZvtHETJJMhkCoNHHgOIBBLblyY0gcbCtqh9+1oawv/qbXiZKv3trNWB788WhHOpNTtlPUQDg6R
43127fe4423PDr+2BDos1EqLN74G8NQtWgP0afajKDbZcGgJz962tlF88TafP8P5zoF5a6gMeWRr
DBgKB9MwerdzSFoRVXqvj6fCCX4he5wcMIq6jxM8TouM3IfpIA9AJwSRunWJxv4BePd71FAkRoMZ
POdZUl+3eZnfSb92ofL61UYhcRBCgLQOaJDlysS4eGP6A5rB1iSJQ3PJMGiyQbvWUcysqtKLd2Mx
qhd+2ocxSIwHxVtO/4Qv0cuZjQ4df0fSSV89vWUQVNj17mADubf//AHSV7Ho1tGw5aQye4BWoEIT
d0sBgriH/B+sPTxLOE2Wll+SFF/fwxDbKb2xDVj2IhyCbZreimSbeg9edZOmqKD04VpCliSLc+3V
O9LmvkYBtG2QMgNAMSbbAqPMg8kX/8JC+Ye3TylWQHtwBMuVas92xd3QeSNgB3lqbIyjNmLnJZyl
FOyKBjhj1IE/l0CekEC3ZEouNHqDi9ILs2ujqIyFBQF62Q54t+Aij0skrHvCC38BEMq3GGWdfUEP
+65V6SpIRY1fyBvzN3yFWkj4rbcyPZPepqZ1uyx04gvf7nnNgIE97dc4OGI/l5jXZ5sXEYIc9Alo
PvUR8lZXB3cbDN5tPKL4hgKWX5eK7zxUQG9W4DltnDiDOdkWxiXBkUsP/egG0hYWHdD6aLVYUkJa
Rr21imQQrz4fRLM9DfdqqTYf6qk1Qw1vrh2zo8wGWNVopwzqGtXlzLkqcwIPIsyXFw4nf7wURcI3
IzgIkdkJ1xu6McY4oJ20JHQ5cUFndlBArCOG1+nzXzXfP/7+WfwujRM12+c3psi7taUHv90RoKeT
Ljw20HY9sSJysaVOpB449EKRhe8bS0B1g3AeamfQdoSqFkgZvXGlCWaHGmYXto8W69m7LdHbPUkC
zCnFIhBjXThf74zMoWM3lvoJ887f7KXzFDuO5d7FemdfeKt/vBQfYV4o1SD6WOeXikzVR4Nf6Kde
JN8UR4WxngakqysY+0iXaPcXHve0m5v9NNKaqDJPtRmd9v359TwDIJtP8M3JafTsmSAjZyk8GQGi
x1kOdZBUwr7T7GoV+CnhMFJ5kWYrpyjQfsSmw5HjlhCYtYGOiywW270a4dldCSqe9NqycLgwQ2dn
Vt4EBQ9aSdLUps70vODZtX1CEXEM70fU4TBQtO6XLnJ9hzYIg2isNVdlGpgXdkXzreF0VYutIZ1F
h109zeHzh9Tm+PhEmxT3VaNZV2FGvylJLVJIEmW4KWukHxhH9J8sy/kKT215M5JMsDaQvf1+Xf9I
lfnfJty9x4z8x/807Sa4j0+km/83fk1+pudheNOf+K3DFuZfU+Oc0z7iC0R9U0Hztwzb/Esi/ECi
g/JD5cs+WbD/hSLhD3EcZDBhRaNxN/Ug/qXChm1CUwS5CLmSbAf+mQz7fMiiPWEvi/aZi8BdQmDM
LbzfLI22m+Q6YqmlSxw0liCUY0jwasNVafgZvVleQ3fofxHnUV29e0a3v2fxe3jI+dx+uzJPRaOy
ZLKnAWlxfmW7qyJQS36ASzrBEWT7Kqo6q3bttaeTKrAicQUUMET56LUiuDO7sFGYlWGm69PdYY8I
1WXqZM3Xltqo8ipnp7xEdEv1Z8SlQtyGVWXbrOqdbyCC41dDg9kFCw/7TlDnAoN3pRrbz5/D+efr
7T5Q2bGAT2oAhsfsREtablwUkMqWYTiim9Qj/8kglmCPJQlT1+fXOl+/364FcoDETMOCIkKd9PyZ
55R/RwDdYOkTnNRfsZCzlwU4plzX2P2gYEL0vrCb/DjA0KuQ8sepEYEwDejzS1Z919eNSgoaEscu
WORVb0ZXcQ1nlyAopd+WQJ3yoz1W6vPnv/VPz9WYlA4qZUQqTtPff/eprlLLHrQcPJ6Skr+BDyck
GUDvJ9qt4uHt/vxqH0cz/UKThtSkRaIZPX+LQ4CRDxjHMopj81Al1UtoNHWzGSk26pxINsowEsKI
yza9MI/+8IBZQZi5eAKmkt7syhihdTlEWCij3jIPbdhHyA2Euoq98CUphXOFU868oJidXtq/v8tv
4whIHJoag6YCJo7Zd7kf1caK9SJZ5qqpPv9ObAxZqS5c5uMrREzG2knjgj9s2bMzN81Otpd5TzC2
yfIA1wtFmZs24wuAI5Ckn7/BmXZ0+lE8Pi6Dtoq1FzHH+YCxFdLICk3Llm1ohA92m1jeMqHWQZkr
aKp1n1tGtKrZgUNVa4jpWXT1RJcc7F4Bs5+aEND8tCsu3NbHZ4DoilWSOjjaegSl53cVSdXLahev
WuNTfjqobjIs0xrK7nVA8/sfr0UT9ooVUeWLgGJ1drFxUA2/92LWxLwzD3B5g63p6VQZKqPLv3/+
vD+OoenjJnAUsTKA/eQL935+YrcnxppssWVHvuYWzT2rXYJNN19+fp2PMxPFKVWV6TyIPsyc/aba
FX0WoDNfQr9tr8NBibdjB8YyHgswlpyCvV+q0idfE1dpwwvX/rjeIiznklOjb2K+zNYgZLpe3ef8
Rh8c4TOpoeOwAFkbeEtLC7Xousk1Pj2f/94/PFd0EpSPWBU4MM4nTSGkZ6Uu+du+Nva3cDbih7cw
1c+v8mHVoQyHCpIvCcseBcHp779bXRuAvSE480lfLJRbaYTutVugV0aM6C7p1uT3GJnlpa3udL44
W3feTvTTdpeJylWn5/3uqlmpYKJse6LDYgfTmKt7chcnfU4Khj9KsLDj4G1bIlem0PiGAUXAgIfx
MUl3lco2+SpU7QjbKrFl44VXPTsasnzwoi38WUjcsLR92M/oWeTUQws3fCTpcUvnP2y3IS16AmM0
unJ2aocHYib9WzfxnOUA4uaqCluPaTxGr4HtFO3ShJCaraXeBJfm9YdJQHsbvx+MtmmNo/dz/uDa
PoBPrZP4WJMl+FjWbfJjdFCuQ8iNg7sRqoF6HcQKA5N9IttAMZJ/uB5GDaE0G8RH0+7SnYYrxSa1
s9X2pJVSdjTKxvbgvJX9sMrHnCU54mQE2CJs2oLiT2eQIMPD6ldDnkYvdHtAwLWAv8bN0EOy3HRp
ouVL4OVsAI18qCrwcb163Vm9fG2x6OC1hS8ebgiUJwoq13BjLLQBpclaU6N47w1OE2y8aW6VauiF
i9zvuQm6aaceI/OtqrvpRksCWBdq18e/bAFyS+066Ony/5F3Js1xI1m6/UVowzxsAcQcJIOjRG1g
IiVhhgOOyYFf3weqanuZetaV9tZvU4tSkhGMABzu9373HLQAaWTzmVAy0CigCCKZ5AOV5V/gancU
tdqJHRGgTb98L4Bk3Oe6pf6Jh/Tn98Kqzj6ebobPTCXjWX88c1RVKsigCMe0+woJIm7oamczJTX+
w6LAieGPO5bMEL9/a2cQb+BA/WcOsFAkvqlWMTNs5272nTpMIDcOAORZU88nOp+yzyjlMWi+6vhW
EG1YN9LvOCN1emFhP0jr6iqQOm6Ttk2cukF2W/t1X5XZ1VKmRoXN3ZQ3c2FHPNOSJ1LAaxcTEVux
tdQrxoemrg7mXJuhR7tN7uch/7aa09YsgMcb9WTvdwLrF9yJVv8+98tRqK74qgP+l3ToyvmZcz8O
XzY8MAf5NHFJtuYU9gu23tjtusdtSaTKJRKb7pPX3qh0+dMVN1gRtb5w5aEY9ESFg5+x9qdjYmGo
s7w4a2zYionHJFKEzGrW8bz53uPcSueurLLILDXd3Y+Zpss4CZg3P2hl6x4YeFZ7iiVShMZogDJJ
81Nrt9b6nS8dGWDPzB7iMFX1B412hh32PHnkXqvq6YX1hKL4OvZR36LxGYeleDSm1oKpzrtYdkbn
ai7pJB/+cU3yoHCq/jHRl/aps73y2TSz+qfdj5TtgZ/0XmhUDqllKMfqkIzpwwihmAnRipgVRfg+
+CVbQwpuNc35mkyNWiJh0FMKc8r58Dx62FvSU+MNv2b3aDhTdaIwk1+bLnHO2mDtXRn4e0lZ/cKH
r983i437ydaKQ+6PhCg1A2DuLgUSPxwp5/yEAvBNK5inB/03B18lV9RTpjmkhsaxo+/InAfpAcN6
H/TOOM4BNZumSigI081HR4MQfDV/GEWKqyf3fSrHqwbJSizTgngUNF2YEha8W2q3uNS14zy1gQEB
bh1TFwsynWx62o78BeRC+JHQ2JoeQAUZ5X2VtJ8YbZ7zovfDkVwaDC1Vr6g01woilW8Zb0himpS+
gGnuW9L+j2YBKK/QHYVGs7VCzFyfks5gNDowmGEygaGgcfLE7NeAMyCAU4hzs4w5vomDLQo/crkQ
h5hVq3eikkrMpdBQE/SaNpwNEtD1rkkY0QAFKL0XA+ttZmJGP3NoqU4lWJMsrtE2HwDvO8VuHZbq
C2gjhutE6VSsGGnKY0SzK4hjYrzVq6ZDppl1mIM2cpnRVWeO2S43d/4+UZUKIXg9J1Y1hOjUwm60
AFmsb7Jw3gpOjtB7kSpLrTktKlE78NVtOLNwhWaGCM8FYr2vmNaEHI6244dZBFDPazHAGyfIrh5a
4HvIU7IUsF5p5eih53WXA8oJ11JJcnmp/Zh1mfvqZ76IEorQ0eRkrw0V/ZMXpM9tN3SPgITyH9nk
1qdGVECx+n+x6dwa8pV0vrdq/V7ii0N105TTN3Y6PwKbB5vSpg+pOvtrgVCaa9m2T2pF3MpQNqMa
6YO2iOai4+j6UiTrg6O8OSrT/N1Yf1CTe/XT4Af4bQV0aTkvmJlYoChpjtPOw53crUYXB2RAd6q3
3xHLTFDazAdD6/NocNp90ayvlgcnutYViid11yC25EkqXmmaWgdmIH6NC9o+33wPnPZDz/LXwJmd
EBCOG9UjDcs+Vd+p7Y0F0srlk70d6OX1xddLfa/11D5MRgZCp8XRKZq6gwGSXluurypLwolGTZek
fpTx0L2K2golU4mhOaEElgy5xZlrPFT2wrdDoyDKivTK1hMwdSUo8bSuiZlq0e7rgUHvsSaRsgXd
eQXdOSs302PTn7Eh1YLuXUPcKcUR1BgBfMkOLhiAEPoMg3XUEM6HjVW8pLN72GzabA6cbqe4R8a8
wq6DpsK0uH/8RjyUix4F2EvZBec/kTfaJ3ZuaIRkZwKPLQznR8mmow0LwjA/yAMOX6m7E4ThHrva
AkurjULBaEnpzeAxkOpND2VvaNGkmerZ1uQQQcx51ZfpsoJ83slgO2Ck+Qg5q0PLA63Z9O/WHjx2
0FGqW402JsqEJdSsL5PRf23K5NzLKjnAP2I+wwasbVMooswHYNJRVpzKPNu1kw+BzatePUbmanB9
Ol9M7b100Hgwf4yvBQpszUkfK/ZeiBAsFaL0fCwLqKXuMkWsr/gIO4fpYy377E1Y+ZPJatg0BMlA
ItYYYnsnBpSa3hVt+2lm8txlpQ/IzIK/XzW/yERtDK46/8XRMIvsKtF3sE6zH8gzmosEbL/37aB6
tp2hesXqzpdiIpqZWm3dEQ9uWZyNLAblx8AOU8ZiPLSzuZDSM3+aaNi56ihojP2S32EV92ngLE+Z
YR+NeXqum/Y6jO1T06viq1LdY57mDhQTWPVm638aSwVLJKus0zoxjzRmS4HAIClDo5O7pFJMDwz5
/crK/CS76QnCP7LNmX41ByRtVQ9W1zEr3NqvouRg4Qcp+bb0VpTZudOc66qmRzPrWOTG6d60y/vS
a1+SdfMVUrE4lvP0S6ykpyCTXrPUYN1ASjKZo7PxdmCfa/ovjERgS7dw+yW3GsE2FZeiIKIoatOM
zGq++n16QMvShOwwvFPSq0er4erfG3yQWCv4wuvh3UsncM20QrHxMPCAQABSYcoMMa7f0Aya5hXG
/CenGhr1sgeiUppijCVFP67FFX1A6i33Xb+cBxmglxyDdxZvJ2rz9Vsy5XkfGikPcNhi7FGw1Ru5
qd/ZCgOFWTmR03S/UszrrHG/6gwG01xzgVLCqMOFgY+QfIoImykBbbYOGla6JYmapNhPQb5D4nrI
aHNa9sJ/M+RPpRnIyGrSX4FJFg1isxeVa/MDGyWSWNCQe38k9WM3WVjbmQRGaD007KcjzGEvbtNd
3aqgOANJL6yD9juEygvGYPVQJuV4dFLbiIusnWPL5DbWu4epdfO7ql48UFfJvRB1sjMoNlQ1nGiM
YR5QtXmJl6mld2Nccj27Y151p/uSJ3ODrWlONMaiMRTGQ0Jqqep+5FP26Xr5CesXghd3fXF0Sc5v
tb3T7EiIa7XkJ2pKctIEvFlmrU8f1D20GaSsGbq7I82bv02o68+dYyd71fUH19LeEk5wczFGeKRu
xpyd6xaEsl22MdWNH2Y1nekIX1ZdO0jdRJI4lgxdO9o+LZf95Pk3Ksyvep38KBp77wyAyFx7S6Tv
hPCeZ6d+WHsgImtdvnuSzKE1vwofyerI07YXxs6ebHs/IHzZW351o5Za7dU4CeTS1hwBIUAp3GC8
M5hgC0nbQ0su+vuiwFI+uD2SWdZ7sCFH2vmCpph1yBwMgOksnzt0dlIDHORTW+OW403UIv2iD0BV
PaVfK01/go51b6OojVylXZCrFrtKL4cz1I+Ky8rOgAilFwBQzUE4KxZQiJ0MPbnBt5zKzy4pF7QZ
g+XEKkBSvBSX1W+upaum+6kRn/SmIX7Cnb4KQv8RO+svft3dPKQWD+PqZkeHxjwzPzzKawgOpoY6
cEm015wTykvqBx/u2FI68k6TTpba1V6Y6o2GnmKhcu1fuedPHEmZrps87xv8K4RcLijP2WP+fbTW
uxzgS4SIisF9b3qn1P59A0qGMKbbndv4Lwy4mJspby+aaj2oVRVnv7ZeytR/zjLNo8TRPdLLeQRg
I+6Ja4BrFOs3e9bOcmjxtuBMi6XlPZG/+eX1SbJjWuGmMVEV9Qm8xcL1TuzXDksBwTuAx0z/A1gh
9fOHPJm8qBdut6fz8ii64qOUo4vLJHsQbcXWa0DQGfp99wv9wCOUOZ4FlJRAsrRv/UZO7Jb2h7CI
abUByDl/sV41Y2C4ex6cqCLvEo1Gr87TvD4MnoMx19zGNNMCpVe3gIVFMfi9qMerWbV3Oc+zc7dq
SWxxAIp5fOUQulk77rjs1guQhvehYfCqqReWPXYnKyvq1QtyAUsThNsxycSnNpTqPAzBEHlZDs4h
eYAzeSaDOoZtXQSHVgw8hBZPAwyOk4/E+BySOTSRaRpoHM1V7grLTeJClkYYFPVbt/ZHz1esaCwu
od55O1qdzbUCGxxSAonXsXkVtfZzdTr/pqd9dqf7HQRbrzP3dc63rISh7Sp3TonrdHsdGXQ2m4cN
7f4+NbwwRs5DQKQtxMyaHJpKuxV+s/f75S2dhjcR5CyQS3ryPHmAExrrQ5CHvbKuYugfwW1tHqbu
aq3QJJ1liMqlAbDVsueBM/sExPJFFMqOaNnfOt35ujTBA+3t41jr8M98PiaN+fy4GuddkfbwzLVX
I+90MslQVv30qTPEUz0ysleu+bsO7BpzeQ3f1b7CfFWR6M2NlHQmjbVjkulOAanjEWbueXLv0YGy
RAlvT2gd8IDaUdI4QQcweM70zb3vYDuNXL9ZrqZ0pl03Bae8Th5pmKfR5IE+1+cEm0CNL3NGnFP7
MUb1nTI436qSyCwQg6FV263bQmSFp7zzKg+wWWXQY9ukPzrHVzGBvDYqsxRxV8yzC0BYyjEqnTl4
5ew4PJOYyKqo07WyjjXsQywqRQHCFQKZvt47+PbKJzeXPLVBJFb9EcFXdteRaH5UMNN+9WJi7dNk
zw6ys3Lr3qwkbjgjH2yNMDXlnygVjvmDoo7zpk21Omp6Nt8PlpsOB6L66q1jFPihzX09iXQj10A8
OqN5S1pynrE0psQ9obSvdozvl37MLeV3sd4jxG1H4wWy92hcR2fwCOQN2c2kwByP6fKwmslL4C+P
6Cr0D6WUHSPcY7lro2L5sOT6MHvSIvlMqNNNkcqEBtDJak+Sd3hXfEBcYb2FGFBgdrCz6dExa6zM
lLa0nrNDkd0lWvqibMT0De8bG8QTKsiwWsebmQaP1ISRWcuZ51jgPKisogqyiOLOVFqZMBHSJx9O
VpQPGYovUXhIpQSA97UAQ9nZH51ExVObCbBX+sUs7WDi+KHViXC7jFbkSB4yck7P0GXTXeMq8SAa
eZnG6UuZ9yLsO318kZ753vjtm+dhrzIWVJFKrw+4iKmRNKI8FojGOYskAErSYr3kwcAJwMu+ZLBD
qEgyMXKsWVQYM3feKiYDnus2/UrU1eTia8lpl/xxtias2AOZGLIb7FYILM3gU0zATpymXQYse5IM
eKeIyvrppFndUz5aDwPTHgg4zeRCy/1DlIU4pPminrNWq6frqMbmO+e19KNrpH+r2rIDT+MzmdCa
VHtzFeXLoDn0F+YnipbxkvrnDBfvTU29wFeTLjD4XBa2wuCEVWTFVW9S55k7/Ts80lvOLv+hCWQh
Qj9AvIUvVHsV1UAVNqHZ87wMcj3xeMT1yAP2pQV9eK3Wtbh53ricvTX4suqNdib3fUut4gvGXYZN
bER/GePIb5oLGxl3Y9ZDU/X110pwyh+zMtvN2VC/BitFBTevnWcjRVonQfSsId3Nkxq6IFaOO9/a
Ncg+ISK4n87kTG/oLi0IMvZbB3bugsa2gn2IMsl3VHFX+cnEloLOOixDHZ6aYnTGo6s912OkWsch
AgiqITNo7PfqkxFJNK0dXbVZfqfbXcXSaR/B9M7f24yKFLfOvt7sYmZpZxdaJox7dG19mpphPPmi
qo/5lLRH0TrTq6WWBCFZ4H41DbRZHZvriC2VsfeXiW2iqfDNCxE8UlPyI30cfVARRVI+txwsDviU
P30B0iDZAESFJtC0euVrm2lxua7erlNtyvQuW7c8s6y4EktfHPi9rnhOwRVpcW268o7oD6Uqy5r0
V9tJeAqYLZGwNCjeqY5AQ5tdhmfozBsXM1f6gYA+hTNtGYG1j7fFYuvM6Ft1msqkiQcm1SCkSzXt
J73tj0sLMUXVzEqwmFca055ucS9rtz3nKRNKhNEBsqEsSqPFT9Nnj1HPu6YYr1pt1jGcrOq9Ii78
3vQFkGqjnxd6bZ4OqrGUzF4G1k9Sz3wihqWQfKa5/O6XHecweudVFhayNz7brbrMOakrYibp2ZFw
b6R2pMys4IJbCDOHC3s+toUwZlyAweuIOjH2QYBWrF225j0KPYfmGo42F9xxkZIKhUalmvt3dsaN
/xJ8X3X0uJQW1yxgZ+2nbXI2slyK05QAtqQyTT33bAxGbv8chnni7hxGmUDbXRv5DRebnL9agWTR
N8rBSj8C5kPVVV8HNz9xDfbpTqeV8NbXw+9OBI6e3dhz+8AAZ7QJ8x3bNNDtJQUUYwQo2nWJ5ZwM
5bmC4w7CiWe9tt2PtE7dW8dBPz16v1sIssPIAr2dXDg7h6Y/jnre+o8VZr7pbAeTZ+2TAYz0UQz1
8EW4lZFFTenyf6gJydYQLsCqtwKIpxXnzFSLjLCSWhYOAVNhOJzlUtX3VmcDzF3GQgI31a1jxixh
EEknSzhHUWukhi3rRf+ou5oBqFr3xc/B1Hr7YWHmEJeVU9sO7TFHT+MundEqSoWpBH61rKdIgbrW
djQsa3yavq5tBpE2KM9Wngw+3HywBlIzY47ZBwNiKiAFqrB+91Ej7LJIUgdz+6SgCH8VBSXnwPjU
5oLiYP8gy3Y/yZ4x16FlOQmM7jhRVn5cKbHGPn6yC9/2e8b2FQ3pT3/Q113pzet7X+UxkwhtuMBL
ZbdDzY6TFXUGxNmccMBVufFSUGjZDu/Z3hatx5Hym8xmmUY6QMnQTHtUFhMZp3Cy1jKCopoH/nHS
5m9GOrj3wp2g0QVqD5+he+BH7GfK5OWLFYzOm86wC4Me6sMfbJ7R2eodO7bVOIOqbAyrzvTOgvca
FqXn8xVTntz10trw4PhGg+pg64NwH+eqglNfBBMLgZLucujtyc/wRi+KWwSng3Udce59pET9u6gs
kN6SMZ5rixrD1mLdG7NZzEco2xzebaeEC91kAwcA4VkcQzgfjiNVnSo4COEzlJB3xSJ2XUtaFBpb
mzc7Cz2Dd0Fj0VchPnF8zFwwfr+3pknpFywnmvOA4s+DBiJyxLk2IWIO2atT3hlTqruXudUtceLr
zdejMZnmGidq4H17XsdiSU6EzisJjnTeY4o1y0e2xip9Gaqlsq6lIqq/Z76O/4VrS/dJ10VAPrnt
NxdEk1wlEtFhr5qgz/aZY7c6q4uf+qGQpbCutbEu1nNpzdK4BIPTV0c9r9b56NdA1bvwX8vE5Bdj
/W1y3S6/2b1V1HdlRysn1ucR8nRotchvwsCtde0ucMl7H/nNmOrgglfgknGrQljuHlJbcpQyvXI5
O6LmkWeX/QPX8DrsJbN4QEQIJzD1v1HmLalAvgVa1h9rjeNeVVHGuJV6u3Gzg3nr87x1Q2/4kND7
IJYzHcuUDeb9mjb5if7bL+bQvvDI5DTFTvvSSWt5YN0GkG+7F2SH1bHewPlEFLa0x0zdxnKGQ22K
dQdrQES9JsH9dgF7n8aeT9kG45dbw31R9LIixx2tH6NfQL/YAP5JY/bGVk7Lvta/Ef/9b9x/xaai
OFJ6ZhM5yWG5oqjI2L3lXAtOb3WXyrMo+mATD+5rtaijmfs9p6sA8cC6OQgSUS4FKiWsqyFoi/5l
a6XsmarD8CFRB1AQ9pvPTiuX3Sida5qU5YdKjeVRg47zOPU5yPHZL2XkaYhKV11/Hk34kJqj53si
GeDsu8qDL131SbRs7gUtHc1zzhIBOmAzNGAD/1ltzoYySLpnUwLIjCjE2fwlywroSshvzL7Mz9lm
g8DOulHfMUQMjQ1d3EPAEupC4zNd8pZt60Ipa5UAmtfeyhl2S9TN20QUHtddBM7ni92s4Kbpzpof
FdUCmmXeYMZ0NRj8orn6lm0mjNLwvhK/b2OIav6uVlPymCTYuHalv9y0TbJhSeJwntm0d77EPyY3
GQdWqzmhbMf3pC8VMqemL6eTDIbqgLA9+Jgx8h3aaVOrbuIPK9HH0KMyyTHbMUNoCax22EKMTRvi
teOHLM1qR7zv5G1qkUV1WKh0JOrB4FlnIkUtXSWEJN5vN4nRwfpn1HSrjf52mdBBtHaVw0hx7MAZ
+RiBTaFID5oOwnlZc4WVs7t877yymMMi0UzO90V+C2jWfc3sZfg6Vz6PCUt/3AQpd8ynuQ+jRTeI
vUWznnW6xUG8bFqXmV3Ivv+teoEQ+NisWX/T5HguGH/QaKHM3pHKAa05R1oUhIzCsbOoFKv1nnX4
VwYMdDtLLM09jGz9KD16/6FPoBK57MiEYl3o1c4lnJOy8ICVyDapjZYJ/DYDvWzarm3LuuqPhLda
RX042+w4pXlZAaIfDGYQqYfU5hyB1tQ1bE22TSQgC55HOWJVIEB5oP8Y0MPLEvOQVSbnck+r9Cid
m3W/2np3l2qT/PCWwrovyunnqDdBx3loPXFcSSOc8NiUGezRTw0K8FPnUjRzysC5GPlmnll152B3
c46ac03sR2V683vbtyZGDAwEdxBInKcmndl0yLbarWvj31Ok8cMSnsTkrEfOaPm+10d07bp6IgKC
bdBthkdJI4xNay72XPqkIQK92HdVbn3pwZeTlkgc65Q6XIShUsJ7SnIa/r4oqlMgp+DYFmNyBJpJ
ES4P4sLXxZm79VQ22fpOeI5Cdkp5US9c+ajZSY84RkBUTfuifB6t2fg6A96/d7bh+skyM2o1rvlg
KozlTHFwNKzr4jA6AFl1QZSA9F2GWjmoObb15hEDgXVIsnK8re1YscOoQArQ1fhpzUn/oy6bn1XR
zJHsxvH7VJjefSeY7AnbkcCp14+8Dm08etsq0umAR/5sZuxpiuq8eP3er4wJNoiztzsNF1cznWBR
YDxQztk0546J87yNArG8A+0sduRGXuu6/HQGUiVCqznUtmADG/0qnKCz2SkQD0ygs1OjcgGbGGY9
YJ/btjZoweNmadqI2om6lpy4+3BV2RPV7uai9OoJxGo4+TXDFQytI8Qe6UBapGzPQulcp87CaTit
tSW79LLL98E0pRdiHQNfBMthMAc8e2vqVNW0Pq/6LOKS9XM3zSlCgbknOaUHcKDsF08vPupqxoUA
RTamB7hj22W8DkaJ6ygvznWwfGt7o9/5fDY/NXx9UW7NsOZda3ld/ZYhrzafSQjWKO3rMFd+dtZQ
9QAsSZgD070l5yeMgmVyQqsa+wlngnHegDkdOupLhZ4iFtOsvai+Hc7mOC+XlCdzKLESHAMqZtTZ
Vf/Qdz5FI6+SEZ3h7OKXHo4rcpn3ftVSJqeyvEChOVA35PzBYStqfIugXzDpUdHV7Uuua6STWE93
TVVDOuMBuLdXdCeLVntxS33lLmXmZS90xMtNbvSR0XvBZWgkD0DGup70xFuu6zJ2r07C+bSmGvlV
c/FpL9pZLKNuxlMhxJVCdaQP8ls+OvVtZGLsghcmP4PmMo7o7PvXxLeNi+x0/yrSrvuhKrzwudal
F8NgiiyBYEU8udAfCHRpyY6ljMYCnbHHmaJFBAWpRgdPZjDwt+2iAMKglIWtG/DE3jQ1Z6A14Qy3
0W20ex+74CXlTP/Saq1/w4jBom5Q7zJTKDiMuVXiSTfb777VN9e+4km475dJHL1WuLvcxlI8qGX4
CAaa+hUZ6pBzHStzbV5cxanrbqGU/ZTOGc3gtU6RlU2Uc2EOUU7cdotfplagFeuMMk50Tx0ohxhn
zDRamCX8BY0kb1XMVC/3ZQXe3VUqaEO5LP4ZzDI6H7Zj3xZWGnXkrsZwJsoqjYq2VnHm9Xg9hlET
x0UZrAF5NewW0mnH2sMGSRSBuy13pPySSHaXlDX8QMaTPpV9SHVOvyip2eeUcokZIQn2Xu3U1H9l
PgK+QbIdm5bM1l9bx+0fZ9vWXpt8NO9k48kzoN4vRefXd4rT1aNVOPJcJy5T2fVSYxRKa+vkeh3s
NPIBK6xfemAxE9Gc53W13FG+r3aoWRI9nCjVi1PlNqzy7pQa1KihGNmxNqQyct1BHyPhtM3nYjXZ
uAvMNXnNuqH8ZZVJQNtE41ngM7UXDYPOZYOBuuCSz4UehK3IixezXRBbEYIzfRgGncP21+gvQ9+X
BxY0tmuVsxL54sg4k/D1jH0/rIyw0lt/JragqFmP4qZlHBRe6pnVj5lC/pxEs/yHrs08tG2QXYw3
mxgF+6bCTc9+0yQRh3HXOpoN5QW9rfMhVHC0qthWkyMwdLXI5Q17TH/qQzFtAj1SWcjlz6bVGB9W
P3e4QFfWB8dSdCqs9doyuBum1dTciVlLvuCz/8gwhdGEp91dOqxjEAUhs3rq3lJ6ufdabWYIz90O
yLb4gR7+NOhtEnZBcSe88T3nIqdQCDkrykWGTSB3fIo7qKPjpG0x1RCyah4cAlLpjswZqx4b7aOR
aB3znTk5mNEqOjgHiTgYaY1zyl1qwd/kApQFWGWHk+t9UqHL97JrDr3jzLtsbPq7qphkxHCxToeK
iQQS2G4Ir4/rX0JZyBCXnkzOC5Gl/M/AS8k1kJ084FoZvhSakZ4CkaR9XA2dPI6m2XEDbYSiWWrh
0qn0xudNbIj43aVUBWjfZhbTfmXuZl9mCwXilS9Jy4Y2XulUaJdAX+uXSXDsjF3miQ3+sblbbWO9
+QFMaRpIuGvOrKu0YT2axGyeKHXRArVp+IQ1F5+/U/lQnPq0YXvOv+m7nkWaPnGNt7AaSaVwFkmP
k2tZMnb0edqlZEn2VPaguDSz/TTTSdwzMUEPyLPJXCnnGyhCR+Phv1192GSPHK6Gr2uTz0fDais2
Dn4zh02vtV+t0aFd2Qrb+yodjWigJ5f6bkic4jLrivfBfi+hr8VROR31KdYm/canzeLci4LvEFPN
Kae2+o8ZS0K0f0knk7AkmOPqG8nX59jr/5H2FmIc7EmKf6fn0bctipa86xYhxXdyPDZbBNas7cA5
MIu4zP7wnZ68R6936CXzMAEH4OOcJEyid8imim01VDfc5T67MSTPZbgO1mjGbTVkGNMHGAFxOYp6
/ldc+P9pkO//S/G4Tj73f1c0cBL7/vn3MT9j+4l/z/lhRyEe5wbQtsiBk3X9nzk/w/qvbQKAYy8j
ewZkLOZY/j3nZ7v/5SBh4HIxHGokGFH/z5yfiW0FMj2TecDJjO2f/ke5fvvXVYet/X+VCvw5FWBa
zD7wi+AhIPL4v4j9o2OzIQYWEDWmmjjCauznG/lPgILfzKm/3AIAV5lkY86Lj2Ajvv9J/6qwk+Nz
sznY5Mb45Jq9/sbqwCKe25186hRBkwx+xR2dedzTzdAgF1pAMBT0Cqz6UPhqQa+9evqXrF/SMlyo
hejsqyXFcZe698Vp3PolK6mGXkrH5V4PwI7fB/MExwifGpF/pI2F2FnmRC2eTLT2XieG8TxXefE2
laWi504IoIgRtQXPuWACM7RTR8cw2MB9Ko0S03NfYsccqQL+w4zAn+MgfDogp5mbsnVGLgEvsYD8
ZXyB8njjVIINy5qskWzA76/+s928ps73v1yX//72/zpbuc3O/PE1/O2F/liJ1qwsjbnnhbp0/LK0
4r6r/NC1yArP1g6/SOgrWvKEu/7zy/4RMefvImPicqVzWGCJ/pPGmub5OFl0HwlkE2WfRDDv0qIS
uzHxkj37f2JL9EX/Ydn9Y/6Zy5lXNWHi+B5AIA/y3N8/1U537YQdMsFT8lORCKZ8V1YcD+alNm9d
SWEq7D233M8lpUs2UeKAwYPEH5fyP8yr2Vtc/y+fO7t4i+EP5qeM7QEAb/nvb6WvG9qEteK07rJ7
iydEcncMDZpqy1l3dHeFPhFK6u3gnmrfrGK7r+q7Li+c/Jjisqz3OsOS0KCNIQmtRC5fUEEknArL
kUqKCJZzKw2C0FOZAl2yKYEtB7sYl3bfSRcf3+BrVROOczVR/BXOm9KsaQ5rqyAWbXSe87EtN/pe
rw3OuZa03WVHRHR5apkYbGjlwEcLu9nRzl2KKlQIB3CLN1W6IsnQF99wHupd/J+vmT/m235/ZNsU
NDzZTRGwaW3+ek8wwJSunJ8YAWj9EVag270R81k+WkVz9T+/1B9iFa4Uvh6PQXng2wxK0tD6+2vV
Q0sXoqCYMrok11ooIW7k9+NwtbQ2vzEaMER0egAJMVFyr5Vau6urTj46zNQfJVMaVaTN2nh1rEwQ
EpbFTlhFEavSHv6J2vzHSvH7nYKf8olnMmTFgPLf36nvlapkMoNuHj5cqlhBCSscyWMsWiIUlY3u
b/cPH84foyjbS9rM6W5cMMYfmX/84yXnpio7eyLTXujJg1N5/s/ErJvp29LKtAkxmJDj7vSM0vQC
hYluZpn4u9zpQbtjzHodKsshJaIly6lb85KsVVOWVNScenrNPRNGPbNbHF//89v+47n2+12z0/pv
9s5jyW0u3bKv0lHjRgVw4Ac1aBI06ZVOKWmCSDl4787B09+FrOrbIpOdDE07Ov74RwqJJHDs9+29
NscuzpIsPkcGGr1h9M8Wr3Sq00fEThkbAPj/c2e7dysbjX8IqB5nUIxvAGYOHw634sxBxhvyc8rk
K1osbesb7Wtf1eW9akEMeW561u12YjVhYngsbO7ikiSg6XBqRLR4xFCQtkX4JRL+UM3pjsoSJJ60
GuqvOKaWmJA2n6agW0zrqBo5Cq+N0VWPf/2Y4TDjxuU0YkMqOPoqlkJCQZlPY42FHOP05rxFTx2e
G4Mn3ibIGGzMNicJOMxH62dhQyf27BqZ7Dzq3I4zYjepk8aLitHNVrS6rW8jIsiLUNR4yzJPFqyF
NGtqmve3FeCVdDV4SFsiNxZnoNcnvxuHOBxEhsEh/2hPVRXhBzF9IHoSZC7bg65dcNqJ/v5TnIXJ
QKAXR0W2tMN3TkqtVjU+F7soNfpPboWUWNS0Hj5+nSfmOlNcLJcV5gx6/sNPAXfrGLPkOcMDK7aa
Q1mg6Y1iHzbmfCudLNqb1iDWc8E15eNPXt7g0Q7JERS41EIrwSp5NF8RPox22jOQLBw4HhtizIxl
vGn3qaV8yh8wxCDua19cNYELmOoovf/4GxzF2r3tAiC0BAFW+IEpCh4NMti7+kDFnx1nAiJK6Auy
kxTZAhc2+67oc2fJ6Y123WCOFyHnjsuwDeuLzMDGOOcupp0c0Kgd0Y/tvW4ezxxnTqz8zLBlpyLj
1iWC8fDVDAaJxGXiEaDitsZd5jjDfdRxmFjn/jxeU4St2+3HD+TUYGAzXBY2jlLv9hpZShTwphGt
WWeJw6GQe4WOtfpeRj4mFsOErkOwA9U+T335+JNPrKqQPzhzCIP7N8vL4W/1uZ0XdoVmhSIcB7LW
ZEDWpByRldyib+yccFN3Tfj015/KAMTcqsOU55h6NPiloNCWS5ovmdb89qas/0bjLwTxWemLloCi
crKW43wuueWNqno09KntUkSGvQG98hhIQW9jRMPZRGuSdRlLCL66fac1AnQkAvrLqKxCewPIqtY2
Peexy3qgF3dpFoP2W/UKk+RUEIS7b0Zd/52IMI2oi0bImKIMjc96QMJbB4mv5u9JYc5wp4amC1d2
NNbF2s2tJt9wM5unrZF73pMXWQVlQ8npZ09FzlYXnSgUFcOC/GJSSZy2uurA+9lbWMbF3ow4ewaN
7TnPwpMmRhqNzko6DZbaiZbSMUWVFNNq7w4l3i8/j2uaJsDRVuTLOumZPd84MUe4EgNLYRpbmK6P
diPT1/LB1mdmMGaFqzBarMjS0ExOvlG4pcU4rJEz6wEZcuRZZFJdW24ibnw/tfbk0VQXnhrqizQ2
/dum18XdaE7cMj8eZSe2C1Zv14WaybQSxwu5EjaK2hGPsdBL52fKarZWWjN++/hTTiynHgUyVjEe
BwlMR+cSy2+l4sVz7opr7hsFzcpATE5EOlyvJ3RbKnVNWITpBF7vIVTMXH398Tc4+TsXlLFhg43Q
veXP/7jT9lM2JEoR/OBQqfxiCNWtU19EZ1jXp1459yniaAlVY6myj34ot7hC5/Icre20NK8xR2lr
P7SKrbKHMV6povYvUDaKnS3aZOs1MvkkOvz+dZKBuS1UW36Osb/h45yxnhkxlk6V5saZZ/F+JWV+
w5xZ6jgsLAvP6c9noXwS5PuMbbUoXXaH0kRNUevpS11N0e1MDseFitIX2evOmV31mF3CMdjigLqc
2/lk0reO1rTYMtEc2Rwb0HTYu1xEZKg707Tzai3agx4H8hyN7m/KPnj5oqijX69X1w6J4ihUHOIi
/nZQ8HUWhAhPg4P529f9Y1DYrqGSpGw4K2n4MIBlYtQue3nmU46Sn5ad3GLU2yBZeegWK+vh8447
UU/uhKtK0rbfmNnUBQ1FV/w/aPp2WmcYF5qaHiYu/V9npBH1uk2ndBXVhQq6RK+sba6bBEQYOrmM
KCOLaS3T+LtwZ3dXNomFH9LyzszYZf8+3AX4zm+3zyUag3l7+J0JxMUw21MimKbqO67CrkaO2Tuc
qRXSy49fw/v9lcglQXCXw92Fju7R84kKq9IMxfOZQ24nw9zmyTrNzedG6c4zvkEOFbZyvn/8oSfH
ImRzkGZEwQoYX4e/sCsovbVS1xZBin6JlGCENZnpZJQB2P8S4UCfsaZVFhz52ctwmVkgkjpvpKMj
ge4nNqLWj7/S+/1iqckIyp6UGJgiR2eq0qzkMHGZQhDUYaidyNCkJGRlawvtDSluiQzPnKnE+7sb
CBaOl+AYzSVE5mhCmrFDgcDn0YtSMx+GSSIMmYdZuZdFN1X9bqxlLCHuWgl0TqGZWQBpxZ/2URLa
JdrNknDEOPf6dq2TQJ8HQHSSnevMsfzi51FNY59mf3rnN6WfbOnNFZBVbSc2zmy1J1Y02kaUZSiY
wHp5w4n/MZELLTLcbOBnuKMx3Y9pmhLKqnycX2O7g+eR34hwSDF6L8bdj1/a+7resoJQ+3irpvMQ
j5Z8jHNEwmILIohxiB8SjHK/kq6gfUYTnDxcXRsT7X4xgFy3aWTbv3Rzmp8QSAIBjWyz2Zz5Oqfe
KLV9yrYUN4EjHU0mBSdN1qNB8cgqk6epSe2AUq8P+3zWxi913uDWzAyVPjdTJ9ep7XNAC+tYP5Ov
ccytWxY9cKowsBHlUFC2j0ZWomodqE1EnSYy5q/D1KfOtsO3c5NAdpt3HIPCEhFfZl3lHQrHXeZN
UUJLXcjyzHb3fuu3eK9LORsSD7zLo2mltLDzOxdmDNKkZsUAKQOponPXkxMLpiO4rBJ1AfedYXi4
nJSeUr1XsZxMIALqld2kZLeK1MUVVDl/F1X3tqNAxeMow0nDXzISjj6MhN4e5pnGxZT2eNKm3mtf
Fl8mIY3PH4+nEw+PoidPzdTfyGNHrzFzs8Q2omVmlWFzEZegBjI9T85UpE9tkaDThA37hY4D97TD
H0R626gsaGUcyvEIguCdPs89EtqLiN7TK1CFWFy4eH8DlUNxmCMjRaisRT/FNAztauzzV2/AAkVL
1f1dJBFwb93BSM8/tnSFq0UOqVw9f/z7h0P5w+R26MIjOyZQU2m08S2OHGck7ekEju6SV2OdWdxO
bAsUDS0KnpDsKAgcHdfyoqEKEvEpWjk4644VdZcglH02q9i95lzbndsUlhXraO93qKHxGmiOIUM9
2vsx78Ne9MUyuioWf8A4X+G4IOyau2EXtegRcdthV3D0jIpX31/ERuxssE/OyFkmnI016reLgRok
GkGv2DsYJLbksImVz5X5otLMa8sHOrZQM9ozJ/BT4xWAmWAQ6ZAojsnHYiYaqXZDbVVxg+Ka2iZ7
TRG29fcvfol5Y8LTQzX15UTzx34T94iC7Jy7bsVyf9nOELpdoz1HXTq1pNjQVQnboJ77bleboyyx
ppAzWFeFqLOlA5ei9s00QB2FU+zjn3TqwzxOpwwyen8oCw9/kpxtvYA4rgGnKuJrJM/tRdVRX7Kq
yD9zDTj1jpjnyA9YVdgjjiZ7Z2bNBMKQ857t9avSaImP7wvr/uMfdOJU6QBXMihKU8Gja3P4g5CU
uC2mFW01In9ecwlot9AW6Cx3D7Irg3RMzu29738XTRvmjLfgbrn+HY0Km7ZUbQ5c/iJuuavMkvWd
3WvyzAh//6JsENqejWj27SZ7dG5Ff2dQ8WA7Gwcd36XmhqgaZ8PdGG4c7T5+hqd+EQlZ9IF1FgMu
SYfPEP5cG2stn8UNR8cIisAIyey5wNcTp1CqeksOJJESJAYc8wczFSus2Jh3AXhpP9rckStpkPAy
O82EgNfCtpzm7YOeRemt1mG1yWlRr3179oPabgHSpWrYp67WbzNyNQKjHX7A+/cfZVKVN5aYUxzn
ZeifOfmdeBGOANnKzdFa2h9HB798rMyk8BlgHTIXrpAVfRe3n3xatqH4+vGLeD+YKSZAxbNQYXBx
Pl6S8elRMgE0te50F9BGSTNQ4ZnEb4HFg52wjR4Tb+rtMz/xmBbIEePwc49+o9+Hg6zgJ6y1iCqn
3ZqvIF7gORnpHPRLFmw56c8jsFxjhaTRuSMv6rXI/BnPs5ZV27HHrq+yqXr9+HH8uwp5uEfxxeh2
UVyjk01T53BkFg5RtsoHCO3ocVPfd4r83Ge9BiN5SdXFhm1ejiInNDYyfnsdM5NkPhh9gdv2aX1v
12OJI63VQIQ5yB23aTw0XBcANT7SBHSsPS8+53Y9WfrnZeGtVhPZjuMa/bKjcV727Y1fp2jqKn2G
wICCNYYZVIMoXnteBs8i7fw2uxz9ebYDvZ8Rw7meKQG4zLORBj3cKX1NBUz/lc+d80DRnDvvPE3D
PTWsFMlJ1JY/xspIUEMONiYe2k1WtgqlKe0131LZa3Iqk+o6d6mFsusuvd2+QtII8ChVL6BY8njj
t4aLozicK8SaSGivKC02kG98D11NNmfTDyka5rSHGAV5WuPb126YRXZQYIlNVprrx9ig64T5NzQY
VZzQNz43AEq9K3uqEWpzZqPrlehSJ5EevRr6/cEwvvca8Y4+xcuS81qsW9uMZzIHuow1RA+aZj3R
KI44y5CktTG8ybWxe0t0hh1HZxr6pTC/uk1p/ew6cPT4e3GbReGI3TW3x3FX1qUWSEOH6UT1EGhK
1Lmw6ULEoT8ac6hfHAoV1swTnsISG3CcNIRhCM6uq3YyOx/skukWW7tMUZiKtO0ttAcYvFaGEXqU
YWgKrVoZ1xPUuNga1xoBNjBJ2iR/KKZUfunQcXyRqrgnKjm9aBOnNTZeWLS/mk4YPzJ8vC/Q9+ZP
c07ADQjN3v7pQTHARUuZq/pk6WWNl8gy6xRLRQwSpVEwataNhYwu6DTTpomOyerJGAe3X+VuZ3ym
MmLOlylCV7TRbjqS50DaDRJUkBY7aP/IxKeY8KtAjL3dr4uxFp9c5u693sJBWSWGp730ifJ+pHVL
ZlnpRfGjyd811kp27bzWw8lasorq6VtnUC+HWqbhwm4wqdm9A1qwEBLSZtYaZnE5WO7AOPMiFNQM
88hZjbYTPqopF2JFxKBxPYEMgx4i9f52VEn+PUuL6Ta33B5ICHb+C3cy0osm50Q4lxIfLQXD7rFK
09jAS5yQf0OtFihfZkrjSlVV626wigGsqM2qjreOgV1vo5tzlG58cPRIisOQcHAwm5DjrB4OTzA1
dfhqyRnDWVFYaFFmFTrxWl+A3nFRxzsJCsLBFjjbj/aoRT3lYKfGaQMnMEIJ7LX5TnqR/FkSCP8N
DA3y8LnWhxYg4ZIcI7O+/pwXaUkWY9ONMJXoYX4f3Iwo47pMAEXUkeXN664wLWcnaRIVq3ryy3Yj
nUQVsIIaFpXGN+Zir412tkxCZb5kbVfBFzaUecX3FaihQPf8xqtVPhkDd8/VIGz4AdDepkvos64b
zDDvsD5PRfKrgi5IqpGuhV9gX1bXpfLwPfmExn7Tq3L8YlUQZ1fuTDF8RelrclcU3pqM+QvPYq37
Q3EH83GpeFGnfCLZav6CD2Z+GtDmo0jHrA8Qthd5TOro3H/WG1TxqzG2u7vZsBWugNkWX92RpJ+E
JRu/eJcMD5QI5ntfRQh+SmQkCnTEbKod6gVoCaGprPGy8Sy8I4lqDSTDBpyRsqvyH0iQ4zHA2Dht
7Dq1nCBKtOkeQKD9vRnz7g63CP6L2hr171Mz5G6g+VOGmV9v9JQqaV2vvTaBaNfa+otKF8dORqDp
PXKvBI4PghBnzTy2ecS1hz+2quAEB0Qw5Q+TZ1JzNLA8Q7tPOvcSFlvfBlZjDTf50IdOYFtjM12F
2oDKX0+T/CnCvurtqHhZT4boe3z5TZY+wHOJcTk7VNnD0PJeMdpnL4ka+kdLjHLeQxUX+O1dZvcK
yVX/osdl+LYAYVGZ0ua2dZ0hWUWwDxkfphb+rqStXmAumNmjY875F1Zu37vWLa7NsOvq6kfvhFm8
dwetkatxImITjVf+jD9jLrYN3jJj5Y3J+AiwsRg2XF5puTRqiLQrrUHiuyFCF5gNKL2cjIVxaCVT
s1Kw1nIJnzTsp2uzD+MbrQn1V+w2EjLYlKufKpPYPtKakvSFb6cJgFirdEA0gD/+lulZ0ZBmNLVX
MZt2fmmTArLO/NRwAlGa4rbPW/at3jY7Yy+UA5IgNcPsjs522AYIj9CQ+dijcLhQwUzRGrGWBqlQ
2IUqwFkctTUlqhXeZsiwKnH9Vz4gNPnl8Ja3sdcb1QZoSfw8eXMrdpA8dm2KszY3o/gymphwSmtp
eJIwgKtm8JJa0FYnECioGIJqH3mzdtvBkcXmblvRj9lSBQZTaxK3BvlT+Hr8tgIBjFVspcFW/2HN
ljlRZTMLkNpErdLw1NslqzHCp7lOvNYpcUVaEM+scPC+O8ASP+dO7bfXfoTNE0dUjiepKeIv5CXh
6h4cS9KJLSz9XhQzdeo5msx41/cmrUsWh8i5sBCsfEtMH8OS5rBxrJSh3E/SMGjTSj3k39PKJhar
KnT16xYooxbUulbdRcryk3VCYpC+E4BXov1gjP6XJvIihBUJhpdBOQ4LTNPKG5ZmvV2FFIPD27w0
sLoJbPhBkQuCqjq7tO4kkEZ7Qauh54uQy8GPq3WSMrNsJo8sBPhbQJrom3CLsy/Bux/L0dhEnZcP
1yFv7qfdYh2kqmnldL5C9xHkajqu8pbYixW0veKVMyGS3GLyOwb4aOnjyrAn81VJaLXrmDOftkba
qON5wA5HDJ3msfKGgy+Qr/upuHW6wb/T0r5/qMM4vnXmJrojrcpVl2XH7BU4WWCMmYZ8aMsWoJ/E
KZitvRHdIwScTn3j8McNpLYzkWIYwsSPRSLJxlXdSNhJnFW6e7g44msGf4pFa1aZhfrdcW/zLubS
Yg1wzgaAlUPd+L/TzgHpJWh/6rOKbbSSoIBQRkVGuAK/AhY6mfRxa5rK2Nu4YPpNLDRkMEv289al
g908ZEY4Tuu6BtR3z/yIMev1UVitK+Zhvsoizfs6qSzOL+s0LfOr3LLGkazjAdKZS/osipZcz9ug
i/M0u8hs3bohSrsy1rXbDKASibBvVgIdQntjDw0ZUXlTZMWmsXPfDJqhKfsdMYODt8MpnNSX0ksz
zgl62kZbLdTtdOePJNxm2aB6nOiDfM5bLX2sEuED4KbrkK/yTrMAi0Vl+6xXJuYTa7ZHgzNLVqSr
pvejbCPtNFPBMPrZC9opS6yI7NQ/24UbPdmVLMSlcGWM59A1ZoJCAD/1mY/lu2eofGqBD7WoVD1C
1A1zApA2DtPNYjXnHgkfDc9uZQ5lQOQITqBRujmEBKdzTSwfjT9ig5/lvsw8twhMXzKuIcK5CzHA
KMBGdYV7nVcmVBHOVQPHl1jzI2iDnf9gFC6GRWDA4c9x7COXkI08yvHX2GKBlNvonkuSTX+PLpEf
e5/Dyk1eAi22QwHp113kDphnPPGD3VN+ZjLZcm0iKb8H70AgdF8Xn2qDRMWLWoTtV732yzu03BkM
N31qdtU0ZqgbxMKj7WoDpGqk9c4mqts04Safx7cWyR/cnWtdFdftPGgR2JLQaDc1WQB7SCJpF1hk
oxU4vXGJbfNusZ62TpGJoEK9BhfWHUDiWRnoyiAt8MBt6rCU65banIN9acjLZmXhofyMwL65Nbju
yA0nFIr9um9V+iZDMkYzYoqzeuPpeTgGkTE2zSo0mqJYoXuw1N42Ff/K/4zmNjOjAfVPRdws7Js0
xuDUjxrQHQ4n4kwJ9NTVnsa4S36du4g2j2pHCu1V2RbwOXhX8a7Wsu6Xm2EcS0oLzOKZuyw31Xc3
WW+Jf0F1b1NVPLzJ4gHiVGv2bD9NtbjPMP5PXdr9LjUYx0IvxJm78wlhme1gfnBoub4paY/KVGaD
1qAG6grjJwOa2YMpImN69hdHuvwZxsX05Ng4gYRRNCTFevVdo6DODjYI81Zjgq8m2Swx15qUu2x2
aUB//EROFTsc9OYUV1GM4F4/fCKIKPXK6UAZqYhvKcc4h4shcQ7Oo6d9Al+krzFHqTPv/H0PkS3S
QWmlk0RPCfSoruZG7EqMZD7VrIYrTRqLPx3WT0CDb952kENWiWcOpC1WMjtT4n//2VTXFiWpq9sk
Qh5XRCGfhZlX8tntnEIAzCZv3+FDxr9dvnIaDT/Jggv6Ysc+U/U90QXnk0npWlw3CL7co8FADJCv
RjEx+pRdI9Lvfw6xRVlD4dE2PCNk2nv2RRhF1XcUrNllrI8dnjsZ/nIcGZ8pbb5/8e4iDjJpodEF
p314+OJlovlmNdkYM7RpuOQSVFyaxBJuZgqiUDpU/oXueXrmvS+j6XD+IZVFskPrFiErlPDDD9XI
HoJThtTTjFLzEusL14WZ01AFYeCaP8h3H4/uE/OP5+3zwE0oUCZ1l6MP1JNBQr6hlqdVwLD6NN9E
FiDuWXLmZGdzQmNh9bJf0ralaplpAxsL0s/4wdebEsfkoF8ackDMZCV+vJ6Exdn44y954qGwGTIw
kKzQETgWAU7p6NXwncARjrWzmiCZgyW7jlNzqzfGz48/60SrGL22tcw7FDKoipcq9B/dlImE0kKW
Lm6sEWu6LYWOP0aC01hj4R+9tUmao1j3vhW9DLPUop0Z6362Ikqk9DZnvsvytg9HAy+G+j3hE8j1
sekcfhc0eaAUFi1K4kd2f13imIaLWM/idsoxbQRAptytlzkIlEq2HytQ8D7yFcYM76em6f7Z/Lf3
JXhPX8RSOtmSiKDF8qb+eDiJ6Wk1gS2U+9MWXlw+W4jbOW6QouzdF3FFubuI6x1ESY9D+qwgcprN
thnCcd+m6fh1pDK4GWpC4j9+Uu9HyPK9aEshocIOc6zNboX0TdUzQtK8yAM5dzpmOoWTKvK0PaFF
54SK75dIpLD0IrCbIIul63r4HHrcsQ0DkqZ6OXkvihbWKulhlWFHXS4IkeKsnWYDGp0lEv3MdDjx
EtAI4ShgSDi0F49eAitP1ZX+DFyvqfKgH3N3M3HnOzP4TjxShh5zAUeN5XjvdHlYcGdj0SjGXCCf
MqTXn1oBGrAr5+7Cyx11zr7z/pjDPkeTjJmCspk2z+EzhVfVIHNiox2aNrqzYQUEZVqC6+qRqH08
XE58FNm3JibRxQGnm0dL+1iI1sB2HKEWGmYM3l26kahqVnMTynML7PJvHc1hnKgkabHw0fx7W4D/
mDKRi1NtjHWODjIurpyhrF9iq4BGDg3Ku4nHSE4rCIrddYFvfz/N4rcYE9iLbaKv6556MpnM1aXV
IslsBhj01G/CrTNY2D/x8E+XOYLZM9/55OMRpotUGIUqLdjDNzH6EtEoPLI1laz0F2jNCcbFYN8n
+jxffPwm3vd0aFjzrgFaUsh2Od8efRYOuyz3ypgDnKYXd+2QdV7QV438mcYtKB3PGfOvpWOk7WUq
rYj+kkji8bUBwthv2rklTw/GdOwEJs0McV/HfuSfOQ+9KScOXiF6ClLB/KXDg6zx2KFo9noX5pCQ
1jMtQ/USJfC41hO2D38NIJIyObgile8co4wnchyEr57RG3VoizM3DKRrg7BELdGiA2GN3zZ1U2ER
rBvq1h5zOQRM3Wm3TtrQrpOQ4Ko1nCkBoQcjU72SQ1hOl4VttjcDdJps0+eRhDmox/JCG0IgKuBo
pbrt6FmIMxPlbbc7+umYipa+OE+AVJ6jtQbDP5dXQArrlsPmbtIaDcqy7mXfqESYVTB7Q5FuqCa6
GTRqK6+3bK1UwpATqhsMQajIm6TSgEZMjvvYkYBmfstpPzyaSap+uASiEf/gWzO49J5Xv+IUNnxL
i4ofr4+WyjepTGLSfvQk/lu1DNVMHLc+c5L/6G8cjruGsJGMU3AMRJ0Ln9/a7rpu1XRGRPn+eIWu
gFubSYSXx2nSORrePCkvMcBVrWGy1Ncgwn2560rVxUFeWO2OhDFtflZtWFL4JnJtjxKvG9bJUFcB
JJgKPWNp+1oQyR4fN3WPUGxGT0L6/XgavttS0CV4SGvpYAofxsXy538sUg6FbxL/kHG4BllI0dAB
BefaeWZLOfUpRJrCn2TzYiYdDSYqJHbKZKWkFBOBpiEEJNlsTolY/vjXvFtyUfcLF4czK5i7XKMO
f422uKy7wkkAkNVxYCeOsQqpm0A878tql4LVuBqX3tEawmp32dpJZm8//gbvzgd8A54nhm5UUvo7
4c8EX8ZsAMyvLVFp287Sq5WLQ+26d2UEDcTsJchIw98J2oafPv7od/s2H+2jl+L2hoqW7vzhj5c0
4QcCKOi0TgDdJtwqN3QcwwcWHeNehllx5tJ24qUud2N3sV1BSfCOHjaAJB3dLaWXvs70C5lbPxUO
/TNv9C3x9nAdWizf3IgWT+dyMD/8VSH3c+CYZE0mTmG/ZBSts23sE6Owbjk1xJu0I5GFdiXBcKtE
H8pxM6u7XtWYcCcqTc0VZbXxrkq64YdGBADEJ0Xf2AUAO+zHssxfTNeR30MtHlgHqo5qeyem+QGh
myCuxu3drSA3YSA1oDIJ2uKbfpO14WubIcsgEC3cGIfJo4H6avSu4Ipku9VwV6kahFaOcpLuf6lp
jwliwfCXRw7suMdu48BqnqTpb2jThsVqQk6cB5mGXACsWNHPG8rQhRVAM4msLRu95BrGTvUiQkzZ
QUud9R529VQ9VdyO1ZUUGUE/dEd6UoRg83FPIdzBgJzaFyWI1aj7QthAagRxVJPNlcZxNfJEh0rs
+mwGSZXNZnWnaaHbB6PqaGMBunTuI8RYWCBkHj6lWju+drVTIyTQ06n7WtOOvrDdGvgUd0JiB95G
819RVf7fjEdfLp7/d2zK42tRvf6P/1X8apMfryVFtV/kyfTq4ue//rH8xX/TUzQOsP+kPrM4IihR
LIfn/41P0QzX+CcKdIxOKOlZ8JZay3/4KZrBH3Gb5oqL94jd3eWv0Znu43/9QzMs4CoUX8icQN1j
w1/5G4LK4WJk4+Ti23HQRlG1tA/f0Cd/7CvwPZvRskf3kZuDCKLFkW1P0MayvNQvQhSXZ46Tb1bY
/7NO8DspJiKvdnEQOBYi+KNtHVOA35D8Nz65voJnlCDGRcFrxN7l7HdD4E2WuLabLKJyYJn7ilv8
rlMarDGDWuplGo7gt4bEBoDrjdYFQQjqV1kPXwvPjmhWY2R6aDmWfDNVBF6cxD+0FY3MN2ZXJBcq
HdNXuFgRbik/lZelXZoupRKv2+lkKm5q2RRf/xgUn/79w/5klhwuvv/+uTa9fIu7KCWLY4u9ISAG
qmLsAVnhehCaTHa419xzqy+L6+FDRX6LWJkVnmsTwJ7DxdfvacmYPQwZyFX9bZJHJM81sRGwTCxU
s6iurjARnit7H1Vilh9H6Y0SNFVIoD5UqQ4/lgjliuhXUobbxgRJnQwuNC+YdBa5XStUt1lQRWSf
OH18Xbryh3I6+fTx4xVL9ev4lyN3NnRuwKidj3X0uh6p1hJF8WQ2pbiNkIOgw+j9VWsXtxXMsS29
72lTa0iKaYvf63E3AH1m4OlZlm2yzhYokYFROHmbfc2sihj1Wmi7BJ/6pRh/W21Rb8k4b2/yVon9
x1/+8BbHzV1w/PGpWZtvJwLzaMuM5sE0c9Blj6n+4gh6FdqlyOwzQ+N4gi8fwmGOIwfMeXC+R0OD
HaUhADfTHp242DnJr76od8z6nUw/v/2a/78R/AMwwh8vNnjtX/+z2N++Fr/+9Y+LLn8tfx4RtP7c
AwBlWQRls+YhU1mKNf+9BwjWcq44+Mo4i/5nnf/PHuA4/3Teor15c5hRUCT/9xbgmP9k6cfSjs6b
Yc+fHCGzPkRoHc0g/BMGJjo+C2Ek89nh2/15sxhHJ26HxIo3Qx5SDoTruS5qFID97E9rSJN06Dra
N0Li4NJ72ZFtAps29lDI9EW0gKfUFBjKJ/JcT3v4SFO96QDAEVmZug+Zj/huyuhS+YUGs1Khihis
Hly0BlpT1W5OXS4f4S+TDKLXNSR6MlmD0i7Qb5SCPMzGQqtB1lyQg6e9TulFrmHiIx+hchf4hOYF
kAHjFyDW89afM8H5C73cHy/0xCp+JDnGsoUuHBUBNd7F/8nKd/iQbJhc0i35KbSZm9sEbc2AAgpy
cI7s4Hka3Ok586zmomdzuR29ofrZjWiLV6z8MKNcg6Iv/UehfZqL1HqOorB+1jvT+wQQWnutaN58
0zpiQGVWnvMeHOGBlq/uY63ArI1dG5/XsWvVmKspQXqrBZ0iBbrq6xT2eJ9WVx7Y6Sef2LAHNZfp
C9pHxC74YO6mWdoD/sGs/bwsi7vEbOyb2XCGfSbrdheRK3anExZxrmzKgzxczRdzIQwN2oz87wpK
t4eP2UkdcuIGEhAcKyoZHr1haoQa4DH46TrwKj6h0a+aGzHQ6bpdWvKCIAT6ARd5PbX6pk8Q5m4k
1VL/Ux/mOdIXDURVG8wDgPhvQJUL4zZ2NZE9l5rfFcEIA/eaI8ngrRvkaMmFKanl7dNxsponGZLs
BMB2bMugUInjgY2mz6iRMhGP5SXCgdnjSEGLnHE8DmFQl15qXyNLQnkaJ+RjveShi+7EHPB6pC75
ts8oHzrUBQBEH0Vc6Q9FqdfP6RTr4abSpvlimjn/PVLu8QwIBrBbN5TU0nkPyqoiNCv1Hy2iA9C7
p+38NSm16lfU1ePjnIqe2GsP2n02x8M2ypt9QfJPEHZpOJBd2zB/MqDQ9xhwpu+V0QwCyGbrv7QW
5zzfdOBNoouxaJeGw2vRdXBqQk//Bcik4mIRRwVyXqdpu6uBYPQb8qqbLwnyz33b2ySCjVPsPGe9
F10nDge4PWHP6j7XE+9B9q72YPdVAfRyaL84jd1f5Uir96U04x9jJKpp7ZrZ/GWuC+tWmUm+qagJ
fdN9KUuiqNvoUpNokFhbnC1agJigurG+n2cHv62D/28fl1V/V5N6A47YI2CpbuM7e+oEIQQR2gMq
WHm1tvVQ3eaakW8HZaQ3LsfBGz0xjdsCny6+I25OhBu7RftswUS/4uAgb9PQaQPdBeZpj055hf7J
v07DxLKDWBPdpeul89eqrMWDg3Z5CHx6QVccgeQNRmzRw84mNdmb0kQh2C2GnZ/21s5hub2s43go
iPYt688heRBoXsKiARKGxlNupGlrLYq5ipiNxI6dFzcZzT1nkumKXhOhhr3uvU5tNd2h9/Y+ucjw
ui1WKpjZYW/p6iFvu+Qxph29qdveu0nRZDxObqd/gU5LhCvRIvEFIfRjuWu1SOyl29YXLvq1YRWS
+Pp5ZjH4XBFE5q5q6YlfJE75foCzedgRx4V8O8qoxuPz9nQ850VC0lzsha/yv9g7kyW5kSzL/lCi
BPOwtQE2+WQ+0OncQOhkEKMCqlDF+PV1LCq7OoPVnSG9701ICEl3MwNgqk/fu/fcTrnnrrIqaj7t
NJcRV9WhM45K5eJNhkCMzDy3fjb7G4NsLE30Uh9LCKJ37A0q22J5F9M+GXWcHDXuWf/USgvJGFzc
5g7GW//O0rbsTN93J+opxJKZDXGaQG201ER6HrnO7D7Gi0W4y7wpJNclFhFlKAzp5FnJpCA4Ox88
9Co6Q061whV4zJhmE5xAI+a+m738uRuC8bKss+vs3HXO91bmVL+YnyLsyrpcEM3tBjt4w+517KPl
W0Eb8LPjPhwqXYgfytLuvo1ah81oRgXp1XV2s0R7uGmtuf9hkqj+VN6cX50ymf104RKeEZ95DzSZ
cCNmdiOPwpTZo6ni7l4rSbzxAtpfKb+9y4u++uYEplQolyUkmRkNwpmqeDwMoSM/obPwlQgKqLlp
MM3r1wwzyhHBUvPqza3dbsKmIeKyZ6JOiCpZyddYBd5rQFri21rSGPZ7XAV7IMHjpZ8qefRckiM6
BRgIPVtmndsiNI8uGr+rIczkYQkyor5KkN/NGOifSebII2tehtl7bQjLDK2LKUaaKywu4psa5aDI
SSC35jBVbTIeG3ib/s53TKFgcxPQZpGaE2AduIV8hRIpe+yt5VOoC9jQDRLyUwbX2D6y709vUItb
kgedUXCBOwqQEEfQWTZO8D10lP02TcYMWPXt4E5Bpkb7GKgzDPHy8mcWArFLctmCalfEIjp0zglr
8IAH+iiFT3Y4qxfuUJxsQoKOSLxi/tRwChiz52bN9IXmodippkVcMhTdq0O0Lzm8uXVtm5jQKnBw
MWJf0ou6bhw+b+FQcjcjDzjPIBg2LvTsPUu+Y6gI8uGU5431yCqkzWVdRQN5r5jzj7x3/ZQI9Fug
d1f6ZxK8ZNq6PedVmdfBqfJNS64RNMAHaVVLyvFu+pIY7R1cBPqImTNyIO0+JyGDAej4iCqxPePN
qvrDLYcp32nSpl/mQPgMiGkWHQYvF8zRTeiehN3kfHblyC+W33nR1kOgOj86bJ8vgk+cbcll1IQY
l+KqPPj2K0LK6BWpfsS2SFTgwfEQpnWuyF4XpdiOZA8Va7GD+k6T0vawqk6+B2QYg7WzpvathI1f
bgOnG4+RmazrSGLIaeAeUy+hXX8PfdqxRQgyGjEeEetNTHa70+fXcgmBBQ+ojo4zYc57pQLnNBMH
9GwWFySlPTQkIE76pRkJA8OVj4g5aGrJTMFa/kisrAXROo/YZjDexGnvWxjIsrZ4KtbGSbE9JGcH
qeBysQsPxLZh8d01a5RD1ZfW3Wp5+G2STD83pBX2O5rNBcy6sB7ujMNEfZtp5bR7XRBDkUUJwb3F
PFvhvpZB+VB5pjnAJhzuETj6eyvoywfVk+beoQK582qs79j9SW0m0cq8eoUTrhdofdn9qhrnXANi
eAUJlPm7ruzz18hboZM3cNafdTTq/eSRiMvpc/ppoF53dzKYQnR8WZuQUAByJhXN2j/JCZZIO1A1
7VRN4rAOHEecZOX5/T6cGGud9SyQdiFj1EdLWKgoTCaJUOT7zzK0tkn92hMXk0Zh6V+WeHa/kElZ
XbzG7Y4ZDY93K2IQf8LDXzKJEjVhqaztzbYEYPpq+9o6zZU95unoYLrjf4d7yYaYxiZ3blFf1fDu
xet4ARzWnUguy9C1eAMb8gz0id3C6pp7gjz8F1cE5TnzKnmpVyZzRLaRFEcAnSgv4aiXfUSVdFpE
4B+KsF5PIml9Zhz0j38A7ndea/CT3zI7z/+g/EzikxXRMygoqRnwxn53ZseYj7JJrImkvmIlyowF
GN3k7D3D3MoQw8tgPykSNkoZ5E8dgswjl5WpGr5l5131of8keXd7k7l1sVuGMMwAgeXRXcnu+sTA
3jpYpWOdPD8h051khpQWNYnCemle5ODPcyoYQ/1K0KOmSFHUC2b+LoWd6t+R0Vbe12M2fKtz7d0Z
0bSPPjv0QzdSH9PN0CMvAML14E7u+LPsHXnpkgJ+jscwjTQcI0i+zLInxWD1orJqTpPSIXR5bOvS
2fql3+4zGB+PtD/zT6c1IEadtkt9WVv3DuEoJ0FaDT0fJ+50yjGuDBiGxeXXKLa6J7esrTQD5zKR
k1ra3+fM4UwXQM6Fux6yFOBOjY6y1uqyeqa+F5nyjy2hZ6cy8frLsrj1Dytcon02Zt3ZCn265MTq
uK8608SQOMi47RckEu2D3bFlEioZfgN4s360kxzDS0XooyQBrKCOtsb8F/Eb+tEtxLorq6G5L4xX
fgmrOb/z4kK++TCMzr62l+OIuYMIZtbgQ5RH/Skyub74Rqwn9No2WscxE9e67IhIRZE93kOAz/bE
zhXRhdCVsudLPC+HQd7SaeI2+qx0FVVpZU/NZ1CU8nFYLGffURpgn6IxNvczaXNBJy+Q/JlErV2X
0ZYa4daaviy+YxchmySuyHSuraq/G2rlpSNypGWbx4P6sDNdX2wyyKKtEkl9mjvfv9hWTFBWYfzH
phdK7da2GTBVNfTjgpvgu558UTysdKCe7GKsxx1ZDx5Q9y7nu+tG5n7IOUinUFHVl2KJ6+Mt2f0h
xqUFF7+1KyLeAgj/CpXzS1jF1TuKclYXWWj704qc+hQU6g/h8ekJ+bGfy3xIHibyBLHwRW55LrVv
SKMS+ppJVe7gKq0vzSqtT017eNwnmczjXTg0s3fGd2N/AJlL2mPXKVW+wCNZNnopym+hPag7d8Az
wrhuFlfG1870GsvBfvTHDBxuL0TPCFnH1Q9rUVrer51IfpC7MFFw11508YkD6x46vDd3FaWcDdcp
iIn2LIvD4BcYmdoJJGrQLHO2h9o2ngZbmV+Zjobv1S1zRsN+/CBahRtqjVFoH4tlnFNjOFZxBJ1f
uohHF5NFLD6Bf09nt8v7J6dwxGvnO+0voobMRUy9eB4lISYs4cq5Akgwl3jiVuwt34oBDVmxOU3L
IvyDHAKP1cANX+ZoAYaG43X+puwORkqwCBK4wiw/TRxNu4fKpUDd5Vg4cJ31omgRt3DI3ejYHYm4
bBMO9FqROZEz+j5PnVoD8knc5o7ASfJUKtcav7Vh1v4g+hGrXQhj7xtwUnlwZNL9Ecm1/VpaS/cw
uPCY0zxxu8cSMVWa8NNfspCNh45OqL2toD99NmgcUWVOrdg7dayubiiq6LAOJaFLTLKC7aKj9tOD
8Pzk91A6vALLJGbS+SfuCvlazdp9u0Ej1DbL7VuYOEYkfYirxPlV5l7xRNiuazb52ow/rDbyDfGn
lvfdjXKfp8a3g30U9zc3pHafcfJ03cHOsNZsXT0FaU5U5IUjjvWwhiRe6SGQx5rsim5v6zX+PtCD
qom2Jth5I0dt2g1GPn2fmcp/Vg1BRWQsSoJFNH4gajiE2JaheN4waSc9PF+IUQGOERB7GDvWo6/6
Pt7WuiUtt028cafIVQ+3IkdRvBVLE3PGHl2aMmCUyM0NG/kC2hEtZahUxa4bzVmTdv2NHIBTd1B7
wLWkOXvFXNx3Nbvq5gZowds50W1D+VINZzYt/YWtPLn3sahi+vN8K1V5rS6Dq5zvimCo77PrLV/c
YYleQ3LjHiIHLC0s2nL5g/ZU8MRCZNI89Mo7uy9qXnrEFpHPjXxuncl/zqaiuZA8ad1LKM9PTljX
5V5NQ0e6hW0CjUQ4CC/2MhKl1lQc7GAtJvdgJNYvkGebI2r2/mnoy+jHSHDIm9Kdlezhf6y4B1yH
REYvzgn/Sqp3eKb1exEu62XK6/GoMf6dSbYLv/b4A0js9bPsxXO7+mtslDxK0w56Z/eiuzKlsU4S
geMpEE3s74XS9IzaYmRxJKkqe8Bio77UDZEhbA/+zY3g+hHZSQTAXWdEE+VuChL6E0aJr6E1Mdnw
PcwecebfrDREB1EQjp+OSEzNAzIwlmXfZJOZ2xPEJ76llP5fg3YV7w1+lHQxiZVGedmnbT23L8PU
3eYnxcpBpch7lRa0AIIdxvj5In3dmY1cppuOdQ49CKpejk26lHeTiXhMgDDaHnG5tHDOWUVlAQBv
iciWwj0l0o6Zdr+vfTVZO8Py9RkZbl6JjO3RsTRHthIjao0zSglvV1pGWQ/FYMgpzzunvuQVnOiN
ipr6ye3jGVLLREnljI3rPVpuy5Ma6ym5FBZnKlxSDUldg4Vt/o9c4bh/NmOYB3BhqGo64ulpUZzc
XqzuRQQyqZ+GqfaWx6USWU+yEDi87Bha/NMfTUVo602yjHUkJ9/3GJWrdR8UjvMVHw1nls0/Old2
NwWm3K/K6bNDMkv5rqDbtrt/QJOK7GIgv3Tpw/k+Eip6unnJo+1UBsHzP0QfDJlY2Y60E1h7MPX5
U68rdktOKy+hP+gX7TkuXmHr/4/M/3vyfVMi/t9n5ifzvfl9TsIP/DNpJP4PWuvw4JDr+tENnv+/
xiS3SQitLehk0JX/zBP570m5H/2HnQQu0mKm7LdpCCPIfw7KvYB8EpDtzNCZMnt07v9fxiS3zvP/
njPe9KFICxGd3xSiAdKl32Z1XSDUyg7m0tg106UiZDpMJlLnjOsdCVyDBBmQdvUvF+f/MHWgN//7
y3IkjZjdIdxBXOO47m9zB9cXNf4oY28kQcvrm5ziqj0JTDbRLsmqZNiNo67Cuy5bpHyo6BpFj+uE
b3JT+yxgl6rlXHmGL9IQHTX20AAoXJx5O9oryCU/m7BvcW1/OrnrZLuKcCiGK32RdGnVUF18IH4k
kBmnqZJnW8N4JMSqku0+UuO8Y4BKLKcEYlpu8PLK9zwflp8WskO1Rd9d7vLaJhWS/uT4dayrYkwn
zHHu1k3IeHqqFltSN1Z1thspV8Izxh6+74SSZt6pWRP/a2ANa37AkFksvLV5Giry4aDC0PWgIti2
VQlKQ9UhmiMoohaWjwR2SLUlY6Bcdg7W7+hyy5LukWATsVdv3L4nVdZkYhbPOikztpZ8TA7CGYYr
LAHnEfxHjOmfNeqDnOlHTNGF3hHiOt3LUrdp0YcjSEtvir6KVmhCETvtd0/ZFHUibZputlgyvMXb
mwmuDxZNpJ/IY6u5OlDw1R+T04bvICSzPY2ckDxbKeRHLOP+0W7j6XPQPrC9AAYWfXvSYrw9k5sE
Z3m0uOLT7jQNUp8GB9AEJu/Yri0a3ltDFrpztGuLP8e0nLD2CgkRATtptFmXHK9O5novY1ZHQYpZ
1ZNbSjODs883+5VQDQ8YQZ2o4QmIwji+aEFcFv9EcKwIumIbqmXBn609eCI5DaxzVZruoda4MM9x
J8rXyEeWmFa5nto92XnVD1sYzAVzqYIbvaNx4Rl4hiEJweK+Te61aOseoeogiHVTuSuza19Z4/Qz
Bk7jeOckUVWLFzxfbUkexSC61PiahvmATls/CbuTHzbMRs1y7nPvR4z2OoX+5paw2yIgZI+89KKq
tM9Qbe7BkmT9U60dr35SHtvaAUHGTF0GOrCo6AxSaO6cQNj6OpNlCIyvW7p2mHYTFMzpyVZAoN+E
dIsGXco48xSG9e1fY8HHcm5v/vmH8eqU4xGROh1w/Cb85mydI1S3fR3fauCG8wy5Bs4EOZT6IiHE
6wR8MQq/+ZDplt2Si1CnEkeu9U6TgatGV42n2WPM8oEHP/T2lpoEvY1p4FO3nuYvcynjK3yTstgM
o1b6Ywlmv91ldEN3fFO6YDfFEb2zYcmTdtuOPj9vMY3CrhTNTv02Nj1fFVvOpCL6Q9dUXyJT9PXT
xJ4qXk3ZCb3vBT62vdHkg+0ZBZTlDva1fiX6yCpPaqkqENpMFqMfLobpaOf0TW9jmu/Cn0Zb5a8G
w9SzcTsZfBRtTLD40DkmpdF0Js2nT618jb94dCeTdAq0/5qrMnroBse+V0tzZO5Eu4pWt00jrFB9
BbBk8TdMTQ+AFk6NC3qkzTPofkwn0zUP3ryFmjDIuVekMG08RZFs4KI84ZRvnlRgW9tBxKW9Cddy
vniYob+MSKQpjlyrjK6h2762nviF1m8y5OjNwcFujHMaVgBABGhyLFlK76FgNSZQLvGnlxar7K4p
3e4n3U6HED47vDadYFJKXRflwTsNnnLTtoXPyIFIOMLrBTf6PlJG7QrfOVrzpA8L+JFT1A6frRGP
yPHjvWugs9iZ9WJVqP4mHS275HZnkkXRhozVGZzRDq3321SagzR2keqCHKy4nKL7UWeG54G5QM/J
cykdsCe0WlERPjDDZmWN40jONOPLh6QqvsTCIxdzXbdNDm84unGpSGyXX53c8bZ1/aX1l8sNtr21
nfw8rPHhxlA6G4ZjaDz905KotOmzuxWNw8b32QwQol/yjpY5KE9xwKvGE+KZCw1PFrChemb3mnZ9
x9c198WZGu4pq9Y4ZZkK3tdoefWaMN4MyJt/MZc6BtEycHpa76DZf5MrjIC+DfINMxGkloBjNk49
xei5+n7DeOcwlGSKoCDAlbnLXe8nU+YTc79jW7rg8LRYPrK6h+uWFdyWYrIJraShIx3rzq3yVw+/
IHv9uukxhG/WuTfLJouFwrhFl7TeTrfpqj168VXZCR1hz6h7Pw/POVmeD0MWXG1QBls8sQZn3vA+
jtGVqRl0VV3emSQ4jjGOCcSiD24Jo2+YITTnfnXI5VJBenaXE4f4ryyd05ZmedqbVs3XQLMpWTUR
65ZMPqtR40eBWlO1W38MQZHYrIWkq67TNYlnh5I/XvfB1FydfqUUzyn4N73ReLfneMEfalaWIUtG
AqTDPDb7cg1uCA01qr0EDHQgMyk4Tm1YvS1gfgRvMo+5yD2ZlBs/zL/C4gczDriWSFdnQBpe0H85
92BkX1sTOd+R9+XfEkvKcBtGfVLvyQ++Y5VYHnsN4alrgpjeYOuc/bVuvxeZ7p1UFMu6w6iAYwQ9
7ga8VL7Lo6A+5sTxiE1feRJXmnLjVy0HC+w38xMJQMZnBDIl3T5jb7gv8rphHczXfGfPo/6YC+Mc
e7uIvsnQVeQ+NeW1plJkS6jHMQ3nJXwcnOS7HZAiEMPa8DZYIZr64Dh5F36SV22cu8TwY5t4yHOy
tCkMbLrqozzIEGbGZDi25zCDHpWTz78SRXxl0nW14rBrle9BLNdtTaRBuKWxX+MLdAJtb+pMueXe
z7xwpHkIVGLj2s3CDad8e7erxjxAJAXa07qFHaetXdvXXJh52ll2y4emr4DboMKOItYChUkm++gw
jBgM9cjkW1iOPmTuFH0m9lgfV3uyzzE2pC0BnN6+18bsmrwAwxzOArQXwZpgDcrmloEUKqqJJLhG
MiBcbBlWbxdqq1b3gIPLbVOMkdp0tZZp0NfqRallPQL3gRQAj9852eUMydPRUASWPB9/4FZZDp6u
nK9KOl7D6tc067b150Jt6EQWx5wY7K96CCHEisEg1BuRZGyEKu0v0ZQcoIuBBxXKMEigzWjTbSc5
0mJ5wY8TbFF7+vdOpaJz7oruJZ6j95KNZ6f16ODiGfWxhif2UKK+A1kfHmD6OmTCuigCeo+Wf68x
arCdtgg/CKxe1TwdUG9617Lxy6PPWnk0yq1Opdc1DG+igJWvDDaSre8SKas/tIOHiM5rxhO+GGyE
ZR1eR+rqKxnq9DwYvF1MEPwi17o5yea23iqmqMOmGTACViLCYJRwLr/HhGifoYysDwUiIYHpoirt
fZ4J5sm4jgTC+bE9xcnYPqxzkg4d59yIVHtYqqha+GrTNo+ejdXjfsrDKgOVvJpbqrn1uYAQ+Wr3
uudwksjmFDlekh2j0cHEJInOSyyBjZgQwouOBCwSORV/sH1qoD/GTIdomvszlJH+jKY3wVw7AT5b
gunK0gNmiP0mOBS2XG5h8v1wXOkIHEYLcMtWAtDbGab0DDnK+YyRx0orpqhvxvOscVtX1nKstF1d
TF6ZlCB67yPhUNP94XdZCOjOhMlwGcPVPNY6mb7IW+5gKskcRanvW3LcLFFmXuJRxfdeDwrNH5rx
mdMj/cWViSmdvZEDWTznANGbgWV6wcDUkiKA/nSynRvQZICkEQqbRxoUhfuNsOBgq/swr7f2knhb
5fdySgerwXEzTnZykC2d9k04x/FuhGiyVQzYPuXkSgYydQHlvQ/d+TGc6NaeyS8p+2MITmRCqJN3
0UWvwbUxK+Nt4kO6/tAjHzgXjodsFYEoJkcBOAd82bllALzRXVzdsG0/pDIEpK/GGe+CLrEIh6gL
dbVm2shV0II56r1m75b0I2mA53CF88lJV19n9dYbWdTBdTkddjza5VvmkTnh7VQ2AGy4/TkpRGEM
bo4j+QZsRb3xfCXKgztE7g6xg3PEYPxdj93yXIamIWhwqnSwo+yCjmpkcw8szzoZVuq74SYLGcaS
nm9RXljVnUss1uCB+YWz6Vk1D0ms3HQcguzeZxVHntNGezcuGQ25efkWTAqNnFpB+S1ucT9ynN5p
hpA/4mFlThza+m7um/EKIKY+wEB5q7xGnezFq++CQLRv/ax0usq53Bs71wcL8hgTDBekDGuQ3NXt
ALVF2HSMJO3p+5re7LYg1qLbd+QsB4oe9AYFH4uTmp/XcQ4PpN1TYpSdKvpd0WR6uJDA0e+LRY27
m8YO/Bib/QEc4ni6OYnMnV1kVnrrbBAZHRoIQCHgRyWmLvX6dkbKwMvzoiXFoEwIs956A0mGoI79
bdZyxq5yvrVDYFw28VXfTpAO/EbyhA+1cfKnbA7DVMD6vG9UG33JCU37VSWEKW0MlK5HYfePHBZh
FSre7T5p6O/bY4OioVZWDeHHGpJLVlEWWiGBQBeGUqDmq9jnbskS1mW/Ppse9rtpqeIPzWTVT2HU
jcnG8nOcQ7aRLGB5kBCThhWzOA/NRKJxH83r3lXobiaQUT9Vty57gfE1ZTTj9+kkrMKkrQo9slkD
9/ZAcqS8TNEUwQ3mGHlnmTY6LVqQDByS7igh7j4ydfU/Q9ysEAIXAps1A/WNPWDCHMvBX/b2UmEE
zjlMlJuij8d8X3V2vaN9nb97tLQ/sMaCCe5979nx6I4HS56dsAOVZ1JLPB5IwilfB3JEk23Ywk3Y
rnWX/ApYil6xSPwhGF5i5MmpdwtXj96WO58gS6Fd8L7kMOJAQErvR2+baOcZNjjKgIazJqoNzqLk
pFyK1a1Pui/H1OoLJTa4Z3OUCRiMQViVgK606VJemWSI8tYIN1m+YeLh7axg0O9sbuKkp957AF5g
jj1KsFvseCLd7UyY4QsA/voeIU/5CtS0fvAX8gtHaVauPnYpbgv9375OlUeG/D5Di6A56/QUCr1d
Vz8b3eh0bIbS+7EMXv29ERZDp3yJPvG2zGcZSHmo2haNVZ+UjEySvgLaSC8fEB+Cz6vpMxD1TREJ
+sCjE7yQr+6OyNNM+25Gbvr2FigHZtwms5aTc8mBj2LqUi8K+vCKOwDpVV3WB1cVinAHU5dX0GxK
MoN2w2+NkzfDlv6MYHyxSp1XYL1Mc4ywTTlpY3T0Ocl4Und1MK3RNkaq5Z0KQFnfQSGp77Yl1rfZ
HgCLQixLer5G1KVcPajE95PfLmAR6lr4l7pephRRbMEggYwDyvjaJgyTivMXxZnmQSVpr0M8apX3
rrbzAfMyX7HZE84HnSg7Bz835Zeo9LJ3JZiY6AG4uT3p7idaYLvYyjZRAU/Wor/XqPLPU9Fy9M7+
7GUFzcj/C1u2P9gXxuI0WVZ0xas4SqBtYf9W1kNFt4ppbLFVtFeO6DdXBNmlHM9WvCqkCfb0Whor
2pMTTjOAkPA8uRtk3JyJ/xHOtucPvhvZ0UUI0LBxSMpG0h3f50l6zekWOv4+hogm0mJ1aKVZBhYD
9mCERwxntQa9ZTy4jXMJ+GmnWNXpSRS4kbYGkvi32Uctue2HjrZDkbQ0nmIB/WPr9oEjWf/qXG1V
G1if/DRVfzBSazh1Iz8AH2cXuGnZxNmhqmXNhIf5NnQ09qidlSvYZY2MfEp7JoJ7Xwv/LXY0YA9f
8c/4Uno8vcm48iXyRCVuWxZ/Xv3ZZApujRKXlLBTHOfnPG/zZZNUADFJRQdWDttsYkJE9yYTgy23
gibDekRTPtfllj6g7B4F6YR8CmDFNgq5NVzFpUnGKXJvkxd6TF4krTWNRFdDcp9Frp/CNeHyL8wd
Plo/4FpJ/PrEo8cZ/3UqEsyIpWejefPclux4zrte89Y7C/e/NzI2R1MMbENW1Sy8wRnHen2vSaRS
n2Qt0W8RGe3Uf/ZtaFZxkVBu0/cZRF828FXgUu5aFWXdPhFoQ472ZOFkD4OhmnGSKvlhBR6/wIXt
VrAT3xo5nqRgvuDIDHQ6aZt7AMeUDxd6GLkpSSdVowPKnfCwMPCkvzX1UEePAyzXeYu+jN9vuE+0
WaVssSI6ZOBt6Ko54qLw+uuPBhMW67MEI/xmuwzwr6yXeXXQULzqewtOQngoOKkj9lhmv2LuG1dD
/eCw9oi7caiHdyp/bb604Zz1b462V5lOXQRnFKVQZg4Dzjm17WMAx/ek+vFG+6kLmgfgALwreCBD
iIAnAfXVkiW/ZU/X7UPVa5YUtBvJfIlRX4NpCj16dHiKMn87WbId9mXY8RHxx/L2MfZPMxVSnx/K
IejYNHxxhxDFbPp+9r+UKGM5psKIE4GT1m20ilf4jFO4+QfkULxOdPQ3HV/LiOnnkq3sdpWWj/7U
OsS0dTr4G5fZX00++EpwkPgwxUHduHDX/d88HBXergQ5803X6alHpNWlgzljBIyOEZnoMM8ZhPk7
T8T/eFF+FuZGGEBgYgTzu4mbahrHItXTJows+UGrbrS3iHLdP3rOdzsXqcHZX7QCRTpaLSzmAXtt
utBl2UCUVddmEjC6kpHJfAVsedPONsFnngq+qSk20w4tHWdjtUp2+8V4bcvJxcRvPnqbl0g5BVG1
yjkTuulA/Qyr/u/CcW+jlX+Z+HApAUngUYwBnkBY+P2arpYrHfaP20qQF5cWScYpL2oEP14wP/WT
P9170YQNpcvV67+f+/zPC+t4Ht5w8hVsGPe/Ix0UX7WxbJd1M1YulWVNdict4uKPIpCcIBLGTdXf
3Ms/k9T++mGpWvFbYFUEloNN6a/Gi74t9TAK+kg9JomH9abv3wRWcgZkEMiNyqDGilpFj1YwynMb
9wk52zNBzjZ+Biu1TDc5G6jX7t9ly//VEMKDncD3InGQJw0GFpanv76vVkFVUezoIPzd+SkWYn6C
OkK92NsVxcG/v+63b8lfL0JMhj3oAS9m0sb36a8vloBQ7hCvDxuoz5yuikZ6ZMLMZJD8+9f5/UMx
5mOohunn9mTd8D1/fR1Sh6uK7xS2JluzIts0i5p93xUjLivRsTf8+5f7/UHm5VyeI9djHErT/3dT
Tbs4Zct61G3knxtPOZcMGuBl35a/rGbRB9V460KxMdBFRuv8d+5Ught/u7IOzxQTXGItmZ+G//X3
/+IyLicScmuGQASgGDW8F7pZrX3l+yZk3Gjlj9Qc/ri3dC4ZDRS6/sgwbVg0edRARy/qbbqDNmmd
G8ME8UHnaJA3WRvFKCpdLPqIQyoozZnx/G7rz9lIl82wfmxVPpUcMrCGHWevmiJOxMWCgJglGmCs
3bk2zhppgaAYDGv/f81gghFkzI6hwa0I9T3mSWBrEZW2lLfVVliz/hbDwS0vLZWs+8DUIZQ7C97S
cuwbY5unZpq5iRBnne6NwwUbKmMaRoGqmtl0zWjzi+MWYgpi96wVKfjZ29Y7Zfy3G60OXyqhqRcV
edE1Txb+VKHSDzb95AE4uKXfOYfJvjFrTFVQDbij4M13vSkPxjPcSta1/HsuZ5mlGFnjs8DBV+18
Ew13VVwnv2yvYKvkGpfUAHgg1HkABJ29t0nWUJkURfFl7c16jazFsJkS0nbzUWSMoFxa780dwSVs
6E00UoSY2AJNXQTLMvxB0DVlNOrSwXqZgTKb09KNbPfoqRK6E0hgYSSvcYkiBTlPc+eVtJL27qqI
V/UTSqrtQrZXsavxOuuURk15sOaKa5kxuVmPmc4tczJiZoMm/LJkePdnPYJdPCnPiB6tOS09Qy9V
w3y2j8aZbHGZo0mEG2wT9K+HZJFqP/75G/A88iIDw5gKy8qkos2cl+V/knZeW3LjyLp+Is6iN2ud
q3Qsr5JpqaUbLpkWvfd8+vOhes6eSiR38lTPvpg9bUZIgEAgEPEb74ZG3ssiOEzaoeeN26tS8mMX
kvxkP+ZD1D53k1d9bZeko1GDuCGl5tE7xaiBfdGNhl2TqDQ2ZmWsnwKQgABsqzSgha+43/FtfWyT
graCXSTzE3RMXpBZm8xwf1+ytGkEbsOHHcwdxqr5waS0+VsD2/Z+DlPN3IUICqArlxdLdse7qdi6
9iTEAQQ8QgUplEfYtfD8FHTRV0fVA7hVGVqBSUUbk9OHNBDfM0fiFMgqRd1rdfSU4J6lb0QpOfgi
UIL7G7IosLhJJ+RsQh95IAbuSHM784jvoSKE40uetxvqKyK4vg7ywAioaGmCDo1WCfCK8/lRWDUH
2I/NzjQU53PkaflfiWo09U2UeBb+DoXDyzVb0GW4Dxat/LPjUPy+HpAvltjzTFvwd03D41J7uYxf
LfHizbpS5Oidq6M7PZczaTy1Jue9pmsgIAxr/pWDGQw2FljOKpixkKblP5FVQ1JSmjhNtwiuOCWg
wnSB6Gu8b4haoredFc3XIYxxibg+z4t7jnkClvBUhH5Ar8iONxAXkilP6fkuUey9m+ZgrICGG395
ILKM4/Wx5O0jNAh4aqBQBkRMAy50/lkLECpeNwGPDD2eIki/A09/XyL+Wvy4PtDax7NYSUj1gE00
2XougnRhNqazCKGZ9IdlBRAhzCjjb3hDiYIyCLlff6M3ro/LyZd2ro5uho0uF6Jv5KamzOTn0ivs
NtBA0qtd9k5VEVufTbUpd4g8F9VRN2m5A+Sbfltxqf2yFHQH93ritt/byIg76FVz/UsvhSwkwBTr
PqWFOB+qwMveO/lg/FEVTv7gTZQ3dzG4is8ejefveayr3QG6h8szm/IeV+0wU8mM42o86OEwAPhy
BT4HQtsd3HcLXbzRm78b4OTrvZIodfJAdKbHVNvlj7ELlNpHaGS6BYhRuAjOO1xXMwyW+M/Sc/Ou
20dm7XrGzlac3PCdl/c11vFReOjcCi6WOuROcNtRFOv/8vSOMNQG7iLQy4uJGI5dDMoN6BqidoQ6
bb9reiUuaUuLOoHXVPz94qW6pBi8Kx6FMZH7bA4zf0KYVTE0ArhtH+Cia3Rwl7FTsS+xsZk9tm5X
ARXq85w3r97m/JlFVOpcnN7yDPECJU32C8iUBb2dXUaD8bEemtw9xYtJICvGRHkHJRyTqZdKEADP
Bax3uPxKukKU2GJPfddaecdEwORQdAaNf/ASd/ItEKn13sDk5iOszd+Q+DDKs5EK4uKHQYj2Gl6j
6kNrJZSsrdTsDlUDZ+SmrIqZEqdiBV/iqCicEyRU72ZaQuPPtorHz3gRxuQhim1Vd0ppWPdFE5rI
GUeJGx8Lz21xPRCRqQN6d0On2rX3cOy4Ame4Z7ARpnFocFNfQKJVo3X/950As4MlVulRpg9/F4Ww
4yoQIYpG8ak8l5ygCmPysb//fVpBbnivxjDuH+KucU0chez0zwkxqAPyIyiLd/Pi2YcU1fevUOTt
TyaYGqpHphos38DApLzMlDKnBKrUlM1Jc31r9qzTOHtjd8q8Kcj36tL3wWNSUIE+NXnX1kcQH3n+
GI/tPCDGZJvawQLNo4DntdjMf2NdlmbmJxdFF1a+nbuUrLOZq5P6N/anu4YzktOCEx83aWJj2Vd2
U3r35YzK9cvJf5OwxqcSPkD+f8T/5mdZkduEUfci+vCfv/pfRZjO/kdIQ/x7YKFjcfYXxxcBo/f9
X8384a+2z/4eAM6T+Df/f//hv5UxPs0Vyhg/y77oxJ8Gcbh4rZAkwvP/DhPd9z/O9JTEv/1vPSXH
/BdvCTzziIBUOwDg/j+QqOKa//IAvyHoxiVAnBRy0P/W0tARzHDQwvXQ+OTv8/b6H5So5v0LroSp
Q3F3VBStjbeARM8jNPo+/EkuWjhkFwit8aedX0Jl3XUpHfbBb1t3PjWGFh7iSF8OrxZjBRZ6fq3+
PYoQfzL4DyEEIF11SQIdxtHywefq/Wl1dHMDIOj7sEnVDXHErZGklKFSSqcaacz49FyN3VRDgtC1
KAEijiDa9Umdp2Uvk0KDEV1teizkySbf9XXa6boj1CSqbn5ZKuFBKy3lIYd1WPOQQ64YG/jKz1u1
Fey39utI45Md9D87bGVRVz6dBQ1NrCptcF32FNT0hosQGXEf4yh7B9Ufs5EA/cy3jyKULcjFABFT
azmfpTYKGp9a9H7aGu4pSfroGETcdtdHWfls1utRpM/WQsHSApil8HQU5Z7+S3QXBDOGrBpqxNeH
Wlk220bF0OTVgEaeK37Kq1S2wD6NBwlVWV0NvHcZT8yPqKC9zZL5ZXNgRUL5wKMdfpmz05uNIahD
6aFkDs+0nIL3M8/rjSLYeZHi36OA5LCID6qFstr5XMpOd8dy1Ds/1IvmttbAl1W16t5mXQbKBCE3
hH7B1+Yxnby3ryKqibYt8jodm+bzkVVo3ghfdtS2+7nfKyWEhjG2t5RgLreFw+IROsWrAy1uRI1e
fytnUcu4zvXKLwINvxdMGR40akG86Jbm3fUJrQ2lEQzRBgN1ob4Ih73aFoFnzWpL/cGvcTW5W8AU
3Oal3Twh5FDcXh/qcgdSGqS8xX1g8s1elHteDTUMSl9VjVL6OfF4h3C89hiX4ZbjwtYoEvzfwKwH
+mdW+dDRUaVDSeB+CvOtuawt2+u5SEEQxCpS3nnMKDyUD0ULI6ZU9OSkLLqyseVWhxJFOfjWkAxk
S2IUgea8DkltnCXENiWCoAueEWyvmsdvjhF8oVdDiXP3+gsFUScqNyW4a8e9BRO7+Has/3V9G2zN
Rzq8dm9gkLd4pV+hvoBEVe/solGIhLbD28wORJxgPuIdjegyT1tDmg/bPYBf7qJT21qoIXW5dROr
sKxiN/9JNMxurs9sdethG4sxDQWDi2dfBI2SOpNTUm8DMKN0uEKlENTf/JGQqIQNzUOdGi3NpPOP
VA+KU+S5U/hp1H3up4GaJfDm0/WpXHwkA+I49wXKZZxDcqTzQfCuAPYKF9Tv3GHY27RUfhlRV5/A
MOK6dX2si2V7GYv2ge5QZjcN43ysaElDwyu1zK95UHwN8APdqYGVZBvDyPJaGIEgwK6iD0biaZOS
SVd6SZkAZi1aDihJR0+K7cUPqEePxxGSwMPSFP07zY6mR8UAtVBnqf4uxdbnS98XS7LXwLztWiNa
HnHgo9oYTMk9N0D7sTDmakNAWvyO/9S92LXid7Lo6EfTWCJYnq9HoCOaGcOS8HuI2N8aepMUH8va
V0LezWoy2BsBZmX9UWVDx8sGr44ftPStTT0eCniIma9ryudZHQ1UyZ3prbsWJiuVLDhe6LLRWpAG
QfcHFz21zvyUwjWd+Xo4Qq/oN5ZOVn8TayeuTBXTZho3ulzzyWp4HkqvpBSyleh7lUXGfLAVnuSi
lgaqrE0qwEtjo+4hd05/GtBw/Brc2ieuJhhjelt9dKFYPYxz7TzkBguxq2G8pMjDtcsRZb7yNFYl
UD1wy9X7t54DnWaWkAa1VdqJL5Jrr6IvpN4Fo08THFk2uzuQtiWYotndONkiPJzvLsgwPLCQJfQo
jcrXiRJ6dALrHm5NUwVf5yrR9iU6+ad5sGNUmprmIRjnv5wl6j5en56k3y72NSOjrMpJFzw/V7oz
DaQAoYh1iU8lKUEYjb7DR2uZre9l1cwIjPeOA9wTdMN7XD3T8lBXMx6mFWrUy0Plehw7mHW4Tk5u
/S2EVjztU1Dab7Tt+vtn8gU8wD5CCFKWme+tXBvpL6T+YmfGYcySb1b0YgoDChumd78Rlta+hyUe
NNzw9JJlN3vIrKVH1yzx0z6Af19Y3dESjwK0WFFDstPK/IYutu0jL1X8cf2LXB58MAEeqRiat/T6
ZKeXSG/wPYz6xJ9opx67iB4fPPj076II9Q0KDivvtZc+hLTjeHY4FLIJ8MjPSo+cIi7tMW6yxK+T
BmWdTEXVyqaz86FFM/7OiRvjbp616I8Fy7t9udDEHesBuRzsy6ZbSlpbHhQr0+bZSF3CErECofXz
+ApBRdPKyo79NgcKJgQmgFXSvXzz4hp8T5J3Gy4q/+V8lGaZp6XPrNjvI2U6guSpjloCJe2/G0W6
O7U4mPuK68IfZyc/ptzn9EXAcF8fZe3ocnKBrtAJp1Ugu5gEJaXefjYjfx7ydzREjY9RjBIDGmYw
MhCJtwf9EM0FAoQaHMf3eqArf9aG4xUnN7FRFfJwQuW/evovHK2N39XkxO6bLxiCi2tSVyKA0j2X
1rsrY0ULAzfyk36cb/LFXZ7NzEiO11fiMi+CPoUdgWiQiwKVlLym9aKFSbzEfpzm453lgZlRMP08
krkPG59WHAv52KA2i6Qt0ArQB9KEohHEW+p2kU915feUOO/a2KQB2Tl/VHSLE1f/cX1qmtj35wMa
Oum/kCsXYBpbOheRqw1LA9PSR1YgpYAe00OIg7CDNOi17zRtGX2lsbt71J8QvrHwMK1K1Dz4lNaX
6z/lcpVFJFTpbr4QzF9+6aubUNNLoP3gHXz6CMsn2xUq+y56/WhH5Bs5+2WydT6UtMolWkZRMjCU
Tlp9crwc9Rytn/0Jm7AHGzmR/3I8+cCaLXZXwAd8dS7Sk11Wxq84Tac97blpZ3u6sXF0xYaUPiqa
9uR2tMHEBSONl5DrdMAaI7SqAu2mRnSE8+pQtN4H86A9KgWuSKMD2yvAAO1rlgTa7+vfcm1bscSA
s7hrwNLLJnCRkVLvRzvQD2u9ft8gNPLZob4NzQFO+shXPtZOjsDabKZ3XlgHRwgfiGdUw0b5YW1T
GWj0a+5LfUruO0bIj3lh1mAQP2rKruHYwYSAJhramboRi1aHopVKykOhlOfneewPpqGBmBZGfoMC
yn6Z45TO3+zuM72aN6LE2v4VegekVpwXbtnzoboymVw80kO/VqPoDmWZ8YheRnBMZmQqZwRcNvbT
5eVpcBPQuQUNBQ5NTuLSoVFgzxkh/qBRSSNq0H6rUFU3qlKXsY9RmA1VZsSQNVeaVY0nKM0fNfTV
Mhi+VJkCcDUUwvWY0KMaAGkUt9s3l3w5HRY7VNSUBbJBGjSk9kKqWYR+ZiB4sNDdQ97JGDcCwEo6
ZOANSX5P0c21kQg8/2KK4k4Tyiuhv2Qm0mQgz3+GGt45MzCcJ8AVzh1+vNHRLPSKmhLc0QGU6rOD
XOrOKaHbbxxPMZwcINg4ps75xK3CEB/8VawFr07ROMlZah7h71IyuM9FtCjcoLSFvSQ1PqhuYaE5
DODzrxI03FHNZ/MGS/XkERWf8NYoYFVt/Kq1XWYbLk91jQcwNevzH5Wr2giivw79pkINElecYZ/b
w7hZEhAH8WLyCJhYHskg6aA0zjwac4vnQej3dKV+IFLjHbOmqe49SFH3VW+XcKab6NYLW+WIBARq
xtM8bWWKsjkDUYId4bITgJjQD5JRJuwFrw8cILfGnCx/FmNjglUt+kMXZS2+cajnYZqZHjrAiE9L
7BS7PPbKP6/vg5UVp+SgAWLF5kC4lpyv+OAQsioTHTqYdul7xQXr63pps7H5xZ8irTcNPEKrA5aS
DSelGOLYRXYxKic4VJ8VJOof4yiHd2RNxC/v4/UprQ1mYKdEZBRXoBxEjLgylnTolNMEcxPGl+cc
ySesZ3SG3Xuifvrh+nhrSyhIgIQr5GccOeOPwABYPSTGE+Ws5TBCdodG5KQbUjOro9A5xc2DNQSk
ff6h+mIkceob9KhQgRAsV3LBYNoq17grHwohHp6//B/Xi3SDhdnc9N0iyKDdYj521djd193s+UNb
mj8cYwxuWtcd/KAKnNP1VVwJ/fTu/zOytEVor+B8hLrHaWis5Dmc3VxoIhB1IAzu+7Ie75uyjd++
qKKZZFNRBbFjWdKgMRKvOHOHykmL8slXB6J+oqD2cH1qK2kBm5HGhxBAIt6Kf/4q1MI71kargRqs
5Xa2nxpsRyGL6qhX4Bj/9qG4x6jmIYik84Y4H2oIGsSgo8Y7ocHu/gEPS2iwmcsdwn7z4fpQL+bN
0qEmybFI2AnXHDRpWjo0xWZpMu9kN8Z0muwyQjcwSEpguJP6E5VHnI0TNf6F9CS88skawp+l2WtP
+gJn0gEfc5i5eJ+RaMH/XVscqKgV0XDfDkv1iGefiwxrP244Ur/03uVfDSFCt0Cr85x7Map89TFU
XjZom8beCdRO9WQiEBmAdzIauIquAA+xAfoIZV4HofYYc14UYtUo/pkC+v2A90vwHM2IY+46TV3g
OvPdq52NBHOxn8ewD5+vr/HKzsHJlYcnqHCw6HIjo0eTIPHocJ56tWn6g6MraEECdvWekLywj/9g
MFqC1L9oMKDjdb531NEL7aaDW+lCCX/HbdHe6vo0PtbTEmx8hdV5vRpKunXAm/U20hTuCdsotE8q
OLdYNGdHp0EE6r+blZTdzcMYBE7ZuacoddtPCBupNw7dmoc6QgTg+lArIRpbRhrTdFWF17Z0+BTK
PgPK3e6ps7C6ViJUPrwR2OE/GUWAKLm4YV1Ia5cx/Jw0rB3l+37nFS1MXRBrG4Fk5f3IXP4zirRs
qWst6CLU7skY6vpzPdW0vgPFfBDclN3UGRUKJU1s7dXezmHd2226cR+sLiZJILpq2LJRnDjfjaOT
aYEJ+wKKbq7swJYi8zKP1sY0V0ch9bJpIJgWWnTnoywLWNQ4rdjzWqz5/BUYxCIPN9Kf9VEouJL2
0wNXpeqRC7s/GPLCPcGSDXcJWPOTVtTDRhNk9VDx1BY9EPFUE7/iVWTrKePw4iRYxHVvPkWRkn1G
7MDyYXNuFd22hpJCRQlssgltDlWddvk9jjGe35njskerJD9c3+4reQHpDvw5wfuhhyQNZTpBYzs9
hwpjDvjJTlYj95BX+9loBx+uY7WHrZG//cZ2QaKJO5sXG03X86XU7SESWCP3NMBpuZm7pL2b5iI+
gFh0jv9gfib+ggCVaWDJmI8AV4G0GBK+2jhYd/Ucx3fwGzUETjRjF+tucz8gKvPl+qAiRsiXoCd6
oWx8QJq2FEOGXkOiO7WdU4Ky31G0xI4TMvTWDk3ZCd2pFBHZfzKiA4YPOy1wfNKKVo3nDIgbuacq
Se2nfByNk+4q1dHKeufRiYzs7eHD47uR1Im+kyUnskNqLRWaCMTiEnOgHikDAKRjvRGLV9aRLakB
bKeACipOyh9NguGsDoyiqelwHEP81o0JF9Pe0ZRPtYcb8/VVXCsiMCBnAZYyDyk5YU3KvGoGFvnE
5Qq7ugbo/B6BDtTecUV3v/aoBezMyigAPFf2qYpFa22E7nUP5Vu/hVrlbPyilUgg1D0pdgl4GQiF
85NiqAg+zLrhnHC4jjFh6pu9qgb1CZn8f/JJSdGpVUC+ZPfq50OZoDWbFJmIU5U28fthtCIkCAd3
o1y4Eqt5CLhk6iqZl/GCJngVRW2lHPH9QlUYW6Tq2KtJfoj7Nnr7vYO1MvUmqoWiNiktW9gv2D4l
jFJhw3lKkCpfGvx+ru+WtakgrYqjHdX9S8RI6gxqleWac4rbZDka6FbvGsvcwimtjgLzQcBfeEzL
7nQubNc4y0bnZCDwtkdi3N2NbtRvfJa1fQYshe4xxCd6UVL8MDQla+yodU5tO7s3oxJqdzgN5++5
0puNG2dtKCBXoIREG8+U3/NLiATnOEfOqXEKfM5COz4qvERORaSaG19obSh6PLw9wbWCXJCSnDTS
BgcXI+cEdKE6IL6R31Sag6qzMm4ldGv1ePpJpHTUuwDcGFISomkJbHDwHietsW4xfUC/olSOVKv/
dDAlQZ7O+QNOQY8uhErMaPVvY1f/uL4hV6cL3ISNIoSCZQhTMMYBQiWeTfTqC1T8XMp7Ke4VTe2N
Gx9RzEa64UQqJFSJic7cO+fBwsJiNM3V2T61GHOhdWghfQZ7Fl8UDduWGOsZtFrqIzqDAy5LbfgP
rh/6DaAdaX5Tr3HOh0fTG13VXMMQzc3MnWMW2C4SKzeC72UFEfqW6N1R5BKevTK4FwWVYo6H2j7x
JDR3iHk4qOngxPSoBVx4VRvYsJaT8o9+NIdTjM76s5ks+rTxMy4iAL+CeAlcBgQTRTfpbC41dKF0
6u1T58LmNO04u7MH9Y0pi0njAeiKRqvDYQ/LmXoIW6RyayQzHbcuH1vy6T3EzfpLqOnhh4LS2FaR
WN6sLwNSHvfg4oEnlN9ZlRWm9LShCtgNvJUkzcKDDTMY3aK2PV4/F2I3vN6sVO5IwjCYBjXKsZB7
2F6E1odeLAM9bHP+Te3wF8q61SHHHOomtd0QTlA7fb8+pjy9lzFdrmESFwaWz2LkzEWjD6ynmTX6
YQnR7lOj0t0DAZs3Ljs5S6JARPLuIRkO/4/xpCzJchMlNAq79uEnO6dMY2p9qZoHnq1C7qrwNkgR
8tkX41FuBuECqJD/Lx0+PS7xcx762p/Q4PXLSV9u4WLV5LVxOh01CNloH3v27cSVggNaEpkbE5YP
xMsPoAagcxo4lfKVWGM76gZ2Vvtz1zrpziL2oiY05fHGwbvcN45pUzx3uRjpssqep3B8hfQ6xAvP
jcMCSSN9+DnZ+CfsqhIxUldDsioH6+i/deswLGQcwdjhRpGBPWaggzKjbeCnQ/Ytc91k31T1p0Vz
tng0K+tINQNSEG0SQGtyem0gJIU+3lz6E9nebQ5BEeVKlAnfPB24BEAu6ZPzFJJbqYiHq3Y1NCVS
M+r4BedpXJ50pziohYJA98ZY+sVRB3pHrBQfDOMXudlY1IHhQZbMkSuEP7Af5yqu35s9JUcUJd2g
3RcjqjTHNJpc9P+Gqq13Gt/1nejXUQcPxuUHBxclNqRf5/wQjRggVZVRQUhHlwkJ+BQ70zQqqx8W
5tq/0gjUIhXDPMC7Dno8GsXLi5UJHb1flHHiTyhsTogA5PNxUPXmXZogbIZsrNGapyhritwfHSEn
i+3nUN4o1WJ8Vrt2LP3WmhtM2mzvMAea8a02eMICejbyY2XX6vc4GLO/FNiv8wHDuMnYo0ii/ohq
ZdaOXdYHN6aCeNERaWGkfAfonD9L3UQN0iwaJ94Ir5fbiDVHNpZNBL+Czvz5ZbxoaeMFc4JZqYL9
i+m02g6U5BbR5jLKubQsHUxxiaimLsNp1RKvHyCquV+HfXLwNBiYdN380dTCfasEW4bHa5Pi4UAV
kJY81Wyx0V69U7CXrdKCl5+vIAK4pxMQnrJ02sIIr0yKx4nlsHyEM95x56OwdMmSR1A2ezv9YueL
sU9SE0eXHFE9RR8O10/Hypw4WVSuKPeQEcugFTwsHItMrfSbSV3eG105n0ZPfSveVjy4DAGDJTNk
QzjiV7xaOTQSrAFhotKvq8x8GDNt+myUar1xB1zer4zCW13VuNVBv0qXXjYXM1ojJhyERQ1OUKMo
cWuD6U+50W4ElbVlo/sIMs3zaPzI+VeiIq+R4krmD1XTI8SIXqSX9MsbU1qxbOxuoBKUY4XuxPmy
KRS3rWzK4G+M2Gro1dLBRFC22oBrG45uByhcgbLDavp8FG8qCb2VV/gIULl/RnOrIY3v4cjoDQja
OXWw8a5cWzvKi564qumCq9JmyHoN1SR9Kfw+oZMFhzja52gRbmyGlVHYCFQTYC8Kqo0UgaYeHdpi
zAq/BHR0LNoMQL+NF9z147Oy5UTfhjyLOESVSPpCQHDDRkMO2Y/GIb/h0ZEfYeenIFE7b2Ooi5cH
u4GHJN0H6pDU1+Q2WpV1cY6raelTQ8UHFv691Rpf6Bz/QB/md54N91FffCxn776Kmzd2bV/GhggD
aQQhCVtOr1CMzEaKDaXv9eG8T1Bl3EVOsTXFtdWkMgZNmUYItRopwOqExTYwcSHz0J7ZNwjXnpI2
e48j2VbYu8xXXdI4Kg0GJAB40eKfvwpI3lLbCiyJ0gcQE52Curd2bmv0foDqzJOxhPq+BPhxAx40
xMzMbDfyn7XNSbOfvByqFDUPadtYXFpV3cel75TYFTaKbp1okG6J0a0cbHYkVzAgXezBZXg9DMRc
tQboS1Fntc/JooD+Rnmh5h1O0rArUnXY2KOX2THgD6rNOk9jakaWcb6siIwUykAc9lHPqu/tsp8w
5i3NxwZJCWSooRGjFwDkYCMarx4NqrMeYd+CkSLnk9YUtoWCgJWPxTNNK1xG/whRA79zG938iQYS
Ikd9ZDx3cdHc6aTnn3vgPxs/YmXuANxJmnkccFLlx2ts5qPWq17ua1iY3eFvkz2aKuXvFqP3fZno
wyNQgS3wwcpGArwnbgfVczg20omBCY9xOLYFfgOk7GZOI2/nKGH39u1qEa0pI/GYhDkjxdKYaO1a
6Hb6aj2H75eo6g4K5Ybj9Vgq7pnzJ7lLOR92FHuV7yhv18jB66NAANEP6i5+Vy6V/g7yZ3GY2i46
BBVkzKTGNaKs+/BwfeSVuIMTFu8DNhBUY10cpFfRoMt7PUHtKPdxtKmxjojw+DPm8rTo6rjxUH5B
mF3Mkgccpx9KkCf3gfi7oIrGKvcV2/7JO+MBTZrHLkZ7M2ue9W64scfcI6NwsZGpDzibHmsjvGmq
8sv1Oa/sHMrUlEApTAp4mFQO14s6LDouLejVDREQ76Zdl6bL23cO3F1KLOL5al9UQPHFaqniLBAO
TfyQstTAVtJut0DAK4GOxeTFIcDPFHakaK5OTa21Ochm7HoW1Eky5VYBjBYFCLrjuPvWPjmXoaDX
sVPJLriHpaUzgknrOxwdfSTfsL6uUYoyh3F5uv6BVuKJeEHB5OLGRclUuiNyB5k+9M5T3/LS6Vs0
6e0Rt3WE16bEu8vqQbtLhhBVp+ujvrSspf1J5BZwWQQZgAVLk4sWLyki2Bw+QFV8KpU+zfwcHs+N
k9mdnyTheAwwB3i/IKl8gKlAG1ppstPYmvZesdwM+6XF8K2gdjZSkItGHMvOVYY+hKh1kApIX3lW
Mm5sTHn90igH9I0Dh1c3GqrAax5cM3kKgjg+6SrCiVH+kBTjU15jTYdJ4q/rS7RycjC9oDRKdknW
LLfHk6YwB6uGtYZsvHbXt1j9oPM3bETD1VGQP6DPJypqMrKlGrqptwol8c0adFxm2M1d0Fk/r09l
JfBR3hWfGoy0qCSfB762yFAMnm1hy4XO9hRFy95D0A9JwH5jpJUjSn+HjUzLksMjZzwG2sDuksyJ
b09Lug9j4lvrIEe9I/NfvixI1O+vT+2i+cJ2gUSlActwaS3x0JDnNqYZWozoeS5xeGcZU1Hu8lCJ
P45daPmVN2UHBT+qQ5u53m6a5+i+mctkv9hxvrFz1z4lWjqCZYwsMEW1818iMqVJC3IM79ShOeK1
rCAuXo0bQP61b2kC9QUTSwOei/R8FNeJwiwqVTSl+zJEwnGoDx4wm8NsFupGaLqcECRGsixxU/MA
NqQYoc6ROTqYsfgwsxQcE6cf7WiqtxsfUPwp55GIUXgHsDXBcIJ4PJ/QrNZJ0ukGPOakWr4MjWd/
rRNL2WMX3Lyv8kh71HLT5T5p9DunUIOD5qZv7RaSVvEbKGIhYkVmJx8Q3kOZPicWIdBewtOkD0jc
VVaL5KqzlTuvLapDxQwlbQZkp5xPtx/xvGk9dAB0tOUx/QjSA2nm218eANhIdV6U+rhZpBPvVQil
1V6T+RE+lTdWPg5PGQSwjb24NheSG9jPoPKgekhnD3sMlnQZoRpV5Sd1APUfBLmykUpdbnjkTV4N
Ii7QV1lbpCPVhmUB+wPB1F2LiKtfxTamK0q6RcVZHYpXDT0jSo223DQu8CwuHfym/SFUW2hMdXAK
ADnu+mnuNmZ1GSiZFVASMgsRLuRgsQAlmVU74wM1VXHXVp2e7aISJyI8kipE9Ippq+t2mWgwIncM
1QXye9By5+uYBE2MowUjWnVrPDrU/ffWPDqHxi31vZAQOeFe+vbCCYMK9J+onlF7lEJImuKaiCFk
5ttDPN4NpRGjIRdXXArzVstmZTNCg2DDExMhHcl2sUKTb8HhL/XnOB8fs1y3v6Parby9JAinQ7TB
aF+S1suaOw7yh6raGAxj6eOT3pbt164I842ouPKxOFHcaiS7Nu9NadOT5XLBQHjwkxIXx6iqtVvM
wVA6hvyrPY5DbB+GBt3A67F4dVSUKinLCKEuWfYd7l5vz/Wc+iEcqlNtYmarISz6ZAepipG2mXzG
9MHyrw+69t2YIy0g06HGJlf3hQyvqJKkfldpw03sdRjiOPFbZbSI8Iipc5sJ4BFptrT7WUpTw0c8
9celDh9Qh87yXWkN5UZEFLevdJmdDSMizKtgNXeRbU6o0flW5ya3NnkX0soddmZZmp68uLX9DOsi
ZY/CpXtndIG5kdevfEFuL8cQsF4eY3LvuS30OYjqIPGXwuyeBqSo9pOJJck09DoWEGZzq+R5+Pn6
F1xJ2ekjYk5NeQLNK2iT57OO2xk7g7pGccEa4vrIReM9xVXj8DRrjd+j6zY/h0Z17mnPDTj+JdNN
pCi6b8PFe1TzNNjYUSthnI7UCxbSJDuUYUY5sVOflCrxIWCPe5iB2REhePVQR0a0cU5XNi9CE0J/
g83La0UUO15979wNZj2beCSwsbtdEqF3XiT9VpttbUKOKJaYQAG9F3fw16OYsdqoAfxAP0gjeMcL
riAFDlaPhjVutaVWJyRatvA3eDLIoFmnVAOtthgqqr1voe0Wd2i1b5GD1nYp0AiaN9yBGqnf+ar1
UwRRwtUT33CDGGhzPR0RbA0fzGhW9lFo27fgEbdeCmszo2SJgg01YYoHUp6ZBLjeeCwbFPhg3FFj
Gz9MQ1n/cf0srNzr9Ka4ZAW+HqCLFGcQ4ApMPecB5Fjx+C4Nw+a5SAJUOPrC6zArMqyNiLM2LbYE
Qg3ke1ReRER6tQMTdNC7IWx4yGuli+MRdjbKrG7p562UXsXLxjBpTwk2l6xRmSlqPpjpkPj4q413
ajROtyN+SA9G1afPGISGIpHJbsuui7+3WDudwihfyo3H3so5YGlRAkPH6UUR7HyuEMqA4i7I7yOs
bX72lASfLYxB/SYYtiD/K8vKYbM4AUxaZGnnQ/UjHjhuPsd47qnFdy822Z2tVxyu75a1UcjG6OQY
MLPJOc9HSfQRgPGcImmiaN/qHNSgUcOnvz7I2qoB9uBpzN6H8SEPgq4eFr1R7E/4JO4pMw37QrPn
Xa4b3cZ8Voci30NmnsfpBfQpX/DObRBbx/Nd+VqHU3DA/uJZUZLgH+wEVHYE5h05NVcuInP7VcPs
IJ9SOnaI5WyrHl88nEDnbdEIVr8RD21KQQKJJ1cdTXRBoP/rKLWYNfUoDE9PphK6x+sfaSVxQCIJ
UCwWLB4hUfyK18e4sYZcx9bPpymFuAGo/iA+OVVqt0fIBtNxnG1nxmLI8ZbdmME8AM+hWBs8l4vg
xduHdpxoMwDSRTn7/Eegi+x0IcZzPnqPOMkPSQsjJA52YKCdQ44vzFvLxmI84Oai1AdfQpdCMh7D
DcJMReIPjpOfPHXsd67ZhRv7/+IDkkCSVqL+KeS5UE06n5WJzzCPkCz2NW/8WSv9cFA1zMGvf7+X
33qW+YlR4A9QhqLuxe11PgrFaUqacY1rB7UEfIDjFoACLhbHLGqND27spU/2mAS4qjSK7yS4R+/y
Rs8fHR0xvLBt03zvaQNG7m3YohiPNmljjJBHgBOeMktRDpjFWfjA94uyd4x6fsbc3N5I5C6Or5gD
0ABuLt5rvADO55Cjf9joHStlRl3bHuq6MMmSXRsX6ImEdiNYvLzIzpfMoGD3ggTn7vLkR44Zm2kC
Hhv9EF1HiSCc6+ToBpTs7lRqJ8Fd64ylucuaCdx7MNW/GjT4n3BpK9FXmUtlh9Ocewe1uPgV2Ybi
Y6A65bs2tMrHuHCGpyg1wyPq5/FjuWB/Uwir4gHe6r4wFvO26xLXLwa1uclH07itA+U7kN8t1vfl
3mOKAkVMdvwin3e+orGmFhpteiSH8P5+mlMMT1KzijfO0cuHkVcS9WbyDVTPWFNpi9uJEWoZisq4
X8ferl/0k1rpH6K6A5XtfW57/R621zN6cdnOzM0Tr+Jbz8wGfITwRy7m56kYPgUDlfZRHdF3H5tT
nfUG1mPYAxrTRunjck0Qz6FiZAFHImWWCUvQkz0k7KFZmsUwD7uiNPMay+1e2dhfl9GMccQDADQD
FES5gB+mCDtAdndPebAYH2MnKX6UlKFzGsdZ/mEBDbgx4NrEBOeAThvQJFcufqetM2G5ELqnwBuU
Wy/h3WVMUfbWhI/kS7Te8XIRHQNbJNevbgrLi90B1Bp8jaoZb82+iw9CD+6fzAXgAgm6qAbI7wDb
KLulyplL0s3RY6jW467K03jj+XQZcHjVwHGiykG2xTmR5tJ2OI6DpT+FGnyqQ6Vj+ruL2tFId13R
bAEl1kZDIoYTAmSI4pvYMK9WLnL1ckhHSBJdXdUHu8ZVE9/tAmzGxuKt7DyRO1LWQ/hL9NPPB+qM
sCv/L3Nnsly3kp3rV3GcsXGMvolw1QDYe7MVRUpUQ00QlESiBxKJRCKBp7/fVh3fKpKyaHnkgR1x
ihIhIIHMtf71N+UUh4e+KNaLZWxp+L2ITkcHy4dxDV/bZX5+PYZUR+rdUS339HqEOalupKY7dAhd
viwz5pNhhzGSwoxyvwxO8PHXh91PXvSjJg0uJlUCNOJn2w0p18rB6yo8xK5yL/IyqPcgVObw66v8
dLkovKBIxkeX9WcnKvLyBEuv4115EGdK6BinE8m+abCGrwn0f/YAOfnYpo8kL+wdnj5Ab42x4/M2
1B5gzefbNnpvtYGgu10GshavvPQvn97RUg8nNubKRzbes9VSVTAMXl55B+muITHOxCyqxXotFOjl
0zsOoVDqAL0ChTwnxg11sBku4x7iMfm6hY2TBbA+DtKe21dQw5/dz9GPjFqcYxwa49OHp0bdsv+4
7kEmVgsxP5h3XdHmv73tcT/wPinDWSZ4HE+vsnqFvRSF5zKEreuUmGDngzU58+3vvnPHvQ4TGJBI
QN7nbvQJtozk6y3uQaxYAuKSUh1qEdjvJzfIX7nUTx4brAJcsZhbcgw+pxdsPgbBQ2xcqvzxbNJ+
cDF30WvmeD+9CIsD+d45ViDPdiIz5ja2vVwkJCSa2UIUn1eL9dpM6yUAeKw7juNegEdGW8+x9163
+J52nXPY4l7eylLByOBoUeWN5dNGXDv5Mk1pQ+Iukq2cLPJUoDAuzmTRthW45FIOTGQD/drG+PL2
eR+p+4+HC2jo843RLjq1VGg5Dn4RNg8tfEOm3/b4ypz05e4BSE/JD+4DjP1CFZN0aze1QW/zkJnm
xfGK9TqhebocRRZ0rdz/+h396eVQNjKXPfp7P+dy2wSjlrA27AMfzHbWC989VCF+RYXuypQg2de8
Sl88RJ7csdygkuI5gtc9/fJ0TvajT8Tzwdch2aeR0+/tzf9tcg9XwSkC5QtiNzqQZ1cR9oYp2xwH
h2mtvvtaRZmcVh8FvfpmWUH3Sqf7s3sCEkE8RcbsMcDj6T2ZYybxKO3gYIRPUliVi32REA/+myvF
PTEhwggA1vARjn96lRHlXiUs3z8kZVicmISZg6+35WwSEYxJv3zNmvLHQ3rSBxw1qJQ2RyU7WUHx
s4N5EcbyNAjkwYeUue63cXZGQqw70iFsPZtD3Dvrd6YgVkkq+zAibFxr53yMibJKu9YUYAt+5Zid
WgZcm7SyE32ig6l/HJaoIX7XREjjZS70BcfI2KTL6jT6vZGu/SGaMOHca+fYsvWBo3tSzu3mlQf6
wxb3xQ1S5fAaHpOG7Gf7WTUzBZsxST3UY85gVmxa5YSGTK3MttFHoOP7QhDbXrqYuk9b6wbpKIvl
IwkcQb0rCVL6oDsRfWihNDlpXC7K2beDY3mcjuOg0nlRkK7bRayvzQ1fYN4sDb0gXHUEH+iTnp36
c83K1c7oH9jzzKceXsV+7a1w5wn0gXglxZcGMc8rqMTLjfl4VWz/IKXQaEGzePoGzibe7Kig5Su2
sr0aVp1cJNhtXMRtrE/LkdyItAkHAqdJgu15BmF8AFsdrvyhzr9qL5xf6VR/8t2BFUE5Q1LHcOG5
00CBpYP2a4T5SV/6VyvWS6ndrtPv1grcNb8cmxGg6pd0DhBIRa6MwghD+eulv4gwdfLI/f09hNEF
Nt84ElF0P5d9J23id/Ha+od58+rdSgRHFtrVa+ryF7s993KkWXOCw8mFbP10BYmhG20i172DmaYi
zrBTs2DOWvZ7ZVbvcmli/92vN62fLBFrg4AKv04EUM8JKqaJVqf1KE8tprIE1w581SqRrzy8n3wO
BE1DGD1KADg4n23AS+/P9jjb7sE/mnknDtfZ46/m7PKFciWt2PMJjg/Vx1/f3HEDfLZ/4HPAu2Ej
PaZXf/Y0Q5YLi82VesgxRTqvpr2tFxPtHbHG4IP5vB/i3L7J4/Xx1xc+/uKXFz5OntB18GyfdRij
E2FV7mmKZHcmq0938xUhlPnZOofOK9/YSygS4J3SNQYeZ6ukE336ylQi6bj7zTkcRUepXHMlMvzW
Ju7aCKvZ5eCX34iIDHZwseM9E/95H9ZR7Wf+Nqg9BnLyHCLMtlOyW6Gcj/K8LUqSXiKFua/F9DGZ
h+pi5NNIy9UlqGdtpf3K1vWT15ATE/YtuwVMiOdasgQrLpulcQ5JIMNTyzSENjOA2v16WX56FbxC
EBUeGT/PTVamzrdBo5RzsEL5Vk55dK3y2nnlpTu+y8/WHkUcmy+Cdw6A5wyHYQIYNvbsHCprY6ut
9NdEdC7eYvpsnUAh/he3RLUbMV0F53jO+O4rr5zzSTgHRexJaisvOms24qh+fZUfctrnN0WhQafE
BniMUnr6kvUkAcnWCPtg90EfZGjN5R0xYsCroErxV6vpyo9D6dZVZjxM28BlzTIdWg3gmxb1bKN3
jJ3pcfRMLlKJyeeDF03b/ZJL3aQmbip/j85BVpkl/aDNJPzp6gR3O06s1p83gb12Et4HnUiSne+t
mJjx/5AxDx7R2bQXudenVe33X7olj78nTEgfHLr7W+3HywejrMqH/uT5dwQ1NCZFLx988osJXQDa
FuWkNlI8WKtuDBWw9QvyxjuMbd/FjbbjjAATxkyINof3bbU0d4UcTZF5fudqPLOGTWaOiE1/VMK0
KuUfvgb7f4+HKCrjqXcOOm/rMA0LyL+pPcSvpfS+3GrgxLK3svSwYplDP12ZJG7FBonMPjj0D3vX
tCI1ViWIgzKvuTS9lDnwlmEfgSCGTzR+sdXYwSybaRu3Q0mbN2Z0tNsZgETPgdt1lTwzstZW1nhl
Pe/auQg/EjUivrrD0l3MVZ/P2douoM1+0w/fXnlBX3x0eA3RSxxxFpxBnz8FY0ZRD+iRkE6Pbpag
dNwxiHVSV4yvDTJ+8sCPfd9xNo5m7kUz4YipSGRQbgdJQvEeb1z/YNnxAvdSv/bAXx6b3NURmuAQ
O9Z0z7662VaWiodgxWMzp6N2xlzcOJu/HmN+C+sacy5Cd4rVw6zq14/z5UZJFYJhG0NXim8mr09f
qkAFbZn7Zj2sS7KdN0P+mASL/UpR8PJBYmfBvISQAuSPhPU9vUhIIpCO3ZaLADhTmaoZC9AhnoA0
g9dEiC9v6EdpfDyPjzZmz29oBhdZnFqsh2rQMitmP3lbLmX7/XcfG4VhhPszk0cYSc/LHKfS6+Ct
vTlI7b/BbSJs0mRiF/jt1cG6haaPxBsSDXDKfPrg6nW2tHDs5WDDt2Q6Bi2ot9fXPNJenmMMT2H5
wi+j8CWB9ulV4k1NJLINyyFBh/+mq8vuWnZJe+7kgXcYh9h7hVD/k+7lOA1nWHQku/NtPXvbt2r0
tiAolsPi49Ue6PKik7pLHc98tBCrpHE/+tmIDU8abNH7oqtv6lBdzvJ3fexJYGZOwdjAO1YkL/4d
UumNLtJVKMXq5XQRmO72uEn89iJyFeRNzPG4Y7rbp4+3cSGdFB7JzZAY4RzLaNq1BRagv34jX3xj
7NQUIgAEdF+gjs8ggiEyLRmRGpOofNFv6hYfUPaM4ESZqs1+fakXnxje98w/OO+PPgpMXp7ekDJK
FJtuu8OooimTZV9dT6ZaXvnE/jFXe1qKsDfh1oIHOvJFpvBPr0POvZLGSaZDPixNcjomarX2ne9s
zd7LV/PFD0ZMQOyh8IY0VEn4UVdxbbN5LiHuGeOU57tyMK2z00FXk9Q9+JafVsobq9RxFqfcm0QE
7p5mwfj7MjDjrUm2ocyWvDI1RiPY4pySLgqEP3aJGQ9FO+FMEWBVvu/bfPVOt6UUTWYmpk8pVWIr
U8ZhdZFVOXOAK9F1ZCWtWxvVWRe4xedx1bGViViX8S7pRXwJB7jwT8NihMofkbSdimZxb+15HosU
y06LriWvC73XoeyafV501U2ICwjJ4FERq+xH9sMun+3CTj2XXjLFf0k+COnk7c5z1lCkTe52n8dQ
trfodtobHRfh9zGfrfcwghnJjZZw3kej43yavTlGnCl6r8uI+hv7dJyGIESU4S5v/NZxUWsEJnnb
8xXmadJEdZCtK2/dYSrHFtPxyNqGyw4LMTgt24CwTVfWXMB4iEFvRhEn1RVgTWfjRRjp9xx1rpOS
jGF/GHXcVlkjPN1gOrR1XbpVQZenlYfR0ckYirJDzunm9Q4uhvPOX0gm3y+tO4nTrpTzR+LNvXuQ
M4U90tG0pZKhvgotq2zTuCBG4ENeiemiKjd3249+spRHhejgnShuts9iuwl3RNJ3ceoHhf+YyDwM
ANWCFV6vXxYeOYKr81YvlGVpUy32Rx/bFXmgbymSPW+KvGkHSw+kbjgErDmbq0CJwzJRabTW1uk0
wv5IMX21cirDbb1rpmbkocUWZ3s5Wyt5e2ICuNGJ4NyvKkb57RCUIiNle2DAU2xfdTGuJXhXTGe3
bM10CUq8eQcxae9W66Sd6dbsUlEfFEuSha5xQwL45vKx9wb/0g2W6hq2BkYuVhtX1y0967u4GNs2
a5Oo1zs1xkwu7doR3+S2kG82Ry2b4GxN+ZBxzi5EDsyePh/KJvjaQMSCTsAAhPvpks3fF3WxPgrZ
BO/dRYcRkQsu4OSqwnXZLRFwQEaYMpMXorFKypkhnrdTmI1Tl+WqsK91aGFTEUKSytyuBLQ1S5mb
tItjA9mwrsSjOwT5F/TG410fozBOpyX2biamfl7mJkBN2PA48s0Uvo10cTlWIr9dxGg9xq2ZmmzU
89RnuDFHD4tv5B351K5zIpPWXw+u9rruog19pdKlquU3BIpBT4JlGZcHdy6bKpWxrq96RA11Fvlr
fC/GUT9UwMw3PJ0ckx9eHZPZeCI/DEk5Rxl2E1afLmTr3hNKMd+u62KLkwETdf7XKNFq53WON2Qz
7u55uommvmWGwhZtQylw0h5jja9TAh66XwmwDXbzmvNeNG2Qf+avVVBp5yVMm2Kpy6wKxmgP1zqk
ew+s6J3C63w+C+omTj1nUtetJzDsI0M44mWcymOqQ5WwBlMflSL1UABcJIubj2c5aQH6wIeUvA0L
PyY+0KzQkXxnkEU6hS48jgozzChlPrDc0jVh5M4SLjWtluNdxEO4vvO62s6W2kOYv9irfz5uicNL
65Txcj65i0DZDlCiMvyWiy7lBhdSJKNwurCCsLrJQ2X6XdO3AUlL2vbf52Xe3YTlOIUs4eAQ8hcq
5zRg8nk9JCHiv4hpMZ0YfmHjfvIJIbES1cM5nqvLDZvi25G0nO0QRiIYz3tyKMdsqjT22+uUbElW
6aa8POY68W74S2gOg+gifdiMGvoTPdeiB9Hv4/60wT0Wpl7VQbM3w/S5ZZQ5ZSVEjpM4L3z2WdET
t9BNS3AZzxJLhtYdnSsbYmmYLV2NseA4YfTXkYh6QsYtm2dP1GZ1Tox5oUggKhfnJAg1W+WIv9Ot
bOr2W+laS3ESVLEpDkrXfXXSLpsNZEIL7J1UwZLQzoqSHakuKvGFCxhmNyWdDPLzxHlPNE6jUxZI
fx+DUX7xF0/q1PjW2mRlG7WfvVCF1omcdWSfEgHtlmnASjYsTiXczCSdCVJvzuMhReKsPndxZWNX
UtvYWvWRv30mv54IxK1T7k3sNu2ZN8OzSqtlHEzqebhw7OuoqKbTnH3Y3rnFHFkpukZqOZIBoDia
0LrDAaUTZ1EkLJvsAL9tU7fu24e2mqUPUFAVdxCN5MWAl3MOxdWRzHNERNu+bmK9zpPN0mRF9R3b
t8wDk0Z1jX1Cbfk9S43Z/1lr8iAdAA9O5jGys62ghJzL6VovVmAfNlq/OnVJA5wolITmEeD6Qihg
cQywhYszX/uVKeoUkm1xNwVWN2eB1OiOmM3X5/YciO8DMDx4TzAHdVr7Ng05bbMldm3d0zTn6zo6
aSHCodqta2Rdzh2Wv8CvQXnn+Sp8s63jUp2wW3pmJyyXo6x0ah6U9rswU3J0mrN8rM11MNfTXTfk
7ZB5Q1StbKgBruggGSLfbdDjmnRYlkDv+GjaZF90Wt1vzGFPsJtfYyZCVXM6Ss6PXR3R0943QRNu
+6pZCues7K3yS2RrX+y8MnDrnXKKMBWmc46V43CYKoF1mu81o5P1q+gueZY1sE01TENWbVYhMlfF
9tXWojr/6q9mENncqPBWyMB7KJMQoXs4tYu9b1VMVkTPzc5p7XBSp3Ys2SLUEE5vGynHBzVy2p1g
MApR1pvyFSyIrXd6KJY55miymd30ub1+ok/oHvTmuBQGo1z920Zbyzclv5ftwam77Tsp7fGdabee
Wk4wJTK5ghTnwt6KU0tH4bhj3QJ4IKTG3oxzrL6pudWfBszn2nREuv+xMpH+DpxBYSdCRyzp6k4U
dj7Ooe37Y2VyU86rVZ7otsQWNiEaT6cIqZDByUDNS4YRjimzzWxIG+2k0rdSutEnEQfqcxNX03yF
zUf/DQOAJsziyYlk2uWWvIrMVD0Gqnc/u54vaF/9PH9kc+N8nlwflJaI5a5I+T39u9nvnQ+N3UXv
9bja8A87q5wzKFDtuDNsddaOr7FNziigQrNvBsechRuvE+KF49vToM7CcahEOB4XKrohWq9pU1OK
EhE17oQ39tB6xW6xVH8n8iZ4aLDTo3yudfLBCtzSw8kj6B6mPLHe9nLt39SLY/aVdpp13zuyO4aa
VPN91w3jt3VUKGG7PBfb7YIQ2DmPzCI+1ZTVp4M31Xcm8fzLqGiciFhTDP9SnTOo5GaaFYOAfmg+
8OQafa6xSfpYDlbVIigbLHFF/+ZYO20z09hFbP4iBermdKqbKohOhOMw6sBkpQhouZRbAXBMXf3W
XsJ1+DBV7B7ZJD1/2zXGhmrOlqBuSjNKkfVJtKq045296qW0b9bWCsmfsRf2Oeqwfk0FwxN61pIk
5TSe62RNmwQD1BRaQlCcugnhj4RCGlmlUFzEvG9UXHwkVjr5PjB1h7UcmXJLFdzj980YkpWlQtv6
0pFTtFFNt+W7xeVITasKBNtIP99St2TykZqhGIbUyllXvsu+6M8D5ZiSIBntXXXMD9yTKZyrR6P6
GUTObfJdUpsuQmJrju1H7TkqI0ZGzJnEcNc6X0ipq3BoicvbOmq1z0a4WuYjOd+rPk1AB9Z9B3pE
aKodjlB0SCLmzElcK2DoEc7iEOZb1Z+O6KkuXanUumu8mgnT1ibNIa/cYcLK0wsej1nsFKZLHwdn
wzyY7xDdI3He+V4h08mKciBdt+iyBpnXZ88b+KQaFXGiDHI201uXZO/utJBzm2RyCapm55jNfOw9
Nd/nUMCLrJl1OWXuosR9lVSyyGCIR9/6eiMcee77LcTvl/XLKsLug9S3lPykbOgCUFW7+L4dZgxP
sYMEp+66oLgkmmG09rYKnXrvTaIk/pFj2ksNspxi14a1XeysrdA8nq06OqQWzdadaLdDMeZGuq5I
L8LX5yQkgYG9JpwZ1BT14C1XmMj0y7WeovCDFeEjlblrt8md8Bf3Hg7e4t1GAtSPx22s09Fd1S3I
f+FnduW172Nr4ewFew6ZseYxoDj+0ziLIuNbofUDs2dBoUf7dJxaz71rCR2ar6xpEnGGtVn/plyL
cThLmrW86qgtQrILer9P6VjVHVZd6lo6URGkZhuCOkssCtiMnQBV8Ra4c571ocIQqXVh4KTxuNaU
+nXbvMelrfXSWfcJCbvTPC1piFl7n3VxMi0nirciPqkS8nKyuCgBfNzeS9YLqikSWSLhxGftKGxI
wz2+zFlbR/J96zTzY9+wg+6WZh3fLbYf3HRzQ6NQF3SSF3U+tew1iL/I+xODKi8tYUkD90EKTdhs
1+CsXxk+TFMug0xx7PLvcZCYyl0TBuLaGLKKTi3KhpOmgcGyH7Sdf1kbFmQnKQebLFajfSPmkULT
W+yh3utZW/L4aKL5hvHWkOxUM6spjbdk9NK693hwynMLQQ1qDzM1j+F9A0KGPwRHOXAumor96bzU
Ug1ULIX4FFm2qs4a9JV3sY05yW7bCrntuqTPNfyBFUNaKi51omaGK5iP5yT1qjUyDx0WJ+eTDuhz
9UYAX4qEF8MuW4xdzq4Wd5oR4VC8mZDWX8elCG9cK2aLd8ais/drPOZuqkMqbqY0dRMBqVRlwrXm
RmRJGScidbfF/hZriSWjK4z6PtZocU8R8uaHwWxJvgv7qf82T560d//ulXoQZBEuh+bYOw+NS7E5
WsZ+LYDm5aiXiTluaFjZAQ05z6XngFp+N4HXAdq1zHA0J09YfzO5pvO37lDpwYl/jYj/AlzDnMuO
jwpDlFbMX5/hsO1MkqOyAyC8vm4yp6utXQSrL8ME+7fljNHxMowsMNCDi/v89txtCrY8UOvBJ4Um
raicTjboOq+ghS8gvB9XQR6DqIW59Q+E9l8o023d9cvsj8wbhLXtOc63dHOG3zbmOl6F/zvGpkNX
ec4gLbpoiRzVr4xNTJgGNNaHSpHeuE3WX47Z//EkPH36+3/y398GsUpyd9Wz//z7W/HQv1fy4UG9
uRf/efyr//+PPv2Lf39TfSP7bnhUz//Uk7/E7//r+rt7df/kP/bk7qr1Zn6Q67sH9FPqxwWIeT/+
yf/pD//t4cdvuV3Fw9/++IZSVB1/W1EN/R9//ejs+9/+gMz2L/Ds8ff/9cOr+46/d/lAS1rdv/gb
D/eT+tsfbvwnzS7DA97Eo/njkTm2PPz4if0n0YEeHFW0TT7kCfePf+sHiuu//RHEfx6TPHCtCuEH
EgbAj6Zh/vGj4M8QQTR/HiYCfGr8Lf7rzq//Ad3+Y1F+Hnjv/4Bw/wnx8u6BvwOJ8E+APcWVntEn
GoOpehTX0Y7JRP/YJSq56zu/2nZDMeOaZBUPRP0ARs6Fie/yrW3mfbzO5o09TlCuHGCcj6HcGoH/
siWjNK/Dot6vZG1hIitIfpNQm01GsRDZe2dwnSkd6DTJcE7G4S53wmDek0UZhueJmSMnoyN2QUyi
BlI/yXXrDJXEHg5OEOXuhaeacMmapWxueWqqYd/czDfjDwi/YOIBIm0inuy0GJjYZNayrG0Wo17s
0zKokEANY+UcmhJXwTQwuV1ledfWn7029ovUDzXfOK6LUuw9r/Rov7Xl3bcVGuq0N+Tlpdvgk8Tm
Lo11jn30mgbTsl3rJO8fp620zptq6Ha5Hs27qN3kDVBWVOzszZ3MkWff3ncNyNun1Zl7mqvZTt4o
5MxXgbsyTlpqf/24riYAEp8FKa5EineHSsbO3doHjNFC4evkMPb59lmWBUS8Bvz63jSTDLGds1za
CQKl1Y4ZapunJYeks49rFX2XnAhFtqnSp8oSVfAmmnHiSUdMOYsddo7zYxkU1cfC5zL7Fvl6k/VT
ZEVZvRQcbK29WG8ckKvtvF5l8WEVZNqkSbdsn/CGGkTaz+D2aaXpF44x2YnctWoqPkITY3BPE5KM
J1LH9shZG0pJLzcs6ryavFzBicFfFCC/pGZfG8cWWQ5V9WxZezVnhcbte54T79wTVodOzZFFk2nd
zFdTK0r3ZHS5HZbXC8A0UbEFBziL8/naubPIZD6DDTZ5tfgZXarOd2qKgmKH9EXIUz3MzudEwd9P
TSRpGY+20PNgrUe60tzZKYJUKgvbnebLWXtNjw6o59+go7FYTmf0ol89K+g/+wQ7887Eg/lqJfkI
MDIGrb+bfb+sdmr2TZ6pGWE6ZUCFDbVLCXwpbXw2d2U1jTe+FTWfameze+q7oPm+5BAksrKiKO26
Gg+jJq5twVIVdbPXC8EDC3zEz0o3tOd+0YY4qkfHpafL7IATk1mOezPM1id/HZvwVMMLeLTjZllP
OGuAaRZvqpq3xm7sKiXMsx93vRErhgQ4JmZOjlUU2LUsP+ZbAcRW+zjbnBRSJHFaK2/7SI41uvBq
dccqU7gcCxgkcimzsiMq92A1/txmDIcovud6UZdT3YJPApRKKw0ZHX0x8+h9ymMpc2Yjm19mQsh8
euNB/ahTJ6mhKzShtYqLoYt6/6wohlmeoVjv6kO1Fd1XAGdwlJhK+qqtVVW/JX9xtk854TYnQxrP
unPAuVPmy3yM6a2SDbSxwgdwJ0ekzidW3OZRBq/FADq602bOjVPmt0ge+ZrtbVjKXSUqwlVw7nHO
K8tvg1Mjjb+8h47TOF8mnBWcfVkpv8uYahmxG+U2fZa8DD4eQ4sGNZceKR9YXskxw0ljreOMfrKR
dSomFult1ZRBflMsblSlZW5NeucqmSyX84pX4Umne7+8akA7HxUNqU5LPKQTtp+2YH2rhmgIHW72
R0jzSbyPCpM8uAWt32HBl8HdtYGq5hMt27g5NeBwwDzoNc9DSniCtKTflod4JZz2/eZij7Vrlqmx
T/2wnptDy/jgcbAi/W0iiHi4oIc+DtlEoD71Xd6uvNTSR06j563dm2noBYAljlEZwxh1nAa6YXFD
E7WHACn6fTeN29cg78zKGI1DJDPhMs87YBPgOg8m1e0WQgrKZtuZh13L7GpMh1pj7+K2dn6uBqf3
Ui47fRr9dvrqLQ0BA3IYpyhVObBDmjv+0GeTsoYVwGeO411u8tnZk9k8VPBG7XJHn+rUZ5ZtRY9i
GrGZr+ocmkqt2bvPcgZE3j5YICsyLCzxtUYoTFIKcqVoHyfaY2sRooNRVRqSPoMyXNQpxoXx54pt
3zmxYCR/lbbIJVsG1kE76Vp6OqfPUNsp8JlMzqjG1bdJwhTHqGbcbi0nz28naJsAMXF89wOJRjNa
bydtWYTnWy6XrwHWcxczTAR6mWmm/wggPtGpD7fSj9WbZZq6x3lck/jERl16qqwSBiLuy843UQfi
0VDto3F27IgjZGm1mzkgTgZde90xA2wL84VNOwrp1sL6c6B8Z7m1aid+t4G7fIpHjHwyXZn5Gsa9
XPbNli+fmsrC1S9njMT2y1tyEnWsS1pWa3u2rRBmiXUo8XqVYxjiHXrEgNK8WV13ByuQvs0hjsaX
bfB+mOHB7zoNxYVZb2sPtM1WCOhs28mdxo8u2vtJXt4307zFDEJru023BmXJIc6xKsi0MJ6Pfr/e
HrkfLS9yi9Ctk7XWsX+Z4z8y7tYe3vkOpYx5W0rabJhkvUkyvUXuF6o8vHCrHniKflAn5qxc8vUv
l5ffqoL/29r2ST38y1r5/2QVTGn4H/9Va76sgitQnhdlMH/lrzI4/BOCC1p0BD04pf2w/fhnGUyw
McoDx4FShl3nP8vg8E/K0qOdOc0/VJF/LYO9P2MUuvHRUeH4g+B3quBnKm80fPRHPxQ40Nr4J/wQ
R/xLM+bnQcsOGwhou6jkd6Jnd0nt3nfvLaBZkINOr5+oOkCRjfnS2lOe2aTbN4et2lpnvzollJIG
reiFnupO7Lepi9iwByu29q4uVL+fq1En132BmuvCGMdad3IKzSt0WOhCEDKeVvPw5OApwSQiIByB
8VPCRjyRh7BZuL2Hy1Ymp1tBZDD+nRiVnI+L9HDzbdrqe+XK5CLq7PEBRnMcZsW4TGyDoiralCiT
41cWbGO5064oPqhOVtdh7ndetvEJXxhgF4YUplDv7ALJZYriL6zODIOO5jB6HYFlVhy3xakVhWY8
nVy1opSxbQKzKSmZ0K/j0H7O58U+XzoNOBtPjFJTT9YYmiTF0n30V8B/2Fw22pMSfHmkoFftN+DR
7hhYCc9mV7Yr1j8gQmGZykrBBqwNJDBGRWEd7Psl7loKFUaMGeQRhuH6aF6W+Y216gxcUlyXnlra
LCGPBOQz0rE4TEWO2XjDIl+aSMU3IaQIhm1TZ4McTy6Nhx6mqU1VFzrTaZhAtz3M8SIvezbk+Jzu
KRcnzuRywIE3iu9xFY3HGWxwUQMFZU1d9/KMQAom4FHNgK2qC3ypLWsE/oxLp48yfII2xkQzc7dt
Ude6VN58aI1b6R0Hhr6Kt4izxJ576hTX2iyg3DayGUZ0uSHaeCXLOw1zp37bVdqjWk367XuupARF
LxfvceRQwnZkaJdbpwVGy1rv/7F3HruRY22avpXG7FkgD/1iNiTDK2RCLqUNoVRm0nvPq5+HUfVP
KyOrUv33qgcYoBZVKITojvnO+70mFN8DUdHIDomnBNSS4mslbGNxU4y5uILFM2iol5A1eQN3nAET
y25pxjKUMXmYHxI1UIcTPjGwkKMmm5BSVHpzI2d4zTnKMJshpOFeqB6EH5qzDQorN/QLq/CW2PJg
rUBAfsoLYb1H56XYOC/LRhywRKM0Z7nmb4hX87yI4/XAgm4vazttJZZ56bzkz+flXzpvBeN5W6jO
O8R5s7DPG4d83kQYgmwo6Xlz0fohfBvOW4667D4T3Vj+nzbPNE3OG1RAy4neS6xr94INDL9+tjLp
vK3ROcFOhR4r2x11BluffN4Go2VHZOCxOQ7LPkn9xZaZnrfPdNlJOYOzqZJD3N3a560WsnP7DCve
OtFQm4cHlRbXl/i8QdN5Hl41BMAwqCWpRNTGUU24ep4b4Y7mANu8XZTlD2nZ+xGiUgbMS0WQlYVl
4TJopT9yfWqPnKSLB4Migl2VcqI/lxYps/cgL/VGtlQe+rkICaylM05h0p5LlDmc/IdpqVtITGHY
DUs1k5Zyae/sbmpmJvZS8Ihz8dOcCyE0D8rXqaPA2kgNSSh21/XtNjwXUPa5mLLPhRWEdXPVnsut
+Fx6KbpP86DDkFpdJefyDACZUg2IgbItUKjgQIAo5vqlrrP+LPEkE4VZcy795LqmDJTOJWEoC2jv
zblUnO2goWxcKkihJ82zTq9GddSlwoSnVyWb7Fx4dvSCC6+HCtYsFHvx0EoJs3g6l6wm7ejAbc1p
mOhVc/KD0FXkK39MVzFuiMEdtPgmWcExAK4ezoUxRfOUrvpzwRxLDBpvBtV/Jt63st1ERFpL6Q9h
ALtv+BerNqJEPshmlq0Isbf3Af/NER5ryOeIE860hmzR0/QYqwzlTpcGJ7hNce9idEPxqjRWnh/Q
85cVKAcaC0ercDgiLc73dbdQ1U44tTE2oQMIGSm3AZVzsA6zCExHVpSMFN6kjGcv7/olQJYEimgN
thJcR/VctVtODX7ldMCI1lUGKJE6eN8Ob4Jj4oNFOzJz8zQxvonO1saV3Kd9f2WwkmffDPheOKAU
gp4PRbHgYiowC8F9sJwl+och7TAjgzIm8unAgcjKvMGSx7fESpRjNLZ0x1iRtXddE4LjqmW1zuTb
rFVFhAE+DtutuLfRMS0uENNjOKnQqZKmye+AHS0szBNxJ/yx+bG4sH4d+nzkdIl9vkrXnva4C8mb
VnNjJ8JmhoGacLBojXqVLiA+O1UY3MSgp6lbDHquOQaji163HyhXVtk2bxzoQexpfTSFY8EmUcmT
K9vJjVqzfYw0MwZawKwtcpve1KetL0mzzJ+CdcMRrG9fq1CmQzcBIECBgOc0rvxBT95DXddHL+9p
ZzpV0UC5swBqHiKiwOjnZW1v7dsOxb6Ly61ya6jZKDt6IEF+robJmlxJtLjLUMrApggYYp45DE2L
PD1qiCzDWCOhQVjYtwNdwocxg7Pm0e3yb8kUIe8PNUHKkQE//r9MuP5/WQw4TA32z2XxqkmL/o3G
1gU+zI/+KozFH3gM0txANwcHGpObf+HDylIywySmq4ZzBkxfWgh/4cOa/YehLOJTXBdVGMeLz+Nf
+LBm/mGC4kLvhvPOb7AM/VfN/l/Ah/khf+qnkhKZP+gwQ4P8McyWLuViTTMldZqWvevX1HYvy4IN
kmjLxJdIPUxgtxQ1qG5AERjhrKWn36wY7G3uFM/su2I7RAmpe5PtK40rpcLazDTQXqc+yneQEqsX
8MDOiTKArYA65imLG+aSPD/oJcBepk+d14xl9kBVq28Gjm2L4QuOA20ZH/BNDL8MMJJOcR17uQX7
MLNmaStXZGaahFO/C2pJb8jH/qnsGyKKKl2688tWuipj0w4cC231WjeHbCvwZHenipAArc052D/1
C34YvBJPu0bs9D7E+a2d3IbaU4kT910x96TWqlm/m9k0jG7QvpWBmt1rrOA3g9xFnVcDjFzTWNW/
BlMvTp1ZzHdmHBpf9CnAtsaMB38jApstOx6MuzgNjJ3dG+0+lusUbMVq9zg5uFjSDOA/4LFyF1tb
KJxM9TI1EDvLxgq1YLWFeOR/sXuhXfsaHCHoJE02Dpsenvoav0zZwfNrvs7n+LGD6gXYWQVpvzLk
cLzCm3o4ZGKY1/j3tGA8QXjVwZwh9RQosNHflQTPkRaU5DY39fEIXTO/8hOhgAdIKUh+dGuppeK1
qjxijOXHd9DEnxD9hy6ubRa+Gw2PkJJzawRNsy/8Gp6V0uyNLCs9uda+cbwydlGt945l5A+SLulH
Oyxh2RTtiNGnkV+NosTrAU738zBDPR0MvXYrozEe40h/qeRAv5Voh7pSZapXBEOXG0IsADysifap
lTfaZsqrd3+hEw5Tpm7ZhKW9CDN/pdZq8dZlT0ZTTnDK4/rOkDpxHDgYuL3d/ihtMUmodDvlJlu8
5HOjaI8j97Wi5mrovM7yYR516HCF1qbwefMOM+AlxCwJYDAiFHOmKeB7wNZ/UlCOPI09L65PJvlZ
beZHXSZwjF0/OPR5U+1LNuC10KXBC2CZlSVIa1YJqLtDtRzHavYWaMXD3h8K1KZqqL2W6lBtmnCy
vRBN2nEOMXtV22je4L0qVqRS+DdxYVVHjnhx67QVHUdPiseXXIzTVucIcFNAJaR3PY0Q9NvpWeYn
MKaiINjBoMDwDWuarT+15jaNoN33lW7e1PZokNtJRf0EkjK5SU1dlOPnueLgE3rBKMx9Z0tEmZRz
uaqjyH/MyoARHTfTQdDbWSeSXb+3GmESA+AUZNxWedQCtd4RPyIrDq4u+b5OS2WnYAYOXSN5GRCd
O3mbQ+JPK2hsQXwabYwQ6LQP9jdGz5sdwwEDz+328AwKT20s/CSnvHHlQSvcBh3DJtRG/g2pwnqc
jdfZQje3kifJXlFicagScbgm8aE6wD2zd2zF7KtmldFRwuHHmzWTFShBOT2Ec3OTD2V9n0VRv5fN
InPDIolXnNL6g65o2cEXGpyMQbEfjHioDhyaJEfm+MlrWsjmhi+kXTcIiSzzUmyXLvBbmM/UNWo+
YwQR1G6qNOUaWkF1sEQp7qVIiFVA7qOYiyMMqegFR8ZTUyQvUCm6VUmn/9rUpPIqDINwJyXgu9M8
kWlq3IR5BpBp1rmTMqUpYEcKSUg0XootoqNXdIzqibhfCbor91PwBYshufIxnHflQDO/ask0PY6I
S2Qn08z7HJR0dmo5OGASoa/ibhgc/J2MK+RKGnOihVk8TKy+RdnLu8mQbwMl/hqJraZJxO+YYi11
2msgbQ0jCz1jqQ7VxMQrpPqKVYpWrDmpXsGhTrBQyJLYyaVIOgEwzzeqNZXOUKq7RBpW4Enlyu4X
j4M2aL0k6stViOhi3ZdDvauRJgAfDM9Sgn+WLGfwtGNkW76uw4miMRDElE6wrBRT8lSR9IdAEfmu
M/TQ6aD+be25udes6GZSDGz69F6sGjXJrrtE6m+HLgqeZYTfq05Ir8DcLbQj3brtshjfKSOHgOd/
yXVzV0GD2taTsPeDZm9p6O5lXbT35hyvlTDpNtJg7sy2WreBJB9Mm3/zp2AqV3JgRB6OjcU6GKT9
qNo/1Di+1UWSrOoKDcM0Bm+yHZQrCQXNdRxV5V7DHtMzM+rWurbmd+AQ6saGeRobJUyoEADFoPKT
ErkNHbHIKzK14etP5Y9aJC9h2QcrTcrEg5TXwRoakZu04/AdBvXoYIsWbnvNT7czfLOXyIisK6hY
0N5pg3HW0A59iWdrQeMzdTrWKpiP+r5gK9/FlolkZ04qSubuOE71tDdpNNWqcsckWytGOCQ4xCSh
Y87XZI/EN10KldOoONgVSAN2E663iUPNDQSMRoVIZY7Ua2h3CrSMIvxh937/qCtquU21YdiYsypf
F0P6WjRC3eCcbO6MZlB3Rlj/6MM0XVuhXSPZtQsIf6WvufDgZLepouAgWY20aRBTYecCC9LzCTc8
VbOuXQd2V97iPmA6wHjTZgKEOtF6ljf0zIx9N7f+EXDGWFdVV4KHp8UhhNy2g4ZD02NowF7qWHok
woPDOxzhxWSL3a6dow76baTNj3YQIbOzrLL5rlnTHDn2VAmvpp53TfYJzpu66ZhSq+1tDPXclB7h
Uzx33W3cR3Tj2mn4lpdqkTizpAUHQPMAAWFirQx6ifDPr0yRqmv4zFu9k+V1msrVTsa+bm2KztPi
8F4vC+1bQvzM2mDL3qWyml31atuvuoYjnY/NpkMDF+lBmuIOJ6uSfzPGk76tKLLwfREWfUYreG2k
mVLP2hFOD0Q4HQyMeBJNWhsVQnbSL9RSr9yEk3cSdbsqzre1HR861NZuNbN4Y9MWrkMi//RycCN0
tvuiLzWS1sfGU1PVw5YsvSos/FaqJt8k3biH/lTeTehd7jrfyNZjNnCUDaZ3Gj47H8BkbjjgjtPt
hCCpxTSriDZqGcNRDV5om9P7GYujHOXXVjDOhB1Ph1aXYrdgIG86vX5WkvlI9CNyGU7dhlw3zjRg
hYN1op+1b5D3hCvBet6IBgoq2gZTTreZpO3Sac49y8QT37bfQ6LlvTBmEDNH1lFGJ1mqOxv7fPxT
k+FrJb22JQbSzFFlPFpsZZ46w2mt7ek0TfrJ8mtO/7zJEcO0dRprV/TqHhNMPdah3dNsM6m4guKA
WUq5ifIbewpr+Lv6pgmm2CEhu3bjhhTfdpIzLw/6b7UiBg8lZOnKEi08NYU8qFpeYFJ/OzAWdgi2
3glnftKN/SS6Y0bZ7eQq/Etsyk8os7j//qBCQu1b3rGftioThkUmNNkbU4T9JaCiU9r+7E5QbLVA
eUBzsVXoTnkzZ4kbP2y/hcN4GMO295IpM1aDGT61GsiP3L2qeXEP1vutr4MfflKtBjnehnlSOWVf
Q6anWpmSCTxRR7DiD52Lk2Z2JclGuVZ7Ct+u766mqbU9kjv3WiDWYWdoDhh4tGoGauuUD+8YiW7d
Y3GOQFHv6c6qyTron0NoBs5CV37CC3fdh9F1oC9UUxG5Jka97M7pYw7/1QFoeQpMQUCl14+sp5Oe
tXfIFDxfCXY0/Yu9snC84aUOz2JZNjGFs8uvUqs+EKMiZU6IufvCsbQodEpsa6ex20K+fyj1SKyU
1soRcOlIC1N0Tzp5m5KS69spJCTEZdTZX0rO506TSeJHOsf6KyILGMm4+0/Znmp/aTu0qyoAl1AN
4WIkcZ0wDDlbjKEHOyFC/RKAmuuVWX/vQZzXQVeBclSMcoGhllqZ8wo2e0/xlkvXaP1KDwLuV55u
n0rSEWmD4aEa6m/kPrEeW8uAAQEMcW3i5U1RNFurSjJq+v5d5dVWrUOL75pnJSaQFvXVTaZg1xHO
ZDL3bSWhPQJSNmc7O1ZQUx8t6PRwRIxyIwqzWLXlaUKaoac2C53l6UrtNjEeNsIPoSS89S2grW3B
a6ATIxvTlTUA/U2ta2jiuvCR+ESIp50gj/YNBuBTH79M0D5v4laHSQ6bPcmXlYk+wRopxqodrOsI
a6xDo/XVOgQSOVKTQJsbBnRh6ogLXXGczO6V3FdjrY3zsbHJGRllXI77OG23zTzEu66ybtkChCPN
/qEdWtx3imp81nAwoIQevuddDEPWQDGqtf4eWsdiV411xxD0PSV/PW6KUD1CEDm1VRqvOUUaTOdS
Y55EX9KeBvicNYGTGbV/08ON/tJMNG98llPPJKNgFUrt1xTOOtSYgOdKVXNtG8G6oYespdlTLics
5bbxo1fse1EkJ3ZDD6EA6JZk7iwDBBxOufyYLoBil2nM43TCH51MAieiP+vMA/dZ2rCAhna+y4Yh
ccw8fRMBHDBBzISXxIh/E6uNVnI0i3e6VJucUzyEjdQdcn0j5/4+TwrS4xSWsMAqg1Wgl9kz/l4r
3GyVfaPrnp50iE8ki4U1Np+EEkRoJXXUA3iEpPZVKFCRQg4ad6WCb4k5s6jCwTr1E7QZlO3H1DJX
LGC+10ih4UypTnvDNyGcLVA2XedjjWRu1UfivRXdE4XRDbwf/9ac5zuhRwcgvxcRV5qX5lQ/aIcx
H/R9qpJY2YSK/KwlpkW/IKcut4S/quoh5yhUPBX23EF2DuWjatA9ouAlwmu2yu9WlE37RsXsN9I6
pAt6mnG217tvHfA/o3gscU1q7NTa4V0Wf1ngzqNuNt3GpGuPFnmmRRaXk/mWZ7PY1AbaOE5DSboX
ceZ/keaeIOupgZNmRNIhiuPBxVdo8OKgW4xbEPVMYWbv6nouH0XHHPOzRkU1YZBcwAJOgYkSD1pS
POEqY2f6cyalA/5bdvQljOF1d/h8U6bJwoDpLU/TtVGpE9V2nj8alfaKOiDbwazP9lUhdKTEkFH6
idKYNOMavrkIXBGaxRXeMNou71rTM9vCvBOyT5s1KeQdq170kOtGvOaEJ13b88Sua7Zm5ei+1lzD
6M5jx5IlXGyS9q5r7dxttVb/IWWc+ZJ5Uo52bI8PVRPkWzmAUS10fUZBzSQF9oyr56gfEdrJc7Jj
MvY3TCgBm9/AmJteST44INn+PX0ISXVKAOSVgXDzNNRF/No1hszJq9a3yEGJ/wkb6QSrbT5YHAVc
0XCmJ2hMX6mZNrK3+ATqyb68seJG8toiStemYsYY6pVzeGfDbkHzBMfOHpXikErN6DZqY3yl3WEe
lK4B/Y8LpK4hvRRXg1u+1eeGidirarrqqpltfMQ6PlqV1oRIR7LKkW8sxvVgq1iLd4N1QEZkyS7B
2w1VjRnNTjiaqJL0RLmBg16tegJdJWRcTX9II914MaZMPtZB27pTr6PqrJJqnwQ2tviZ0uxETis2
ixJ/bWkifoS084aIPrqDNvqmS6B/hWZKm8oO653uo9VObcDpIWS5SvC4Xz6htsIamMqv8Iyg82gQ
HzGY0L1IBqLz510BjadvZ6THHO+NeZ1kPTcbPpASRkZ7Enrl2Cnf9A5/VYp825NMfd5GUmVt0QyW
mzDvZNiSuvqSV50b5z463jxDaB2oVJVgadJt3ixZ8tqYhXtJbqJtLWn2eyEX5RbCnPS1hHq1bgvR
bYw6LMNVi6faYxJnxr3S0DCPYfbtMb2HBJoH6mmWQZJ64Bl3GOvgViJt3WW7lzwls2oUOGN/OyoD
3D6UkjAkRfps93r0EIS+eS3LI7EagtACvwtYBFJFArlEOL+bIyV9yivjmoaSxC2M+YAAYfCH+yTV
KOmgv0g29ZWgaaRHcXYN90x9Ri6sHLH9wZw0CjSOX3gVyDvUl8oNTJkBOk0wJVcJLDrYnBpJqCZM
t1scl4qTBmQDJqCn3Qu2kui/o0gPvuASB+qpsSbch/TRkbFYkqyAMamBWKm0eZGLxMafRPh/qzXw
/x4XBpLKP4P+V9H397D9njft9+iCSc7v/sT9QfChiJHiqAP8g+UbWLD8SYix/9BMKC2YzizepjQE
PuD+5h8kzcCKhVKBzTq2Nx9xf6gzFvCPcmbRaOa/g/svpJufUH/I51BhoJgv2dZ/Nhg+Orp38oBt
LZQupxRZ7XUGtJW51W5AuuAC+G23DvRUvQ51IJhWW4DHcYZCnk9kbsqd8WAmJOCwAHTHuQCDTeYe
kWrwFc/iL1YGwiXoOTPd9RvbSAYvoWMbt8lVT8a9BHfuOUFEDbnbErukhEhjsfPhHUpfcVWqui2c
KvIrWg5ZAXk5LT2t6LEfzlLfxfFifsTBhqIKeeWujDGGJZjFcPLAytfQUrSbqaLmtvqs8WI5JEEH
Bq8lIx5LlKFHOh1HmzbPQ5TexB8h/jVPWtVp3nk4/Ftj/qHI+OdS/vATRey/RiTbfC8WIUJz+af+
B3LIdPhI/zxtdk361vwHR+zko5Zi+c2fU0aC5f8Hkwa/oCXW9qOWQkIo8McyWokXhZt4bnv9q1km
WX8sycnE7LJyU7pirv9/Z40klD9QTmLXw2w7z0Lx70ybxUjoP+lX+pJMYYA3kQNNrKolLuU2tEj0
jrpcPTWSgBSfMNKx3DA3re74aIllE/huGPEome8/vKi/+nb/kXfZbRHlbfO//9eFmmi5sEnuh0lU
CbIl5ZLAlk1E1TdBrZ3U3C+8wkSHP5vzZ5l8C3vsp8dTbKQoAvAX5B9i/dIq/ECT0/M+7rKule9m
ST1KZvXdh2/NnBv3yfCN82m+p8+5+v2TXVhjLQvhT9dcnvzDNRcD4hIhr3zXhD48psCEY5VN61IO
bq3yMwPwCxO488WgG1LHyiQC4sl7cTEp8/sWk7i7MB9k0p87bUW+5ORFvTPfZ/IQrn//cJcZ28sF
dXYBRWeV1/ivi6fru0at8XMRd4gbToJS9wrq+i5Pkh30sgcY19IuEt2+og/TXWP2+Jml5dli/OKT
csxY+sVg5mwqy+v/+HpVlF421c8dl1KvOs7NyLrLTQU6vR0K1Nyl0diu3BfCM8K8vU/WPTIGqtk8
fo5o4Uq7tunbT+zJfvnmgrgunbdiyYun7KWBfwCvUSnTyLydNShthGBCPE8b/EtKc95aIz2gTz7D
z7sd85YLkndmCvwdCQ2+/O51T0PRqmbjNtftwJ2s6B5R+0HJympdxshvpVbMDyQHQ8aC76wja4BX
gYEmWQZUyHrtyVlxH3TmZyG/v6wn3JdpmMj3TGGatL5+/jqyGBNg5tm8LWQK91TfARm8YmlSreD/
cxLlZNLVc7ydUnw6/hvvBJWnbCAZMhGbXUz2Og04fsKcvjWD5ioz4x/21KuPSjBCDzLHZ9PubnA8
yjezXmsrDW7PDnMUUuOwAlP7abqyR1/8uW2y5/29Wu3vxgUEYpZ+ljrUdBe3JAnW16ASfCbcjm5l
C+lnG3TfE0l7ydFmfDIKL18+ptCMBnVZ6wQ20eaFRx7xbL42sAqeLLt7syuxq0tp3UvVwziK13Bu
H+l0eG0++5+NxsvFHNXfYvoJ9Rl1IPHwF199iMKyREaA05ZNuBJujVbgQb91gn2gX/fSVdUig24d
PfNS4Kc4ijy1f/nk618u9ed7wJYPuzy2VYbezyOvCBZThkEopx6U4Giqboi3iFh3xjX9d8bCD9NY
j9HWkNwgd8vCDXfYI8Sfhe7+sjxd3sbF8pTWcCoDNvFT8MPA4P1d6bbAFHXvSshacteHqVW56ZtR
e6ay1z7LuVIu94PLy18MgbaAkiLjk3YaUi9StoHY9pFHiyY3bwZpGzxq2DTXbj0/ImiMvuTpLTS7
8Psnn2KRNn9coi9v4mI4dPTtYY7KyqkzMlevXnrcZjqrdvrxPUcczwChXeAS6eD+/sLib58eLhEb
sMoh4JL508togKcoFScN5wmsLnDwwT0RUwcCDOaTH4A2qVu2BicZjjEec/XwisF9ru0nfCXTB/po
jqZue/U+JLem3EfaLkvcwDgKsf39nZ7rql9e0VnBykS1WbV+Hq2k+GGKl6jKKcEXDiSwd24wbLFG
twB3xHqr8NBq+SQI3/eNW733P5qdnq+kzUhdlq5LTO66a5yCoAJiKzJ4BIA8NYXXhW5nOpri2t1W
zH8ee/9xLbvQHLB+Mcs1RWaRoVpEx3CxmJWh5cNNhxmU5Jsh2U5vtbgKcE3IX4BMQAeBD80tsCww
ONJVQ/Hm4G7GYFlawYsej+Enq92iaf5lmH28n4tSBDwKtiYMmFMyuTEWhIFrXlv9MUhWc4SL1wp8
Mk6OTbBTGy9E0lo9xupWQbtqdTfBa8ZClN5l8kGXt6gLcSZJ5OdocOpiJaq9aa76WjtU2qaMNkbu
pXjw3KX+Ft80+ZTNn2wTf7d2fXySi7XLltu2k1rebDS/tvbWNtdptvGtt256UtXb3w+9Xyo45Cl0
f9kmOV8oS4fk56GnSSF5rbmmnAghNu7UdbYtNv7WPtqv5r76JH3hnFX60zi/uNjFk8HB1swQ+t+p
G7xS5R+nrVcR2TGZuTILiNyOne+TcKMlh753VWhR1E/jfIqGbTHt1fim765prtMkSq6qcIVFkH4n
X+HmOYKAWu5ABx97ivvoniRbbIKbL9q6wHTROMb0KMtCwoTjocF1sz+G8SrWvGy6wqGIH0fvRkEz
+CTyTyINf90Bzo9s6zJlIEe+yz2falPDUGxSTtPGBiyu3ExfK+/qF4x4cXPxow02hr3pReEVHjNI
RX7/ec/+vr+8cTZh7uKsUbpYfKUh1ewYru3JDjYxorzWtWd0MYmj547PprOali7dphhW8XrUtyHu
id9oGQ2W19IzKo4DjSR/jbch3mpPEorZ1CFdBQYhto8acy29mpsn7M6QGWyjxFUheXyvSk9kX+zi
RKiwUqyhb/jWw6wc5HIreYgn8uGzlX4R+f/6lJSMqGlxKlAu1s+mbBB4B7zkNNw0M/4/nnjDmL14
MnBqx05MOVbBWoz73HfL6w76ArSdGdvVdWx4crNpP9v3zV8Wo+WrU+L964YuNl6/7ZWsQSd1gtMc
VdCan+h9D4kX3tC37dNj1d700U0PASM+KMY+n70OPtW9Xjv4aCjYM0KDZ/0MvMb38pyji4f9xZA7
ARg4fC23+9o8me+lN53CO/0NU2DzntEFHL0m73ECSbWc+kTc5Bcsp9QnJYFA42g/2Fos2txP2fVC
07ixb7FarLL1ALgluSq/El65l779fggC3P3Nx8Fw/Uy+BYsDvfh4RFvQPkXGUvsk3ds3+nv8zSZT
52smDq22w5LQkNYdy/VVvde/1zMJAE51w7NnbxTiNt0bp3iTFC+7bk/qqnzKHqqd/qO+ZsjRBcq/
dJbbsum8RyeInQcIaNJdc9Xsis9OE5el+3mZJNNAUNcSM4drxc8PgX99O9o8BC8XJ8RepWPpZNdY
9dX1pkRElmz5bOZ3TB0QJuSb/LOZLH4p5xlSyyGPbC+Uccp5yH046Q6NLWVGGBLe+o1eUvMYYkMF
kcSztQ2p9aAy6bBO7TWLJmQx+YtwrEPzkJ/4oN0OtirNjFTjZHNsH2k9WjPN1s3vP/TZ8uVyFp65
4BT/0GTOwRAf7tDOzLo0LN5RjaKI9B5nfGD/1+9WRD00t+2j/ck++ekFLxa3Os06yVhGVo5rA26y
3/PSK3E/qCEFOvNRC2EeO3X+yWrz6WUvxkKe5JhDLmPBf4SsJpzhuvtuPSh38Vv/Zj+ln9TPf/vd
F4b9n2/10jlIMrK/rhY84UZJHpX1Jr7pIaJgN/rMAvzvB9mHiy0L7YdPGMytEWIfxDCfXXnEldMN
ppsC/7UcEeRYfAnNzBlhsVBPFek6Ij5vsaNeR+zA/kNnbgskkPO29K9xsHP0+knLjxrDjXSbTr/x
q/ti/Mx6/m8LmA+j7jIMNESh1KkRS20FgB96EyyXbVF7A655E/s6xpp5/NnAW+qU34z0yxjXfGhT
A2E9I4DvoMCTXkn2Om/uqTElmNl4snn5KcZgE57KLbLKTyba32134CoEIiy4r3z+ih++khQsIUlz
Jk7+D/ktmPb+i62s8q/lQYFx1t5E2Se19RnG++V5//OC6rLdfbigQG3W2LCyT1AchOWNdNZsuPkP
cOsmne4u0z1qN7k4mNRZmPytxWdG+3+3iXx45MuknB7pJx78PDIS5tzhWBTCjotgUz38/t3+Unsv
5QOHG0TZC6J5mZcQBvUwIs2V70lYJ2TGSXFkqdY9buJ4tjiR/fL7y13G1mGe9PP1LiYcdjC5WUdc
D9PL1Np2GQlQG/w3EfYjuEozr808Ud2lpkcMvP7Y38EKNHBe/eQLf/bYF3v0gIDGH3puw1L2lgVb
xs2avRK8RIv/3r+/ylw89MXRUY+L2cJpVr7HTdWK3Gr0MEnALUTWHRTctoZd/U12tAbXt1bBuJNf
EE6owRFajoZxkI8vjkPIJcoYqcD420U0okO6ZCUS699/njNI+NPAv7hT7eeBT5YK0uqCO007N4WP
CkddXc39JgYpvA6bHdzFMthM+AXPKMA3ORMClYSjT++Vdq3RakcUwAk489QSMKE+DtZ+rq4THMc7
b5IwSk5ZR69CSDdZsOnk0NXZuAx3lJCvwAfoJi+VtnhPu0tmR2XeZ/233z/hZU7PnwMQMZaGnS9Q
oX1ROusSQgL4aPJ9n9+8lvbgajBojF1tenAS1ASbx+0036ZYqf5lNfGPCMI5b+qXl/vh0suc/7Cq
2FZkyyFck/tQW5n2Jh54CW7XenboNkwF4Qr/s637l5Vz+Z4fLnlRMeR5NPz1PWHjyjsZxcseXyrZ
+GZitgvrCQpX88lybfzdRUlllRfjCF3WLiu3UJIjY8kAuAeFa6udJm+qyQlVwBlEEo6NRRi00CeU
TYnt4TAbJ2sz3OBrHA5roUFUZdfcZenG7xYUaOFRSa5PfFPsafiAnYYX+wjv2dfepdfpBeK9G/Cn
WywGHM7HGhaNJ3Qomr9BR2DD0cW21GsUCtalUF2sxawru1y64PinbNpgb9XukHGA+GQqnffEy6+9
aPFUekVLyPXFSpfacSeCVpLvofRwvbpxg6v+B3E089r0b2zYTKg97Q0+KeHXrtjMETYWTv2Mx5EL
QGA9SKeEgC8cqMMjBZ4WrmRrqzZYGGyjl+AhOWbMS2fUV5Hlpf0mnA5dsx4txygRkrrh+GhLq077
0Un7VMYE2x269YwVreWIDVDRzMt8DvHMDr77+c7ijAYqHH9yGP+lkmPwfXwDF4tsazd208WM90bc
tUSb9ZsIIcnurcKaS5F2v5/YOIj8H/bOJDluLduyc8k+wlAXXVRe093prDswkiJR1zWm9YeQE8vl
igz7EhUpZjTTLM1ehOk9iXIADlyce87ea3+pUb582pdFlkTTWSh0rjdNlk3zbvBVm7k31tSPZchK
5kDpFz6Aptey3RUrmaJ5yx6TfdV785JgR2Lxeku/6wD9u4O6LjUG2E0iu79cAlEzxBiak3RpEEG3
AOYd9iV/P/E/i5XriV9VKfz1fNDXjgu++EzKiX25oPhrkLFakAbs7kf2Fsp2AtFsdJcGPA+SinX4
+PfPlq/H/8dN/stnf3lfKNhdIjXns+PWVh+MR/HDJKgK1tTj8IhGI0+QssMwscNnuj2t5ISPAT2V
dcq1Rsf4Tfr0v3up/3ohvnTbQkvEsD2N0qXLIe075TnXHLF1wRp/N2r6c0v05Zp/eYsUCB6FvFmk
SzsXazOlmcfT6Io9yq89yvpQYOMCw/Mw998sK99+8peXSJrPEfgKTrKpXRpcwKLC0RtHp2WHIttA
6WvT1joXOeLfv+pvb7MvrxLcXYQLAuC66C/9Q/PMPaa/wn0C1y48CB+R6NS1C/2CyuSbD74+uH+7
x67LzC+vTQ3+uGmkXGtNuVUkVx3csF6JNxSQynF+VT/6aYXKCMDPN7fTz6z2Pz/4Om4XDY2h7pcV
3MqMThlGUWIe4iSNqygOcIcmWGlW584vOp7FPrpryqfCWGw1eY/Dy3y/VNtGeSYfyM6lE3apJWAW
yygQ8WcuQ+sjnDFuHMAhTFi8v1+of3/7//fhfllroqCSkOhL0iWgCaA6Fe+ZdhNID4wf+/q7Nu+/
fcdfm1vk4KDxVr7cDV2G3rhSK+lSYF4g/XSsJkdSmRUgNdhHWDOC2K+i7betT+V6f//xpfzywV/u
hlooMadpJWdJ2Q5wDDXY5NSpm8mg7BxRhagNs8xdHhmEpLLfCbi93RQ7cEsnGF+nh88dE2ZUuFG6
maedzDC8W6mJjykSb9KgXsLYT4bNMG411HDTKvguou7fvhb/+wx+DnZ+uZ9RTktCm9fcVqrT0Zlu
uD/ohs7Jczetl4h6J3X/fmf82ZK8LlfQtzQAa4aMSPH3RyiD3ohtn4osMjbKAt8y2bcSZkytcNVs
g7GsDX2jX9Wi06jrucWdxR5QUhx8WlnjZ8WDlh+y7EDTTe6IbT1ipTBlZ7i6Me2m2tTjwWDXZJSP
jfgc94d28JbsKVM3TYG/bJ2ZcJqWfQXjiagFr0jol8v0VKTbKNjH7eWbk/3jOaATrSBFAdcIu4yI
uN9Pdo61mPwGCgGrOpSUdqrZuz3EI8lc5Q9w/ozunAB2DC9EGYX5xkj8JWMse9Zau9JB4TlF5Yyx
a32gQlY+pdmLcjeVXRwL1yKM4uFGEDxifqKCfduuW1WZU/tw1QGWtNBQn+QdRFvakdSYGWy7899P
7+cU97cH4MvpfXkBEHkzd0PL6eH2s3p2iDginfLVdIQtDEO8UbVTRLhrz3SRDZkL74XGTtVoSPmk
cNFSqzg31TE1V5JJSHOs8RM4dyN78B57ZVXqTgKdU1gh1ubcc8iZa7W4NNhfsIO06w7SF15jvEk3
4LwlPE6YH7H6hE5OeFD6mvdehyt/IDzI7WWXiS3+OBgn9NPw+adcvhfCV6sXtq+N7BPQisHaUU2/
0R4ra//3a/XnO+t6rYi1VK/SWJE28u+3QgNAB6VNSGlEhq7sixGuyw6qW2V313iqVak6bX8K6+1y
rb2nrd59/P0I/litvhzA9d32y7PeDPLYEQEhXcxkbdb3FYQJ3SF/fQy+ecT/3Nd++aSvlVil4Usg
sfsiBl7H1nKenyT9jKa2JmOn3FrBOm12Ruxit2/L9d/P8mcg4x/35C/X+UvlJeZKPQXXe7KGMDA7
eubiU9OnrSisxmLfDhst8jXMqcE2blZSchM2iPcdq7Cxt+fftc7+3Gd/uRRfFoClIeclSCLpkhe7
zlibTCd6T72UP9Dt1cgH2u9qsj8qlC8f+OWRRNGjNritxQsCx2L+UQ+b3ATtpjziwSxmt27Pff7E
Vad0gXD0H298UCYQQYqQ2iB6Fw3Ql3uslbOpWNT0kmvVQPGNIVHtsJx01vIcGPi2FiLP2Vz2LyG+
j1163X61mjK6AJUyu4BgtJqbAOdgjoVlnj9NYLPEPQofTae/UPPNKyWf3yNMlpiKgGCnd0vbNN8U
W9fb87c7iJNQ2CxKpqkpuml9eVKvo3pDiaX00mB7xUaMRB1i77L65kb9o2xhOy7pdE7Rb8DG+dlc
/+V57IxJEZLQiC4k+D1PZb54Stwh8C07RkxpIHlIlfcWqxryNCanPUN1ZfjuXP9cln4eBfJRYJjI
8r8mFkwgrsIwmKOLPjHKTNsQapQO8QDr0kZt3NJENkVY3+ixQ8/LtSDAZpYvpE7e92O8fHP3Xp+G
X668KSJpwZyAIALVkCV+reRqOGVdRDLfZeJD3DrOLtEEthdQw+fYNN+lJ8tfnpXrx5FtQEuKiZ6G
WPRL4ZiahSYuVsm5D8pelwG8S2RBOXUn3wcZvLFKjdedrDReVeSvdcpOShFLYdeKy1OJ7whjMclo
qo4xKszydwagYd9jbh8UdpsTAYeE/ziSNqabSNeyb6rerxqg68FfpxCQUZEcK0QP/f6ozcR3ImTR
rFt5YvSx1LQPG6lQfSsgeKzDDC8Y0qYIp86uBXgZZpgLftgwQ6pwadmGXj7MZZ3asShv5MoMV4q5
068WzMQgPlXre2/QlO++35/Jyr9/wSTB0oFC1yLS6te+VMzjDFtdNkLxMunSTQQtfazVxB0J1dot
SXCHgUM4y/kSMnWfQMdE4KCLVhZXiTneaEnVwT+lWYi8dD9jitz0iuRUgXaI0XXb0KmjU8B5Oj0Q
YJe51XATif14Ewsi5vw8WZy/P8Ff2zx8BToCLEtHU6zrBv/8/hV0ep9YsSa2lyEBVZ9EXP1QaAEr
TIXhaU2MECt5MnSp9+WW2igIEdIYeYoK7hrN2BSQCICn0I1islykbQCRgxZcuOg+EE6HuIf63MkG
KA5pzv1uqCAbCwDQ5Ynd9d9P5essBKk0YlFL1Hn+LBiNV3PQr8WBOE7AwvPKuk2qptxBoLgHdOTm
unGjcSM5pV614Ch7LIX0SpVJG29yzJ2OAnpjS9aP149CslWyxGajWrrInRJXhhD1z8P8j7wv/3fG
lv/nXGHXevD/bG85lNmP1+ELCO76I/90tyjiPySwvSzgqqgxk2Sh+9+AZB3YG//RImuHvoF5beH8
iwNn/oMQEMtkqcX7wULC6vcvDpz2D6AkVwWzzsry0yvzn3Dg6FH8tq6zuPKsEznNgUiIoVFE/X53
1Uat9nGkxm5iNXvBBL3iqXjtz0lakwM5DlItANjAEimrJgG/SKNi4sAQyuvdMVXFPFkDbhRbv+lj
s8QfHnXymsdReezC0vL4C38oDQSbrktqX2yprC0ilt2wnbQHUZrAWjTVjiCk4CmhMbqCJ5fcLuDy
6UypB00XrFWWhu1WbNknNbnwKVfjdJD0+aK31Q+QTIPCuH0iR7CwOqBFEtp2yQ7qelG3UYxoJlLl
/n4p8/CGUV7rGiF5UyctLkF2SOFA1lkiBrLpmzV5fBAyYjG667EhR/4oKhoh1WQtlQgq7ohKfYlK
y5zo2CVAGKJwVHLXqoPZ8KXBEtcA7yeap7PQO3KoQQ6Jlxkojl7Oh0GuH7o5F5qVLM/BbVW24eIN
kxbQgBcMlTy/Kd5IEJTQaiR662lpDaWy7e7lPJIfzbBX95PeMt8lgpTfDOfQDpXCQtLX1oXTK4Rh
FylRBOPwiqtFIyqxFOG81MiZM4L9GtuYAt3DQBwc2yiv3kzoXmCfciLvKl1dA0gJjhBUo2HbhJZ2
r+XUAWCeCej2IiOY7iwcXOdWzcAydHTB3ukHJK4+8+UwNKnbbQDmwymaVE68jEQlw+77sX/VcoMR
Xito20ENVQEyBTKuzFITrzarASRmk26SnmzuuGmKF3A4TDMIKkS72LD5yXVB2w1dqu2ipBGOXVrp
/Wa0gmEH1g9nBkSB++B68L1+HU+0GBYhGtZewyp6O1snsvwQMlfFYLlppyUvctPycsLhASFLPqTD
RFCdUdUxJZMVrycI+E6CPdGZqZBJIp9iVyUB1Q4B2a0H02QeImI/r9sUCn4bW37XTLSy+3L227zf
TaX5GOqsrhm0Zt52JTL+YvQFwKA+Pgo6kfNBh3DCpFzVvdLgvVqN2soSSFJPyeK0O9NwCsClDVZ5
iuuI7Ep5dGpBh4cin/WJtyq3l6s0JAhkZITD8I8lplEFRbC4BK5WLM8Ab2QSTbgbooVqvFIVza1V
snd16g9NknV/CJacGDRNZWImxpsqTPYjsAorPY9ZoW3AHecUdExdlSuroQi6bmvWKrh9hflQR0IO
3jfrokVzs0ILVtuEe5JOYU3dWpuyBxIBHBVHjS0LlXFR9Kl3FAEJRBHyg/mkpJYTpiJNj1aijWWI
m0YxD1Kvb5PumlEZPeI/6f2glR38+Y5Mjo+pSfcQ1+u7OkbtO8bdbSaYnyp5oLtxBIU6006daeEr
pBI6ogS1pW1n+gPKMc1YWuQk/TDV8nnOYmgJdcVv51PsIbR1sjp8S3ImqkskizZMH21HtjvzxF7/
mElAIUme6AgzHNxoFJZjM1XqRoO0EkOM5xAl8UMDsuNPzah/1lr/klvyDSOF5YHceR0+kVZeCPkh
KS6sDI6DZJWW5+9TI88ADZ8uwY/qh0le5yHDCFdPk8IZtWxg08lQnPDzm2Xh2WeTrAWpHSUTLSX4
stk9Eb20AuW+RVtnwnY8FqaCJDXdgysN9iSDA4Nuc80jQHk1Kejy4QSfl0FYzsIimA70qo9+rMpt
FmnjWpBifZWJDMNIYdWrdRUa841EMtqrQoLTrgZCmVVZ5MhGZYJFI1ryEI/AuKCnx6CEKn3J3EQg
o7AziFNC4j6RVFikSuiD2K1tpVYlD0BzcubOkStaKvKzKs7mpuRuR5pcq+e8baEi5F1lbjsMgQ+V
kAWsnBFrrw8JkDCUvAJyaMoAjQjZi1qCfYjB8NhxTKtxYV9a8bD4AO6kDQwceAjLBIE4IlSW7J0S
0mjX6q/Q6QN/qTLVkyOYOwaB4khvQUEvpEazCwaRFnmtJvVXZUlZQAy28pU4sEvPhingTYjaekgN
+aaqrWoPm4Kcath1t+EgqHtoJYFniax61TCGe6B9jYtjk9AaDPjKbUyEQAmbL1Y1txuM+EWfF+NY
Tz3TdS1PDyFaCgeuvN3zXB7atHka5w2WMJZBvVkrUuFFpR4fYOeciNEsveYahhxkw7IjHSo7mkie
bArPhmEBIjI3I9sDjqaau2avywREJ3rnE9SJlpf0pLoTHosgFLaR2JanLJTQXCdzcFpaFrhYKTwM
TK7co/tV9HIf14jV8rw45gN6jEYl5qbHOQcdC2MSboqM9k0tCK6myaE3R4PiEU80ARmsE7/o4VOL
CS1HQeq25BSHtwGuAAxJl3gK32JzZgs2DMK6NaxmpV13ktKiDSCy5sTKPERFJ0vh1puj6gZv8AmF
RkUNq3abfhLUS5LVn20qAbuRyn0lDCXLQM+cXKrZYSQ3hgmRoS7JSmKHJ9/WAidtg7W4FAN0FLLI
o31IICaDDxkqoJ7ke+xt4qnQ82RralO/yTIuvJyH9TEp8uokZCLH3ubSm8QO3C5JkPRFsmJrK1EP
sWHdWcVcPstSHa11dhN+2csPjbAw7ikrXmhxAh+yVVGEKVGw7lNEMT1oxHPdN+EF2FP4MAO0JkQT
bN44ds5UjsFNXKVozCGLIEXuR6TZ+u0w0QZVWeDXMvPild7likcLId/I5OYSg5kkUDWEZlt3I2M2
tW0PhRbtlXw0nUisZkeJoleyS6s7Y9JaconHaqdLJT1XuVg2QDcpoqRkPCgaciuzrLttYxTNmm8J
Az5SfTJ/CGPYB2qFfVSctiWAmT2YY/LJkXNtdBAfm3Jesvd2RJ9RAkQlzme8r0rjIQkLJgTKuB0k
AsxazSpOxhCQakwMrddFhXE/jtZ4hK9oHqOsuJdMiOSGAmRNXYB+8KK/FeYA8lA4oGIUrXLXsK5c
TCBvu6VKWi8uQzigMugvKP2LET/Xikpju+Px0FbxHFek2AfFpSMk0SNFU0O/BUZrV0kxfcWuSUew
LwXIAV0vM2K8CVN3y8Z6XRqrfJJGMWaOsZjjpsuiwROUbHkdyQ9jqjm3rP1tqN3q08LT103lAxG3
6mnuSdfSI60lQMK4nztBWyu833fYEWo6yJF4tmoJ+EHVRhScUMCeRz0aPgdFz70+mUU3B9NC/9sS
0pulz+v1Yk7jZyUVw+1ApgTdOYAGgWAxdeC3f+QGoztgpNEnSRkfSX6Nkx11+GN9rvvQQrq9GI76
badoHVFKzF7nFougS7QfSVq1Qns/KwV5PasDLXiCbYVDw8MguHqmGXdJdv3Ck5FVUFSykrduoblD
a12lnXjlvU5rahZU8l43gWaCgOs0ZWu00c0U980aZ4vOdYIXBMBs8ashVW6WppbfU73SOCJwCkW3
tJ88JCShqSQB+HENUJlS01K3ejM9TqQ4AYJOPzqNxZnIXP2hq8kJ4v6rTqPZvSXGEG6mcAr2iVFC
oybQ2GUAyAwBzPF9ZSHJBfv5bOjm5MmS1UOdZDgcmfchL/NSFTeaLG41fTAdszSCVSS31aoae7dY
0n3ew7YNZxHNeB9eahJ69TI68MJjNyKrAC/R4wTZfjCG8zWjetR+TEvrQD0GSap7gRS8L0Gkr6ai
PRWm2IOSWV5LU7iJsxZTQyG3OJEF9MIUmuSeUPPUsuTB+6Lolg2vVQG5580qqpZ4U7TDoUmUamUa
feiZvEyYWRY/qrYl67DeBCRS3LMdCT0B5NeDABzQNjKhdnE6boVZwp41LtIxGMKAMEKRsBVjTh5L
mMn2HFutD+DQWsf6kLhEcsAWVKY3xRASJvUFEhkKW7rBGYeySO+TJYD+liwX6CVk1F7vVrS+HWUa
vVrUZl+k6ABIBokXXv+W7smnlFTbOgLBG7C5YD4OU5sImGAzj5IJuTNs3Dwdsm2XtqkNuN7a9uR0
+GlC2HoZAf9ZFqZtkwyrKzPGeK2Rri1M3OUKjJH1ABNqH5Yk0aiaRiSG2LxJ0azaEkQ2jXA1rwFx
4MoLBNy6V7BAGexkJnrvTPJmpsFzN76SmZAcckFQjizIj0VXN5ci0UB5dzIF1wyRy5jVNUEik8sf
4r2edbU7UDbvK665jdk+34YhqTeAOhnVTqe+NclgH9W7LJIl7msLMqbhlkjHVbhyeUAOT9Akk19D
1ibknoVc0PcSiYLszAbgdECm7SYM4QBrkUKpjCtnXASW0bJPXC0Cy1lZxZtQ6x1XWYhdYyrMvSSr
wdE052dTj/I1YKKtEYxwpBWPN78QRQdtbto1MY2dzy7KcOAGY2tTEdWCnvY0QVr8RhXrNVpfKH+y
1azhxd2rytI7OeyAtdV2vmlF0X0mpNmLFR5is5Ou6Y8IOI0AUnKRziNcQWp4JisEFFgBVh9l8Ele
3Esjf3HL7GGWcdKFfCUSJlP6tF4NT16TinutZiLVhdfUhbpelwYVm4ggbWoskvD4c7KUk12aoq5I
lYcsSSTmc7RwyTnqd0LfQdHu8G/pqcy7kUIDBbGTgiWfmN3KqRF5QHoLP8TjbedWdleEAvjLqnGD
PFg3QxvYatAlblugVZBCjK1j0rrCaGYkRjapW89y5iOqj1ZL0i/I/Tl4Vv6NTDKSAsaaIE0IvIMY
a+sF8rc9JYQgyVJxAuLZrNMFG0CUd+V6TtqAUltfNsQ3nHNGim5mUDEvHpSzeZNM6TXSLu5Q7iY/
pkg5AYyyo672lALr6iBRMkLPHMFDrdO2e2oqCZNSrrzUnKJLv488SBaJfWreGPH7yFaWjoXGoE+W
NlYCvxScMqX2U6oPKAjzlzSpShjAAP2zkSbPAEK00H+UXf4iGPLAj7BRlvP+PkXn7oxBdhNNaykc
+eb1R2Uy39RKaVzmNZE3dBYwqzmYnLHBjiVQlVzjbZYNMArVHpX46qdSYmbFS7ctWc1WQ1ajaSia
J3jplSsMQ3XNhCsRSDEnLhjL8Lws2rbJdd0tjHLexKLU2sbMNtWqx4tOE9pT5CsGmSTVHqsydMqL
2FiKLZl9DhGf5L0xOWiDeQajPrspQldejJHsCUmxwqzvLbrmpQyG14bUdWsiilQn1Wc6SFRsMvFN
66gs4XAZMyMFUR+eQl3flxbx5wzCqbJpkpN7QkVZKRBHTYP+DV9UMBQDXtt2l3UPpoWoZBja8STT
yGKpI45evTLiAg2FdgTdUaznZQPTVUBxmJfQKSZoaBESbrlt2KhUAvvmWRG084DvLS4nOKS1iT8x
bdxJqImTao95NR7DrGfXx2vTrK+xKjkq8cAYtxCVQtJCUHzSu9sNdIFzq0cpH7LuIkq9ixX5ENHA
sXUNO7cwjIK9zIxnu0gyvYg0NIDAsYVxaJpv4egds4Z38Gyto9as3io5aWy5nosD6fEJA6jksyvR
gye1mJCRBeXNwjRDZ5yzqdhgoeazrsnzNIOy4n2IRvYWCdeK5E1hK8F73QKwBuzaCu8SSB4HOcqC
XAQJfFHhrolLOV+VEojeWFsUonSk1ksUjKI9w7ljQJq3a43cDuwy0gN1+3ULqlz4zLNp9v6cBt0B
EKRA8yMcvECAdptPSUWjXL4zquAwZrywS+09qNuVlggYmHnE6i6+1caW5qOY3TZRp+zkbN7MeXg2
y0K0pRw6a9eAzQofmAn9EPMu9aWsVNxmKSG+D8OI2K4pPAVlDfs2/Qr9nNH1P+rxrPqQBxm3VK27
6PmpNue3DKakFsHOI7RGdLC1FeAhCT2VJN6hWruqSd0qpuWmzKd9KBnrViygyIyvZs4rYJnHAdXu
NHgRaB16GD2KFHUp/LxgFZDZ7drWIj0rklCsVFk4tZH5ks14HGUzudp9S0RZJywPk52gXXOWoqax
1M+fQ60UTqiGBczX8XXOgisFGgNlEyu2SSiR29fUQ/IULKu8nLEbmcq8jk3F8vshfM2UzB+jKbJl
td42jbKqEpnISRUjN2IAw+mvRMdcDM+E2PI6NIVnsNQvxOGdaECrbmNksTuEvZ9LgjsT2weNNHeE
pDvjBX+g24DYu6oaeypiNDzYj5ifgc+Q4QU72ZIGq3Qujt0Aedd4nMvyExAP9H8DW2cQ5SdLZ0UI
ZSM7EWQo+IqU1UQK0ERZ5NClG4z4aW5XZUVqs94CN2dtYOfAZjLCShcKzU6Mu0OfkeogpfXHJHcP
YYO+OpFf5zxtgbKbbIJUmXZgbKwbmiyuItAm5+1cuwTHLs4wm0fCqF8Y278Ric159MZtauGPHYzK
4AZdKheEbIdel4IxM+hTBpAanULu/JkkISBq2gbW/OQsEtbWFvNPJNahV15hzsTpXkinTZBQyKU3
z3qPDyoZ6GViopgkGsBktsC5DARUmll9L4ziS6omYEQnolwzpXpgM2a5FdHI8PyTm7oULuWivnRd
8W4UkxtKoFp0BYiiNMNSSumzOJUhw7BQjB+GaIy22VVwtKPEb8b8qM8onaYrB5/WdOzEUoH4CDJp
F8qBW6WY+bmbC22gFarP9OD4OKcoEtAN6hSS6jBLnkICGxV4ilZ9EULueIT7rRBw39TCDzUoDVuO
NcKrTJqPBtRpWy8TwvEKuiSRTFYXMj4pVNhvs+WRq/pTFUiS7iIi0pDaEXMcULiHorDuaZmyS2S5
s2RXDTF9L6bEQBNaADhzQq7b5Erinq2aTq7waaAEFGq6jcCzRV06BVOKVaR/Dc15dORFeYgNuXRU
JTrOCGEbIVr3E9TFlkdukerJETsE6CUv9mMKqXyNao3/ViQEvQw8w0YezX4EbMKz6EzhYy01DDFo
Jo0pvaUXQboB641abYjy1h+ivtmxt3pj0zyuYnE/TMj+reYES/J+SmfA/kN47RMH24mKuc3od8bv
hN1uI2146kO+rvo1lq1HsvxeCAjQH/KuKV3DWIytRGZiWKrBpqujBI4pCdfR3KerlJgyuwa9hVak
WEvmspo6/YGx/lvXSQ9p0kZrBkkuV8uEm02nsPwwKZwqvBihkqWu3MwvHcGZCMHlJ3aIwGgnWXOF
GuEwzavU7cKicbj33VFXtq1evVe88lxLTqetyfhqlUoyEKV6xHQaWNpal8bjSAPvlaz6xq3z5jz3
Ao347M4clbNZCU+aAui3SgUwFmLHRKKiVQpa9kckdvUhGAS+h/7FLMvBMYeeqB2TGHQjAjUSxXhT
GmEGk7OYtW0KaoPVKdlNmbWD4rYnSlhyYmN5Lhfgz3IJsa00eAfmDJdZ5oT6w1iw0sGNi4iV0I6q
ISMpCdLz1HcMYVQcKH14VwbqKe/V05SEJ0q6yRtaEWrnuKyLXDt2VEUIcuLabsVK5SWj4zMcuxzp
2IzTO2HMbcXSVWMtnYceX0mO5F8Zo8QlL8zVgpgAlcKaebNYWO9bdKWTTiKaaLbWbUQbwiGKsjzC
pnr9ORf9/yPi/wHS7K8j4v/5X8Xre/kr/vDnT/xzQmz8gxsDvA26Wx3CoXTVMv9zRMzviJbI8IGx
/89BMJqMf42IlX8YGpxRfFvgpEgFQ2PyrxExvyUjaMSsqbLI0vb5j9iH6u9iqOusWSYkDFXkVfej
Arb5fUJsRGzpg2EeqE/PNHRDt9+dNXd2Fj9yEndYw053e5F184Lgczt6hZuv4pVxXGasRK0zzvbu
ISSzOi+dlbICckWC0tPU2NveR8eQ+OPTvGZI6HXbMVwTUCBi6EJ6dvPQeq2dr0le8kx/afaE2dmV
4hF5IecPIgFbhE90NsUulYqdHwbttortgQObnckfXFPyJh8EQPiiub1z7jmKc+/Qq3ezVbTRvWgV
u6lNrsdZGR0g8/0uhj1uP/R2tBdv5HOGDY62kE1807ba6yt5Vbna805wM/4SwRUf1XWzzTz5LfYD
r18/gJPDU0S8OZ/AVtI4AmRX9oHPjidGJ3U7PMsHrIv2OXBaTzqS7afZD9vzw4NlH3bXf5mdZp9t
Wu9FdUCf282+2dNs26bQW+xdbuf2k393F9pvZG3tCfXy8luC1Oz0ocaRhY+DFvpOXNEv5uuIF4e9
WP8Q+QWdAf5uw36J7TuulZ1sOhffhz25xrtlCzY6U9N+a54VN73tXHJS97kd3sxW4sT3xOfcQpyP
Vwm0pT4cGcqzkJzr92Ulbqp1t0MglNLqVXyJD+Hn9to5PoVOtWrXvS0dO2T3Iej63JOPDGf6dss/
unkcjVPztPjInt14H264Dx4mD+yUq79kW+x3SkUN7TKtpxIYT/hFshOZKELrpOfqTR2ZrNj9R3WU
iKn/0Pz63K/6FR7Cd8qrJrV35AJotqJtXqaCrj/Bh+7Md02VsnwMB1gB6eoaw75CivBYsEnAYHtP
1gw5lMaBODzZa15oJ2ZuGm0mu4w2pyLaPDfkin/2VMa9rcNE8okV2Ikb3Fr75nl+GRlM0eJnfkuJ
Xa8jlSCNkLeWK42o5V1j34reMDwuBJJlN9Y5sQWXNt5jdYj28kG5NPtx1d/rxkl4s97KRXRF7L+D
ZVPl8Atxm95ErnDEguYkwmEcPfT3KZMmhPl+zv+bDr9uZIpFm4SFcW9sqM0WzZEiktcJT6dvclBa
gpDsWLf7TyC6lGgEg4yaX931r7BEtH13pPPWlJtx3iLwLqO14gbb6JRskj3qjf4zOPNXum9g1+3T
ab/l+GsHHa8rsASUk83oNXqiiqzumEjjgAHu0n7qL/oh30Urun4mAHhH8JRt6gvcYHRGYhrx7y0/
bbrSyqU3Q6azE5CORAifDbsEYIsAc/+Ju67W7PhROqWtoz27Au/Oi/ie+DaUQptQl7VKfp1DNLbp
aO+cGLAvP/J7/zSvZctm5LwDucHVUSlL3fBGOQb3gp+61ydYVO7nxyh1yR1t3zguqlf8jU8a64bh
DE+M/k7hbvqhk33xIbz1ZBaxK+etq/j1tNZWRfhYU0bOd2zKpPV8KHzV8WdvJn8Ab+HiHkn72r0J
NnMYUN675Ed6o2/RaOmviE/sFEsll0QcHfM5e2P736zl51N4sF6V2CGdJTnJt8optu4VAnLl52Xe
dI50Vg7ys7mvmo7wbJu84ndxI+GyOHqLY6zMp8AmymPPHN6u3uTTRrldIb6/iT6VG/MEOcqbL8r2
pt4g2vEZL4jhrZFumCeqD2rDCTU3VWvTVnJZlr3X12idoL7eiPYlWpenbeIpzqNX2ZF9M7uedmZo
+s6I0Q2d9oe851e26KpPxeuzwmJO950+gY+nyB396JVmuk0tZ0sOgl0vW2vO4o37G9mXnBsK4oc2
ctXjsuUUbNpE+abcQ3jzzGO5EfkjoKLtyh4cEkpCG1gP/8v0/0XdmSxHjlzp+l3uHjLMcCzuJkZO
wZlJMjduZJLE6HCMDgeevr8oyexKWlx1L1smycpMqqwYEO7n/OOmvo2u5h0viH+/3sDpb2qNYmeT
BoSlb6tT/F5dhvJq/KEfjL+sf96T41+v4nb8xRoHPHNsN/WvhBL3jaajA+b8pruh/Rtv8IbR1PyU
/tWww2QPxElfxiHesDad35O65C9vUvArjhmuqvHKIXHujlgCFDLecVoO046/BxT3WEcHB2m12Foe
T/cU/snY8droEOyz++j47pw83gMda4gZsIoceSp3ROHu9e4j+HgpN+XV0/bix6FcYedfx9fi8ELj
I8skEQCb6INKhsueezM5ebcVpM49jMBuOnS7bhccz/8Z985DgpPyN3csLz85svJlz80HoQlDehxu
eFHiDaridr6B1Y8pAdnkp7T7vRAx9sXynYyk+1NtcSf3D+kO3oi22uNCQlN2EdLUxn1Y85IdymkY
YsWhdS4Cc0FNz+huKcyJ03/Igv9HE+R/I2D7f1F0NqnE/7/J8Vb303fGnP3djHR+XX793//z19/x
D22h9zfyr9EJouWEYIkjRNt/nxzDvyHzhwWGtkDNS0ASVot/TI6J9zfaZRkYBalrqP/OyTD/mBzJ
4WaYPI+bzI//48nx3zyoiFUJl0T5yFjLkMqEyz/on4WrRUkf2QjFeuiWzoG5XqL4d+Tp+KFf3Pg+
6B3uIG8OuDGSeiEyJvcG544uMOjT2iMLgI1cJZt/+vju/65n/udE7b+k+/9P5nyO80Oa7Z6d0AHp
/JH4txflI2ZpMiCDLe0O6a8cvuq1mQRNYkqFpK+udeq1TG+F92XyBEGCHlLy83w1xFz++CS+/sPr
+Vdd/d9fT0oYMt8fak/aff/1Q4oihEytTxSsNyVnZS7KRbLt3dHFHc2G/JSXPXHNJIW2dDrqXv0J
TUYAC6WCCHHipdeICOsBdoycx3ihHibRHwV7L4FERav/Y8TPvy4DvFzaE/laXayuXojZ4t8+PuHp
3usFnW/5uq7m4DXa/JpGA9OGxq34nJQyaJMDemgY90xPUJIowo+4SAGDR+n3/+Hj85PkX32SvCJy
vbFJxgHB3uSA/bvS2/eGNSwD8EoqMwhcilbpMyEvbvEgaJFJtv0SEUEiI3eMMHgGmThSKeOCzRWS
EjBACzTdIlibH1Th3ATJfAbl5cTb3FSEPpmrrHXWaDOVWKf4v69esPeIEf+Y2iR97Pqqvs3GaE4Y
T12akCafSsILIcuMyJBpGOIdhXXRG3S5aU/FOCbU3LaNZFNJAGiYmahMf4pDy5cOPOK5B1PZpbrt
l5wSpMiDlzvAN2QfVjaepV5GxvlF7RpCK6qlXiHUsogzvT63OcN+tqN8isY+ogOF+vDv1AI7gjhS
JXXVuqGCYIv7dCfa1D4kSe3zh0RFAEPbVRPwVJiYLzEo/49CwMklmFQWRsOJ5YssWu9iQg6CYTel
4wHlXyiXnSc7qvTSqocxSwdiRq/iapov3BWIdOe5ZUllXhzMCOL6GEt2awpYmRBAWx2T8yOxDdxh
CU6dQwLEBr5wek6oPYOiAyG58kWfoxDp5vTbDXynR94a4oWwpKPQyOJRkLRJS74P4m3o1qyQLDXV
wequa9GidtnN6qfTA4SGuUf90zIHOh/DSDFVHbJAOum9zQX+X404QAbuRdsF112zfmkD5D5VOPRt
TyBqbHL6nGxFv2N/dHJb7Z156i78PkDM6TT64JZpedNBZl0mNr1K4j/pFNyJkIHPIxAyiCf3oqF4
6MoKEsh1aodjnwpEIem2a7zfPXrimRP+4Ld/tL/sK57XfLLLvmzOYssyLPDGzeZ6qabyMEZnhyzK
6eKcB5Tlu1Ib+1jxryMgVn2M48V8LnRnf8wdUbIzUaUwSr+VkFG9CW3Dt4E/jHNBV+KzkNF8MKXq
36NhuCvC1qFHtKWtBjD2ThdrgtQysIyYZRB9+lleZZdi9OUJgYX5GhWqrp3P8kTBqKGLZ3aK7J54
cGzD0eRSnRxLwlakJaXQrfGaqg42HpPENpksWivhP0dNVuy9Ur03bfwRzMEVDgb/vp6GV8KCbuRK
L+Ck6+Kge3PuX7JpcN2bMriuAHYtNOSnSTMQ5Sl195Xo518jDs59V04fDqzWPW4bGp+E0x5on6PY
DtM7onMV1vp3UeT6qm9y5OjGhUu/zfOpnI89b/S7Lj31O5wc+K94WKBLCllaeR0CrnVQPZFx6Tfy
kQ3kSeegZh2tQfIknJpZahzYTxabwY05C+ou+uNaitriUuM7QuwLeaBtPEW7dBHhlyfmnP6vNu/1
qQvR/5CXOJbNw9i5yU9mezax9lzO7DUjTdQ8Jt0bpEqPc17XVt14XZDYI41xmbie8tpDcr903J7b
lG658W4RNiiuJRWFdJhRJqm/kM856s1H/8mEr/OW6iCHbk61c1TZEf4fiyoZj3GERuGThrNBfGbI
k3z2GGn6RWAA5mR+zcbZZ0sxfRvdzNE6OU+yANW6EEvhuxeL51EqmGg0BgrdZRos4Iy5tKh9AZAw
68Dc6MC7p5EsNa/SqqF8c1pRtQuxI8jJX6BGwumXdqu4Oq4JCiJC3Hh+kKKsYv2iVs6wCdopbtEG
LFXmxQeoI6H3EeZEIgxEqk25LVfO7GPXzbPdjXby7C9PaBlvU097M0VMSd9fSFB1KPnJR17vhOVQ
ow6DEuLVhrQj6aQz82Mf6DmfDi1HOVxxHyJMRIdd+fOJr8gb+bUgaf6kwnAU9EBb7r3HUSPvuoWx
QEmJJBOUu0hXH/UMFRrSXowFD8m2qVShr4eGOpToLOZLG9CVblSXQ+rlb13Dq7mRbUPg2NC7U3Zb
zl0bXgT1ZEgz7TvtvojS6VPIp7Bvbs28FvT7zikqhYVi4eiKIysKX1OHshCgFrOA+GBCA55LusZp
fmu/Cs55IC39oJ9NJMr1jiJTRddX6Od8n9ZzATUwuA13YlUQS4QS4aY4xstUpHskPA2FxiuCfroD
lYkpUHfduUs1FJ2O1m5TByERC6Xb0OtMkiyUHml0mZjlxRhXY347Ki7C7zBgVjlNM5LmK5rZlXML
eL+gRhX8oFmwY9v7BDU4bVD+BFJQgbIzwVKMl3kqIOboOla3xrdQ9r2l8ovomNC01wIJEH67VNpE
vTjod/23uCOm7G6hkhsRmZesCyaWpp1TeiLLHOZg04YQ1rTMwbWfKq4zyv3otZQptlzuYwpse/qA
n2VcKKhzHlPqhrLamStkSpYK4aOt0tJe0IUZ+hdaREN4WWkbLTexq9Py0MYecuSwFvwUNLrBZtsY
WTVkoFSR8yyo95N3Tp5m+ZdIVpPdthgLQSo6nT0lU+z9oiDm5AbXa4IpWquNIJZsQ3T9Flnye6/n
L6UCgquC8ojRYW89guTRe+9Nk22xWOxNSrhawYIft+T9EHGzRMM+48J1O/kQZ59eSI5c1+9jGYUM
27eGT7UIb0cTeCSnV7fJGvmPETfCtjPT1pXlJfQLE/s6HUuO024mVbhf93Jx71MV/sDL7utQirvU
Rya32pxAacIe4ebDzZqbO513z1YmF6ka3tqqfRtTuz7I0X9c58S55DelNp1sg6tF1eCLnIFXsH1X
Lt1n8yrfKLC7wXnzuvg0vI7kMUewYHiFi00N62jX9TIOsaLk85sBh8rHkf16WCDKYAj9tNKXVeU9
JOOaYqpfxkM4hO21P6fHAvC4F4/lrH5RlKcuTOfLn14nX/WM3zRHkL6Bqj9mVTjUp1ZpRJB1QQ56
kmbdvsS8pGq/R2zMSJwWTfySU2izrZ2+uR8d8IEuW4lEQDsFeEQc/DB33m6OgvZ6btKOPHg3QJlg
hmvpxpdlRXkmAtdq8B5cqjW9VV/NOCyHqd85Jd2IdoDtrpXpL8sou+vWdsuv9W4sSKOmYW7+vRha
K7K5rba5gddVCC92USevpEEpX6cKtUf41c7J72TqaEH+EW5IkT2/5kOsWNn7oTuVpRnvZKAIKqrm
s+teBYfB9cndKyu1P+fxb0ph/SMilGwTpIO68OeMO5sQUyee7eVSem92deS9XEJ4fyqZyVOjUaEN
rxdPLbsMuw1KoeYhJmGd5/gsOqYvnFgt4QO6JEiVCXHtrdk5xfCqQzxRi5N+9QroMmxGWivmoMOa
YqnRDl1aiuNp3Ifu9CoWSyBLrlBrpW526pjfMN2G71KX7U3UKx+FHAZg3ZevKe++ACJf0+Cl8Uuf
Lzh8G6Glp4wknlmTtTjlh8G2lCAVwa+hzK+6yl95VFBiIQitL4ae9vNVGnsIc9AQW9QnPzY77QXn
2au8KiyKiaj3xmeHe+feGednbbLmmUkQNwj2G199oiBebzoS66LW2/qNBPLTPtF2/nQtEn4yjsY0
FK2GOZBXclNPguTizIXqyxGVbxcaGfd0vkv67sPwKfc73gfhK3/ZdHKdvxS+at+9pU2OxTBdLjUP
2VqVgDNivcY9Pe1MiQ4qzn7GPGCcMtq7g1POuATn+OPcUnc7CRRhrW+PjMzqJTSWuCrZD+CW1bKp
6hEfQCfITsh7Bl8f4TD2LQpVUfh5tIJTE54x96ZR9TW5GlmFN9o96qHxQyVJtR0FKY50ZOcPVnn5
ATThGT0Jn0ZXPno5l6bvzNRTd/Ieo8GrSYZoIhfJJMdSnf0JaqLRHmnUIyjHvOkstqMQr0A9DOH1
RInXthT1Si/tOYtyPFbCvSysm2+0CBATeWOznxrG7sLX90OvSlZWlwAffuM9ct74II2fv3YddbEb
Gu+s2sl2YbzjAl2Im5xvkyx23jMsQJd4G4N9OBfpRo9IQvy5wT01zsCGQzZd51boyzWyI2RC0eGS
UmY/4J4h3a/91VWCLHk+3wc0uM6O/h8kQlHd9XdrHlVvdGznAPEtQCuq6Dss1Dc6UQZ1tOMdw8YW
T/6A1ytivNv3TjDfeTZXfBnlcsQ6hKDU79KLwZf+r9w2+RNfIXdjKZoBeSKIaOZO3qYsQ/JiV/+W
ZnWiLIV+Ct3eVyh97fi6egOcSYv5Hp2+yY+51ea70APrS0GqVqUXkkJQ+OBgI4IdfQqo6fm70Xku
Tx1p0A+h4Nz1Wn+fFPk7yjG4Kb9uvuQ8fqYzXrwhzrqvto67O/xVEOyFrA5+TP5LJEe51UOS8Zrm
8lnmOUNtrKicF5g1KGyqOAun7NXHWxAO8UBOaCPfKn+sH0eFbSQuCp+OwzrB/Ngtc8npN3HqPy5N
A3cU4I4qv3OerxaxLaMi4U2OmextNufnyulsRWnLXtbMTN1NPbrJAf2xA8GCaq/fdwNsOUOnWsVh
LgYqcj3Tu+8cL90FzdQ4f9pusPVXF2lzEZrouucUPCD/L2GnuuFtpVihWZN6X8wJRbmD8chJN5M5
SDu9zhE6RdxUUFvphEsUn5BgrkPKE6sHJTXP9DDXD9pqxqA0uSY/U17yOGJaD2lU3wydtreIBNaC
U9EfEDpG9EHUgtpFpJZmAPdIxvBgBkPtgyCp/9C75zaAMSNZYAFVntriLTinEii3d1BW8jnOZUJh
xISufezm/pPAdX1jMXvRYkBvs7eAGG2ytJlOy1DfDn5xk5uz2KELKfRZhZ6PbbLYTZrHkD8hS03g
spzJLIdpjakrHQdKCnZuiM4r9rxojw9vvS/G7MYua08mULiccjve+E3O6NseS9vAU2LA4n8y49ah
pSPZGMwlFMJkApNmXM7Jcan9+Mlb2wyTDuJMr86CAz6X/kQHrsID1JThlT8YEPbSLd/LyP8IHRld
uXHSfSLW53c/DF8eDyWDP7KZTJJX6Jm526hIrJet26bPyCY5plLdROiSGOen5yD1o2knkkj3142c
kj0+pQ5FhpfzqDALTTjXYkCDODvjI3VE/ig7y5Gkq2w/R3/BMfadT8PbxkhlNmn6oZVAzr+QbKoM
30uVndYsstRXA1eVMBZ9yinT2z4nX3femAZHY1sVv6gT/fS0sxzFKiJmcn7CDfM9fyJyIuWhMikc
Eg+T9ArZ/U8wTScUAMWNDdP7NFneAs2rZmd4anOgnmy6z7v5Aoit2Lhei0IlSfqz8A+5VHRjwuy6
aNP3nmSZohn+ZE72HNl5PK4r52E/ZBcKQCAU57ALETPba83OX06HMBoZhBucw4TEbVK6drWq3p05
2KUKbnF275KJ2w7VJvmmfnZh3DQhoB8GUkz3a1wjN1M/c13eLAvJsBwyg0+HTjCg2IufPU99Z1l6
HMdzrCPL4Fb4RKYFZ4l+wDQTLPNlTu9TaOMrMkgQciKf0RLLg59eyUrdRwAuZ9EiVosfTM18IdnD
GDu3/mApyFouMojlwjMPOJ3vplqT6pfAQOnwUuONrqvv2pmes6X9iKanyaSPfSdOkSS8dhhzuCyS
GexkT1XfPfULmmPBfLQbIlIb0MrBlJaiU/j1VEaUfUDrzY/JIk6DfDRd85CX+GeOVNZQkxXEbWLR
bxZmoNW0i9sTu2ZzXXiLueuGgCeJaTdaN4tgB9lq0RPYPEad427p48STg8U1/U7XQXI1NgOV6yas
5R2ObM5qZPGg9njwW8wPg19ex+469K+uEd0voFYiJdU89A/u2i32EKWRPnfW+yCb0aoD+uKnseD7
WUk0sQb06Ri4nV8cg1DFzy5zL3Rs0gN1IbIiSGdu6b9lWE1A5lvpuA7iTUnREIJYW/522nOVK4VZ
8fuYjlWwK+TSAHuavPpkMRvOC+1kk31d2/Altrl99jrJgWedASva2lYZ/JyuojdRLAwOpgsrkIqA
HeUuNu58BaxNDqwsVN9egYKSaw1yYLZRYoZTnY/qYVglgzo7iFUbnp1kJkjfilsb8NARCxS53U08
dvVjBRKf72LT+P6tGMqkuxK676PLzlP4JfRSAqjisznvqgb5aZWZubmYM+rgkLep4SLn7nxKbcsp
W2SVObYrfmwkJHVsbtBsjbfAbc1bm8nwvO91JVHUgrFnkF5VncqsKNRLEzLimiVy2hO67ugnY0Md
98OYsaEUdZhQaZbiQ0QXwFfIJZs5ctObqngYMY+u12sU5XzszAyW8V2tD8KGoFbD4BTNFfJ27x38
UaofUeTpTaSCGQy0mjEBsro3FQ9nMyyHJsfxedGJOVYbvymccCu9RKqdxqz+EfDFIrDV4Ygy3maU
X/qzWGp+UnP1bUglhMWY2Jw3DYj/i6sTdAC405AAe7LP7kAOsi8vWJhIY+0wVM3uqjekT7RYF6TX
jdfEN8DSr1VlQiIDKpTRnMAFmW6RZn2TLFHnmmNirLzAhsMmsmlNgoqTJC9p2DvFIcSqGGzWfnbg
dvEV3jZVOH6kNKS6x7oMPSztedNh2R26goNT1Dgw9TlbhXTDHMZITcyqqsoFOuUi7z4wEyVn+3Mg
/wDAQxXTcmp5XqrkzW9M+Ah8g8MS9mHZLHzsLK6jgxd0caSPQmfozXfut/pBlM36kgFE4PlXs8Z1
sjjUOBSDVZ/duCK5aGZPNQdyMKCzIuDilyKxnKXGH7H4uAOwvN0MRZaHeiOWidiArEyQLq6TfpX4
9Iaj6Mv6s3MtToYUCe68LbM8+t31ei23owzOAQ461cUDzEbrHfwaruGqNjJGr+Oe03Js2pn3mXjl
aB8k+fzbRmHyJxxnmj5lMHPvTibkhMbztO7sWq7PDZhLuuUXl4GeSdHuqkCBUIZzG31VHE7dNlko
p8J1vnjXjqtas20DskS4nbpEfk8ZmnfQ2D5cN+kSRDVPju6vxjFPxm0IQ6LYKf3cRVhqsR9gxiZg
mvIsPGFBlpQYCdiNXjnnMtyxtRb3wPo9HsNMITlpwEZRTNbSQ2AW4nZsEmwpLavy46Q976Fzx/Ru
Fci0f1Zd9/ERm1T+ORYyw9mnAvfNK3Keo36oErUvvaKsd3O7rl+FzTh9ZjVGxXERqjM3URlz0iZp
UKIsa3Wh98oJiOcOBm9VgGI5cxCwixqZ4nj4G+x3H8oNCWrA80vqCOMsAqNq9tV9dk4h2Jpy4Ilz
xYxbCPTsIY86ZFVi8EpCpPy5PgX4Wl5V4QYFp8FIq4laVkw9jnbxdomqeUxVw5LfDNF9gCn4PWsq
/ZlYXSBHxWVwWFoDMHJec/+yxiPuYpVP282CD/c1xu/C58dGiZCFz5pvouO/y0IiNXKzokf8ksOb
xYXmhtC2fhDBSINL5gYdVgo3BKoqm9y81nUV0yZXZt7vap2751YGqNwKLLXjDvsuxIAfNjVrDI/t
L1NPfn8zjEv44tbx8ma89vwqUl9/q9W4X62/IpYaVr99GZwmfdd8D6eqint34ziDXLeek+IuaEWO
s2YqNF/dUBXFm+emFXtZJ7In0zrtN7YI+NdEiZVuoSpI7gci6R5ya8Jw26CIrxhAyzXftzOizk2b
+fUrxzP7aeS1MViQF/mfXtOBa0fCQDBX/gTTQC052NqEqf9pVlq/0HESf6VjsnzDUrAXQqY7CG06
gb1qJFCoORYxO81OKTFY3Je520MQyTWBz8gIBzP4ojA9t3N4lztD2B1br+3hX7o2uRNeWb7WxNod
+UfTBmNkHsA200760M522M0Drty9CJLxO6rWeN3qIO8GHA6LKHdl2OEBxuGZuhtLONgbl46Ijiwg
1V0tx+pn9Ra6hYrWTsw1Nu/6LaYvCe1kmhqUL51Q4IWBO+FUKeNbTijdgbmSAbZZC7d61CSdNdsl
MtGDU/j8Sb3U9ZskxOWl5HpnthGFgwlEAXHhkfDNR+F4fFclLcgPTmrEtyHtq9kRljWuO9gjUmxq
b2b4S6fEPMYRYAxFh2H0bAfsDkGqQQTUMouSJcyK+KCLkaPUE1lEqL6ZKTMq6+wZv9UEpDFNIR0F
4zQ0B38Ae9rlgNi8N28lZjoTZKKZ0CdMliuxyw9JkntQb82YTpje4+i9FS3mFVmaAnVQEJPFCLOJ
SSfrCohD4ZKqM69vKge8R8aUotSLqri+n6XGfK3rOhM0WkUmPjlLTqxq0bO2biXsIKHiFiLjUSRx
7t0MvT8P5BwP7sh5P+vbtsrLeCuCsiTwY7H6ru+w/+8toMQfuUakOazBsMaXo+8Ac2OUNXQGdEVc
XLRBn6+7OlSIIMKhrT4Im9DkoppUv4xrtZyUf84csQko4gYDML7RTqY58Z2iYD6lVqLDpdm32t0P
OizenXaiPMVxqwZ/CXL/Xxg7h58UCuxp9MLsqSFRAjPInImftFTVnZvE5rpiDykO+eQHCe4W4XyY
WrtvpA6oaQehI+/LkAXBH8qpQqK6rGieYOI2U1Q2n8D4ySPEekLUk1Wp2kRll1Wo5BucN0qSMbB2
LrWH/eS3zr1S8Zodz7+g5YJdw/8TlLNesXbW44iBJii+12Xyv+alG4dNMaWg+1Xahr95cJiXyrZi
F6RDp512gYrKz9AobXY0JoNtK5/1bQOlXjyXUyJIu8WnNFAc33M/OaGIbss8MIjx5nK5xafFBC7W
LKPUDiMdlnLCa99hGxJ8EYw2JSKyheKMlnzty0CW67too4ILws24pdNlPsOz7jiQUTyuAG8qJ8OG
XhWbcBkGE0oR0xr1MWPYAI+dpibYTSrxoeFrLF9HMhLjipBEWc4Yi2TwOC7W5XYtp+CNnIfp3BKo
gSbTNlU4jsIyg+z27dDcQ6zO2Y7NQP1kY4DMe9JZfMUoHD1AZy3rhe0k0RkWqwofgU9swCaPaCuH
Z0q7y3NyPKExtY7bvWsbdRrxGj2pkQCJDRl4vHlKObyAP9+Yb6wKZEQnnVifHA+Ulia3dWGRCavh
vabLCCUqt80HcQvFb4dPOLvGE8JRMUdRc0PM0ZRcD6nrDkAw1iOduSHegfTvbDy5xUJ918RS7+/H
wSPeU/sy+0pXC+i/elPxx29b/TLnMyMCjFTQ7r0QE+gGVlpcOm4upgsYoZ4IqHohu6YiuYTeQtHl
BDa4ZQ6NnwGp8ZO29JVxk8wvXn0+FIJICh+bD5bBbZBo8TTSGJZyrUKnbdq5pWZvGtaaoDWvmh8E
R8YbWV/FByOX3+5ofqifIgH3hqTToEy0xZxjn/IXUMl58QDnyjAgA8b10BRJPDSHXsjz7SYC0IGG
n6wHlFIoe3BGspf6tImudWu5IoNORr+nkIHuWMZDdzclc/Vc9Cons8G1RD1Do8M1xoVrXkrXMbuO
Xw6eXu2fR1SQ9hMpFDilk9lBDzk3pY/SgcPhSrQAUNvQ2pHApXXtviyhmTd5pqZqnwV2+hXa1afn
Ea/gF3BudE/YBM21eT4Xdxwd6a2aM83UkKr6YxCrdK4wfRrgM6auB5Op4XPy0JogT/Tlu1MPzO1J
FRG9EVM/eitNlOK4d7F7+qPtCZMBdeUycQPnishT8CFDVOJbtebhKW6S5t5vBhluSW45/w7i+b4N
x+WOu3QQm2Qt1FN05hB3KRldI5tG1/7BBkh46UR85l1cNKm7m6oeAGLsir45xHUSYYjmoIlPlU1x
UWblMEYXbi3Jrov7bvkNW9s/l0gz5CXQ0znSKzX1W8ZShuWYk/u+afhO0qVh3dPhZK+n6q9TJI8n
sMXS1x9LYjpS7ZuulLuCrIynsRQEXcoF9cFl5bVuvcfvX1H8sig8bmQHf7FFlQRvmyi+D9l5segF
Md8umqQ12iFjW72zjaied2WR0+3E5Ge/QniAfu+2Y1kelFOvb3G/qNMcx8iZGR/R8odBwhhYOUSt
nED6pke+X/i7hdLAZi+qsry3jo/wSMw+AR3dlOfvBOZRE5LWBYEpg2wJkYgUV3lNhUFPlXK9vhbK
8eWxkAmKM39qVsy1+IezfZYaPMIDO/NLpzLyOTPtWib5bEI6rJbQnoYR6QpG0an/yquJXW8lTwZr
Rshs0FRj+wwNnLebWUkfLXq6NgtWvpEGS46oOWTfRehw7Dkin5wgzd6K3IfSFUtWbxzD6bmpBE88
kSlO/YsjswKmQRv2M8IF3yyMAGbDzojlRGbnuXRVKDTOYKS99XQGHOMTKANzOQuXKYbeeIck1TQA
45yTQB44h2G00I7RdUoH1muE39PuODHaq0k1CltXVEzTlpMfc0bn9t28cfOBiuYybVV+Z3BvP8Zy
xH7vz92Cu5k+xVOBjVQSEKDK6NYNpKXyuRcdzo88cF5S4CKs1WHn+xd5laprLvz+o10yjHgDpQEc
OW7ZxvueOi2CpKaQiaVwMc1u1NCQTpwg4FvuUaTR9KpXffasRCzbrK958tUoyeca+3n2Bxe4PJbk
r/1kbTT/mrE39ZusISuTP4jLfr9KVG2X/Wj57AqS8Z7zYll+I4MI3oqozV6zGbCATh8JtBwgirmL
xTq+ll1UjWd0KzJAWhLNnIpydFGL1NacV4rxo6HjDhvjGM9cmm0DdFwTeIIEQLeTpI6ACBKELAlR
4Wd+hqtc+eNT7J2vSzNbHMIwexBLC7o8oCmCDt/E4uNkmNnUMEkEetFAhuOQsQyu65nyEP1Vrqzz
YfvAnkzZhMNFl5vihU+t+PAJULmV4UR2QmvKsd2HokRnwfVZPNfF0N+L1GDgrK1DJKeXlq9CMtAC
hDmaH1xlKveEA3TG0kEtY4bnt0kJlCM38ALp3IQ63JXNm2TK/alqtFSbzFsLRPayHd+dilexzZLE
a7icGJmPEalVEeqiogr26O2qtyTqUJxPdTCtV21WD6wWoii/+skJTj2KlS+vWYM3iCYEgqOr7e+x
QU+z0Uvev42NMz+qJclRXLjFizPMxkHkM4JNlkEYvusydR/aaCRJq8J/zJfEnvkkPReHd+WBG29s
3vQ09kZZ96vJZX4PANe8B6TCQF2xZFG06NJXIGXe13tVpvy+nLkriM3Eqh0yrBrne0BOdpsS7Qli
rsB3w0nOnIDgCru+9hiol8Dz/syZgy8Fyc7zEi9pjs4ik/FOmjH/ZMJENuAIPqO4TeOPAtbmvU4X
EIao511OQ81rLKusvhFNihDCjca2QQSmGMQquISKDJEpGnaeBUmckpTqxposAd6dY+O3cO7nlJjH
vHyRPoFgN5W7shUQfOReFUusD05SZ/q/qDuz3biRrFu/y7kWC8FgkEEC59xkMlOpeR6sG0KSLc7z
zKc/H12FbltVv426/NHoRne5ZTGZZMSOvdf6lu+CLyPeRCaCNUT2wOFGS5MiU6KapbDp7ehpsNis
wkl4RK1kBTISw815WFMv/ZoFKmVyqWzrHD83bEur1hxjF66aiAvPWL4MfRPcS7ecXxyvnepto2zn
rWFskZ/EI9sDeT8aWwYKWIAT0QiZo27rSOzmauI7NDtdn+TdGBkXnhFmj9XYp1dx6hgQBwdJt6Pu
TDzsRpLRAIXSNXfMvqYYM6zBZGySHDK3Mo+B62Vq7N/rQGQLL33v1vhmMuH6RRJQTszJgmCgn4Lp
oQ8grfq9tvUHLHBIfWm2jMiqRg4QiZOVj4tdkFXYT2b/1MQu66KFsElvktzucKhZcfg+GNK8ihbH
IfRCpfwVcobjg8cq1Yw8Zpu2EWPwkVcK5FpPzzpJrlLXbvQ+pQYqtiV4JNcHRDhhb+/XY5FRURqa
ihb5VnaUrzuAa07DV5CP1x2jpJhCgIbeYVrM7KJF+lZu6zz12rN4bpgaTtMszqMeXt5OoChtcWkP
BEYD33qy3G5ibcmm5GuMTu2hCwwOx5OaPQxRovruaJJMscfFi5Azxm22trYzAgZiqIsbuy9QjhuV
0wJdcUaPUFiGScO2aXqPDqiMsbsFaJ7GzcLZsdrSSe8+2Jim97mfmpjGdFc98wDCGki8ZnLgUI/T
PUdUuvuxN0XnVZZPVyWMCJJflUkSOnwcKjCDhZXmW0RFvAGB674MCyhNBJUgCTdLb4svpj2VWE5R
kejlosYDweueImTbDn0lvE3KlP68IX+939RU9ldqdDFtDbMFtqUVebavGRkPZz2kJ+Rsqo9aFDKZ
fVmY2fw1B3J1HHVT+qpiI39qseR6tC5LellyYgq/N+epcY+DcjTfHdrHiBWgZ/ZbVr/srbPnCj9Z
qJIbA8YVwaQiZvhUurGmjyHDtR3uLuNJr+taHKCqJM/WmDJPZVKAXg08Qg3XC3KKtamWyi591EXt
97k//Fu6VXC1DKqOcGEh84OW0uVSIOO7CM2k4ytZlD3sUHqm0Y7KDSkM+m3ChumGTM9h1nTxiZVP
sjxdMhIM/IjHJeKoZvceUOSRLienWe5FnwwM0mxj1DAPkCm9zIuBr71NmBZtEw9FyNasUnUljCzz
tgiue+/AO7U84wmA4BpxELgNK5BsyaLq52YZ0LV0Kl0AIAs79fYAXFmrFHiyO0sPiicS6CKT2XEw
L+ltoHOq0e09JjZehq0LPuTJbBiyZUHKkUzTR91wjkKukSEiKnZLosipIN8LzQ7cuyQ7E22KwjqA
8Udi/WBMI/cVmPY2GjvLOJ6TCp2GPXOq2wgZUTTFtGbeYhnWyynh2OBVRMO7xtk7N2FUMN1EN5rO
1td6cqP5gIQYamNVxMT92dnCtkSQmvJYew0Xlp0l5VUTOcsAvGPKv1ASE1ODqLlAwJCY403HnXah
ByGz2GImiFdyQNGn27St1LcgdGx1ThCI8wJU18TnOAzeR51QOLKbMuB/MNSM9yP1puRhUVV/A6SO
0S6nurRjiBnqj7SupLkJ7cJ6VZUFaSlr0dwiTiwcD4OCwWMfGfVTWnfZWxLQoofPUuZqGw/pyFkH
DL+9sQBTXowVB67DwuQD+LEXaLSeg+FgrGOAbW61KOWb7MtVkIiTi9TmIPHIyPLUOMHzZuVYZQML
jU2O0Pqx6XrxrXJgl8ErSforfC3jvZFb83AecdYHWNDkWNzQrBPkkyUpij4qi3mf9l54xZ7lWdtO
zu2ZciXty5nWN81NUdpyB7e8DLazNUcmTXr6veS/xgO+XbCitEHYKD1uz7hMuw62HWCGDvjzFi3u
3J/ihOkvkmzO89uEv/4a/cliIJefagp9D/Wsb6McIEQUpzrMMtXz4FSBm9F5M9wJnjRzEQJG+2Yg
eGNi5JdhVF1y2C9NNd+mY2g9QMdAzU/IO3sJ2vIs3KPtEDv2mfAkRbkVMTRf0Z6sIbQNlOFShi6l
5OZlZSLA8jRM762xz6NdPDDn29XrOY9ZvlWXUIMLTuqlMBr89mHaCT8dKp5ioBTuE1AqqU4K1LvB
FiOWdVuzWpVbE1PE6sgfHBbyoq5Bjs0a5YKIm/GBYVn9bvc2vQYyG1YZKxBTYzN1jfm4tipeGUwC
rUbPGFW+UjGFoac7uuMNe6N9vASJAhaJ0IK+2dDkDMGbDJyFjAbjtZIO2x8jaVb4JHT0aWKBw72s
hQEVpCXv4aUYZ/oRDZaEccNMKUXllwv32ilJxXmlXYkXKwN6txnkMDNSsHTC+0aXYPQnE3rKua1R
dICiY5neeDIBwFTjGInYnSC+bCz0PtG1Ny/RY0Ph3x7TCtNvdHKE8p3FGajy4h40t2uHaJx0Kqf8
EBMpw8MySOuN1gVnmdJsyIeN0rl9L0WPsoV3t6DO4jRKMCs7CWSBteUC30qg5x3WUYuf2zbhoa0G
CrOdwkHBu65TzO8tOHEkDAmHZz9uXQzrlrTrj7AxlLqAWOnCYpuLuUVFwnALm0MU1YilrDT3CVZR
p1ZrhxW6CDsk8HbiP28Y04GVgRLDNH/Q3KRQVQu7V2UNT/HogK5el0Ac716OeSftEjvaFfUEPmWy
6hA9ktnI6EzC+fJ4nvuJXbO1SbdozOZatyOynSQWXrTPmINxdCuXmIhvp16t5YtGHpkkqcXfNZtk
ytvDHH7A3+ZcZKZ2OPlJqphYNsNIdqEtmgUcipuZ4RmnApZSjBDkqM1qNt7nqTNNdDGSFmLQsuP5
jrYtPDx5oNlLvWU1yzBgplblCEVkHAE4DW262NF3pba7q6731sbJJM0vZTNNH2ZtJ98gAokXRjRE
B9N7y8+AhXsAksoJz3dV5Y9MXFt2DYG9aTeHoWDx6EoHqAw/txDpgyRiY0zob7YrZPibyel33lPA
8H70XRSyaQW1C3+Jfw6lVcmYF2mMaTgxB04Q+QdMhpNCS/N2zhvb2jVI+BIiZeGUbhGjQLpGB4WT
xI1DqWjIpLODyjPr8N0uanykFUPLxrWCWr6lzIbsswBcPEzRzvLMpwTxaX4IzYDBXivFEm0Bno7J
bVfXQf4tR6A0blE2of01Fsti8x06/ZEEaYtrrPEUzxxtwdMZmTBiiyxT97BItAYcUa0jCiRmIQW4
LcJdD0k88F3OBGQiehh7tkdDPCk3ahJ7nTBzZsdu6oR+O5OMsDvC1MCMdlq6LRpJPPLAmlYMuFvp
envEaJt4hr7iZBf2wRe3cVwIIvMyXwy0R26GIc2MzRHFiAOpMIGNmcPsC6lq3xwrd54Kp4nOjgwU
O9Ks1g03a4rWzwLJ+CWkVYa7cE6vj3Tiegb6MWubjSndB8/IWCYMnSDnj8cqe+ZMQiASmHHavEfZ
2Iph0RWbZQ3HkhQpxaGrg4T3TreEDhUa5opjez2YC2vFYMKTMiXhBkXjVJddVpsMurNo4fgbNa3l
H7U9TjyD9YjeXEdDWKQZwZqyRgrLuhN6Nzkj98wPUuK/fCPsR9MPbGMO/dKugOwmuTLfClmsDFaU
yK8BHCsXQGDrBP4RJPOMv79DjxeOS3IwU4k2Jh8btIuZPbdE8o3aOzuKgrZLETHNvsx5NVCjshNR
4GQ0warcdR+OmgC/gt30QJUNj0xLe/4addRE4K+motodDSNLe9AP6a6AWNthkGCaSQU6AzdDo5Pv
x7FBUntUksUxcmoLfNwL3kvrJpqVXqjkrfe65pWkHaRONSv49ojuTMxJSaUQUMK1mJoK9N4lyHgY
UFkPs0z2C0ff1NuZcCPPhVeHr+5Q944vm759yVpHPzvMbsyNU1iGubEKiwThYoRcRXb1lO3RFHMo
bSP0kMB7KxIlW2I/TsfM8t4Mj84mUun8qrGSEv9gIfNXpOxMwmn0c6CwQA6fRfxiEsAZMbUHh/6w
vc2xRxwKt40+6JJlX3JpRGovkY+eDB5BxjxAlWlWLoZHBFmAdTdhbdRfcHd4pyK1OZjVrt3v4z5m
JmIg8sghNNXW/REK0naNZex3Vgn2aiOGOgO9HvfPgPaiO1C0jFICMzSeu2hR5GI22TXj5PSBDIbh
48j0dEQB1s47PaOr39Izo3zQ7AKDfxSimkjrmZz2Qc7TBaxsGqsiCEweUmF1J6FRd6v6QKU+gCoh
uNKuPbMNWo1ktmi01/Y64QudchUEc1BJNkc18oXetSqk8MWI9k8zTW62qdWX344seOmLiUZpb9WY
rzjcEgUB11eH2eoVi2nYE0Nw19MYBKpTFeU9waJN4f/aPC3/5kZG3U0DWZsmUTq42j+jidKZBSCc
ZgSRVjNt06JlMY1yY5TbvhdGxXpi5oE/1lV2NiDauA0lXtPVkLRY2zwU6XtuZSLfCdSx50PaICbJ
ahFC0QxXJXOcivqZqsm+N1zh3Zkjh2OC5zN19+vPYf4cwoOH2cVu73q2dGzS1b5b8n90yldl18l8
pM0MQnX5rryTwIdU636L8ZmAV+DbnfEvWS6guqluriPwqx7NOuX9Jon87/54V5sO99LBHY+9yPvk
R+eo2lcsXZM/O2gD/aZemBz3EZoTRskKPB4Eu8DbRcOCiCuZksnbG0470lMvM0F8VkHls/3N7VlN
5T959rkmbRKPbinKAEd9CoMbJME74wgJRjjoupl55mzDVa7HG9Zh+a3XKr8bXPACu6YZq+gw9Kt5
kyJNXdAuRyqacWRyf5OjLP9mPCeKy7MVgAVhCYYCn6zwUR0sljEYo8+Qdpi+JrBH7ww6ol950Ppv
Y6c5Z/WcLSGZtB2OpRCRS7ZtOK7AetJz81ZUZLrpiPw0HSopIIa36NPyTIM0LVQquKfKpv/uReN6
wuji7Hqmv6qRn5mZy9mSmJcrtrbkdg7y7JwACBg+8ZI2ZDCY2Bli12wef/NVrF//p6/CFRpwhC20
tQ5s+PMfkhHzuAN7TgAL6UlusZx7Q7rQucunodyCrM9XK2RKCIPDASLdhthC8e+1GqFSTTcF67GF
xxuswdcIJuzTb67tHx4T7OSWaysAFg4Rez9fm1gMtAOGRcOnyQlniRvC5nZOJcqbKBWa135Ok2Aj
dJbQzyrUKDkqNmL2YVIkH0Zl6Htag3m++c1l/X2R8tb1CWEPdRrshE/BehYNw9ytl57Y8wnPp8wi
2HxhZEwDxAtzoelk2cwAAovajTl5k1MGICRDI9dSR1HCzX9e0b+iqPyvC2HzuK3/cwgb5I+y+JTB
tv7En5wUqf5gLCBY0QREEkyBLCDjt7YDpsKfSEWopWR5AVOyJq39xUmx1R9MvV2TlZnZ1Iow+Q8n
RXl/4IC1XFcIodzv8L1/E8L28+qvUWvB/ZCCEywnUQwVn94pgeAf2cYgqNzRB+6sJRHdHnEhtIWe
WAhjk+q2Qe/OwOg6CIgVaGJpT8cSvZv7mx11TeD97+v9/VIswZ2ylbCp8O2VVvLD6z2oekQ2LgS9
qGaGlaBB2zXNLdzd38Ua/u43fQpo1ODEZ3Yasc0n8ooIHoPVnjYJQ3IpfrNSf9pe//xUpvQsl9kt
mbHOei0/fKpMm7i3clNsQ4JKjulWjtBvFXqJGCMPQsPeh0+PIkDCOg/Ac+7Xg+OXH55HHr85LIsf
wTP/9Hl/vIZPd3ZBMps4gmuINJZBy6o9Kvp+uNX4y36z4vyMlPnr4ypoQDgXoNJ+z4D+4ePS+AQZ
X/E8uRSbmMYsunkY/A1JD97DjR/m09ge//rjrV/X5weHHpPN62C6QrqfPh7hOqmyIz5ewrcYgV43
xp00GJ61ZWtcGqmANRzFy+HXv1X+w6vDS+NpuJQOoKPPa+sc1nOR9jFeVzmUT67Z9+f4ipZk1w6j
E+xLi2V1C7eEsBPbBX2ivCATJ83cuAM9bwFLkqYKmq1cILbwy4KAZOwCiXHXdotxXTgirK6qJmUS
nxCAUN9aqmEc8OsP8U9PBsoc7VrKVfCaPm1bWQpDxwVGj6E1lfRx0yA9JFNE33WZgvT517+MGuXv
35QifRaqyHrHgDT9/DLQkfKmwnU9CD4dsiBUkRM0gSAqbtT3jgBxghVnO4UrZzuCfThn1CuHTVcx
XKe6CGBBh0YZjNtqWuMczairzk2D0Ep/1Iz7UN0VVnegd0deQd0wxAXJ0E33DH5p+XDfy4dhQpb+
sMQqRm4V9nm8TfACIaAJ1TAcggAus6SZTZ/BdAvoi3k6sUcXA7EzdNhnJrOQATa6Au50AHEBndhN
6qEiNiAu4uuG8F3mAZgPohUEw4nfADn/UpRTle1zlIL2ReP2DVIk6AZ3jT0oqEV0O8HAFKhbiHcG
eWlhGfIFmB76jIvhvpu4oeA41CaKkdat3VtzcofjRvc2KXhmi6CLf3e9j6u563dSjkbqYyFJnztR
e9eINQLKuEZVDzbQLn2Beq28IebRzo9nYtU0Rd+C+6Crwmlrx5m80k1bf+E2kcCFGqb/6pqWhiqn
EE/7+RKgvcYcaX8bVcR4fDSBCtAbydp3R80aSUzvPNPXZPyBzsI5rexuecfAs8wIZ0rr2U6L5bJJ
yIKDpT/eDGWjedbqIH1JLbd0/aZYAC/Dqe9uunRCfJWXlf04tx4z2aEkezNpCrBT1VKKO2qukDCa
oBzuIHm4t4sGto0xR3KUmhKXQxS542SV2GWGpZfhC0I04dKxnN22g8XQ6BqPg6dXmuEw6HdklEFy
vDB1++iwWhBLqoz0XJFM2G3GLGWsucxCD1d22MpThkGYDnIWqlv2TByVeFUlxWapPbU8wvgWw7Fj
IGU8jfB9qtPYHSR18YJ6MDnmAJQ8YLtGiOaGqu0ptdC90urQzUNLeWnRIfZUdVDEQwCX7nNm7npo
HVpr9MJQd8UJ3l9M26Q4ROjq2lhejphCMWKaLUd/1dgOPcC8nm5CIQq5bdlp1kgnqustkkpn8vOp
zN6tKI2n3dIkZbJBCspE05uH7qUiO7LeU9EuYtsN2p4Pc7sA/kuUTrxN0unuwWInm7dwVmh8Ld2A
T26h+oeWiy7uNauD0DyvFWgHgACMgIclAfI8eNK4DPMosA+SswnsAyd0xgtGdw0ZG7KS4zEhUMu0
d/MKcA7ZUDwKaJYgzTHi1V5xZiOfTB7KWnM+AXHQK79wiLg+ntPJnS8CmhPGBd2beX6aiAAYdlCC
7HpfFXRqvgVtlEwn2Gz510br0YGnKPWUvUleMlqiY9Ze0oHI+0eaXyAjZCfT6EpwAse4wotypsI5
anF/hT3qgtqwnsB6YVpdaLDD+BozYys6ns5oK/oqz316aigaEYM03SWPgPckqrkCtFDTM6P1SYYY
PrjAW06midHp2jHkCXYC4K/YV9QdbT8MkL0umGDqqrGuBzo4DG5oC9BDYm4LEqT2jP7ghPTidoMp
WEFYNEvbfLINK7rWVTi+oRBagInmVYwmEFt0UL+UjtPQMC2RQxTiArd2jfJWmjRhzgL6v/pQOiQx
wSAdOvyim6qpJb5LUZhaXeWp0c/oYAUWK2L5SMsh2SVgjjL4cRg79xnuowE/5UJKKOgxRfeAvWS8
kH2a58ejqngIe0nrxwdS1nOMNKfuviZpODrkiYkCCl0FvlraV7EFCG9Kn2abiFEQ/xXJBUZH4Cru
gj48xi6Z5hcKUbg8kBjclnco4pidAJpyHtPeGe7xwXnnhtnAlNQOQ90ppX2NDQvLKNzDaR+lDma5
0MLNLRCKRctQPbSlFdypiAMlfbXB9sfFJLYA6FHxGkRZsJ8gaNDXLObbNqrah1V1ej6guvGd0R0e
A4ORiBuGgR9o6mTZdrvRmPDw1dNlkmSvwOtBYdSB0+wK2mF+2zXQZtuM8TJQoj3afUBuNLB8OnvE
F4QcJO9bhBcCqYQpzmb0gdj2U2SOGMxGfDEJjXBlZa7gqN/ZB7xf8R48j/fMXJMoFR3eDBWTgkNu
ueep5wUXoun0rowMfDcRIFyE16dTLl6C0XPQPY/Ng4uEcoMgejy4RjK82kNCx101Azsuml6eAheF
oYqGdo8cIdqjHzkEun6qlzXFQFWT+9rmsDh1meWHHmLGSdoE2RcPWe1hLNVwnHcsUdNku8ceui0w
Gqt3oVLTe+GVT2kaZIemjHYz00fGcBxJUzcglwcIWnKB9braMOpuz5hlW8JPzOBFjcok9mMkyLd3
dfBmeuMJvdrgkBby3cXHxUAiN18YhxnbDonPRrdJegx/aaUxJAjWqgD32TQ6T0G7VPcW6xv5uwte
jnkB9j2U7cbS/UcSoS00vOisbev3SQcAgWps8KTWemGZHBM29EQP6RoJC7iKnP04Xe9VmmXdDnSL
9JeGSL51dIOTKiuGE6RhYg/L/xR17r2EWrQtSoZnqGTr/chI75Ao7OBzusqi4xqgsTFgKKAKwNuh
lHgOYovBOn7EGZeUtC4BK+Cqg7+PyZ+4UxSVAyjuIa1fFH6hu0IC4iccrKttvwkmNN46rK6xKTn7
rh6CE2rWe8vW5uUY2+wtsi6uXMc8bWLvkFeyIg64fItGecmY/lQ2C3K5xGwhsuFNKEMNv61k+tO3
5xgFUfZqz9jaxbqAQBmbE59C97waiuiDmtB9+56Bk3sEhUaOR86EoZazZHFaGFm9nLf4exlmadgL
Cgcc0vORnZeNkzE+CKoZws9O5ekJtKH5zh6tqz7R30TPz3TFLA92iyunFB+YAPeUY91VZYiOAA73
mBFru4VC9h64CRlIi0sQooU7iXST58lujRO1RDfpUlNTwnGjKyIJf2ssF4sUQbN7q9UNQTYMtl1a
1Lqtd70z2ZtitSKMrcTQ3jGgIVIutkeJIsoddoRW3pSqCfeRzl/CdnDv8LKdpi6TMgP/UR5pDAyB
e7Hy8TpdvSpv4JRitHfGACXdm7dtGD3j2ryfe8atQ03SQymkX0Xha56wgdFwwNtSB5d5ZuycuKp3
5H5FZxU2byOgrOk7872tGQPXI5wEjQnlOEqph60gczmOTIRRzwhbvFbyfx5CFRyHSQKgbyZR/Zkg
nc4n8+QD3FDsR8Xstz15MXHzVuUWXSRmYH7rxNuyQo4U6/lFiajfofreLYbXnVv0xcnBLfGDs6hh
j8U6lGHxe3CnOHZ23UwaedFYw7TqvkZkQTX8mnxqDOiHoddRhuKzXvyO4vA5tOEVYPKIZvQgNSKf
qZvDG+51Aj44bVjcegKGMYuEd3M8FU/R6EhgZQRUcNfyMPfocEVuuhlGKb5pkqWWTeL0q8mKR61G
M+YwhSOauoMPje/+pCuy0fYpQJzixIxaCeqYuUn/7BGeGB8TsFZ7J9Wiu8tkmAOFK1iV14T+VSTf
Bp4Fb6CNTiVbLEe5wMlIamzkdMJQDjLfhPiIMME+4clpEaVvlBdZsO4g5zCxztqYQCmr+eA2ZszJ
ukL4bTSDH5pdpDpN0KtxkyLwjzdLqEYGI3R5X7x+UsDfi9keTirpmZctzRxuoyGC+0TkAFKySEty
8GJ8G0yxkkvRzW0KfsFyX82xMJe7gGaT5KG2QcMo00nRjMQ28kgQZrXrk/SAZ21xA0pbibl+WSOF
zNYfvEo8cra9Iw0ldLeABbkwMdYZCdEADuHahxX/fVAD4mmkPdFHhRERbkarGNZXrVF1x2FZA1xz
8CecmNZQvoSotGFRQI3pPLuTCM2N9mn0dEPa2FxwlzSevGCDrZoxeeWGznmcWchSFjk0/GN0uTzp
g241h7eekbue40dEJDyohAnoe9Od2L3cLoXKFTnhABo7CJqXtmoT7tWco+4MjL7eVjNei2iuPbVj
bhyxJYQpwBGNnu9FM2Bz0MeY1QG/y9zjWlP1t0Dq+CUfi+HGc8RIdouqCdgDc8ezXdTWTmee/dQ1
AWVeVgC0S1uzJKkMqcy0rUZ6YhuJhZDUvaU334Yo9p4UA9NVAx4y/+9SI1x8CIzOQ1sZDpU6D+aw
IdtqvFW6Lr+mA0nJnGDBDqAeqImTKKn6t2ppBs4jPX38nee1qjg2SrP8hrBAvQjwGfcEvuJ3LqE5
IA4f7CrANuA1va97gwDMaCI8kFexGL+ipUN4QbJg1G46ZzBvVaa7mzCw8xhS4NDfZiM1wYbOjzEc
o5FO2SVHB6NJ1PYIkyx3eQtyu7yZjbDKt0Q7Z49BKev3IRPLVWopFG+8ZRUivT6s73HmIVToSLAF
v89QishJYyTsPcR9lNDGd5DFdssSAusAHvfiFMGqX8PN8Q4GVztstAGUWD5Qi8+IMTOhA5N101sQ
iTeq0y0m0wo5obtg1mB30aj/sWPMxXErq+xhomonELrIi69G3ytAQWFT3w6wYZnqLAX+QzBGsEez
rBBfYcYBgQVCN2IgkqGjdmNclguelpmSc1lGgsAWe57PY5SCo1/Zk/ElG1xMyOaC2XrbZPRUgYow
PNlPqQHzNE8zl5vczZyabDiOpP6MyF23XeZae462bBfRmIQEnsrMvrXyJXGxfNTyIZsZSmzM1kXH
sXRVZG48gKvdIXJEUe8M2VQnQ49oZj8jdB05xDkmpp45NFEOJ920X5wuAVY1SA/yV4bmBBe+TB6N
0oODrRMV3WjqUoQz9tiAvVzGtvLr2sWjUFo5ch2vWY8+RpMu31yr7UleIN+cIp4I51s3wta/QamH
ZVEGjU73doUezDEa9E/a42NSQRf1DS4A7JHxSMf0sE4tSUJnWH2D38JDGD61Itg13+0BXURs025I
11mxHluWc6Lqa85jwx4zC0rdsXLcpyCGgrTVJTsU4MRA9nuEfenrr5ta5t96Wp4l1iwcz6b7uDZ5
f+5pMbV28IYjss2KSdwiyExOcro+ZGV5JXEZFoGZHZ3CZMfJGDcs8oF9P2DXWYVZFy0ICnP/6yv6
WwuWCwJFKW2Pfh4jy08zn9izW7i8MHqlNX8ZkClTj5foKHqot9Rf4vpf/zrmj7R7paRJZ5qfGtz4
hxunnyDYAWcmTiuYTR80SnxwXOvDtT3rN83e9Xb+1Oz1LNrLwEw9qbQppPr5ditZMOIXdux3C7qT
17oMGvcxD4typ6LImF8k4sUMT2KWI4PsnH/fSaflQjVM/0RpZX+6t4XIS/qHTA5mFu+Ny/6xmTtH
HBtFMf5mHPK3r1Ez52QWzhMC+IcMpp8/KKJPclvXXzU187Kvcyv1LaxXBBw446EusnD36+/xH1rB
64eSAk2DdtC8/fz7NJ4RYa+de0l2LfqNaDrjhWcJNozpN9/h336VyyuDMR5tOxR3T3z6VZY16iaK
Mn5VSASyFlQzhc1xAGaQffb9U/2reeNF/N5AN/zo/u/6Y+8lB1hAI933sdl//9f/tqnkd8XJ/zyV
vC8BPb32P6Y3fP+JP6eSBpqGP1iuXAvOGmQw7dL5/3MsyR/JP0gdt52/ch0kX89fc0nD/cO2JEsK
4x2myQjueQH+CnAwvD8sG4+/R5HIWES48t9Ef7k/D/ttraWDq1yQ/CU821bWp/d8fW7mhQH6nTRv
rPqqCH2ch8XNLM9KeTaGJ5a4rcLzmS0GKkXuXFb5rk32yyla+eYJvPsCttI77YtjbImh0+4C5t4f
pY9T075v9mOJ1xBUybWGvEdcQOaHdLewK5hnnXM99BfeeBzOu8k6pwzcoHR2kOy7CeD7DUSgJHiI
mi8EpgPKqo9LqBiDe284lY+zdmsmp3ZBZtSLYX5xiqtJXHjLAdcynXXQRNAZqCCcCzN9hAS4QW5K
pv1hDs+z8C6maeDXV219aqMG/fXb/Wmb+ut+SgZyJHagUPA+rVyjAIzrRrm4a2P7Ge9D7E+h0hBY
9YtGU592HuZVYz8+GVNnX2i0834yov/+zWWsX9t/l+/1MjBxMR30TOUKR35eZYoCXRs5u8tdGslH
szfdWzsU8Vlpndlx8jy65atTqYdcTGsybINavpJbWJfzXQk+ZhnMh19fz8+7CZfDGsTD5bLArtej
Pg2kyhJXAyOd8a6R9GTgD3p7Ih04eIMhYHohyas94aRt7v79qvS/bb3B4fvDvfVfu9e/gmEuX/Nv
/+//XJe4LEjU/XHB+f4jfy04DsuNdLAEsrVwq7Ft/GfBsUiFQWLFeJzFRVHX/We9UXIVT7Ah2VQX
q/SHVeqv5cYSf7AzeqigMK1Iekfuv1lu1qf/h8fSsUyujiVLeqBNUHWus94fxtYc07JFkVK9DSEm
XUK5i28IZa/3Li/KaV7EADGqlQdcF2l8IXonuvvhXl3/+Zt+nNB/GiavGy/6DyE8B20Tl/F5bj5W
YYwAiNxprtTAltpx7uvhx1XQVk8wOzC8KWf6AKpr40s7NzSdEHq9u8UdOM6WjGrOJtupHvPZ+UJi
BkeferLGexnitjqGomcP+6bQu2Jyfjd9/6RwWC+dspdpP/eNGTxyo5/vXU0di8iELpXj4Ek6kH4C
Hb+NMcegepL6ea7xhu6BLDL+x80h4xNG42Z6Nk+yDX4zz/70PqOVAXjEgMwldNVby5ifrwUob5vh
0JhAdNs0EMMCAMOB3AIC2qoypUuaUj4mWzOMvREuruAM9usv0lzLsp+eJExCHtJFR7Gtop76VLbV
84xvLiLWsUyncdl5Q895TpFUK/YTgMU35pIAvE2VuIiy86Xck98xBIfGyztxPFV5HJ2WHFvmvTTs
YAYNR7LLLhtDplwqbuP2TIpxrH9Ta5qflmXuGzUmryUWZ3u9e7zqPz7/zOdSx+wArtR2BC8JhSUc
d9LgibW3stXqXYOUj05FoAZANWr22LsQtU4hDn0CN25TxgftrmNw78AjheKFr7aOu8ff3Nx/uEwe
N0fy7a5TZ2f98x9eU9cDCySCBSA8YKyJNprb34mmTPdVLxCACll3REpjHJOHZDFkdFmBWUyOpxC+
FKO4pZ527dLAcHGKGi9UDI5P/llwUjiG38p/eJO/635/egAcShcOCEBx1kSgVdX14zXymEuSkYhc
9ko7bK6y2qqaLQEz65BiHh1cX9Vc7vPBUxzHZtR56GMyxj+GK/UBxxU9G3wS7ulSBv1bi615z2Al
Hc9qG0tdnQCYJwqiuS3tjmx2x7IHw1/BRaSVG2Pw/5k7ry25cW3L/kr/AGsQNCD50g/hI9JbmReO
lJSitwDt1/ekqu69ypCOsuulR6tq1Kk6MsEgARDYe625MD+DZXWoT6dFf0PvMiRZj0NG+DR2anjy
KDe7ALSWIojsCpKf3nlAbw/Dy0oNgDVY8r94p3qWefaAvDm3yqnD2dlHKdnfzJUIPrJpcjwfzAKu
SBU2iLWHwUm3w2SZH2K/J8YSUiqyj4pSzroBiu69c1mIgc5mpcfKaoNstB3XRYx1fkjHGzFQu5/I
JIAu6h1FNTRH9OH4lwPKz+UXZJKUEL0wKbuLvNDHErNWuk0Hm66D9m+D0gyJWe/H4ejV+Uhv1Nip
tG2fO7MbHpG+f4RWYx9zqKEoR4pOxGsNMWir2na8DDQe5qQcV+hlypsEuTryWEuXJ6w8GjJpm25R
PpiPVV9+A2a/wHfypzya5fXUtoAmKMQDI4dERpV4gODVDFtkCOtKOPqh9gBKtvn0vW8krdW6/Dya
7cQxHNnExWC0KtwWtWMerDbONxzsiovWb7kSwzR3JeDGbM1wib9lrbHAbRuul6Hq+VtlYgdbGUnj
XgVTjjkEOgEHw647TeN4P7Nl35MB5hzmeqwfhIwe6J9hRmBEHPCDz1f4cBrMRtDad0XU1Pt6lP6L
0eCfTCM7vgqLRGCzCOVnltKTslvi/pAMHabKJIYXP8ppbGi+9ZEH6wK/1sK3dSPSvfLIcj80EqlK
5hkPc0rzQqW6PEIGjPZCm8WuSDxityeMsx4wyvu6sp6CsMluLDxBK5FQepuWjJ22IFMpKS+nyPA+
toAwPrfQhEm4MFP662aqZ/J3B5xBp4BcqdeRIJJvhaaoMwI3s1W2V/mY32KoHLdw8QpoxfpzYgXj
zuzKV9AyeDyDBkrDBv42LRNC52Yc+W36xWxxE62xLPUutd8w/b54mL411BxuA6eTH9ox9F/rdi71
mu4IHl0dk1CSymRfqyv2HZZTdEfpzeUBjCLeXLO8MF1FU4IaN8UunsPWcQgFndFQB2DHYgQ+Mkru
Bq2HYzS34dGuiqLaD9hSrnEQ+iCVZUu7IkCv0oPssJUvSTqty73Vy/jZnmgNwdO4ALM1UEcenFOU
xRBrhiJ39l0fl0esr/lhnghPpzqIxqpu+q99FhHAlrtl++ILt/1iDbbFAB2ceecnVvngauq6mhom
iG92NpzXqip+CUp6mjiIoato5E++qvUH2KgcAQyAkazggveOj2GzWlMfGcCQdHT4lkPPqoE/Qbcu
c7qUmYQbY5eN0muPsRqTfZc6aCmK5GNkuPaDTyl+a/RT84WFNTsMjtV8joleuG36BdZsUtQRU8r5
RyYNpmUkWRkL7GOTIkQdJ09SkwV6uDEhX7Qrw8qsJzfBJh23IEOlXNgwAWKDY0GOyeWUNfNVRMUe
bZqZra04ucpdjpBB7ASH0pXmhd0ToExAgLNvhu5Lbc7dk7AYsaRtWeNpSIA19D6dTTIC81MeDrco
iD7pzul3o+m3RzovhFlQr3K3syUGst/B6QbY6FC0ZOLOR6Z1T//ROFr9UGKsoM7dFh50/iFuH0dq
pmpTEGFDXq15y38lz+TnpIfM613CCnrDOyLFiB5zzxu/YNBOP+qJSuq6xBG/Kry6up5wquEM0/xj
BHlCo2pqv4kK8hRV47T8pLOpP0wGDWlu0nQIsbFg/M1DOmR22eZP2Tze2Xla3IyGnL4sBLR1M+kv
uA9eg6YBVFLbRnxht2b+UEAOvO6stP8+Jo3J3hdr1aXhgNoOUyM+KH8mXW22eXx2NvjDhs5+uQ55
zz0Vav7WJridHENX9/hyBriltn9KDJw78bzchJH7+LVIh/noFRQCMsTXAUA/UWzHlCp+5IYYHJzW
IY5FxBGkJrp9wjIIDJh7QlC2qtHls5X59k3mxvANvGLEFaHkQZhxdrLC+kWQZ3WHFIn6gKrHPdoV
bwffhsC9UZpb/E10McpWPYdlHV6ixrCOMC8npGS9vm1yld0ozafhA5LRtid7B7BTTKsfjLWHsGQf
KeSG7MCGD0lW6uusLXrQmPDJ3F2ImQ1fe5Y0Nz6yrxW2It2ucPZGrwAkwATVJus+pJlrqThIDFIH
W+hpB/432I1z/oquub8q/LLcJoVsb0E4FMS8+D4pCik83GZ6RmNVbtxKh6tKjRBkbH4nTSwaA1mD
7K0LwwFHuZnaKMonV3Cw6u+i1squ3D6O78VgkStThRkw0iKnKUA7PDkiQTSfGw5ml2FlyEu6hXDb
whh3GR9t7XO0htvWTbyDqEbja+uREBFU1hH/mX9ixw/3X0JJ4K3Oioa5bWg3UC1T9EKcA1rCmbYZ
EpwduA3rsSYpDExA53wzlB1cUigh3sLRXX9DNNxukY6k0COfVFGKvdub8rGGDrDTY90d56yyPntB
sVPgeLktehavLlyVlQfz/zaEVLVnEzp+wok6X9ME7a4TN0INGSXqKGuEQKumzkxI9PV4YSfzdKPb
qTn0ulnEbcJasQLYFwmtXLSr9Yd+DoITgF5EqIOH/KgOCaDBzk872U+yCyDb+EsYJ3s0luXJKe3+
gEHGwDmcY0NMLGvhJAyoDIZ85yxrCxoHQo2ATzxiDwM708IB2A+Ym3eF71QPzOz8YkZLq9ZtC7nN
Zwe+ckKbLBJjdrZT5RrPYEnM66TKvE+jXXgH+pAi2dphGKzxN9KUgv0wbxsa7o9mWLXPTWTaHw18
lBDuAfW9Cg6mt7KckXGooiPVb4EorJnNL1bvPBRwXmnJhvvR08FDmI3t566nWNbTjvg+zFRBo6CO
75Ilv0NqQx58hcQBZzegXEShvbWmqzQepQQ5k2D+0XKOyWMiS8MGGgaWJsDk3sbZlV6emeVExkR/
l3dVltTJIZX4lLOUKWJPZvMAHllxsnDYXeBKtsmDmOFC9COuXLtPojvLavH4F26WfEMFbV1YlqK7
WJeG+7U2E3rtdq+drYZ08jz0tXGHiiyG74YolCZ5MLkf0XVhAp2K7KG3XYRVVYItQBX+t9hyQQ4h
42YFcGirrsbSnG5dbKcctYsluQoh2A28GL67LmNaYEysfBMEzPpdN07xJRi46r5DDS/Q700YxVxA
E2MxtdYOtYT3yYqGxFuZ0Oi9Fds//8lBMGfSvQ1g9zFYATS5bap3RHCM44kmZOo/u6jWdyLvAt6Y
tDOY7QPtEzDEdVs4AChRndGao/sVrQhLa4K7Hs4S6ZWzlljlYALwOsdyXssDYonpltGRRZdBQprc
Lm2kDDaDOfXuzkKQWKwjUFCHTungScRd8c2ydX3oOex9jxrJZrUbCn01dnN0W8wiW/mARVH5IDzu
WHeCDsWRJ+kAww65ir2FwxKL4Ftpah8roQ05xIi85hNvXsBB9J0OZpICAkjHBNlaZy6Jo6bSvDfo
lst9aCQ1bzH8qZdpIBpwhSnE4Uyzv9nw5qk+FU1Ebhqo5PBJtr7qCI+ZicwqoYsOm34WEGo8QzYW
7Mg+/6YH23/KQQdej0PLH9wtihj+zMp4CXltgQdF5JxBo/Cix2x0whdz9r1xNZGVskdgh/+YdE7/
aUiyodzTx/E+lVmbqfVo2FrvRTAFLWwrohvWJtyjF5j8KLnzR3aE8rNEXYaO2dMmwtVKZdcGyD3c
2wbJhqsSBba/k3R870GmL3sSH9EAJt3YLDdDQ492VScWlfaqN657uB05iHSDf05DMgynLCz9J9HY
I/COLHChqHddbaxx6gfp5xKx/yVTuTROpml0es/2oJv36eRW1paCRUFaBFTH/AKvoU7XiOLBzUAE
M58TnREqV6E6hXUXGYxXq8ThwN6d2Ju1MF0CWx2yPUGbsG9JLmyz8J4RuOl0Y2AaTbYwckkg9Rqf
zXE5gKddh5UO2JWbuXfnkBp9PQ24c2SQ8rTynJzVFXTdaeWijbsyutH/BNHWGEnq9e1tKUt5X80j
XYZY3jZmaJ0gLBkvViwKOvnOzA1LgaQbS1PaIKGI6LoeRQm4zpZXQyFFtBJQzT7UizLIrwBebKuR
fKMOVvzLyOJ9XeV1/z2gFukwjYwK9TTAy7skbmH4pkXBmbND+FfvM6k7vZ7iGdXI7KPUXSJibag0
JBQCPgY9bqAgcwv1dzn7P9c8FpvIzzUPnLEehwqPqsfSCnbOmgsNTXnVh0KtvKZG/wfmaYs/GzEh
oV/1PoCAvyjADLheZZfKlz6dbZTlAz4vXtEW+cleriN9U4Wz4WyFD6tjZQvat6iBLMRuc6K7T501
5nJtZENxYUJ+9Bgd/YB8heHvrEDQamvdmw2ZjgAmjD1LSzBxUusgEZjxHJAAo5HLLfuFzF0TZIB+
+s+1D7pib++Bjy0vCOifiiVQ+4f35afaVBFVRlpFALkN1LXrZArMU1PEw1oHREH8+aN+Kdd5ksoS
nyHx7rm49pbn8dNnNSWhHVj4sRNUafTVMSHmr/tQVa/Eg0QQ7bthbdq1uMOPxNmCvQNEUDpYeq3d
TFwh/UxvRJ44TJDEGa/fubi3vijKh9TiA3oiDjU6PMrnF2c2/qDrhg2mKpr0KQoFZ8zWnAOsFUVT
9JfwtVNi3UYz2eo5dau9lze9WhtOwzHwz9eylHvfjEueCeamAKUA0gQ6X2/vU1RbFlo0VJximpCr
9O1FgWJuG0lb7wikc9+ZB78dAliAJU1LGkvm2WNxkPwPSQJMB3TcizbG+llLBcJey+Dlxxf7V23t
x6rg7z/2tP9j5/tNI1z97x9/CPXNpavz5j+2pU70dNe9ttP9q4L18V9e0+VX/t/+5D99oseppk/0
tUL4vfxpUVKVPzeLrGWU/+d+9sNL+b+uXtqkrH75TX93mARd66WjjTyDiSj9pQ/xj9HW+ssx8eDy
gxlDg4fn9k9D27H/CtiQ0HuxaD1ZPzy4/zSY+CkGDHZCOgkWjULH+TcNph8Vxv8ZioB3OC/Sq8KE
jUUcpNhZXwAYUmnJwXFXnjdx0qBMsA+WI4pLEXtTYXDaQ4vbMln6G4ODm2iSo5Pqemda2WNOWmJX
Dg9uUkKQJdfgEu7Xs10kcEQKmB6Gr/JtDMBk0wLcPEqqBEArw3yjmr7C6YBWlmyj19wCHWz1drqu
gTUREu1994hMSvqgOPhB+QGARk0qjs+5qRMPvTQPBkpxNvoW5ImCX+OqT3XUHcvmMwrDgdwqSYiz
Ez4WvfU3CuL/2fh+o/PYv1ZLj1KdT5X/HyfB0hj8wyToX/IvL+23N1Ng+S1/TwHbZgoIx8KxiU96
aYL99xQw/0KsRAf1v3QdDL9/poBv/gWRlB64dGnOLmXW/+6xes5fIA0QDZhEaC3d138l6XjbY8Xm
ztBn5AuatTSCucK3izEyItIElCm2E7CvGwFWntwZeKcAY8ci8AkWbyLA94RCYURNzJyc674Q3oef
bthv+jNnDbq/LwNiM01oh7PI3x7Vn96dpXSFCqCN0ylJEGSHI8lzx8rHk7CikBN+TiCiN6uUOv/H
rpHWyN6KE8k2lewAD13dhDfoVjznGEbYTNdOHKmTpH5O5M3ULJl+nlNGt+9c89I2+Z/FQwasTS6N
X7EgAXiOP9obP10zmS6BKGVlb306c2j/y2mhjuvrCs7qRU9NfKuzML5X6CG3BjusI2Q7zguNIy6i
XiqOQRi7Vl4c+u07u55fmC3LpXFt9OJZYFnklkv/6dKIV+Vmk4KydQdRXHiTHFcB6SrbMbb7HU7m
O3rp9rFUltrMhhCHZHbbDZDjJn/nSt62fv++R1Q5EaTTe0Igc9b6JfSkmUQTO1tnDtD0O2C9X6fW
yG9d/OA76GkJZ82ZNge9jPfazm/bS/98NjVWtj0wSK0fYqafbkIbJrNAIs/zkfZsrsicY6uedKm5
yxD3UsjGioTYp+m6zTsj4+3O+8cnS5dviz16EUGcCxfUciAi6IRjSBRhWTJIwYIeaflUQ1MPX8xQ
tEcC0YdVO3TO/dCBjAKfW9x5WRi82/teZvDbYep67LdMtkBwLWjDvx0LcvZbd7bIrSDORGNx8gzc
NqkA/reqzMpDwg2JOz21KfiF9SzH/KUWM+hUqI3R3xuk/3gk+WWaowJAy8jaxYud+SNZCn8elwO4
oBkCXbCFYAUHyulVs/Ow4F9FHeGNK+Tp4SeYQsE6Guqc6PFweurpdz32rrnLZYkxAQ5kTbTkaFyO
aeJupoAaczPr8J0F6ddx+2NdxA0P+wL13NmySJ/DjRIT3ja5Onh6eSu760aO9SVN0SsrD/Nrp3Oc
Bzaw0eHfDh62N/A2JPfJkcj2zrbHJG2GgPVVsvNn+oHCqqd4XeEdTFcDqYefkkJZHwSAue9ZEI+H
Ef3YxegQdQ21S7/DfrKWz3ozdriCRY0IgoqGEMeHt8+rSyPyB+Bp7RoKHj1V4xFu6wSQIL7Udj7f
l0VQTieLFfpmnugrHwPOP7Bg4aIGG+2L+Q7lh51c0AsX/QcRQrgrCcrckRK/wKMrMKo725zEJR0g
lH2VVYx6r8rKw9DoLaThbBrp/L1zh3+ZEYgkeccwOxFG23TS3n6rNLelm4iM9r4LgLnvhu4gyhK4
AREiuAgJSLAzm3QLosC/jnSVD74Y+/fW6LenINYILgIFFa15hE3Lv7y9CJZkvLnV2O0sWY8zZoeG
HkBvpuKKkK+ncunj/flr/+Zh8nKlHIAYx5EcB88+0e4I/BFT0FF5mIZPpl1VO+rIzqMFttTfwEPE
wU8P5LIhjOEyqF3zRFBofHIt7d1Bif9G54tQtZmWNgqi9LmuaHnQkbqIxUQbPC6IfnfNPCL02S0q
6MIGfQdpG97XP3+PBbNzNij5Hpy12VWxkPwiZ7AN25n8LOx3WnHC2LSOqbeygoLuGFFzUYnePWDU
oVuJseVQzxFGOQTiD3gj7ianrXdBjPyBfpm8d3jtbV38gQQQ2v5NSFDKBmbte0oHa7mzb6cRlQHW
vGXtk5JizNtn3eGcMyZN+I/ftMl3TCJEE2H1vnGnfLpbmicHiwlz7FyruPeM4WuAM/3SqlS6UZRR
E3jXk3HpY4h7rHypbyygWRvy8YBrjeE8fZgr0uGduRxv0lE/eZGRIU4LrwwI7R4NCV6x5O/012SS
Ze/sgX4dxMs0WgTLvGctHsjbL2ZpKpxpKUiq7szpUmVGRxOsr27YyU1HaNzpO2P418+DrcY+juKJ
LdG3nb0/wCsAzwrdcYearPwIPu0bm45EgRUZvpDspP9dqWKZpGxGlyMi7wEOo87Z57UkYlGc6YZd
olzniZ5u9mrMo3fhuvSg/aFx31lwz2pIPz4QvQ60VGn6KB/PixVelpZ+ZEbTruYwue5sL4JoXBUP
VJEb/A29dw170nloOqPfOoMHN4ykLhfXamWKW+D20aOtHap4epTvvJd+nXWLqFNymA/YyjGx3j5q
qkeBoZJw3AW5ne3DKRDPCyOGKB7ZXY/aD7aFlOJVawo7tlW+V8383ceDmGUnx26WuX+2eFVN4cSW
qqbdbGbjEyRH8Rmrzd5wCl9vtdL2ZjT0N1+59SlODe+dL//DL/N2BjMGqDbgJ1qIXOcDz/d1ic6e
+rSq2LMQ9RMgWHdqvKo4vLtNOqvHoKdjpiPvCKbYObYLk8SeXLiEqW/nNFsJMSYIMqek3pXR05/X
xF/ujoszgE4gglU2uvx4+3AIfkwGCu32TrIVOLROat2APKcFYDXNx8G18d0XzX3MrNqVuTIf/vzp
vx430MfyF+/URSzLFH378QkZ87MdKHuXJq1l3BuAOeCK28FwnZJJ4WzytpICPLGs9VZBCkhJaqra
gxBYkoDCKP2vt/5ckIeHgqq3RI98fqqNUCOaJM5DaR0Rta16jew0NCtaUZSqP9F0uOyM8r0C8G8e
Aio7bBhLcYrBsBQifzpvFLMTjoEtnF0WKdDVadCL79p15/1USA+IylB8BZciDtpP+f/IJHpXx78s
R29Gqct3pTZgBdgKMb+dDYNx8VnHPTgOonlxe6P/IKY3Q/5WHpH1Nae2MlOA23Bk4k3GL7mMjb4a
bm0tekVySlMugzcsqu2fx8eZjppVjeuiNI5lZBEi+u75+JAwuwXRorsQ3QFWaUrLZAd5VM/WGvJy
vPV9F8MGyoq53JSVLGz6Tgrybp9oeaSp2ou17i1/OpDDMBO8m02cHuzeML1NTfbSQ5IMQImNhAjj
vSL1NoOISQjEexvH5Qm+vb90Eah94JATPjy8s/vbVkUuaqGph2QqDVE4kFKNAaWh5BD3MS3UsIwI
Vo5tRW8sDGCmVlXpmWukPG5GDpSe9H5IInUjQG/TlUMNVuMhnkhL+fMd/3UoUtq0EXyyalF/PT//
e5XUixDD2xkUfzZZPrlH3ZkfGisPrqyEaG2/EdMXt672E4Sk3Z8//JeXNBscNmiw6/AAcLZeLu6n
eeDgIgvJyfV2wWAb92i7+1sZB+ZlJjg8mG3YvNPb+AX6a/OBrMu8Glz0BeCS3n4gBQYlCenzwDqU
iLUMG+IHZ96NkTrmZWgbTkVqgwsCrIW6AMOWZOQxq45WzkLkGbq4rmbCQN0oVhd24db7YkoaY1vm
VEOKaPY/xl4NM2lS7K+mRK//fLd+qLjfDiqLVz0p5tgcePGfv1hjCE/AJxKkn4zwaxtUzKMoIapU
kYiei5EzL4leS0hsMulL5AghQnnoNmg8UUGg1eh3pDxE75GUxTKW316Wze6HH0tDC+H88pR/eoot
JZOqnkneAGmS487mvYe8BMnUUyLhkX8YSRgmSmwSdbx2ECUSUd21khRN2zuRO4xQDVQV+AHVpS1y
VSsKd0NhTMPF0ATQc+w26d3L2hri94ovv7tw6HkstECLufizC2ckWJBOjImYbOAOqyaAAbDNOhnc
lp4MP5W60dM6hPlC+RCctSB8TQyfO1UCtudVbXfY3nu0wolCZ7ai2O4dunCs2Guby45bic69iz3H
MN+78F9X70VFjwkM6ih7v3MX1lBrL57gv+7Q0UE0iWyhX9zMpyloR3clUCZUu77x2WmVcRdZsXr0
qxx0P6mo16lmYr8zLn9zOcvRlK6h7dhE2JztuLTdc+pgz7+T3oBVG5UMlKgxOVXSVVew6OsCFIZ3
8qshOFWGHq9zssmv+JejZ03ROwL+XzdgLlhHZkcQwGbFknQ+x4lGsQo1ssNJqn1uE3G8Not6uDec
OFzKENaFHWUkXuvGvIxk2z2N4CE2nQMAfu4mBUe3nW8rwEzrQPX5O9v236xAnIB8wc1yectxJn07
WSyib7zWbOZdG/aGc1VRvl4FEsvPrTG2MUoQG4nHB2My9N61jMHc+QYJCZ+TIGIDlENJpiE0epW4
on5GLTnENCQ3fuibE731OS5Os1Xa1Qa1tKZj6oZxtctnsiCOCaeW9271bx48jYVlN0lxhAXg7MtA
w8lsklgE+fbkf5Fi2XIMlf5uTCMjXLWumq9si33E0EePBvfk1m5TebCDUO2znBf7n8fhYmw9X4hY
0nGtmegZ+Dpn41Dy9GJwGWIXy2I+IoQtr0vN09gIKGTIAW0BvAaSEGmGDobSSVNRUuatX4zlLm56
84CihhQ6eJseJ5MIgEgVo1xdZa2br0loJbeN0ELj0XNRrqgiTj83VrOrolR/Saox/ZQXnnz+83f6
zZrPEZYeOO8tpheE97fjpSVbyshaGewABhAtJzL7irz0dheUefYCLAX5ZtbUW4vYYRobYfCaRMMX
HkS9mdUU32sze4+++9tL4oDlssItlbHzGkVadaD16LfsIgpFl61U9WXCeCXvwpk3Vi+mPUgckDu8
la5ZF6bNyCZuZbRCbgGMy5vZBI7x59u0PNm3ryDKdD5NY043i9nw7Mn3ym5GEK9QWydXfpjSIkF8
6VZX7On7bWxUxpOjvOLw5w/9zXij5MtYoy9G5+AXinvmpj0mHM4OcRMh/04S6wB/yNunqhj3Ii6K
C/yCFSkAaXpRE/n+fbCzl9jFrUUmBcKJDCX7lZEHJOdYNnRES8lrA9n3KpsF4o4S6su+KnqxNVIj
P5IhGiKNt9JHXjSXCH1b7527KH4UDX6+jw6PdZnIQC4BLFKoeTvaCB+xllcigetJ0wZrolkwPGnL
9R7TgHCIDVqzBXpHRyLasAjXMA06KziOhVawQiaOnKs80828mgt7qJ9Lq4qijVWmE0wV1ZvW9WTa
BvQrs0cHSnD2uO1pR+zJx20Vdm7km5uslI9uFk8fQ+yUtF7K7LkaTYh+Xdyvm9oty43RCF1vSVBn
957aDWC5kGmCoI/9ccfezRluMwCq1J9jb0jWMnbGzy6pHPUKcb2gqgmpjuQdFQ3bvuoFqn9iOte+
RBK7ccRoBBsiQis2BNLJ82PomFD2rdxo15Nrh3fcOqCZadpmr22X2CkyyRGSZd5HUX/Rs8sJDxaY
aCR6llaKL2h02ZEdQnZHIaf9joZ3AGHKlyOJfJrzDe2BwV8Dm523yFOba4docoD+NTRD8iANQng6
knAggXkunvd0JLSyquzJuCCvsvkYhk4t14hV0fXOxoBCsgrNoFx3SCSvU+ShpPeVsmsPimCVo8pn
JNPQS0n8DCPP2Zp9a98EajLMk6josZEamsdyE0d+Y27ipjDDPc6TWuztTOX33DyWwxY7xYz7MSJn
wvUyvRGV9L4VTVkgJv/zFDszp9JOWdqlpoWxmD4ltqSzsmHdSLA0LOnbQiSCqJis3Bley3xBYHFl
z0VekfCa1zvBS/zkVHZ25Pwoju9cxVKxejMtWFKWYtvS+ObY7Jyd103Cd7AqzuGWeEB9zLMwOpWp
a25zP7mOuqE82pF88BUgrJ61+QIWmnuYIOkBZcPnEGnCmvwuUa9/vqzz0xNfm6tij+OTYwJr/uz0
VDes/s0cIYqbiuE1JzBuPXZee9t3Uf4RSFO1+/Pn/bJ3YYXjpMYL1kImx6eeFfbqDLeQbHsoscEY
XBL4mJ1AMeafMAOQyOk2zI3IKa/BnkRHNRcJRqy4X45ZAuODzATwoz6N52c5tcU9qp30wYVgBQ3a
k1cka7FGgHr0VmTr0dQxlTDfG03coV+eJIdNDKjsmnlV8M58u8AFpNDX2JnBo4kOGn7leK1/bPIG
2pWPQR4l4hTHpxAPodqbuT0/NIy/aOV1eOZ2gysGotd8NeyzYZyrDZp4SfszT6pPiUoHuFNecdRx
mUHpLZVJ2FrGvrsvE6ARsJbIgkvMWj+3pXNhhKgk96E3wJFslGrR+WVVPN7Fhb/AfqxOwoGqvfIj
aZEDC59WOLoo3oENjNCiY4MYIq22VTqG+RYyVDUfI7IH9W0Q4uBZp4XvnpbzdbCxsKy58A1JGjlm
c198qes0qXdpbmXzNuQk8cXr4NEcRpXCqJHwbusNAUK4HGUiZueUziECIuG30+VM6HK1ySKeF0U7
ss+bItePFGHaL3FbSp5kF8Ucp2IsOqdyLklEHHvaegD5bPcaBFbNRDATRBnY2ocXB2qbtXPGNC1Y
0qQY9p1cGkwoXQhApC2GT5AYMTQBOTI38nibIO9WtWWayYr77xI5nSf+cBB1kpcnKG3OdJW2BZCd
cpjr/WAO4ZVlsbRPZj0v99q6D6uADdGEZRG4XZg7X1mA/FvXJd9qrdOk2NhjaQT0G1NrV5iFfaAu
1jw4NrnTh7CaOUvYqZu5K5gW6mYwihrqjbtEw3UBMVYb8L7WJz8xglsF5CtFo15l5pZXEQr7sFTz
I/HV7bCdSQe/NSrdt2za+/6KbKslk97mO1aDLNViwnTTVVh5RrsNO0PiezbgQO/42SBYuTGF4RWm
uDl/wBOaXLPP9+LT6Ef93hNtVD4khoUMmRxh1TzCbujULcHAZb9vHF5MuD5i41uWcnY9RtDNmu00
K0duJUHqT0aE4HUXNGVprKvCatWOank+Yil3qJLpJGkvwEZO1ZZ8Velxns9iBBKVCvD3JTIYmluc
FPhE7WQqn4KU6tLl6HMTNl4IZxELbAo9k4M+7u3W8fW+TtOhvyTMTfCTWda1VPWiClaMkfjprprr
/L7kNdtv7DIhbgUXRHmrhJaLnL4DM2+OGCfxGTB0raHzoqsS+2S6DecxuS+xDDqrtPPJB7OUPdcP
pGRItHXMzeGYtNBFVhaQN2M/loTmrRyfOKCVA5o4vZwnL9RbJjieAYwCY76fLZi5eyH7fjNQ0C9e
M7eGEGkOZuycihq93ZrqqN8csAQAQxKJ0dlrK2kE5EUqnQ4yvzrr1gMF2fmGoUeMfTE4E3acOG93
pGxN+Mn8FiGVEn59IJmzYVHn1MIhbwg+D5YDZrUQ4biJ8che8iAVffasG49dZhikTxAB/IAXR3i3
LCj9tCm1GCPcCksrZqAL+pgvNq0883GPRxHRaete8N68qoWbFSsnYiu7E04bzpt5igErT3AqHfwd
qs7XuZULdNfOFDwUqnPEqSTN+gGYxfDNbTuoeg0xb8T92phrd9YARvdQhA5dNoPqo1o17dx+cuDz
YZrFMtBse1WLkhTHvCKXPYxQ/GszEMPRtFISFoehTZ4zLN+vA7K2ZycjixQPqavxLrjIAi6avIQR
2BWD726jqSzZMne9KtcOdheMLl6Rfgkrc9B4DCv1LGn3tnvEG/iYshGr9KaPSH7e55VHcqrII53d
xowYyNX4DvQdKRsOdQxdsmMcrSxR29Qbx4smyPKvqfANgpuDyk2ROrizc2fqWp8GJ2THlzuzGOi2
tUpexU4afzaKDBWP1SWsE4u9gmDyWrR627gSVrKKPLWKgG4zgWQxBJuo1/hh3dzXd2bT6adZAZ1c
K0B56VXQpKreauoFOKJt5Xzn7rrlRcEBywLWHTvPxuQYDWBBZ74cBqVebbtVlJvnnuRZ29PaPIIZ
IeV9xnkg7yM3MMINcYyDtR9Hpv5+ZEfcb9N8jJ66ti4wM9C1s48yCsejAQEbHDRpwA+KOoBY2ZLA
wKsxMVTHoHRltssNMfSrKJjByDUeiW0s9QD8ARvznoF2oDXmtFji7bBtjau59cd4Y7uVu8kyo4kO
iSZweQWe3Tc3TukzgGO15Ji2VlGeDHanEPmKlntfzsBHJwuH0grAlPWYeZVK/g9lZ7IjKbJ22ydC
ojeYAt5Hn11kTlB2hdEYPRjY09/lZ/RXnqMq3UFJpVJlhgcOxtfsvfYHPD28ypdGx+O1k4uZzy21
KRXbvHzs46a/sX4uXveaZ/Swh5XzUksVvq+z6LZTbdv78rhjffwAoVrKw6RIEn6GYqtD/GfCrZJ6
8jliJXYQWNQDLlD2eaUW2VyPktoPNzaSqMFGmVFhFL3KUCjNO7p0v8hluVtaTVziAyT4Ij90QTO/
6VUQjYs/jcBnVHjNyKG/OeLgbF4fvbI72DqII338W1YR1yVyB0aUzIf7KbGwYUPzlw5/SzB3/WVb
g+1m1pW8MJKHsfaOpuAtOFMRuOgaRzI9tSoZvsULs+9dI6nLaj1Ak6xAdHfHmf/knZvVX2NAkBXw
aLcdOjDnsvm899h7b5q5934ZI9Hsae0qrTJNaXot54ZaJ2p8YNp5aFB/WKT/AIP+D/aey/pUIy5E
vqw8l+KHEutGvBqt2lqJRWamwbuLlz90bl1oGVafxbRtD30fsZs1zbgc+xLcKUR6BsxXzIO8CFs2
IVQFJQMvbzLhG7KjeU3DoLHjj6qR2n5SrM3kbSmW8Afatbhn5e3Cw8SM1FbMIoqRiDRII98lseMS
OLvHT6PLN1+FhSX6sK4xMfZRZ6YA1LSe5tTzTIOrEDTrW7WHZj7ghdl+LZuwvwuneS14Wvhcw+Ls
WLYMA6YF6MophFizJHZne6/5btwlvU+5kfSxgXIerQoGYhIWNYEHrcW8XMQ4hfgZsa3O9Yo3GO1N
Zw0EsUETVgO0YlwJUXSdobta56ptuDa2o4pPoEl5kTCJW87an2QBk7JFcuAy1VKp03e4IqsZVcuF
mcx26brCnd8MMHYrEWbwfwvMhs6Rms+yX401ii7leSf+RnlyfsWDM985nRN3KiUF1VFryDJOpok8
bzp1Q1g22SU4Wk3vzxkyVdVmG0rY9dzarViPnBqw28ZmDYHFx3HppmR8zNE51wCH03zx/Ndh8PSY
8Pmt8xzoYUkxk7TJFmrNeL3piVrKgz7yL3jxnIJPMVosBKPZOi9jZObvDD7txw7fs5WAbbHJoYyI
wnsBG7zkJxsTGWtNx6vtZAochQ20L1vaamJMj2VnbeYUNeXMAGKaZHCCBhsqyAJhWF34BeHidEvl
XhCg5eZx0LuWzz7ZuiOyPseyT/XuOn8xdPL0lXwYolV9u7cOa+MrEO3zxoJSTXH72S/tGTIMVCXF
M1p632u6DkyN5DijfNsaMz5pi3w5cNx+MZz9qSaaKx8c0WU87B3Ef4yM5D2l3q6wjctQNt8LR4lP
TRxBrXTDJQSt4MNNgnMycaazRyMRIQRY/bUmlzV66fu2Go99XnMORX0l13M5LGHxbrMqg9ehW0ko
snKHGyc4cxgh3e1JRyqurx6ZD6jbWBGaVGxk3R9rUzhBEhdm0Q+Vz4P64BnGHM+698vmUipSWw8u
m4YXOQxUGLLHnp1AwO3Ya5eR1A8yXnx5IyBUw02R6JtO3bSEFBgTzPahwwGVlZ6n3rjlUbSUSGLR
XAEspgkrB787Ot3e3ByXRjNbgz0UB1/0+oEoDpoI3sGO81hoeyUAHm3K9xnIRnAA8Nv9qvKGoJgK
NPglbx28FrgyQv9sk7v6NniD252lj2DsQMOSO2dJdFCbsF4pzN2i5kG0nzWfZAMfoQktrMwPuyRp
Bnu3LK7oTTHBbX3FJbQGXtlaLREAEBROZD14rWUdSlbAB+3sJfXOXAy/C/9OaNgaSxMAYIXeOXeN
+uHBnAoPm8b4fMznriKGyFLD722kfrt0ZbN0p0C2ZEJvw7bi1gUM2x9ILiwUvl4o/UkLqqo7Rjj9
En8aJj9d63yy3lQ7m+Vam7suNlD++PH+NECLUgGGQ9J8+s/sK4cPZPoQmxOQYgUvrdo0+Vcq2uy0
KWjFSI8oqympHb8M0mry5tPcAYQ/zBJloHac4i8N0L2+DctQ4yT0PO86N0KFB9vv+/JqEXKpj2Su
B37mRyhAQk4uN4NE3aJYm63lpdBkSx1nZbffnWqqIaaUMN1unL3zK+EMIej5SgW/hnuQdAG+w7M/
4M1Tt3Iu2jNz7hZn6uB0LCA9G5dsYHC1b1TeJCSN25GoBx19jGe0fllkevYVE2kM7oGJPuzRcNvJ
5J0ADI+n0upJR4E3ZD6uBUCnCxul/AGk/BimlesAu5HIYKej4wz0s6SoNNEhrBaxJmVsRHUsC+6H
LI9a+X0R/RCkkTOSH7bhJkcu6vJLKxER4JFHrv+rBJ/+efHVSmJn0W8fmNvJt3Ho7J/cFTWoEiqk
NgEE1ZsLpfwsn4oe/2BG+FTza4Ikfia2idDsPbTupuRddnvmCz1tr6RtCTtzXayxaaGk6tLAGRz3
hOUBxnRNAScepGnd6AGENh8HExMx90BwmBmM4C/alOgXnIf4qMX0TKR23Ke8DqqVymN3gmxjbAdJ
HHhwZlYTcU6UhJxbCZkEuXqhCqofyHO2lgeJVfocU8e5jx5wqYXqWcXlC0m7M2kLq7VuCdlL+m2w
SV1IPL+Y9lPHq0V8YsvTjocYNSLGjIJsgoNXbIP33Nd7cNqqpffQK+ZxeeaJib966EAPOXJyXgIU
LeYSu3XABN214hC8P3yXTxKYURK7TdFTYipxlfE+4gwfSCVNx/0OqKa8drqrL8dSZCMKEo4nFnng
rDcTMRZmCkTq7+o/TR3Em7QqUSalXeUZffQnIkbsXdrfIftHVnoPkr2iPLI10KWu8VOGDuXDfSyF
YViXzg55yG3CNyKbnEPjhBq1Su9y6gein+ZbYOdrh+VyzNlIERnQZb509I1sGjMe/G5xmqNsm/vY
FxllKDC/rFDM+R/Jk0HvV0I2HuuI8PSG2TNw92of6gsx63FzC/rYZk4etwsT5zLPX+FMWdExlzq4
jFqMc1bl+fqNJGnCMwY2/nu2sAoYnmUXN93HeFis+AlvNrmLzKoFw3YE2LwmI/11jFveVhRZlA3w
5kXWSjIhaDebFdRcL/L2JbKomC8jUcDuRex+g3V0b3mnDPcstPNm7mem1QwdoXIxDfMlqpdglEmo
JvvzRi+7H2ZN6UNkUt+bY1/V4NCBseTfIRpwDm6KfoqdA8r7zIry6gMvmTA8s3t2lzO3lU2YKqGt
280KSs9+5iqLH9JqwzwN87yCLDX0G/baDccHcWnG+akcpvJpY+9mfc37vJSHNmi39lw1ZXASdedV
F7Ppe5M4zc218tsajjuLE4gbxtneSx0Tfb0RsMt7EGpIkZLJS4A8UR9xqlumB8SSoH/JSuGPX0wo
S+AiHr9ysk0DZ0NHdt54WlDWyuOISI53U7At89O8GFTvCGsI53Y7q3zcxAqGgndsNFzESDv83DZ2
/Xnr6uq7t9aBSibPt4srB66J4YYpj6UwFguqx7oKX+O839OW7ZBDjGBjPbv2MuRk3Tpj89a7s/7Q
W6aaDi6JhpdOcf5nIzSumkCtxsVfn/sQ3NuleSQqKufeirbmwVYjHXs+rL1/DfgTX2dWpWXSS+3/
iBn1FQdVQct59Ek1QYDXl8WeSjzgzI1NbRjTMZfcbnG8+ea1h0UBCb3FoJJOjOLftRLVeOOO1JzE
FoE1X71pVO/OLllFtjyc/nNpVWRq5fO+6ItTdN0j4CsVfR5n4hoIaJTjtWnr3qEcHECDxevEEDAk
WQI6B+rQ5jStPaaXbeqa36sIycQCGlL9RUfftae+r03+FGw7y9e2096PFXz8iKDdiZ5kzF+b8NHc
6ASyjM8Dz7qGYAg66hXtnz+emBnBMRAQyDPUB9p+dIwd7VnpFlTgnrC815YpD1QRXcS/UcEt7qHQ
qrLPYPnYCq6raF5kH+wTAwquJC2hXqh0zRLTOLXrbVSG6JZGgOk+LHucw/1w9kEnFr8RnKKuhnKV
D+jCEnbeU5c0pVC/kdiYS9QQYsFUEAFLk0eYzwhrzyw6rT2puql9301du/RLe5m/GNm7XyuIRvco
rgmFGpRCWDVLruaN1h5XB1WWNU1XaU9+mfXh9BdDbi1eY6/cxmMQaWt883gtkbeFMKQ9jkZgX3V0
7mF+ndjAX+3FuKDvwiXa0tiKlHz0Wr2NGfCBwsqskt6G3D1fX8gdiWUmOuAQh5WcKpNstOkfpp1J
xjWah01deznYj7PXlR+019OKTdFe0eh0xPXM4CZPoztGNTmRpARle9BYTA37dcszv6jpH+ln5EvR
C+UmPXSbMWGAIR6xDZfDlcV0OB2lZ7f6qY9HMT7ZYg+CpFl24lw2Z6jn77BbAEvtkR5PnUQj3vS2
9U2FPDdILTX4u53MI2Yhff+IKnWPLzmC1IpawQIEEa9V02VT04xE3wTz6t+nFSJKGeuZ4DQgtBbP
dlvjv5lNtxO7KLY9/ML0Eq724HWKIUuphuHMb1z1yY52EaQ2Dqv1OjRWYH2ocs8219l1lvJcNnUY
X0S1wlArwKkxfCinyHoop3Uk+kFrvSc5R5m5rSS2//b6YKXGxqM6UEOoxT1Ze3fPSrRiBTS7H6R9
oaKcmaMad3zW1EvOWSuXVIfeiam+Y4ae07dhQjPzpBtPN9cNMM67X1fiBzpgV6aynaV9CpvB+Zh7
Y/G6Eg0BImG0J5qFsa72G/bOmQSQwgvgHPE2Twa7R7a1D520U0e1y/4QUOd9MXbIS0kXXuVmU9BF
7JVDw284T9KvSWMbp6+xGaIvot3u4vic2VOmaAXhhjvTfqipg390tZI/bPIYvuVrNe1krQEESq1Q
lb8Y7i0XXy+OOI52DkyiiwdTJzKulg8YhQonodQj0EbzzTDsleQT3WkZoI4InJxSfwjGi1s54stQ
2+ZXXULWvEx9ACiwqEEbHnme+/BUlMzGWT7N3nYe6lqLWxff556MhLV8JDOc80lslUNPLIaqC7+x
q93zB7pFXyVx5SyEhrR1G731aJA8Gjuxrb9Ddych0y2LmIwC7SNUrbj/vBczUIOktUeSXUbxNvlH
oErN41Sv7PtYB9ffu1jyJgl22RJT7gvAXjoCz2O80UvuVpATl4AfMzg5Lb0LhIj6so8xJFT5Po1J
y1fSPEkR6u5Ipkv0bd1wUrzgDCLj1RJrLW6UjuSjDhy1o9+W1nFgrqYxzw95TgqvXNWv3p0CiZkd
jtmvvZsXBD1a7VVixoJIBORR9PF7q+4h9x1Yo0fJoOoVvGXYsxND35HGrD2++MNQ7g+gzpb4vFFa
ZbyYeA9oJmv+D8Vt+pl0maU/2F7VnOMKhPC1XGbW+V5ZuB6jXH9xs7oCdvfXFsDkTTVyzP4IWSkk
Jw2uiDQp83A/R5w06nPZsRzLNDL3X3TPFem0EOkAxZCfkvQWIKCsRJ1of2ihzJRPBlNfxaMb9+ey
9EX4QAYXEqVtYEAPgKXu4tRv7knNBH4NbxOJFntyR18PaSn7KDp0c+VClCxzAMqL3EjkBeXHjZtH
nlqAaXIBEidfNS5Y1NHiYKvBu1qqAAFV2iGB4hzTYxbspFydKmWjM7VRSYqs6lh3pzn+1epdj0a6
dJiFl39i39Y9ow6Zg0Qu41zflrUHG0OQEOyEZq7jZ2xiISVGEbrAdeZiJP0WvnVS4RL+GWFdiol1
3PxzDaHpix44rpJemRqkj7XlOW2Wy1HGLNnGj4eC462Q7JgTen/vYpEC1qUYRb0wXSaveCpnNVbH
dZ9mfeIq8ZLZc6eFPkruVchjFTGNA5/WT5d83VbIl8BmvXQKa3QteikXpL7+HoYZs0KrYi2EBJ6g
uLJbMhOOzOJWZxtUCp2mpLMYVfeKu9FRR88yq/i+OeH0ceDAe6dgWmCr7SSYsyCaPfI7g24C/7SZ
z7scIueK/lfWrBDAPKB89Wzr4PVCkte39FJlc19HzjkoTfeTsQLXCm7p/XGayZDKGrfs9UmpJjqR
SKmH1G7GJj7N6JZpn7qyIH15yrfPkxLdz3wKNPtTlpRkEeUiP2v0xGPa0tRBi47EWGWejvzbOvSG
zavFfAxQoAWrqBeTDE887Yt/ozjFVzetQfibzmcgSSHau4AGo9HRFcMVkpEc8j/wt3UkpVdVBdKX
zVmqA1uk6D4GdZ3nhmoR+niJjJkVIrTFkaHy+Gij1b5zFZ1CJk3c70ciPCEmbvwvr0o5K5FeXVPL
C+RP+WCLcpUPQRmPv7faB7e+roRQX6nXGsYU2O+PNefvcmyVjKqzWpnXMEljbZpJo3X7LIWNLqnj
9wxPAAdD/xgBiD2xMyjHB9aFzAXbPXf/qora4/OIZgs+NKOXl8c8BIRE16ogaJaQ1ObE8phXp6O1
53YW0qN6SblHDF5IivNooaAUHIZl44qrLciv09bbxWEaQvsbeBBCtJgzbuu/SdX+h+4BcMnd7UFc
CN7OuxT6/2i0i9qmRXOW+ACVujtNzFCyeQ2Wq22VK37BrvhV2PA2D8YR05FBh3PcupDuejGg6cIo
J7XKuNfFmPBcd2OTtussP/U8s5TtRfHVsZvg4E+ETSUKWuWnfxae/KnT5mWDqe6ec+Ii4LfDP0Qb
jdqbkASv7dhh90wa0h0vUoiYNc4KtHlqWJq04No6gkrrf5GMCO9PwYjwUYnQRjlsg/n3P342SykT
+XVnjmvgTs9LgCQtn33HTdomtptjyBsLWF/Ftrs6TXmk82wMieY8KaE974iZAWRD6apwOo99awco
2yNG+TTVSOL0VPscO5TW5Y0XXfE6aaU/VsLV5skpK4CKVKm6pnTvESxvTr7k7C9CVVDeMZI7+HDF
xqNc8yhKXJY9LFRYygQHUkJV/1Q0u/xSEpiLJ3sw5WWzVuTg+zDrTyVmbC9tzfzLQ75EAPTUfkH0
uryw2BgPdlRtBTKWlRTUYppF2CZISeee3oxLzZcUlq8UJmb4Lqs8jDJ7ZuuW4FqovpvNkCSQUGJb
7TtDZpzgkx9YcD+Drv6lTIse3dk9+2VZc2QurGur9U0WIyEHjo/MihM6774FW4TDeOq09Q2lCmpy
u5D+wujaB0Jq82AzwPbqHMTlOgxfqxCGxb8p7P9L8XX/2kPoIncgxN3G+PfnxWe2uytPYOdsrPnI
GRslNfaji8vlP3hz42RamPXHGNdf13Aof/u5Ese2MI/E7rBeVv76rEs+8z8/CP8lvcUJ7sIfwvTv
gxJBc//3jyUZkbiMCrcjopP+iZeZ/Tkm/u3kA2P5AJt9OpEIyz6RHMACwH/ufQ5CnaceIt0UlhaE
Z1cr71/kcX+Kb/lQPBpcozsx3gYl8vcPNbv9sNiY8o9W0xfXMe6We38wVBfJoZhoWs1LgMLm31wH
9yfvb6I8gAuYNlCj4X6NCK74+48NxUzh5LO8mnqG2OU4UXnW/viEdh75CP5mNmb0zB/AlpfXwV+/
8Ne0z03UmnMRCvs4Wk78EtT2dDBjTa30z1/V//p04DzuOEmM9PafN5CD+Llm6+kcOWGfNTxroPG1
Gh57t1nWfxG+/5erkmoPThtsLLJwuD3+JARIlsqSWG0ObWv2fyzT4BPo1+wkOqx2+cvdqdWGEixj
6ff7YwukPYuaXrCNzs3h//fXFmCKsHeikrQFWIq/fylkEPaaNNntCEp/fqtp2BM5lXEMotZUv/75
Z/33a4FEGpaJNrJMzMZ/Hs3MIhfUFNIcPdHTjgvkoCCvPXaAwH0jDp5avi8Rff5CMfAvP/u/tJco
8uP7FUcIiVNf/HE+TFuUs2Xinl/A8L1pxcA/clflJaC8poMTCOi4//zbuu6f9zveeSbYLhYrXA72
n49ZT+NiwV7PDxjykKpEAI0kh5LdHWZPUdN75bJeliK0V8R+9dClc+t0J8ZWNPa0RPaljXwqEs1I
b/lhWzWAUaDJzCNrCoF7ACS36yGnSszAUdPslf48TtfArAPQBNOxR/nnX8j58xoG96gxIUBOovHm
pvlDvzrXG3fRIGnbkTb/oN8xbUKOXPCR47+9DUWgvw7RgKpS7ZxpSsgWhVjMDGO8G2J5/QbJ4gFu
J87TflwWy/u2iaJ6+OdP+b8+5L3wwJ/IP2i7/7ih0YMrxVr7tHSdcI57Uy77J7uzRJna8+ZMV8xu
y/z9n3/ofz3QXBpuUXh26LbdCB/7338qciV7BL/dnfpuGS7Me3oqMz94o0bLD4YF+aMX5ut53FmW
JLq9N4xaeMWZ5fO/2fv+Y0b+v+csCYaAqzhf7jZR7D5/VECF5ZadzbrplDs2croONeCtmyb3MagL
Ix760FXlzdDz1U88EblzwnFXictI74R3WLC0SGJc8F6GczFeHxC4srNAMzY6t7Un3ivdwZujoxsn
jnGrnoIn9imNOYZeNJHy4XKcJV0hbXl2J8jqcYlgg1jviWFxT2rs+KgQNYhr7XPOXSundvOHwDBW
yybNVCcxvoaHUDKPc1kreGTh0ICajoKWHusBsf30HoCO2b8WprKr525sGeNu025u/VrG4c3zR997
cmeES+Qq2+FDwa3WpP4i8d911kJjjPw2/CTwdOeZjlWgX5CyyS1laIkTYsT4evqX2+PPoyDkdWvf
DRpY+CmJ/zxl92ZumTJuNhEP7KxgCsRwAJl2YisrbAHByhvw+hEGZBNlnoPyIhgOsjQ573m5NDfo
0BqNz2CP67+UAn++9TiHXVCyIdGlfC7ARH+/b7F12nf8834yzSyzeS56jKg1T2txd6b+i/2MF+kf
R+I9qCZglx3S2lB/iD9sP91eWWoK5+KEUk0Md8GX0z3n3VD/pTyr3w8eJgikWxVqsNcFuOfneInK
6LowFiye9xUDyqleisD+VkQL/fYWIC56Zeomn2KFjC4tYji0txoNkvO1s9pm+zjIcmgOA2Xyduj7
abQPQcRmIwu0Tbk/kdO9PkK778G5t/+54B3Qrydj58WaLlz96iA2XTSnvNaWW/DHALp+JmF928/T
5Dfmk3CQeyd6gJKZ+ABMnHNcx+3Jt7CwZfd16HvskDAydzlTlMIRgOsKpnL32G6C2Q9w2dQ3VxXO
yXbCPLwSrILqFlNWbqdgfocCYz0EE2p/b3pGsj0GrMuprU4swMjAJbF8CVk/Fct0WDxrzT9NLOlP
IdN24mt21f3cPHttj2iORqLVZT98jEf43+kwWMtffUfWcG9i3fzk3cHER8Xeot5ZzrgDuN/S+bhv
ZZWnlEPe+AUkc3EhQ3xTF38J1jev60MKkzzvyDgR+fbL42TliCf3K0i9elk+Rl4b6wup54GXsZWe
3u+vrDgZUJTKNKi0MyadL6MmCaPG+8tpXFCuXTnvv1tUkx+8ph7Fr7qOkJ9bciBC6h5rUFc4uXVR
ECblVKweuFkedgaSNRkZegsTEeElPSCvaQYEV/ly9IVqWaeOG3NFVj50MUh9lnvcYWlDS6tVTW6a
1w3kPIE38HiZcsXxq0RVcQppWE1qO0v7NdqY/iYC9CbzLBKIv/GCNN29bJNWdeo2ERzcCqnNuSC/
wv2MWRaHsUvszNV3RrIVVstEB3R8pMchwmWhL5eqj84NdCOVBTKafm/VyppROeB6YYCu2JIRvLFt
QKg2E0fFC0getwLKVmLR/3Zn5hKivcmlL24aVuJwZbIuMGCVQm5J58nyx1y1VY+1WMN8c5xSqbQe
nY6dxWpIdOfM5muQbeAjHSaP283YVhYvbonYnblO0NSZ5WlWiJYK9j71wkl9sJE2B6R1b+UtWmsf
u8AQBr9N5TLex4kS9SSw5/szGS7sdDuO1eiZyTjCl8JYL1snxu90/2F8n0zt3AFq+uHXhmQHyih6
HYHDPCX3j/T33SfPiX2wXEEcrU6cuq2ifNIyd4tDNXrlNXRqpwaZuyKvs1T7MQ6r/dIiG/iFhmS4
hMTOswV269o/9h58lEvr8Q0CLGnQWOKLifrMoo815MJ3e5SwH/QeSjeIeUuvLcLfOZh6lDn4YSm+
YSlcV2uQnxnHLuNjMffbm+00Aoal6p0HJJzWmO2zGNoHBpfwIYURIn/TrpHxrVqnKshQsnCTRqNx
v7aOzURtKjEMJgzUuNwtMkU8ZE5hb9lIGbsdwnrbWFlBphtZcef1i9U0cj/vG6MthGuVOyPqYtKB
ZQdfQtIE+czVCEyJsCguOIWIDoK5nvvTQ9uXO1FCnig9JtFW+4pKf3j3GZKJpDNB8FauWzimXlR0
N3N3yyc2JYKXiRqtSDJstf6i2f531yhaCclA+v+uls606b5brcnavirITKyi5h3ynk1UVGf8IjWs
YlSKIaqC4RTLA08FIwHdu7BknLb82tQYXM6xGsqvmBaxzORxoYeT25j+c1GhAwTSJjZOPnaILXdF
w73NXx99AvlcFqyB8uoLYSvY8pB1b83BoPQ5mmpTw0GoesBRR8ROfmxlVRrUlW61v86+IsIxb0L/
pe0LVhytL7u3KQ8DNxvt9i4HMWij0/sGh1gJIDQl83vX/9nX1O2HVRnRXxx/Nu86lJQh3sSdWkLv
Cr80CPCRlyBRqjJG+LgQ3ZnoOJDpLjDGvd8LAgo9ok1yRqGps8UBiS+1Rxx7LxDgSjsYfoaSoBKU
ByVgD0Ty4lXXG8dPK+f8m1JiFOkCkojjJ4oRNs46wFOyV+aTgeSlks0f3Q/UbW2VhiuTiAtksLt+
PcaflJpg7DJAxo3F+Mq1yFWyfatNpGuL5sauaftcbexIOce3TRIRO9W/Rm2c18buBnkOW4ibHFjW
QsTjljvBF4e9Crm6I1SgK7wFCx9lSAL6xE7ti1O3uPJX9HskvkAGyuydVU/ROFv/Zeylu2Zj1KJC
55hix+zDIITnQcKheRlauzhaMUKllNz0sjzvM6VSgnDbsY9W7ymaU7YARNGs2Pq0t0Xh8Y7mD49V
5xDsJye3+43DbUL/QjqVg9a1W3LUNaTTIEEUByxL132Et4CbcsEJRjjmdp9hd8PPiNWrzcjXJUqS
XM1AnNfQy/2P/RR5G/rqZXVeNtdE4ac85NZL8fryUgPdxGyL+KchEQFwpKyq8uLNrTDv4PheiYWh
epg4yLFmJTEiNq7IzOhT9PfgjGYd7ad4Qu+TcWmXb95eW3mT1IW1imPJKcGf0U4M866wmsMoNryg
9uaSnlTFA8lia2k15U0q3/nk6D1WF8b2+L0Y188/a3RZLV6LIbdfI1v5B7EA8snQHskRyZdTtYnT
D19m+Pz+QbaI146OkJ1i4Q34Cj1rfXd0xIrlWVMUbzWn8k+03lXJRQR2cdIkUv1ArtuWxPVsy2ch
7fxn4Jh4O+d8pQdZq/57TaNIlnqput+iiBD1jTyZKu0L9FZYFDq1ZANe4pbDqWYWpklEsdF48O7C
dxHMJl0xci6J1sN2E7Q87IAds+qzZY1geGZaYHpiAF5PbgOe5xN43pyNrbUN4jiTk/lhritVHEO/
4hxrQm/iz9tx80mYXZNLXcXmYe1IzjoC/2kvDVHKJK+Aaz2Ncwtve+iCkMAf2JGpHWFwOObGxyO5
lRHWvmhzkTpb1VyB4u3n3bxi3uuBDE6j32RrufkqG2u1s10n14IIVMCJv7axGKKEeCPXJ8umFiP3
+cRQ39gCLecccR/ERf/BUZVLIg9Cx09rvzeGijHwU+XeJ0SS56xMi71nCa6qebMOPqOzljy5YRuO
3Ck8QYVHy6dqs68PrHOG7wCtcBo4m70GzxZLZULXyt15MgjoOHqM029Z2zqlfCBUahmTsDH5NyKr
g98Dx0mQrITkdLd2X90XzG8seDA7z3V4s1qv3bKqH4jYigDJi6xWHNYPcDB64pLYfvYH3gelf3C1
4+dPPPQmQie3bod45tB6tNi8P273jB6AxWUQfvC7wsLgI4F3XqOWLym7t9KIR4itVKlnIyQ7EgIX
PFAlmz2La9tHfVN10btVbNLmcEL4kLSAYKKzJDYPx+9eGotyA/jPYbdQ87aJYF0TP8mcPiJzXMdE
6aZJjSNHLNy6JPJIGTlQVZOwRoGeT0smuwWfP6gHJ6tcNA0H9JG9la1bQ6FY2JhT3nuEI8GxWbvB
4bVlWV42uf78CELaUlfFQPO7sReXMfAylD/zkO86xU2zzA+dgyz2NiivCZ9BHIXrX1OQr+uhRra/
XtrK+K9WVfrBiYpq4tRH0EZ6+I7iQx0obeKvjvTb8yZLm0g+FGJ4miYgNy/lJCNWEKvb2gfB0EId
KsvCzeYH1Vw8lIS4VW9NqKV9DDm91ouOmkJ+FJgv7/bH3isOZV3Z6rk0qEge1bCFzRE3SKHfnbXo
accn8ttaNM+gfkQj8/XEEq8r3hpw2NgBhtVzFpY+4bT/P+rObEduJM3SrzKo62KCu5GDqb4gfffY
pVgUN0RESDLuNO5GPv18ntM9k1I2JDQwN31XVcgsD6eTxn855zs736+SHEWhJipppgvHZon00qLq
b9GmINw35jt4rB2DrTJv7uXQI1sX8O3m2JnZXV3JmXnps5u6zT1iR7zta4o0gPIyq17MhWjh/jeT
rr/PkKj0Ua9YgfCdEGrGj11xLUkMs+mp9gjUmhugD68Kwx4Afo3JXmX6dzDey+DsrxMbSCHsCeCG
BAA6IGz9NBkPab7LeVlGwniK6al3sizmTZA/zOkw7thWJGMc1vMLXJnxmnr3dz7x/+zjGQAAE2N0
xKTyp687Bj4T5o6thJnNiJbGxgBp0btu93iJvnoKrV5+L4cGvVST9VeGY3z/9Xjk58+/bGyYjyDe
5kIwn71MT/6y62R8SvAq5qg945omiHBsMYWhHjsiehq2UDva7Ro000WDh4ae2vJ3ccw/jyUuUxD2
MxQ7FlNp2/3pAiiqCROoOxn0hGrC7bDlicAp8znkq18F/jh98XgX/2by/jdUwuVTGQWBB/NZV1Lm
//i1JVY8IllT0PJG8cTGJjuRGDnENtLUbGPmmBpkHgTn3AKmUSLzfgAlUf1m/vO3Sw/1zvsTSwCy
+BKn8+PfEJCdpVAEuPuUMrQ5eT4Qt7M5j9McAzxs13MLKap+SFu3+1qF0rwFoTL0u1///n8Ojv96
/1NUATEBVcAe1mdI9tOVgMNSN5aFLFwoAtO3WeqKd7NTMyGSXjtPD6hWbBF3TFO8iyVu+G5TiGe7
EjbTcD3kBDFek8NnG3dFHTb993lQJZ7fzBfyLF1RrAcqgGWKpnAA+DKptdwmiSLQS5opciQ39Tlv
jY5gj6JFFRMbg1Wa51UHI/LyNm3mHZG+fnLIYVdVj7gt3OblEg9n3wT5iM+CCO9RHhgBKzgXPjSq
QynGmXwykmzH3dgQ3o1jHINhpA23Nmf8wV7zzN59sbbjaFdfcYqaA0mTaAZjBSfsM9N3i24HSEp5
LiqdeL8Zkv9tLyks9srwYjwHFI4nnJ+uuIlydhHFjJEMivNGI4zZJU1AVnZrk0iKDuTKKxt9Gpuq
iRqK61vg8d6+UJfV+bhkcWOq5vDru8D6223AHoz9WwDokkgjZgM/nQPDqmppgJ3bhX0A1mnGWGac
hhpd3NNARJ+Nv3XCCIl4so2lE671dhQURjcd4zIekRo06JMmkKI7ompbzD3iHauN3ImZx1es1P1T
gEteHpaEedF2ro32iyDVAYmn1t4LEWUBsXiLaJ+Nvivzk86R/ZZwcdudrMw1ORDIVZrR2NqAX7Vd
o80Ai4HgpUoWSkPJ1G9bZolCLDgWkzjjziARkuGH597PTq7VrnSByX4KBl+2R6rOwWSH06TuDl/7
bESDkQdXBbhDspl5RJ7tdu1K1L2t7piVj0n9RVmCNIxlcEcaXXgd3a7JmZ5EIc43OuSJyVNsDYOH
5MKyh/xuoU4VJ7of9t1wptd8SwB3N976dkesZl233YObo8zHtGBNy9GH++M/kaWdv0ojd9BOIc/w
HyU/FOmJjfPWG96ozr1m+rJNU/Bs6F7J79vVK9sVZNE9YtzUbtZ1V6Iuy27moZvpj/s1+OxO7uLF
hZLrQ8+DVccNzBB/k1MapLsqMRiqCY9gNdq5McQynONKQMvALow1YTjdeFMeNhuoDAzMwUF2W36F
NdlgKVyKXe8F45sqpUssB4SVk7YkStgxzfsdSYy5H1PE8RXSMfURMM3gOdEHEOUWJpVlbHso8tnt
lEO0OTVmxW1O9CxxgETxNPMHeFO0+kTdraCYgasOkHjYgxnOlexIlAc/1Bt8lvTLPaLVYLlTRW+S
fGmI/oWOjDoY5QtCuL6wU30r+7D1H6yxKU9omSzk4oFfprh0snGP5qmxdolVyHRfG9ryzhj/+NIZ
TLjsBn5B8oKzHeR5WARuB4EB+FTVWck3Nx2wP5XLjF5sBtJ4Iipb9KfF6FAyGX49P1VFP4qIQbA5
/uYl9nOlBM+Qste7ZN1cslKcn6QEAM6VmWarBKYFC0/qsLtfO0JdqGbWY82N9l9c414+jzLhwvDi
97DET+8ratFxnGw+z6kM5xO44g+wPchOEZy8p143v//6TPrbDpfPg4wdhICNkC2AXP3x/SiMUJUw
YTC/CQ+bjOj0bSrDXYft8UteAZKBYTWV5zGcmijMZteKhtDWe1btwRfbl2+FMGv6Y5+YylVAlAUV
TThUncxZsgkRysWUQ81Voab6KsUFjb00c59//R1+3rpfvgLfwLYDNi9WYP50qtKeJelYANmTGsoL
FgNrJ7BBbcg0Z+QqbfhnJlPAqxEvwv7XH21f1p5/fbEjxyGHgZAjFv8h6LWflrFNMyKLHBN/V2cY
bFAvFvBw+7nGMJaY3hje1PaEewi1MUrX3if3/GDM+fqih9YbN/YA9DumZgTk1NNi48tzRvtAj4mh
AdrW+uGXPveavzKXwNhJDxPj5gnTXeCNaJllaxnXKhMhlBzGT1P062/3t3ufHQDXFtEIRxDpcz+9
Q416SmTdTAoz8pJvfMY93yXR1RvLwleK/NzIN7/+QOeyjfvxcgIWhFmPCI2CkZL5x7tRghaENiTb
/byYDL0TSbpMMFZA6TBa8iJwuzk7C6YR1d6WnW9HOXWVs0kdrtvWHLJiid3GxFUCjCNkreN31VPd
l+6AACHDKUA7hu1YpKQN43JeIFRUo36UdpvJI0oiZvVZk8YlTbF5wLxX0bKSmXYskHB8KJrD7XxZ
HnP69k9/fvP/UjzZrfpWfxq6b9+G6zf13yJajDbuF9Fi47ePDJnBtz8T/45f//UPzrP/CBaz3T8s
pFJIc2gSOH0uKob5Wz/86x+W+Qf5CBTqHLnoSwif+L/BYn74h+nxrofWTjfCMpcbsoftmP7rH573
B+x4geILCZaDLuK/FCz2U+dCh2g7HPbCC4ldZHbwp1DkLw1bW7Fd0yWj/zz0WrK7GgfPo7YViwyV
eWQD+7DYP+wmJUrXV2FRwHkZiyd8A95vGaI/HjGXv8Xn7OWUAQrMsvrPSvcvf0vXZmWbSJVuJ+Z0
t0yuVrlh6JKmsWXmqX9TE+oQxJg/ZztGc4ktgEDZcqOwz91qHvCcLUYvLuvYLMjiMiXhmXjAGUEw
oz3fPqJjtZhma0t4kY11Q+5qEtM4syZSYlFiD81tRj01xWVudc5vhGI/tmd8OaQ2BGzxuwWXS/2z
hKjT1VQDc2elkK7m3ihz9tFpa4df5y433A01J9/K8THixpjPOoOmTQ2/q8sv04f/d+rwR/jowlBN
ccsFPs34T+9AhpiV7gfWhlYZluaxRVrBEkV57KEoIQPvhrmq7e50kk+vKyyk6gKqcD7Pra2co9M1
/fCbgze4vLJ+/IuYl7gWrcJFXcV//PEcRIXdNAkEhA2JOL75iVV2k8fYi71qB9tnusSuGp2P1tcm
HBjL2fJY9ww+TkPmDRJFZZh0vBdWyZLb6DHqLh3ml+u6DnxOvGUJwZcF0HsFQIP3uoObVCQIdzdJ
As6GjWdKSTmreRhRr7kB+/zRG9woTQPrESC/OR0Cc2CBHoAhMT7PJm5mRu1pXV9hyiMyoStN7Z3I
vR+wq6/yrRznhna1gPyw7bCDamCcDQLdxRfZvHGwTvs7czEaH1qT30v2Hk0JpFBoEBMeLyBx24Ix
b3fe1Bmf6FqksbWQOlVUjv48nr2K2Wm0poyhP/HKKJwdIUmDtRlwfJYfVMNF9WwjAsgOkg4KZAgI
VMGoqxtAuq99pbCjGPUXf3JrnAOqryZSzhm3b2BGyTLy3Hl5rkj1QOOD/iZnd9jZwHvFSu4vzUU1
b5Iam1nkYwUfIzFKuRxQJsl6N+G18g9lkK4YOMFBXGQUGbgvp8eR/5t3J/TdSy3617vGIgQRQTpt
GhJPk0rox7vGwEauq9mx4mTqi+GZIhOwBhyR1I/9UGsJm8dTy1FbIJpui2S0hyuFBB9kqtPOwQ54
jVE/KfLlxsMgm3CFdQGL7TDPVu3Fdj6J/ABRgo2s38L1OHnI++YNcwXcKTn8tyHG4WQIaErjbOz8
iV/opXMZO8UVmaP2thrFbMAMyTuMp2xJEAD3XmdxaLnuuBXSXdvt0EhYYNVoDMXeqrKq2Gdd0H4J
GO+DBrSdrH9YADUHG0mwqxuvrWrkYVZZyhiNIqW7KZJZdo8GRvEdd5pwWZmV6xyN5B+ksVO7eFAd
G6N5Fdm23T3XyHnwZboec3uQcx1TIctfUCr3UFc3kh0Ha8weJ+uJPmstmLMQD7YJW0c+KNAm5Q6n
iKgJRkB8GduGd3lYgtLzrqqcJR0KqNV6z50FfYvtM/u6t9RK4hNnPtgyA9S84oUyeKhHtGHZ2X6i
UcJBbmOD3NaygFEjpQ+vEv/T8AY0hD14N4oyf2AVA0yiRHh+mp25n7dFWBG5VOZYdyM7rbS61igD
31I8H96mT6aq2LJ3TJZjmfmIslh5k1nn2rT90QRYbowg1YA7kqNoBXIA+N2oSGZ+6yZp+uqz1jTJ
W8bvbfKs56m4wKZks/LYWyxbZIcfIMJD3qodksV02rbL6MJfxltHSESlwPV5itU19tgOk09lkPC4
0W49vIPwlP0mnKe+jI1k4hrQpeQ8wvNUvkCgHS5MugrDLF6kuYnatuRJY+fX6p2AK7iAggnKRy2N
AHlCxaIHn82UPmirbtsHq+7YqGaTBc9szUX2waKjKuIhm9DILbyxcborGvx4CWBwNS2GbuQTkNTi
wB1aEJMrU6o98DyQdz7cO+B+aQtzoy3CsYU6O45w0iyJYMXKl9rcucAU221BXEUZM6cpjCvDEM33
MJ8VHDKRshPH1JOWh3IgzXzjtNWybsIm9O9Y0DN6gV2rzDiEhWRuzcTNED4lpfEuQ8NONpYo2lfT
dCmJQTU05TbD44/FMsmRGrfBYs44fGY7APWS0gxbjSrVp0DgJ2PV6FrfADqzY+2DCa7gqEmy3kKM
VLzQtMw/GRCmOoQo2jLpkxyjPwxNB3ySbQZ5X0EFgnDHoMpQm0uYutwwRi1xLvbW8lplTG3jxi6D
F8G2NI0Hu8zeC1g29+ESZmI7m+jiuf6ImjYW/M9iU4aZfsaMFKxxIXRYxROuhzTuC5E8J9Km2sdq
hVfFlKrf+uWs6i2HOWnjpTcTQ5q4tV/HOOIHEXvOYN/ZPtRkJmZZ+OAMnc2MMdU4+FzuB1hBS5m4
G4UbHJcgwCB1ojGEf3s5e5inYOWz70AMd3KTaNkFcTXYZHoq3SGqQoBp3aSAt9hpkjzvx505w08F
RQUe1Vrm1YC0jQphl1eqZf84tS9huGhCjxsBIo3FL3XT5KA5O3n9YPhRkqB7w5lieStBsXZr35pF
egAtMA6RhySUAZnXyrshRWOz11XfEiM4AI7ZdJL38QGkblY/z/bUWmfaYV9egNIXC9q0rLTal6CD
O7OZgvRqCRm5Rnq8MKpzDHtDZEMnAI+RFs2+XXxchBNjxQMSVWPe9IZYHAA7BdTGThfDu6nmTm8m
j38VAblncC4a03wNnaHMdigB8ZBPJNOxDbaKXkQ5hlId6UUV2WaY/XwAGRKwOG+6tnrICZL/AGLg
fxvTxAn2bIDbKz9lYH6Ggtb5R9ioQx1XTaAvKAYuJe5VxiORkyOXQGgYsviEDrMimq1LXIQNg7zX
MlgEe0+wCnzwBD5/hV5nx1U1QmSt3Gz9znTScBG0WbyzDSiuDxrurbVvpsuDVZVl/XnBF8Dv6FmJ
E4/56EIzlEp/1SyIXKCEiz/ufUPWJtTrFeGuwhblwPo2su/VOmhgSaO34P/JbVUMCJS4ftDERMIK
Zxod8B1iUvleM1/jyBOhfO5KSEdRre3gwTGlA7Q1MV2+W5ajw7lsIJ2j6eP5R/+WDTnYLKOU10qr
EJJNk6NN9LQMHyk7FyamU9p8eBUU6GOK+RzSFWb94g7/Y5HF/WxwTAyGdt4NSwE1zfg5USsnxhsW
RmQgWTC2t2tlqq8WnXW3T9a28s96KpQdI7ULvXgNsV4djSIgnAiGj3lnK+qsaKjD8UthNM4re8Xw
K3JDIWLQ4EYRdV27kviGjgRNdj8WGvZLTaJKxTiVtbNMc/YMIyZI9Cg54uXSyoXA6rK616Qf+acw
B8i67aYWPYldhVTVuhwmElqWMVmQ4kCTRbFQsgd22fq+ODhoQfJq6LUmO+PPkzVdUI6DBQmG6aTF
g9z7kIiTzpE7nevpocwms+YAU+ljUiGYiiB5JfkuMGt4N+QerVNUJ6gYN2636PcUPPwQQQNy3jQu
TvIXxBLgb63oQqM+MLWDVg2p3wZ0hdmiLOi8YbdMzuJvgwagc2w6Y/aCenz2doMI84+sSZzinIk1
sLcuL9fPJprlZqv9sWM4jpispPSGghUbMuxURE5UAyNY5d20lzj+QQKkGs1lJTLzw8DjNRz8tS0/
qcaCOl+PDgughr7wjPvZV7tJu+qjH9CjHEeIEimDMN99Z8HhfbVVP310i8kKIgMYihUG6ys4UCTi
L44zQQPgnQpVEh1x/lS1eTdHogV3sqF2cd3TMEtAl3qU9mNPaW9EwWDwmhcrPzrfgxl4XDZO/TbX
/rLXDsc3ExVTZBcOwALHEOrUMz0PptVKXfb2ozY8P15JhuNfpDSFTsChxEi6nhDamyGDmgPUq+Te
RSD04vOPLLtlYZW6NdOuQWVjwXNkFJu9sZBIKsLAfEyrFCa4N1D4aXOL2bFarwwCE2/rbOwV+MJC
4ftN8plpTlDiIR7A/hixsFsPqqOkxgjkEoAr5DniTh0VdUhHR/h5AQ7FySTL4rvdaaEiGPHgsFr4
bW5Mk+C8FKadTBE8SP3Kuyk0QEimQsfKH4ZsI2yyUuMEGavYexNjwsjGT3/VLBOQW3dA58QeFfxv
CyMr2KL8JIytgr2cYnh2yoXxKeNX2k9fceC4pPfZfBpgXbPX3/uJoIS4EabqMVfBblsWSHhwHANe
1euyGo81pdgNJ2hGNMKadW8qSBFo9vhqF57eJD1ZhEaCB7e85bOXGpcoV7iEUT+JHkQL0lwePTHm
34FwDSkpFlYJ0wlxFwyHNFRJ5HBVzWgmA/h+XlkIwObT4xV6ZWsLpdG+ylGYsm7zUucA1q1BEd4P
4IBtdC2eYJxehOpqCk1gnN6M9Ahtzu16YSzSxIJSu7h8zYHhi50THKWnQN02XPA4m/JHZ0Sp0pVO
/3kGMMGqyCxugYkc0nxJd0UJN3TjGoH1gbw3pW3M2qOsMN6j7oBY7JTZEVMHSU/1Z4w8IjbX+qkK
jXHD8eAfA8gbx3pMD7gUmhuPZNJDnSKMlq5UMU+3sbfrRV1WY3Izu0jdgBGJa+5SY7OORROpcOmx
+KvuRtVFez8BFUIyjp29a+2XNENi3l+Kj2zWW9ApBeFZPMQwWnEhcWgPBVos1Nf46G2CM/sJpzzd
XCwtFkGL5chPIA+vYbZepzCE90GQ9m+TDgjxqYtSb0BEMFGR4UVNqJZb8BLlfhrLnRNwr4SD/Gq7
HMteZQRRM+PL2PhEHlv1Cicosebd4sGWRCTHybQeqfZuA710UQ6QZjNTRL+O2uRdn4t7BHcMHpi9
nnp3xYjTscIc7ZEsxwtupEXFTIyRI++autp7wLyPINLFEZzHrglDCbXNLG9XKqxD0JrkPPjtTQ9u
IgqCGup8T3mggsaMmI+jK1r6x76ugvPYzfUDz6B/SA2ye1ZrbeOkK9NvUMg+2fAroiVvyoNqyxNj
SPBQE+7sAS7JlerD4sxqB0q6AYWhzyFrGKNnxWuOlkuG2WUtfvBzM4Q2Z2M2F45Z7Nnx0bvpyd85
q1vsrL44TbIOKZUze9gyzKxgNQpvZynRRba2Lcry+cEP1vamkqiZMoJ9CSovH0tTyJjm4aoY+3Tr
IJqjGCzbM7YEfe95RrjtkVu3G/yCw9nr+nmzzEV+ajpKPSBG7pNMB+cOucMj600cCpQ0OuoGVKHa
GVMqtoHXn8flj2ey/kgTDpZ9yqs9yrh19uMYapjLOu23LE4fAiqJe+179XGY6vrkyKnfwT1Mr5M2
1JHbgBomdn2MsBRQmOnuC+GUNNHMIEAewvan6czW66KlfehkcbjoqDqAasckbZMvfgv944LjKpzg
3qcnPvur8W11AuNm8FpnMyXJ1YyaSwXtiVysR4R+5hnuw7QN0Bk7w8CgvkVg7bXEDDS12ZyXvFBX
BfrUjldZnOTphTLDOywVF77EmAZMaxnW8u7yqijvR/opxDlbUMLQnr1y3pfWjEteAgroUt1Qa6Wk
ljDQ5eRCkjzti14HW1c7t31iwp1GHHtTUfvibJQWTZdlfMFof0oCdBT1ZHa7fPEASVirt9WcV0Vg
nMUAzJnWGo0oS1D2UH3ytHiz2A8L4GFc1FtsRCK2O8vYTaYtXmazZ101pVaEY4K2Xmd7fBjJ1nUn
5gk8INeUrxX7LW/ZAxyLalV8xdoSblvDem3ncu/2JetktDjeCzKMQzF57SntrXnfKR5LDiWHaB/a
bKf8wJTPz0iaGCb7hZh6R6KxXh7neQiZwfjpAWDlGo1+LiKTEkNcZkhtMPrnwS8f63Hln8rEci3D
JT3oxAj3QJmaXcu0L4aJJODrQJOAAOYzdSjJY6mG6r1bLAwqbfhRGpzXkIWmrewDKCPZIA+tOw86
KqBtRIjp8H6Avclmb3waZ/9pAQLA3pmyJ5u6o1Gzn4nNzsrOrpp9HQO6fCqtEidTO2ITUsTXHCVE
ElItYHVtuI/Utu3FNlvSz4tH9rFgQFCEPDsS7PgCJu0p6Xjm0qK4MjJmQyB00iNmmXcEDtugcHGq
9+W7kVXZFaqEm4KN2KHwWzqe9fII+4Z9WlMUF8wFmdWOzaZBKnxdOeBDsoQe0Qcnu/Hqdtpy9i9g
ly4txWw7N61dffIzo9kjBU439iz1foD7H2P8vk2YgkcEn3yxoY7tOs80eOYUf6FwD/CZjcio1Xzq
puxmGPBEVGGZP3t+GJxlCKvNWqpvSSZeJ5GSDQ/d4TDkszvhHnL7jc6GHSaYe28t3wbWMl00sqVF
6yg+dbbUj/Zc4m2yQBjSH4/ML/yu3fceJ1jYcsYMjKAiBEPE2AF+AbIM0481fwrIDz//AqfocKH2
X7krzY2C6LJj3zBfI14mESkzjJhmxGbMPi6wdxgKFaPYWGhcDyaJLAhviBPSuLRzZh8Xd0J6AH//
iLmWuPu0J2Eireb+uXJyokhM4T0AyDzyiLTkteAvp9p6BertbFfPIPkDAM20WcLiOaGhAXTo1XHZ
wyYsBmnDzmlHULa5crZwrGBC4M7bZGDNt4tak7cqDDtgBg6I7BzsBOqIRdxhGu42tHq0aqrSe3t2
+LMH7OsEuB89toMR6RSfu7UzD11iZy8ZwLyYlioh/a2byHWou2NC/sxelT2xZLkxnvBUBEj+PU3u
EYrVO1woh0DiKp7G9qo1yuSmq6Y7+BJg0cN6QzZDH7latVs4is+C9jAK8V59Ikb8LCV3WuXzpuRo
FibuHqWOtqXuaLXYI1COndOs09FYrJRKhWV9QZx8WNkjI6cvjoUfvHRUXGfWJQnRaMwC89VYYUPm
/h3/j0NMyRt5ugPhNIzGCSvQiU0289yg8khgYooC88kHLMib7AIkKQ7zqBgPu6M8MW2gUKyyrRLO
gBgLZ+QaQFAFFkxObh2uu7o1jqPb25+FlyNA0aFXPySquC4G9R2Aecs+q4D8ZSZgTmRgw9sCtGbq
N8zuFadmrQ6zTDaOyI/hnIVsDXzvEbf8fd8TG02/c6rE+Fqo0YXRI/MH3vDDKya9ntAKh2u/pp/M
LNVnlZvvyfDSmKP7SgbEY+sKHsm86DbKaZlypdlQf7ZSeMCzb2wxfqHK4oV3u1DEMifv59uwJc3S
MwacZSkpEyPT/pRV5g4A4f2AIy72+txMI6NK6ogAOaKLvSH5vpaNcbbMWTGaESf01vrN8PNLUFnF
bo4khuoYEpTDv1dL581gG4n6D4ojrrZvg37VCYMwb/wqu/5pbOZnXF77vg4ftQm1RAGCuc5YVjDA
NbHPmC1m3Bkx9+QMlXGD9mYsT9iG3eVaFTzW3xRc+vSGVKEZIlCfMXLifmBJB24lu8zxF3D55QAs
GDjRej1mdeAAKU1l3e7EMma8lUbwLnuKaCxIINWINLwNGSw6G+XaqfGJEOrC2CN6S9fbDN1N8K7s
wskhFbS1Ub9iC5MmHRWRTtiLhEscEX4Px31GAxJ6p85gwL6Bgi/tzy5q8foGWBCZYjVTb/Ox8x38
MEYY1u4B+1cvb+zZ8i1oG0NbXgXA916MJegYHEBUq/fIxNiSgButsuZMkFzfx7IQgT741kRYUGQE
6HK/Ceq7eotgyRc3+EqK6WFQoQro7BpE01lEcpAJA0sX9nzdMjvI7+0Bwct37KrTinz/0oyR5cI+
mx+9Fu00P6wpqcoYwlbeh4mb9+W55xGwnhP49N2h6ue2OwTIpeYbM2gSH88UrdQT+5iJqZyfu9Me
6Eox4dIRJOhw00PQ2jJn8kx/ByuhadlAITzxONjWYP1q6AuIfhGAst5qE9nmXuA+H5/mRs8I4Nqg
UPAEmTcCTIMCOz07aeNYd5aQSGpJmkgGy4i8TmOowFVpT0xDkPGlalN0yCb4e0fhHSaPEvGTrc3a
o6YjPucwzsoTz2wfuiUgdMxEe8mUk1f/uw9vSLyP3AliAG+VNMVuxb2H5l2OLaURJNkG0KePaelF
BfBNv4Yr5t8tjQ39CZDvcrjFEYo2DRsvYsADLXYizrobfb0H4z1VV2ahWhcRYNG+wIId2VWkiDtT
DY3xCGdOfK/DPq3v29Rhnj0UaXNtBnOK7zZYAverQcLAGF1CWdKzR8Ckd5hNJYtdwnS3jbhFl/BA
xQ2ygpioIty7l23Y0RqmhFLUtBlhmZU3mRsnm6kuFwO80LltYalGs4f9KPaCqnplpml/I6Axm/eC
BjS/MdogbXc+b71T7ZbNazm2qFcT6Q/+JjTUDoJe4tD+L86dyse3dDEIRnST6cnjud6uDOFvLXcq
3wnpiVsUf2cPkfO57i79QZLwlpG+5uVXW1c6a59pSOw7kVgnSOJvDPq/DHBTt1AO7M/4Iq9Suwhi
ORJrU5sl3zw0ObELTGXd5DMh77JWHMEgGbeyksbdiBRQbvWSWrT04BW+Fk2fXKMAKyTWScd7Z4DB
A11nq3ioeAXfJoUqn1JXGVdMJG5HppBfUsy3u7kpgvdK45Su+7DJCFtwyPAckF5MRVO9ohFSLF3c
7IvnL9M7C10s80WY72EX6odOYhAhwcl0gCqsoo0yt853wAInjJ8239ST34a+g5u5+mRuLFvbf5/Q
I+16AHytvbyiSonbMDjNLnYtJBEyFmbenJhkmgfV0Ai6MO21tm6d7sPX4ck3cn72PMyv4EcjMc6Y
o7MGbg9CdcV2Xbp9wMGwy6juY8wWPXcaXRmesKid56+hZZ3RoBwM/N27BQ8Qyo7wDny9fzD7EouZ
8dag/YgFgRV3ph2O96RayytofS3/Yz0Wuw6rTRmtJtSfLwSF4aZcqjJHBQfwuTsAdBNy3xt0k+TI
Ae6tSId4RHOQnuwc4C9d05DeJ0bTuWDSHLQWlwOhOuSk7Zw5xll/+6LJB8ZZHsWGY02ww6WvRHOQ
DnXnJhBKOpulL62vFgw7chovNNWd1zB23cLikuwJ2HPeSzTN856gIzYJI0quC2Q4D59LrhSeZ4Za
GMN85oon5ShdkDdQeQ9YBcOPJZvzigtBq7DFJ1rpGFJY+QSlgEgRh5rWO4OspE3UYUqKqUPfIvai
7KE6L9SC75hGwdviN5yabYaPp4kSlbL9aZPOffH6Nv3ORoQ187qyj4pxIfpyZwvDI49gpbUEYTRA
6+Qe0Bvw9AYGSoSgQJk9At7oddzxI11yOIjsiyz4UtUk3E3G8wTx3W/RLJiC0LbdMK0mZE4s3+aB
cWCICw/xzpNdLDUzLSgCOqos9Ai7wavgx4z+WrxOabmE8cSWGkM9B0e6WVy7L297J8j0yYIp+23o
WBgybC0LVl5GnZfIABuVbMwqITAmC6CyCKiwFid42S1n5PcDRe9MbiUSNuL0ijXz6metJ0MegrSj
LvSokG7GKsHJvJIwSOJoZvdszwiowLBWwDt+qj2bBT77WQaR3uxbNyBIsoqHU3Jn51qsMFZCPwf2
sY7tY0bDnOFXJuEJ3qerDh7JIgRlGYnxYUCj4kd0psU8IkYIxye6H0b9fuCyMOvawv+OOwJuikFw
F6EtOPiehMAlhtaU2ulZDrknroqhQPssFqJBo38GGkVg41nTBjbOTOibxOfCIoS02izJQZiHrj+/
BG1lPf4zZTU6zxXc4YDT/+hWEOXjZFkSgvAYc0H91M3LPyU2dxKjg2GbiKq/nddMxwK8TR0lTj9+
/ScJEbJcsfhtGfQ4w6527OljaBz7Vqyu4ALyzKy7dU4zdfz/rBn80P/zo2EXBMt7+Lfr7AMlUvN9
+G+hLETa8itlYbb+JCzkn//29u/yQTdEKXfJdaM2gfzyH8JC7w98IBzf6Pl8ZGd/ksDqpruoB13x
R4DiGmPWxTGCQgHN4b8LC13vD1QKNM9AoTwEagQQ/9v/4sLKb83d/9He9D/99/9BiN9dw7Kt/9c/
gv9Eo+PgBuOvEK5F0oL/k0YHAQui3cy2I2gu6Qv+RrLgwWogoCKdja62BbocFmvHg09DOQGR2Viz
Ie6wWCbHlDyvrQLhGLmW7DFWD+pTSha76v83ZWe2HDeSLul3meuDNiCwX8wNck/u+3IDIykK+xYI
BJannw/dfcZKqjNVPW1lMlWLxRQTyEDE7+6fD81JxYN1U01NeFEgG14yzNZXSaAaWOV93lxBKca1
D4boijapnev64tQmobdg8er1ecqWgF6DBLndaHnOEzgZL1zbGA6Ym4sz7YiKeWezvE1+bm0n7Qb9
qQmb+SLRtnsBp+SBYBLEf/7rA+kFNo013F4CDol8VbE77db3i4NYe4c5pqY+q5ZbH6ZXsEGxSg7+
TPdOiUK/nhczBolzaEUypc6gE6hoUZWV0x1JDuRcz6M8JGwEig3bO5sBKP0BjPJLtMY9DG/9NfJU
IfbjfMs+48jTZOi3IfMuKsLzM/LRTHK3VDvDlvqK5J8m348cFNWW5Z9GLfwKl2/A4I3ZOhU6ZZ++
mvVsfApjwSGI2TPSVYkxzcrm89RX2Fx8vEJvi7TEJz2S/lEpG820wST1xtMDeGw2tw/9YCcs4Lo8
4s0CxpwIBkk1MkbMRJuS+Pmom7o+pU0MAbZmXqfIBx4DNlVPo+yXzSDd5CqxF/+iT1329U7R62OT
9j3oB3gmF43fWJuBI8yJzK6BAmpmIQ0VzSFszHw7g7wdIvbXWFUWA/m7K1EEoTb028F1f+K49i60
HEaoAc1yt2jHvRM1m3UPzffUDHZ4CDpDHkAC9Bd0vqyYs8I7cwApiQTTPOEzZmLbU8snQX/QNu4t
xuPCEoeOxsINR0kmuAFGpM42rEe4mqXYOl2JyptRC+XiQWon/4BJ0SITvtTXY9UeelX4n6Pv81Us
6Lx1JY2dk/8Siqrbj8oDpgwWF1J9RwIoGZ2ruo/djWkyjCp9nCt+DOqzqFz/VAVLxZOZYWYbYgSi
1oTDkzafMY2T2/FoIhjZhxnMieN0V3p05yhiyru0yZ3XpkT3kcpIaClKRH0Rh+A2IhMO0OpX4HDn
9Ln1mpbpcqCHRn9BZ4JfndiigwQiSOO3k3XCQMEZwKyz9JCUMuYXVxHP8rOdoA0SOdx340044wWz
OQjvhmbgtzPXUmORFBYVi6O3Vo9N70JigujRgT857rqPHDzfC4OeUmag9rUl9UWZECOH2Uc9Ngyd
m5DyzF1fIiiyq8Ph1BKHZqSAlKw966rrVvpIXbVHdrLoatxo7sTcL2WMSyp/eO7GEPEmhvwFTX94
NYiMP3H4owBNO+O+bypgDVNzpC7O2gpDmhuOQq9N0Ju70cHKw0d1uKQDpbyr0unZj0P/OLgUWnnr
7AsPqLRvJoeUdsZkaSYYsjeyoriNaSdE+VABFuRxGq47+CTDLmxywhw1JK1n4DHT0Q7G4UbZ2v/u
ptS6mIMBfgBUayDxQmWcuaEabAACqMvKMWEIjFDjrnDZcBAHF9R3W/xZ9XVKXOMiTSs3jsyCFgSH
PrJ4WD7pxJ2v0rZZfnQgncHCVkjZbdunm8mBddoD2MccVobfFv4s3Gt9dzCKWZ3rshovRIFZFszV
nmTNU2E4LpPFMZd+5MLAGM/0buvwJmsQZzdGNxQvHR/1a2RbM9/k4Gbu4HpdBQmlTnaQiBOPshS/
5NTFQMX7hjuUI8gjLGSnPZmYTA8pjSktuf1px/MGracyzsJPxu00Z4opIMtd2REJhdwuSkDqxnM5
KO9igejzyJh+X4VjQAAdC4IvG7FVgluXSgx8K168hXyFO0/j2MFpkQ6XCVt8qoyI04pWOQS19Jfd
0REccnw72dR6UEHF1pFToB+lFNZsSr9nGlfimcpkvlxlXq53OqsOTQWUInTqL6+Qb2VfnfxQv/pl
eQ2q88EzMjoCU7aoe6/2IPERwhk2pP/aVQ39AKc+X9HokFy6MFFQlmx5NDMgl4OtaGJMpsQ6tgsr
JWHE6zkc7FcDEXkHC786p0EtELHi9rFAxXjPuiqA24OS0FEZtMG7gusE6tWbKHFy6fkaQMhNoFig
pJY/lOzkXgkKsVgYMeilI2NZf7peDMfhoJzRy+X2FwrnF3Sn4M6GdrQXxvhZj0b8ovqWctGCoixC
QAuP7bDGppPhfA/CgcUsHRxIATwbDTsI78kdJpBhMVMPugjuSlqlIyw1l0ORlNSO8gDGUWOM1dHJ
QvOh1X7xUVERnUdlkPgb5iOwU0YaVIFOTKx2Q4ndroDyQgHKIfBmlDJyn4D2/eZ1aBt8z7k10CLi
N97JwtX+CfyGCnuvZvO8KBvhZO7dHw1K3k1YVuYdlBtgRbgTghuqSMgbev1ZBPl8Jj4QP3MQd/OL
FRJ0Cxb/yxop0JAxDzGvme4S37IfiEP5Bwqzm33SK4qW/NY/hQVm8EC56Vs3MxZkyG4bOI2S9lS7
8VTvGCudfHjvW9blgF9c98CNaUL7p2rUhdN/U8zmjBm1tNo7kDv+Ry3KWw1OWe/ZVi0W6gEHIi4x
LBvlz/XtuMzDM02ML33DJ2oKetocIQoR0J+SiOBziX+NmYZVDfaT4JB8TDrtcoBi6+lHhWN2cJ/Y
RCDwG+XWLVvvlXJQnoOtLS9is4uvPFG216nMNXOJfjohGHfb1OjWM3rAOJWiJp7e4WR88XcsncjC
YMBzRQf+ddLF1kWSBsY+TGYFq4DYvCuxbCZVfLmknn1IS4Oy6FFgCUTRwtxMOdKyD4f0YFDMfmx0
dTUGOUc/WsiTs3ZQhgydmgzL58VDeHEKKiFT/L1UqMS7MWbirQIXd6UIjCkikwzKy/L8HzU2l2NQ
h/N1w8n5sNBmeeasKx9zHQw8Qmjoi7SFfWi0zO5Wdwb5DAhotLHxYXcxYHg4ATIaDN8DcsUKe7Q1
4pSuggP8/wR+V2A80NjNwsWcEx/U6LXPi8y7N2mTTLsEWRh/k4cerIc0rieaG1ofymVJn8NmQeWS
mV5KzPyZI6BdZ8amB1F2gMkVPDkk5Ul//2yUZz8QiQgofaegIOWxX0WuaquP0G6VuTXLvDsUrgqv
5T9rMO0qeAbYRbqNPzXORAAPFpVd7EjS5sFxenkAxevuO10s927OrdIFALgUgK98WPlFs8wD9loJ
5rGKhlLHneB1c8FvkKVeHPaS+4kqNah1frpbg33fAditbQDH8jTMPEkpdCyOKNntjivRHScQbk/1
RMmrrt47sqMRnWXFBjvnNz6l/LIO2YlVC/kQkr1W9eYjktJMmV1ian8gJKdwmBv6I1fudV4oedvD
JTuxT7mTTrcH9HfNtP9bNOEumOv7zgxxTyz30H2+7EIcjMb0j2OziEuXzdIYjJS2+rd0kFiM+qzT
tFQUKyJHg7xFjgA0cJKJx7NnApDEQlggubOnH02KqNODgPTzOWFIYNkcZ7ZoocpzSt68/h7e6YqB
ypqxPeWE8o27xleuf2cU2ZfPDvZOGKRJfItswcqaWtFpc3JnJH3HfK4ccT3RybRMdvUQIw/CCgK5
NXQqODP5SHbjMi43IRVSJoMsyYCFBnLvIlg8HLm4yKFeJsZ4N5oD+GQSQAb+E4lINPAlMZqwtOYr
tBnj2Id5dgzahdNCykAKWRC12EhK4xbzm0cIa1DLtVPq7BtyPMXvGYV8GWCylcWjN+Dp3FtHSAkc
i4FJPVlEntZAEo6M627KpkNZ9j7vZ2lAQRo65B49SPwheIfYLbX4hMeYCD4xpIw5aka5BOsPz167
u8iVgE8YJNNVpZzNPGavHhI/UdR6Mk6rA5q9tneQ8TBtMCOTBkOlsG7bmYcr/pZ7fPb1th5e6yrB
O+UPD1W2gNUZluoII0zug4BaIjxalKyrEdWSqs2RkeQdUa3L0uluvY54BvHW7sUklH3fFTMoS5Gj
bs0ivSJwkO6A3tYbPy+rg8z95ARCKT7AT1x2M1vwGyquxFVqTSh7leccXAbfmHf87i6vuL0XAUZn
6Cm+n+bpSrvZne9q69JRo3EaoV1cxUx/IhPAXb7zUkgKeyz+1T0e3R8DbAeUSBMLjWWIBhBmkrLj
Hoz60uVjB6qiJ4KL9pc9+WLkI5sk4T3O7uKFEB1il4p14uxGHBqPkmItjg8VtAu+QeVfJpTeXCZF
ltxRYVNPWP5rGEwyXLapxYpgLJa3SXByb1Knfk1sJ7y2DIe7DZ+WvnSJ49F63xqvssGiRUkKVwvH
xBnZZznTX8mBtbSPBYiD205Ln2NkntwuY4wBo6ure9dd1D6V5rLpmMduqtqbPqWm3ywHy9dsZrPt
frRt1by4jM5puppYh6KEEYPTrBlX+jvt5wlXzaHJveJBdzMgbt/FqrpCGZjiFVdZDhxO+2x+BnT/
82L0XbWTrYPZfzK6kxpiBnvm3PB8zrm+aYf9k/OHs/4sKJXxNN1UIL8esK6zJxSAq14rboyLfoQQ
QXKkvRrIrG1sOc+PweIy0MYJykB/njc9tKyflkKT9ow5P4HEnx7/q3GrbsEWiY3JtdL109XT5hvb
RxeGHPFA8wOk6XjxX4OfLzmDDjcicaiPJmGliNn3dN3m3jVBpRidOkzYLWR3HDvza2uy5tv//9Hc
Y1Pxz+/Ttv9sJvfLVx2+m+uP6rv//Vut4eL/O99jCvXvsPH2Q3388i8gQjM13w3fcr7/7odS/ffA
av3K//QP/x3jfZzb7//9v74a0lzrd0uypv4l4buSnf7fg7unL/lR/5YJXv+Lf43uHPMfgvi3Sfp7
HZEFK4vgX5lgIf5h2T76LmqwA0PHJC/579GdK/7Bn4Dcp9qJP/xldOf8AxcjAWJXQN+xbb7ff//k
/8Ho7vcYLhNDzi7hmggmGkxy+ddwHZmaLhc4DgHqivBMS5FzZlwm/yb5+T++igOliVYjsr7ub+NB
P2uDKmtBYBpxNhtMNwp1nFQ1f/7hbf/3D/fLHJK/7B+TgrwjBIn9AFYMRCwqX3/9YTgVtrbtpRpv
WjNg6DHxJCPiHeENZmd/qPsno+6Xi6awMP799Uv/k/r0+2uDFcDbbkIWCH4vKqjHtulGUWuYwI0V
v9OrGiz4r1E+8YgstikvK1C9Ds8lJh5bPwiTZ2VJ661m8BNv2cMj7Rj02WOBNXxYuZU0m/q6Gkw2
gX/zd/3z1aDiBVwTLwK5608ABCfQGkKsqYkt2eq+p20a1iZOgulvICOMl3+7HC4CHaNnrjhO0t8h
HBiygnGFPGxVWSh2qLaY3Buhqm68ChogBkPUDnrJX9MwyVg6//qC/OmHDNi6CQ9gEv9QH7FSIP6Q
Lx8UbsXOzoOt3xveFvKcf8GZXu7/+lVWVsQvV500kiUCLvtKlCDE/+urdMQ+48TqAAz6ef+mPQ7u
2rXbZ5rDXv/6ldbv9Nsr+bSPEIOF1sKM8TdqBeEVIhq457ZZZ3GsACPOAVMzVQ2mybgoC5c6oL9+
xf/hHcSlYtorXg0/orte3j+8g9kwOANYLJjrHPuPwLZIS3mN8TdIqz/dJCyISIE+hUkBsob1G2rE
BWMtqd+0tzZxl/vcw4zAoJPz75TZwCu6Z5se+n89x37RL/64Tvzda/62TlRkbGdn4TVFQPWuqAgp
WEX31Vae90KCHMsO8tj5r9/NP78mSxI/a0iXjsmavqac//Bu+smEryKnk5yDaHzW+aJuLXuZzoSO
2HgBVecQqbFMxH/zIfzzfeOZGGRNliZuUIYsv75uwpQmyDsKwMGMlvfalekHsAUvYvn1h0jT53fz
1z/onz4SrID8z+IcC2QCLN+vL4jNIe7LznW3liLKYIVt124Hs8rhPQe5cfrrFyMe/hvmQDgrAZAX
Ch2qWsgU//bGWk3XAv8q9Lb3mI0faDfJ63ObG2p5yRW2+QMRvSqGBbaI+iAUk/CIbAmn6xJ60NG1
ZGd9TOVkYvdLwEXLc98ybQI37M/Gnmk1vp0GlxhZganFJAFizGl2lnRjb1cjbugDyxr0lNnviU4N
wypYaAninYnDkMlNJeeqvZEkdZyLWftWfR4XThovAXyLbgsBatMv9gkafUhYq6J6jFRBgu0uT8NJ
fTpZh+9wDuaxuRzRXrwjLKjQOuceQrMlK46gkMHb1wbmtntiDEkyJnRBV0UuZRk1ncxNU28SE+14
O+uCu13jHj5k6OZLFFfgYCO7bIfiikwAyjkjIFykieHmt2NHejlafBHoW6ggqb3vhN++UmxuYNtc
crfdQ/txMMX6FJdEpTSByFtAnG8C07Hso5eY/XNskiNn4JIUFItzoJ6TL1ZHB8dOKxIxp5s47nGd
4nAWxdhHcvGdJ2WSoI7aZl54CwnnLjShxGI1+QXAdRe2cM/zhOJzCDnIWBGN76RhEwGN+wI3QnAU
pEOB6yKjMPGiAvQOtMZoHszZCt+ZDKoBn82sUYZMqDkkGpxyCqyHkceFded01GdDk5wrcVgw17UU
ORPFTAiZF2qkMz1cxD6dtDYux3TivG4YFAs8+k011SDZE7uPeEwkI54AhZPStnJSmxDFveJWWH29
nHQHyxzCCRCWUyzBG24H8F/MuPPaeslzAxJbTCnARd9z3UlFLEbbX2KcDh+ZlzXUxOXxYIPx1d1z
gMXbBIivMIZOEK+La5KatDcycIlPOMMUdwKt1OW2Ua33sOagMEuBa24uWNfZbFQtM7htLXuBtCJr
94NkMBumDm8aqDQMK8Frp5TzHeP3nTdEuvXasVVW2UZUZmdEZA+7Z6pxjUdm63iBbBtEcdQwEsOC
XmicdTrJAc7SVzMCa+G2+cmdD9Pca1oNzryP4+di0F0brVFBgrzeRKfn0go+FmSOsjNwK8SOSav2
rh6Io+8M4ofdFsY2tQgA4Qeb1ECTvDRlTa5wKgwkrKQXNj33FI98kvggM5nljSZrL7yZ+XFQzCkT
UFrjomUhWbEZx9j6QSJKguZvg5lo52DbhGbLWBFCFahSgV/yMOodSmxwd8i52YKi4LzMtSvmY0bc
19n3RNDb/WwH1EAgwy/DTcvGCjJeWra4cDH7t4+VQffFPQ/BPNsjw6UD02y7u57jkPALDaXV25CM
5quhu/wmgJrjHIZswhwGk6nIThTdjhO8QEMET8K2zTMfXfON2dyccHQ1xANsmyV8L8QcJPsOE6ZB
si6wZPjOXKBKb23aa9AINQkovk9lFj2CURu7XXrotFPR426O8sUCs9/f2v4g+wu6o4cHbSduejIb
sue4dxTMU2T9gofyPphLgXhCup/aAEJk+WULCxfflph7cdslmd/fj34jHHAqStIjWIGWwSVZZ4X8
kReFNT0aXYYtnM9mXaKr9U7wnXgMsPYgkvETiyEmHj3MxkQ38TguxqZkEF/e4jMbrqnmw1imsZqR
r04XgqROZr/7kscMWp23JKeV53FnApeWeGqX5Y4Uqf06BcpOd2GuybvEsaYnncr4t6zMigvGpuM3
2MnlZ0pjsEuXa5vfoFEs8pYWGeMj7kTwDsLJf8RGW4AiyZBPIlDQ/XdIQ9mt6Qza2saeK78pVRAY
ifg9mEBb5d1+cetQnspmKQ45Dxq1DfTaUFCUje8xsQ3Mg7uQLzhaY4121wxg9ZPA1hsizAmNtyKj
lJnp4OhFo9Mwx09MFXZnaGUNndKYfx8zi+UzqvTc4DHPSm+HyjzSTljnzRsgd2T7KidBdaw4gHRb
LVb4E5kz46s3zMHdjKVfvYRzIx8X28MxW6cT4novbfE9FWg3e9E1tjpTBKGx8ad0mA1Jw6c8Jk97
JCYcyxOVUt7HSEqIKFg6Da+gXQm8Vg45A3yL83RNCn25g8ppSDqRE6AzieulRoTNzlx2lRlnVmSR
b2s2FAk139Ac8w+bvvEsghLNwK1jPt5vS9dhKIopXZqH0sR6QC9UjiKF00EC7FFhsrFoKvsIPMv8
ojvAZmPF5N2MbGNEerM8MD+H2S2Gq9FHlNjQsOUgI9W22jV5n3AVmZ1hu5/T19nl52d6DRSbCfJo
giGYCDZuUyKAiDGMqm/JEXRyq3riT0dNwNeM4tDpeHL7LeQntWTGp4QYSLWK0WAE1OmYertitut3
JVCNr2cmcXD0HZ4dj+asHSOqQl1e1eNgWZD9g3ZXm7kdH32aPb5TRtr5pgZPmcB7cdsvjxKSfl8M
OVmlnnf0Zx7k0thi9OJWYGRHmq5Dxdm51DbFhwn9p+WhO9/EwYh21vkhckk4z6nLON8rXwQNAf2+
jkOXEyyBlyIKEPUoWVFslclMWG66t4ivEuO2iI8Sv22y20nS0EIfXmN99AklyEg9mQkTpSjIB4jF
CD7AEcSvjamYbhVjQ5YiJoL2tIwEkLmyFsWdixqaD8OoPbQmKLPcwFLoOVLZRAGHJ/sJgQUs6V6G
mbxP8tWHx5mlHTbY9prxUI/o8pu2BQu8dV1IQTsom5RO9EKREQjibk1pVPNOWimlGg5bnc+MxfA+
4KFM4zzK+BLpYPT6vawLog2KXZfaqSVgubRIBFFGFkifximHlPgJ06dfbQYSVG9loCmSKIYlxltA
Q/aw6+OZ2HFMeIgHdzuYCzFt0R/hTsjHOWBdOcV1OUCt71k1t2G2tOb1mBAO2GZtwVUtlErvoYGB
yh1xEa+wWjmDohiydmcD9fD2S+nqzzzQBVtVZCZa3CAO4IcBpZGzJHlGvXHSBfDIXKEHkn0ukusc
GN14VGQNym1PraUNiLu1TlndCvaObUGYZ1Wg3srUIX6UVhXBuJHOz/s4AWRzBn7OgDUEKA5CaRX2
iOASiTZEat907VA7B3P0Eu/o25Qa7Oy8Y+ObWX32MgL7+ZBizIMdBsfA3zo683/GVd7CKLFjOG/a
GMVPzdr44JVDeDbHlkTk1LfyWRNLfVYigdKBS4D7OYV0e1Bh766eJ58cZNJ4Xrtxhlk+M4AfeLb7
Q/s5NUhZdab1Uy9b+gHwdLRHv1H80BLAnQcDIpDUFY1Q9LHehMF2qRzsnVPh1Xf1pHMS5jZN3xFG
yu6lLzTZUhfjPzkSb8EEPFhU1hm69Z8Ncqc6smfKMXYl5RlkA0kurCq9ZE/qMtbANdKLrt05CH4p
nzQosVu/9kbc907gX4iKg1GUkt+9WsCTUP6Bv8xHoiWkvtE+R+BIsn2LI6XMnt4HV7fhGQIyFQNW
7HkP9DA7xaG13PoKC9LyKtnZ5Tt7QtTFxxOykRMMuhlDL914QhGtX+I5NtgJNVV1zeXskDdzZGkE
t1TceYRs31OSXMgluqwelM7NByHm+qnPx0rB81fxN90YHUJnNg+3YYxEhkBYgK6bqzkgrKL6aRPK
KXkOl44CJ5zRTbhhaz196bSqrx17Ws8aXFgdUXbU9ztNUR0bX9KfgE3QhFm1FOx4oFCKjb+7BnRb
z7ARTPxJvBjO4CK+oDqRiFty3nydN/XJZcpPypiN6t3CCim5JXST78Mwix9mZ+AhAvAQnMzsiI6Q
69D+tPi/4WAnU/dJdIWcvJfa8mbMY44Ckx9i+Or6Zcx530MKPUTV7v0mhmZSDosB4nwi87VNCX1A
7pu88Q35qF2isO7cKxDYdr3V/dg8oLIbLM5tRhIRrtsIySjmCX+ObSKR0cRS9ARDJf0MwrqdjmUV
Q3BA8AVyAY7krZ9tHG5qnIIHQEleQISlGd6V9Fx+m4z2YewnFwUWmN5zwI1QnBzR8AQ3V2+iinOL
nf+AhZhxAiNIGajsyeKzQ3Ua/JkmAnAaYmleahZ2wOamH0Ghw2Qea+5JNl6O87MCutBEgyWTs0oD
9ippKxu1qfk1ASnSUuoO350F1RScWHeaLHJD3KwM/U1fVbSz4qYIxu1oSJIc2uAQG2ncaxNR2EpQ
YJO5ZgbZxvQBCLDqbhpyCit/2/XTg0RGihFCLRtLXcPy7I6B+4YF0iFi6ebQEWILEURqDInQpyiO
jwR7gQvcQKhGOeCoOspGio7u8JuxIcRkNr5pfCmPtDLF5Qo/qK8HaZHFZyAYssRIk91Ht1jrJteS
9rJllLuCBgYYBQg8c3c70QSj9olBCo8lUg3zTuejkhuz7MXXivF9G7Olea6LHH1x5tGPj7M02u8U
UAckc5gz+FhCDmBBFbB4W6UBnk0aMAapxhP5T29y03uOVkO6R5gr3js309/IS1O9pyKEh5AspeEe
ph4mIgNGB2NX4xbYHEZlej8J9M/NTT3bDmg2vcwh7XxDScCGY6mPhWoW1Z7jdv5N4x15jTRH9aeI
rknPcZ2QtGFGZBMiTZZikzlz/p0ZI8PEqqawAf++WGbChU7hbXxSczISoAcvbQVLfxhKcNq9SZgQ
5A5HyjTwxIeAw3ep5aTedGJmq/+KhYNeu1zdo1y7ThSAns7Z1lq5uS1ct3SJJlGPt/dUG3+yERjq
VfWaOa0aHn+PvElm2tIIyI0RfZ3Bte8X/oPh1sYTzLjuI47LhWe4nSWPQ7WeV/K4GcYN2T7vYWK7
lG7CKsO1AogmtA+hpq2MuXPBXGLm2PGDHED6SsCsfYp9kTGxB3ihyCOLgLBpv1hkF7UDtYt20UWd
OIaykZRCFvwcBfuLQzuq6rHgQlebvHLdI+1oTocxJYSrbapEXcglYftOTegFsgNtNmKmroPsebGM
mw57nLFJRGvfj15BQ02mSPST4Ha7+6IYKb0pHXth9XArzBfJsiR0Uw5OAwKiS9hqUi4s76A/hvC0
BDcBW3JW3J1BddiKo9Nuchjcvr1xDEO8hWpV00XLh3LLCgxlKxgGBkgtU5LLoZob4xAT9sZh4KQW
aBWndjk4SN+RFFlx4PmoUbLEFvUcw8E0Ns6Llk3T4j0Y8ffgkyHoP9pufjMNgdvtGFNR2NCFakq3
XVWFp2wmmr2V9BENmKQn/az8nGGMo7T1QVY/hcxDGyzsClrcmnPNaSw56hA5FNu2UeyHaSXAG9kM
r4y6G9VeVOMs+QqXM2iA/vA6Tm0Cdzqjm5rgss/fobaN9ANSBy9TE5wOLyTZK+MomymlsTL0uLEc
PfAK4ww0hk5FyAZHG2qUOOL6g6ZoS+r/9sB/+qsMD251GqkPgwoPvLmI1hLuMFIEb/DndN247GWm
cJw4iUscnE7OZJtw+fQ+dwg9b72ee2VnOswJXk3GUfm+qlMf4psxqSCaaDryNjZSIg1rJAAPVt57
XuR1NJOxe4lFsBXVOD3xCV5coJZMRTgquvlRclgC1E02Joyk2668PAqRvmlotWnZ0fPMUqGWL0d5
7llY3sRS1yfeq+vM/ovMhfxKgEoXG+2k4UrKG91v5sM4K5STZLjZ2ZfMe5924B+jP7n/3JJ3b2Ht
WRgI24Ty3SwJnng+wR51Cu7TgyaTdIeKYfpXgXTaJ2VXMVYv9OrbEhPPK5OLuNjS263YMnc9PU29
1acdbrn1CW9MgWxI8lo4N902I6wacI74WuhnyKM8Rajs2zyjGmBqZhfSOCy9vQ7AA9u5GT+ADZPp
pvKBlF8tQd9AsIth+fn2DLrQoqyHYYLU9ngsJNGrW7ochnYrF3hLW9vvfXHMFE6vyGOZBfhmt7W7
XeKakBRDyfpWLIJPxABs5mcNFErD0sZUFU3UdmUb+tng2dMBrqsno8ibp7lDrSGaoKZHGNsOTjbb
Z3+gXI6bR+3TOcmHiMACrqK8vWymnuXcIX7EqqDREJjskTzERt4J9jrMNy/JMNGHLHBQUX/sZnwJ
CLn6Lhj8KYws6VVgqqy4+EhLck57zYdwxnpMZm0ztV7wYlYhQVHy7Dy8hybRvHCTz+zW+8q7meFU
OcfSaelkkm6avIQG45vNMDeYS5jaMVTrM9/5gZogrW3JalBGOaYJua2bMn/LqOtlK9nnQbrFd4Bh
sxFLERxZmvVrgIkjwT/m1uy0TYZLUYIzmTKyqSbU7MZd+0KLa/NNabr1kNeBinfekI5cTAZU0Hb6
7okVU18LIDQggjlSAkhngf5pl33xKcBa8MCn9jg5zBUHnJ0za+s1dtdWjWGQ8Dg0QMkrUCsmRsgi
7Lwd/YyLQ48jODpytragvNF04vjkMuRlnlU1BMeyuWgxvBp2Ajys7m7D0sDywuE/vpup1Z0x3E35
bTjlaLphWAuSg4UO946lq2tM01W/zw0rhsblxMGTn5NwjWRvd8Gm99ZzpqlKEewbL4aUw3B+rTP1
hznYc36KL0niD9UGIKXqz3ADm1dgmE1H+Y1If5oh6P89XWU426ewbB8dVFUuWu4a7zHo1ZrOSMdu
9i3DvWTnj+Do4KKEuG2WPPgaQ1tTrxgk1YuJByXettoqnjLdyGpniRpFqJ905cMSBZOlp6Ljqc/6
MMEetoov5OR+BduWef2BBX9hV9z78ZvP7I9avsy0u0/dOlD/VUeVJ0SFIgSNpF2zPDWjMX7b7qB+
WBA3qORwUjmcM4XiEvXGaIR7bLjWjWP7utgU1ojZ3qWReNp2XehymGEycSVZIQxWRFIlvoMr+hJy
Uf9iWpiRVyimONkUIAGcbKXzRbUyxZJdFzOTNbygfslNCj+3sTkHN7nXuvcz05wvc+D64qf3Dbh4
Dachx8WydSAWCrvFtfz2Z1d7lcEjcjauJh4V5G97WxwRrMv2LDrqKekd7KDAtC37UMVY9jsk0s3K
NBgVmNTWjzdVX2JrJmRQfGJIzyc+SSB/opQqVoxZlKD6kR1mBSUg5Ik5q7izrzejUtSucTYL2Pzh
nVLHhmj52fDK7kfu0t3BCoouwHo50tNX0cNs7Z25gAZSMw7v2NTG4GRmZmQCFJmfveEp5zbhVDY2
G/yifH7Jmagb2onn94myK45zNrtcMkkDJi8m9Kv5HyHWYKgzy8e0Fc63qJdMb/O2n67LjtRsZBKu
pfU6a9Z2aCIb93Y6sK+IHbgcdIOC7iKqyG1Buj7OsMgjVc6kxr0lP6GguTejrTSBr9HWTDRGpoc7
TwZMATDnLWLHrqGlxVDwxOSvQgR3YwLqeYSbm8QbETOUjzx2i95F68n/w9557Fhupdn6VQo9p0C3
aQa3B4fk8Sd8REbkhAiX9G7T8+nvRym7KlO6klA96gYuoBIKShMRPOTmb9b6ViL83l0i7dC1jrgi
HUu90da7muKKV63fdDXmSTsnUJhdUYH8EfUhfn5QjKyDiN9Vrg2lgJOCfgSawZjNPMu5rHQ10Agz
ZjMmldDZxTErSNTIYcjBVEIbDuo2Z+ztEofNnsqpZLoLU+YWZ4uHlQJS58V4yZh9Kn7FhG0BZTKU
L4VjAY3Bc6XhA6ehvKUSUaqAQpO6y54HUFp4WNboXRGuTTNAccL9INfvWgwA+c1IssMYMAGxGN7G
s7ZsMgiaCN0bBDJBjqmi8JeMAYDHK3up/NIerU+NnoyWOswSzcOdNrHPGJlqeWFeuN/Au1rOrrP5
hY2spH3Av0UzPtB+XjQ4EbofIh/i2Kpn2XqFPhj5rmS7If3BDYcTnZLVH7pYV64ZjxQMzWJiuMHK
GmHluViLP81ldYknbPvWPEJa520bt2hLQZVKcnXR+JPcLOX8wGNbAEI3kdnu+4VDYVvbanid5IZ5
pVYgjIbEURZvYixjeyRt1TjqwiljnbtQA3laDkXHFzxyzOBB+mDHCGtl5nCbwzuRhy52ryZemUUa
4/ONHRn0pioNLN4KY7K3dMIMagZHN5Uj9a9N3tKQqPGDysy6e08gtTjb2phjbu8CjTcjHL5qdl3V
pSV3VPlsDCsGm8VpjFUWm4TWoT1HsV+ZeI/ox7YGDcRpbmrzCy9Lcs2MGi+OVyaW2m5Z1OfpHu9U
f61ZgkWHppHadIeTe6SK49jCpRLZwzPbfgbFCxsuTIR67mgzUNkM4FLO69ncJqKwHbAJvbGlzp80
z1LzgrujVLo7BEnJ17ZKQCwvORNZ0NPteGaIT5naC7e4Lzq4XKhZ5uhiRmYNVNI1YmWLqTgm8Ukr
rQx7D7TUDdpmmnMDOkaG66ir8fulbh5yFukm9QguSOxMcUGIDGHIxYvGIU9r4aBhYYI/WC+yxr/B
ciBRO1yhFaMHNSUS5cBXzl/cQVFPQ9MybqgzNf3GdiJ7nhIkcxuEsf27K/paftC+oLMCqJwI86Xi
sCqwQJhsdb4iyZfFNwKAWGstuamAdiYPogb7U8n5yPSr6gNp9awGQ7vMW3oYtAIbe8JJxkKcPeEG
uqszfEOtHHO0tZLRKi6XKHxg2RB39FKjfMUNxumhYGaNgDeGCHwBbeBVosd0FK9xw0V4eISgWym4
1ZkVu4kTqBJZUkBkvHlfOil1L3Ol/jC5Nlxmoab508Kp2QQp+/f6lKPxJ1ZtwZ3vwXg2lvs50Qxy
imKHl2/aqBm7IidXZ6byVh2D0mPL6ONMjWKms9AXfKnwm0BF9oZyqEfh3jgUeUVg422zoJ3EaQgC
pBfQaeEsU1q9um7XL091pCXyUFkxqnAkA4xGqc/1mrY9dAgXbdIeYbLNo7EOovMoQU0eMlMdloJZ
l2xxi/PY9lWH6MvipULcgbJstYQYUY9RhjUex7Gf0E8UmbsNa15lbIJMnMGY42kWpi7Gk5YrblXp
bP+W/sC/SjbFDglZstwIhiFcuFlDNt8SL7oe0tgJjo6Ia7xCWtTRyVSswz32NA5PXm21H5jX3XsF
pTG9oMI+0AOcUptePpviYIZjZwdK1/RMEMuQDAaou7VkVKtiTDBaDRJDRjY5gw4wtO1JlNIZT4oY
ON5Gt6uXndYnqXvUWF9flrmDZZrauQb/iUB0z8qKxt3hticf22wAzHI85jMuNoZKR7OX0OFtVUCm
ZRhdLY/wWJJ0H4MvheOuNUBzPXJS1OnQZLn1jiPWfdeablw22Bj10WWyRsbEhZ4BAxceSgZObq3a
BB4yxY9vomzK629OSSheRkBrcTXmDPkPAxNR9N4TU/+gw9B/zWiJ0E7mJwrYd4V5XLRBKtOXTzNt
a8UYfGntQ65EiXpLzFomDgQzdeaOdzlsnkQiDAAl5DDW73rBznY1cOlnLTIo4RfmWurOYGcYX08y
Md2AoMimftZ5JZY3oEEaBe8Xog6PkQVTPgOW/39DufynqIAfBcf/+b8urkj8JVTAS/qP149/fHzm
/3h67ZL317L6Sdm8/unviAH9F4JizF9TqkyTABaUZL/plDV+hcIXkZXgnrF0pG3/RRjQfkHPZjpw
HS3UyoaOeu+/CAPrL6G34fdTGSDFdP4tmfKqEP5B/qgj/GJmIBxDsxBGo4r+WVXWIXKIxglr2GoG
lf1tYt6GZEes+e2d35Z7YiPt6V61Nqm7v94W9Z2bXOukIYex7gtowwqDfAMeATcbzO2HEl0hKs35
MR4f1eUqbm76rvFTaoNyk047KyQ74daq3lfP2nS2KR20+1+Va9/V6je/fe+/QRR+VLP/dK8hpOef
3wvgf/otf3rT/k+Uydt8an8uk79UZfdZfkby5ztw/UO/3YG6+oshdATJKkpFy7XXG+37Hej8wmYS
dbpw+DXHtH+4BY1fBLcF/AuV0RlZR9zQ/7oFnVVubiN9RAOsqf+WUl7nt//uHnS4wdF4aLqpCQPc
xs/3oCIUXaDQxv5LvwK9ppKULnScRFLGMMyZ53T19NXEtqAH/TCzwCLPMkdqWeYAQcF5pVZQzxOr
LwjhKkkojnVuW4bMQcpsNPGXfFZp5xcolYUl7Y8MN7i7LlTcnGx2BEVjLorCb3DxekC15adtTjrF
gOLaWywpAmxRKGlMwpjo+SYah2uif1KkUXPIJNkkzOMxx6MHsrJZ3S/Q7OIdBnPGEAOxpJ451sZj
wRHcYMPq8dCry8K7e57k15nt8wWmqgNdobXbRwJT3ARIQMX+zw5NhjlmjRQDzjm6SlVgLSVHT9Q1
b3VF3aeGYtxWhml+WvSf0DJNWVGDEfDkKVTo9CpO4kDp6hjkuEZH1RCCO6p9hk0mcbJC1GdktdnR
Ueu6v+LNqTs7G+bd3iB5gOX0InR1b8569ACxJjomdIns5HH0kVuQGcVVxvIWtxKX+wVChvjS0sID
GWS4dbIXMiZYBxC34HVuCoKSVIJAG/V69ohQpqit1QIogznqkKqcGkQF4/3hsaER1/Fyz5BdI3y8
NqGkbYowxnb4IWo68W9ZL8zLBCXrGvOQ8cb0y+h3ReEIAmSg9Fk+oS2uvMxRoR11XOwpH2+v7d1C
y1d7wHRbmVhRA3LQioMOdg7bHAIShYhSRFplNW0blxE7n3OcnR3FTL40UDygCHSqCPpQNTA89BaO
/cRV+FnyDsVFIdw7G4zKEzc46sJ+sEI2sAq8i0AJ1+RWWBO163cyk0QOwb24WTq5nHR26atgoWJw
T9XQOAfFrrWnQs9hcwwCE3qOzh8rOrqiNIjCFrRXpESvZC/3qU/OkPZoWng1E6LKFr+dOnLiydmZ
KsLYGEt7s4gIaatnl/00Oh/5orJKRKLX9dMFMCylIBAUeo2syrq7LOrCy5jOKl+DIFfmHQ74VE+n
DD0waMwly6NVFBH3Cytqxemzm9Yt7ZoVwUSJzT1UmZ6D+o8Vry5NDL5RpchNTHgwq0Zg6oRo8G68
ctDapAHDKmYkoICVoCYgSKKiVhHj6IxED4taDxdXaaOj4ATa27qSwhWrujXiPiNi+IhVsT60lQ3Z
QxQa6CgXzCXBHOqQCjhUxgWyrOpHbjPd2shYCAQeV7vpDFCLcKm4VW+LBPffYWmQpvhpKLPF0xtU
Mw9ot9d2BSzMd9vEv/Va+tN3zk9vpv9thdIqRP/zl9OhzV/bf1xeZfJa8n/WeukKitLnj8XS+jd8
r5VM6xeVoZiG6Jg3guZQ93x/U5nmL/wniiG09iaGcAqV78USrzfk6SyiVN5EGGB/KJY0ciPB02FZ
orgxiY00/51i6WerAe4jhgM6pRcFmUWz/Wte9w9WA03JOB6gE90QYmb4KjBtO2tMj9gZG3F5uXgx
cnTvh6v1vZr50VLxs1lk/ZprxYgLRhe8C7T1Uv1ob6hb8sKMUhtvlqEftolKyGTM/O7v5P4/l4G/
fhnDJA4Oxwg55Pzv5y+D5jEHbaYNN+i5iN5Ni/0Ss57JF9qGVGGmFbd6dMnG7DCVDrqiOtr99c+p
/eHi6gK3jypYfGmGIJDu5++gcoZ+hqonb5yqG/Ym+SFbcKBiq7r4Y6xWZMeCPs8P4yjximbQyZoh
LIEJfL7nECcbxwJZ10NIvmidRs79UEdvBoLgv7lS6830Q8HMldJtiiFSFiFyCZACq23ih5sA9q+Z
WppZ3qRGGQMc+bULJ0lhLAuxX3RUarw4W5NswuYqQWXrq0v9Qo4VMVDm8tEBX3sv9c4AgyebI5n3
0yUOqa1z9pNbVmPGrgZ/hIParfem2t+M1jw+awaJUnhgmK612kDEk1p+Bfr7W+XM4fIv+tiPt9rv
YkzXH42OgmbDdKj5dPf3dVhZzApyXjO/EW5mHptSA123iOSsjhHMFmIavd6U45UZFiM6yhk2kIvl
7q/vgz9eXlyGlmFSV2I90X9vq6laaxRoBLMb4u/0U56LLykgpcBAbbKd7et1FO0Zloz/7vb7wwMg
wN3gbFQNPjwdSMPPH2unuu1g4We/AQ0Yky6jfclj3O8x6x8/TFuXDWZ8b69ib3T3rc+2U9n89U+u
r4/yv1oxLj+GLYsfnLKbJ94xf/cMlhrJMCny02v4te3Ojgg0pZS076KSobQT2ohL5nszSq9bfcYX
s4aoJzLcQmJZ4MjjP8iMhqjnIZ9vM4mxDG6ODiHZzzvtma2YB2ZI2ot79dff9h8OKAGAGUI4gDw+
M8yPP1844EX1OCm6ey0T176fxTgEHYF7f+O20n52I3Fx+NvJfF2PcKEBa//dxdEn3CKV7YCABh1E
0qeymzRuUgegBGHe6Vbr5PSKBeYtgRGfLxZFGTPRvzmMf70LfvqIEMIIZITr52PwuKx37w8Pv4Ld
Bm/Sol+XRqhehX14sdnAPA/YzG+6kLE9y55MO+tFatIxq8ObEI21pgbaDjdOk1UvQlzi1mVXpMGK
6IOVMXggcwU4aDwgWYvZ8PEuMeXXpZcGb9F/vnn/H++SP56xloYX0HZ1Uvd4xH/f7KOgQUifuep1
XIizVJLopQU4HKS2CYZMavMAQrB300vKgPhigysIMWcN4cFm1WjA1M/0jQmx96tA13txVJuR4oBW
81KG6vJ3D+TP/rr1A9cNNoGqMHi3E7X0uxcfnJsM/s7QXRtp0dwxQYEh0YT2StzWtooSUVsOpX0i
Smd6LAgpxnWloWpKSLNLaTGG1svMkqlljX72mhyJZkvirPs98/z/l3X/ods8gv+8u1bv/3dP/woX
+D//cf8p335nzV//wPeBg/HL+vnRTbmaxQRBo+P/58DBocDgnF1Nvch1/lnFUfnx+scPi6HfUl2M
q/+aN+i/YMmn3tL4phhfMEH7N5z5nBs/n1kc7lTwBmZ/HgWKTfXXw+aHxzhJWs6qiJYebstwTOAm
B4guySC2o+rVqLT+iy5H7IEMmTfdPJFdR3cd6528dnBXnXE7mG/IKxbWHolzyOM5/hKny7IV/WKe
6e3BtdgUEM+swlriG3B6ESWCVMBlxY/dEFjFyAT8VskTAai/U65YR8o7GrrmCo3HSMLf2N+o7Oog
ZPb1E0G7ERzeOA1G0bMCZ61OamjSBtLVlce0ayDuItg5dGR51JsxQQmyqFNzi1DFvDclU3QD5cwb
xyd5w3EyHgyoifupJmNgJJTyNCFhAhtA4tYSa0tQtUuxxUWSnat2vHDk30RQBaPJvsu1MPEWXbun
DXY8Zk3GCuLruQxG+Oo6cbJRK0g/nIsbkwwVj6n9RzgSiw3lOUigYNY5YJLCbnYoQrYpOrYNIu6j
buTXVvQ4ztWdIuDZx5EYb3qGK1toc5G7UaNx/AKVfD4TSY07yui7T2esTeyWOe6eRV91sUjKwXnN
bwSQqvdmXzQHZTYfqqUcX7LQxdgWmRRpGplbMcWXbordosnyNiwqNguYOB7HUp0D2+rR3FfK8BCh
38GNVkewSHCJESg7Wh7JpP1TZ0wCUW2MJyJiXnMNROsd/E6gpQWuPEosTEqF4SkOQJ3S7sJ3QjXj
XdEY3a1hIGwrc8rFOuyxINQmlCfiRvWqu7HbDpsapMC4MbxxJgcZw+aBksSfMBeNIob6009PUU0T
Pk8q52D/ZhvJnciMJJiy7MIOtT46c6p6XbHEW1inMP7FcuqG6dRgXFPofokVe4uJZye5N8qCshge
B30lKbRRH5+VpkWk1TU130Sryd7XySrx7QzUKyKyJ0Ap2UlDUH4izYhkkYhVSWsV4Lrmwtiq7Kf9
KJV+mpTB2HzoDdgspANkP5EUA4rtGOJ58KLWaINmQhPJtgp+G9R8rAjhserjYCqH7CLdsfcSFwQo
YoqdkxqsmYjrBQunmNuqMUOd1ZTt+IOm9TcoTTcES+0QorjebM+7hGDwjZiJ+EmFgXhLQRc4kCrD
QpXlETY9WNJNNe2JFmiO+uB+Sqkd0MahDUy7EzLoaTMZM37QzqYwH6Y6AKSKppYpzDCmp0FnKbsw
gCLgg9hiYNMno4aPDVMc1ZCiboUkgKMzSuOQ1IZx1Vb1VTs45u3EgAy2WoMzTD7aw1hd84q+LXXk
7ms0DskcBeELZBAGtq28TsDgzy1quTupQtRIZwOYqYlax0TNPbE+gkNlEQ6louPe8CDI16UzrZOM
HXOXzXSjA6L0rAuja2gN0wZFPITCQt0NhFk99VTf275q+vteF5fOUbhWseKXdXm0cUTkpfEtLbBG
mnFysaLJfMrKRffr/Lpr3cZ35tWk6ZjACcfxvZxDNpWNajyJqWh8VGHJia3T1kiQGXem8oxGgTaB
AYuvyvghXKRvdST5lXOxt4HdtoSRJfY5SZL6yUTl77FGfs/j9BZ8QX+TtKTIu8R9Gvhq5u6psnWC
naKUexKSMUkkH+Vsv9p9cyUGyHl2gnTLyvMcMwZRfnmSHkVN0Rv1FllQeTY8kclSXHTHUAgKUZCg
L429JX8mezeAHJ+TCCQ4ypXlm0yrzC+JogwqAO8n2I/tDnkix12rqiinyzT0CIxUjqhfcuLgpgkJ
Zc7z1NQoplDz7OSMzDkeU4HO3OU0dEMo5Ik97gFPRoA5MxQ5RXW1jNSJFtKVbWRqGqpW3TnNjORO
7OnjOwI49K9JRfQHltdOu8JvL4kZSwDYZrchJhjoXmQj82eXS54BknWd0tiUZCN/WEpm7bXBTZ8j
kcxXtmzlpwve9nPiYztmi3urDSnzOmec3gT26Ne5zoioFuGJHwS8XI68KWoiGM/Uh0MjNIrUKL8n
TPSj6zRMRxVpbEqnlU9Vtwx3tV7kT+1cwCe0lgOYqQxBhV7eKtVAUNOcuvqaD2Q9K5MgNNUtgnWg
P9slwapm5Y/pooCvisOrocneEXiAtkq6wiPMIvfVOEdqDolAf63jBDxwr+jtU+LE6KFKbTWzws4z
SChfrT36GuNdLhY733bMFWfXzop5gIunvBhDXZ4pP0j7wn5gP5iq4ogNdq3+xUbFvWfaXd50BG8c
XDerzlCEFb81U7a2erJ6KxCFyLOBmxFwGg7xRzSs482Q6BwDCa6wtx5jhrMJyyHcw7yon8DZiAcT
gVntIXhcmAHnJVyEriJUt+mT/m7QdQnZ0inv9Dpu7ylFHDwApeXlVt9uWrRYm1DDpoP01URTLaZr
8kKXC+INgqCyvN6JcMkeK1N7QuvGLdYX1cmtJ+OYLLRCXA92xovVVJ/zgpG/meP+W8Rvmv08aY1H
e56iAbmnzgmJnxwTpzRuMqIjNXd10pXDnd6LoHGE9MCcQyEN3XtyNDfEEV01MrxTMqhsRhV6/Tp1
7t380QIb9428dgvHNuy7dt7l4oNARp8w111nDj5amDdVR+lgZ34cJ2YKiDKcUSBV4dnJetQq6XhA
5/nqDGTLoHIkvE0HwvC2losng9n+TRG1oJGnJWw9J0ZUGeJxBNai+HOEFJ3bFzlqv3NtnlG0qb7u
dgMpEpF4NLV+9CkjjIuacxyr6Lq2Jbh9TP1LQL/Z3g6pZj1KHidMcN3U3Ke2oYMPMMnXiMr2NZEY
epOe10yYY3nql4x5NrDiQyyw9yUG1V/U1fBeXSRhlt2+zbm9IDfrRy4Oicm12psfYkZ8Ru3V8gZF
QtdLirS20U5kj+T3uDvtbRJifZWTtQOi2O/sWHuzU/WJ5U3vQ1surypXIntJG071KsRcGCZ7dW52
Os+lgFEXOdVOD21OSZeMiEU31ScwcDoh0mxxTryEys8hxc5QLMhJFp0pHg7h0dikeRp9NG32aiuO
vNYLLUiJSzwbSHPuRA3/zySK6UajJX5p5DCcSmWoHiMCqK/Hvmv3Vj6XYEJQRDELMHcsRdL3oXTD
YGhZCC2ZYTzi9q4oBcrG+WYUOZZ1zNLWTq8pZ+nsfQG9IdbyTWYN13N0VDOy8dbozxGYAJOHPXKn
JEiVOL+JKhkfia6R+6lF3o+LObpWGR4WAbFJdWAjEPW1CPOU4A17gEp+2y8o8oURu1fj0rDAg+gD
PnTQqkeIVy3OaPKI1I2IIQFxjCcGkAuMIKlKQiJLbiX9Os7Z3lC6wNbCe1aGiYPnHnw5IaBRtzS7
HucooD/DCQ9pPmjfMrNt9zWhrCQUdUcZJQZzSf5uCTh4n8EbPEhZ94elt/UvjUOAMxg+oNHgBt0c
ta+VqYwK1oHfkiRBT5bL7NEbtVBsRHiO+pYktEVNIzfQE8J4WLUQdmEupkHaDGBfnlJToTjT5whZ
4Xqfw46uv8opYdVCEx0lZfU8djkRPwtpKYXPjU8yp4rNiCpKQ2qvxOC52zI8FTxoJeMVaULoJoU3
kGx6cGSOa8JrY7vKgysVIhQV2yb5RZ1LwjRdYezrtulGJMwTJpR66b+MEpZj4xgJNAimtBBJk159
KJGaQ+1pkxWwmaKzRWWnhlw41XnSiEoK4njVZteG/TBbEV4UbOjZ3ZQaxU5hGraFi1z56mziuZ/x
M/LJF7o31I7h1XOCpqllWfSQj0wMLEYI15z/0ZbkhAgTvyT8CFfYdQgrAfWCkK96ild1o6RZ9U1X
2uU1q1AMd5E1bqeqeRhYyJKL6crRI6XsyjY7qjk91XTUso1xpcR7sczWuRC8k4xMFlem7OWRmLn8
QacN4GCiqeMFAnPc4BsY88j8ytXpDygmsb+yy8app4zburbFOWz7l9pQhZ87nZLB60wENJ1hIZc7
5MgrSSe6JjdN309x32GIjlyvkymlCvlhR2bf9rHprGWHrF4lzpeguFEhKVsBGLbtW0c9YbpUAlwt
xqFEJrdPhakEcbpqsGq7L57buRaHtHZWTSEw7oXAIL+2i3nPf+KFqkqall07ZtoXaxyWzKdhvcOD
8oZRv9rgbEWlh6iy6wrgLoSoeRZbTpqvhrYI/AFHD8b3a4TyhhejXd9Y8EtOg+XX7T34nrtRMtNr
UxF0lnZDw/C1dz+MKToAB90N/YjZqUiocXFOJup4V9HxMYEa3aMbw1ieyIE8cH9kHgkP3TPf6Es4
lAKvffVFGROSyZq0e7Uy83NM49OANtRDq7nRCkDIjnGZmmnNn0Nd2trxN0Os4DgV7xC0LhoGdxCB
nRZfJqe2z5PZP7mtogc4oKKNW4SXJc4YzI99cUWUBKnxUe7sl3lCGk9fLC52x1k1E2mQ2or6WOsJ
LRdNxcaiWvTVyQ79mepyKgm+VKh6YS0ZZ7Mvd0mplSeECZ4hs+20lOJeLoWyVchd2DWaeBnC2Hnm
ICQ+Mcm+lmqJLA7TesxWKtGUJ+jBS1Drldjx0Vd+qLdi34XZwzjQIXK0JZQXbkevQEOPG6wu7wiU
UIjxjUp8WFjP8l1VR2EaNOpgr7ij0Mclne74g00ANfc+SZf32Yk6ONVYceBA9z4SzPCmwVLC5baf
jISkj40twvRgumn/lg6a6gkNyOiGRycw6mmLabzeDPqk4EAc3DvdRQTiydC5NDRGTt9dkqzIrwVT
G0hzibVtZjj0VmcGQkhnQ4B37U/4bz2jnSG7kgDhCgrMpiOD1H1Pe4f4CsJNyEVvAwbVJyMBN4F9
1PVnp3nE+XAvCbRiAYyiLtbalw4iyJ6mkvtV8HE0LvatZrCGfWNGDj8hL6Qxugo1zTwOYl6utSn/
upjq4NnGYO+7gQaU5oVdSYEgpUmuSDqIDhP9sl3zd+hOshNU6BttRn/IcEUP0qjYJZbm12Km4FE1
DIkdX31otdekA+YH6OZris0mKEdCTxd80ih8SYBgrhTw6YHVUdjqO0NBqLTTgOjOl1utL+8brTkg
ViUiF8idbwAc8RpTg9MemWfet9hAw/tMf1P0cdiZKqYmNNHJG+kb/YYx1zEf7K92O5w6yvVG0/Id
VCfIyZl2z7uive7zviYms2JMgW8o6kfzhDR/OUCb3utWGEHsCbeD7G4QNWPdlZtidOd9n+FICCGu
SI0IjTpaM0yY93lNJ4Ydt5u4BQCU7PIwBK081rNvpe2XEVXydZvh7QCC+wwLJPfKKt1lRC94aRZe
MurxfR0iUZgXRKBG0T6ORbo1ZHquCvlRO45NrgsWs4ifazcTXnMs2+bZ0Ep5W7T2A7peFOU5/nZO
mG5XAnK8ypkX4PhR9r3ZtAda9JVvUM1+CKnZy83I2qIb7yBudnPQF/qtKxObs1TR3mjf3iwbdbrO
RvVQEzK/0QlwhREWrgYttPWEGhDQy/MUxaifB8geSSOEF09ugw8Tg/gQqQdo+tWmQoIN0gD6LHJ8
A65UtJGo+LMkiXxWDOqlxuOODi99JBjmSgUWsndkb/LkMeJxB0lLb82Tj3cuRmMPUAg/UydeIwO2
VRaX97U+vXYGyla0UHKTlQXXCLvyJqlRXWkpUwyJcryxJonKHdNVqyl3utUco8al3QTVBMIt2kck
tO7gFyVYWKheEbDvrYpZfCTUVZ5uXZuFc1EprIlIgDesNV6mZiegPF96qaWk2anJlsVEctYc3Fmk
d4ycKFd6aKGp4j4p9zAOeF0UobsDEHxL4aHiZGMbOpC4S0QdGprGPU4zWIuhosHsVxgAJeA3wPfO
pzPH76BULCLHZlRPkCU2HFG4SlQY601jYBnm4aSeSnZNDzQkdrs7MUjPWvo1o1h0dwWmJTfJnw09
bQ6LXqCnjVFsSe2sKvUtmRM7aSjWNwdPiZmEu6xeXuRIOZGAoHIgYZCdvQra6Xkkul7zuRN69NV1
MfFAS8aamp/rIX63eSlueqiMlHGp9qwVXPiBYYGVr1n1w3CLqvekE4tk1hBhZCZ6r5uMHYgmr46n
3I/ssnwwsyLeTeZ0aonN5MUxj9tlNl6Rf7Nr7s4AVO2VQGBMyWdewAxT1juQtGcF0ynwvZoancAl
UuR7y/alY2Qn0gNup4GPyx1lgKuO0qkodmG3LEFsA1PpshRp2FIGekhsYfGQWO5ByxBxVcTWgyhP
UatN3UxPr7uz8QgV4hs6B+2MvcYEJSuMrQI+/UxKhnJ22q9qMzwrxC670QrIlM0H9OphW7dd7vX0
gkTgpIUfj7UbY+os33jPoqAnOYTNuSQhaXohyaGG6jSVvmw+pakHWHOvGEIDjcnf+3Z61lNhbTqQ
zhuriA2yCyPybsd4OWuNLh6WiMOdgA7uFvOLAuii0gdj7w4XYgj7fVNH76RKQiFv1Ok8zu3k9+mE
G9YIKVvY/NvDWUvUE8r/hi56Bs+GZ2yprauisC4xfAM3zhauHhZId9SXrS4s9SVh1+BMOvIyMrD3
xlxgXf5sqwAsy6aZblhXB6Mmd3r2bV6eevVlIHgFwgyNVQ5qx8g+sYBunTqngITrd2Mtbe73QLDx
xq0pPnn8pU1z5RChKed+POOC1h5UxSTLy1DyjxgYqV+UwM9s8oJuGWcaSD46mDWqzBnhK1AfDTU8
jzxZiVLe22l41ZG+uBtwS11yG1EaxrXHMaRCF/GJSFTO/l5RAKiyo2Nl8KybBZajtA2qRYlPZpbm
Fy7/tFV6sQ97k2+0issH6U6cVPidnnvlWbjDVp+nQJINAZe7GEg1Dle2jCbvzWIdpjn6MdKWQ8aT
uKMkeScFJgiz6KRKHXvq8FGG1ZWpcVPSHn247GH0qhk2ea6elCraEXLBFVsAqcNOMlwrUFauVopF
iUSZ5WgtwgH8k2P0sdVdP5GuQT5NH0DnMr/MFEowWgDXmSMKOfxWEkahulyisHIIuW/rLe1UTqFd
t7f6AJszYWMAriIvmd5aHa9ux/xsRY5AT2KSnN4Nm2/Hrs3pJeNhpwFJvWW8nyOxtxJuQuwHOdi6
7KClSdDxxsWGsknslxq0Ka+jrd1b/THCsHZZ2BRtsZ6ihMVGn9ieOjNRYSyOlZP+ruhvephLs5ve
yz5dYAZExVcAyac0VJh9jXd9JxpMgiNvZdk+llRNCVn1GymbwSMbyz5OqJD80iG2AurQ+0TyqGdR
SsxqS0Sz3YiTtHhTMQSTJ3Mug2jsZ6R7DBAamweBUPhTw2DW4K1H2AFOl8WCVdGUSAelKEexIeF2
JkZzsKF9Mv6rL8SSylOmDgtzk5FDhfRVIqai9sKA9BvuMOkpYcPBq1H5BQuO9+uO0KEgj8m9n01e
kwYd134GludTrD3YGFP3nVI0e4UI+WhTa9Q9pgZTZYrB+Vuyci9tM/SIODFdbdNS4PUBDknYj5ba
j9j+cAb2YCEIlMHGhyKy8BZW/GSpw8G+hFrFwcQ7KApUoBy7dKZ11sg38Ply7k3K7P1NURs8/YND
FrFarRgcDEiYxir11az6s1JYWALL5AAPIf6iiw6bqcsxP0wN3nOzSQ/65BLFM/ElZm2473gvf/Lh
NsFQOuB1bGcgWD5L1S9K3qofMbUNQLkwjz8rvOR0k0zEwFPUHmyL7F20pnqOc1j4kqy/nVV243Nl
T9NTxuyZpFD8zkQo5cfYYriPV0owDk2MF7Rx2oWRkNilkkKz5yC8Dt3k8f9yd2ZLciPblf0hoQxw
DA68RgAxR84jX2DJTBLzPOO9v6x/rBd4b12RyWym1aNkMpNVSUUiIgC4Hz9n77WzufVPI9Hz18jF
rK+92lREaHJOcE1HKV1cs+FDSwAPHEyIqhd5lSXntG0JfxtJ5og1MzpPQ1c+dchUDgNGwA3dKfI2
7bR14VqKcz7WtZvN+UtQ1VdGxPwA4yiKcZM8+LCJ5QUPRLfRHOYJ3DC1uF3cSscuysxnUUywGUMz
GB4W6syhywyNPhOEoAmZckAvclAPTgFN1gRXeDvG1CMWsbjUHXk7sdWSsCRT6uG0CKwtJmKYQbK2
HwdjrN96E9wCvsViQyrN5A3kLGwgcJPRQ774JhrwpyJHvjESu9gL8uWfcmFOJwgbxbGIZv+tFrRO
6AHlgWbRR6wNnuoshwxBI9uIJFHoc3PfKhoQikYJ5rcuKtDgRpq/pVWqH4vxAZyl8iLH1udkZLU7
UKLddRMYgQsPl5lcHqVbmIMxSjqnPjZ+M7KFUVxgXVpengoAJZLvddNTF1HjVcK/ivx+2KlCM45a
AAhsGs2cCkGmryU/wGEmu2xHi6Ed18T0MsdBWnxTc8L3/svgRa4zm+7tHPcSfKJDEN7cmPQ1ZyhH
QWC7+J1ClhijvvqhQfhHcoz/afpZzUGV8yepxfnl9dtbQRDCx+rZf//5/1Ze6AYUevi/6Hxwe/yt
vEAli4fDQmMBeRy/h8M1/3YbLaEIEKyliW0WDYaOXuJvq4f6F1Ihg5gFFBNAAsx/oryQyzV+krhJ
YQjHMdDPIihSBRoqPt3P+il1sipBbQZuRha9Tes61E7gL79F5F4F01McIFSPKZvYfr9oTfkUhsre
sgbrZVaUaZuH9ZsZIHFAv3+FVS/JMXWX9GYzibuflOHOedYDRWyyRNvavnatTY2LUe7KNCQoIobt
fmQObzOL1rKlUTtgqIa3rI7NRZF+13UQrmXa+F6qOtFt28ricg5ZI/bNlGSkTpkE+WRIzOMZWiNL
hoMd4aaoao/Vzk1sYuqs+DIYKV61sSVkqhCbCU/1OWQPPUcZasmVwcECCgU8xPw+LeqHKpvPsBrO
Gg7XLT1EBlJQoC3wqxFDjK7IdW+SeP6Rv1mXJv3oswymrZone5iW66z1912d3rcBkZuNIdZRRA5T
yw/o1zVD7GwRCxYV6AT6CRlWFPZlHK1tecKReeLw/hZG2ltlK7vSxNoSq9mj7FWPd1e7Q3qob7rA
RlCSG7e6xrwU/vNqymplk47DY41KYQrmuyopv2Fk7k8MF+6SQj7PmTyYGX1nPRZvOebDWMNwOU7K
dR75R9Upm6ue3Oh9abQeg9+Chpdp3AJTdw61EKsunbeKVn9tLMxntv8t0xTVrRbI8txU5zmYsEBn
4Z2O3HulG+AsZGdCBasr1xxF/iYzDurWEMubUKR3YX2TwpRawd2hiAKXdhuNqAJTp7mTQn8BCgUI
KqbHi+IhrvmYmUaqNqqebK0Xc7kyyV1jna0vmlq0l5Iuu9tP7KBRRo3lYw2GmhOATeqCXVjDhw3j
xNOLFjR3hYWdtqmzjtRU244DLpER4SmGaFl5gtnjSslxtKgV6ItxCL+QYQcVSenTVTnIK/ZZj/mc
fVRshXxRzHMBXxiz/SxWQleR3dmZ4WYFLICizL5GuCYGbW52SQlTKgLlRV+qw7yy0kS/nSo8+0Hn
74YYQ7E1SnqDVrOuM9J9Oo4RqijQBuW2CzGKKcWcA3jMoHytRe9bz8JunmWoFKRaTobrp00z0onw
6Y4V8jpu6M6kOr0kDnN60x0nX9/yjLu1WuHJlfGdZegTL0dafWUih2yhgPcYmIrxrABN418Nb6yU
W1oNPXA9pRvFCiI4yhiGrmsg4FdmcZmG/nOBl9x3kLfkMNIfu0S4QBw9x8+oiTtyU8FYXJjhfN2k
xrQDqeBfxjX6aV4kp5v3Ux6htKzR82TFN5z8oNG4IZ5kmqzrzpeAWCGV11YzFSZn0bPZR6xQASdx
7gqNADUxPOYabtIKqhRjnHYW687ONOVwpVMWbwsAWW7WVOkWCswtc16vc0B5heEuHy0Va7r8bsz6
2RFFcAHK7sWcfHkRlibDxOKCGGWD5iR/tRXUrjEEG6LuD36PHkHoOzVW6fJlFA/d/AMOjkKHchl5
COleDBZ4v5zRcZNA3+Nr4tg6dK8VEojOAO1V1ibMlQoMAtv4qsg0m38qXycgo67dNe0qVb/B1D90
YXgV8jF2yUQWFD0hB7AlY+0UykevXmLfcw1NOZJgCcCGNg6UAhOL2rCiTcxDq20VZ/xCWgfHWDGP
UFrtlqNyxZFfkETLbCdZG83waMfzCf89sqBZJWNp5jjh04Ybw626KNzmeLqhR8NtTZQdwnptxf81
OuaF2NrWiOI5JXorTWgTMH2h5CP1xpHzFzVBh6HLL1OWHUc1iC7qLI89aSJSj9rpWYukC3XmFKQI
XSZjfHUCdZUYREli8rJRTgD8yZY4RrmuC3MHGugq6jgs6ajg1mXX36l+vxoIYSytL0Gp5asQs9pZ
Wls5K09jKGlMjfOuomkeqs2LXUH7qPo7xMnQ98ZHCMU9R4Hxeer6M11z9DMpIIugIjlFcc6BHDDe
GblyoAEDPG6RH/U5MKtqiDwzz/NXBBQKDVN6RXU2vEQzWgjbma8l83XXyiK3Ni8p4t+0Xm+PfpUL
F5HMazOO+soKHoZgis+gQccvUdc7bl3QqWKvi8Keja/x1wK/y9oeyPesbVkZK/J3ruMxeMEBd+zV
dhdZNEG1QttLDFRb+qrDU5wCbYHj5Hi5wXZoWdUlw65VMX4lpZjmf0CioEPzUMpnhhk0liOa9fbs
ta3aO5CsJHKA6CLSyivM8IR+Wt+DsprWqtVzbHSMQxTzWNPOi1yOCMaanvlrGTEyjMBrrRU1vA9k
q20ry3qdmONtSOkzbtVF7AhVFyn4DwWk1qISTBZZpA6j5D5dpJJdrileUTJvjkERefXywDlGWD7Q
x2/PjZ90V6aqEMwQZdWFtcgxxzBWLoIMiWbRYxkLBjv8TuRAemotwkDJV0fViam/2epOK58wS4C+
sxYBqEbK9iZbRKGlIE/aWYSi1TzrX51FPJqynVBWJChUUJainGMUsIhNpcy7x8BGgFpXCu4L1lja
7hzsm6WodpbyOlAptIN8qbnVpfxuRJzeJLMvLm1FiWjY20Ap84kA3drcdVFbbpyIed1KD4m2dGy4
sWqHW86gUflCRAIMKOZBByPLODRntTjO+vSiOH77ljgJNFV013eEV3Qu6wWr78hEEzOKWzECuVYD
MvoGNUPcOA4+OkDb0PbV1ILFbKtlcs4AmRDEsDwyD2U8bVbqJV8hPAS83CzvNYMBE3zkWUU2AFop
RTv7YhILitcIMQpkpMjDiXoJOqi7jPNUyzxCEDnOmHVdXw+joxyaElL8iIZtq80hzZjYMoaLxWq6
UhL0Ic4cBQeFE5CzIuYBmZwSkUpoi7DwujSynqYUcV/aq85mAiOzhWnbfR2IGVxRQAKJDSbaXbFQ
ElRnpGBrKULGmAyHeNURGkBfpKO6a4mUeE4qge6TNbKB+6DMW0LzoiN/xmJIcYHWBa1Hs9F912JH
c5qXXhvpKLXZK6bktTJZLp3io5xqTIwi3edt394DXcONO7imPXyJs/SoTJxxrXTYo0qGnt9lJgK4
ABFfADa8NH/8vnh7Efj5gqh0xtunIqQrPsz6wcA3uRpqrKxN7HI+LK5lUXTHMp358mF81JpsYoiS
soSlQG8s3qJ1N8r0fvL7h8afO/AsOqPwOcyYc2ANznPo8IVzLAIt31TMFi/BiZyLzN6ht77HQCnA
B/XV9TgMXtJb1054HAQv4OyDejHBlDZ5rl4YTYh+xik3mT1eVVW7Vmt4SAl16OC7VUSNHylpsW50
pbg3FWSj9IMMMe0RTq1KVZKVXUZbX4lusCYZK0yyjBE5v2eR/zDPLaChSrpqMbpapT74hJbCn2cH
qFkV89YTJpEjwEMwOxTONWaSzLOEvzUS1YN08qBbdXWSQBFWJZIUbng+PTFSfGL7PsIKouXbmjth
f68I6LqUgnjUsYA2N/Dfvig548aRQR2o3IYD7+TWVvvK9Hs+dM7dmAQnht4bVACN54wN/HAF5QkJ
p0oZAgPJ0FXMqIaT5nEkOX4dUSamjeNy3LsSTH9dlZNOVlQLbP4gW0mzvvKjb2Cn4aM78blql22n
fdDCSjnpdnKGtDR73YJmiYOz2dzjIysYZfRntU1ORDUddHJf1vOSWU4y8K2z5Fs47WGqOHzIAmi1
5hyIJmfnVFu6Td/SjnH5MI5faGtHDA3nI8jdJawFGL/NI9W1Tu4REAsZhyiJFS2Dg9FTlrOrKQFz
WPJAPZgxbD71yF7BX6EQwzPWlkawvHXRpFzemC+bGe0wFJyz6kAHNvFgQ27RT/VUMSn+398xwFVh
QHL4U8/gWDRF/wsP4j9/6N+NAu2vxZ6BMxaqv8Q4y5n/XxYNGgVYC8DwkoIoNFwSOLr+bhTofy3G
CV39wYrAg4t94+9GgUajQFo63lGI0YZmaP+kU7B0BN61CrTFZqmaOL5MBsDO+5C7NPbjbLaSnK2u
Ca/Ag0+HgpPfPjRKSRgAZ+IidcMcqWQwFSoS7SZ9kGb5FhTpl37SD6JrX6idHc9Elgoeomx5onud
5ixef4ZE+nVQhKTKNQaBMpl/N9bS2bTN8NKVAIrskfmQUg2XQcyBUM/9h0H2bmBRt6a1f5VLJduF
NnzagXPOtGhw1EC7BCx9lakT0NJ+Ebsp2tmuI3FbD4fC1g60FINDrYT3Y9R+Ez82KnweF0QTE/5K
y9z1u0au8ABDVUFuiCPM/6o5Awlx1QVR1qdRJk8YZHijMvytBgLcNuv2WonSpneSkw9EY91Z5Y1Q
RbbN43ShIweYJFrtmqOz2PtKekQK9yT0oriIIvO6o3bKZ99muwXFMEGF2lQJHYNyjDyYaOGmLpqr
TNGVg8HO3NXTLu6hZZNClW+dOPPsBJtiISFXVg2xNwEnWWE9tI26mmsHpCcBrzGAgNiheB91/TYI
xouq7HnFixvVmbyqK3ecySnG6n00UgaU+h6Y6KlXdc+OutOSijFWiGozOpVZzGw4Lu/ShEFTXsl7
p8kAWvv6wyQd7HSKSv6YpW0RW94LgoE5Yym7lmyy82QYqRcjegJFwIxI58MMjPFqWrty3pZL0ZLk
odiHVUkB1cz7PPRvM/onOHpn4LtE68KCcPMGKpZp1F6MEUdmkjQIOGswzfZQyHYoj3eVaZ2j1N5E
SbzNAWmg507QCCbNsayC40D27FqJIToqHL2p94onTePUkeRtS/gBNTi9Xwrkb/A0G4Rzvjf3CZV1
xfG6iyT8w+61N+iXLcWZ1kxsE2y1ZZZsjQrJBi/HVhWodkjy2MVVH69VyjkQZl/w0GyRujSbqctP
6N4elCa5yqzukvLSTZr+DhE2aMnUhUxBi4GqShDV0cTaNirjeRUhBXUHw/5aEcZM1JOB6Vkwu9By
5PoDZG8CuA+DVHe+1t6MGLNV3TrpxbhHg446a+L8knTIi0oCpjc8Pw9+Li+oBTkLddaNZud8kaE4
AbMPPAibO2jyxJlw6p1mIgiiHwVt57gZFNE5FtSBRnBb5skmKAtPTv7jgOiDn6L9WkUQR+bw1RDK
w5Tn1UEPDMLZjNdZype6aY+BYMqugr1Ahn4nllZ2Z0W3NA4JMNZOOh15HQEEmcM78aPjPS22m2iL
3fuyzsutTMZrR0HXZE/OqUjH+7CKr4NKeGA6bysRXJd0zqOcp4VyUywtdcfK70QMXMnHs2in09ZS
CV43UudRLxioYEQyGv9lXhrxs15d10i0Sr89t6RrzDFkQzUm+ArQixaTp5A7TEvL4k226T6230TK
hqo2xe2gUQv7iEYpCQO3rsEE2DkLxKKoNpdZQDrUOeNTA+hS3e/xh2abcnzQ1eDoB4ULBocTA4km
iOfFHf8CJraT3tSAHp/FM4+oz6FbXGTSyLy4AtSisdhUinLgcLIheCG9rGIt31u1ubGK7q5iUoHy
5bLXGAxz2twmBYKPVm0z19dUcwspN2AiHt7bykBNDH8vcR7Z3V1bFOce4AcpTtEOzmPiOtaDk9+H
9j1F4ryGR7wptZBR2qBf91HLwj9TIXA6z0bxkNQ1QSa+29jTa0E1DWWbcfxUQW1snHjXML/xNHSW
bYA/aIwu1HiseehBJ0NFO+qWPGe04wrElmudVxf9+OwKW9ybMr+SJi8bA2zeEqT6yPhaC0mPvje7
7jmS5o2RzvRVcKLp1pUwusdumQb5Oq0jPwAeniG1pF13EU56vC7n/q0p9BJsG3EOehFfd2P/JVtm
SkPjLPfPvq+HnHA9FNqTz7DXMrOXAVnyihSx66JSNxnhdcinWXJBmj4OHf/WGAHT1LyIKCgdjjE5
DSCcAIMKpqDqxxW/9aO1jLX6MXxojPyrFVgnwjVeJ0NcBVn6xHK+r311n/bOTCTHMgrvHtS624mO
GCC/q/eUg7zNDIWwI4lNWjKmZe+gArXQZVV6D5V/Gg9WFX1VLNKqsDPTv5EDxqH2PAn7Ne2RZNCd
or1T6w/Qf6UbWmnr+SRPjINxojHCMDxwvg+ajYVAZB2rvNZRTEcBDmWrPxVV8GUc1Cc7Tg+zQTA8
QNAVGxteE0e+Ahw6Fl15GekqiJslOK7EvkU3EQW6DPLHXCMxzAqiq0ifHjJV+dZrIc3God0bk3bT
LtH2tSUh8svrQSZnzk1XGSkIdIFvxIx41UYUBhECcxfGgrYZj3hnIrIK5K4YYNsoy6AyGzF4SNrA
HYCjgSbHKtbFm4zFFbfznoWrPiVJuUug59OKJ9exLLsbORC6YivEGhHfvIYXi8iuG7+NgXZL5kix
bpVFg1desHUkq7T8oSNVvZpZXtY21NSi2ETKdJ1CQF4NjV1tjCK50mzjkJX2dVQkJo9uB9+tpys4
GwxxoyH42oyAinsHOq+RvDbCPuBSApGcz/GZagayqqNxDx3JeJMIpHZuEHwPk1eEdbQqo+ImKrMn
jZgP9mwB9p8ASZIcS2+2as/WetQulFxtdxIpyF2aD4qj74q5SqG66t9BPXpKbR9xas/7DH/2qiNH
0jD63tUDjZ606LRzVD5bDJu7mVMQw2eCD/etqV4krbMN26FynXYeV1KbWR6azZBNm3SZWKPd2psA
w9daMn+JLPvrpJGyI4OO0DZTvZwkJDrUWYXPfbK0mL+6wB43xNyS5KURRnjUp/HICIpYMqe/0dEu
Q5PMtnpJ0FY8NTzOuX7CGWqsDaXUiYNhkj4WWb/Nf0zXM/MFb23qttFwJoqSjBaLNkKik32J1YBz
McI0eOH3pp3tpyp/rXpOPrUTnaE2QevNhnZdt9HO0vNho7WhQbMquVMi9SQQ0G5ZyDrP7w0EoiMD
/6BAwIVIh3YKKqhNTRwKIE8G6a1pnGDEgJJtWDVi7TD1tU8aVfA4LCqCear0LfJmomtRpyDIVoNN
aHKOYzaOwiJEnmcYBN7EMNVpYeRSvGglSlikeOWmmdoL1rljr/cnVvKJJTE6Szt/kcx0ObST6ANy
ScETSr3Vxm6n4mNS2pZDbxLlzP1HXEUNfl9SVbzUtO9bMd1YXfQ8zNNZZBHgtvhFdrJd1RLHJlqB
3hMhqlazJRZscohAsqqSUsDHFqHmC0oqkN9KvbM81kUUiMl0ObDjopRYpJtoiH111fTDpSJ0SGCV
ft2Oi+qGHsRQLx5F+qb2CKQUxdItORDIQ9tjJvQD7X9iPzr9rZSGdpTjcDuX9n1j2F6t2CRuGs6a
dJnFUbvB07UJrRJnqJkVqA+Ix+sV6SGwYyhiEyY45MlIkAFuNpJAWXSm4XlqA2gq0sfgOJymWvVX
LKY1oRe9G1nT4iTxbwaI1RTJCKecOn5Jxu6kaTTt9UWuAqH0wpJ8iAa/x1oPl5ZjkO8SFU1mUnXX
PH2cv33x1lbFve/n4H/pzma6R9pYuzaQwkBg8unNV3dkXJZLft4RrsiTIlEhKkQErmhe3Am/PuG4
uMN+c0mwyk2T0xgegozbOtzBLPoh2vjaII9rVYTRgTIe9DjdTeZwNEJ9HyBvX/VtTMUlTW+KKajQ
uFz1Kc4rdKzfkGQRH0MxPJcpas7YuQzMNkPt1KMOLZK1WCQ/E2o2yHOmq9BhXieJvzMV2iGls2+b
4Luvh93WlLpHc+eBZIB85Tc4+atseEzsIN6mKJw6JfHM2tkrRm6fVLvNthD0u0MSWhdo0lOPX2/F
WrQJkvhMc5+Zi4MwPVyUMKw6Kj4NOM/tDi5Iv7EUdZEBOsiq1dBc3F/Dmsi+bjd1jP1KltXDFLaq
1/p4xnUEuLM53vsVGcU6jaoqcl76jsK1SVsKXKdxpTQPZcfcCVqysomQclOm4DE1I5qM5M/V66ZF
20oTf2Mb+PDUYXpq0hLniWpeheT8dVMT/8CIrEkffdTbDOti9GBX+THybd3zC13Scklgo/A2GjAA
1sS0bcbaGZaRGGVgT+aTntebWGGcqcSIuao6veohXK8jEuzW2lBF13UYf9VEOB+Nzjxkph6s+4ol
cdSVrVEE9RabMqIki6OoDNQL8NRXYWi+tCYdN7Bx6AXJ4q7qYrPwhQkuWNWDeS1ltUpm+wIBIPVW
y1+CgwCusqfaxZNADMTBL2DiHtIRi00np3qevlg9Vv4suud1fQWSeskAm/NFDYbbnuo3p0T4o8zh
rZW/Tnr6aOl1tqn1bGNQW3OCxf41LXT5FqzuJklm7UuokeNshyV+XE1MPIg4UUmoSE/C0V404rnW
vsafyiJLpecS3rbLBKZuMZTPqe1aSaq6MOY5QDh062MNyBPxp9aJuf9THKIup1ZIMfjlGvbuKL+b
sbVyDKHRSiidzlReY+vEAvVmF948wVXGQuDrxAy3V2W/JD2UKNsYzIV9cmPpl04eE76wRCgJiRBq
avZlOdHjJY1RBfuHoxUHIWJzuqtHR2VAp4n6KQ+Iu6M7wKLYIU6yiJVmRzeuW/VpBKmyF6WxyTnk
zpm+t3I8RYZdPY49jAO/mh8qaVHF4Kxg9faH6aJo9HrjSx2XoLkmNHDr5AB5iuE6T3y0i210QbDz
MWrUs2rq55YSLLTyewxUd4QO3GKtfdAGbdeEIYESWoMu1MDoNd3RRsDo7zRXEgEqlYmgChJD6qXi
2S9abUX8eM1ht3uK4wsmrfd1ZoL4C5sEs8H0Vs9MTBqOpgYVmD8sx3imMUnZ4Z4wQ2JlZ0uszXJc
pzUeClXPD1ijsZ1BMCT1NQRFjauaFKeV4r/q4nFgQezn6jrqp3DbB+nTMbOcM5P2c98jGhtTDte9
fxnWfbonJfCQc506m/Q11IxvjaxOpWozNsaotswoVJN2MrkjhkQ+YUVPc4YB+MosXwxi3Ujvy4mc
6DdtSU3CtHfdNegSkXbtsxbZQSfpDxc3Y9ch142glAKBvp10qRxVrJdua07Jpup7an2pXkzSuCMn
njYvLdeM/2A1oQPZLYlYcNlTvXgzZ9I/ZT5fYFeA5NEN264ud8CXLkrMXprf76y6uUNPUG/y6cWM
zRdZSblPxu8k7O5jOglZroJA7+YLk0hXRNtvGp/o0UDfzfTwKa/mYte1yVvh8y3sfuovJjCUKwOh
qLBCWm0VYXttFAsvXYjDpeNrGzK+3IC5L8csZBGWZayHAsCTRo9Pp5e+xiAKBzSPxPd6CasY20VI
I1p/KzBqnnvTVg5mI+Oj1erQRzTaAINIEtfwyTNoOvNfmLR/pDH730lylAalA8Rfm64vxiPd+HOP
+f/+n/Qlf/sZ5PjhX/CffrOmqTZER4uVE1zUf4RpmvOXrukqpCsLT7yBGu4//WZrITvatgkRDvwB
ZDr0ZP/uN5vOX7YUmgagFlogGG39n/Sbf4VNSdBrUIkE/WZkcMjm3qPXjDqptKgnRkQUZD61XTfQ
MbAOVVz3NAmscfNTL/4DENdHl+MnMHWEdfCTjUUm9xN/qLUqwzadcHZjjlleWbCT9oultGagSuNN
yH8NOf6/ZL9FVvff2LJ/fb0lQ04H86yTBfOe0dboplOZbFVS4X8Ng9aeYaR0V2rKgGpqmhQBTzG1
ewfWwsbhuLv78/d918v/8fMikLEMySeQzAl+/b5J1kWaXeJHJffA2lcqXPo8NtNPkGEAot5/S8Fz
ZRqW5Cui/3p3lRp5hsBL7YpyyJmEN8WGEJtynanR9AmO7oMflPrKAkVFaQnm6N0NrMsmtvVywtVl
IHVpHYWsbbNyqEGKdKeRXr82Hcf02oFoDuT0xSffdOFn/fZVefh1HnvC0TWNOczPD5BhwzWqTFpU
FY52+C0IlW8sPpJOq5WXDZkzyIEKjT+rclXG54wYHWqAgkylVa5U4e1oDXinksRICI0uIKYFPa5L
N+uU4ApswPQW+Z18JWkl+uxZ1D66TUKgKl3mOqwIy///p4c/duawyxBIcxopHc8KSf+qujYgP95W
rrJRtVejqpz93NegRMT1yoLqu0fomu+aQsEH6oQR01da7wpW1f2fH9Tlvr17UQQ4C0CvvCcsV8uD
/NNnG0mfz0vfJ/xD40wwVLLcBuikaNb066ih5KoirLp1JcbDny/8wYrAhbmf+Dv5n0W2+/OFC4DL
GBiISCW0o9vIFld9Sx/EHbr6u9o3n5A+l/ftl69pMVjTLVNjrGYwW3v3+KgDwNmcjHZ3gnG46Qfz
ER/EtylJnWM8MLEJKwDsf/6Cv931H5fkoTeBphrU0r9+QdHYIYpV9JMAMg5Z36eXnQYmh1jGyz9f
6Ldfkgv9WOgsVUqkzvqvFyLQEMZACFOLvHHST5omOxM+XOK+ref1PMvuk6Xg4+uxZ7AgsIep7x4Z
ReuauK9j0+0Lf4Bamlbn3sCg5CQ14vtca+7+/P3ekTBZzJcvaLDMOQ6Cav751y+YJR08MIsLRhlx
OimjEKRhQeSyzURuOyXPTR+Mx86q2tuMl2uXMbjyiHVNPlnUP/4gNkst4nEGwuq7X5qTb4bBHUop
KV/zjjZFdcYJqoM3AAqVMZc8KJ3C/L4hz5hTcLWvkyH3Omz8n3yS3x9n5uFLhWAvy4r2XlVulWUJ
Ezkx3bJCOGIRJrUtEBfbBrZoFFDlCuHmp7zi35YKi4susEIKJQ5czrvbYOU6Ex5m2K5QGLQktg+Y
C8UoZugJy2YM52Uw8m2wWLMdGztQhp4k4aZu9HAGSUFY8q4fKtVFQXihV1V9pKWguyQ1tJ88MB/8
OiCzTT4tVif+6d0H7SojtzA0qi6xwjeWhTk80P3sJi2t56KN6OdWqR1+cs3f9id8Bou04MePQ8P9
3VZsWFHgg05WAbZX1RH5nMIpCF5Kwep6RzTZa6HwoDh25QOvKj5jZv++PXJ5ThTIG34Qw99vz5Yo
wimHdcEAvMGSX1biziYZgCjInhEHMk9E1CZzu1QhGdhOHMAIRea2sVFsJ0DAqBoN0zPHRmy6Ej9W
PbCrJ0XZeRYER1KAoKb8+aX+6PcykE1AwaeqoKD49Z2epqKk3zOrLvMCBkaDUnOKpkGL7bd0kyLa
V4G9Ju/wG3VjcvzztT94kB0Ds4iGekOl3H639fTs8RiUuFcmaYcnvPQhmccoDOxMPAdawKCVTfGO
0O7xk5Xz9y2Bu+Ro1kI1xwLz/sFsGCGJtsIA2KFP82ydUq3L+9hTOHn++St+9AqYKkYZnoqlBF1+
gp+29aowM5o4neoCIGm9qi4pLUai3AJNC7emENEBcoHxyY730T39+aLvflc4UE6bSy4a2SBrNGQr
u9zPX2fVuLLoKTM6oh2KyF9isS7/aTnBC0C9zcMC5MjhBfz1C3edbAAj8M4XUAihSFf1yVwSD5Ic
GmJOrNsnz9BHt5JSVFJSmEuWzLvrMRghP5NoYtfISA+UiZ9s/cT6Kvkzqz/fyg92Hb4a5Zmtqaow
4f3/+tUUfMvkKNL8ybOsdaMkwI+a90yIGkaCzoRgsbIKiVChz91RWcIeHcbZuRqKT35jbXkpf62i
+CT0ZylipUAS9e4Gm4bKyDgUKj55HMDwhcw1plgk9nmSerIo7Uul68nHyAymU2Yu3cWIcdAT1Ep0
L0bkTJq6/+TXWRbz95+Jqhoa95Leybn5118nnDqDvDRYSkSUL+k5Am5feY3CSJDmOCPmmLIB4gap
niBZCGOqcS85NYtfrunDJ+/375URbxzFgUU/gWdwEYv9/NbpaV0T8dKBNRQpnDgZRxt/DijoTbwe
WmnF93/+8h+95T9f790iGvMKE7rYa25UV/FapBgIgrwE1WmV0S6eFHldEyH3Sbn50VtuQY43IFbb
+m+LmNX1oZSwSN0stjjIEC2zs7LprLRQb8jnjbzcRNzd1R3ZmzjWtn/+ytpHv7Gkz401j+YJAPtf
f2M7mjkJ2bx4QZFbe8Gh9KSpirUxBhSUCrZfz2TwTpYLR0PMBjVOCX+84D+b8Xs6jDP1kpzvMrX2
VmOUTNzJ9vvzR/zoEwJMx1fIymCa8l2ug4Cl3qQJAFOC581vvUOKQCrTdl0hkdtMpNJ+8tT9vp2h
bzMNFnrJjvZbgMBAKTQlnJkxdIcoVxjfoC3Ox72P9wdVjnZGlLNOGy14+PP3XJa4X988rkuHg/ON
7nA0f7cawKW16H1yaDUnEd0Ejlqsex6YT274748bV3EELzdWSpsV9df7LUhRh6tjasC5THlll5Zc
O3qXrMPUaPd+goEQ1XyGjNp/s0fb/mSZ//1eLldfKhSD46P+vuYl1jMbCpXf1lFCh8rVFG7IlO0+
RbkHLjT+LBLho3upkyrACZUCXzrvflO/mfwAxxnuIyfL2caIDDUBsFFpZ7GLYS7w2hy0M1PC4ZOn
9qO7CXR+QZTbFuLUZcP7qWLQfVFncciV1dwYzgHli9sQ9vnJVZa/5f0zY7J7qA66Jgub7a9X6Zij
2YxUMbNxVvA0s0B3Bd2K4S/4tT8/nh9eSqO8g33O86O/e3B0lHr/j7szWZLbSPP8q5T1aeYADTbH
YjbdhwhERK4kk8kkJV1gpKjCvjl2vM0c5zBPUS82P8/MUmWA0REm3brLyoxGkUwHHL58y39BMZYX
wslzDowCas606F3QV3++ukkdV2X5lKeI7Igrjt+qjZBPsHNYfwNGZ/sxz77FQxjR1u6oiOEx8Fcm
kTIGhnQKeeyuFsnihEs3CJhPTYpuRtuQi5o+xEgTYZoLQz1XKdYfjKgKgjV1crI/StVvl4Wp1Y1f
dMivtKPe42Zce1ts+Yq9hm0oQLbJ3/GmcZBo1q8O6fjPKj0J6mICnyqluPQ0arQfn8bnCHU9V1C0
Xz3N0mTSEoMZTETn+zGshl0MkCiYDA/q4lggpwLpG1XXqsYNC7lXp56xAYk1vbgQlf149Zpse8O2
WFmYgaxDoUpzEPSAdR2MhTdcVaikAvjb5Kl+nxZudlXkYXfhmD+1noHBG1R7Ceqp+h6/e5kWQEFC
3whCH3wbpOIFqGdSBl7D0XB+65w6hXxVK9MhjHLVroZKHAN4cGirk31G1LDScKhH9vdQWbZ8oHMw
bKji6wenQRLi/MinzluOIN7QInuhKnn8kk1s9TZuu1gw1SaSIyCwd8VolCBHq3g3ROWl9X1yUnHQ
ogRJLkrmcDze2E2pPWrcYRamezur6GknC1yODJclf/7VTq0YZdb1OpSzOiS8OaNRFzJUPyfJtaVP
GFznIcE7CBZUYG1YNHoSX5hP48Sohm5x3CJoQMRmr0bNkkKvo9gkPIZZdFf4c4+0FuLkSeE01xOQ
0ADvpm5fW2jNhyA49whwoQIDP+qa8hZiiQ1egzk6v9tBDggzIqq8iwFx7c9PzonvcPSYq2NmGEoz
WyZWXDwWWeDUZvtAMaJiqGjZnR/qxBJjKAgbFnMC9ne1xBAzllldkzCM1Gtu4PB8wqQw+9xR7uMw
WZbkwic4OZ6L/QeHhSc4LI6XmO5GQ6irAEaxkR/oUXdXbeiLvawj87Asprywzk5OJStZKL8Pwibz
eDwtKj2/czQjaKUR3adzDj6EwirKxOjinZ/KU4uLDADaDJmAKggfD7Wg4oQWfaurQpLSInN+VpS6
ndU3YJphsiApBh7v/JjeqfdDxsoihuB8cH8oorSh5CNhd9gX6Nts48XSPiKyTpu80dIUGRvDvjfH
/tOYTUOAxHRyZYWa/y7Jm/rn2oC03Ji/p31r3MvJh8BYx2l8twwV6OrGkgJ+WOq5QYhvuHVT15OP
Lk0VU5GqO1jaugy0Ccf27egaExJGxUSrJAzrUSBzFQ6oMmjlguhkU7ufIa2aXJFxKG5Q3UWDwNAK
D6bB0o4fJj+RN35eIh8PvKd/bFzKFBvKlZgEY2ur0Cl5/D7PzVzfIEzvfBW5NWGgKixjAKFf5c3B
QPxO7GMXJQbo6QZ4T4EBKKhBN8NUPswz8AuGVKQ2AQq1wUX7i21S2Arc0pl/Lkw6EhskS+S+Fj3e
6J7WmV8KxNlyVCiF7DkQ69aCj5d2v46A4B/1WRh7uD/8s9bIbXSH3PoXHxP5j11PXLUZl3BHAQYE
KMTgudx2jgVrtwCw8j0SfYK3DDE24m1gphEGHar2i4cjAcUC2Q5P55fIyRVCgc0gNKJhaak/fxPK
irTEddxmWeolUgiW9AEetfGMBH/c/IUdYNPmpWtjeDpJ2Gqopgk9c+goO/UcJmWtt/C/kUefhPde
2J12tyxM2/nXO5ECgwUz6JtBOiNZeC7TvHk/EzkVULiDHrR+5gaQscWtXsQIgkb+HSahPdxmiEIg
cpq9P0fGTlqzvwVKJ24AaZXbKMHmocmt5TpV9KE+ibvD+Sc8dS4QB2OyDdPOwhbpeFYWr51MvrMe
hFFRgWRGVY9sAMnnDlXUNMzGuyF1L8SGKzM51SUyVZQPZgIUqEpIjwctoPA0tRGiroZLPBCzAaDR
BhSzj1A7G+Md91ribAG60ouHg5m+iy2LnUH7IPm5BPb2d3D9xV2UOBAeoNjq75YJHRXTddtfYlv4
DxBtEoTFnGj81mit+zTVif29t2bpXHiTExcG6a4LrVAQBXHQHb8I8Kq6LYuJAgsy43s3mX9t697e
Th6ioX4rzAsf60RVj4kDUMIBzrFKge94vLG38VcaWiPgMjLvMnfpf8NKwAWHmKcs5dpKsyfhYZcD
H2OKnobUmz7PcxE+jg34VJypo/YWuxyIXX96FdE199hU/IJA4CrYJy9A4q5YDHhoOshpd2rAtevI
g4ax8wHrAGV+wa4+P+iJswPnLaqtbC9s/sxVdCAXb2iwMCKHaZKIqmXVIgjug7wFWn1hqFO5FZ00
EzzPc9XQs44nHjQodtkJLwg+BM29GQxe6HGEuyPwP0szw8Ct0Gbyx4W8pvBuoYKUe62ZU1SKcZk+
/+In6iwsNSIi+qxq0leznbaIvYciJwIr/YaTBUYLGrrLTZ2UeEvoYwl7ASgmiDbgniK91C3/ESTB
9qW3C+/IotTyQ1lxdFNhdjFlRQtSyvfC6JPHxV4Eym1jBsVRWA9Z51HgzWA7ephnPNZLLW/qTskE
x864QQh0AkPskDW0+nzhyD21JentqRSYnAgfheMvtUxIT6PihzdC0Rg4W6T3tpwOpubFN3mUzhdC
nBMVf1YFMZkKGunn66sLDEKnhVQv9YSpDeuAhpEJshPfhUQvMPmLFeCWGsrG7SxotGYAa8gG+2dG
Fy43dXmtsm11/ng2d6iuEGzHb20KiLbg5vHFUUcPmq0mHP/BvPrTC88iQwHtSmtBARiOR3FcHCTa
fDRRpHGMh2o2Ud+P4FrlQzft8dMrA8Qw5XWJtOV134z5hZc8NdkAhAhV+T/ycesyJr2SOB/gjaAZ
TUkqXKYlKPUKWY+wyPY2FhRBpfcRjlrNz1BzaWB1/ffO0MwL++/UBrA4DVyXTqwNLG+VqeGm5OpJ
T70qAbu7yZvcue1RkEGz3Sj23eDNV6pqTVFu8nZejgSvcFMkgkP0v9PRiZF6yUGPJuKjV4/1hUl6
LqyslwLoPdorYA6QuVx9JLw/TTh2CWWgVpvu666BJaAhGYQFalA0sdxoMGXwRLn2c8OHUKX7d9L0
nnSv1vaUoNO7qGntq8brMH+KRkyuKKpuYgOxxwU5OmuZ0quRnslBzysnGKzkSQ8j60ohmZ9M0O23
SY1mpuh41xLXoUOIDhj2Qj5ItBYIAnbU/PDeTa4Lc5G3YvQgT7rwxiLL6C8cBeo2/GEmPGYB1BSw
Tns1E4mC9FSRZQazC3MlXkzjg2RtX6OexC614DBg6nypTHFqUMJMWo10FajSrm4lNF8ASzl4s0Ro
r0uZvbP6ctkjk5lc5f3i3s7dn2/1gYYl/MCFksbjD02M1PaVFxwj+qMFJRcY/t4EcE+5C6mQ2I0t
1XTEyQ7iw2FBLkNxWaZPmS+/5gpnrgl00c+fEyfOYItmK1xIeDpEeKuJz4vS6SvkV0BIJ9hIuU5/
0Ib6qa0lrjoFAuHnhzsRCDDhBACg4kik3VVUlEUUayys4YLEwFwhrQUJXE9Y7fi9d2Hrn/q6Dhad
OiVFzvx1vlIjUJ93DeoGsEKzrT4v40b2stpklfY+03Okl3M0BM6/nqGOk/U6Jm+xUJ0wwfSY6vB/
k0QIzr088nMroJHd3SIKSfcm7tLtOBmoTg/QPaoR9bFUapTMkbm9rmE1/IW9RJ8M/BIfFWzw6p5L
ItG2pc4zLDBzOX8rPHUW96mEpgP3LsUuIa2+nX/vk3NNYQfGHlgBuvHHr50aSTWhFs9ts8TdO2zm
8WsJJRAXjKQC9Dlm/E9HWErnRz15uAPeVvBVNEZAdhwPW0k7kZkRsngzK7xucpijVj/LG+lXSPw1
EECyofJ2ZJp5vAkhIu4XIH3YYpT4B85oeuiYH+xGiNoQy/hA5x/v1NYi33CEKvTjxbGalC5fSJdh
HQUQg7OdI63fUI6KAl8k2i2qWf6lw0WtrfXaA5Wie8itAGRfV3kt4bb2oryQ+Age2vnUSZzUyPbI
CdeH0Kp/xxJquslQ83xfZ1V7jbmov60Hr0QOWYwbRdwlSh+vz8/CqR1Pb1Y3TJpTqnl7/I1EPfYl
5Ss7WGz5HY0xsGxtPgeda5UX5vvUIiTeoFHkgkWlaXs8UuS3yIACHAwaLXLvXBsjxSFalGfcVAQN
rN9b/CqsC4Oeej0P/D3fmF6V46w2m41vRRw2nR04uY//hpHAvSx6NDUNpJnOz+Sp93s71Or9UiDa
SWQzFPzDcYfv3mHpcPMhZzeBjlSfTOF9Oj/iyZeDzUDq4PKGunqiN6fZZAx5WsoU6EPk5tuxsQ1Y
RQ0qGW2yXLgYnoP99erllGbd+swl9ZfjsRIrjgQCdpg1ZDpdrwjxBnCyt30a4Qtc9xyhdGp2MXny
AcUNczsR3uDjO+t7T/QdGwrhWQgB9XVNLrMrFyMPyoEQaq7iC4e8WrE/Pin3JbcKwYNYf4eojbKs
7VCa0GYXKED0tewNeRMjBQzvLstuerEMG6OKkXY1KQKe/yYqKfphdEoKipmgPo06Bd58EzQ7yz6q
UCSJvBlH2o7THWmFAWZXWx9gGsCXK5BL9ab5L2xkhYbkmCVM+6F9FY/UG0WYM3AsqH7pXgSbGe0N
csXuwlDP1+QPL+mxl2nFqvFWUxx7ORSMiW1U4ZT5zoB/B2K+XXY+vjixVzb3uKGmN9C2vyIOJAia
BNoj6MMf8sUE39hj06OhYueJKOg8K9/XlISNXOqo1no6aKV8vI24LQ6RU+gw1cMRjdjG/gv7lRCA
5B+KApfU6uSbpZYvEeKTqvc/7WPEenZWaTc3jdvIbR+1A1EB6kDnl8epCMSmaseNSKFW0Mk+Xh+W
NvdZ2Y5MHe6gt3TArE0RAl6Z3AqVz06fAyu3P/cFbsdVhbvEUCGJd/4ZThwbnBi2TgRClAuU9PgR
Yrp8YeZyUNUaYhYGYOr3tef+kkzQ8s+PdCrNPBpqtVAw+Rl6pFs4focUfW0DOzgX94zNIEaoV62/
fMBcSLujSoJluYFnK96HaVAkOL2ef5IThwLdfFchhYBHKxrZ0bacOoMuPnC6oGt875fc658w1NH2
TlZ1B7fH21wvZqowjqaBYEMJ6/zop4peqqlswQMDrwSq/3j4qphjLckoWJRWr1+BREFIz+xEUHLv
b8QwoD1GgLYbqXBf55YFBRZRN/x+YHHaxWxfmAw166vta+tUdojsFH50fW/4Ma6wMuJpEP0prxaD
o2KZK+0ePLuGaSOc6fOvf2rBGTqScqiDQjb0Vkl+k0yoV4CQD3J6MWhzatl1GmOCOUor+0tDkbAD
XKKS7K2uxDZy53I0pR0gtcDRIWJOQYHcNerT5oVTUO3U9SwiqPfHUKvyWDnmM10ytlGqzEBg2Og7
s0Wy5PzcnSpU07XVKVYDt+GdVsO4eGC2SNBA4ilnXA0pw22FoWebVvj6dTtknI14Z13rEWptHrIm
yGtTqk56EJ+4KcW4gCDycOGZTiBSVBfGBxkDoZO89Hg5x5Nsm0ndNTyvA2ALNGFs1ZRpTNnsTeyr
f0vC2UZNtFzux6qulM1MfEjHztydf5JTK5kaHcUZ+vwCIOzxg6QWQkNaBcPJKKHQ44iLm5UV4q4e
6cm1ZhEVnR/v9NdQTTYKlRwX6z5sbYlQNBP8plr/YOMcvhHl9GukjTgvwmomcVzK+1o5mGF84uzd
HOraKGN/n0xt9jmWY3wBl3pyAjjPaH2r9s/6ecQMc1FWbOU4rSG6F016b/WYWcaEGtycmbhwkp0c
D4An2AqMrbnGjiccTSAcBKqWRb/02MyEOJC2edMETetWexG7fX5hrZ06O6i8kTNRj+XwXC1/bR6q
Gg1MK9BxFLkp8nLEBQ65DDdpLt3Nz8XG9Y42abkQt5kepIXVy6H7H414EoBxpAa/0yE+bWM8r3Zx
LuRmKKM2cCo6BCjX+wGyMeY27wsDVd1Q20vsflAjGKOdmWHNKrq6vkabrrjzbLiYHnL1e/yPtGCk
27AZcAO9GmMxb8xoRIfCzqtDI4p4W06Wt481t3mfw+rcx0lpgsxxLxU2T8SoCH/ColLYetCs6iO/
iVEXGzG+HqV6nAWQFkfK3Q/MOHYOSLRhOpl3FPnxL76W/dJdOM1OLR86W1w9HlBPssHjkWFO+Z60
ETzqPbc9oJDSfogcTWlBpSGJgq7/he1BqQUvFLVFjPXqQZjYTUy7YXu07ozL+ISiW4VUtKhDA312
y7k6fz6cmtm3463OI6vWFxEDsYYB1aM6NEjMlLX4jsptd40CafaulwiBV5iCvjs/8Kn4Bh1ii8Kd
SjysVXoWi5TuqQ7+BXhy9ndPlN4NMjxy6y0zimSocd8XrKZt0rjRfkz9Swi2U915m8AGKKgrqCOs
+9Ap9sC9PeO4uthmeuUM5XdrauYdeMb2QBEcCTTXGzfhjLonqmfm3uvoq8Ci1u9a00G1G8mu+7Gp
rXd6RGI+CNd4PD9BJ0NRoOLqfwq6syaMGq3WGGgqqsYR5ptIw+b2rirM7wly6PtR1gtCs433JY8y
Z29pVHMd18nf62EsL9xZpz4VVTFSDldXtPJVNCSyzugmJctlG+Sn6JNl20LL7GtvCaMbp3ecQz/Y
vyydru+TeaIzen4iTh2ob4dfrZQiFnLGBJM229TaTyHp+A6/YVSkANI9nR/quWm/PlAJuZVsA7yz
F5+gNwdNMqS6L+IK1FkWmcFozoiLY/4dSFtU1z38lI+RZ7Z3yK8p2Hc6HyK9jK9rb8m2UxmKj0Tn
3wszffRJ0W5Epgn4D5N9a4+xvKOxhYx97gCFT50QQR4LA9Yx6+7ifjF+QfPWCxZ96LZppfSzRVYd
Jn+oDwh4lnchTd89ggjeHqlq604QLtyI3mz2fW72O9NA7On8TJzCaTB/YGfpaxpQB1YfnWmwS6MH
B8kt0D/EMURePzFcAMZRuBWebd0Nde/emMXc3BM61Hu0isbbJemcbWIhlV25uMnSK8PTs3HdoEeZ
5XMzOub7qK/Lg+WkpYGC6/z7kjnmTgzuxdbIqZPt7Quslo0mpVZkvFuwpL0P3Tb2Avq4A94bSjgo
N7QPFRW26xh3um3Xmt1VMWEMPNqdeYWzZ/M1xBtg0xYYIOpi6JVsursdR5m/G5KsvHAKn1riHmh+
Svx0FDkrjm8ZGsyjYRZIjHYh8zwXMaaaupMdKBnJCxfMiaKfTRnfh6wNEsrVV1cpmuWYVA30L+ci
w98OvNFGS3EHrynib9ypL3FV0Pr786vp5PtBtVLAFeKUdUqAdkJh2D1NIeHm/d4aRPF5HN2vBtC5
Cwn86ZFg+HKyCzqgq0DfKFzSKI2RpERBU3fsG3DY5ofMtS5FBqdG8ulPILaqYPdryD1U3AbCMBfI
2OX1tVmUCGUNRrgz3VG7sBlPDsU9iQoORAKyhuPlsTTUzwAV8s3sCiii0+R7tyUQYk03F8LlE8tD
EYXIfWm7uLA1j4cqZkHZEb/sQLZRd41/V3QQBi7kQJIhgeOQup21i521E+8HAQv9dspa0BaN1Ufz
7Tbyyto3A2f0/F0d2Tk4OIHbe+5fqrWeqgRCJcZSjuwepZJ1at+ieuKHM02UwZflYXaAmibgd3Y6
xhj3WmJJfJ9s8DuaxOMiLptN7CnRBA+hbRqwhIBOMQZAk0d0DRDK4X3EHgMk7w7wpPcgaYrTUreq
32uzo0iBGcuBllF0SNr61/N76hRmHEiJTpOMgcGhrD6VgRXVC9oF6lN1lcCy2NRaG93JHDn3IayJ
kXFV2bgtGpw4fSLyPOnZXUZQsZ1HuHf6mHYB5j3WvQUHbed6ntxFOfLX55/zxMd1KGsDcSZJIfdW
5/SbKxXR5HTUKxZvX8XaTRyjUWZTt7nKYsQFzw+l1snq9j4aajUjVO4MxS4G/oAB3M52lTNMjEPw
+VFOVUSpWNtKvIDh+ALHb5SPeO90FGnBnqAgFrnZgORv/8GkRXOAI44RiIz1O+Lb9KNfWvU1KOXi
wjY9NakkQnx66HYmh9DxI+j97PvOjC7DJGXCzCYpysPdb9oo28P5tz09EjuGlo1SaVglQEZngehR
mKq4iqpHRBvHg+xjyucWevXPQ/0pAbP/aiaZNObVFfq//uN/v4heBV+7r3/7vexw8Hr3tfj93//t
8Wv5t/uvsvvH/yv/9j/28mv5W/L1f77VJnv9CS9qZJpj/uSDUabxR9NRdTn54S/2F1CVfjJgC0BZ
pnYCQ0WJjr36XxjeT88NHIoOSrhI1QFe5cj4E1QuIAtCqCJ610ko//moxDcz7Nt29fu/lX3xoUrK
rv33fzu+HSDpUZwhDYdNT5lMIFhwvOyyiTbVRO4KkQwXhrpGGlErp9sSFIk3FebBKpPpwp421W76
16Z+GRM8HxUsrlrVhz0e06INY2A8h/d3u4xXLmLWEv098n3UZYFXRiOWMOUQpVuJFFOAm0Y8g7rC
3wIZZrLsQ/f3RMewussWP/BsVFyh7wS2LO9cosP9m0/7Ol9v5wczkR8eFiygrlMAJVN01qBg0+vc
duAbBgC8P0fZkmEwg3iF58X3lY+/A3DwDW4OT04utMBtrnR9Lg/pFMa4YCKeKTRr2NZ9ZkBy8L5l
SfPJVXqIdadtC7fBuU/0FurvKZWbRYPtkFn7KRk6rJ2IxJGD2yD+nO/EiGcihgGoRFdbvtH3wpHD
Q1MKTCxSjLBT8GfJ9yKsow0PBba/CW/QchS7//7bmUL0my9+cjNv2MxVXhX/+L9vd/HzP/zXHoYk
QekPjKxypv1jA5tIAwJi5Mz+44/+uYHdnyC/Iq+F0A6XilCM23/uYJd/BaOaf6rgpgTtf2YHK8vc
1XbiUGH7KpI2GMY1vy3sIolXBjhOc8Fjb0jnbjN16FMP6ZPVlAcdtlPTub/7afgJY7AcpddE20mJ
KoQASJb04mMYjJGufxiRAwxgOV+XM4IGad99htIe4c0dvQduXqWGiVQ1HlH0s1GTjecwGOL8tnEW
bePL7vfYTzzs2RtxkLp745ASvATNf+o2+e8ph6nQUP/5hbP9Wn79/o//83Zxqn/wujaF+RNyS55C
LP9xibzeL/BU/rhQPO4a1XGjRO/TOHnWyHhdj7bxE4UkvJZAp6g/+FPL8ZnY+K/THV0hMlGSp+em
DFX6Nb7Nqxddo94RPVJ3Wpb5G/q7JdXWoSUF7/DXED2C1m4zjZm2ydHsqDGOiGK/6YI8jep23A9Q
vudy05lDmrbbYsEL0r62IxA7+qFzMC37mneAk5IDZLSurt77gy0j88rSa8NvaXUkIi3urSjMPOSW
F3QozQfHXLwEJpVhMwxFnLleHsOyt9t9KHtTGu/SEQx6jPaza/C7aIinLNm+PlY7t36T7lG3lxYu
PJrmS/mIIZNpUiJq+gZzKKNsU5S0Zem3ttIFN0IvdXfp4i3qPk1KXYYX8u9nsMubaXbpY2KmZag+
Mv0/TpLjS7TAtrAubS/6YjhROfqbemkHZQCrjp0Sp58misqNhiFb8w0PGiieSGybeTnt4WD2yech
cUb04TGd8ZiSrjDCEqn1zgxJeiM+TjpfD1qn7GWkhdY8GkJd7/lSqY9ZTLZTZC1fgAu+caHy5eQc
9TaK3Eqf4M31DQY7aTzmPFeErBzPRX/KjHGOjlILaovfFKE53BQTtb+KCi24ogdrLCIPjyLM39zv
ssqM6slmHnm6ksYGP9CRFWfZ1RRHA6fY7HSokWDzV0TUd/AZCt1HxOTdFqHzJux0A4/JpezdA62R
yhZ7VcRAVRmZlrT+LoHf9uN+6cZqAnBu9yGODjDKBn5+0yTaMNx5U14yCRnSfvzOTivYiduGEhqv
Dd1J5xFk00y2dsgnhMEhaOA/wF9J+j7htePUFM23N7v+RCzCHn9z0MN1p7xNJRNGjiKjI8Ny/Mll
1sESTEf5ebHkFLnXwNnDZbxBDh/vh6CJK6eLd2a0ZPN4XfXYiSyPWpeNXXplFKFwLqnyqdDwaAXC
M0PzSSkgEjoCKTx+nETEnelPU/jU0qFmaUypHk1xQOVy1vBOciY1VcMYF3X8oJmIwA13U9KXUXKh
lrJKm5kX6l5IZ9hQtYHQ0FM6fpCF1nTa16375FYZ+lvvBslZkx6AayeO/YBxRhI6uFKzHgGAQXdu
KmDzzYBITpDMnj3OiAX16pdhnP0RZ+6+Fp3xnnLnbGnviwm302+V1fVRdj9VoZXdwxUynIfzH1dV
fI5mU6lKoCarsBBEmesqBigJziZRz0+T2aTIhDsD/NpiZ/dj5c+H2Goba7jxtRICUrU5PzTAhPXg
rsH5hvoJpwrCtuszGwcyu4fPGz05mHXN4ad+KDK32WP60vANgWOrwV1q6Sxwu0KvxNzqWjv4zX25
iLa03tV08NgRMXbD7FSky2Ow1H1bGWpdRFosqUvEhovtQtUXJkaqTg9bWm7HIa74mY5sZprFprG4
qjc1LIP/CyyQdKo/1iVWJO7BxvS8xA9a9JoSNuQGYJO1dRo6DQ4+lVAbF3VhHnOeILzicWrVPecO
fiQ9T0QsrnalBvqTX0Jtcvj4OoRf/qYcpqzDgcD1Yklk3vRqb1umO/NnyBepnzI0jvrRepcmvNdk
o6SC7lcdF/xHD5tS9XpTqd4ZA1j2PS6dkId2NrpbdvxbmGBmOd+21hSO9abCxaj5xiGKb9u+bFHX
jXYLVmFmjeU5vFAQMYmOqOBG+oXy4ekoIdbJ9Rzh/YMNep0ArTyUtWK3P9QZssPaV5BsatpzN2r4
eFPTYTj7y2B0Of/Rmkvm+4ueeV1q3OWpWWXZVQrqMJ0krtfsBg7YZej4q2Odq6f27LDmvRA2GbRH
e+jUqVa8PCdtq1F7LOtW3aMVPQvkfM0ZARtjP+ej3tIA6EmEfIghOAzqO65zq/nmpJ3GZ3r9UZHK
tJ334uVEnTraKR+LQm+hxuJfN1CdxJS2Mz/BOVAfN6G6mOZfumGEfLbJ3NFIQ/w0SvXCY4fUYn8L
5bXljCkhYjGl5/fGM/j4aF/Sy2TvcQVx1bI5VpXM2An1dllwOq3QO6MphLSZ35Tb1zNPa6SyXXeG
bGHRjDiJ80tVNiNP9/pXyMzQcwistOi0ByDq6rK2KlPyFbvRleMjjjnQy4I+lxmryo9NtcsgV1B7
EgUcz2YzZZYU9mNqTCKJsCz227oSjx01nG75qE9pG30cp1RMzl3jLrNuLBth1o3b31ovF6hptSK7
h/kTMcDLb0h51foGAahWuzHMKu5JvVSd2cIetJmGVVIMrAM5i6bVPtQGndLa2ZQtlP34y+ttZ0w0
1PKNFtW0ZNAB8PURoHw9l3wPrkfCqo10UejstpGdkmPsyzTuTQxye+jnv+lCG9m4Ridgt99ZxtLX
Gt4rXdM6tNrsKPR32NEv5XQohFFazh4kv9qOotYW8yKi6LgsQciqxE9A1Ohk8wjurGGzNe07ziSR
PboOTCPMz8JhJgo0aWq35vY1NAxtu0gxtYCYiOm8Z6SxIXByskZO5QXLtOSStuP6dkNpDe4RZRL6
xRSDfgj0lgRr72RO5BP92pGXh62hfsF9KWx9DPwGUX/k8PUqzutOb6fxNz/33Xo+TKY3xtpvs47X
Q3FPyaW3IOyM1dAgHBjmA7dLMZUdXl6NDFPbvdc8jK2vZZQSXF+Q8zouM5EUUF3yKVXRLEK6kWrK
8RUNeUCjWdSYj8AOmgjPpmFaogQ7RmJbYusyTEVjXZva2I31Qc7AnsxP5zfyKlrhCdjHBlUnajlq
M6+DBCkNVMyb8ZECWuaKL6M+TWLea75RsOTpJmXDjH+IpHG4pUarvq7rFoDZXmoo/6lA/o/P4Zv0
Y3gAulnAcFczgYW3jQJMUz++nI2Y66kDmZ3Ptb/vQn3is0D49NWGYNcTjlBrVnHv+elYhRuqpIXp
AhUk5ALoqq0Xe5r1nYwdq+WDtFpVSAAhvmbhgVf1JYbTTpcWbXab2pPrRhdSlx9mgIGJdFyb1qia
hVXcCMxTUuda6kfwqA7ZH4eFy3UyhL7GL6+Hj1UiQVRdW/EwzJ8R7xF5dWEGCJ2Pox7VYwG4B+kE
JASR7HoOxtyr2gxn8Mcq7oFZv7NeNliclny9q7zrOM4PXlZJtttrEINpZTkOd3EV0gLZZIAWcBo1
slgd2ZmmExsmfcKVF3dCXQh2LZ7f6eUHw1H0YjLUfA6x4RzjSUgPVZRa66ZPiaZVffq+C9H80na6
m6H/e+0BU8Ky3SwHFWiMoe0034TmqcBBuqBlJWhWO0okGoCeWsW1jg7/fEOGlA+Y52mh5+h7+iWw
9DbJSzrW+fSHCIScceQ/vh7/6cDq+9bKRQU5rT8ib3Y3iMlKwkNm6OrSMEzw0A7y0sDK/b05tEv1
VE6L5I4xSsQwv73egJUuMbkFT9xkHX+WlTlVTmwCBanW7bKoNHGvGyHCT180IfLsXaksd6b7MBcm
11GXRrzjXlgdOc2dBJOPaHQ3hyE06NALw8HfwNSr0WAFPzalmBnm+Ax1uLU6Wv2kjHC5aZdEfew9
+WTGIywCSGCzB8GnYpYR+yahbZKlc+N5y4Gf8GeL2alywljZ6r6qEUfmURLsgniw3BMLaaDjSYCF
t2KaY/6K+ZKqauwu/ubrPzDY1iyUkjuXZJKYTU1waM0RPxpMdkKMWMQGIdXQ2aqQoIP7n9BPlI6K
AMuRcIFYFOEbfqEWrlZUW9KSJjufnJz7NK+54fWdIUKO0B0BgbqrjUlDrGJrT7Ep5X5JmKt4bxXl
HOHtXBZ2lg8/TzjHz9FtT1Op65VaqRs2u6SviEf0zhdLtm+Hshv/3oTuc/RudDNzpKVVBQTJo/+m
YzRbDh3JFCJHrHHHSlKvRXz3eWssFGU4n7ols+pO34RxMXgoXqG/CpsMRY+50XGa01Iv/ntBPmAO
m2c2ePtg5zgrulDxfBW3paW9uNFV4ZXYOMILHBLOjs+4/C1Dc6NhaE1NMi/1lCAbr1dLxxG2LaLl
1qmiLKnfFeE8+fMjO2bB/jEoQjv0Y2jNTqLCVwB4S4KNA6lscW287Cfd7TrmE+OvQgxBOlgV70mY
hs5JMCcWVka4eUqVKLxmN6/f23BiFR7BfVY7wxau+imvtzIy9Ork9t1ZY0peQujzB/cPp6dHlxCx
FW5TJUq8TtWavDFQcKzijy/3BxUDQjuLN5oexDgBA6EXO8Y8u61lGKNtKndgb59/hh8uDzohXBs0
qIHSY0minvFNAxhniiodpDY86GafTw+xXjnZ/VySTHzWYBeQSZf4u3CtnR921enn1mAw6D4vOGOf
Pu3xuCmNepH4nfwYJyFK9wcDvpefUvIw60nbjfY0xu290cStr2/R227casdezGZx62dhtyxPfqxJ
HLRHrHGtalc0uevVeyMaCVyvWiDAfOt4gRCZ4Nq4wAYF1543w8doFpKiZZPqcToezNqGUrqnQ6M4
ZwiVNPhhJxxdKJPmFi6B+oUc5JmO+yYH4YtTQaE+gPMBpQEEZ4/f23CacYycvKf5vDiG/JpOqGCM
vyWy7fneVmUw6AarRvy8DmUym6p2WdmLIYOE/eZ96iZlD45lmFCZqqG3fKianIu/UNUTCiCBPsNQ
zMiBe1V0SF9+sK3FaYqOb29M9gixSlJg3TiZzv66ReTdKSDbdRHxy7UT4n+c7ouhbZjsrtTUbWRY
WpbYvzeu5kzi1lgSniSq6ymWQZtQYhlvpnrECWSna5nEadQYuYVCxTgxphoT2FD3++RhqlHOqa/I
8P1B27vcvoa5aVq/hzKyEdw3cJk20zyrr1x34fL87l1i6Hv2buGUF2ol60CWBBBxGiQLacsitLQu
u6btlAA26f0HmujDUP9MRo9X9xLD8RQbFbNwesfpIJiNybRVFfn8HlhvPSqhtO0pdQHloca+Dh8r
ui3RnBXeAwXmfPmMM4ba6xgQuiwBE0ENRiSA50z40+MqLA8wm/9P2HktyW00TfuKEAFvTjFuZx25
NCuJJ4hdki/QaAAN767+e3oA/X+QipB0wtgVOQPTXV2VlZVJIwzq/W9JGzO6vphcrPxMl5m1VxeN
MnDcyVY6PnazA5QeFAwc/yc29Rs0FWqOqhXpO6ZLDsz3W6wpoAzP7bSuLyMDoS332DelIw57ukqA
ymx1r0padwaKtu1cex+bgpoNj+U8W5BtUY2bB+1VweyyYLt35EF/AjGE0/Rf/iw3VtMv+5RmPWA2
pDitGk+Y/nWfRrOJ/ZTrZC9zEg5UiaHM9EJwW78Lv5ED5CnNs7xM2q/52IHZHKp0mfPv1H8Due5e
iiBqF60Y44ieydqj49RGAz2pDvSD/vd3+hueHKI+RbqGCFIAf1D7mfx6uV1joihVld5H1EZnAokv
cAjBytV1Fn6qbweHmJooP3r2AC30YrYiZbVJG8pV9h8X84+FzXQRAshUifo/Gpm/XoxOE3oF1v6C
2oRgL5nokbKXHK8L+K4uRPLvpasmsb7++0P4zcGDGog5Wa23gbw+W+sfZX+UzunaIhPwMgeN0V+r
dtTwa1XNTYItbO9p+BCfyWEMde6ZKfmy51xph44Z2VnUJaQDU4jePax+S6xc9o7IlXXjwx4KrVkD
ofa4pIN4ttJs7ddjMJeKxMFVk/TE//79pm6kyF9WIrQeDkreLfM4Gjj49WlG7pKt3piPLzsiG9Uq
8j8MVrOE2UkEq1/XdyNgJqTnSkLXT++Y8+j6+uCbhW7FpUyRcTd9iyCeEY/ULYViHQNXfVprvISN
A6is7xgHs+8oXWMHN0wbe0gIabg7BzC85XBlvtOXzgU1PpLfryMCraZx2pIFRG00SCvcTHcOWkCd
2x8Uw4i+rZBWwCYxlkjnU7CYdeFcfEOgEREnlW+O1amQGQMe90Mz9sZn7EuQJH/fX8e6jBqRWgcM
yMDgsJV2KF9cS6XcXFow4ovS6g2XBmErWc07llzMekj/ONAkYji0NmrOlEd8LPX1NbBZlulCnRci
yBHXMnQr45qi8MpgbCBnsuFDMGLG9l9aKP84bWjHasVUn3wLOarfD36f2cHVRVfyZawcvUP12FPz
XmRJxD4FCtbPMLCQPL52Qnr/GXz/+fV6UzCpAF+c8zz8Le8g1xI5MH/9skOZzAyZnC9yCH2+H2dN
oG7Xkw5XgRoXLz3+92V80yv8ZRlDnmCeBIoSipLWP+4/6908t9ZmZEIn1VVVXpC/gZE66ZAPB29C
NCo6cjl4bT00QA68QKwZWCMnI2oURcVemxnokvLLgYDML5Pa0DA+tj26J7Cn84uKWEtJ50FeiPsK
ZfEcMZ3bt+4rq3QL3eNo06EvvbslGKsSPWazH3L/2DNHYTD9FyZEDREXospK4z8i5D/CtQ8W6DgA
JrpNjz7Zr3t6LnxpdzRvP+4hinLE5ZXvzWqHcrV5lwz59lcfyyhWC8JF1fyCcNB/FgC/UgiZTkP+
lfVAywhHCK0S+OulJNZceOlSzF/KqjdSD5Z5yXdMcigI1VHIevz3hfAbQZMvDHQGECDBTZcM2vlv
J+tkeH6qkiH9krmJcJyDZdKdc2JrAb0iZVRZNL5NblAmcd/1SUMTmlhXzAdpglG0cYZsG3/8+0X9
g+lA55FHoPNBegP/PLK6uegXpcrsC4rnOpIsaMxw3Et6aKS/W4I20SSaX2pj4JngOKgTpPV2znCs
ufLJy5ZJn7xgFDxGf/Worjth6Le3Bcoydcr1Ncg7O68vK/MG9qdmSmg/H7DS1O3WLQFtyJ3ZhZ2P
2PXL3tcSDhoczBCVJUsCdTAyjzjrRrzmoxLXrCauYdYHj01UMfKPoXpQe8cOKTK2dhOg5GnfVQNK
61Kbh91wjjbS+azllhaXFw6GLjbnDbz79yf7ey7ApqepTEPeIiNADP235TX0ljAj+gSf98qybIN+
PCuBE/KZ0nTBaxLZJL3b//17wYNZuP8/4EC4J8yRYSMVTuSBD/NbxDOx32K1j/a597LVCOMgTyuk
oRKEfhv6MD2lTwNUKiIcWNYpmpP0BCknUx/srRHiO9Ra9p0IWst4twaQBpDVNAT12fs6e8tyVNQ+
Y1wGfdlmR7p/bNtDluE39NSmwbSYsAOzzMX8uTd1J5ZJ7wFP5wK4pngupqHHn6KiaFpKzULQsFWR
Mgocxe5YjwSiKJMtxsyDbnS+78CWwsAPCdapilZrvNRgQp2gVum8+klZUCfwkI7szn6jQ14odVq8
0gle5Zp4HMaBawydPCXjCtvmobGTFRl6xm+j5HkyaQGlR3ST67qIK08KlV+KJaqSJ0ufEJQHXgSN
+SiTsY6W56Xt6KqSNomV9QOcuabybhnp2C9Xs2OPzEdnSoQhT4xeabQHrapwNv5YFvAvdeicFmoB
c8WFMr64E4aw9N1U1C7FGbsjkqKLCBE0NE/TEvardvHolyI9iREBvc/h1BOnynzQRxZTJVHwHbwo
yy9pkUwNwniyYhMf26af5jBet06y8IES+RJvNnIyQmMhhT2Ocxc06aF3liytDqT0We5cUf9dhvZL
Sk2WO/dmE1H0vqwqz0UD3KcCs4OvMtTybciQFH2PEAQIr0PdWlZ6kAyzD9mhthm2Dw57+7m/BQkR
ZgMvpJXJsMhHRCQ0/rfBrntPPtoa2gavlMjTNwkQ9LgqnQj1stZI1jhwUHXkNWi0lDHAUjv+2DqB
aV6xPLPAnzhE/QXYvj1OjmJOrcUmNf+vdJty8dc9xkkO0YHBKOhqVJIUHr8eHmztihHS2ruOKhPO
GBd1lKr8ixUkAY3dEgOEO8iWkCoz+GFVEbVIJyx2EtxNBb18LCdmIR9UTxQ81uB7j9PU12C5g5V+
KQq8IQ+RW6bTkx2UXXfIZte/N3kG6HQjwuKm8j5sZtig8oCKIVLVQ8v/yy6lLQ31IZdQzu6NGtj2
gqxQLeDIi/Et6eSSnx1PTCUu8Vb7iXJJqFMD3FkcUK4lMa2Vb09XpBFgKisniVAPTdKgP4h+DlDi
sXo5Ww9RVNXPRkDqEJteynobSnzKpzD1cFzPwhoXWk9F96k3Mhbo5lXwSHGBBhkm8XXIzcrgc4GQ
0NPQuuOEmo1jf0NTTNwXs9f5tN6D/LktowENF2G9zmgGY0fZvvlZ1rwali2fC9eYrXjtXYHoup2a
STmCV2d01h8bjis7PM6eu4rokDtt2ZmP4HHGj2hMnQsNuvK4JNl6qmsWa+B14R33aoHdUGTHin7A
F9xRkISI3AGkOVof+zVxUUgvguWrWbjruW9cF6k7q+g+jKKpPyI70j6lMl3Pcum9T31oOJcEL6OT
ymvdivM8XA8SCYHVzbCRWaFBA0EFT7Dy0ruajvwXs/a8vxY7zL4mXd++LEabPKbg59eia5GgRiCf
IWihoF7n03rycZzg6Fvz+Wo6/fCgcjF/UHZnndapzU8yd21w9xEKNTSs5UcdTvJzAy3oY+ma/T0o
e/Y8BSazsEabN6eibNcHcymiz8DGxb2VJt7H0F5RnMihI8QyLcIHc8jdr4U3tF8j+jIXeBvGYfTa
5M5rh5rTpPJLrU1voFIxhO6dO/rV57qfKoXccksDYxmNt9QW6hGtOnFgIKf/bDFbeZzq1rlMSOg8
2U7KPP86rj9lm6j31BdgeEtiHNUo27hbE+vdogVwF6hF3iFRunxYbaN/8lOEoCxaa9eMiaEYtYrl
oahFmB9Eq9yPUG3C+QRRp+JbmH8zwAce6tpFjpiJouAcFjL5Xyjn1wglyneL4+1SLnmEl4ZjxF3v
EQ+FNL+4BOCTMUsE2dMguHNWocDXO24gLX3vS0jdSYo9IW5yVKGq3oYy96C4N7l6ZGmKw4j7JfvE
1rL+oOqxGUrrMQWIepuFa9w3dhseUKSOrh7h5EUp0cScmdUrWBQaiuuYv2WVFEi82NX8sYFCf0j0
yH1U0suIp2l0+kM5FdU7AbV0Yps/8piDR+KpCuktZmiy+RMrt+HsrXV+lcy7EjOyVb7QY+tfGNFy
4hUm0GWAAhqHs1N99ifR2HFSKkvKgyHGDAknJgRmRLjSsvvLCvrqOaM/eDKmcsTrYER4Nk4lig3A
G69TTkNrHtQfaJsyqFda37EOefWLcoa8JuezMQTysEaMCGM6VhtXq0cs4TFyk/KOGyucA+2a+pmM
Aq2PgtpoPDaNzZGcYSWQxYibE14rF9KnbeXmW2sY82GKPKjEbm38ZcCizBhzEi7zZaYofvhMZN/l
meE+qHVpvkWlMu5l3o9sLnd+Sl1nuh9El9dx5XvlkQq4+Wvi7HiwFs//Sp+leSmTxkRtKJP92V8m
/9W2urI94qTd3ge9F0A3JQn8aWRlxrjHUPfgADYk21PmdeKpmR2sEDCHqY+19IIqjoIoycI/3XIK
D3bXLnS3eML3MNVwzlJMhmar331SdCFOKDlk4jwiTvMplVBL4iosE25IEUtgAXwibTdeLJoYP5Wz
EH4i4TzCh8hFzIM37ye4wniEDuUXgH4vnuc1fEsclX6Vqdl0sYL0usY8hfqzFeXeOZ8taIUiaYtL
qkLxzSX7vwuMJXt3O6e7ukkfgJxM2WHwV7uIZ+zG2ZqMnJ3pUDX3wsZKCDCe9oIrk2MuavEjxC/h
UGCq9tJaKoI67aZ3+HTNh2Ls+hM4bfpQrmP90IjlmQv/nnd++b1ZLURSU9pcDJEQuxunP7XhKvhX
Xh3dS7fHiyNA4WkRXnt2miktY28S9TH3DO/RrdGlCGrzGxic+zDLGbe3jCBUDph5xgZ7F6/DuvgT
bYUM8pqnuriUfXRXu2PLWEGP1x6LXjwbKQLNHMLqU9XO452PXz26QK17mZYluXP57vwYjK7xKQvH
ke5UFRnFec6lYKoyDbP8p0EKzlx5l/g0IlYRUlHK1dLYglgbDbT5Er2up3olURMHAUWOLNKOUpEO
Hxos4jRYeKtA62akIN7hib0W6iY0epxPQ9jpHo8koMCM2Uq0sJcZtU5WWnT4Tz3tqyLC/S2dVvEa
FKzl/phDYuaveBv2TXKlS6XghsOjJdgOVWzWg3bKtnp6kK+z6NPmj8SLypk5zhsTLlornPpI+8Mm
v0aVV7nf2Zsab5yNnl72oSuhZRyXYRzXJ3giaXvXJoZRg2Kn9VLH7Dq/es7LoWd+PY28Pj8NEN2z
k9G1DhYpRqVbcEm1hD9NOAPJPZxLq3ywXUmKZ0DQnc5N4NbVizs1Sf5n76UKzSID2E18ohudWNah
rmVhmw8AtLPnX8Ck0kbEA5wI2DoTDNDllPhV5j/OyHdX8bokEHrPyZRzcMUU6V4HvDbTfii2YjfH
bCU7Dij4ZkfYavxv5pOoUZt1rZcopgQp+58wZuTQxz0eyt6Pv5tVdh3S2HRA8+5HGu1LHGJ0itdr
4pTFoXfl6r9NBb5OaF2upoS2jXfWx51WinmBbk8wvVKtr1uFHNVrE1KDZDzGIBut7n9UTZrzby6T
Lhdmr9SgmkReCCrIlhoL09C47c4KKuWE23oc6ijwsreadh5VlLioQJwSh8OvfSaXYglPFFrU9EzE
azTdGey1zA9raDDJeqETUPOdYnR4FMZKq/GKACpJu2RSGpz7lvZXhaPZyEsDsSA/s851NU+HCTyg
bIaCH2AF69/RcdWspZ29rLAopATNzEl3Bc2Co+NlqyPqudLMbM3zmP9GFBtRgQhcqYIweLyaGywb
ZDgSAsG3OE2qeLsayQxjd6426L+jpOPDt/K8Hy39sW1aJlWhg084W9csGL3RuBYu49OgZAGPRl2o
vpfW/pCMqlX/6/FmaPMH6uJmBGKe6FTU9ys+E/N4sNFfrxHqgEjJPt1I17jb2B3UkmwObyxVFdRs
RkBDfakJ4B9vakksAz4bHANlo4rkSQvudOl6+vGoJmS1XZpsSodrKuCWvA4dihD52TeRdX+R2xBK
b5cZsEpqUx1g7K7Vg3/CQEwVsHYSVl7A6vHz9RXqKbBKE6U9SroU6/TKYwXlvYOeP+FxjQ+zagf8
ePZn1WD2MZunNjBGm/YZaDtvbONJj7a9Zu5PQzEBmcWVQ05knvKmx6v7Gk3pbflUrYaOsNfzb28E
08As9rbXtPcAU3cK6byXiVqZBhizSL9QbFnXwnvMpYumUlwKOldoQjgljyD3G40fUVnonqE/Z8xk
XjDdHHJyn0S2C9kg7WMuBVGGgmdsVeHCv546A9iXSQm99LQxffO+bJ1OBNH7QB1MVm1aamCqcb/S
MtT95Z5mjpkdRE7l8DSn3hwONHjRoUd3aen1bVu5q9s+fjOO1CgzMuhmHRf0X+bXmf5B964Wk0GW
BxUJwn/hl3rmoWMiTnAVE33n7pB4q8apMtj5+QVPKd/4ioGSZX4xoaDUROcoy8vzwIDJ+I2qTbyh
DZt6E4ppkSU/mVkxwJmZnZZ92LVN7r5miHMWj8KHnXhuqcf8ly2W9H6r+8zqdsL0aWmIN8NDnh7n
jt4EcjVGE5hh23TNKPQzHxoEgvn/Bdwp9EdHoZ+oXaAA/bo3b2UPD52s91a8M8nFkqzqQVM4IMiA
wMUgND7gXSg8Wz617Frv2xTQWPqOxhooj/QYiIUbY8PK9v7etDdK2oYCdYnpcdohNZFpjKB27f5T
uaikfKttWhn4PizDvJjx4sIIEuiK6Xi0Q5b57Qc4OPpyCgNU/bKUYbQcEvyzGBHc8N8ab9HmfXtE
rZR12cReEi4Ja4Hycf4zEBUfaXVI0yL1s5Eb11s7ecMotxNbovTAk6rQbuG0x5BYn/OYgzn8ckpM
3YCcqpSgtsXo/ZhHvAmYNZKL87PzlItsmglbf36JqNf599WGU49uymO1l0AzYgsYHPZ8xFWz8L5s
oQxmTc6e2FHQAveN9bXbABTdRjX6D9PS6kBT9p3+i9hiANgmTJ0074Nd640E7qUvESsuvVPrkS7U
8CGh0cDltyXNDhUnTBDzE8CP5hdvywTYTP8NdPb1zW9cGii7+vhZJ8p14ldlz0pd89EuZyj7WyD2
TWNhH+B1pRtoFgNwGn0cE8HFRdGiX9e2XnqX0RFxycU0ERIdpsfWV39cIGNeMQ1jUuaQSkwwS/J5
JXM/OBVeuRBOmjnH/vc6+oWOBECDOudJC5PYt9SIHxOTOH1UwzmnBJG+9H29wLd+7d98jCXRPdGR
CVui7RSK23zQbfMEmakX/f6yfeg966vSZGIVN22qw40/Jfp4FmWniQ6BQsOLTKLSfCcGI25cI5qB
BnzKFQYpye9A2H9qb2ccWufj0N4louoc3BMZeiiKe+DPsGkvVse4VvWxivx5prPtlyz+Cyi/NOH/
BqA5470ssxFWyQgFAfrd4MLTRLUMqwnh53fMyGkyDR5FOog5bqt3OUN3erX6qGNk9aGoirr/3hWW
Asp2WrfEP8YzxyWYzpa16FaBSQuZJ+OU8Pze1RhpojkjGrrjTTfH4Q80w7lT/3bkGEV3O79vIH9K
AcrFlehGEa42esDegKBrqR/g3CDtSk3nC46rRI4er3Pvqm+HF7/3nTR2QHDJbvfm3qjWKsiwFTFN
Vd8B8tN0wj9+drk0xE94P25vrobjxWVZuMVxNCgpj9PUMET0DKmb0vSYOtkcSNRCb8ReWnZ6xDIK
g8iwv+Z9uBbRGWtGvU32Zbxt6Cob8Qx/SoUxr9mhoXWvmm+dNU/NSTHNMC7Hhokd7mLPdBjY1+9f
YNfl9O9Q9m/L69ZwSVOFOuJVRqNHauIHneBZmW6ro24GMZbEbPbdka1Q++BAL2LLws0m0Yzr/QHK
NtdkTFzV9cmEJ6reoXmSweqIxUwT3TvWG1ugQ6yBR9gaOUQ4OtZdnlCnILoJv/dGxhncaEqClxYj
Ve6agVh9ULUcpXxiWVCqwg6oXP0ZYvRnPnhvDBkd/ITsuHMiqPX1JqhNxiLBI12T0uVFyqbpnGdF
0sd0Z5Ub+jMtjmD+XarKFccoRH4GIPoZUi0fPWqLl/G+L6mh1LVCdKSFgd+THdHVmW2YyIdVFkgi
ntpqnUrmpG5p9N6kr1qIdOF1NBwRdNrr99b5YpqLN2Ft81ENSQsXpm5p8HYijtGoD2/DA//xjn0I
mQfT+q7U3fWFYZYarvniSrt9k9LTZJg93QWEQfTrRG8rG66qXbDWfN7XTFvbutE7QVrml33SQv+8
hBEqOctF0E+UT9noVKRjZGV628x2wj4IC1Nvsv25QhHUOyVigIMLmZNe715zIpx4cdQF/oDDcQuR
tzxsZxtQuibSLYCR0ylwzLVSx9zHp436fNt0e+UBW/VWgHR0i6972Bdb29zbeJkQo02uai+TFug+
GMFVhWjpf2wVKbP2uo/Y51nPM9sO+X1PM9C43Ts1MVJAW2NusQLmJ+KR8a1RnhWiGMN1D9hGMWmS
Kjcv4FXv429lnWesgyEHY1guwcZVChdHR9295ecuzKXQVtyOtq3FXPVKHzl7yM632D6Y2cAv83G6
5Q55rvhp6z8LDI3ryzCtzmThZaKz7zB3V77EqB1Gfx4yYRH5TgP6M9zM9qC3JReRGfKMtl/Z6Obr
E4BHwAGAVjYv4u+3iU0PTyptO/3yTXcGb4qhknPWr52hoynG9ToraiuO6gUUbzB87IIiZBNi08Ff
pY5TOlvA+EBOZooLzI2Qsr0Hpw/1Sze9jlO+DVN96cGtqbqn3PtBjvqWrtciOeuzeP8J+EC/op1y
QEGoD2ir8zKkmjH/SD2oCtumaLpa3//fVMKs12c/Vqp6uVbzrLOYzGp1+GhhXeqMGayF79tHR/ZL
7usZCKCtlD6FnazN1tcsgdanmVQ0+UihbikQNF291LdzwN8ADTDK21DaujIAcO6cRj973CSRC2RC
39WzAZR2etGaW0mqGbo879RWuhLbpzBHK9A4SrRMNSF3bRlYhoYBvAHVaBxm/TKWbXBSgWDzRTtp
sQwDzXDZi97VK3RltnNyh6HW+3OAKc9n6nJNX8sth9mzxTGaYEIeNflHeXGfTBCY4n1vUauSjTMR
oYN/f8vYNtAmdUIQzIMHOhikMYodindDMXrDhraVXBosW4qkW/9+mm3dj9yS3f3oZricLNNt51s1
lDEARRq2MXE3pmQDqsGC8W/QiH2j3tIm0EnelkV17kRYKrdMP3VrzazLt0gh82GswUZJbxLj3trm
0Oyyo/4ZUkb2dPDeuHKOd0PLtrW+Pzsjc2a+eINb9h235ZqzuJHbkUy77YltcNXpF3oRoP46fUoS
5kLfK9lQ8gcEMv16N7jLFPUNJtvO0J0vbNZyrEjwZGesHcSEbJDPyDCb63RozBnndFr87EWVt5rl
sKXa9BQ6Fo+3PTlnDevlDJ/axH4Jooc+CYNp0mmsZRe6Ubzjc56T3/ZFgpf2K3+fi+UgXzT/K2Wo
6NWJch28dwoE41w6vm+lQLhF+f1RQ7e6QRiN1G898DvNpQnQ7bHnpxA40XcP/jaCbdnk8t4RzG7m
jHO3Sny1TcVa3AMQlGidl2z411YAGTPEgSctuYmcHA3nSYX7IVJ2tmgkva1b+fsLKdsW5W3TmfSG
TBLWXj+izpFuUFT094poqU7QDXU5sCOae0lPLaZz/f0nZLM1vLCPJMtt5pdtSpW4LYcdwmQeeWnb
V+jE0HfLlnnrlx1yqdO8D2wozLN5znAk4JHShbtRVW4LeSOdMYmIM9xdtcUq8EqyWPJEpLGFY3Td
Zdsp7RxO3VNJ+FYvlO3lgrI0DNAwdjFoad4hX+oZKWj0AZtiPx23gYadSN0xA0owEA1linXys25t
x3urLslVzlC025GRDiPtWKR73AsmRLLEZQ5Lfeo1rqnTntavdYZT33K0lP1K/NvxFEVRx+sb21Fv
1b1UcvxJpw0I6+tJhj1YBVWiB/TapNDFabVlbsoLNWs+K8F71NWGEslPDJY52GaOE2NtNVnmTQ1B
2o0e5bO8MMOj2fMT1LdO+9V2zDJQYPqzoSci6SzrG0r9BeOCCxzg0FqOYHSaf1dYgcO+hBnHD74u
/nl8bBK9SG/geKhgC787q2FxV2xizc2fbsDhhuXtpFp520RBDvRPUdq4Os1oTV8nx5rnrLdgWdHe
OfaTUfNH0xDKOKi7SSfJTN1oHhB46crtemurl8KemIwbwL5umdRODCdzvH2mCXUIFHJLa6oy0DHV
YPQdTVlGLuA2HRy6NgAJqw/KdDd5fUDquNeSDm1hLmXLD6xbiT8MVmmnp6yx3F5+Bl3WiTncLL0E
QoyLuDlroTECGMoUfJjA8mDOCTrAjbSWFYbf8Bf7G6fRhWbKfW81s3LdG0ImGaNUsYBhQ3DfmVb7
pgjSkiZDBKbL7nMZ7uTBwFHVuV/nNrq0bbHKDdiZ0ukkedUGQGwHwD6oE81dOpzKsG9FR9/ploru
kLO5gcc+HE1eYbZlfeEcVDQxGITQxUCF4xN16KxKjSlMg5O65kFNVbeMr0YGbZSKMqwsa75fLcY/
yJn8EuvCp5qpl9l77iNMsSKNla5JXWQ/59YkhzoHsrLzTz16aoV/yWx/9NAfS6x0QIIngHpF7t6u
w3DI/X5pfjJ/o8b5aDD0iN2zM2Cs5NegcMMfHRMUqCAzMJfloEErzvWnOgEcuqxjgFuDRqOspy4P
quZhbCBFZZeooBL/uGTjoIWoKlW8Viyj/3kGbd3Xwh+i8ewjHEdfMy8XHzge6tS9mprhT7NuWvUc
WE5SXpKR64NF5XRLri7SDo3FO+EU6V7A/LLh49yyts6lnSzmpVbmtD7Yaz4iwJbbMIOUHZAXpIRf
6CZuhNNl70XecDSnGf4XnubTfeuNvgKpob6zHvGexxSghtzln3vaekMc2eukHkJRrGZ7druo78EA
Qwb4xNktJoMpUKEQ5TVgDxcLeay9JCwxWoCzgZ8D1rsOg3pm5eAeZRnKp3u4ttMCCynMMdyIaWG3
7nxQgomgPBZoLvmUmsQH/2iyDTA4C9FbfUzI8G0S7UyOQXRvtQIx59gZLROv1ZGe1fQB28+yfVNe
BaslGjNverCsYFDnxV0wgF1FYd6JHMV01l47fqjRgqivDYin+xQVnTIePDUO9feQoFx/r03fz8E4
DbdfvpUrfCd5YrJ2dHGuHxgOBBk2w+DdL1DBMCAq/pHxJtLkbxy7dlKaRCwR3drwOLizHqzRXwWr
OnDUN+1ZxxJvh5k8fB+u2YDDwEpT4xFmjO1/hCTDk4lbN1oULgqdJEOAEkzNIJbSc+9wza4xVqav
CYqqtrBsQGJhq9bbQbEnyluKb99CkVBoA/0RgrRTHGwpkkqRnV0u+Q1htbcRrI2/idktGPCMn4R8
ohNICrV9CO5s+tAg+uncfPsUy7opnjB7RTti72XkpTOF7DD2QbIc59tY3X7gbJDn1iJNHLu5xWYH
ttkBCrXe+IMCyhaHoMwNBkrsdfW+JmODE9eH2V0rIzzJ3iLdFCLQJdJqwfT72TFNpipaajoR/X81
m06OZqshunWhUupLX4dJ9S566Sc/JiSOhutsjmb50he9q/63tTe3u1123KnT2h+TEVHwiWUSIMxe
YfY2zaCueGW6SS4nBbo4hGfmRdPZOTpZog9qufW9xC0rSblJGw4H4iqievSGvA4vC/J2YZyYNiOj
HxprSIvlgmBNz9TM4FFOdOhrWFNHSjFU8oPvVMn650DigV6XD5FyPEgpwQtOTi9RxHqzCzu3jIvq
CmRRx09Bx8cHCDkSwKLxIQO98kfjwIGfKSRVj0KkTF0fmho3jnguTa8+DW3TNjGkKds4NFSc6rme
I0zwKILSnBTAC+VZkBZhpDtlxSXqF+hJkLwDTFnMzP4sTaMxn/E87I5Mjs20jIriL9kL77UPa3IP
Oxy+c/j09TFYTRqwkZf0R5iHfGkRZP0DICLM2Hasp5+jAIO7o65TnzDZ8p9LaNL3YT6Op2GK2Ig9
+LL7o0Z+ozp2TFa3l2ws5u+tC6UsDld7EoepG+r3Jq3t9nGBA3QMAFM+t17YPkyYYT4ysOLQ+J2Y
rjrbXtk8+96cvy9MXn8guhW85dzNAOVK52tWt8ZdkBDnPVct451dWFPL3ILjmN+Y+SKqFbXq/yAN
Se87Xj5esokanAC3XeiBNuj3DzDo+R7blQzWR4sGf0wLgocn685+pwUhvSebMq+Cyzzl1iGjod3E
COiCkFv+6F/SgEwvFrS1/KvnrUIyDxumOWQwu3tfK7xq4tRGPDvGbIdePKXLdFhs4cZ2bjZPUKzp
Fld4CcpjToFE365R16DEIjK3nOkxT1Lrz9BUwbdhssR3kcnhHuaj8wEvV1ZZ5CfnqLZN+EuFe29P
nQwPPbj9HNtm0t6j6aj+4mzjZBjXTv5lWKhUZyn7jlLvK/Zr2Z8J9RByKlP+EWtWzKjtPrpgjDOf
HWc2v9mlnb0mwvMPXiTFeTLW5FOWw90JsHSmEzvY88Go/Oa5ch1CqjCy8QjDrmwuThmIH7MyrM9d
2GXzSY5m+x3uK2JoMBsBAN0Mi9+4loiwekltzYemnZKYGa2FTrUh6+ewx4DpZA52WR7HqHIgmppi
vAR+ML3lEbXYEa8a82C7yQgxBMMElJWNJ48z/mFNB3iD2eJ9tip0z4ccq/WknKOrV5UISw79NCVX
uJtDeiIuqc/hsKSPqmFc41STwb1MqZh+2HWf0oAekfKOnbzukKvtMuezo8f2P5qzNsGij4GTX53O
yRNfW8RdmqxnJobK74WB+PqXPByRrOFfnEPdH/if4Mx8Q2uuSu5MY/SHr9ECmcl7Cqc5CLIT5fca
+V+8kDc04xbMXxHppXAzCL0oPdBANdTBwFFiAMVQieWc1gUomInyvpw/rDKV/ZM9QcO/Qs+prSs4
mrTel6WP5vwQRlPovaYjjA7tQsduI7bYQMZkdui/lB9M0y4lBz8b0sSrVC6GH61OzJeWXf5BoEsL
k6jXja5V3ENX5nwv2mU6llUyBE+zmZt0ohWTd4/TktLarUZEUi72ItaPqm+nIDal130UeeQqpNot
tPpaCIpQ0uLcpMF+tzCrhvQsTuM8aYcD/kLcbcwry6BwPuZD4a3/Ofb8K09Yiy65Huw/Zk2gmUA4
+ZUnbNeLgAut5o+LYUZz/ZPGWtcUr0gVlfLtP4j/v/kueTY8ZJvFiRcvE6daneXXL3Pn1Q4VA24f
M0Xvp4klOiSEhcyrayKll7njrO5Ku7cZh5OeCWEj/T/Ozms3jiRLw68y6PucTW+A7bkoR0+Ksi3d
JKgedXrv8+n3i4rQQkw2yJ0FBtOgyKrKygxz4j+/iWojdWg6D+I/dR5W/KFq9Fl6O0P5PztojYa1
iL87/+CEWCs6e9p1uEiiubBd95trDhb/lqL54VyEOYjo2gy9Dd/txkYaCpW8n5jv+K3TsOAvEaqt
XIYPuqF9MBjWAnNKh2H8zCqUrvNxTGEswm7U7NYKd4m8UA2Eli/mzdjEarsw0r38PoZAw4Asptbh
7et11cXX41gx40w8Wx0G/sqGq8RmqA1PThsFQf6plDdiYhefly/MXVIO9qbRD7r1gI/amCzXBaQ0
dzgxuh27uXHnDguxxwjzEb4AEZdwc49um8Xcs6QrxEE7Dti6y53RjHDWLhc9FaetETWtW1w6c1fb
Mb5PVP4Rw1PX8wQeHOAoLuZm2AwZOfdTwwNbkdkm+lWMKG8N3+W2mxjpqRrtPFz3dJ6Ej0qcT1h0
PIbUJ+63MPfFpSRW6eCmlHHUR22hngGTqhNvWdtUNO8VpBTomYtFSZlNXVwfwaxXy7qHXO/X8z7g
HIoFqZUZK6Wh1kbi+lY8M3DFNAIof+GVOATzyLVZfGVMNCaORWSzrhQWcZcJgNZHDcg3x5wXqzU5
hDR0izwYszSCQTuGPcV5caiwqmrjY13ZDTfRNkgJqy67IbcK7TILaeqUZI+c7YQ40xl6eJ1g8+3N
l9jq4a90iAbN66I7fTTxr9u1YQTp9SJbknHw7mu9mef4Iw3Tgv6J6WYOn15jmsLdqL2BRuIVnl6M
zKukpiUHT9/nzKHvRmsJ7H2f1L1x20lTSPz3EDDezX3aOJcaUfXRMTLtzk0eUth6XCOJsTUvfWM+
nwVhvwh5kMkjIGJWWzZaAxeznOfzmU/HNHLOq3cjujy7pUNuWppFBx7efblrympGyGn1LlD3Xnr2
gSUIDNeXNp5LPBhOgXNIZQr7QdOt4et/1jAx9KM/ppChA6pAVmeANlv6l2Q0cMgvgxNehHsYJWVX
ERina6W3Y5OgMLqa607n7o7YQ9GxwtFRfJ6ySYUdQ+twdkJAQ5gAwmN1lcauDm/B38VoAlx7Z9Da
N5pjbMPfLXa1OWKYR2JchqcWkCwFJwTs2kJK44eLOEcV2ijMVfK+Ey4zyuetScscT7YdTLeAsZzS
3w69I15mU93f5IZhFcHPFy5mThTGPuwZsQWFzOgtzQFhDUFbByrJ3i84RXhT+UV1OCKrHov6NFtO
MaLS0Rj1+C1KwWVswvaHGnE2DFL+jMhdhAcj8FHYPqx1hqcpVOWsxsewTIMGCBTey9kMp+ripCpu
qFNn8poXdxFSTqXo7NYo1JJ+rxWDAENYOwtMq10XdRWjsw7GHisfpeZU3oGp09lr845OlGM0lwhn
hJeR2SwCi0RybLXhwRnxl4AzgbUML1cWiKF5lpI25OTxEJXPk1J1mTXiRdpltJFJV+U4g4crdVHj
pl87Q5w7j2bncOS6KjPkhJ6g+QtELGDILRYOvhr2dm/ESjyX8OLYoFvECvA5mNt5hmkJwdsvVi2t
0GlmUbDeR2i6ABTrs6pfsgJVU0C5VigqxusT8blmlY83AXgYroAugQOCt5mGI13fqrD9+V51txUN
SklXZe89SgqB0aEKEpNKAYL/F6n/JgGLq4Feg3WugYk7onhrqyvEGMUTbcCUx2YPCwygnkFKpZiw
Guik7hadlU7Hsa4q5kowCa1YnNDqxS9LchjUaMWQKfTSdzHlROHuYl7HdA3omTDvJCCAhk9oxgYa
N8nTUPlRMb7PslJsacqIK2EDdotjxMJNTf36XceOhMf6bPkDXGYXJICMMg5YZaOXtWkZI3/to4cy
qnAYO1KO+GV1ohRh2B87DCGYF0AQYqeBDeoiKpRLeFDFdYGNe8cOVlyZfpM5KYSDYRhueyr48hS6
TsprmS4zBtfWCAlYthkVSi97MkMOj8E5KLaUZJx6NuageGUGhfhUxWUwwlTgvxwDaX3sOw0h73IE
UhJ3yh9a8SbuUOMTQKJ8bNBeMHuQksIuMoHss3kAuJaydZhiPYCdHIbDBpMKcpDocDZTKlqO2qQL
1oYiXELZARVKdZb4B5ZH0+l2JVYFy60JRQWs2ScriA08H/Oz/e0cWQvUbA4SybCjI4vK+aTYXrIp
rE8xfguPFrSk7AO6TshRUok7FyD+dC6EeaUY2pnVrqcBpmxVHANpW571Z9rfMmjdRNHFY6hvpHRY
wVHIDkVDwC9aN6mux4n9rjrQ8wBjqrTMj6d5p69YSgw30VoIWkWXBoJPInnytl6fWVQ5jFroEbLJ
rxiHbUNPJrvsjDyCKqr4oP1sihavbLOnFYFNl2VAB3m5TmX3WV2w1xiChNK3vrDo7hbSdVo4d5no
WOVmF3r2rijzvBXtoWoJ7b3D6VgjEDblND88OKTsReOFD6SQmyeziW26aVNmi0YKKoWI6yLOTNy8
oQTc8B6zJJujYQ8nYyE020wASzA7qjxBku3hODMD0wiMI3pMxqmO2isTDkJ8FeNaTmFXA1bzAYpc
o2t2yqvZ8RvqwSWgA/B9rJnLHHGIFtHoialukapifGssadktXlhyYUbFpmpeqptpavjitEd/MOq1
P7Gk+yzw7aqJElC93NSHjr6mxS/tZI9CIKoeQq/F9i+Q9ESCekSDRTWs+lnY/OznHi7V+yUpZlBd
SUVQ7Sc2SYaY+kF1fnAcEE+9t2foTIqWrrysMkODtH5pmP7az/BtjbqOwdxwsPlQ42eSUUM7JumT
H0LXFO6GlcZp27pxIoPO3l7xotVk1JPSG71d3USGVh8UJzeSD4xGrBhksq8S1Fhz0ZEbcjCCZdfJ
sTbAkr2alrQrfFQJosGzcE6PztWIqhJy2XmXWOKY6yxIJ7x2EqfZd4hsww+IIY1Jv27MEvz/SGdq
mkAb0MEwdJyprUvyL4YZZ+T7qipF4xA9ftaDuLrDUH7Pz8vIxMhiPWDvr2fEYcnqidhg9ug19JHC
UbXMF14c4fK/S/Qizq5rU7Ob+pBXejQG9z2HUMZkz3mdZSj13Qa+0yQ9OrQFCgHT22Es4owgu8YS
stX7FQFfvFd2WeNI6hNUJyw4KCUUK4CNS9QEBgsKTl9l0IiVepkG0d1TvLesHQTTVMuIWaA/znfk
ItTdW3ut4ytHdaMPV2vd+e9waXQixAFSjSBZ1tO5ziQvRrwSgsxgUGDSgzH1Y2XkEIjw7g5HuIGF
1iYlqk7ydNP6A0rWlRdk1Bk0orNhiLzhmka+IG4IgxauO6TRwnfKwlbQP5Q/lGp1W2VuCLqeOwdP
Nvr07M42M0ihu95dmmjcpV2HBvjRmOPRHdO9mmaTNoWCbphM7YqqbTenbWLk7wClYlwBYMGc5/Lo
Q8os7pIqEyPYcjvBWk2kVABrbR1D7Nbk6Kb/tGX2Vvz1zAxMOhbM1noMBDWqSnV2opOX4DgQBTtJ
omqcAY4lgkfB68nQY7AURHxblhDZf2gT5ArZjUsdDlcmDGCieo8NyfZc0cyBmd+pctyWVBsN9Hsk
hnY009z/vBA5jX5NUirU9Sg6jCSMzKFm19Z79bwICBUNBAN1KediYABNLNgxpnAiUoFQbLs/0W/D
muNOGcnSuWzEMimPg2MdiwE6lbT6rPdVgLrSobmOsfWPSFBBv4eJ8A+DPQfJej67h8SS+Q3LU6wx
nWRhsjyfbzJLP21mPwU8n26LgkZVelnPnHPxTfdcVBR7h8C6abpwpV6hloz4SKRxfM/BAxAQBGvl
h/hIn8Vf6gsqlqAlqV4g9aLdLck8aomRhCtF+VDbZSipbo4Z2Nx9tWIXwyQIMvrZrhCJjyhACG0S
swi+oy56/y7m0+W7URLAR9lNpWEmDiy5bEgo+cwgN0hFNUD4LOoXRVRKWpT3uCfhjsATUohBk9UC
2HHKUbR/Iqc/82xc2GRM87QQTWIlSKO/JFq6mVwB17N9S3tm+yquzmojambUed6Ce3sz0PrxT6bm
i869I1VAqppPzUjQ/EFeoQ+b09kYspAsMqUsyTFsYNsnYViQnJVIRjKwkznsQueqY9XU52sTB1A8
LdX3VoNI3YyfJBY4wOLhSBqyalCrr68W4cBjGlq7nkKMuKpowkqJMsbA0NzbxyYms1fmCPuRvFZZ
/JWDs7JxL46ZFtXN3Neal986LSIsmqtOE04/MMRhsTzkIXwYm5NV47nfbP6RWlZiaM0YWlZ3zFq6
Pd6u7B2BbkVU/rwKrFlAab5vCPyCceHzsnAQj8aMfIChzvJpsO3WooWLsBt9b+JDGNUtYIVdhWUf
3KH2TQV+BZeOd2ydXPwnsBMMbrGhscP5yRppAnybsJ3miynyHNgul4hZGJfbWwMHbHjDVJrmzk3N
rP6E8ELgdFbrC5yuW2cxciVsRAHR8YMCiiIJA9ZtLSblkNBh0iCvhIKh//p5YnuagO2BHQqWPxya
OM2dTxu/HCLjvG0RUFTW/ZSwzVRMCG8maVLSNGw57jpzWqsEJ94xtdIbOe5ev4oXZ0lhAIpnnQv+
xVPZerN4eqy5ttaZd/5Zv6SmThYzGqCNns+16TyKCkSRCAupkYhlZfT6xWyMYkwDyzycf+C7kOjO
RrHBi9Ow6pvOCce72JmFXGseqbJYYc4kUaXYgBOA5v/i9Q9+8SwcuugGEYM2sDg5oZsTtdn7JJkE
9nDnyA3XQzSNU7cyVBvsBndBVQuMyRCgK4tk3f76ZWy/P8CCWN09g5vAQXrrHUi/a+wi5PN3hFRI
1DIW7HsgbMFt49gvZBrqLP/6J29S1DFCo41Pu8PGGI2ugLc92yKoirB+DrXbWGpCci/k3HMkQ69u
EZGe9VOKnDRLtc7gN2I9VhwZG7Zn+NGooTW8ZQm1HaKm4XEvHICKwLAsZwt3uBBMMFQL9Vt1wlZs
tv6sFZRDVEodfrL3pFrGkSqYN+6TGAm/YgAmxm2BTWaAgXVawDVtoB8Xeb1j08Wlb2SvWDhLwhZ8
tlF/v0R9Yw8Ic3tPf8ozV8DRhtWWxlMzYJAf7YOGvARg6MgLULs4Yw6T5A0r/E20gQMmBQnCJPLG
hYFMj2BzheQ6U7Q3q307Fb6/xl8sp+3r7ArXDxuvHtZzFjSP3K/iD5M7BCYzj2lAkdNHM7yC+9nD
DWA6loAr3vDTB2nKEWORJSa8u75RqyHBVxod0j1CrT+9fpe301HE4DrkZ5q4ozj2C8tPVs0Rb/rA
u/uZ/yInW40XCcuwlED4Z8UeeUywLI21cLjVr1+E89wklRtpWjxs32M5wmP1hUkqO9soEOnlLkXM
xlYzNl3lt3fBGOTh52ieyfbc9doCvepxZX3nuWYyxyuR3kYZnmL2fe85S51dIJTWYXSQK5g9xZpB
cIe1cztjxLzRH6g4if1aaCtzVIiEsdVkmBEIGfAs3SiIqmIzUsVoU4CuEUGje8JfXSG+VTSPcMjY
j+G7fw9cJwAJbSXhXqFtDImKtxwmQongBvpIlzK2ajx/KohNjUmTPtOFDQNj2vcpqtSC5yJh1D5E
fuAkOClZo9eOR3Byq/NLCHhpDDQ8ZguE+Qt9bLQ64hvEw1BcZFK7EfmdKKxzM45j/eg5lGb1QYed
3/fXbRPjf3vkUB/rn19/esaLMUQqBuuG7sAhQ2O33Us8n1Uatnxyp5DuWn59KhnOd9fAhOh9iDya
ctJQFV/aka7jClJsZPoSfHEBm+lrJkzqSQ9e+ElShtTXLmitVZ/0Ge+fCTqn74ZvNVIFsPjrouPS
RMW4TfRdDGxHtxa4FulqgNh6e8vZpnbKP1HExVZ5ktzgVcYNKccy+Ehn47Kzgk0u2/EIZ0V/a3Zs
LsnDN9Il/cMNXIME3q2J5gh5u/Votd16q0arG2wzLKzooM1nFeb/qzrwdHjHjkU32ROpXmebuV8K
Jnom0JJSp7hVDUVVzDWyVCNuLqFubFxsbcw3oN8t3s8SgPQ+8MkVBnp/UaplYyNsFKf6NolTj4Wm
4Bzmfvv5+bmHbfM7L+hE5y00cKF7K1XjxedbwEgw5ATIbhMQvlnSy3yJ+8U34hvloD+xIIjj1bNw
j8JwhHqhkVLl12fTiwvgMUPVdXG+pfxneX6+67kgiS7Jd901vrbn1cM+n7fU5hfBURXrssMhPrlw
YNx6X17/fPEFf50APvxI6hLh0skR88WGkM2TTWJRtNykLC7rR98f8PKKOzfkvM9Ft1p3ck0ypd4Y
5CbJnpvPpaHhBfiCUhky5jbfO3Os0VqLqr0hgCJuhnvPrqvlc1C06XqlmullZlTWl95oRVebbo04
+SjafRKaqYBCm3TgDNN52OauexIVQH9OrVkI4EN16+lviBWe3mTBGEIXJCRAo8XWArMLim71ia6q
YES8fls3pnHszQwmy7NYXTyDAJ+NMSNzZTEcbH0uLUY+WllOe1x9D93xrXCDbQ2HITRTyGbbASMQ
u+rzARTCd5pxj0hv+mDEamQHqTvJvB05dW3WYEmRjQ56LhlG4ixg898HUl1GrB2gyA3uG8PJ2T5W
nioDiohuk6/+4tAz5RC0YZ6lN5KOmpxFbbKGlNjT67f55cexRtIygnzn6RQCm1GUJo5Dt3R1riOh
3f3+U4ucj5TKvSS0v/GBL4pAtneOUSyXZEnqhMduPrLrwlm4aDTXSswkvQbmCHkqBh2TaPCIYLcx
v4kXKJEGjHoX86V7c4DwmZ9I7Qr19gZHjQz8TkFkKuHDiXQhp5Hq0fksXpbiI2wPIO8SZUjUyDtn
HfocvS7vSvfEEY4WRLWEi+ib1FKiSz0hhptynYhDGgakgpwJrlJKpqRmzjAKxYCXFKJl38dRCzDj
D5LwW04CdkpxCgYPrEJ8vR4TWS0itMIvqBsLkStSjAiePntGIgrIn3VROyarDge1oa+0J9cD/lEi
uz1jqQl13+qV4hhGooXQ6rSEtfAh6vhRRaUDFjbWg/hKzFQ+Wd6HLnUFSA07U8A3yj8DrrMQXCnK
sTy75OKw+X3BuK07+a1mR/1uarV2cS+6giSO4CptVhLQJCKg6xNuLghjJ0SfJyci8+2dvFnqWKQW
/hTncM6MCq1RCHWFkdr6WXWrAdPOcv8zCVsCkiA6Apw8e0/rpaMv6UVIXM1i7KVVrjpz+mYgbqbX
jEJwoxpw+EKI0MnkjGzKOyBfpIp3u7QT+zFHFTricwKsZlM/gZ3Vf1HH+ukO1490fpJEadgEedLv
Im43gSIFLqApgFxyHq6lIeRXmlSlwkRoy1PNtArc68Ksp+AGp8Zu+JgSWkg2DaC2Q5C9LIACYd1c
nnBm7AqacOTVRRb+JLYNOoV/YvEExYr4+B6U322Oo14L1Zcys5E+KqjKtAgTfQyZx51rYDdqHas8
I4pjxz8Bm/VZqhPRLZXoJeBFADXSIKLjj1VC6Ui/e+shytwpXw4K+VVUASTUAu1U2Gc4YEf8HRcA
RPY7kjky+77VcexBu78O2fpJSo6sBhnSjwJRH/mNcbrGzmcpxaahOwx/ApsY9mc6sePwQF5rUZsn
DK+05bNnr6hGHzA3EvJkB+E1rbfMmdYOG+N0Nbr80Mnmo4KlibsTemlccYVcX9lMeICkDFZO5a7B
GbFOK1oIHs2u9aQ60KyGgsi/Fnj6jo+en/UaDQ8J6ypRZCtXAVUqBotrJ19gpxvpoxzWgzszZbPz
xB3xsGqwwx19s6uOqN/FMJQd8lADZL+sNRNThf0oOUQSFMhIKWJgSuVgapqpo+PBTNDieqixJACY
Vl5MyhzLTTENbI/ocJ0B3DBHSAHPtA3Hey+zoglKmfJxLueYbV19UznE/MVFJ6mURVKCpwyk5FTP
/MDXvuBTOVrHQC5dquGktFdy4vRnjyr9jKir2/RTiZxiposuWUqGJVQPvijckqTkUfqqKCGVjWs4
aw/5qpH+ee6pYxA+wmxkAqHqaPoPdWHCvq0sZyzAjSWyLtsirj+L0Yi0HGHkhTLaWWfyFWiJc2eC
6CBbN0qsaUt4XZlnBaDmLIeCkNh8V8mzSujWwqhigcd0FkWEdK3RY0Mg+40RO/Gdk1TuiuZOLpRJ
GfososVcOYy7rIr1DH5toJEFuQs0GwV2IyfbJN/vbHLSWsvifyK0mqe7C1HRI1smw8uA760Os/LR
/Bzb51Wv4y6wyCvln1wpzXM9ZPitID6xyYpdQHnKyZ7xT93jWSur1KsRDrjr53FwxV+rXUI1eKUX
iVoeJJypHAKUvE0JFFu4M4zLEqe+PI+wjUuS9XPQaDhmQ6/jqD3sS60Vvi+GFO5LEQzGeDbnAaL3
xEEvlifun5lLZ7HM/w42tIrxYVqgxmNBjnCfv7ckvKB6QaUsAqWOWj0gXUpnTeyo1+R9ivoLgora
5myvp6aZ/FX0YRRCk1Vnj+lO2jMtUnyESo+uw51FmUGHROlne7mu1Kim2LQG0fbUjrAfHb2itd6L
BhsnArpIf9RSv4yicRFlgvzJkPYes/x0WbtBYhFHFEWAykgqZBxlLKhiMx5KBh9ZVILF4slUDs62
hXGXav6i3zZIrujv1OhyvrWkqsRfIjqaWH4DZmg/8hQ9mIz+yqVIVXXCaghvbIgKPJdmANJNp0xx
KyWw2xwZsZaMXQloC2nEvxDAAyQYRkGZWSfNhW1YIRE464E7+2wsZNeTaJWBTtu5v8e0L4zKgwvU
OHTHQddJhz320rBeDtvAOgfjqUpAbfck+LICXCWNOcA5JLh8LYN91CACiOnTFZa2nnIkAQwEqaNU
C7IqHNVAl4ojI1tEbaGaghgcoW1WZ1HlbKToG4FGyh4eZ9KRTdW4gyyqFLHINC3BccHVRAiIyRoS
q470x3JK06HQIlRerLNQ/QcGzNq58fyhp+nZ45opwzpaSYcNTc6N1S41sKQjr/GseFOEB+Xhbat3
pD7kHXFGEyhsIRXWipAkLa/QDAqpl85WwFV1NEaZy3I/kgo07exCFsvVSRZPrSwPlXeRajdGsrkr
3Rllu1ENTyktlZYJrixIJZzUycoWhrNLnPsYI8CF1wkNhjvJIg86dZVia8NETzRfxNTK0axcC1I5
51JBpRYWYaMFi7TtICx5V35fNlWCLCp07e+FfNjV2cGoT4npI1ovhtj2aLm66C9bYxR148cwGkun
IotAJNDlvic4SBwBRJdb0ki09KxVdmQfFCyoyGGv4bBh4vRmU03vVeN36RyMYE9JSO4LmkvpD0gn
XRTVqWRqGZQXPP+mw6GieqdPiWVAdZLOeq508ZI3Sc0xCPprOxx8P1lz90rBIlo09Zmxj1C+xe6u
ScczrM0umSHEG1mMkCHpdA9pDUsmnZU7gsDG52DesPOWKMfPT130T53/rImxaLAlM3LUTVbRQ+zQ
VWPvBccpnu87yVvBtR7bnyOHkLmqDzYC5y79+vrxbouGBL7pkchAf8zxCVjdwoGr485VEpX5dZHX
0MCVQatypVlkz0x5zfxHH2xBekQ8Qo+OHgdtsi3ol2dW3/jVGl+nedz43xdOCh5ygppIUKIRG20u
ymOJywLL/OsffAaYfgGAAOI50Po2HTr6K4RIbKiXmuZbLe8eX5bTUvv2FfBn70bXAaGnkMXpqw+e
f4EQuTUgb6xD3OXl3k4Wi3hVlz21NW+zs9terxc+8kVMC4apfvf6RW6ZsNBfcaQyOD7gfaK/zOBd
oFh4Xj1aF4qhJjlws8ovb1MBzOr+XOfaCUFVHXsprnW+53+Y+7Gu64sqn2HQ7UwsD7QPbZVoVbSH
qQWreVcwDKziaMvg+CYu8hx5VJJrJXxYp8XWeBdTqVrxscCwmvaAnC3OGbs/f83/eha23P3rv/n5
z6rG7yWK+82P/7r4Ud0/FT+6/xav+t+/ev6af32sCv736p/cJX+2VYct6favnr0vn66u7vDUPz37
4ViKYPvH4Ue7vP+BDqM/X0P0oxJ/+X/95T9+nN/l41L/+P23P8li7sW7RUlV/qZ+dfXv338L6A/9
169vr34nbsTvv1201Y8yfyr/nQDuy/f7+aIfT13/+2+aYfwTiZdtEueLTZEOpPvbP/ABF7/yzH/i
awVOw9HRE0gZM76s2j7+/Tff+ieoN0arKCsccHadX3UVUSS//+YE/4Q9QJpL4JLlw6j77efVvZNT
Rz41bob6+R/lULyrkrLv+DYbSAwQn1kl3gdFFGKtDRRYYTlAdEs64RE+NAMKJX8WArx+SLCeM7vI
0vzbpUBej/Cim/zwasJ2sfmMgruo73+5cX9zKZvEPxjl5BJBz+MydPpueBk8Bws9x0lJPPCMu8aM
XDM9QgGJaRb1yaR96gscDujpVF2UHChmYBheRJAD0y8Jk+CjiJ8i5rYvMpTaPmjFBZG3lv/YaWWy
vtEVeHHLkOTRAQGQhtjtsBQ/v8xx1r1wdqz8TjP1PNoJGdF8NyPbnL5UNomhh8JIovRias2o3eHN
JiI6OVxXb4CZf3cZ4Lc8OYQv3LDN3bKWplpmP8/vCuD48ntrjWN8YrFIsx3Hjso7QSWZ3fbQllEd
3KT6mPfXEWxY//sbj23bpQKXd9maHCiutsO1bO5HmPYpthRTcF3QB42Na7fqs57ldygC/aaG9GV+
7BPqqh2wM5xl3AOy+io13RCPuFJfbv/zy0Eg51Bu0Mi1XoRrzgE5Y1NqedfirFs+DpGFJX41YowP
QD8TAWKfKK6zaOY86UEjQpkCEQbuI1k72WPVpdZy+cYlbR6VRQ+ZDir0AfrJDh0FsbH/0sGiHTBl
k5V3JwifwYNP/KFxHFAXFldrgeH9BTDn+OjWa9teFjiv7F3yAB+LlCpuH/ve+nUqstD9EWC2c2d2
EPOPtpsbpOcQCGjv0BlZM1EgHlERVpT02n82zsTFo/0CMg9oybsg+c8v3lgaewqqrj2RmOOPj9k0
E3mNLm22wJHm3vy8Lu46P4w1tvZ/TWNb9Xi3+M6PN+6hQK5/rQS4DGgBus56aPq+c0a+f7mHdm+j
61+j5pTgVHQ9Z5bxOEyodfZIQfHQQJg5ecYxJ4uqvgVLTKMbx+YYfwjmcJ4vikYL7b8473R0vd+4
sg3ML24Qlls0KU3dwXd4GyUn+EMpIdz1KTbB3a45NUzePsrp/hywb6uLg+b0i3WRN3E57PFMJ3an
d6DqnfLUzr2PBLmEcwTgutQfcsBF52GGFpM9eFZQdG8ImM7XsrmLCJcgUrB1eJygN/2BgWSnxev9
4VR3XvGJVHnQoCVvCdaKja7OrgvDGKAd0/wddms4OXvLXYzo0qyHxvjiLRYGlgWe8ZDHIYucKPDj
kzcZw3yMQqPY2wSDlzhdkHMIP3b1nrLFTebruajH98S9NMGxSfwBwxXsXq4TNiwyZEbs7NK7gO5l
15JFHjUfPAtLjJ1b23yCV1a8ykittX+juS6G7eZOQC6C8gRayf+2NLyItaitffxEZmNdkkedEIl0
l/dt47yzeHgNLQEnuRW2kp9eHy9/+8FwvFxQQ7guorz4dTHo/QqKzWih5kXCMh0Cp2sunMCN4pNe
lM1wDeUR8m7eGX3/8Pon/80y5EPx8ulsOg4FvRjIv0whD6FxiDn6cCrIM50/kBDjfQnmtvixcigL
vhKlFJmHfq4z41DoprfiAN/m2RvT5W++fmCiG6OpTO+Rouj5RVRWHtka0WGnPNGb7tQMszHsNcdI
EcQ7pIc/1rSkDwA1UfRG1/PvPpmwZVhabAvc+82GaTRzPfl+3SPcMgYX84KwCP/qmNP7pJtIRARv
wU77WAMev7UBbPrJYomgWENJwvFJR0m22QCQhQzlvAT4jBEYph8it5tFLWME120NZSbQtdQ4rNA1
q1NEdFd+0Y2aW+6NLgu7G4wGuDmvD4W/uxe4sQYUWQh6je1TIFKk5lQ1dawDVencAlPXP3K/CG4b
k4bBj7Gd3evVn+PhjacvaoHns45qM4DieWZYvSCprXWp13B7u5ODcZN/WObS/9jWZvdxqhut2WdT
UxMChrveSkyPq6XH17/2tsTkQYimPrUlE8BEhr+pVZLVSFoTJceJmKwcZ6mobMbjmHmJd7DTNdsb
eqbTwknNGmfTxne0h2qGEIo13zpdW6xDD2OPg+ouzJq2wwmtG93T65f48smI20Ovhza1z382Vzi0
/oB2IeYKk2SZD1nm+ssf4PDaVYByrPuD1BQrAQAZ2zcezd/dG8pu+AAe6wOnkc3MtIvYG4JlbU+1
NTUfB7IYlgM5Xla4J9vXzQ+lXc5fsqC3OkDz3L0ZAre8dY3IfNQLCP/RbjEA7W8dkheezGEM/Tc2
r01uKfUlRFAeHVcGNkutudm8UFqs4N1hc+rxG/yTQ2/a0mGmVX1cYFW4e5iB6deEB//eWoz0KseS
fNyjKl2bN27Vy4WUHE3O9IbLaY4lfHMhZk+yWV0X7SkK3FhjLBdEW5CvZ2pXJe5VyWGZ8JXBwTzt
pvo6MsP4iCFFZL1/fagYYqvYzCaHtGVkyRxFRIDs87U0qNPFaQIN5bZbrcWhyQZrPaZjHpIuExSj
f/AQHn2vmqnwdhp5n1/pjWvhacnz8i7Dczu9YMyXn6YCl7K3ljxxDzbXhleATpAJAI73QisdV8VA
Q21tTlQjrnXEXCa/1fSFQBddj24oLXDl6dPyk1b5S31wIJOZuyh1SpI+puJHmzRL8saat1l78LkH
urJcGFUBqzDn3ed3K7eWZJpRkV8NbpdXSOWipo0u0j5yyIvqotSr6XRJj8BgcIr0L6dHS5DtXn9o
5uahmWAAEMoCtgQUzVB2N9tQD/DemrqxXoVLAJ78zWsJnmlvHb2De48diZaQmmfquNcl+L6maxXu
YzuoY3u3uB7GjbtsoGfyl27Pjr4vFwIxl/2kaVVl7kctiqPlaM7Ixm6i3tPcp3ie/Y7oKkhmyw6q
aJM9kfIkmJlBQEbKUzja/H8/1FHvvzFLXsxXamGSXy2ci7FRonjffFPNSWFMJVN4UomvHig2jR3a
IRlXWXRGqeV7SvoRG0APOB4nrKHpYV2c7KQNSg2TqrbnC7/+ADbDAEYXQxLtBdQ9kAagmefDoHas
ZBkqczwVfdpnJ41uU32tGWtEEFIcufc0Dq1iZ0ex5l80/lBGbx1Qt+cFD/sriPYssUj7ABI2twXZ
HXGDwEAnQ2uM/o4mVm7uimVx/m2bk57fxVba9e/aBCu1HY6G/ec4ymp915V56lz1hTFMt1FXJPUF
fLl8SQ+5Pq9f1y6f1zcmjFg+nk9hMnuh0IqCCQhWF8vgr/WijylhFy49AkjN9U9UI6TaoS7uuruy
6PMPJaDn/Na6sUETWOR5OL5Y5zngwKrfrGl9bs3CZHw4DdWq+/ejviZE4KWZ5jzYcTetJ25AFX0Y
/cFuLr0Wqepd0zp2tyNrKLTNNwbLlk5M6gH1ikEnmNO7DRy3uZxZHysiB1lisd212t3UVShCgo6s
BkibkUusrW9fDLmbfPenfL7DZpVALdfVWTdKIFmfY1/PkjtS0DX7aobMtEMVtxx7WtsQjYpCPw2D
GYRvPLqtroPrFl5P593BRYq1RYdMOr0pNWR+sicXCxPMZ6ci+SSjw6i/Fu99PxOm+O/eisrsqZ1S
P35XWigNv5Lz1GOPQ4OQxu7rU+9vroqzO6Q4ZDc8YGsLndEXrDXLLZJTp1cVEcxzlw9McM1s/OTB
xD7IvR6GTtM4ESycJT/n1eqN79dpwCjh6BUV+Qun2bbxMXv9ws6tk2dDHUCV6hxpFk8bd7rN3lDS
Oh49Ww+PuDK0KOsshhLIpxWN2USMkTdidlmZyIgJ/4WEkT2VujmxbEkS11A7/FOq1yylaaZn97xu
di5rDPn725qUGPt6sYEjiNYiN26+tIMu1f/tun7DRzWdL1yQX/9CL6pI37BY3CBconbH80ssgr9M
Xdz4E8BbPcAWn7cn7XvQqxutJy3xSKpfm2BRHOKdtx88ghxvXv9sWh/PFw5YqlBmWdgMShMOGduu
TWi2s0UBkl4sNZE3wcOcdSs3K5g04fiagstU2n7G7mecvxFabHvjFXFMK8mfy5qWD24zuf3X6bxZ
EV3BZodj2MQ4MYZYNI2HJK9mf6/pc6SnlzrmdfNwoTv6oNWXZka993ku5yr9y/JqLf8Y4SfufE0b
avhwB0rqfiAB0k19LkBvFn9vFMA34QcyINE+7qUXsrXwCRXpA7mgPHZrGoTBsUirlohiN0M+me8z
u02JGUf9KtQ+U1HpTX3CCqbJgwt9SDNeviyIJf0DNZb4aAiBCT/5ZRN2+P96gRhMBlgM3fwkIEP5
KUVmzMYIkU1sxnNqR1QpFkZtdLejVKsZLCD4pTu/R6PjTjOkSX1cvuGYsvRfjAoNcHltu+xqFH5j
yc/HmRSXkCTgUSPJbY+Ww8RiherPtvcTUXF8jQJzAgFIxVrWEQSfhdy5wzDCPcn3deZ27n0LX1P8
G5CQ4Vz6RRF061Vm96sXnTxu9pw/aAQVTdajFuC0pF8oSWzt2iRVNTvtf6g7s+S4kWzbjghlcPT4
BaJjBElRpEim9AOjlCTg6B09MKM7jjext5xklWWp7N289/P9ZJoyxWAAcLifZp+1Hbd19fORVIMu
M4KturszxUTGffv5baViIYnDti0+h3++jK6bRR61OhCg2+ihhUlW9ng/Zq5JGDSP4YvxdiZdI7hk
llEJHhhOIcGNK8OpN1BfWpSzDilqm3Q84xlks/BQHYXc+sUGVhLuP7kVIOq3kSoh+LeS5jsyiSfK
jD1veOG1+VuYfiBVPt/9ZgaQHBfoCbklSa30C/z5p2bdJm6QDxn3Xb2iwubJSq3SvQ96KLxPCHy6
4RaMZfrm0RroHzEhndsXOQE0u2YAvxoZOO3UmJgIo7CwGxnSDzOe5VgY+pcuGfIYG9xB7b84ylW4
rgIY47IWteqn1Y0FO7koa9N99CwivkMr12nejTCzxye4rzlfufz45plD4PjiM3m7IsTMC9KUr63F
xH14HAxT9EmUjxtNwp1Y/IC3YmhMvU87Q0qxOQqCVHm3YYi5tX1lzbjTG2TuKdOuZ9Opw6G8sZow
sSNoml0PHZimZXNZB3AqMmKYf+7vUH3jz7yX0hwCE+/NaVuuAT0M8MQJOcBMYE7kGtMx7dCnNzw4
okzmi2tOlm/zipLhCcgDSCw5NOxAUQ9Jd1ki39oa+8fWoJIY4px3iUR5QVxWbHHeTnM1nimwcI0H
X0kcjXYmFZvp3iyhd3Nauwq9Q4tkgnuNCI51YJmO/muOYvFQ3XXcRrR3gZAbSxBbT4//KByAgPZe
eqB8jdvSD/H+3GByc5dk7fnOCarpwGLz3UIT1JFn6H8V01JzO3sjLPK3j7fMHib9Qw4FN95bawvz
ST5s9iyMEIVlrW3usZHke7qZXHlX2GL0Q5dO0ultrUGM+ZZ3TAv/IYykU6dwc5zpB/5TLlamGSSA
8JRDM0nu64k+M9y6d7FU2aKVfzWZBHRZR2mq34vFbdk7UzIY0LCyGLwJLn016dNuTgOkRCO+TPZX
GOqdfGqt0SyOQhGtBhHDkCiFMKNr1vyBHXAK73HmggVJGIvnXB5lpMjNdaKom6j48zltbqu1Tp/e
LNUyceB/XDAEWB+naleKObzB2FDR/yuddvzlI9wcn7silT5uGPZMYxDcbw1mMVBNu9V7Mbdju3fw
dDX+BMumjBvB0HVRH2gbBt3XoQ/L/ORB6s+AUhpjAyR43IxLMYzplO2CMrerE2KYNrztaNXQy8LC
A3fYrjSMGaJ4K5P0yUk7rUuGSkFz5/OVsNEf/iuZ4v7VlgGgzUqXR5gosMGjLeu6pthZa6ffo3kY
8QpXoWJ4D1ZvqpNNKCD6qAymQKyXAXRG8WLj484yXOpRuVdp0bvrdMD4uQrvmTrt+VFyPsgSJ9ID
nVABfC24oZU7NG4ZJ1jNViMbyzZ4tJ981Vzb4yTlNQu2Vlfd0gkRCVFS7QXE3gTBGWpTwAsNwJqu
L3at2MuDU+sHi2PO5iwyjF0dOj3CtM+DjeACeOQxa+0+7WltdCK7KxV2GD+3rdfn9Wes5IhEb9ef
Z3lR5lo5WOPPqV+uddWwIt59nZp+Hr951uhA4fOQsBKXgaO4E44Olz4CL4gx+ryasELkx/zB05t4
NdJiT+A4CX0W55iy8kbVc6/PT7CnksdVDkmub5Xj61f/89RrbEsmY0x/N5HWP4sEnsH4ZbPzvaUL
DawEZ8uPTe76tkTuR3Za1vP7J2P5zW0PoXDzkam7Ch5jHQQG9zIvTYKYoZqRigJLKHlOceflvLJw
2bM+vV/NZCu7x9xIlOHFUB0adchEU2Ci3jn9zFupoHqz2zofcSn9cY2JQVob1uuu5x0M7HOe8Ofm
MgyqY4NYsJLjBxh90PGAObhk27GZ9Dqm+MS8FH6l1w1xjR7ollC7DHCnVvFeQ/j4DTj41Q5OGCuF
SnNfyVIfoG5aFYXJCOrSplSTIPfzXCrlMsfxiOuY0ZZPXTfqzSpMAILkP6CK6ruuNh/VCVxxpkca
ZmDcbZ1h9YyVFXTsjdOgl7ndCI2T6hHTsy4am8kocfspbjJxVeQqiKhLbiSEKM85tSajWuLOUiXT
WS9brexOfGFGo+BWNHJycR0GGo6j6ABnezCJ/UBYi+n9TtWZr39/VmIj/kManibifoYFQhZy+NmC
4hofV8O2eRnxixt0c6ukjBU71aC3YUZZpP7SraNjQlsrJAZcRBx0prcyzzj25dgATjwNCMV5HJ+x
h7S6hr+PyYa+SDzmiYgf5k55030XKJAZ5ykENox5Qak/MOlgrjQXdxwbXiLUBMZCaIWpWm95dNTZ
MHDXWCPLxv3CiqGB6aqJhMbMV/v8CL8i2AWl1QJKlrcuY7j8zTXrK14RQ2UNHyMaCSZh19i56qab
5mM9A97Ujy6FFq7PpQ9BCEMvHl/LrmziACyJ338dagg+sqBcSosVNV+dv3U9VHVrR4SPnFavEH2Z
eYkefdvN+VhYF9TOvWTYzZSFWe0N2/BTJqcRLT75k9HVf4QZ7nyvfsjvi0dRm85wDP2+rf/Aghfq
NRXWAgI5XiRV104ngcaKK65Kl7GGziHy3OW0h4vnPDNVhxFuJTc0Lpl6N6qTfR+Od/gcbeszDFMb
OvuIxVeHxX1XMFW4mxRPxr7JMDNf+6gI3Qbk+dasxjTuWdBBVj4u6Qpo97Haukp5MfZe+AzgG5Ms
fsgAC76ae7XQmMabG8EIlM+iZEHd8bku5c5sKC2ERUM2DRB0MmtLwK0PfeGL62EKmry9DxDlmOUh
ZLTfHb44uKEF47GdAGKz2cnU/SoERe7hVIS9/v1mqlX8e2U0+k9OKVrnlDCjXRn7yrLG6kvbT9IM
TguTQP12Dvx1qG0Kgdikif3W4wiUxAqTYSUO6AmSlTOyzpv8tAC75rtlqqYkKqNw2QQd48rOEKX/
c1Z/ZnnrHS9HKH2ffETNn1t2K60QWQyxjVGyE39iGiaq/XjDB/mav/R96yItr5IeFNp+IB2qHjAk
aU0E9UWJXDRzkeQ+g3RBbRrNY+l7QzSGWNmvNwMacg/dPbLuKoaj5rZmHGBkPATPwSZYN55Mut6i
oickgHt31OEqs506bbM/DrlcO1KXsZWvK5dgf/yV2kwdhmz6ikHncod8QydlJCA9W8ZHbup2tf4s
pzcpt3a1y9ubQzLdlrskWbQJFGgyjnQWCsHk9p6e5GH+fi6U/MyFaSJ91tsrZREbxwOd6VpOqk9v
j21tlLuQqYlmOdAsSnJ5+7ldUP2tORFGzOXZKAj8EtSPcYPyIeuuIUNDLr8nT0wmEXkFRsvwCQTc
OwBB/qS39rWHcLsCWmMsj6GugGGrN/Yrn509m10rGX4kq+eVww6rsveYNKn0bfks1EIXJc2y00Bv
eAwJ+ZwZDGxyhWE7apGwVbe6Sp1X8COnQzE6eVecPK/N1uAYoipbsEUza/XVHmxl8axHbhu7BqsG
Enhhca6CkUPd8nmMoypd2CNXl0Eb7stHGoMfVioUU4ZeX++6PpiymK7ywM4GVp5VFm9ZuPFTdoOI
62R9bMuSuJUE6SNwBkhGyaYzbN0JqPHeZT+rPra8IStD4pnPw/VzgKQAY1nKCDwGFRVM1d6n+tqP
yEcOiFEbPCRMHSpY8EnZVIePcD1NKp0ONnR4dUKxMmGCxsfWpQaxaNnnMRjlyAER9EIHWib4ga7Z
l9IIs8sMuXe1fqxGuMzb0eUGL/OOFRKED6ajhibd1Qwxp6/MGgzJA7BPVZw2mRnguafcmGy84lk/
lYPdmHLWGHPbVnQnSnRF8EqZwPymmkQtP7LZ1jooEJJmfnSw027BR6XJ+tQmRTXHm7fZ2zFtB3v7
Rmi1KePYw8te5BnomFBy1xXNVjwtimnm7xb4GMi8UwYKjIYUMv8+SgXExjZimG1s7mWlNg+XndKW
wYlemSE5yLZ1LfZDszgvIikX68qoB5X/zAdL0IHE++YIDTBU9RmH78m72obJmB4quvgJxFGp38u+
xlw8PGpHz/Qt2aY8DXdg6+pi51Ar98hZyqLV4H12LACbVYsb0I5j0knkjU7NkqMplqGuqZFx5wge
waX0YCKkKQBlZarffn5mXJ9RNmGAjno+igQf+Yphw3pjmxszsso0bAngfawyDUw/mhEBXZy1tc+i
xL5HJ+op19vsPtY/nmH604Bl6bdqWTfKjTPVI5aHRHxZvHyk3EWy6VDzM879fCV8d9JhtWJIi1Vr
INU2v1M2wHVkWiVWjKujn/ths4N2XrG2GZkKjHBDmCe8vy0cxZlLHKbPcESH1jIHNdLs+mLr8mtG
cYL8C6Yp2dgCMDSb6uxPG9MFuzVd9JbxOethkCDw60OnXXj5i6ZKdDKTmKSSrSqEIgQdBY7iyId4
wo02JUl4Zwo5ivSNfalk69raVYT7QgHdRKrfLHP5jVcKu+YIqWNnAoZzUZddJQDb51seYDvfpkUT
bB5YSXszKZ94ajP3qC+X/tUOw7F/JZYY859ZoFT+hB+DyTLsu3XIfw45g5T4bPg0FcCh+F7njNhC
mTqfwmBHN1w2jKjWHy3jqHzfRbvbvebIziQzsj3jWiTroK15XGa66P27aSdTsMrfi0c++p+mo2eD
wjGPCqPVt6NWi8lG2hExEBsp6fKHqQ867xanZn0SLMKqeVSfexhvXEB5gnF4mwhHYh+EC3ThJmEe
CbczyuqOUTjFA/M+zqHRhFZfYnn9Hs53pq2zjWT1NRg9xJxoe3INi5di1/JKONvun4e0Ljpx25tC
r4FCuJRBvNkave64MhEsmVBl6VjXDIXoxSfh2RDnVSMRdRJZPa7A8qi8tofQnqAGaFS8+PY05jus
bBIW5vLZtaQIXIbUPPCa9XYNfllhCCouLNpwt37UACqzpmICgYkk2lAL709Sa3RYHApMfphmmSbz
eWslY9N0eFvv1petxW3DDjOdvwF/Hqdvn2eqWbfvxdMZoSceP9jmrD8TJ1Vi3Nt0kfRNS9eRez3T
F+GyCbn1bUqyxWBnNkze8ibiR/s25gjUp2YnrHXg1LQdisGxb1gVN8OUneiHqMd3bKz3S2gnRs8P
jAysXz57qgg43nFQHbvkylb5UcujDkvkMAy+fu0/k8V0SnpSimr08JmOSCuDxd1JNWEIxAu6esBg
IewGhMnrmrCddL3LeFaEcI6K2ElajNcz5jnYnjtElEaD1AJ+mOt/1UHDd6KYp7DQZA1lFY+uQ/TF
JaSGpwP8CjIpyUpj6z9gdcfE6o305VQNKl4/KmoS3zP7mvvetLflQL3vFUez1CT2Est262TWDGcU
mgrOrs/vHYX/1ejB/2Cq4H80nfD/0+iB8Gg3/r9nD27+z38t8lfz17mD95/4HDwIvH/4lqa0U8ND
54Xk6l+DB0wP/IPBAQdWhCZFUDr/1+CBzUyCYN5ACyOZQSHy+dfggXD+AYYHITMyXIEG3vf/N5MH
v/XhTZ8GIJNlGsCHzIm5mX9vUdGJERItuLqBr4T8StFeE18KRxXWL3hfFn0Kg14+NTDLNQ5JCXrl
6S836+6ju/fX0Yffu5HMViDXhXqn55pAIP4un5EzJsY0c6brplekqdbUeeGDkxJXXK1umLXnZUVI
dpd03dIbUZ6DZD4zSDg0VfyJAfR61LB/B4j8XdZjwiLkorSiGCrcf34vy7TBms6luLbmoex3ASN7
adzJYMYGKy9g+5JPcGj0i02SUWAYQ83SrlaJaHSS+Z1ai2JGi5sZ/tnFtk38TW9R/CZgMEPko1q9
wPQDSCAWy78/uYIqrNXa6KwlrRl8HBuT8ojdGsGdsZgVfIeC0syFYVtCqMlCARItjl8zN1ZkY4fL
vYs7Irjb6ZJq/vyhdMEF3831JN27v3nCv4kJwCoiMGVmDX4RWi30BP/+TUVDhGoslrhs2JcsVxM7
XnKlaLwsUarQrjMcX9WvTZONXwvIpujdZtW7J+Usg/ybrqj+VX/pMCM4QvXDsAgDfCy8/5gaqRld
Bacq5ouV+NNA6afqyxvN9ACcXeDE911SPsvSv3lWvynV9G/VMgrP9GnEWsHvI4M1RXYPucGAiBQo
xA6csAojUikTN08GxNW3ze1yMzJgdSzHBhWdGa8GXl73//2D+G3F8DWQ3SJ5snnjbZTHv62YCung
hAmFokmXW8aZY8wbr5wqX7ZItY1s/kZi81v/Wf863h7B6tRS4zD4TbhCQl1mGDVUF8psRbHGo/b1
UZEK62w5/vdX9lujHR2zo98BOqc8WL01/vsKUwkll9SxlnORG+u4az9uocg8+1L5BDuPXU2sdbVS
jHf+RirzH7/aAY0VIODlyfI1HH3T/9Ljh98KSplOytkzRL4cA68iOSxay/vSyI0LNQAhdHuVjkb3
N6vq98fpIhqGn+ToAQLAYL8rRal/Ita36/bcE1HhyDdUvOkf21Hm4TP+N/dYuL+L5gRnmNDoTcJm
RA1Qwf79WnvZLkljtBOZp7E2+9To1zfyUWwQ7ZTZ1T3vNa6b6M023IJyb5+Xk3OpgJm6sNzV+sX2
B2axCie8Wtu13PkKUDqJVXBJ6FztZ0j9cce0VAT0dDqXTmU/q9CbT8o0vPs59GS8QPPc2+Nwi6tQ
9qC7mK0TlWGC/PKgyFcK52wajMMYr1NZYttOTP0W4ov5sx376ZAaomR2dXNvWQ4/KxS+R9fEwo6C
JUbmLpwKEnVxKregclFYWcGlQ4VzDLYw+IaHRvBFNmHNiEjjQBxitMtkrOSaQWPcVgwTL2YsiApu
ilUzByQfIYR2GFbCY19x8jw0o5ufPfQAxzqpHmcsnb9Os7Xsva3pdhNJ9HEIe++U9k320o7Dmz8w
phTNECricC62KMELcVfR4TyG4YJXJ6EhmbZLg7fOQEeRauKkhICdgflWnAbKx9Hsmu1TImaqQd5S
BKBi6u6lK0ZL44X8Q+0mzbcU4ct+MxPstnCfQj5Fiz1aVUeBCunCjeMWdz0Es69uMNC/8gbxNWBy
7H5qzOmNfuUSB7kb0v1nhisqVneuvyJHdECc5oJhrnQ1+xh3ayqII8rZHy5+y03M+JW6tvCaPy/t
sOGikQxHd/XC4+i1FBxr+9xkHgUqR1EYaxTKy4y/Vo/9oPbYU9nGhcb9dg3sdvyWwDz4nk91mWCP
EuZfCkr8DwIS6BdUmNNTBbkuarKJ1g01gIuCthwtMljDGFsvAW+8CsSR9n22J5PDtbLTEM4dNZz8
V4FrigWSp/d2yNPSnIa1oQAgPqjUYHHdLkg/x3OTrL8olbnx4vUiKvO1p2ySLpcpdPw/6HjIhdHg
Kj9lyKnSaJD+cGpMDMhSs/wT5xpx1Qb9fMxtBUgIbPmt8g0Z4Y55MH09KY9j54g3bMpDdevH1dnk
TvM6o8nZ/ENpSVJAmp0HsFNFZFn9FHfQRW4cyk1UqMS0Rzid4KnlZg/0WK4hTJXx6jd/epScIixF
rkS7Vg+ULJ9XUVBcD1B2oYQFKCkW87uQwXFyKzse0rG9XlPMp/G7+ZIAxT8yG7Ds7bKgLA38dC+t
Atm+kaysOqYQKVyTgpGJbLpIGx7B/yAKqtoGddvaP3hbUt1KJdM7erjrdZ7aat8x+nrB+QLVWe9P
SCy2uRtVNAAC7uJ3U7C96zPeH/lr2U5xkmXLq01N242bsQhpJi3ljUA4gi9BNpflH1mRlMZ3qbEd
fEgwu2W0hn6e3bQh5fQ/MekRb4onx+RcbXf32HK7WJLUahhuA8YiveeQNlnyxHSSZTLXtslcnicP
h+W3oJkmpHHW2nsPiP/MP7FHoY+W5WO33U1OkC5HSwa9uaNPK8rDR2BWG97ItLhH+uxcLZnDtwLk
Yu8X2owmxhcwFvEx76dOHnRnIyPGxP+GpiJtukOYN1Z2NfdlEsTNWvEJk23QrzFWCTcMnK1Pv7Qd
g2ts+TYsh5ZaFmd35RbUcYMGqrtmvtGBpMRO7Dh71QTaR0107CtPI76CJJ6J5ZtRjfJgi22gJv3e
YR/14sZvZufabUE13CClUdudQwdr3OEQsyWv28r7cVO1hfNigXNzz0z2b491yBJLocJ1hMeel3Iq
IfVI3D8WJbg3eC+bE7ZIDMJuVtOCLbUTj7IZZmEoopsqovBWbrDlxUA1uqpUWpzHjLnMu6FeAu9b
5QVNuRd2OIdjzOqcXGqaQRtEPNgElYPipK9fa2g5aPEhHTcXC2V3dmWGU4v3a2UEcqYJb/KEsr1f
y7DrDtL36htvmC37AIHHvkc3x/O+Vma9Ol5sMIgGVEGUPbIQ+n+VHfq4MC0Texe7PI2O1Z5NHu5Y
K7iwoAjrozSbqefdn0CN7+uAmjSNrKJo0apmW29RBsAv7U/UeUFWRQ0APRhDQIRXY+/n/eQf8fQr
EQxmqZ/vnMkpxiOA2jmIoBsFzbWLxAP+ArRo5ymES969VqAZxp0RmO3U74i7ck7LmX8sR9LPPFD7
FBOQ/BpnxGL8McxzzaiEakzAcBxPSeO8OpWpCxH2lrh4rTOUZlIRFHbXfqUAaW5XbJJOf08hPRA4
shK2n3CxSeVjO1jI06Z+3bhTmVA28w3dWrNlJWOF0kUxZ746EWy30vGjmaTKqSOQqnRZEJyZXY0e
pZ4UzaDEUQ0Eqn7V1SSEJGP+zVBh9uynudgbEo/hMgjVdGQUSF2lXZn08ag04xnXzB8u1eNHsU7h
ua0zmvdStEhIhPdEWP6sGFe/4vLqw1yTA0WhTa+KIc8L4ri5PKjRXJOorZrhLhyXFzXRYC6xNTom
QR7cGAPmh7Ozss6str/ycC55MNFsAbxoOVtwGo89x2/4lYv5FVJwvsOdycczdKKpJ0Nvh17Spdup
RNTh5In6NPTHvdqm5oCcOjyvljHu2zAFZ+5hxBUHzVLAWjOH8h7L3HIXGHRLI10nXdBj5eU5C4LS
hjuhmhsfYl9xhcrIvLJQTp4kBt8nW0xMulQo/vFlexJwA/wIJmIfY0enoIg57mVauvXsIDe6WEyQ
4kzvlJepZlW7A/c6axtQS3Xduj+ttC2PNkbHUbmMG224sb4a6kB9pXS4RAEaI3yhZL+v+/zVwVji
XqUucComWSguIuMQGBveNzkf14vUf3TLUQR4pQbtdWfWtR2tWet/yecuJEqw8fQZ0YvEYTfgNe0a
4/SINq+jFk6RnjOPWaM1timHASYdZvEGfyS4zlfHfkK0jOi8rDH67VuMx6PQzOVhlD1uOuRWHe6S
WeI+FVQP3YMfplXw3ekQFd7C88nxm2HzJet0+5wQsM+g/LtBbUVtHXQEQ9ZIt3UjPEA0W47tg+Sw
PqeptH7aaZNcCnu2rix8Oad4CvH/sls8H6LAtdZTMaSrsesaBsmjfOrG85IO4AmGrrlDoENAxdUH
6IdowESt5xffalQgCzX9yXqWCLcfpZ8v56zrm/sBduZVphP7nYM50ZWpFkoNXdfL/YaQrYildJ2D
6bWtt0dvONCod4rkz2FcwydX4AMd4zk3mNFI2VJGFHjCOuoQAmMcGmTYX4z5cOKD8WhWkynhEA5U
4pfFH8Rh7Mb0XEFojlrb5tyackZmgFd1coydsR2vV9l1P3ArKh5EiSQiCtW4PeP36XGgtGV+8Bn4
t7HXNkyG9fDqnmNGwHM6Prz2Z2Dn/eNAwv+VDb3EKJyq75duScrTMM7tblmYrjj0tEnkPs0VNXiD
GZWYoj9OvGG1Ljep7aX9KQ+zeeb+UuWlM15Ab0zWvLxYa2rsRbYtL4h1fcxOpHiA3xXGyFXqOCvc
9NB3C+zIJG0OQLTltwLOCJof+pWyc6eYkXv7mVur3N3KxOLOaqTwd/QGPGZWsvWIJU19UeRNR9sb
gfPZvk0HoSuz6TYkPsSHy5wfPYmdKNtxMj+CAh0wr1cFSJyiumnr6sbAgfzXrIbkxitV8IWu3XAw
l9U9MZKOWs2efXoAMj0DMcypMRUOU0NF3l1vZs4S662enMocjFPrVd0Xt9mMl4BEZYlLY9t+8bJa
1c60vfp7Kdf2hdLzfHTG4E+rJsDkcsZg3BubjXEClEWSKyzOTg7GK2C2A0PtaOO8wgn1zsbMe9HV
UhyxlN+O6yRwTerq/sYaym4v3PbnOBRzcFiYmmfWfhIPHlnwbqqq7ERO3u7r1X3F+A93r766pP6Y
HiD0h1/NxDK/DeQAZ4hqfmx14XxLWduJt6CxogQo4V5Ouf+H2yf9rZEjNw2MITs2TsFcjtP6V645
tcfK6d29qKS5KwNq5RibXWujEaIfNI6wwXrEszS1g8Irz+AyeUdULb6jrjMPLZ25K8TYJjSFEvJX
0J8SDGeIxqY2tA82mE5i0dQ5BLJKdptZ/OpsP0NNZoR7zeMi0BnWU+0l5W71RtJR+vr7SuN/j4uw
51/r7Dy2Tlecix5mkgtDW2sm7qFD+m/kWM3DRB55S3segDbthaLez4Ex3ycOAfIu6Mf2C7SJ2r9Z
K94uhjTS4ALt1pQSRWrgjhFcA9eOjGb17mTtGt9c0qvgGEyJzE957edThJw2+UHsI3C5DTd6kV51
b9qm9cfaqf7YyBYZR5AWJGVCFE/BUtroB8tuV9SJe4+J+kxtLCyvZGN9H+epvZ8z7N0rlUx3davm
M2MOeGt0vrgk3opMijjhITGDKc4bxDx4+xLSuXbwrLwuiBFhG19kbj2BKrNOXrZSBDTLzKP7X96M
jIHD4h38C8hzvsTUVr/YyuhdZ8by3IwtkFEH5N3VpgEvzA4jUEDIYuzLYFpul85fr3m3y8ienPB6
UZmHGq/4SWqcfy1IQ5g1UNbXGqzODtTVeFpqyzukZkpQxjrJKECo4qpCOsgkaykf8rCdbh3C//Y0
IRmIMauofsDZav9olVK3DlMfsWgrdSqlMl4onLKJb6Um3Vp+cQos0H6UrDc6/nYi3rrZGUAa++W+
dZx0X1LH2vdhJz2QJ52N7Kvwe7I8dsa90zAxO8gMwEPRPGdDV9xZRdnde55dxED5SBWNFS4ibLib
UBKbmegqT207/SnxoAP8pnqvQbsnUYz6Rftj83MnQvlPggoDXbD+EDTtiYZfkPV0VSxXKaLcFHcM
3jdnpC6ZFkD0F9tRwc0yWc4tZUX7a4+1G+q9yrdOU5ZcUHY7DFNtpR+T1WQ2mjxhHwdpzMueeeDh
AYvj+stIq/YlxKuZC9rMt4yCBpF9Qro6o1vcUahLHhxzMG8bb7LwsyEmvK4dazh0sp3MmJ66d24T
02f8I5yPyEuuIASLKEX+x0Bc71aYQ4sNg2XfHF5HauU6m5x29TI1x7JxNjwjcpyvCtN62ajFMDQ9
so8R73PDgt4/4H6t9tyA19IJn9u0QENfOeG9s4kWAbMvozWpypOY4cEIVfTHWXX5Vep0Kk4xIVmj
rhfrtQG3UBBHu+6zaanhq5ZPUxJxXb6CfyGldR8BSy8vXt/XByrAFbZb2KaSRfnt9yqd17tAre4U
4X/tAsTptw3vM88ao3Uoyh/lVs79dyYT6XRuIpwOosb8Bnlc4/wKq3R55bCcYobq02vm23K0mwwk
Re68Og+jw2AP4iKzuS6Z52PHZCQcG+cgnXEIhsV3oWSUpNeJFyBoLKgc/TTntPVPNpsdVjqZ5z4z
rDU/Ap/r5kyQvIRGHQJ79AZ1DdQnGYfnxRPTrGj/O5NlKxkPIhjayt4tsmfuldBwmW9WkYnnfLJA
sLXOc8dJe2N2RfVKrYSQo0V07dwVg1BLkyDdoQnexkx9G/l5es9huozKwC1z0+SS6PRK50gFZoAu
ty0hR4NPmHSBac//tdq2rW9UEXRopdaE/7L2WUKXl0bcpnjDYOZNJVJ9M7zdRrryO9gDzvQtDQcH
82RMYG7auTO9H2NtW8XNNs9rsk88CIwg0M2hxogr0ArxTQX81KpKiogZ/lDhdYie0b1fLRtPJsTW
Vc4z4YuRI0h6186xfU+f2biT5ReewMVAfzjB9e2xY8DHPnxQHQPE/dWrDPthu/c3hiIc9hRoATFj
MGt33NAoZZdgS7f8gnHl5N/ZxmAB07Qz5nqoDVgZ/3IEsyhE+mmg2AyXyvTTq2CVY37SQ+K3JdMc
292Wu4lkTKOyKWkmG8njuNq9D53J6v3gjDLDWr5YtiaTF/DUrAuqJQ0ls1HcVBaOIw3liVYxahQH
jJlUd/NmtOah8TFMuJsKYukrNZZrdUEyTenbDGdUBRjdci0knOny7KZ5HTixYBaj2dMmSJxjIAZr
OBKaUixIi8UUsCUZUo3pCuEZEDnuWp1NygvjzvFDp7iZ3wfMDNnhsBROROhXraiRTW6jCbUiosY8
rG8bIOGtoUG/Bd6b79pIKeNl7FlPQmS6ZdY0rBLb6PgnSkF0cK5ZWuSlg7fR2fMSp5fXJdLV/FJh
Nj2i9iK0/YPNOLfuiIXyjghZqK9WU4qXIqPxr6KKbK0jhwebuJcpqTFvTkuHJNGxjOmtEHiGSRd2
O3dMIhu33jfVG2L69qnfLKdAa1QQyOrF4jK2iKOoKxqCp8pPyEbaBNgSGNbF/daLJKU8vKxBG/nb
nJ+tPvOdQ5fkbFKiGzYb+tbWNAeVtFZ9IExe872zWLUbGam31Xd5nnOdWd8UFBY3C7rwuZSp+CPJ
/WFdoj6d3Yw4ji5Z7LE0ThyBc3i9Eeoae934cm7qrXdUxMG/WV8zpzeyaJYIeLMEfQVlriA8gF6p
hoMyN66aYkd4Ed0INdF5d2HI4GoXN2B60KwlAxHBQdreXNEcy+v/y9x5LMeNpGv7VuYGMAGTSADb
QnmSJUo0LXGDIEU1vPe4+v9JFvufZmlGOrM4EacXYossESbdZ14TrMfWQH59rCtiKza+CVeFQVBv
E87guMR89NyOQAsX92gjyRodiHiGYYEMpLqi4m1YGwuCxZ2Z9V7u15D26kPQ2DqQilQblmutzeSw
KvOqG7Zzn7vmBrfTsTiNbY0gOzw47YrJhTlX34jyANrVab4IVIyrZ6814GHMjsRhqluS6kiqac5X
9OB6CHSNK4t9BuBX/xKBOinWbIT2skZFe0hOwO9sj7KC0RY3kyi8NWDpKtguBPvEsIUnvWsSozpe
uXo65bAR4Q4e7c6MKe5idvXHGZl+BshRpuk8P52Wsv0ukhRWtCEGrA0AB92GOUO0B/DYtK8ePlkp
QWnJcPdhk4OYt2zzDyfLWW/AikimzCWsXi2G+pkaUWrtO28q5y3uti6QyrgMrPXMxhBs1Apji3ZJ
6vdgZJgaXZLNL+fF2TUGc9TVG6/e6zAUoxS0FaTxfTEYSn9fmhQGAZYuLUacuT1uMwJFue0aKok0
hZAt3qRJm1zBDyjg31lWV6wj8F3zUc5mE36y9KCsrxLUNyEOTYnixLVRmZBXdrHhDsa6GBfqj6jv
xZuEietsnc5Lex94cXI1zF4dHhxAYn86LS7nf1qlbSxUns0AE09DCCo7tWaiXEdTJM+/iqZnzcf4
DEDaxauTwmlYZrTm/MXi4W5Nc2DjqByRpTtzycPdaMIrXLfZ0LnLClXAOtvZnVPORzJ22sOK0w3U
N6G2kx45BmR6Yw9uAirJ1pmmW9q/VNY1u5I4LCTe/FjPBS7uc0pTnEZEw/55hl1NKfbHGCmgN+qn
niPzo70kOrIsIlac8a4qzeAxdiK73nma7WoGhXIibfbpPBg/ZYKa2CdviqMSn1uYRFuz62JrN2UD
/azInmCA+1mbajxDlWtpvkKYL8uOuFxrznrU3WS/gCe390aUdcmBdMN7QEMNU3tWMJTF0NU71itk
3WidL239og8xaTcS0Ya9NSiJfW1qNxjXIsUs3T+fEedW6ZQDzNuUcWLc2bEswxtekl1+LsUcULKg
mdo9VjgyydN5x3RqyMYPQwPGERExPbZ9OI6mtcB4tYZop7U9A4cRKI1fEcHbYAfGp32PvdiSHEyG
8lANkUj8ube69hVOaKAc1dAj8FHbaeRuJg57gGbsirVeZO23ynB0xIpmd0FHzimr0ez8aOolkTKD
rBOzhUBw94XTMS2MOSAm1tBKqG6hOVE8yeZu0nZ6EU/eJ43KJwyRMuzdpwzR3+xGTKn8Tpmhnq9b
rRNinXAsDvdERDZgViLf5TYwQRTfO2Ffs3yncjiIRJPDdVaE+vIFjCA/pGsse8ogzKT4EGhNJL4n
hZwVUQZ0fndlwbWof3CeZCkHig62NVtRv160EzpcRrUbYUrpe9QcVEEYyw+Mhdak0ME0+tEA6fR7
kDchbDvUOcprt7HzMlLblLGsNV0JFK/LydRgbhgeDYXxCvXruYJB6JYjVJHcyoeNhM9nPjU5Lnjr
ANUvFhXNAY8WQeyBQ1kZlM2JhxsnKoa7tsmG6jPJxAxnEzK/e+1k/Sj8JDHzfF8FefItbZAaYorC
K1Q17Ikux77Ia9c4UX/K6w2ZXmcdQ5qmFNth2i6P7zGSrfcW9i9zCIepjdOCowtUhtOxivN8OYV4
Wr8a8cwOoElDoQRdgsrqqbHNTlALgPN8ozjh052LW0C4jsOeeVa4BYOmJ1BVDpQuqmqvaVrY+JmN
hfvdohPT7PWMrGc/LI72SKOp3Y+jPle+QIsnuQ4G5SXmh3KYJ6A7WvjDceh9PpOzasXXEAXEF5CP
Sf1dB6lLHjhOkXRwr6mjiRiAniV2DasuN8MXWNhj9HX0pjp4tueAuRFQ3vT+pMEy1XvcVYLh0MxJ
vLaUjx017IhWxJWFJH5604YE8ptgkK1+N1PPqlaherF7dHK07hqv4bo4BWAxADUD2U//sOnzs9Gn
kGTKlRFFyPvgDyxMQfuQoOs1imI5oOAflGBJi7mmpZglLRlVa0Qh7zW/taAbs3ydxRt2M7c8xqve
SpPlMyBljtUy7mT7khd9MwOsCscYzA5dqP4K6bKq3Ddg7AzVZImX66XpTPMEhR+XREyWhxnt0ZH0
LFgtWtnNX+Fk1jHVkcIeb/K6K8SXAXtesYflxt5ck6GnN4k3yuU4DFkBHqiCIu1M+NPPbXyI26D0
bpPAEc7JXVDzo9VCxCIpilSGWvWoC81X5Ax9v0Eydu7+cGwt9jaUgXO8A96hwf1oN9QKszAP6nXf
UXppqJyWMsw2OZgKrfpkaUNneDcacNBIYfUJdPvNwmXj4jeSIBcoQJW+2xAOHOQvYIaBaPkI7LCJ
qRs5NNMOl3Bp3XUClbw/ikQAAZ4im6adZ9Bxv10yRuirl3kEz28Anv8KW/ofMaEfVK7/R/DSfw9T
/T8oaw0//W9IJyWb/UHX+tBmz+0/7p4R4fzHbfyjaX78Y/7HTVz3P7KP8thvv+cdcWrLf4LjFEpf
j0Yk6l//QpzyI9RjXQl20aCAAKLoXehaOP9U7H0HDWoPyzLPRi+rLd+ErgUAVsBy6OWCUwWSKs3/
Bm9Ks5O59DcIHspxrGJcXdmaQBD9ZI4mNCze44KjOVqsdu+M8R9cc1u3+bUT02IRcAhWyTJTIjO6
yHeiL6gKXC1YPmzdIdlFGT9hB4j2dpLjlmcAKhkpooGU2IjC7VeYalyJfDlCw1Wt97u+zJ7GJvtT
VMIH9XLVS+0IVQBeIWXSVTwlrwiPHEZPPNIHAbISTN3G7Es4j8ujZ1Ser/4nCSlqt0nEDj2FLzky
1/vYWQYaf+60GiznBe+mH3nqaZQKYGLVeCBsUp3mHdSczzzwyRLFU6yb+9JO9XUSBASI1ONWkYWx
rCAuysAIrgEXLDfLvCx7eDIw+gim6FRyB3Hyp4s6AIq+VApDu/6aVfmTV+KhbgTHjhNsRW/hOA/O
ljNq2uRd+qLbjbcDFhtuBqOozrcVtyaVj5qq1FBUfpmED572aaqs22Vx0w1cx6dxlqcohMLfdvEr
pE/g/NwJsM1yXUg6RnGnP+YcBbeiDuhFCzD70wgTy6Tf1zvJKxK6CTX3lyYPcyrEAm5L1Z9EafyR
txqMzPFpkPNj2zJycSqn1ZxHL+OCvYibVD6CNRUyuHHltwG42iXfJFHTbfIiu9W85Y9l5D2ZNmOE
MPHK7vvPfVfdpnrd+snM86TeQkIFDJUwXImUGECz+u4IQ36ux3qbO+5X1Iv9MuuHbTZIxJXiHiUg
POgm8Y2YbuWMnP4od0Qrq4xfgnaaqV1k1SbsTW3jzYJwvSQp9xwzpLQkPks9XiWSjm1saDAA24kS
OeRkckOr28JAhApvW9MxC2BHUshFBrAR61Qhm2Y6pati4ha0fEBtB8YAwfzsa17fbQhJ2nu4fxNM
FQvRuK5JfBZz7EO1LVeFCI5JoyPXMYndFKAWEwsizGzA0DjvTrNDWclGRsnPYFuvooXJLmkSOJWx
GS0DRy3voJqzwiieFtQ46HTKbVQbR0OkXyhl3Do6ox/V3W0O3ztMtpTEn/62g/0bwPcFBBcxaA+8
uRJut4Et2pdGsrLQSxH2Trhzs4oSR2nv5kTu0aUh1hTZbzCoP6nfvV0NOTN1sIGXv8QeD71Bih4F
4c7Ba3klQ2/XOP1OK4uvSNsvQXoabdJGmFdMyPbrr5/0Etp+flQ2VQl0ziZMvoClFtSLKC6Z4Q78
64uFq9JaarNvUlRJlpG95m0gchrzQXbtFvm1Bqjr17dwgU59uwMDlTtd7bTIh18oagnLFhC+jRCx
k+FGmPl1GMlDXef+LLJNGaS/ed0Ox8THzd1l+pucF4iVU+68FBssLL1tgGWGu4AoY9U1QELmxyb9
REEY50ccA6hue/eAGj0/ssfHRMibrnoxa3Qz6P6nHS26IN7aXYFuONCWUlvn/RVeMo9u6W57M91b
VX3KvXq3vMIHLvwagqwzU6pf2I+K3vpczK5LWOgcADQ/JyNovLC9CsD3sRttdDf6IesJomKfPU2Z
BmbIMq6R8G98bhwR96HbJLWB9Dbgqigan2vLu89RDyIpsBpwzIvmD6N4derma6IcuPGgb3dVb1D1
Qvsuo52zy0LkIlAhejRrtk/XfExn9z5a9McZuZtV3LgnSAeUat3oWMT9tqxU41Z/95b9X4in/n2o
9CHk+o+B2f/FgErFrv+ZrLNpu+fXsv3HQxHz5e+cHRDc/PX5zRFEyn8CWKVSCwcE/jvxx1+cHQOz
EBsXcB2qCoQdANH/P4RyjH+ymhyg9QgnqtDqPX6C5IPAs42enWHiI+6Y/xVfx/q4wtQVWVoov6PM
CC3FvVQmzowEDPSY2j9cI1CaRmb1JnoB7guBLtvuCdnPRc+inttZrDtzsiMylzLQX8KiEbRC6ISn
ztGLbNJaYpai3iMTl7U3uIhVGpkSyNfqxUZrh2Nfg4OeWH7oOML44VAM7L9kEQJhcGHtKvhuvYlP
hGd5Ghw3gPX5oiLN/hQZejcW6zCzm7Qi+7Lz/NrAPY5bDvOcLPNcB9PaN9Lr38b03xwxH3c9ck78
JrB5AKQuGT4Eoj6mM+ihxbSuIvcH5NYiqfddLjKxBwHZNs5+IbGN4VPHVRb/mSmVmeA3m66h9vV/
hbhc38E0BrIXITgj9ZP5xZJYbot8cvz67nXXnU0OPc8EQUxTGKPLbt1EXUiERxCFHjfVIYCxEAfF
Ikfr2MmoaNNVWdZWY5w821XCOr9+RxeHk0AaEEC05Cw2IBDZvK2Ll5Qz8EMxVE+OXdqYW1dQeEyq
+Hj7KYdDKhNwqiCuhk69zbJe8LO+97C8BOPm8qNphOSI6PFoTfhr//rmhLr4394gN2exyGwIQ8Cc
5E9UFSCpbR5EZfVUNVEMfMtqU1fcmOeGTdur9pYXDJBpoQXPs7PqI+qgkT/o5ii/hPUSaPsmR0v8
sdF64IluLNXEn8SgRAFSdIWpt5atpYQhCJsprlVvVSHszJTS5Lv+MAIYiodaFmCLsHOZG1aYm0+K
Wm3Z0HkoOy+64r1XdksVSTq9En5JpzBm4QBD5fIYCatiLJg+pUdUsii481grFMm3e9OrnFoUoKqt
NyCldodo19JdN00KzjkDVGzmvgbkctqHgknzjcJSIB4HHXQ1TrpvkhEDmimUvH79+j8yS9TUUJ5H
DtQysj7bugzRrGAuQvi/2RPNjrYBmMphX5FklAnlUoQKx1Zsfn3FjwUIrghSVTexYGK3ZVu7vGLb
6Ohe5db4zVrgSdj+2NPiKda0IrGu3sqhtuVTkFgLk3A0+64Nb6hxKu/pX9+G2qY/zDsLnU7CF1Jj
UzcxFrpYFCCQ+1rzZA5xAHFdCzf23tZ+lHVEf/4qSlvoJ03glPHt0LqqallFdhluQrcziSCxfRiz
AQncsL4Cqi3vaPJn7rxqR4OuYudinwpvY5nKKyYRlIhER/igWolAKukAPdKZh+UQea51QGpXiWil
g7CtTzgSONWMEzV9rOF3rJ6P6TiPiGGQCZ7dVGedxVn3cRtIZRBBCWudh6FX8O/NuYVlDouatwLW
qNhHxjgxbaeztkx4linQ0GVUq6JP8IC9C9BO4H7NOia12ceVqXTEMNBuKTrXlG9hpy/YkLPqgjFX
ChvG7KIQCmgI3NtvZu/l3qHDb4OP7gG9Fp46cD8+0RTFIPMaS3uVWsOGgMHueQ9zRWeBcW86KZ9S
VE66w68nz8WpQxPcUurEpomALWN0eV2syEHLa5b7Gs6cpnJFuT5rv0YiMIuQBD3u408F+SEJWhSV
DMlvHvtiILm8I1yI+CqxwifoUiM5tAdYSHgjv1LwdGrLt0fykmdCBLbscomd7BRrRmngeAGA/y5t
dUVZaiMkQPTf3MnlIkJUm8IH7Eo2bt6GdTEAnYxBJgIe+x54CxT2Xam6+/NGwwEcF8vZbX5/YPz8
8LCkpSDRwtcCleiLWRw5UQD3Rm9eMUQmftnOhlyMdIvLK4aXm9ilUP3U9Lx1fKQlXOSnUp+HBgBf
XOrV+JuJcEEdRqDa9lCtfAtBLALFS1+P0ANc4VWd9sLZ5eTafoJSylGPngdddr8fUVPB7iQH6V6t
Jg/aOJahsR71d3kl0ZEvNKMp7rw8UltgbZeNidRsXLQvv56vl3uuYVj6m4MDep1Uty/poP0YuI2O
x/3LRI2BSaD3QBBJkiZA+rCkGmvQ7iozrdWi6cZSfUEUv/9vXxacYIqUFiRrF/u7n456F6RZB5Wm
fEGR702mj7iMnXWY9Y499yzm2IY9EoxY5ShpxQbPB6WBqyGug5xdRD9VxbRvstD4zGXDFW20ChDO
r1+XIup/OBtgPlqSsxG2JyMMof9iX7HGovKKxXpp4cWr7a1rqwyE79LFFejes/6r5uRKfqmcaxVi
uCmF/Luxgu8M1i9LMJhaFjSn8BdT0qPvikc98njZFwlmdMl9aroqijBphqpD4SykhCTYyA786wcy
P/rh4DYI/5nJRfTHMWAYl5ZxNap+eMIX5oOC7xGDdBWIuhjtWRiWhDhv8Q4iBKpx+C7JQUypQq+m
qhkOLTII443JVt9Cjgq13sxLQPkoYUC+Vc9jKU9IG/GpOLLUUXDWi0w1OGbbym0Gq/Vn3ipv6jeP
drEX82jIxQvTIKQAM8qu+HGsuik1aBKW88O7dnj3pupH2ysuv3e6m5oF2DroTI+OWahZlGulwcE1
yTwL582SS6MLtzAN+/GBvVwJWY5OYjEg1rDQISpixKCGnRgzJbLV9oSXf0l/dKxbzkXUqHSGkRzL
4FXkoeBVvAuNQIKg/LOKPDOhoXh+PypkTH/jrXWxDbssKvYgpWFA2qn/dCAY4yLkLGvtfsidkijq
fAiYEaXkFAigGYXFb5aIeXH0qktSUtLpRmDHSq/gIvHCIYmNtpqc+7Y3mCHoxShPaFYI70cklSgh
Ao8aZj4r4M9KLyUbAlSY8FdVcfHYTFl3CzTTDZJt0AkI8JzVJmqMdEPoROXAyhHMLwjo34ctrEdE
XlZT5irtH6INNRwgx0Ze/btBsjcn3vBFL/OSO7FTuoOPqexUnvrrKUfL7OP+wMOrYJlgyqCq/3Pc
wabZaiHA/fsommUG67BPLaraox4kJ0lNGk5tHTUSpppHjyShHob6UH1ErZy+KvSjqNaumjDXxE2A
CZAFw6ycwu+QMfT9GPTQUlN82LJXkWRL8yVHyLZ5HhHwGT+JwcB8Yu0mhWdXfs0u2/bbcbTd4dTU
CB6UlIb13Li29Mbw1kXReIafTF3fBNCX3BqZG9rsjUCafKJMmK6GBRYpwEGsQ0SyhXzeizuU6JCw
8nV8wkbEDz3AoAG7HLrKhy5y2L98B5jqspDWMhWrw5TOQb+q2yqR28FzQmtt59q03I+yNOPHXmRh
sLZEZxo+4hBeOVOa7VpvjWD+mCLFk4V73Gw69Ej0cbkKABLoO2M0IhMSd+tG+qZC3Eo8zPYAZPfB
K/Vpup+6yepukMAqtC9E1k7/ajdSNg+LA46oXFVlaUTtZ2QTQeoEeBNO26UUbl6uvBTRWVpNDTgV
98WAk1e8RrSUB4yfZAdUgrI8/Xk/BYdrJPsOxXFbCYLrdiZ3AeAYZLgNR0vT3SArs82iH5FbWDBX
/QkXrEbcLFY5MKUXQFhV9JfRd1GICvpCjzprlKHrNKUYBycDDKHherRRyI23WinKWH5B7rEpDzIR
UehumSvAwFfVsOikPxmtKHyNQ02gW7GOgmZJ5gNqb1oU70bkBmVJX2QUbLCDksn7Wmo9kmoHJseo
wWqzSO+QXq3ITr1VN6M/Jz8pG2W+dOdvanGc8TOd7jiXA2Em6pelrz1zOCayqUITuU9Ncxx/Tuy0
d3bvfsu2GFT+oNP35nFCWH+a9TzR1dA9P7Ej3EE/zWM1Vg5tdC2Bg4c2tWZWhxS+kjt8komFhPyq
9jxVfXAa+CHpoxOit7xcCZGhT4n8ErQpSJk5U9y+QvWtcbJriE6xkYFoxEkj2IwJG0EIlAiyKCQ9
y1S3NA9appsbPYzmuF7rFUwaFw06XbNpCYSwYmgVIWLnPfTAZ2sEgh2HN2uiD1jLwcdHVv0S7p/U
blXXngplES/j6f0qMgpLbtEHV2/MyqDDeKuyjTrtrsgdteWLs4G0N3YlTu9LQRIA67/J+Vx1ftSo
s5ecX5w4/OejCKDEIbPIIBQroGMzLkaFxpP9B1wQgw8WwkuoJWmoSzAUWpG6kfhR1xR+ahD0MRkp
LTEAl7Ufu5HdI+Rfir7uH8GZ9HHB+9KipdxFGGIb042b0KGDSs1IV8udZGZxBYsf1S84ZqgJJhtN
jbw9a3wv83L1agbMdeF+4dtXj9wDcF4u678/T9NYVv1CwS3iezaqCfIutUXgWb4YPdKkVeVEBu/i
ffYES4sO99pBFo6fKSwoX+qeWdP477UAz15s9bc3ZLKF9Jd29/6qtfPH/3rJ588RTwPjdswq5waQ
LY6GlzSWVdzsYqjoPDRKjxMXCU1cW/U7wtSwRJvlPFDlMnRMNeLTvgkPheEBKIeuESED9skDwMhb
Gsw8U4bfFZloAxLaCoAvpUhzMNxhbpt8M3OQ/nvxzm+wrFhB7GvnZ0KfkVqWX5WFHI393LtKvFo/
D+15esggzXg/EuI9X2wnUw8/yTlinr7LH0UiknxzLmvdiR4WLRa0PXlSS73e80RawDBylzyk+i24
77Vcx8L6mtnVdpG69fML1UDU8Jcys0rhbDTdLtLksOCmNVW7UOV9+mZES5k17SHpS37QjoxvPDhm
/WLIsGD6tDaZPQ9PH4jp2lLLVr/QRGi28cUQ4utItxulUsTRF1u9pqLHdnN86LMwC+MthAB+b1Rb
RmjBbpsdA8Daea7ESet1zu79laPN33A7U2wpTCYnQMnFk4o2XrwbDPC1+gORGyo6oNTxXIl9vQ0D
Lm4jaE5e1WUVFYCMsJrEhmGK+gOsdbWce85XvpfOPf4k25RgEeQpnhUIJu7xStXz3M88kdG5Rceb
5BrBlJ7PR13d8oWg0c5Oed3zJwqJpJrwJwwSqppafnYa0k5pVY1NwtUBPpXDoywCJfgYwKNiZoBE
kBSJJ6s22WEgoGa9u8lAOfORSStwPTrgDtws0zddTgn7TZiVtBf37+XkpMuiJtmipk1d8PssWmFZ
+wotAanvrLc1887+b4MRIctHRScfu4faGqNR7lH2VI8+wRbmFWFEtKQ8URqOsOvkohvsch0gaH6G
ZoqaNWR1aoqfqwxum478a6M31fN2kAj5Any2VmlsTMFAA8S0UH3xhEm/e0VpFyrajYUcKp+QSFAw
qQcb66G792L0YsBDC7bw6tEiO4RBvfA7lnOCGlC+JLeubZFSVQiMlBIhKq8pCjRdhoGcffVur9CJ
ERlxP0zdjq3SkriYGCck8fFO2FITUy+vjyGbIJPSuym1+AQwJf8cl16e8ttIeBZoxzFomyY+eVai
Uvmy57i7QWLakt1nQbIHS2RCzX6OtnKsbPTCKPGi2bVyKJbLJyVnRpLPYegx+IsmFp5KgqHjheZ2
oN55YwLtxfj1rV6TdCX1GivWoe8cx8XOA+dzuvSjdtcQTJOkLxXKOE/st8wvbazQBNklWMuraVQh
NVGDyQOjCLoM0Alf6O+UY/UkkQ6pjReBBFZ2krJG2Ba5grLttD8hzCdTsOFEszKsPDKqRJoPgd5p
qGGLMe3udXCtuMEG9mxF05fRIbapX/F3H2rzWxu4lHB3aMsMuYc0xtKmj4sAOVquek6HiaKogQxY
tnIc28P+ilmeJx5WeXxTcxT0gs7UtH5/kvNY1lVCGcW3bUspNwZv200GuJDp5oHX5AvRv1q8cZur
TxRvNa4gMdX3bEPX+MQczuqDgUUVN99Q4VQVwDgLKpZySLQYnJZuhukFW95Rq9LL1U/epywxJTuR
B7uIH52rRmo71VCBm2Y4oCvDbHT3to+wLygB0KLc/yTmJfCAE6GAyz8KtUW1TVoF1QLZRFjWHWrU
TTUob1TplEyyuvMUfjGL4nwhcDscaTVTRbs7Z2x4RyxOiroQDAiMv982LBTO1W8G4apKNghUqGZN
28gGzDDYGyXvEtWy1+762K545m6kizccYzNUYVwkJq7hDJm6rf5tweFCyDmCPVKvFnllqjYjOPpJ
zUknWMw0BlbSAojfREnGatyeXwjVErXppa5UIZaAD5FcRaaVwcz4dXp1kdBTT1UCicAK2Nwk+ooX
CT14b4LTtDLvorKU3LUD/Y7VMILkPNWaUCsoGyhQIxMQ1+ref315lbj+rR+lLg/2DQ83sGsG179I
bCGrlNrYOpT0z1tjQq9MvX9qoNkZCklHPfxR3p5/6d8FES/KTKwmZOJ0rkVpnz8v/aFHNwUYTyj5
1xyB/1GWfl0FQnxyPCq77MgSmw+4/HHCCJeiQcnBf98cf/3YH0sItq4zf4Cu8PC0w5nnF5XcYLCQ
W2Xp3YEzZBuLQZKwRbctrJ/NUhI6/+49/3xB0/MUyBBcIE2YS7hOGjVIPcMJ/VJPBQcFPited3Dm
lG3ufWX/+gEv8UE8IT0uNB4NZPkMirYXDZ8J9/ew6DKSrPOOMUaLam7O0pptG5e71h22SRUszed+
tLB5RABD7edWw9agtYvgPPrNHX2c6bxzUinX4/DC/xc5ucvi8ezp2ojHe/0FHz61qEbiOtb41KcB
+3rsDjFDEIl+ZmUCD1QnYq1hi4Q2ZmWhvOAPNZn9FmWc0uYoZ2uZfbb6mo+zPgLjFKOnadX+eK76
Vudt9tcPcTmMDJyAQW7TWUYw7ieDaWyN6g7/0+GErLPamZa3QKhq7aL/PGtuL36DO/p317N1BlL9
h978RfnfwUSRAdb70/uxN4Xoy6x0TDbAoqOREf5XpTXQsEDJXSqLbNws1Z+2A2tUHjqofJ7OxxJB
shoNJ81YFwgIqQPj1y/04/5DfRawLBNVgVJobvD3j/XMEVJc3Cx2uneQTk9t38lzx3qSDQvmd0vw
50sxdC51brD5JJmXWx1KUPnchzJEf0O1jgab6gjzyIS58btG0QUGgd8OQsOjZcVbJA/4CQtY6DAQ
kqnyvusJZer3ZWXKVIWKjQXyaj+M7lDkvp6LxnRWTpPREV5lhKIQyq1ich6SUWcT/PXbfoeI/GvD
B6CMkiRbEWVM1VZzL88bXaev7sRRu2sWE/HvjYmsO0PcA2zsyz/bpaAd5ZdtiNyzh3oWjniKoQll
Ir8iigAaFIKDrahIXZuCmoh+C8cuDMu9wqLa5SlAq9CYZjCvFPu/IXyLzNWmSUxR1Js86xdIRYCX
EbZdw6+hBHhtQduz5C3SWmoHTiVJkvUJghqU6ZsUpTsPKE8/yBjpGcTaR2tPAuTE+TrTkoop8h44
ORr/DIrLOdwhc3A5xNCcYHs9p0Dp29sco9zkSCFlVeHJCAWFQLuEQJCdCrPndRP6yd45WW2mgkzt
HHNVtDYYNx39mwWJmRaTXFjqLR7C8VpWToYIzl+lmJrjHJGBc4D1FtmBjBh5v9CqVXDh1INVH8h5
UmluKrfkknlKtjMcdbrN6PBmU678GOkzZEn2YBGOozAD08IT1SGRuqaKFIipUQaez/mhN86tBbEN
HirlYCpDDt2PVYJEP87OGl62IypvNV6ptnnr1V7ljJuwlsKu7+0ZY7zynj6IascRm+qmPJVdS3Pj
Pq6ogodr5jnNwG3U1IYBCcQgGP5zJiVu3aMtp9F8Muxp7tyTQJSp+lx4XpKam6RoUThfVWxoE4Za
HfL45qYoZ8Z2jXj30swrXaNiMviEjIYNjBkG3HiNyQzGPSuaSWNMlu+5DbiWONLbndDRA3+Reg6P
dx0IEgG8XBycm77ikOhq/co9Qybe98iablYor13koUiEiiiTZk90/xb/UZBX8SsqDuowPE+N7C1K
LZwsJZVE3jPGigDanczRtcLPyuE2EAE0VyOkWu+ew6V076rC07JtHtvKPCYMxzt7ju1kPWNHvUMu
wNory4BD3kzDngpL+cVpJBoQnh0hKt9laJqKobkPmNR7Edplu2L1RS9JU2VfQz0Gk97r0J+CqBFb
knBKXZCar9xKfypTliOOYPIaIdRq7YgIlbVa15pt4kxik2CW9mlJsk7fkC10G3fWLTCercy/R1V/
h6VrddUILbzKhxZAdktpnDZyuB9wkFhH3uh+dqqo9tO4il/jtg4QXMMtfBZFscYYoD66i5lvoSuC
4kFES/Cr3bnwMYFxtiO/8uCSJ74gHNrv6FoGrzUOp7sUib4FicLE3kaJXt5V6L4usIPAtyP6VoYP
47S4z5kGbduz+vx+dM14o5udfsQINopXpaZZ14Ly4bbp2uJHmzjBZ4qaMWiDzvJeDVpQ5FlGZXxB
xiOKt9VcoIzU5t2XdhAUQtgK1u089UerbWbc2PLR9QPHCyL3a4xuw3wAQdZ/b02Yz1jHVHglhXGO
99Ng2e4Pt7OdfK3BNUQoCjgZ+PIu+TwN6JXYYK2u7LYzah9YbfmsJ211jXCdftVKQ83QwFYYmHBA
vYkw+0Z30uFAVV47ggiPzLXL7vdqjCO25NAUkDftwDt+GxGe+VFr2oQOlbE8t22CWJAXVMAasbtj
5kZZlSGaVjaIFCxjOh1RZ6rDFbTf+DQbDhsxqR5gXiuzjijkZdWxmeoG+YjevLKzHIS2ZT+iofFd
74PgJAyWz9D2HY6xNbD/cEJOam3PpbURTlfANBPNtxmL6m2iA0/CbaVPwbClvoM9VAWH0hLPIIvK
lWVmxQ5PDTxk9RyhEKQ8PrcRMh9gn7vwoY7m+mszVQgsIIc5+YGBsdAq4f5AzLjUAll4U7TAQnHH
Ww+if+YX2Kw8JzkyEzSf8seijOtVVQ3GZ4/mxqHCgtTvGz04QhoTz60rp+uEPgSiQBSCuWiACkWP
KTbqnuG1dDXMQVHV8Z4bjWBr7RI34kebtPWtHCU6o2YtMYLAR3HfoUZwS5cdbN4YNQ9mWVS7oZ+Q
h6oG+dxYwcNI/v6w1Fj17GDUzSsMTcIfCFnZu6hzoMYRns53XePBymtETSc5DbuVHg3DQeJHsauJ
jxF6cVrvwSs678WCqXKfNEH5MizD8qNngq8HpzQhxCfWTuekWNdT3d0R9+IOiZD5tda06dOil8XO
yowAXAVl7lM068pEemJHQiPOpU5lp3IPMSrwq7ZIdqndNw8gMyzufzCPhl5Y20Ra7TfqhfUt2tXN
3pgz7y7Pm+UqbBPIpQ5bLul5Hp8KoXfHphfjLXKEzX3juuK7laK0szLr+f9Rd2a7kWNZlv2XfmeA
8wBU1wONNJpJpsEluVzSC+FyV3AmL+fh63tREYmWTEpZR+VTo5BARkW600he3uGcvdcGJgTDyUfT
OV4pWtefAywa98k4aRX1JLsMoH3pHsd2lJ+UY5z9AoH/EDK9fSO9M/5uU9J5rBe7u2PBj3Z8bNbF
okgdCgQz2UJBNg503hVwrYUDNnCZ4evJKEm2SyRV1xmtgWuySATYCZHL22ZM60fR9TqgRmNZDo2j
9+fIDEiZkwq4wNriQJiIyE7TrMzeKfQiN4NY9Ct7iDQ6Bo30WwqJDJQPswGWFqBuMbEH96yeUrt9
yAxtsDpfrjCEdijjRXgYJREBWFTyS0mfy/u8a37yZ6LVa6TctwU7mBQP0eXkpIinDKEkZ04l1Kde
CnuIcfEoXyDV7L8n6jDUQazmmo43S7HOod029taRi9I5K2JbYD9u4eMM9OE924FXhNuiI8K00MLy
spLQIZzPUm3xrE157JpD7Qw0oBQQEeO+1OviSpt06ZtVOjiRCJyMKz92RHOTRuRwkD5azfF5kWRV
4klNaaBnCkNFCqyhbZeb2S6bPg7WrYfsOdBsCJTmqVUjXv+MWkGTbxSLnQvc0j4cLqjipO1G65Xo
biQCHFeAnJsHxDah4o0KW8TzjgJBd0/284Kz2ZUa0ZFVCdmlRBa6GzqTbAF1ksv0btHmUMVLNNWy
Q8Iuk528t3U6FUFNKCvhs0Nr9LeOFGUpCsoIqwL4vxB6JKw0Z4JpiOrRVWM9/watX1qC0eS0u5Fx
18uH0UmnEjIb/YULK2c69ZC3LF5Fxe0sJedsYypWdtZJcAnTq3yWTGfRePwkKhfYy9UiW1W2QjWK
K6KeUruDk5aaOYEofVvxPRDiVW96ZVYLX1f6PD5kMV1jtygpP2+WbmUUkqtAQ8oi0HtXJiBd/WjE
uZsllG+9lKAi+OO6Yns4GGOLUl3aKPssggrjit6wiGQc6cqbsGUuAW5OZCCmQF1cSwdqtJmpJd4r
Qmp+Dw5bE60RsxpUZPtpfkR+Vk+SoznFUgW6YJUSQ6SOzZuZWE+LjVkPViffMJN2/A8qGdpz8otJ
qLZNIJq5cI2oViZSfQpLsWJfqFNlGBeKNJj9d5rMRbhLa1v/GQ3D07LE0fcoFk9EVhkpBO6xuB3R
nPihHTaBzOIhM0mYDW05aznPAZRdNhr+kSGGnSlqsQB/QWRFOlRhFLdNmZse+N3Z7W3Cid1m6Ipf
XRQusBhzOmrRFF7Q+bQBbE0tXImFxUa/Bn2p3VoIQBsvGahBMR4YMCQSJ+NvpRLZN1GX0MJby4I0
VZXVbV+3HW7MicycPdXsyHIlcjBAqKW1R4ZSvs3q0LgtM1nxnS6uzrPQkC7UbNLPVUEztYpamuoO
xyIPTPXws+yxZi2Tit8Gc1EOttAZ6tYXRFZfov8ekZ43I3jJdpSnTZ1hNdTNFl+6oxQhCjAE7f0e
zmyEwY7i++0CVf53SD++DlL6fl7DRwnKbs6aS1Z5Fv/EzHIPzm/+m58Q3rDqwAy1HHLKShHfpzBw
nqgITlvERE4AMKrYWsJKr6UUIvVQmPGDXBbf8xQlb8TBbWupYfpYjSoYcQPf1yOYkuasVzXAtWEz
EXWfULQ9A8LDTUcylfdkGjYcwrWrlGPJ2TAqyS/4QdZTFkbKQ6Zo4wHvJsIJUVd7jVL2PU0BNVvn
tEm4xKfXF0Qir8nnTI7rINR/6dl6SJ9BH7BqT2r7XOFETfzcTGjQUuSuzH1plEm1aZtk6uiBLRVF
TGtMcQbmzCOuSRCccZGLVn2Ooa4DFc/5DXBPrRgME3/vK28vcuNZGPvC7FWL0HqE+LCoVyIxhO/u
h+DUBr9aaJr8xMI7YmuX7HHYkQxoep0AjpHUhvp91TNslWXIQLysbnfDIGKpH2zB8sDJE2A+wllw
AYZ2oKXYnIsZsYvbRGxpDhNYxOdM7Ugoayl/Dm4y5NOvroMOEvBRck7rBdXV3wPdNOL30mHwy3TQ
ziieR0i5kmlhM28Zwwue6CHcFlbcnesz5zdXYjvSeTkJwIYv1QWKPZhFxn3X5vmjJYaJ1HkNwLIM
ZPayHy3llq4ffCNa1TwssxvjPIBY2J0x+5WjD4MQ535Nal7koi6RqkstHhVp04drSudcyIbwGzGg
D0YpwyDa6HERp3o2bKPBpMVTZJs0Y5PW+OsxFuo5JjKVPbVWhstD2fZldqVWyth6nCrCFW7nmNVC
WJbSR/kcSDLAPv3K7DXMcRkZgdrPHNm/RD6BZE9puKWRB2XrIosrs3I2nLYnXbj9EhctaBMWXANY
D301O3d7tJg6EY0DOLzsfLZDSjrEdU84pK/xnmom+D9Emk6/bXpRJw9RlOkEI8LXbGjv4BLSSiil
E3iDDuIiodf7Pu6l4k8QS9Ng+DG6rKL0jZoeIOxIuHhDIBBwAf5pZp3w4usUYxPvQZeQcfUpThR6
EwMiVW7/pZAcCySwaFNimB0RT8aD0RhqfPtXEVkSayOky521ZKti8BbnjoOFiFYw8zj1C77Dxfod
6aE8mQF63YXvrVZaJ3nsxRhjCi5tCnASJ9swHU2WCKbj7r6PKSjYh44N5XQJ7EOe9Q0RkH2dBQtd
N94WSx6wsWfN7suh8Iy86+fyXOu5PZhwFeqPdoMYB6TurdYRZ276hHrGiXYm98BdAOFpScceh7ND
VG+FsFPmY6kjrQ911IWKyIytu3CYMWcnYRNl60HSWcU8k+P9N4kPqVefj7oflZOeAJ4cUQI51A7K
yj4sbP3Ae0g5EaVuB75H9K6i147uW/Oi6QH9yOJe2H3+XUL107nqK1VQ7/l2fFQwxW/5lUKIdjVu
Mr8yW/KPhgb9zOQuKwMRI1NPUBsa2TMniYZrA3fDjvp0ciDFVlsTivuLVJln2FZagYhscGhQCykH
uzlh36zZwlku6Saww6dyzMqg6WR10022GEuk9UP2WxBbkTG1rix9k3W09zptmW/Ak0CgjEYp99mB
ckIMU2FA+DX1rvDAl0/P0gItTZBOMdbKjZ0lmeGNhGD9amQa626bQvqWywX4his3BGr4bCcgtEDx
BgYTSdNacWFHTczHQkj3Fv/YEEoExik2oiEVet0mlPUKjOcstzuQmtYjxGKdgqUVwhvaUFBMDE6o
1txeFqAagOnLRt89IMloALk1AG3iDVqTmgTkXlHRO1Hcuow4eReuXrMPv5hoBE6g1DPLtzKAtlhc
K6xIvYE0Gs2fAM2Cybgns6o0HFplKy8X1TEvxpoiydXQ/O1qkdfppqdg9rwgpGBswOLtSZbkPhex
NRUxXc+8bE93QtvxUzQfL0QSsSnIUhEdJKbh9onD5Rh/s9KiWXddBLfv2MGYZ41uGckzU6Q2B9qg
pzfVqIUXyDej31Gj8OTtcZmQ0YU9lZFlISJDrJRkgvb6a1ANoJPFK0Z5tIqK2dTCOgzR2bkhGhv2
MmEI416haJF4I5qdH6Om4280shbwjp6myCYb45ZEoGrbqaX8YELoxLOPPjJu8gWHVbvMLu6F+RKv
pwoBuW9JzoYdjsHJSQZn2Edmg2quLckKdqNwxJL8CqYeyQQXG8JDZ3VL54r+rwzbtPUieExMvRJ+
tcTthIXskeCHmk1BObcXWg8gO1KVgehNIxJg4RCe3I2T1aGG7koAMKgUrCe9ieFgFmzAr+pXKndr
6/iL2VPPiWtmoYNMJqsT0EqwwlCEUS65XgoqAO5iCpDf2YDwz9PkAhz4Kxk8MpD5IWeBFz5o4s+x
jcmDhWmwGTtjfrSYLYZzolYb4eX1YN+Q6QmOvJMMY4UnJ1SBCrW60PJQPSdgO7OQL4Uzad5K6Jzj
p1ef4TRkZ5Mk2ms0hAAKElv9iaad/MWytUAZwOIEpm69gtX7V8h63oAh9vs4sXPm30bLz1NlxbF3
5mjcS2EspksqV1AAEJgUswviQnlMHJQYAMiU5rJC+SL71mjMHAocMHBuHcpG4RdKGt9lxtTABAKE
vhnYn3ux1tT2+tzMq1EbKUNrahVeEtOhPdSoPyJ36PNHrS2qh4a4exceCbVHlJ4IuKKBIZ83j5E0
yhF7q0naSOw8LpoecX5L3eWpjHpp35BtlHtNkllXXd9VZ52BqZ4TeXagLmDtwF/Z91SMQe9HZWQ+
C3Uh60OX25uhmdV91hLsvkkHe1x3a3KBpKekxGO1rb1rCfQ2SXmR2DgViTMFpaEO+Q0uXjJ+KW6R
XtnqBABpRu+zfVHOy7mK0SyOykMcztODE3aKK9pexvhkZH5h5+GfyJ1lAn707jtpM3Wg6KHyXBHJ
/iDzR+BATjw4LFsPeCbtiwnxQSDWEITJ7n8inO6uRb8mJNgd+WVIl5ZrJwJyzWjQi4D1AFZmb7ca
dDpEM/zpw1irzY+UYodnTxxUCJIvF3eKlepesnP9No01vdjoVPX3QpQKLToUoJmm/Zp7qv9g9gT1
oOaZBSorBo/ePC7UB060IBpvGr2tdOOqS+OaWb61SYTASlvjy0a8MM3Avug10AitrvQZic8MyAuv
nQoUV546QkD6uEiXPQLzufseJtNo/DJKvcp2aWUXnb4J9UbuJM8eDH1smLwyVDb02uiDpY6SmFBj
ulpZ2DbaZLJuILc28rQnoYcqJqnYk7HV4avbT2ZJqnHn1iLLJ9hqlhHLhsc+D/2EJ81mFCG00dF+
IZNmG4/aa8ajzUeDvF43kKjGonqRa2m2Wo9GKwJCvxUjwX10UpMIGCrhsaFCc4MxWNMGidJoketv
g2YTvg08czKb5r6yx3BIPRrENuc+LJ+wbi7TlChCUoVHIEGKLwutb+vnPlsGZXb5W0Qy02/W2ZKB
GI2ZGXbAJo3UAdA3r3eim5Hs5AGImMGqf/RStKiGm5DBxL9Do2+ZE9HNLQfmc4KQwtzcTEB2rGH7
dXvufbeXrqFFnx6HGZQimnT0ZN43QxNjxsIZJdZvMMGrB7T4S/gBfyfnhYPLavMT7df3Pfn1iqYC
AmlVOdCYxzX1/ooU5+xOxi/xUvx1RbJuVgGGZpQNrXmouXqPCG6QJwnLR5LSFPzrlv8Rz+E/IF/9
f4tzWAUg/57mEPQ/f/8kcuPlLchh/SP/4jgof8B8UekxcwCwWI7Rr4wvfyEelD/AWalgHhDA6QiI
eaV/s7AU8w8DgBavGTOhsf6x/8tyMP5AqgVKBWvRKozRtX/CwuKHvREVGViUQARgGtGIcnXYMaz+
rDfRgSYtHmfGcexNhfIjbGj3VHrHrmZag4PUU8ISff3r3ra018thiMWlqq6BgfY6yN9cDvQDsWAc
mr0Gkw5HRcOGdKU741NEw/8MvBJxa4mdkutiRFb8u+pnUe5Eoyl7OVs62TUVPIpuYvXqY6Pm+S4p
Q+kmpbiHIAk/l95X7CCKOnmyEo4UvT2QAGBSiAokkLR7ZINNYEWGvOVwbaskWCdnUL5gDeeqeheD
nhCbCYxt4gxqt0Kr9zOih/WEBOaCbGq63hGyZzZJyywcsOxD9o1ICvKLOMKn394Mo080WK9+0eNn
heYJ35GDngSMxPtnJYUhrRm68F7j5PVTCZn2Ow0QQ/FNSdY2oF1K4ZLWY1Us39IT/02Ptqqe002R
6FWQpJauDEZAENCi17oK+/S0JBiIPl5KfZwAjyRBwZAndHkdgjZcup24wzO9k29XZ8JWqUzldzsM
KVre3jGpXGDsYMtuEIlWmrtJ7kDfWwiUz+WkFbtx1qRDNRT9drGWjCOt1rKCLM3dYJYRiQBS4y5h
Ijfe189JWafao+eE6YnKNSVelYLO0XNalianPOe0HgYk2wWWqMD5jLqCZpRtU45WUnEwALVi3kEf
ofSGO3UaJd88I26DAkPABpfdWNtT1M7ke6MLkf0D7nULcFr+iR/7yQeAG1xGzUFkp4Y58P1LzSOL
2EUVYlBZhqnLD6aEPjkPSUOFztKNFtXokHA8kgkASpZuWywOrLSMDO4TP2S90NFTQ8VIfO/qE5M/
OG/TlAox0Xmdl0VRjmC+mdgoNYqXRzqhlZ027aDPmD4ziI3/IgqJDkmpQ8OG3Ch5WJ14LkeCn3Ua
gn+roi2CW8KjOXqHXW4sHIGjzls63o0hcTovldY6NVTer9rrbMeMykVMnWI3pIGj6QcNc2mpVUXx
DL008Y+52EdapcKUNYigCuOx+BaGpLrQ+Mu0s5SKQ0evT+7JQhjQefbbFAkiGt2hDC/GvqmHEwa+
j7MxbkkwCOujZX5U1sf0ZnrsS5VK1yS3XhjKD5E5HjiYyGe9fTXieti9joB/tJz/W6rSu8X6SryU
NEFfXrqLn+K/3gGX/vv9P7Z//TMi0xUj+e4f/LJLuvlb/9LMNy+wrbr//q+/5Kjr//L/9V/+Daa8
m8XL//5fvyq00uvfFlGoerv6rsSvf79guy958uvdar3+7/+VlG79QaosWlPHhNrG4swI+nu1tp0/
AAkAPELg4bBy8W/+tVjb/CECeBnEGnJDQHjvFmuEqIQeO7gxHcf+J2v18ejVKQmyHVDZbvJ3ydbR
nrNX6QbQX2lxR8d7O7a9pGwACi/bN4/jk4Xn/UaTCWG9DIYnFl+daVVZPaZvBuG8YHlTl7kNekk6
rzoWy/k51H5rU3yd69mJMOwjR/vfV0M3yUxkA014dbS+uVrGLSkhYv3AbqzLCIHBJqnHhwR79iow
dDaNLvwJwqKrz4rX0D9OB+lJCYvb0kouxBLvp+ZGN+NsG0bts+w4d/TI7r9+IB9WmNcnQrEDFTIP
X7GOPkuF0pE6YYmHKDeRxqIYG02QNStkhdZfjlNIqe9qooSMSLphdif1QwIrKKXTtZ46B1md9pkU
k/th5Cq9dbYo0lSceGmvFL238/n6GxljcBRksE62cTS1Ib6tlswkSwktIUzJenaVvtkOKbV/4KJn
NAsf9ImMJeIyNktKZFmsd65W45bUCow7FO5kqX+k/fA0luXtEpW7inhV1yJJyP/6cb4Xl//1xklq
YwTzpQEmPNpySoalQQfhadJsKAIqha2fkMHqaoTTZpVj7SC+sHtpSnLzRtn7+uLrq/rwmEwZdTfA
BwSm6497M9zk3haUZEQb5HDyCMziO5Iev77E8WeKfJqO8jqeTQ1Gmn50CehpiR5raRsUsn3ez+0u
MbKAvdQJvfGxbBx9KNdhvUDjjDWA08L7WzHRec5pucpDneYlKm1x0bKj8ystRwJWWMi57BQc+JxH
3npix9DZ3Hx9p69b0LdPc/0JSKtlpj9Ehvzf+59gFEjx8kxqgkx3SJNL0tFnmzo806uYt11RNaA/
u3H+gUhNcgcpVB4jrJdYe8iJlY1MxBtgB8nLIPJMAMivbEQJ2rRfZhK3FYO/amviaH+amvCCfO1L
gWLiwigtJ1AQaC3pIjxw+i4GzNRF4aIESm9e9ULqAy2KZG+MrKshq7ZTuoTfq4qSVJdGB0dWtR0/
4yDJzeATv2FsQ2WK7tj26puJeLvNqFMURtFxZQvV8vUkxcuTUdUdKa25JLYekBfm/mhV+w4uBVIG
ziWmFW3oVUo/pFHKtrITlT68rGe9QHejmISohbLkm3Qf1FH1taFzDoYTn/iwXg9rx68Dg4pjsL0B
a3o88qqitwkzaZsgr8PYR2KXbUAjxezaSPJh1irH5KaLHWgIkz2VnhBxH1i4nvZYHeUXbDr3fY8w
CLcZpmFG9kZHuRJQokQGGtkSoTnRRUtdJmoiJmRuWfoxNfxL0UQAOUjWfSJPZ3axhOxYRAwvIuTH
jWT7z6+H3WcfmAG3Fu4TA5Au3/tRN0fyZCwt4TaR2krfMWx2F9HS3hH18/L1hY5PFuvwhkrncD7n
P7p2NKeOdFMaANVNIOQc1Ue9EAxNNB18QmqRQNT7sfOHNn9MGQfu15f+7B5NVUMxgjvE+oDvkbWq
UUQnmqBNquyF/u4F0F7lMSR17sSVjpd7blKHoKI5wCM4mB97PbA7Gxz8QhGgJ782epoGgvpotIp5
F51wbPH76zv75KGaKNpXuwvlC+cVf/ZmBkZ5EtJLkxGUdAl1K0JOlIleJBojLxTKhZ4pnEmLEzf5
yePkosgFcU1AVTveZdCxTfMpoZxaRFrmOWZ60EeEo6su/sSVPpuWIU7x4rD0wH7RjqZlY5SoB2d1
E4CgeInm7KdmjUvgGP1mcJrIM8ZpP/bdnxhqyk1bZL++frqf3ig1A3ZSlspx+GjImrU9WA1SsaDR
WrdA6WOS5NnW04m7/GTQmFRybCwK1KG43vtP0Olzk95ZCVdrUYetupT3SZMjyULwaubKHRFYzomj
0evZ52hy42RksGZD2FpPru8vqSh1s0yNVAdq5xg/iCjYqEQhx4nD7DvnN/M8xZ6kmWJvYkn1bbVJ
H+1W+GNnVlvDHJc9ehHzhE/u85eNvRiMGae2D7tXmvrCLqOYlx3KWxSl8CLs+SdmkmYiad1aJsnX
5f7aWLtkY2f/XZL9tz69T1+DQ0VeNVa6Mlj8d7sZK9RS8GKgiI0xvekIJwwLcnrM8nImeIMwpMj7
h6NrRTTp7IBlvDIUMY5ee8qJOYtpqgSkvG3iSjqAxnHrvjyxtVn/mnevmsswwVPvoLxufZgi5EWX
CEKxiwBxFnod1PTdHfmvaXtiFH/4WNbrUJel5rACsuWjnWhUDnlC97kIikq/1Q3hKaNxjbfjxCj5
7HaIO6A2BWFypQK+f0vKkuW4UbUiSNMMPoOBNjyRjNuvX82HoaApBn0B/oOXCfDb0eGws9NBTN1S
BOjkfUOtDoXsHIa5prxK7q1ePv9nlzu6J4BcY8jmvgjqcUaS3VyBA3RDmRBWEmObqj2xp/707jgu
cPjW2PUem+vKuJKhNwxcTsDJtp0AvXAQIy7OExtpbXtisll//dEAhBtu0OFhf0t36WhgkDwSjw2Q
hYCgKndSCCldauLf4fMYWBfnXT/TXiVN5+tnuu6Wv7rq0dfcmwJUW1UWAbK7jUgWIoiQEdJbywrT
//pSH4akDB6LpEWODmwu4FS+H5KziVBfodEe5ItzptbVD/jmJ+7mwytbL8G3y0K01rKOR31kpn0e
LnR6I8Kftno3IN+Vmnk7KjPOmegcEMzX9/ShlMBO5u0VraN9YeTE5dSQ6hNElQh9oD7DlcC74BXl
8LM1UL76jYW6Xq9sw7NIq6WYeejN7HFo1cvcFDt8L1MQWu3PoVAvohrbWWNRB02t5OXrX/ph3uGH
6gqEWaypazXneHi1Csq8oa+DTErvrXy6AGByCRPk2392maPxlPUAqM0eobrZ1rKH9HET5VPmhSTO
nZhIP4zcoxs6Gk5V3uDHINA3SIj7hhfhAyC8ynvzviumU295fYvvvpL1WuuGFbY/FY/XJfnN/nG0
5FUi3iKo1aoVPkSIObLxJoOnYRsXsp3vpSzfyYleBXRob75+pJ99N5hSTbS/qzV+jah5Wz4YpyQZ
ZcEQK9D1+CUWyOe2mMTDf3aV9Ve8ucWqSyY15ogFp5QA10jx5+hUKMUnu3CbriIwAXZwTNRHY2Ny
wjpsa00Eq99pqMZHmGQ3SpteQzG9lesi9wwnOnXU+HS7ZDOfsmGhc6685vK8ubESse60CEsE4YJL
RyqnyEctV3I+3U8WuxjywsG5tAqxWDkAYkW/+/rBHpl9qckweNiYc9/A6zlBHhUs0mkOJ3UqeH9C
earq/IdE8OcG4PZGiYrvU5096iL5s8Mh5XcZoeFFVXhf/wTnk4+fzYazygf4GR984lXC8ILwIoLK
aMKA5tVLsmCIw0fsNoZkuUM8zxsgS98QkWlnRZGNQTeofpwAQ5ooOHlURTFszWEcKHV5FmE1wAQ8
5FsCMsHlmBMWpCzb0+HYNCVpQU21QG8fom2H9rRt4vYc0eH9LOG/KifjfJqcLACRCC1cSbPA0sJk
o2iD7HWjRLOvXB76JKE4EyUhUNgWsxxvzJSW2TMlVNkoDwmBF9nkzlp2i/Q498xKvxaNtYdxFJMu
SbweOz1lQ3PlooxEd9BlInzVJfExqd1NA7nRgmbL1EyHyE60IItBnmmRjYl1IRMVtB2yIYqEJDku
LXE8Sb4dpPrWTNDAzaTH7sNFu4onDWIMGh9kvGP5qKDOcuUqPK+LZgzaRSKiG0PQAKljO8uSuTEF
mbc0YAj0xRZ4lq3tTyqOfxaG9Zy02aVWzvtESnMvapG9YeEzzntSXPZVpG+/Hg+fLJM29n2b3iXt
fP7r+289TEvNKcjdC0gqSDcLqaE4nuJvcptcR056w586MVd/dkEqJ+DXODWsh/73F7TIkJNQLomg
7NHIidyONj0wQ0zFeEYHYuS68sQtfqhN89UBlmL/u+7mweseXRJhYT7jbK04LdY45IBw+1Sw01vU
Op07lMnPvuZfmkhofOEY34qieEHEf+CnlReRSv50iBBorzip6hnJNF+RzVI+65KqbXvFbPEm5sl4
4il9NlMgs2CaYJZS+FSPJkjQ4NkMD08ErSgOtiXO+knqzpYivrI10W4a25LcEHchFiv1T7Tstzqc
5xNzxSdThW2gDQF7IjNjHbcrddBCVtdbFatNsTFykslQTm7ixbJP3O06yI7WVFS+63yIDITS4dHO
SWuF6CF9VoGaFU8m9l8qBycOQR+21IwBJjyqBjawCsAq74cdZce6T5uhCrJRvW/Hpt3EJQa8Kt5R
YAXsw+7HjLRvVksP/Osv7LOlDigqewY4TSinjo4qgDFyh4Z6FaRtcpbZxgsuyjujLa7nuLzGKIwp
Mz3VXl9H9IcHajCI17oAxd/1I3yz0BH9bi8y9tQgywz8XeFyW6MTtZLM2erheKKX/9mjpSPI6XJt
W34oU/Yz/fjJdkSQGybOoD7b6H2xyTTzXFjVuaRbt6ASUDzKJ1K0PnuwtCEJxUZ5wYboaNQYo0kJ
QFfw3CoIczBJYT5CgpesmeyKj0IOq0yW/fj6bb6Wlo4e7YofsR3A0as0Zv1o3j7aoS1guMRcdXGy
PZWCg6JQd9Fb41kj98Il69x07al4TsxuR53YK7PsXJnxesHK4bFYDngLKy+2EYaKTdRohu12lobV
pmK6b9Jfui4o6kutj/y2xWukGRulbW6tzHh2sg4HzqLh51a+a2R4gBZzLiFjSUErOSTQVvFPoakF
zqg2omlgn1NwRYekE3KbOlnsNy2aYMtq1O2a1OfBibr9+vGo63f04fFQE6caBDkE6MP7x2Pkuimc
KayCqS1W86Sku+p6ABMtfLelMs70mWBwEcpn87o7iCW1fsKducXBtdzKMWE9mEp8q0IPDJjbx6au
8zBqom4T/dG008LDhOpsKzM+VfL+ZGFyKGHZxEGsyZH60YvtIiymWSNYJUx8vhO/x+3LBRdqO0UH
W/BW+9q2T3w7nxwa13ICRRMEVoTmHNeA8nwyVKg2VdCMerftJ6yZak4pUbAuU8sU8pY4iWLjoEnZ
QoVXNpC+mUrSEsVZqH0nMvmZFJr7fggJGpSXb6kw9TOQIDW+Y0c6sZJ+siqtmwQELFTH0FUff3IC
r2Nt9XoZyJgqmi69w4XVYeQhPawmnXz9f/MzkU0rucDz1NfFblRH5cS69HHCoSrCXsXhodFzPp5R
p7Re83fGEuVUhg9UvpRlzHbt7IPx9MrZOYxoeA2bOtfXg/vj+QFIj40IlkKQvsK51hnpzbePSCkx
QvISAgSZCXY/JxDxgrG3szdy9NyE8S2jFN5Uf4HC6utrf1iLjy59tIogcVbiQs5ZIrt5l4XTHsX7
YRT/TFfMAeX9ZY57W/ag5rFVZ3wEznBR5j1dkjYAj3hiIH1Y8NfLKMCVmEeZJ44BS5GMb1JLeZDj
pDd7oF7VeY6S3v/6mX3+voBerdoXlR3g0cZPXezetJW0ouGYbdVOv41N/dJM4ufBca77CFMN3enz
uql3KoTR/8nFV6yhZSnsO7Wj+UTk2AeyMeLiQjpbc/n6MP09Zx3x6OJn3dX7KIVdYTd3mBf2J669
VnDezcLr831z7aMbTyWKhcBmqiDCH204ud+Yq+SCQ99s4mAc7mo9fZhs6W6CROIoxokP5cNUul5e
XyVunHaRBB0tAhGCT4AjThkM9nM8qy5ZqOdjfaXm6Q6F+YmLrffy4V7fXOyoJrJIkcQB2iqDosST
jKzWRE48Girtp1Ma+FOXWof1m+8/lFEBcDQsgxY9azUWEAc7qqQ3Kt21r9/g51cik4RlgTioY/aW
pveiRmxcBX1n6b4wTfwl2Nc4yi7zpWoSDP8/uN5an+CLXKWQRyVB3GvEAa0Ajtlpevx8q7VlyMU2
bAqIX5OWnxihn97fm+sdjRBrzIZehcwUJJG4tpTxom3qfW2D/FK73f/k1ugTagY74g8N0XSmOpyn
YRkoRC67wtYv0SBvmrwY2R6eUsV82JOuI58GIcVrLBL28XtrJRU8sbPe1wxewTQLP2nMy97p/LZe
9mmOsEjSvn99gx9XZSQ41APNVy0MOvqjLwC/jiR34fry+mRDa0zy2jB+7urCVyKxl/TiQHgXxJ58
Rghp3eZDc+JwtU5lR5/gux9w9F30utDhEfC91wn6udzc6bQac3u8+fpGP1k1GDKc4ChZ0zx4Pee/
+fzy2oTyMvFwW0WJz9ib1wRd9KeGJsrJj7dDkRBvhMxOkBbdOnjfXKftFqbtjD2sqUpPSQKKU08L
c8uOgLCB0oe9EH+DdDT6szb/mkWKCoOSn5epiUbxS77NpPpPG8oMVgJ1IHU3bfZdT30tr8Xtik7b
Wkuzm9X2vK60i3RSv5HdjAEsMaf9oMTDdkxgyMUDXoR+mGS4II4EJU98pz7VHuYqcoKOcvc2akr9
PCzKbtWu9WiZuhX83IeMc1Qv0E2EliVBOxT2n9UgRztspQYC+QQ+vXQ99FpxnnElrzIX8rXR+Sq9
ZnvLoJ1DwOm2Q+v01wuArHFwst3QKGpQWtx9Viy/RZfpl3WoP0TUt7wJ8UZt4Ea0im4IbF36rqV5
fuAlPZEOMd0CcNE2Fck+rqqJZTdFDdaqObR2JtB3VzXyej8OUu9JOLvxFaTnPdbYSgDpcAryaa28
r79BBLCDvrTCK10vlAC5K75ZE7GUbnBqMpXOi2IjwYclP+L7uyPZAZNvqV5ZIRgURWC4NWfV2Dat
MBEOqdYjAQI5Dk21PUCR7Cj4SfPFnMkjeLwl/BaHxrABOtycoXqxNzVf2BlcVpg8a/FwxKv/Ii1a
fWaqs7iUG7aea1wQzMjGd9IOUHikpgfbwOoMtXHfyLHh62Yn78cyOigSme9GkcM90hWgDJpyC9ni
Z1iMYK7G24Tu2xkm38IdBCbczs5+lXouLkkkeeaYvXDbjqdRP3cdfekCTfs/zJ1ZchxHlna30htw
WczDa0ROmIgECBCEXsJIkIx58phjW72Ef2P/CahLQiaykC3VS1sNViaJ5Rk++73fPV+WrAdqlgdE
QmsDZSdnYIpTHsKeHXp08BWJuusr6i2wVfKXapt1mCTmCv2HvhNWcUvknbGjUC6ikLG1vbkrza9T
BbYS7EnSXaGyG6VHBeImS9q58MnCD+tcRpeDjJtHFbUa9t1Uart2rm1hrFkrezbKS6Nrxl1OLDH0
k1quk7D8WjpNtgn1JPUHZxjuHErueR3q3YVoYLFYk/I0iNC8DLUw3cug0gWUtYSyanf0xGQEC5vL
gOpnDL9TdJZsCzq+WSvIefRNX1hKTSmDKm4so04l4WNpFljZU1uiQXGxw2jT63Nz1xWdtrVBbrA5
WynVgyb1sgK+jjlX1VVOquICC7m1CU5tm8BZ5o+XX2yl3amgQ76ZnVViTGje845Ov5DbVDSvR8p8
UfdW+y3SKyyxqDLA1mpqhp9mFGmGlxlDX1+6Wj04FD6KxE+T7iGe1J1NwMLTqHRvg3FdicHPdbfd
ZFFrXY6a+WxHo3pVA5z3uiqzqaC051vUvdBwQ7HpJGMy4zy4Vuumkyu148WG53Kw0NDcfpuptWBL
EcNwrYXht1YZrHXQcr7m2HbqK2qHZ+xN0IluQ2dCJ8yz5xNUpoA9Q3Ywg9SpCX09n7WNMpeEPZ1Q
zsAcGrSGYVhrW2F3Q+JXcoQ6YSdldStE0d/YgCUvG5U1s1ET6qBzSzSfIZuoF0ZWGiC9ciN+Gcvg
FpRK4899Y61Litj9XgmUO9GTXsVgk51syq3iGtDERT804ELCAYuo4gfeHeNiMRKHa7ggs/RFbBKT
DLLAohjeDBs8xuXwySzM+1SnULnlBe0ShblK0winBejRKwrLfSU1btMu2aM5vhtUYxMF1RPWpz/k
VAlKwgTsu+yTEyo7Ox4ujRnXSTu2sK63o8jvpPokKED2mXvhqnMSIslZdjmhl9vOTXkFCvsOzACR
mFgWa2gnQMjU5CvCIqpYC8AfcICebJMTo+biA3FO3zvNUtuPSft2jNo9MbsfucO8GJtpWPVDiEGC
MfgcOV+0jL+M+cMvGup8PAFu2rq/Cqr4segMOABPfTsjqZbdExDHpwjsGDuB4JGsVPeD235OHf1G
5EXqpW157cT2ehAG6sX6vm+N74aNsG+whnUwTySloRjQM+rk3gkK1pXgi9tJ6vvxmqDEdeM43U1h
hZc2cAVPdQcVQ5DOXE01gVRLRtdBYfpBm/9MABoa7pcIsEpduY9FEW+IdV+URvQLaPA2yZubMIuu
Iqq4KbP+qWTFI9biK/Aww+WcakuwlFs8BCcl0T/bqrji9Kf6p9tC0NwSPP+kh8/q2GYs8+ipryx8
HW1t8RaE7JwWe02fd67FXjCGWXEvVFZ6Oudf9H7yhsnZUnR9S67Yt/rWJBUlXqKemr3UCkEd5isj
Vp+F0dwZoMcv2Ge8znF+Z039nvaTb9vpuqU67rtLwC+M8itFSmcbuvdWYG2EOjrf8jK9aXPrRrZq
RpE703GQYjdlxmUbmOpO5y+MelDukzDKVrVhjisbolJq9uuYC8mqcNtkZUxW6xvOvDXq5j4txp/w
W/vLmtx9e5k1Q2iN28jq4+brFI19fGfi1yrLu6C0x2iN2BlbjDidL4lg/vr4GnbqWU10D60DhcsL
kv7osRCMGEuJiUgZwptruwfVge1I6Txrw+2kKbfI6r+ExrCDu3XuTX3iYUnOnXDvYi+JefNRy3WB
HQHTqNw2DRYIkbPLWuGnAOCz4ZMbWHvoKReLCgjFAfPc+qnG5uUk7bsWRt7cfFMysWrPKQLeX36R
20P2WIJCy/PiKCgET0aEIXybbRj0/qB1kL4LXyDr/rjX319KVT4aP29Eucr7+muwssFi9wzIETAy
jt2eEOwS8z3gPk/poWJAR/u4xfcfpqCeAcWPBxNPSmv5+2+uwYYCh7FdoieDaV04ao99SHczC3P1
cTMnnoJLXtw1loJi6iePxjRKYqUgdVpuKYG8DCk3zCOBrFlulFo780WnZu7yMOPyg05tQf0efVJp
DUlr0xZYFS4AGJBM37Tii9FUs68XQAnBMqwmQsuVcy7vufxfv3sj/dX0sc65zGVQxC29OWXTVRiT
P3Cz5eivLrA7WLiuDXlQ+7KHWPpP+vfPbz5eM40YBfZaUbnVA/cBis/GLKpNVxeftLG9/LipUzOG
EALVW8CYF4nMYfeOwDbGqiDsJAqemrp6xxPFL53u9uNmTuwCWFDgg4G8mXE8TsGEAK+smfT+Fh8+
z3KftAzwSafvIO2vMdY8owY9NWlgXlNfh/DHIfp9tMAVq7O1KmtZB1NzaSn9ZV72eKs76fdZVoQQ
6V5M4vXHsI4uLfucoPtEn9IomWvK8SnFd44iJSnomR4ACcMH7Aa82gSC1rYAb3SqcWYlvt9iFIoI
l3idhiSAYrXD4Zuqpo9HWWOG1s/mVWXm8ybPtZ7kwxDvUhMR19zM49qZW+tM2ujEy/5Ny6pylMqr
RMHeYPORduNcLNnDAJTXx5PmxDazxIAYRpd9mhrLw48LZ6vG+pT1Z07tFeXjjv5J5zmBk+CZhk7M
TsRFKGtUpOkGoI7DhnLcdqJgYI9xUvlVq+9BSf8ohbOum/DKbqwzq/vU9HB5YWAdzIHsHK/uGYqd
hC1Az+H2K1trI6FAh+O53jsxQMv7UKMYhMJxEsuHHyUxrZrgrZVbJAm/y0WaaBp3Hw/QySZICRCs
p8ySiNZhE2NWzEql0MQYTzdWntdUPzsP/1kbyyR5c6SFGpYqkcsGleSmT9rRa9NzSYcTA+JSRE0A
EDEDZ9rRekX1MlSEM4pt6ypfnDL+0VfYxyNYPnOWnW5nKezloYr4/6i7+tHJR8WincKev/R58r3X
i8ij/GP9cZeda+eoy2yw5LVZEdtDqoPxWNqvBsd5gGN9phL39PD/9T3LsnozNAJ8Axo8voda3TvF
1u9EHp1LFZxsA3vt18JI1zyu/ekmS1ouWDSer2C4Am1Xy3NXjNNNkJkkgGiz2RzFYitnckZkCQSA
W0EFf3Hd98bu4xE5sZMRakTUQT2wybccbZZKv4CyXMK95Zz9MoLuZsqj73WTX2Oe9/f3ZZd4hWVw
rdXVd3k6VQIwYviLLaSIxotmPqn/21oVJDGoY3RINOjB7KUa/u3Aq26Zuj04zC06pE+ugMbaYzhk
1LgVJs6ZQPWp0Vkuf9TGQsGw7ePFOUB6wCmXtlrlbm7uw+DcDnNquRjUeVE8sqhb313zVAmiwuwZ
nCm/Xl6VZQAPzY7PaF9ONYMEBUanramMztEcyBCQOGHAIaPbiWeUsIAlrx5Yzh9PNe3ErZXj0uZ2
TvaEUoSjVTkTC3eCjAlAEPoWYw74mxtNtcHr1yu7MjciQYHmQsCV5oVJOEcNte3QPKdW7BWWCuGm
8NOXfF7uELNn1Lk3a+4WZtWK+/BlMRifi3JeCxvvRh32pv6pN80zB+SJ4/jgC47O/SZqUAK4erHN
2oVa8701tC3mEjeaIdeGJrcfd9jJ1uB46tTbMD7Hb6bQ7ZTYrpjMsYxXynwL28UTUe2N5a/YPZck
PDUJuGn82djR1pyP1OE6MY0pEbFaB1Z9hz+Q9fRPPkknEcnFEBXl0fusiNK2cUY6cDQBpAUOQLNo
G6J7r7jbW/Y/ONYQaP/Z2tEK7XtizlVJa3NpbzBn3ZriS6Sd2dZOdxw6Dm1Rx8ErONxyAshtWV4h
Y4HpthbFneKClJX1mU85tU9zY/+zlWWuvDnRMuypscvTSMslgae4V3MLR5NQr2r8h59zNMXxsIn7
SaehXi9XTv6Sac9mrZ3ZCk7ObJRKukOx3+JZdfg1nHUObCV1uQc0WzH80q16Wwp7RbjLF7V75tF1
su/+au24lgbtQtw1A62BA1qPobuaKeyeHI0p/rfFp5w/7nKaIhMhr3g8GaxagWNnTUwG4LqUImwW
m+SPl9DJ+famiaOZ0OCjrfRiZCbY2oqoMm5O8Dn/0Xyj8p7LJ4cbGv/DESKfEwdkNwreqTfQFqnc
KNeVwqv4XDXzycHhgMMukP96J/gMjckuLJtTtCXlNtrWelJbH9KsZ+QPH3fc+5aIram8fhddHvZn
S8e+WUKFVrmLQwmXXNPa6PhhNQ0Zkrq7TXh4f9zU+5OOpigXQyquv5bcHzbVa3iXd9SubgNhb5x6
+oL8YRup0SeRRtscD7PmqoDI9HGj7ycGjRJjsxSMo5G+L9//5vvS2c2svJi5LaTzWrGf3BLf5GY4
M/3eL11aMTmPLAKVS930YSt4M6PZzhkv7GjWlJSQAMRxVXnC1IiognVmzE5+E89mIqKU9r9TrtcU
leH5wHpqRbpSKTTJBPlCSKWvXfe3+FH/Kxzk/w4y9VDm/PsQJ/V/ki5lMnr/ni5FqU377b/u45dv
b4lUy5/5F2FK+40HEPWQwBYojERz/xdhyv6NciwIfsg7wQcwrv8CTKm/8QdIZlICQLEyWZc/AVMm
6CmOhIUpx0MUNujfAUy9FjW8jZFyKedJY1KoASuB+/PRPinyuVOyyU03uDSomsem2a4HqvsuBYV8
pe/mE2VCUaZ9kqj91kJY0Yq8Ipn+PCm/pyT3n9/03f6Plt/60L5T1vDEArdkEpuGvAQMc5nrb9bn
HBKQT3vHXk+joz5EjaNfSKvBAE2t8DfqemzWrdi9LhcxQT0pwVOh2cpdgU/lmUWF6IumDvqGbMuy
qnhWanT5segVLn7WLJaia/AD5BicHIensS8viilUrzTV/QHbe/RHKREvOxiJb8exbCBX9/YacbBy
PZuFujfJo/qw7fWvWiDMbS0BQc2xinKhyDBMb1vMQKjvumntcNw0ZOTRbCv3tdm+YCISrsus764N
TFNu0IVFn8pmUi65AbV+Q0LL8UoZy31Docq9HZXEl3NgyG5XwehHgYE0n+qBX/poWNs87YKrzEyL
G1RNtl922RUO7M0WAXPpxyLvthDNX3JIiBzI6e/8EKQKZjT9IMVZIM0W5KJxdfdDO7w3suwKR2ID
M6XFG1bPx2+piq3GGH3KMhLetaK/2CJ9thLl0xBVj0Pf2puaRI6vFfFNWkbZVwd/SB+IY3SHni/y
bAS8OKyo5rVUwsU/qp7WQyObm7k25xXGp+MmjczmsRiKFFp20Vw0abkYhqv6hQuwEzMFY9I9Dq+U
xKh+64ITfkHsEK/NarRQSyQvee3gXzI5QrkNOjGQh05QupR6ECGSUaafxRwiyciVKPPKPoX5D0t8
8aOwpPEtG+o4u4Rvci3UKA520lX9dJhhIZS7pheKL/ovlQn13Wb4qrDGmzPCTUpY+XcxSbztol+k
e6g+jNo1ZIAIb5BW2YVAWFCclPIqURprB4a6WI1W9uLCiV6hEEVuAnO+msbJgwzd3hSG3m67xbeu
nwycVszhCgOI6FGLHYzcDADSyYwIup+pvCv174mLXfaoKhfobvIVsRFqiTCCe7BJ0HuU3F1H+Afu
RDX9SFCQrImgoaMeIDtpMMh9aUU/wWjuyqn4mjaziqYlaHdVlQ5eA0NyF6TmZ3y9Os/I6p0tFPRF
tpP72WDf6sgXcMFznPpCaRVlTYLiPuikNngk2XwwN8q+yoB3bDoncBGnWMY+DMJpN82d+6iaGkNa
C6wiKpyNcCgJ4ksYouptaaXjPtZbfFmdya6uyKtY+yLDcQ3rKrnMZPT86wpVpel3Gp4Oq05Yc+pj
3BNdlewmq1hzBiicFfRLrZu+xYqS3okaUiywVxjXqSHsGzwldRXSU2oFV5bbV9Ft2ZPB8mOEFbyw
m6rQZi8YJgQyI6J1x4uqelTvlNIc550s5VRubLDwoHSGKkNH4qS3Q7AZzTD9WszlhZnkD0pcmau2
D2NSUV3gT20WYEhA4clszgr/aFRd6sZg3k8YiPnhTPZfqzXqGUUtK/jl2rfMdtVvbHhIdswoK70g
R0LTI6KPyBdO5u+5EYifeFJ1d67TKQ+ip6hOD3Jk0EFg1z9EGcx+qaX1RsBs8zI59Z5UquimVQfp
1eOo7eyhoZzeUVDeBOD/7aydt/qQ5Z1vjlG8c9xkfkIx0nkD6MrHKbbcreP2O01thp02xPYvfAXz
caVgEvNcFn39OSrwW/Ml/kVXg6ziBNC3Sv44QQHVoyTHJsio+lVs8uQoFuu8sUYmYE5MNKlJcPWO
Nab3uN/m7GlM130+mu2XKEXt4c09IP1NZ4rkAsftIP0yu4PlPCS6mjtbpGSynT0nMmX1c3bqcdEJ
JWrwKTaMZOO6DfGVpE2sNdEFBb4Mxpk3VaG4fo7Iz/pig55/COziWpsCJCxc9veOOUhczMLE8YzU
UL9O2ryO6xLFiMT35AUrvI6CEVu/SPRiWKxoAIupiPTKyq10TqxkwDvMHPC2aFQfm0njQq9sgA9F
l2AW2ozlpnaD8RKvnrlYpDnqA7VeeI3UfTOhB4FljDhDjuM+NMPf9THA+ENOzsw+UQTXdWpnj7wa
qejt4k4DqVomyctkm59jyYMMup4z7guKKvZMmXFvU6N3XZRVVHl1EQm5bppKfVhSHg8i5h9yncy8
GAIS/3XPhqGE3MYNUtKfI0cOO2Jx+edwyrPPmiX2rPfhIqL/bzpcwrHNDBR5E5pA5ONGqOuQPdcf
ECnu4rzLGcQCxEbZxdtR9kzwfs7vLavvV3qtG6/OT861m+gX1aBjfLmYGT7IudafJ/KTnZ+Prtp+
jpcapVadwg1M+ySlVqhFXhaVuAOiyTGqGzsyrKeKfWj0rK5Mbnq62BdhFiZeYZvgw9oc3wXMYYJ7
/le9HWSU+3GRUs2y+I7pRYs6qcBaE62mtO7IY6idh/xBqh72cM46xADttrBqG+WooW9VS+jZ2kr1
7F4U4VpzqvTRLHMz3GHZyTbQj+1DPtnXo9HrGyYhrOnYKVn6GPy5WEWyXvoB410xdN3DJJN0HyZy
viv6UvfwtlO2uZXN17laiS9UqGa+0JStCGA6IkwyL9VhxjzYSOvnbK6d1RSU+jOmYIOvYOSyKwPc
NsM0Kh4amdTP+PRZNxS3VPsJftynREh3Y4UGMp9pdOlT1l0I0HgzcWzESPn0XvOpyLYhYaJDwvmS
XStOvhLaT+9BTiCFUAa5DmcZXM2p035WtDRLfKtTQHdXmdAvorLTUWwmeCq6kd3UHknm6tnF2eI6
GOoHvASrb7HRMQ9H2/VYDM63dNI46kSC4SduXUqGDLGpNyPGrLtpwLYOH9ceaWahWXe6rDs81rIp
f0rADKDLzXLz0owE9XaBHiB7s0vOfqt15MqiJBBTCRzs8GqOi3alY631ox3DcJW21rq2ZboxRBLs
5Ww4m6EyG19V9eLOxa31RgHA9SOijk9Zva5Bbc6YLFFhQQk0ED9ObTTvEo6rqyTokpUTTspOy+rM
13HkQ+XQZ5dj7FbPrxtEGMfddeK6wfOcIVTMWjf4VKkYnnODU1hpQVrEF9giRobPzCrXGEUhh016
QwnhpuudcaOUmfYg29xZkUbWHrKuMeLYo2dHF8MaR28/B3XW/oj7nq3AwpQYQGQ77uF2NPFjRH0d
5jNJZBu7XlisNZ3ynFXuSCb8iEASDGDArc4qtHH/eizXWgOmrW9q91cRhe61i7r0R9EobofFLFaI
D9hK0LfqUCpoU6VUy5Vuqz0SuroN8C1qsmTc5GE47SXGUSsEH8NXcDJUcvVhsI9yi2w7QjhAiXpb
Pevl3NwErtqjyKqNcf/6F7lpMCETU+e/LfSqOqtlqJ5hDsh+VXamE/u8hfmA0kBjSeEnt4VorKwX
UO/pL0tPjQuynvwxA9dTDH9DeBTDqI57EAHVMyre6mtDIShXLzuhEFFtLf6W1VfP09wr+56b/7Ya
cSrx4syp/barXRXrJs6hz3mfD1ey7CEWGAobU4gVkvjsGF24dxNqn1+7P3R799Yw6z+eKn/rYX76
NX1Adf63z/IDwPP/DaLzkmL792/uiyb71vzX529Zmf+//y7evruXP/fHu5u44m/ABiHyWmSf3nCd
yRP/BqdvKTml3IA3LyGg/3l2C/M3BViIu1AgKUOgCv/PZ7dQtd+osbWXv2XD8SF49B88vCml5OWO
wGThC6NaIKdw+M4FCG/IzM7jfTlO9U5X3WJnYVO1wukETIJSV2v8dFVMIYt0LanZ84dqLvfFWCRf
5yT4+ab3Tr26D0Nxf/waTEZQhCyCl3cJTpuF0Bpun+xTvKS+BkapGhRzjdkDxJ0AFSTix1WfgGI1
RpzpTI71u3xqtR8W95SB2pc0Mb2Ay+ajxFet88Zx6DCznjL89yojxodwGlEP+VzXh5ePf7qmH7zS
//jppJvUJc4GbuJYQqOnNUQnbYr3mUL+f1X2A3eFvqwbymJssXemqHK8GveGiyLO+3tMb0p01qH1
HWM17ZOCffAjWv3xwRz12cSgOpM/s6gMtmK0grtJc9NfWK3FL6YRzY9Tk1JPoo33StSfY04fRhv+
9R32MlOXyv5jdYEatVIxIhnvLW1ILpzQSGCPmerm4+5awid/xTReW1lw5hqJJcCKpEoOpx23XCeu
cbDc55JYYW+ocMewjr2SSXwuvHsYSf6fphydeCSpTCrcjiKtfcpJ51h8kIi7X6j+8SkLtBsug62H
/fbj3/8u4vA6qjHUcIhmDr/L6bB+dqQR73unNa5CbER8Ezu8Pfyc/G9ltP/4LhKuwI+pcCWPfrxy
DTfO51niDlngaD8Y+rCecc5dffxBJ6YDZx/sUkoR8TB4nfZv4mBTbirxaOFBmYV5suGfkCi2hX4m
Gv6+FTYzm2Zek6eIWg67jRgksZVZTfZsUHibdXW3CRygKx9/y5Geb+kyxInIjIh+olEk5njYTIsR
ZExWk6kw42ZVUIGxE0nbELZRPDvM6cAamKCNkGM9j+CF9QzDwY9/w5KRO5z4S/JEc+AxkoF8R0lI
zAINX58m+yHSfnVVgs+W1rdbanaHFU7isFp78sdtaZ9bce+XAbBuepkg65JROabDqmluGliWM5CK
8mUcQU4Xqf04t/03NaCc7uOvPNUYOk20EIRRUcIdLYMSqX5sczXf51P1pFA666fRtDFV4gEwUv2P
GzvVpRyf6AQRhqJVOUqC9okTAWmqkn0rM3UtEfWv50IRAFGraKWPbn09G0bvZTm1HB+3/MrBORpN
F4oDwjW2S40RPZxQPTnJgodptnfG39OmvyH6tx7i0HMS5aLLxUOSwR4MA38sgtVi05rPn6Mp+SYB
fI1UpnWpvUq7Hx//qPdbK0F8YvNcLUhtot07/E2odoi0lXO0dzMRf5nKDvPnIICVaeIP/HFTR1Hy
ZUGR2+SoXqB0Dli1ZV2/2R0CvdXIaEbJcrylABjGcFVY8bwZ8Ivzmyiydwvz6Rlk5+Dred7cJjJo
NtUiW/n4l7yfA5YNnYL5zX2LSX6UAaWaRzoYvlHbg2cv8UGdCGdLNVdGJBVH0sLYmPEc32u2jM60
/H6q0/JSPY2EHVnO8Y6f66rIq5HZN0bwT8spNlYUDfVrN3fNWwoJlXN9vuzrh3MOezpuGrq19Duq
5MM+D50S8oYSxBTKReqPwcmse3gfzrU1maDi80GnhBTRFUyvdKrzC5HFG6kAzz2zxE+NPXdUjaTE
og/ifDj8HRWmzBOussnerlT3Sm8bd035l+ZVHd58fZ/ichzI9nMy2tQX4Yq3HvUpWJg485ke0Zdt
+7BHIIJw6HLvWnbUY2hqR81a2095u4/jluMjwqau9UqqFTsSIKpGCaLIs84f3DLEv1Oural3cP6W
hFd4oEF48+tc9HsjyIpgXeLx3GA+myiGV4aWVu2cZgQHNzV6TEiAautr2RYa8cQoWoVTiEtRPhbt
V7s3xvs86RxeraYsrgnHkg0ZVXmf4zLcekPXTOCBwkr+qrqps84Mx/tpyL15WY78i8V/rGWI3TY0
ciKR+1IQJGkyrqCNGgT4C834heF+/fnjBbes7KM+B4K0pP+Q7HKRO9IGYVPNvliOzb6m6HI3K5m7
oQTx3KH1fi/j4sEehnBPAaRxvJepXVVPraLyVZ36C/CPXJfwM8hgZ/GZSXSEilu2suWOQ+5RpSFu
vkdb2cRLGhm/aPbc4XejnW6t8fuk9hR5lT58kVVSaF/TXvHVINupznNLattg/pipugG5uoms4s4E
nOnm3Y/GwSiYR9PHPX6yL2wyt7wk4Wcec8wiYp8WMp92j0IahKHkZcPapvbYnePVx02dGFzSHYBL
nOUAR2h4uLQZkIRzo2n3KX7T62wsirVTUu/991vhLsQ71tAhL5lH57ZDlKptqrjbYx5skY+bE68q
zu4O70+GJUu9JKi5k/OsObomt1wYKJ2cur3RWa5H0D7zUYOol3MyzFfJ4kY6z9TkzYN17kw61YvL
Ex7EE+PFLfqwFy27prZj0ru9LGyqAE2FGlyHZMzHvXhiWpjseRT5aty13i2RvFCl6ZL83adIwYBg
J2Il6AVYRGZxZsCOMtGva2QpoiJesBg2MBUPvwizY4dS6lHuk3ISvlsE4VrorbKdmZlriu0lsAIM
RrTFk5r4V+2XsVavh7DWP2c1TC+rt8dHbWj1v1V99Pq7kPKpPL4pUiCKcTSTsGO2WmYqRbTSHNe6
il19RG6PqGxzDpeinuhvnioOpz0nH5rIo2OP0ukwU6TJ2iiT8At51RTX9BDjW58S5C3ZbzzXlblg
dwANUSPLHyaKWkKigR6+1WGysvqmbTaTUzzFncBBtnbLvFh/PClOTD2uBmjEl9gOvj9HHZLjVFKN
smRp2SZxz9SpLswx7s50+6sh19EhcNDM0XywqWPPCVJ0exUH74056eGtQf4G75whWgVCay/CwVb3
lemKW/ycYJ7iTA8NMRV+ooajb8+RfebLXw+eo9+EaIMjgzXxuqkfztGinXB1Vs1hX5WiuqbSuCYL
U9mAgYJ+eIGsQ0I7mgtsuwXpXdge1M7uiTlVit/0Lb7FKflGDSNgKtZ3sbtwPILMMEOvtbLSXddW
12wiU5BGNotMJdHTi2pvlVzIzuz3+nKRO/4SrpWUnvFSXA7Bwy9x8GAH5ASLI671Zp1GMtkg9lSp
ubVgY+Q4R+dW8jPBR8cLGuqDg/ZygKjbDZqXZJZcT0UWbuaOAnRZOdSHU6G7KjEcJYSr9T+Ggni9
LCnYRiOgAcQwf0WYTu8dA2JvGSfadRGMxcWQDCRVY8dZDVHTXAgcKdajjd06niLD5uNZ+35psV2i
XAaYieKPdM7hB1eK3fE8Vwai4I3A1MiVTxZ29F6q6Mndx029XyAumib8M2xqmgjOHp0K9dj1hjXb
wx4wvL6Nmuxnnfbq7h80Yi82Ost/kMkefo/Q61ZGBZkOYnjDqhSR7RM7PFd38v7mRyQNMTP7EdHg
dzXZE+yXmTvDuI+s5KvtiI1VTZdtmSx6EuMcW//UEC0GL7z3IPiCPDr8pGAwzDQvg5Fbksy8eu4n
eJIK0VVRn3UsPfVhnDZEVJfWcGA4bMuNUU9PZkqaJjQr34WBc1HHqYYMATc7SDagNYD7flNji7po
hs+6csgrw/Noygbpy5C7rQ/IRXcJrIQQSlo7HX4lFImcq5U4MZmo0LapSOUeA0j56EgYGuCOVHCP
e30aKhKdLpk/GeZn9oMTuy2xBp7blIEvkaPjmGmda8LOVfqjllaL58WAHgiZkYEDfZPI9sWWSfTU
xAZ6iKRy+ys9q5rb1oRYXKedFZBS1pSbqibte+YKcmKgCPxB9SOmtVQJHg2UGYa61ONq3g8oyr7h
l2J7goDMbWFLDE/H4lx06cTTc/FT/avBo8dH5IRJ0OT1jGVKT/oaLe1WGlrsZxlsiikmNaDFXbET
MH3v+epq02aZvrGUwtr87RX+inMn9MNeQrzrcIpGoW01ST7O+9Ls2p2tToCh4+5c/56IW/K9LAAg
Zrz3efcfNoPViK5ZgzkTZnL0bU/YeWWERgjeRDo7QdZ/rdmDspVlql4mpqgeAqkmZ6bf+9QMv8Hh
6kMsGLm8crQ5i0o6xZR2835ixXrukE83ZRHyLk6qdEeiaPK1oJ3WfMeLlL04c9U4tcTgm1pwEFQO
huNbl0pcvYUjzIjP2Ve9LsuNlRr6ubvD8g2HJy5hhDetHPXzlJR1oQ1C3YMeyW4CZG3gbLQGJw+E
Hu3tjN0nwp8ALBUatkbd9yFJ6nVX5dZ2bp3R9XRibA8I6gzHm9B9k37uZbsiUO+WGyqd5YsT90q3
s7NaRZcpZs3ywK4m1wU8sAWVEoX16uMZ+tozB99EwRudzuMApgMRkuPFCUyoUE2h7ylbrzdBXImt
S2HAPjJCVaycoZpI0iuTRN4yauWd21TK05QuqfOqdgJECB2GN3bs2r+CVAplo4Dnh3PWq18+/qHH
I6yBzIMYiZqYpCamd8vJ8yaUGMdIV+ekbPaBKkyuh/q8HdzmnBHE+1YWeTHVc8iE0TvbRzvHYOWp
3ray2+syue8BM0mvnTLsBD7+mOMdkagYT76FJcxawYjzqJl8EUPUUg57Lc/t65AHpleNqfso4sK+
ENbUff64vVe48ttRxhlr4acvla02mY3jYvAqU1udW4yyD2rdfmnTLEWqpeKT6HV534d+lth15ZXc
eNGzEcpuYQLCg8IxUQ1/NHpKOkA2oQy8Hhnbk12jClsZSYEFQak2ENdms4sz5KRFm/vItaxbNY8z
jv3ain9v+NOlV+iiTTyr6JrvUqrhTdNV9lU0CJF4ZWQq4BqQLlCpWATEzWJUk7GP5tQ0PODoLQlP
DXknN3Wz3+cddClYQMbkeJRauwgUzcgsV5GpVzexcCRauWSsXj7uQud4g1uAEqbiwKVlC1jed4cT
sOtUJS2Kptu7AHdjj6crEKEBOpZRv4hIF49mOk/Ps5GARCni2oMOkZUr8hJJ6efY7V4q5Vz9KFSy
cYipOpGv8iTWFxJ5KZ6m3lYbbxpsBZrcBHoVad58EQdqpHhza7TfowiD3K1tt+6O4WVk8sGN9oq0
5EOUOaQRwgyH4m6WqeIlXVvpN12im6MHbam9zLtWLzwd1TYRximNmdSuCOt1p/cGzpphKb2wSQTq
a/P/c3YeS24j27p+IkQACT8F6KpKJZHy6glCFt77fPr7oc4ZiCCjcHX2oHdHqLuTADJXLvObEPdg
NyvqvZWI8TkCzFaCVZvbz5VMNPCYDV0Lnxa7nfpt0YOEGh3Uspj4Ve7etBBfnM3OgKAfBHIvcWzA
QBHkM9iYzm7kkwK0TjyKweg+ibSg1TL0be+gdV4nERJZefCshHK4lKUjQXyG6n/sMGB4atRrjVdk
gar6sw3O34vsaHRQkk/L/miKkdIR+2Ag72IoP8ZpCkV4GifwxrmLA8g+DwsTMJxRoQSbz9GJ4VMT
eU0RNJ+FQU3h9WU0mxiI6F8DazF9JDgj2/T6BlqHlmX/IMRAZ476BV2GVQBr5zwWfSX6s9pb3V4r
9AYOlqr/Y8bBKrSxGMRST1iMXZZf8VeYrECUibIoSIoNxGMKHubBBZK4cd3eZBz/s8zCl7fpieIv
fr1MUHZ5Hyj9fM7AYp5Uq5Poq9SV30WxOAatfdYyjnTslvPBaRvptW7ablRPy2V7HdI4i9x+jCqZ
q9CKXP2EutaycKD8lW4FHlKtvpQl/deEyLsLUY08Anv/7/VPeDPPWx6bKEAiTyKLT89qzbIbbF1x
6uFsQ0I0PeFoIH1z3gH9e8UFb9ZVwx83tDgdiS2tt40FnFAJquBLW06DH6AJKQKTYWOv91j8anOD
8fUISdPrsPbZ0E1YysebF8TEiaC1sHDWgvttMagy6Y3hPA0D4nz4Bx1zbXSROqPQTBGA3U2V21EO
2ZX/+ntaV4Evr4l2/HJlM/R7kbb/axP2Ic3WKbCGc+Zyk0zYG+yUqtVhAW722+48JI09TLOROYH+
sp5rIOWXDhOwznPjFpHuty48Yd+JJSwBWy/qb3Go4PSF91r0p4v7uP73J+WULUgrhLeIeqtLAcW4
tlSB5ZzbSEW3GyzoxSyGh1G3CLKvv9Q78QNpNehXBsMH4axHmGUQBu0MjvjsihRhtaIdvSJI4434
cVNF8u1Yhjk5RKuXGfH1serqpiOUhvIcTN2ECbkwnuAx2z4Rt0N9MmKgoGKTE3QChIAJ1raelc4f
+6Dd52j1+CBttvLue7+JYo6NtEQbCrtVHzFrzFgrU36TMzDVsMvoj6PQ0EBVsDylVfcnoXM1tJWv
I6W3xws6/Y7OT/eQg6M8RG7yvwTD/09zUyosEkQOP/MgvsStmFVh8MVHveDnMFvx1Kno32Upor/0
zRj56eW0k/285Q//IpG1Os5LqkgSTI8dx5pVZLfMLKn0aqbEAddzjNX+d2qh+403I6QSqQQPDdPI
Z0MxoGYhJ40/ozPsjKhzLhRMNhK5hcbIPa3fGAnYfCUOuyfQQcqh6aX9gMxG93N24/FBjwKB6qST
7cSgGY+DanyGFhbtI7LLnStwIOGOVZ5Ex8h+kOO4j4sip5fYcLxVe587XbqvpzaD4Dnrz0Y8bHmw
3jnxTJ6WgQ0vA1LgqmDJa7VP+SjyHDam3Au6HjsHu1QPb+F8F+UuWo6iDk+oaW99gnXWvnx3Q6UC
XETMGHwtf/5XWAOHDz+mD+S56urxWQMHiWp2QI4Fn81Loqb894yBXJMOLxxgdv7LsfhrPTuSUgo1
Uc9hqAw7tQ3KPfiCLQ7wnWANV5EhCR1VQFxrdxP8EYxYCmDDYW7bbF/HBKIiwKQkqrMRLW8aM8sb
tDg/C9YVqsrLn//1RIXUyczbSDsHGXepb4VRrQNyrMfHcJqGLzjPE2SCUUbvy3DScr/OTBv+TwpU
2c/KRvk/xFTeGKkSIzgk4Ne2wUMZKTNK0iooemLqKAcy3FpsjeBuamxgscz5yFJogbmI363TBtNJ
9NguxDk1ZbKf+ArVvpQmyPiW1qOnlzTmaJjO/U6kJlKpDvq735TUqUM/6GvmCWD5kIl1IjRvp8xu
PdsaNdc3DCV0NuL/7S3DT3UZDC0lqsF86HqPJ4NLv2o26V2oM/O5ruGAB72+sRFuTxLt9YVMbFDL
43CzyoWp4B0J10WcbYsw0usRlNEwd59i0UUoAqf/6M+whGwWpAW73NIAQNZHiRsvlHMrxdkKnGjn
xAGu14mm7QO2uz8gFLxxdG/gAusFV9Ga2l8r6l4X50JHG8WOYVno8hGrxDdJFccHyAfOqc/1+GhD
paBetZx9Tm/2SDsm3fV9Wb+n21HswtHUHulsf5tSJ9nXTAceCksq0O82vshtFOAFwW11Fpw3dIdV
Qt8Kq9V7ye/VWupsXAeNw9hNqT9V/2jL8b/f4q+lVjkT2niOnGjKnzG47nY0F+RRzaS5s8Y5Oih5
om482r0tzem2NA4484J1HoxedT9HRi7OlY5Gd6colIJTP28cnOVgXF/PLyebL2ADR8EK/vrgBNVc
TmMq2GFmbflVUNtn+DYoYQdF4eeiMXyAYO6X13PC27vQRQ7PZGUOE/PM1aKFqg1u7qT6uZO6hUFi
9ketTOdjzwH/CBso9Rhcyu9BjHDF6wvfO8CIZOkYU71MyVaXsG6JmWOW6OfJrOITUXveMeiVb40c
lqg7i35jvXtv1yEqcYCXNvO6+2dG5LzuNOhMUp0PInXK3TzDOi5zRp0Qjfp9bJvdxgzwzpFgy1BT
oL+B4MwawlTLjJtBz+Q5nhG4FDCs9wXjFS+0nHGjnr6zRcElAjsGYcSC635gEA8ThguNPCd6rR6L
yH4GzFpt1IN3ngdkr8MggkWYEK2+WaFPhqM4mjz3PWRo8rRoJwWzkKBstiT77i2FYMQi2rBIg70g
8v6651031xqlUuRZ6Rzxzmm1/rMdi/xNl6Thv38l0O0Is9hoEdv2+qnSMUvDEM/jc44ifBAFw9eq
Nb6UaayfX9/yd3oeLpkLm8+GMgr7ZnXY5rLVKjO21LNVqfLYjm5z0SEn+nUQqAfOaXQInVqDSIhI
ndk1xWM7psrD6z/izovlNyCFt8jugatchelC6/o55wY/O3TqD/EAs320Ev2o0z3997BJuqZScCzS
qCjcXge0uAo7ywIue4azFzwB3U3o0zXqRgS7wQxxUeqMxygLUaxjZryEuL+2SlmXTj4sCcdsO9VP
Xekr9M8VsTeLQDy2KirwaheOjwLrCB8B9/aEVLL6Nk9C8U6pdO00zlVxKFIAJa+/6ZX/3ss1RQcD
ZwESY9hZ67zYaRJnbtVcPc9un5xCe4zemGMynOKW2xih/SNoq/gxy/IvIiyKN/ZcmZDuaOsWVWJ+
Qd5N33fcowBAAHbXo5miJ9ZgP1GkNIs2egP3tgUfy0BtnM4UU7Drl+gUNYR61LmgSjvNUan6/P1g
Gw0FerDF/7lz5SyjRlpvACKZuq+WEtIIrMwMtXPWQZU3GSU8T01WvO2spPXhPWkLAQttqUh0v17/
IvcekisAiU4Ts17dWuUNFCVtlCAbATsDS5Uolv+15miesgSvlNdXulOnUGLyP9r9yM6ikbR6n0EH
P3huxVk61duSxv4RF+7uhzVMxYdMzyy4zBg2mYxV/tOmUnwy22w+6Xa8cS3cufUIbJS66qJnDeDy
+megYRCXshnEOURdwEuk8bYYHWvX0yvZyYTZVBBqH15/9Jd4ucpjGFZzPTjgRbj3lt/013ms7EFJ
p8DUz5UWNwtJIsreGBP8KAQarQwC8Zg+5rEFWc0pYaYtfhamfSjHDJsI05rTc1GbfxgXNtFOMCPZ
u7PqfrFcxfqhKH2sHCIbByX+rYqeTW+nxZ8kGSccTpy2Sv0AD9XUaxRbT/b4GONp49Su+Kr1+fx2
NqfxKOdOsdCGaaNHu6ZJ4bHNaz918vwpSEcAnLpManwnXbNqd3EZGOjBKOPwBK9oYPok8c7wkRLO
8t2shbLyoJwwmZ4izXqH9AQKppo9axFDDXgLXoI4MxMps28nJIGDSTl1bJWjaVvFk4rbwM9Fcc3y
kP5Q3pFANzh713gfyMmNS7/unPKLroyq2BWBdCQa7tXwpZJxjjC5nvwKzKascH8Kzc6LpsatvDys
mLB0bpkc7SAItxDg9zY1iByNH0XnxHLVVaSVzJUA7rb6GfjLOxtlizdtbMtPspj6P8asjo8d7MOd
zQjvW6EGygRuvWrfarLMTq/vsTvZDuUPMC7uaw0c+Op0jUaqKCIY9fOA69EDY0EohLYTHv95leUI
C7irFN9irR6LJRWuv0qgn7M6dg4oRiV7Iwp//OMigtYM1g7aohRo0Ze9Pi2iGxO71Dvr3BlYleMr
L3cNVJONq/gm8rEKrqpA32x0ZaDuXK8y90lFu02zz4Mb/LG5+t6mla2daqRXN1a6ie6Mpjj4C7uY
NJtk8XqlcQQ10cWpci7tRPf6rHqfqnPHcFqoj0OxmEO50bRzDCTFX3+RdxYmscLw0yXyQi1dJacZ
01UtHXXlPDeR5qVx157sphr9rM5J7mX+S3FKB0a9ln56feH/qf2vIh4Y8wWyAudPLPCCVcSrgXVK
RY/Ti9PaFKV0caJDi4LyM8z4WO4SXUKkL7VmwEBKJCezNat9FUsAvTlEUSNUR450rsCY71z3Z14m
9udY9vW7QU1Tw3eDtiw/0k2JpVelqJ8ctHC02gNJT7mvC1QeKBGjut03ukh9u0Va5bG2hKg9uyrz
fkd0td+lmo0sjovHVO0rWQtcvEmj4dTIKqy8UMgJYiRan7shzeKLpbjDJcs5f/5cDsWZBoP7tgmL
7HsC8Y643bp4QGd53J9TDDK/JNELjyEfx99WI3vpWV0rfms2nU1zHulOdKP7FJWG0T4TRBPt2KJ7
9aUzx1D3EfzIw0PbmgBgSQCmX1Nv6r/yJlT/oOOrWG/apBWVtwA23X2HMs1RiSjmHmYzTs0dTNH2
d5pnDwqBieiPhixo3M5M5ElJ0/HNnLjGh86UCg+5mAfWo6Rl6FmzLfe9m4Z7Owdy4LWROUe7ptP7
X0MEucaPxyHch6hJDAcVs9F2zywqPmlKJsKdLHuaJ07NFN4uhuAQlKI4qKHyX69n6ZfcAJHBt1kc
kpenSh7p5hnntJmTL4ZTt5GvBJGZ+P0QtV87lD7qvUu6dXZ6mRwMtwofajdNv2VNry+iWb3+NjKh
qHhRl9WYsgA4DzcOzm1sYPfSdWAgxDemD3B9YiHaF1Zh6/GFnxvvtLgtd0lc58c5Fam3cVSWaHZ9
UuBqwhgkrBoEvDWdUUXJprDQiroAxoiJDm74HXrf7NeKUp1ad4wPVjCYD2nJMD1KpDihLfRTylRb
7A3ijXL2pgUh6P8jS7gwjCgi1vl5r9SY+NL+uOjWMKLjpWKZZgQ6skWj4altl2/Vf0uUvX56IFIq
hEa6ojCO16PGRBupyey2vJQDLSTdVuQxSWGIpyXERTk485Oa4oOldn26w4LnU5xn8/vc6pLfr3+G
m+tT0JUwqN/5Ftzl7urOUR0lcpwiERc7DDAWm7PhyRL5vPGx76yyqFKQJiy0a+YQ1/sqjIamttrI
OMc0VMl5TGsHNird2L13V+FCozeLX5RYc3OrxkE+vpqNc5MzsQdhE2FREWw5Lt9eLhZdRVIBgE8v
X+/6WUxcsKSKGcZZtvArIqaGM/Ja2AQyqhyH0qaxSou7Ciz3H9ncwC7ZmC+uVPSPqCeuFy7mKM7H
uOXxhNsgj2O338OpNg7u6M6PqTWi84YC0t6WUtnIfl46Ade7lab2AhenryvItJa48Vce34rZdPI6
N89BPn+e0Qz6aPdWsht0M3rUEK7tynp+IKREO8so3beTljy4VoY0a/Tj9e16e075ITRnuNrhBN3M
66zKsjK3N81zGwz9O1NSLXvV0IhTkkN78Su4ExtX+pKkrB+d5uTCCqRVAxbm+tG5CZMqj3XzDIRf
+k4f529iewof8jkb35WN85RUGdTfJMKijdLj9ce9TbP55pTGMG8XqCIov+vVhzyypzwmJYQBUZ3V
Iq5OQzi374aqCJDnnPOQoqX9Ehkt6oj8tvoCvCbbTyLZao3dO1x//5LVFqAMV9BcVEyk1MgbmMTC
WB2N5OH1B36J+tevG7UZjCAWMRCyqzXaYwJ+P/YolZwbNVeAhSVZ+lW3kvy7yR3w3qzAlfqd6mSh
31Wd/pUEQWt3QZc2wO/FHHUYNwZjiGSnskiNjm1eoINmyq9kCEDa4gxBLK8GZlphhNumJ/JRVDhn
KhwIBl2sfAXcLhQ4Vml/yjQNgcIUCOpPxA3FRuC982lJi5n9whNkacCU15+2Lidyq8axzvPEuLts
FeXBbRv3LTu5PwDqFd44T5FniOFnWHafsE2SfqsJLMFff+W3R4rfQZK+dFdV6OyrLdbis4oEW22d
gbE1l6Jwf3OYx5Md5c7TKKYtVe9ln6w/MMByhgyMBgE96dePXbpJgibYaJ3rvII+odrtm1TpBg+c
2ZZHjnYbquGMA31GAoOpLLTx67XMBUNNtLLPRq2YPwCrU6jP0UWLhftOlBknVumUr/qstB+HbJ6e
9Sl56hJX+QXFihRZ5KG5D0XgpDtV5MHZDdxwp2bYHfuFNswbWvT3XowAi7FwRwk363zIztDI7J3Z
Oo82HsYZfeh9C54QQl0rDq9/8qUIWX0DQspSYb7gf9aHLLWq0Yor3T6nYykxlHS1o0JX9anutGgv
atSNMkw1N1KsOx9jUQNZEi1oxTcdb8xkOpnYUXgxcQk/ASph5TC39pmLKfMcoYIZqgiGM7gutqLo
cjNePy+tYDI7BsSEceAu1/ugtYKUOGpFl7GNLkLNzX0+1PUjZVy1i2uBBqwckdWbA/eiD8k3HXWF
/etv/PaQLb/ABMO3ZLt03K9/QWl0pkAvNboM2ULzhjfvV02MF4nU8kMPrHfjZd9dj9QajAnhhYnG
9XqpmtvhnDnRJWHkf9SdNj+FdW74Q+OgDyQZxL/+fLc7agHQwEiyuJNNoOHX60XgezOK7fii2gk6
B7mCEknygCYf+oAAK70sStqNuHWLn6RMoZcJJ2ZBm0Dju16zB4HcKr0WX0QwTR8QpChbr47yzHgO
ZyXq/aDIqo8QD4HgpgKpaT8c0A70ojqYc68IX9RMxTCOnm7E06WTlv47j8ZQ3Vlzm79L9KbINn7y
nduNn0z6AsSPyMQs5PonO9rMLEuvkks028quiCN0PNNcfJVZpBzVQgl3Vedop0rDZid0MG1M9doG
LK8rH6iTnT2aY/rJclLnFGPFvJ979Ee0oOovWKbHj50+z3tYz2c1bFMXuL3ePuJ0154s8JmP4Io0
hAXMyCsobv99vzE/Qg2CKR2AnHWkFYGGhqSSJhdd/wFyvfNklNu+O03xQeJK/vpmu7O5GYeA1kVH
jjT4ZWP8lY2K0BpoCsTJhe5It9fVqfOj2f3h0jE+YlL16fXVlq27Ch6sBk4XnbilJF5ts4ymea5J
J74AS3O8PimTN6WKaGqYtu3GW7zNsaiPeH/4LQG75zK43h5o+lJox01yCfVgBjI3WLjUqdru9Qe6
+/r+WmXVluvGHgq/aJMLIqnxiTsaEyWp2aciA4AZVcWP/8Ny9P6XHNZi9rd6f+o0DrYzqMnFnk3j
Q93jgTrMs43MuOI+9mO01RC+E4pomuMjgBQD3dr1ZCcbzamgdEguOQF3Dyez25WVFR1HQXZoTsjC
QPXcYj7d2yTLvBgM+wtxbhXfbRLxHppCcmkgCz45jfYVIQprbzvJFuf83tdjYIAC0qJCA//meo/Q
gSoGQWv14gSzS/st/0/U2g8n6x5iTXx9/dPd2Y/MbCjX8dgwQBOsKs6oHXpTy4jqplZVB8T6kEzP
52FjP95J07iSF+FJ6mkShBd3sL/Oc1cEbRCpBoHcTCBbgLnvvhSQXFQPf+1OR+RWMR9UUrIdU2R6
mf2odKEXDFEFxkvXUYobDfV3P8Ezk3IsfTuQrbl3sCE5dIMrqZOKMZ02Yvmd7wABgzMKeXzR1FyF
8ikNTBkoNHqHBvB+Hhv9QYpI8YTbT4cZAuXGeve+BUwh6B6MK3Wg29ffPULmp6mdFIlm3aoeSGgS
D6Gr5PDPXxxMOAzuBQJEKro89V+fIg34THVj5hfUiAxGYeRiM4XWvwdw9LQZCsJbo02z9uC08lkz
yt7IL9jutI+xUnJEkVXel6qs907jbGrx3YkJy2KkCbDX2T+rl5dP6L0rfVjggMA8JbarJenCVF0Z
JvXogA44NlE5XrA6c09GiVBakrnm90rIYkfZb8Jzok3bztl0SAZde9P0Tv3WkIF7fP3t34kiKEzT
XaLDwl2zRpCOPeK8IR5RlyTr0ydHle7T3NTFbhGW//ftxFem48fIie7jGpDROUaO1D5L5U1i75pC
YRhrVeHp9Qd60UxaXZ6wH8EREPtfEoTr/ZREwcJ0S8uLqlY6sG/dfAzYXl9lPbycZrnL8rJ9HPBk
2pPrlIcKvPUzoqD0OUyzPlQSGw1bqX43VRkfgDsVe8wip8Mg0/jBGrJvIjE7xBUr+TOE++Ybiow2
6rI7Bw9kApcyok1M517q+L+OhNmHyBkCErtI2eI9lc5y1zKB2PgeN1IivKJFTIZydeHXgN+6flMh
vDyweW51KTojZTsmuL5UeYW+mgK0E2MHvYp/RCkE3l0tOv2znMPK9kbDCL4zYdAuwySmT4EIqw+F
tKwfQTG37cGFpn8pTRH8XPxsCpqGPdy3Jum0CumRYKvgvveqlrb20kt+USm8fgaMQfU6LtPqohtl
5mvol2Ex0ebut9d31b1lmO8tWsYwFyk8rpfRukKPssCNKdaayjP6jLo+jraqxuW/st66CyWMRhQ9
MyhP16voKKvztYrkYpUVSsRlNT2gwT34euK2R1eOf+bCPvRB13zSpyLbAGvcslQWHNpL3w+9L2R+
V9e8ltZqAgmuuDT6gIdBp02f9QjRKig91hGfB+Yxla4mvqmW0fOI0ue+sgbnCE0UDfqoMfc4p5Qb
IrB3LmpiE6pgBiQlUDtrm84+7MIo0mky2voUfm9azoKng6/6NlvDi1mHYKyqzk6ICpwRPyV1o58M
HQqbxyFSg33MP/UjszXKnClOYIB09fRnnBbKaFIE6OaTgqhbs4cXjcLrDwkqnE4HQ2jgiqiXXH/I
JMinDD4nJV5rNO/1OrI+ZeHSGAwZJSCahH4jfoaidwPfhrn8AHqzOqL+HCv+GEPO8Wsz6NNDXfTG
jzJQteeOhzuIYmLzpZMygKGx+gQGXqCUit+CGo+8xOoFmPpZpOdBMSDQ2JXSftPinD+DnOeMXloO
wT41puSdM8czyvB6PVZ7DSZyuuvcZH42+yg0d0VkTdBvQqffBS25H/jySsGkrp4F1AqnjUO/bxDf
2Em1tkcvAlD0oIR9pD4SCdsjfQ+B8wQCUBdLawyos41sfjmwdLFVmZHvopTzu8R+i7APVJQRHAWO
LNbPEqGU2gsMpfnYd6JPfaFG43e1sY3UB4ypo57WpsXPIBjKb10mrXGPmkRx6hwESfy0DUwBZzbU
MwIyxhyenCZFfYzHFLkQ3GbQ7tII3gjiBjbQkDovzEuH87tYrJbmXykUodqf3ZYpZ4KSENY9WQQ2
pm9b589sVAxOXw8o7k1EWY4a3e1FrNeiN7VK5nBoN/FsN+XFqlNQPsQD5BfrssLIRIudDM6vtC1/
7iUG1YqbjeqnxFSzwyAK5PAAc2jpExM8vJbastF/i2kKPpoDTjdMSJLQb2RpYWUzd2pP4zwT/1WD
DDofqtv4BNNdLfyMT/A+7htp7uE7im+x00W5N8sGbrahNwgCztr0JKYO26c2amqWzoTuzWDrvqM5
Ij+XasbBqYe60ndBpmZnDXkpRkPdnGZYUMdZ4JdlXFSLMVH+w0C+VOxK4XRiN3LiTaDd8wh3InOo
zuyh0r9NMYZTHSCK1kPaMscgNRkWzxzDoO8wZZ1ofBBT4cFuZ6BWpT645sHpq0HzFLgTGDl0M+o4
dlSo+wKP4l0iEvfFEqLw6tCMfgVVWMZgGsMo8/NMs6JHCHgKWX2iR39U2YVf0MpMPmhRP9GXbKwG
1yba/L6hK/hNMW5x92MugZAB2V3Mb/VcPqXQlIs9t5/xDZnYgGDZh+H3oA6hvY+QkrxmhAblzcpo
Kr6i1MFzxM1evg27VIyPSWCqw9GZgYYdZFOWH17fY0uKeRWFGN8toBCixwLAUVc9SDO3sFqau5bM
Oht9s6rsR0M0l6CNy4OB4sEhkPNPtay0janhna1tQ/hiyswwZRFjvo5+iDDXTWKNzcWK5HAoTbXa
adjFbKQv91aBIk73h4uZ4mT1dDYiQQlaOMwPgkF/ZAMxh6zkFursdhXcCBawJpAeGgnrHAkXE06H
mg+XPjNnP9bFz6zUq93rH+omCV90lajjaSg6oEPX7ICgQ/8lFH1/KZEV2lEMwGBkTnBI6ybfqLaW
m+d6T9AtBaLE16HvT//s+tuMGp425GXTpUA91+c4yj2cQ+fJnjMbsgzA8Ncf7RZ1Tif47wVXdVCi
l2B6+mm6SGPS9i7sOd+dw87XU4HSAxfRUQPO+dk0uRGrKGnwVTHLjeLvzvs1Ebyg0AF04CLwc/3Q
hh0mbeO40wW37D+la6bPxYztCLmWs7Epb0dsPK6gaCYXZb9Qrl8vZeEnVJuNMl0moZVHJbeGpwaO
3r4xxvkJ+0PHr8MxeV+UQXMK+dE+2K1+p9Tm1i+5s3EXXjdqrwuDAdTd9Q+JXE2ZY0RNL0OAs+Cc
pNppaZBu7Nx7qyxYOxXQ3fLgqzdbDMk84Ak/XVSphI+pIr4ylbY3yqE7n4+XCa6PcSE9gnXyjeBU
7GBax+ezpuxoyTLPvK7tAvw7VOf96/v13lqcCmpHF1wSHdHr14b4W28j/TZfFm6hFytCf5eH0c+I
QnwDj3PbmadtYjEjxLoByhXYjuulrDTIlQg/n8sIXJUSScUE62CQwRTe4Lp9jJ9yUiFDOmGS5uWL
RN4nVdGUN3E7daWf8MYEboBmea65fkZv7gMcGchKk0WOExx/F+T6Hryb9UMGgfkui7nC/GYa/0yy
TH8Su/v5KR8V+QCplQvOnqQRP8tgLLb6SEtMWcUc9A1oxDq09LgQlnf+VzlrTOWgh7M1X/owaw5K
ZIW7kQacF1T2BxTLy2e1qayNNsC978gA9n8wRnT6VttfGfpBmVNlvrjzMO/sAZoqg35rH+DxuJHK
3V6z9HZB5sBup2hCf+n68RgmmhOJ5HxpM1DmKEep5Bsh8pWK5G/REf+W4bWHa6bMt8Bzd6K5DUqG
eTOsMnhKq2jOQEmaUZ/Ji0mOjjwF47bGQjUvLQ0Wnv5Vonm5pkDys2UXVAoYsusnra2sGWx7Vi8u
ZBIIUfUnPde7h2mE6vz6MbwTRwGjLYwaMglKKX11u/c5NM4qy8yLBK/wKXCZnCeuwwauawhE3oAi
60OpMPL3CitDD8SV7iR2YZUCmKlb+/PrP+c2zNHWpy7njgatwDu4fnCjDgeCgj1c0rJIIa82Ll51
2IK/vsrt14SVAtyJpszSZLBXAaEQblzXojYvjRHhFDw0PLMA76J1DprgQ6dtFNd3nsqh0Md7FxIz
vbLVGXFEiOF43BgXhofzqXTUz1mGAto/PxTXD/ApePiMEF7qoL8Of1+1jVomLb5+jVk8plAvTn2o
R0cbX6CjjQzIu39dj5yQfisY7OVDrbWSg7bO5GzM1oXOv+bnmgPUVsVZdAgz99TV8xYC8Pb0QzUB
P0SXGh1u/v96a0xxiG7uENkXu0cBK0mZCI9OpzzUmviBTuC0a3s3PuIf+vv157zldxFz+HwA5NAP
NYC1Xi9sRR2aFQ0vFj+l8Y9h1PYlVLJmb/bKJ95w+75iJL2LW0c8R3NAB1Gn2GXmaOzh4c9vtQhn
Z7wff7QkXIjERcXFQZz2EHS24cFGLTYC8m17id8L5hYBBQIWc9tVmGxTDKGmXrcvdaYUewtuim/3
bfItKJH8UkeGC24wxjusrty35pw6O7sN473WVQqcs0bs0hEQzOvv0LlBaeiwjgkSyHBwCIz1oBV0
0mgmhhG9V2h8Xdy6Vij0ph4IgVZ14/dyCoyLXVOd+pKevHNIQlRl/DjWNKz40L9LPZL18l0mpAUX
J4qdH7gJ9eLRwe/mVCShe4ySBLSXEzTx7E1VHI40Vtpa7mbT7S5zbWIMZRXUcZ5qJo2B5ZeZf0bC
WT5ZVtHkCK1FLoD4GlzAMq+SeztK0hNuhkP+zUa9pV4EFurUy2wLT0wtLb+4PfTtoYnS97R+8192
GBvdSVXG4lPdGG6yL6pYvA+kbR/I2vPval1GjTfKYMp3Fg/zm4m0Kj1UYOQ3oac4L7XdrL9I0zSP
U9U3wX7Uau0B0EPyK660ROWygcLqO7nR1GiSWdVT2zfJn5pcDQ1pEcovdSmsd0nd5+mulKn+Nhco
yR1tG8cSVJenIfR6dNQmvwmqKDtmYzH4WZRZeD/X9PEADE3dXmSV+UYJgwiIUmWMPTA9K9U2AvAS
8K4TlUX4fBFlATJEf0a/PlIoJfY1Jrzx+0iYDS7sjvms53b3tTWUxcV36B4bW9H3Zc2oRJbatNGB
vbv8S1uI6QjzsNVtjuCNjZSGGr+3ZvEpAmzLlkot3x5ja7lutFMEHt03xjDfufj8bqTyN1ka8pkk
L+CMwaQjc7t6eCvGYaRn1vyeuUDzPJU2vjqRheAqrZeDGSThM6RgZeME3jyySd7KrcrxY5BNaXb9
xpWMs8mZEu/zJgo/Wg6vOMY1ah82mXowyzQ4VJhJeUValb8gbNYbl8VLGnH1xVmf8kVnPrdw5Nfl
fdcIbeQXGO+R+AePNfWOqewTYY7vJmfW3mpJREMxQCJL9ywj7IG5DOY3vTWcFvpgPSBW3uBFP4T5
PB6GojDeNu6Ilk+RS3XcVaQt6AeiVE/nyg2Kw5iELVDSOJo8rRj7cG9OlpHsjNJwH1KyfZJEibL5
TtOKCjYAbdfCTxpQ2OBsawTYQ7vD4vL1GHiTdPDqCYL8BYsnippVEkATpRkbko73yOyZ4JVcYCZw
EdCRUeGG0CHb2GY39+XSrnlp2jCeQ2Ft+T1/5QOhgs4zTkb6+9ZqqMNBvC7S7WP3sVbLj2mjim91
OZrfMLNr/7UttayMlNwy5+TCXM83Mjts4JnM+nsTeaudaFXTz4Lxz+uv8zZxZRWAd0iv8i7p7a7e
Z+7m0yiqWn///9g7k+W4sSxNv0pb7SHDPJhV1gKAT6Q7J+ckbmCURGEe78X49P2BkdkZpDpTHb2q
RZmlRVqEQiEQDsc95x/TOa4vVE+Oj4ox4huNiREslsIN6sIyjtQLVy8cc8+uNNMD2cO/m7t+WYDW
60CqxHrJZAK/9/E+F43ZZ2ncG3fDomvPlTmkW6+BRkqkEj/++5/5lzny0x/1aQRi0CpNM5PGXenS
+Tg1Shkwr/xO7/frq4LdlbkY0IpUVCQJH3+g1NFUgnZ6+y6ZDW2bq2l5QDJt3MwVXbBzJdtdrBtY
Z5touK6rRm7//Q/5K5CF/gU0Ffoasfiv2r/UHDnv7ci8a8zJpbW93KVJRuu4bC+Rcn4dKvVKLMOh
Nrvrgabx3/zp6z38+KJC9cEcDW4HMQ09+PGnH0YqeWWVWHfLMi2nPteMW6JSk9OQyyUkg2C8zIum
usoNtXzpiuKhqtM1nbTL/vIYh6hq1T6ibECGApX/8UKE1zuLg9vlTu2Y6n3NGUfpk8ghrzt+jfIe
0gSpOZ9oYXeF6fwc434vecdiLBzFHCyySbWwXbzs21+8Q+aKu+H44SzRkSl9Fn2JPEZ+jKzoVu+p
D55U60gvtLF3zNqoqSYp5wvyWcWNlSO9aLNS2RhKXr2K2Eh/93X4/NXDMYPPio0cvIrx8rO4CF1i
mlCy7N5Wjd4moZiVJt/oCSO1l7d5FVQM87z7ycFYjl6jJFi6y7abg9j05LPL743CidDtGeVTrxnh
YrjFSrGMZrrpFjJ5fNUUdEqjwTWSgBqN6hg5xej45KMr+44yj+8tMvQj+PzYYQ1MxVeXU7T3pTE2
o08S9fDN7BfzyVOb9NjWvKPoldYrL6grrGBB2a1wUhbn06NrzBJRa1ZeUvlmhTBWle4ztjV62LFY
KLvabpYJDLOoMkAPCEVfwzzylwPI1vWGOWENLOTZA8X9+NCpsay0sWnzc2zmnX6YFiQbvkxiov7S
wRW6z+s+fxtyvbinlkUAZi25POuyN/YM3sW3VMtMJLkpPTZ+mXlxEqg27SG+RsfJ7w6Az29DrpU6
B7hqHM/IXT7vFCRB1aLMuNZ+AhlF81DIYBhabWdU6V2ZTmlgKOWyMah/30BbFpso7rwjRfTKFp5/
CLUxzwOwwd9lbPyygFGdAcuAhmE1J3AOfpq1iFJNkfYo+lmhu4FI7D1UwEazX6gbIKTa3q7pHrX9
WmrZlbVwC+thb06/82B+Pv65CCT5dGYSl4Lt4PMnyaSkKB6MynmEIQ+mmkrDgbH7ohSUdNais8+5
O02+nmu/AZF/Ubsw2QIHequxiqOZ1+jHZ0j20oocu3TOi36TFiehXdeQf67Rh2akhCqQqknoapbd
2dKjM+t5zk1k2k0QW6fSObSduzErzff0p6zKdmrZbd7fX3+pXPxfNod/6Be/bt6qs+ze3uTptfnP
D6Xi//Xxb/97dIyv9Wr/umN8U6wF48Prj7r7c8H4+pv+KBhXXOcLL1P0oBw4Bl/kNbdyfBPyb/+h
eHSPs6bxyke6gnt4/VD/3jGumV/AKVHq8JvociFY5v90jGvGl1UEuG6yf6gb/0rDOPloPDj/PJpX
LzHoK7gJ/81VcfxZQueYyzQbi20h1Ivue5RvZyQa9ave2cu+Ebp3EJVVXJol1aC+GlkS63dTRr7o
IJ55M7iI+7Syu5ExAiYb6l/3pYnzzRe6MjR+ZVrzV0LqZxABqDv6R+PpOnadiHeYsMRB8+SErF+r
HjSrSF8i26gYrY0lXZv9tFsLK7vfeagFcOMneyeOx0Nq6ZNNOkbSBE7X1mFZO863DgVIiDB76fF0
Dna2iTrApJ60ojpIY9V4SlLFcAAo8vm5yvC8hnliq6ckEovBeV4qt1k3y9tSK60fTVq1ZugtCdb5
HkmFuu271Ix98lZahgVTxNlGW4p6bxS6RXsYP4cTFlbqePts0ibscqUOoKJNWfu1q53lCJmGGoZY
qZdUAmsEUilyshVMs15bQC3vqRlj85UK4PkiohI1LKitfWEOiDxEIxz/+FDCDNsjLZdu8wOf3kK7
ujE3XBL+zSLkAyg3nCcSKIdc86ibjJM2qQlwSZ6rF2Mz7KpRXlS5Z4eL7f5UST25j/USUYoUnhEO
C9o4v8UDmQXsIOVJK5TsqmrKG1MHJ6ntZMr8rLMz4na9epCBUwpewpZSqA8oZzjwnaavwZuEaiDC
95K9ZIJ6xir4POUtxkGzUvZFmTe+bJr1zxy7MMr0r6UpjTiUMZI9rGZXkaV0gz9QiPBzDYbcwX9w
LGfaQ651V0KV6qkjCzOUnWe+ABG95MlIYIulpI6fyVggKGkT3J1FFzjtqIeAIemO4psLZxQsr2Ul
T6lUTrPdX8WCzdbJS9Mm+WYS3BQn38P/KLNfKrBnUatSeVgpDoqnVNwvTpl/t2RMxM48lunOauQi
eYBc92lZGHESLSPUsJnvl6SOt3qRNHtpyGjxy8qlvMLQm9oXUkzgAvRAkFVrWduuyM4M2vluIgIz
LvnHnivRzUDx2mNP0MGkD5sYj+ObpTERTKJ/7aqM4amXzyNsDTy+Fai5xrauDf0xkQmdqrQ56En/
Yk9lQwGRqMJKM761dsdGk9h6jNRaQX/ibPp2Hbgiy1WwlfXzITZypomkEdsKRyVdbM5+kt6tiHL+
/Uyr7vPWexMaD7tb6+Wmr7ubxpLgYQ1ysFrwnMLsxcumc+rlbpG9Ruai4piDrxaKsmlMbdqPeZy+
1GSnPXemvmxjFPnguaSH7XIbaZ5Z6Le1ih61cTO0ZVJLN/qkjtfSnMot3dCkIIsikPVkfEMLaltQ
KMJ4RqRs8QBFHa6/2c2boK1WEXw12x6hj9pN11t8m3LF5FmdDVDL2kvIKrBCCU0ZaK01QDjNQ7C4
in4Rd26yySOzoJ+pNwMDQuPOifrOd9qa4urZ9AL0GqtQLxbbOtJYFtmoFLKwKuE96pOjHRW3IUW2
UpdhM0UFPUAGuRP3plcqVriQgxNfqSjQtuZMaQuZJ4YI+9m5MxtU027jRPJmwup3AZArnmYcLedp
nkfzpvYGuWk1Mw0SJf2G3GoIRkLAL7xxnG6KIrPPoNFWFhqjOdEzSdFYGGszhLkQ9TluvOheDs6y
N3NJV1wnRZibTn7hqmQ0Zbw1trZDiUc5T8rdOMg8R6JXLlt4+cxGUKUNxLdX3m5Ysul6GCftWE9F
Q+hEMXkBv1ztrHESs9/YlvAXa4ou6HWZbmYyVSveGfXwZvXrN2wSDcIrkzPDo277Z4+TML+JiOx7
6gg64htsN/a5ah2hHQti1H4Xp/epGHI95lZShQkKqygGqPU8/TNwo1dVSurJYG2HxLsit8XwW7vf
qHKN09Iv7Ljq6aPM9w4fEmmWuiAtpq+2eXdf1e1TXrVA++4ifkeif5y2/7gqoBbYK9gQzuBPV2Vk
GIyTObW2PR0mwaRET1YxPi71aPsNvYKHQVvutWXmW199N3gY/baoRRgnyn2e2ldk/KIbq7Oe1YdC
IK+mS80qKeyQ7r1RlGOwiP5nWdcUQIjsYn14/jTq3PwxJPyvqi9vELpJ8bf/+JSs/MflrwXy7xnZ
7IxMPX++qXbniCaOTC6/n6ud1yYX4yxO8Vi/uhOBX0UT3dteTQSUmKiQSXdZoZoHK5t8Y6L+xM53
8RCVmO3c32Blv840qM6BddCNQBCSa/jxukwFw5hEqLR1ikYC6VSPRVIavrS0njRgm+1l+ANY+Evz
L82M/O/jDPtf//lh+P1/G5F3b/XVa/kmPv+nPgzL/z2m4zWA8F9Px7v+Vb6Vr8Xrn2fj9bf8YzZ2
v7DNIBvCTU8o2jsq9o/ZWP+CVxFQ2+Wv7krx/nM2dr64PHGgSHyj2YXW6k0SH2XCE2p8eaeePYy8
pIKtsZHvn0D8Vv/9eea2/cumAUp6Pw7HeBjAlXGfcm0snvjMPz5I+VjmVOpW+c5spxTyaT3u1oOP
YeJGTV2mrvVQzLP4p7sek6rTKTiolNuJExRZShfq66FqTlVMZ7k+HyIrjw967nD6EneFOxWXXdUa
sT/HYxnUnNakSVUhkl1Gz3l8qbM092PO9qWy+qObmowgimMh6lRvc3d4rkoaUCAeX7VmpGQkZ3Ry
JnfYtPOcBPrY/rQYVDdxZiOiJqJ4cZp8NzTFuXIUa4vahbFD9PO06VxR+33SIwoQ75MLJrZmT91S
vJWjeh+vAw4Z6gYxwww90muxlhXAEemu6EhMR3aQf19tT0fiAowtv2wTVjXNt03WYM03CKXYR+tx
577PXGPEK6lP0yun0a6mdTBz1xHNZFYb3oc2t9XDLFojW9aJDtxHXPbvc16VtPUuMTrrpV1HwW4d
CjOmw4YpUY002mDynLY3fME/vfdpsvE8ss0TNN8z1cChx9Tp5oVA0SkyHy1r46frcDquY2oej89x
mZ5MKnO2gMLWw1zODwgPdKKv1PhUJX3JNuTqrzVO5zgkWcoMU47sl2Jk/660BVhnzAdxYU3FV3W0
5x+W04pjahb2QWj2/Fy3ivim1+2ruszEgTC9J9J3jNZSfb2bhh1GYBo2SPqAzBnL0QmyqUsPiG+9
a69IOLJIErlw6kgh8axq76WuUNNlY61JvSoQjV48kw9aHtxcQ0id1d2lK0b7B4NN71ednf9IGZSY
v9uh12+pRDeUkxzbTO7lRFHMKDn4j9EolWxjQd1dLIOVEc8+RUMXEDJahJ4Fs9JPcVvtKaGImqfI
LfJs3896dZfETCI+gusRNtwhyN9y5HGJ4Qr6qr9j+Zw2Fu1lNKc4iKKXxA3Uzn2yx+LKA3GdFWMO
yqZ40uXIRjc3jwyVIjS6+UzqlXnOyZC4pHmkYq1qc1akXsxRH6iJM89PjWqY7fOgFPXJag13Lzvm
JYuqs6dJIRQr1VLnuztlWRPmnrKcbZFHHPp8gKt17EllUN5OYynPGYVZx7K0onu1Lr1dpjiVQHFm
uZd6hx6qz0gWdpBK3eV1V1xPIi2fjZmvbNHX6tGh7cfYpD0thdf6PCo8D+TLb0kMVZ7IyZ5u+kon
SG1mheS7T1gE3o1SyXaDotb7xhK3XTf9VCMqlOax1mhxY92z3b4IFyIlwyU1+ovUVVM/ScrrIoqe
c3UKlcFR98p43dYUKE+WmR/szk73yG7xdo5TAOxQbdtB3ZYZMfJlVfShsfrWKsCFwKzM6V6jhruK
cOo5nb6pyJLrs1i5i9L4iqjKH5FqyDeZdA21mcTywRaYeaQMl6aWJMpDLqhESI8dso1CXDVmnlrz
Jh7Fks0b4eAP8GiajnSvDsXY9I+Y0y8X9vvvRpfnP2RU2M9WXdk3ESlXFy3JzbKTNyQxWQGuGdf3
pD0xqi/Fvm3Nct8snV5gnbGd2yy1vks5o1aZPJtay4bE7sHbFKa2kMiaDI8iiYyrSrmzWzHbQWQ7
TWjyfjz17VT7QL3Z0XPz5GvmyejaoCT3FKVlfOr7qmg3ukFEYEJ03lXZC9luhGJA5LLCj+lRRs6l
29N4PE3VN302DtA8iT+Iigazpg90wNFDFHXnKS60UHjqrbVMl1FTOeHIwhgYVrvG80wTjRptflG3
X9spQZNtEW/RFPKSliT3piuidLNmlV7TBJH7Cjv6Y+lQ5tXgelgBmDbxV9mC4tOTaJGvpyHiUCeH
GhTHKXcoOzAJgL6GS7d8LyzzdmqEnfuqMQ4HzHGkoaaJ8XNwrI1S9DZOuWG+Xd+ZAbzNaTGdYW8t
2iWflxHotlof0iolh7Btez+akvrepqTSSW3t2kUFs68mdfqhW3mxHYWwb7x41i4mmZ4F5giwmbm+
N+yoCOp+JGUIF1w4d864afQu3peDQjv9QPcV2TLoDCupnotOqe8GAbiTTu2zqrjFpWyxg4P6/OA9
tZ1a3EItFMq3euoy3+m9Ug/ypF3OUvMerbh2tlWVbCFR83AZiqe4SSlIJOAqZE4mZladO6J8J57H
CRkMqhe/66Kjlcbzi1zKNHRj6vcMzCBbexl3pVNUIdqNXaSNxaoyZxlFKNjp+YNZDPGurYbU79p2
2rpm7hJX2Mf3jowfIrPt+JiFuyrhz8O4PC/DmJ8HkbVhZI7DsRiscm8OKMnrqU+2vRpVITPIHFhm
HFB8udPSCovF1F8Jj2Vba8mZ8bLG8wndmA9Sr+bLBOnYvujHLohMzjE1wh5VjzNqQs/JNukM+uZQ
1sclqn7aKreu2gOKYF7Fixdd41m+ylcYoO7FsM3NLPJdZ+gudTuaAnA1nxxK3lQyBw+cli3I+/Oy
gLljRmvbu2TqMXr5tsB7bl4YQ2IOiW8kQIu+PmsNVUVOpDqPShHn7LguthnKA1z5KkRTXc9efV1p
lEQDjuRF9cirGyuNTTmwRCC4mVK0VbRyE+YY6YBIg/mkSfLvSKHZT5530p32tq6yMSBM6GTAVdJe
k3AC2qc6522TzmHVxWGmlj7LziHGAE5RpFsFoDDbbMS/lj5xrL6CMKGSmOh/9XJ2XB4LlyCybm4p
YpT2ZlYlXCiKVMowL21vPtAZuZlqooaH7nvfxMkJncF0VsbkBhXkXTqQWJqwI5GaWdNUIEDehcFp
Z9OuPPQ+zzxvLspavyNW0s6NzFlL1jktyUhMGiPrwRqbJLSidg7juvfOo15yL0fvzfL66tRrgpfM
ZH6fcHNs68npbpWux+LoRrK5bvLsSDebSvgSXXMkNoTePKfZpi8YvDcNghCsRXVNXPep6zBphBTh
1vmVKQCkT3kvSkw/FFVm9J7C9WOHS6NZOZgzbtqnnEhJ7/s8i1mP/Pc14H/Wpfu5efvbf3yv+0p2
891bnNbVn3cfVpJ/ty/t6+pH372KX37LP/YloH+S+qkrXwP7P+xLrvcFpwrkPk4RIlGgt/+8L5mo
GNYGt3WJcTTY93/sS/oXQog4p8D13zkI86/sS7/iATol2zY4wHp9sMifiE400X2B5sveTvM4b0Co
fdOqrEtJlolB57hf2FPYR7bqWy64ZfsUja19sba/H4ZJ6TZaREAsY9O21NK7P93H/wtUse6EH2kO
VJIgFayFyNzhNlfI4E/CndQRoy5N3tvLqEVfiwj3bKCUeVwFjWHku2YU8bRxLFEewDDV4tiQxJT7
tpUmB9K45/OSzs2mNXpxT6M3+RW02JuhqWgMb9q43OhSaseRd0N6k9WoBFZ+xARYpJTuW2pnrEt9
HUVvKH69bkNZGQxKxHv4qJhmd/j3P+qnmCdQGQglXKikORP1s8qWP/6o2B2NMiHHc5uoin1PP54c
txHHdxC1hNbY9DCeUw3jhItsdNcRC/+1tBpl8MWcsCiUlZOeFKln12lkaTs38twfGE00xrJm85sr
Xa/kA/eEk8siipynZv2/zzL5hD1vUL002WUjIcpZ6ZQPpLhsuoTHAmJsvB662X2YCGjfLt1gXtM1
6h6yxanDvJYxgVW9Ph1kVKeX9oKE7TdXtz6tH66OCzKpOyRbAFEhLXAf76NN3mDB3mBtm0bIc431
GgyQVrZRK8p9mebDIyjstQnEeyEw+B0tMf6O9sW6/utFrNpzlaoHhGfUn3y8iErUiN+72AC3t5Xi
VE1xbFzEpdtsMjN/jjMcdzPO+0AUWUcHszADVyXh34kfFlirMO8q7TJvF3SnzqgeFavfqS3GVWNY
4CTI97pj824sv1bmvY0SdmtXln5jpNa4m0yN7TJ7mUWnBV2tZo+1NRc+x3j+KKgYCEpnQO6KHbpT
xvvETppTC17i4+FeBt/W+vQ+MUYCXuxYH6odQa+vGc0VCYC8XmwROlh1YA9DFdpRnzyUalvs1E49
pnq+uP44mGDQlbnSJ3OMLqnzcsWPcQQHmbDcJxy6CuX2kTS4DAtYpBgab+sN6sbTsnv6kVGuKzD5
PuD/d3rFixeXhID9qkP0hSZtRsIYyr5bJry8iO7HzVhYYCBNMpZvilJoQavlFvGX3N9R0rztNBmk
5uC16aOayZlNwx73y1S2L57dmVcKacOXcePOO8zf0aZBMX1IrKneK2YrXiNXBFmZVkfXXeS2nYfy
os91Kg5ARgCUiu5QivpqqvKS2bS1jpUcMsQphc3inJVhMyjNhsSAZEdWOF0npp68ebJAlUMZ7kFT
mrNhySIsOwAhCMAt9Oq4U/t5eXaKutmURMVcF63XYcka0jVgwvNe5Bh9dd3xZpnVoUVqZRn3NRxN
4LrDfTpOTREm9GveZ6Pi/oyLhoLoSfHsK8Ogz9UTmuY7ehVvBmXB3TXn3PtZpNNVrFNzHiidXp7t
uRnCudLsHVUL6Y6R+zyXTb3NHUzqmojJEbDNgqZzr79PErIN2JrmPpjdYSIdvVY2XsqHSOl9sm21
STuwpqdvEMlW4KlVsalH9+u81IDM9fi1SDzlTUkERRY4NG8so36ZEkgou+YmL7k60qdtRzsAr++Y
yjdtNHkH9N3ddTTLbwzYeO+9hlhyx1CCetCDOouHjUVW+qawWQKpgqPOggepFJN+OSzKbdJmt0Vk
iZucOd/s7P5Q4MEP+DZGW5OIix95Yd1YWrTsxja5Kpt43CZF6r4pi/NdGWhuGUZyeLXIhXZPyzzA
ZMEnRpJZoNcyRSxP9bivC/1yGqLkJzCIuOJdo8Kz9Yn+dcTtTSR+bm+1CJlLuhSpDEhd08LEjOcD
iljWu8Z746gWvrCwq/JMjtfNnC/bPEvl/VzAY8V1a960BsEX0DgbLyuGsCFppvZTMLyj1XZ56VtV
SnsOhM5LWU3eN5IszEM2JPazgtbhpakMkyhYMz1GCGAM3PA5up80hgC2xHJX695CsjFSQySj9rXb
Vt/nZn6KBXQR7zvrKBot3mOmj7ZKU5uPnbGIc5JEF0tULBd1WUa3+QR9LsvRCGrP3mvLkAZZNNvU
tmt0AeReBpphZS7ZA02d9D9zvqMvuKAV148KHaAknuI9paLOtpBk3BpzdqC3jHLUeMl2sjM8dAx0
1T/1VWYcsnLk61aYF30x9z9Vaxmv2DBwpCxdtWzqqICNjtGv3XhCKAG48XPWzMcuGp1DIniNuUbU
+uiq2gvkc8Nmjeu+nIWSX7lLbD+lxClUQTtO1WUduSZLY/pVePD/nYJ/o1njkeK42LO39gnt8tWF
5iBCcNzRux+rxSJsqNHuhI7NWNXJqaEbihFKnSLPQ2iQNKEVp9dx0hvb2kmfatPWSKNXaOUNy6Ff
bjNTUCRALzdas0rrdtnS2rvakd2Faog0BMomUqFDPI2SrSblKaZkJ5PFbZuKMmydMjmUWps9U9qY
Pqh5pf4E1h1PrKdkF3rpJaLl5oAOybqfMnDCKvb0gzZmPz27PZNTP/qa1z8v7xNVElMYlZRlS+Zk
Vh3yynZ8LOnOqXUgZ6puiK4zu7wtF/mYmYSjkFF15phKLgwDA/bY9dOh8DyCjermwu7GY2aLa3Ly
SBKfjasGmMpXRG0Fedp1B1KrwMXMVtvn6eJcmvFyAcB2W/UF5eju2Pi1TcsiKIBUbgcrd30qfaPA
mNIpVBFBbqMs+kZCuBMmlMwEJQbCfTzHYMlD89QRkPKqtW3zkOpZsSHNrPY94nXCvDetHQziQAqb
mV1WtjkFhpkYezsnDDdhQt9M3kDPZtI6t6akDzNZiKcoC/Jc9bIne8TtzOseDV4RtCbPNyffsFeq
Ib+smfgeZq86Z1ihf0y6cupk+tBn2hRoc3TTDkOz6fIiI/Kj7E+VaZenLHLSvTtZFes/Mc8skqn1
Vom0+OnE/XhF/kUcdo3EowABDKlOk9uUeY3YUBJT1qHequD3xEmxIIohQk+XxWvxFFI9HV9QPA3u
cWBpxRfbV8K97Ii5VjaVG0P+tsOsmhDqxPXv5NoSXqKmmQrjPKcOdgk/jQq0rEuLxnRUyOTwrZ50
C78AcC92fWOU3ysOp+LUDtnoXNrlagAjMmURP0qDzNQQnxEYh8oDVO8r6ofNXTOVMj8DuJVHLSp6
3k8egPFgW1JeScwpNpGuYtV4INeKD6o6tfZWHw1c5j3gW0MrM+hV0DgCpBLy6aRhVvnZdxQzB1Tj
jme9Zr664jHvWWC6ZiempDpanpiunHLifujzzB3CyWyMDGDZcCTEQC+p+ZvFk6kV2kPfwb+Yw1Bc
NZXLS3cmYNlJS+9VzSVaT7psNlXm4pxJhkU4fGGbJN/A/PR8cKhIkazY6C/7xNz0y4zSahDx3ASd
4UygVNDogaIOE7QIDqV6k1C92flL7cAsSSmzByc3C+WmNHvTX3o7vumTNN8OKFpI/vPUy6VXjRNR
EhDwYx19ddKOVUXqTt6EgzPU8yZJUt5NHsLpU0wxKZ4u2UQXSqlGFznIDDGwpqgOTWWPZ2Mw2wsi
ITrL11WwiiTV9H1n9vM37gBzWl9FmLKGzL6jgS66SNKB2WwpR6anSSPYoxq+oT1LL/pF0TqcVWl6
o+uR8UTAjPHCrG1s+FeWb0i6lk3kxJXHAFs7b0YlMdM6RP6fnXI8dyuH0NfVI/rkOiT/6inlvgUR
hIOtZ1dksz+JlYlYTIOBdWUn1JWnoF7jbmgH41hXMxzGymZgYBl9Wamol4n5qe4i3rLZPtMpKGOJ
1epqj24/QlESF2GmFBAmdL+lFoIVOkzKREa0Hzn9UB6bYpG+FUWJ3Gt5ryko0KTQb9PFw0G4pF3+
Y/TMHkQvtn+ArLeXKqXryHj08tCt/E4C0VOvjM+0OGmQWnZzr9Q2BFARtxfN4K1aYtW7VoYM3kh2
MEhzA5mUvRNL2sox2e90U/ZOPaH7gobS9ep1HEfxzfXE/JysbJXpwFuJvJt/FFlG+y2cVv1ObyV1
g6BOoL6y05oFeOlyEr4Xqb9mSNcO0BvxSdp82Gk0PMRtZz0YK5uGW+gkVk2YtqrDqnehmL1qxhS5
ysfMVUlW4Y8uA2EnoMXpu9iseheeGasGrUSMhpgou+L7W56ad6laz+XHyB4MI1Q0gHIfuonZBoFb
uSrdSiRvA9I34G31Qn2Xw3mrMi5fNXKJ1crrdtXNcSeQ0JnvcjoCkJHWTavKLl31dg3Cu3pV4JVG
rXiIodHleatCT3XlrRHFKPAqaNhQJYzrKX/X8ymVK3dQMU3oTH15PdfQqCDNUeFwpCZERSLToqTV
HQYliFOvPLrAxZPnKiE0sBZonaf4ZqO8FUM/XecC+3RLJS8YsfyZvosLqYhzvX1vm5IUQkXaZTBV
st7Ld1liUYwe5NGcYyfR5CIODeFPJ+75z0pNgX+92dobtVADuL9Np5i175ZFMAojOSirpdNTy9tR
pkWY5+5T3LZLYIqWYdLoXmMR0/OS8f2yBnQd0VTc5sRynKbSqR5cfaGpyFzVlfG70LLwzMjvW6/c
2kUxfeONsuwGQbfyDE/NvsifV2hNkDWj5Xs2O6ro3eQQ8wIOo4T5KzRiF+DIzDMefjDi2FY4X70E
DGkVfqaZkz0WuG4Dq2XkZPgejvWqEGWkyy/NVTXaymm8x3t8KCaJRLUtzjPpjr5e4EyIGptlDnVS
9dAs9RQmkzMM6PKERbegqRhnupdXqLgnCqwiP6cjfUHvLhNz5iXf8jb3Zs26mjI6nuJiMjZCN+Kv
nDigr9mg77pmkts6HVS8cbbzCvj+2BS2c0VmRvatzEtBcAUGI/ighJFVHGK0gKbi5l+jZGgt6piz
+OB1RvYdVSNVFZM7blN7jB8ZbJXL2uu1Y1MO42u/iO56mVsRqkbKgcuV5cmhkalhbkSF869dav27
OsYA9NrcuFusEc4QqBwGtHwjV8PVqIcksNSXKWlTb+/wyf9AvL+DeNd8nn8tiblKv7/yZek/SGLe
M33+gfHqSFjejd2EKaDNtpHL/F0Ts0rJsb2YKql+2LnIO/0nxmt9Qe1E/gL9UGjGyGD8J8arfiE3
iO7P/z9NzGc8CjXOezIQ3kCM3c4nHJXSBRIDEXRtWYpakBPLOiMhl1sjqvLfeB5+UXGtRjkcFyYW
W1RAnwPAattorCz1uv/N3nkkR46kaftEaIMW24hASDKomWRuYEwFDXeHdOA2c5b/Yv+D7B6zyqzp
Tpv91KI2aWQEIdw/f+V+CsRJ1f1DwfQE9fXstsmlD4x/Srj+rdrn7x+HlRa81PbXdi1iA35F2kpp
hvNaA733B+fZpQXJQTvDYRiXXDNXt0tBeNtf7vz/AEr/Df7EXkU8FNi7zVtGgPmvnziSg0x5A5+Y
sQWxCqtYjypmLI7+Sbf82z/tp13yFyhzNXIRdAk7AJFL2sOvn+RJ0RZNOLd7lSbdcWXg49xCfE1J
WjqztWflxQu6/tmbCwmJOp6yeXriN30eXflWz/6hYeiwN8EUkQbnt3emm8jYt5NTwyL26A21+kOw
+29+RUBschZscgW5HVAKsBO/fuOCsDGLhrNqXxj9rS/UzVx390EazTc1ZPeYmeNuBPHf1JxZ4mXq
/uTX/DuXsX4Bonh52X72dfJW/5Uw0BymaTwJyz36ItrxGmizi4CW3EfsUTltOZssYpm2DCqOjO1S
Bzd2Ep116n2Y5nQhLMLAK718tYX1JyvU+qf/cjMhMMi9BZUGN+e1/u0VzMMMBTnde/vELr0hRlTB
kT11cFP0Q2MCeskFHbkEtJywgru7WrrOH4Sr/s9c679+CRYiygRYU6B6HF6a3y7PCsK7eR7l+5rZ
7odRzN7nhSRA4tGQK5wMG3/EJmsXCmnzqn43kvY5mZZllxgNwFdjT2M8yoXrRt7SIz8mzwAu5EeR
wLJ3gvF5SAakRmOab0PekF0kxTNnmtPspeUbzIY9OuGzSwi6EYPD4izUNcUUBwbEwI6LuchlTIfg
MtwgtoIHhYoxv/iyD8ZHAqoIf28q/A2JUKRVzkb03qq8/9Tx3yeDvNIv4IqThAJul2BHMj5IuZ4V
/EST1zbzZjLvO1kgiR5aZonU71Y5mdlckN4212CaGRcy0Y3f84Wj2mYiEkRtg64tPzqjT17bsplP
LEOlEyutl0PTV/MegTF1Fnkg9Cf0eFZxmBNzXjmQMQKHL8pT4LfroVL6zZUEexGPJRHPNR/27HgV
SZ9NGFY3mSLDRZZm/8OeMZ9sSitMrlXXC9TkXXtDUrTpMlyS20HAqeJ9zsdlFAf0S9WN0wb9j8ye
oAEMEX1qogSkPKBQ+60J/OTaLNFEO2+PHsyq7BMpE6XaGNId6dt2UIn1JY3229aLvHOW9YBNoytm
ChISyP4uZ9jdePXgUeQb4adBeh1NhwwGfjh0E73acZjKcQu56N9ES1eiwK/s7ovMM+MuHTw5nyhZ
kHNcpGipY4ST4AqtXtvFEqfI+j3XclWNuQDz51qZ7YkyTskf6YXlmjU7kZuDA47y0hMAEdaTvM+8
LZx4sMeJUW5HJVHVdOjKwjs7x/h+tGfbTIgiLQECBl8s5CT4VkuwaP/ipl5h7hKn0x+2q2DwrUKO
6ly2VuTHIwHh6e3SpUbBmaCgJqek4SMpXRkhQKyN51SEIAQts+muUQy28VCOyLK9JQR4gG7yl30d
SFvskzbwHrQxJ9kpXIEasUI2bTC738OfOE6ngLfLFdxZwONulRf2t1y44ke7gkDeHN4nMwowp0pf
qFS9LVfAiCzWJ7lCSEFTlxeDWrhj7oTlJiHAjEzRFXZKgFA2zQpF5SsoNY1OthMwtg/zClmhRKcZ
foWxCJ1xjos09XZeQa5shbuqFfgKVwgsW8EwJkpkM0skXroVKkuK5pMBebW1nbk6VhIgo16hNZQM
X8w0xDazwm7VCsAtxG3CnwLK0UiKcrxYoTrauLnWs0v9oz6Hjgwu0wrsGVk27KoV7CsE+fvCowZa
ONYVc6QTG/ZwN1vDjbWChTWoYVrUZFKbrRUvWb8cFyt8MgJwPxBVsSFqeS+ayrgzBUZ8z0qzWHe9
dZqGoD71IpS3FRmvewfCrFxLC95sn/DWRtn3NlBnYZlgnjnnf0rfvWcyXSVMJdioLsovakVLzcZZ
fugVQa1ZN9/aFVVtV3x17JsHUl19hJ81K3m94rCE6KLo5Jrs5IrSOnXhH6ZiaA9wdoC4+YrnNiuy
q5O5lTv5E/Cd6uqTSyXf3gcMtldUuJMCgNj7J1jMwWPfrghyC5Q85TmgMgxQ9Ax24+4aIOemtJAa
ez9xaA49VwRZ2WNZ0w8NWO2WtstoJJqL75VA2SbhbZ8U+rNrUhAok6+YNz2T6jxm/bCje5wA30kE
J9IxbuSU6n0jqvza1PnDlGONow18hdXlirCHnZyu9IkNPzIjdFYJWQcZMoWb/ic4/xOnJ4mnOPjS
wu2WVqd6hfM5sAb7VHbfoF2CbWi36s4qW0kDgTCNA2Kb4UePnjfaVD95goUMtGMwMVZsyDTJtzAO
usnS2KTvaO1Yjx6aml5Iy+/Vronc4ky2tfOasVhQuyXsgwEAc2P1GoAJJqNcKY1pJTfwVywIapbH
yEjTY2ig+BmEz0HR0VBCy0qPqJUoSQMok3qR8xvFXs25WgkVv+3156oi5Yvgj6Le0Ozg3PR9AwuT
5ewroaxmQu0d714JpsJiJW/ESuNYK6ETVpiz1drWPiKgjNOV/JmyCNrSNoVGGgk5lOKI2fe6E7FV
LM4mcbJ3wFfnUHZkM2/clVliS0ZdlEdi45WtujFr0rfD3M43viZ0WWXZcshXksp11JexWc6jWD5K
CW+KcrTaSv4EYITkS8fyFId18xh1zsIh1rl3BpsopKz9qIepOKTKhryVAlCiTWNrzNt7YmvuYFyf
mpVXU9L+mjphuxsBE+LsZ911Uup9allbUB+kfyM+IY9+Q8xl6gttku1duzJ5iYlKNhrPLjpfuKvk
0JQDjF/Ovl35U7Plcn6u5yyD6ySASMre+E7M5GNKUmQaLUgTw6yKpcXeZqwco6+kdepX/D+PiK8a
2kojvQv1sK1wLSHR6l1nE4my3ZiShapy/WFfAAz4SWR9AQAbPrKfLOjsAQwvKzWa0R+G+Mxu3Tem
Df+6LGadbUebV+aoh6J6yY1eIa+GepUrB4sa36FfLxzUNoyG+6T3BxlnpdvuqpXKpckJ+Txf+qkC
ZPgctUaOqK4th+2I+jMn28lGizJn0ftSLr4LzehW5qY3bBLyInBBlORtu0HAqb7T8cgjFGVe/7bM
VvZgGZM+kEGSBjtRoz3YSLI6EtAiN2lI4nZwalpL34e7WYeKWSJ3mOlySREfxkOURztOqCUkZkl3
2lbOrX3nZUR8kvQ9oPGsW/Ga+IY2d9LTtoI+jxq1mVWeP4u8QDRgdRN+3U76xatTNy44eNh2P7ph
ICh8MrTwNk4Z5mLTep18rlZVA1Ka6rMgaX7nkW19yaVh3cAUuNcc8MM9l04aJFCJhe4Oft16t2GY
F9+QdVQ0VEeZc+r83rkhvSk8ytTtHyMqDHgL2Z/xyUfutnP75kkPInZqV18k7E278UkyYckyk/e5
1O4BmnK6YHCYjsh/5G2OKeALgkcmzI3XNdFn8NfwR1UrfeApXx7oKkyOTeoU1k52yjngZbY2CCqF
tR+TcY42EDjBgEx5AT4mGzONw7mc7wubDq/HPAqp2h5ys2YL9L1dGvQOv7Yrxq0egkii+K7TeGHK
kdvBZpERfVHelJQq6YMpG/1mTXV0a6rByyI6QHvTodoiY6glmiurX8Ao9deAo9V3Sa/ikwXsG+36
Sran0FKRt6MABlzTbk3zCymurOGMSeJJ0W2e3Y/4wZH6RsPsbVk32IVnEXEvk1k8qooH4jAj370i
ogGGVBQMoMCcmti2aPI2Mjt6o0EU8SgCOpLc+mp8sDgjnHOR9Y9NvhiHaq76m2DCGdnhYaTzqFsU
ylf4jlc5zyFaXjUkI8zloj1EwpEQJ/ocUjLp6sVZtnWiR/+1yj0GMZKibm0iQqst9nA/XlHvcsOt
LfYEqFvJFbZxRvCRea38zgrf9qRgOVYdHhyJG+nZ7Ih3e8V3DJk80kDGgTAyKnBJr38tizq9r7FQ
I0/2dfmo7Ba8k96A/jgpqjBo2Gq4EC356+k47paiT8qNzu3sMNoGe2Ar8Wc4VOlc0oaMNNwSo3pa
rKl7L9ZKG9I18uCHHZXTsZyHozJnTiHa7F50zYYTRMXyqc9lfqRbsB62ftUvB5tYxN2YRuLkTx3C
FK3tY2Ys7YbhIbsF4R/ZE4C6U8qSaGNPyPJPAvXNTohTozEqbXhlBhNnczA8/B9A2PR5P/8JIFxt
kv8eILz/aD7q//dfv0hA15/4FzwYBP/AvUrymIsNaPW+Ieb8b3jQ+QdQBbAAzkYcVz/ddP+Kk4j+
QeiTBzCIlAwszV81g/+SgPL7SDgl29J1yPuii+1/JQH9LacE2IbwV0CJVQcKFElG2q+wSYMbs3Mj
7caqz7J9BLz3ZAe04y6Lr3Z2qG2kUmN/GjlKOGTz4LGOVv025RDFjWOY5c4e0LAVvTnGJNt7h75P
VUfaQ2/sCJU2D37G70l9j/jNQDenv1zp/wGQ+1l4/guqQYYf+dmQ8AGWQ77/r9+e3AOycZLIiSvD
D+/rLMkvES6DYlunc06Qp/dOGKyJZHwVgwVlk51npBQbR9JiitUg9w5FmDX70aTFseAiaHcoYSLq
8ozKblqxgM9dJh49SMQ3TrHsyjlbBOSQubMKp5h2Nuz7ljVSH5STjZcsMuddwo67q6POj4nQEldz
rPOjEEa3LwID/f4Q2nucLcWlrWv9B0z0d9Xseg95kIDAgjX89Pfr4dEpLVD1OHSM1fq5knlHN9yg
0ksSkbs55075pszF1puhHb/853uxqpJ/gbnoLcfliZB5hQJpz1m/218Uu5xCa0pcOiseJv63kBr6
QnHKvBNhrpFkJvsqaKtdMKxwyzi+Gpy1zxgQvv7ha9g/oca/PhTcCKD2tWhyFdX+0yT6ly+SWUmf
gob0cZIBAe3LgvMf7uP6ZAtaRzZS+vJd5NihNmOqA3ja3Ks3mLvqu8Srm286zPNPaYNVe9J5fmo6
T98viZdUKNMGlzZ0Mb+FPrOILccf1aCta5GF3YUMoeoaTpZNS0nSeC6YJ7xfP9R63Bv5TCmt8t4b
y7qaQWUdbVu4FxkKDt9T/bJE9YfToM/LVC9OTtfZnzhuBp/ZkuVWCrHqSB2ENKAMeM9sdd9XdrAl
HDx6HGdXXifX7kLkwgP8KByogzmgao9ZWNjPwgyE2I3kiC6qaY+IE+R71pvWoUh8NESMIRunkWrc
5N3cvWXEpr3kaRdR3FPaRJPMAoGFKmiejzikRbF0TC5EzWRIMHzV3a2QB8ICMYpLgih43ATduHwY
5WB8YPyxnjuy2D48rRiNjajMBCMjHpmit+S7ZrglZWHS8JJDtUeOtZzMntm4SsL5wRoTsR0lcQ1G
ZwcsK0TL7zK6m5jWByBa8lHNiEAlj0YZCaHq7DrVqGub8vLRZNEkNKYW+hahtNh5mZmqfUHca75N
DMP2get6rgU77HPd93iTKMWV72i55L5Ttcg3lmNEVyu35G036GRTtnnzOaRY6eKBlu0rwbxN6ZMN
LQzqNvpBX8TEoaE2kLwF731QesxoLXamjGPiEZI6WEU2Qzw7GELnsiiOdq7Kb+R7DvdMQzTvlFG9
YXDIrlWti/Ps4r4PinxiyV0KJMLkMHRmzaM2c3rM6FDJEpOTqyHKbNePkU9AcBcaZ2zA3nfdU6UO
A2umaEdnoRlJe+b8A36/0N36nLvR9ySkFcx0JYOh+CNLO/aTsqWjqUoLpvhQHU3GpLgoM2jvtamN
LELnFNYqP7hhPqBu9PNzVqThsWo5SpuGnbUcOCI8VilFyeclmNOHwKdQYPFkdFM6zDJLkT9ZUNA3
yiNGpJet+drieASKkB760DnZd61p1bGZN8NZt6XaqcaPmNGica/bMPicDz6HEHyQausuZbbV5Vwj
EWlw/xrNfJtQdri1bQM3ollH9nnCorNFSBZbM+VSC230vGQ4FbASybMrguh1HjEitomnH1uyYRvE
NyHdfHOV7MXISXmcA64IQeh9kyqgb9u9Tfw51qqbzqK0gqsQlC1qWrZ2ftTnBxymQ7+hyC/0wR49
49zPk7p6ftE+8Zq8D0HroEhHqmv0xXjoWzs4RX0Znc0wN46LR8buglv8OS97GojSJHrTVqEfdWYv
X2XFzRzTKdxLO6ge6a3sbgdT0gxYleF1riv/NgiS8bYdluCLjeb7a9QY3LqkLt6kV9rwcNzTqSup
I9erKCrXQFeyn8XFklGmjwFJIruubuuKqrmxv8X6xuYONW09c67QjzM6iSPxc4Sq5Ka6hPBQd0ZZ
xxHI6v1Q2/qRrJf8kuhC7MfJRKgVJDOIXmjEaBx83Hz4ctEMcsari4/J1xEJgUlhbE0DKVXlew9+
3VlXV7ZRbOPAuM91Wt83aUmMVVdzxtnYi7Hc9WJxbqc+KFByWIIUnKL0AELIos5Rvw7OrZ97Y7fx
q+mlMVQMFrw8EXVrXYOC55ePaKmTJufKL0qyj9q2dRwMJYJb3ONFPI/DmLR8vi2mOPGRXFfE6VxR
ysl3m3TLC8IL/xuaUEAKNYmLE8j8UIPJxXWDB2aDHsgkZYYL8SZMl+9o6bG5emI4tn0ynlUFlkL+
3d0Yhe0eGb86k1wnr3lZhQ9GwaG4mQf1OKA6/7y0Xf7Jn935oYmyp2YSxnd/CVzWHs6ZrhysqzOb
9ZYae0J752W4DzDmWjSj0bNxKxuOJWThrzFHTSGDO1kULQEzYxM+umjxzktd2nsf7TY6Q2aJFwRj
5CVok9znXTOkoz42OPMekNPraI+3edhxhScvzgarsXYMAYVGPyuNzaTQuR9Qp4HNlxw3N4iPHb0t
1bic5GLJPX7a5kGWPqL1UPli2xbtS6XNaZu1rX8niBb4XliG/rRKwvnobiTZ2NLJJxrLMoUtEDn5
1I3irQgR5OI/MHyUctqD0onaErYm6yO4ZfPbMghyksZ+T80aCQYAbGusoXeLXrggerKpDnkSkJBT
kRpBoFc+3as0Gj8HdHp/lGYNoiF1uq8bB4Ih0pPdA3DbHf7t1ljeDXds1I5AnlBu+fX10UsX1huz
Ok2RUz0wToofS+OUWwBVUvu4XtOLr535HptOCEALsk+wmqg3diGds5UVap+KZriMvv9WlPIAGznF
KK/djymy+ytEKU2XSSSXvbaM7JoI1/lumvkXtETBXdp77TdDVtLeDHhTX/TEmsIwO+t7aWmmmlKG
wcuy2AxbtGFdifAqT1Ex2Ds991jISctHnFxi1i2K6n1YzIhYuJbAiaZDm0ROWCvSJ7McL2TFdahr
DQsDQXohOOLBXyMmo1FFN4bmZR0JajuR6x46sZ8YizhYZBHcOBLnJiUlzSNqUPtgWlO/ywI//KwL
XLuvAAHvc+6S/c8mTc7G0K7DhTtygzrB25ll0XnWxDuRk32k1xYFll914wEU4L6ajIaTvtcvsLm2
YpdzOocl2HVatvaggVTnmoT6fpqSDH3oOgVFQ8ppPZPeSSBoInQ7r9XR0vk55DveMq509yyk1Sbo
g9faW+eYtoou1AdXG7MYHyYrzfds3cVF98vFHGryq3wVPheRvfVqszsEA43OSAjBg2j6hryqWUAR
P+GM7zaDHXxqaCGdMjffDkZgsSHbPxKeqaPnNctGmjU9zjKIa2Pw9zKrc5DZBje9mN78YiCFDQxq
oyfJB3pl9soVKr/UKiPos0ElX4ZBelWRum8hjU6lN2oAXbsjhSv0TwMm6V2rMv3J9+v83FUpK1Cb
zK+miXsdMfm+FzCTBIgT0jCZgowGCu1Soti3gQ7LE0UGB0Xt49bpJhFLcSRafN65afHMy1xty3S5
lshisXeQN9vNzn3vTyZvvuXS3G3pCPgJQ7qe82Hf51lzV05yvrcX2dX7tpXZdbZYQT2zGagUz8Rh
QQtxXebijr2NUA2uDBMsWOOhbhlHJz/qyHlCPRex0D14eih3YVV7N0WXq8fJSaOb0Kq/JiNu66qq
GGX8wQ9v9PoPZtvTUeiaOeyxSK04w8S3wvVh3OmyRV+HkD0YlT5nk/ZiO02HF37PZeTtOpPY0Bf7
PrH6j7T+mAOin8igmnaCpxZPEKHthZNkB+VWLnNyUtzYg+ezYknuYZqoOE/qK2pu62q4PJsFM4ZB
aMuRPnC9z6i73BC44PLj01fHx0tNOMl8JQ5hAR61ppM5lc6LAe99UzXp/DgSjXFy+tK8T+GogaBM
DjliKA1/Z5kTlQpokGgOtqz5Jljs+qBad37xCTOgzEYUjwSEcQomnLDbBqONFQdwy7t10qZ0NvCN
CISFwVO/TBNjfBSoS58D+m8wKDuk/eYuL8+wWMW8RXVe7qNszGKKP9JyO0WAjYXhLN+x7chpV1N1
ze9Jk5E5XfX+PbSow6MTtuJzgZf6aTRKeYIs0mKfJlNIzguK3odOVkx2hYmRQ0GaguvZeq9I4SBS
B36dwOB2qZ/pfzVuKseFLh4WnwFAEGXHxX6TwBG7wcUKn6CJghZx9SO8v/ehxxrBg/LcPVwm4j9t
kvOTmwEgYEhUDYf4WVaHyfVCFMTaOKfL2rheNsVjXgHTWcqK3rPabz7Vo4Gm25/yAwnYEVWmDeNL
lXNRF3gZf9MHIoQNYRLEQckhjLCtO5J/0Rb6S37shN3ExFxJ2iUNRY5OtG1Gj3y63kTf3HkhCSYh
TiPTf5z7ZY5rJO57KzLCZNvh7Y+n3AmOI6mRsT9X8uvM47Uz08DbJ6ER7D2mxlVEOUNxKzzh916d
wsoZg0RoCfbQu7Co5UK5PfyCMAl/FP7Ob0PrnBQ9sbN4Scl8kJzNs550hAUhfpED7Kgq2HWTx1Dn
6AySnOwis0zbfWVzc8g9O6tovlq+tl4XaXwLaCF5HScn/zL2prlfhrT+Ohh1+9iRFQgj1TePUzWk
584T2c1sjKztEKC7TJKF4LkTkYdTE1lPkYuydCvpJSfMmq9EwmicjtVN2LcWzSdO2+DAQr/dGqO6
GUP7MDnMdD3lLUclSxU3djCczUK4B+1FydlanOpAwyHFkNiId2lI3TFzJlX2aTNdBhYr0iBpTciN
DrQ98hZ7my1tv2+IzT96fUTyABNDAIMr4HY2pUr7Z3teCGnyUQvRdFtnNCZN1aFFC3gbmVW4aekB
t3CrHBaHiuAqJfeXo7BwT5MmoTB1Zp+kA2f85NrldJLSwCuRdBXPL71FMUk7zcWoI/Y7mmjG7Hnx
3OwMRS0IlswYGMkqBEWR7KebMWyZ7hqHg0DxnE55ckosM6VVl86IMZuf0i73z/OYYiYMCfzY0v4w
nBLHGveNU8PpY1Qh3Z4lKapI4wagX+SWiyYOIANiSxMsh8BiKhGB4FKU5AYO7FFFZwU3bdlfB81x
kW2Hwgln/JrqwkYElLxHNlTaXPkSkavr36crGwUy4mLgoWhlTJKbKACf8/tu2i9JERGOLk7LQt2w
4RpvhIXA82TfG2vVOrvrIW4S9q4vFj/WCxY5poXo0PZYmAaSN6dELc9jww87WUHAqLbMU0oeZWEi
BOessu3GctyJKVXAIPPCG0svjcwCYy9MPKsSTXpGg8MmQ4V0ULqcbsICttp2sSUlYVLsqgQIuXWa
nRmgw8OjHdxaDmZTL5c3TlPmMdl+0PCZBZ06m+2G1O3bhoRTVsDqMUFos/HwjPCI9cy7+kBOyws3
4aNPi1cu1OvslcfJbQ+z9i8TyrxbxY7sxvRxSbXLUVQkAIxOxIiyzJG3GQIImdA19L1TFd3ZshmC
FnqzA1bKaaNcDzNdjsP4Plxa/eDmCi5O4vJ5RO2tNiot7GvIif57TtHT1rSaTwt9XGLjlrgxO8xC
+6gzdDy7fbpN8mQ4FDpyv/I+wWavyz6uRhtFgUMAlQQs2qacLZsm6oE5yQaq6FRurdH5NFrOc7jg
NZ7qWl49MNANpo5PCLJyFMxz+diF1nKBw4DJ5W4eczjQbR45nMyisWMScgjctVLO87kTfba75aVC
pRNXnNrZRclVlXPxDXCi3Koof7G1MYBdZ+OWPp1vQ0IeSYveZnI5XLvdYN979mjHFHKTIBy44YMT
DuE1zyyxs+RQHMluqK+pYZ3WiFhInYpWdwpTKvaHKn9N5lmwfZfetc96+7aSaXU1FV7tXqV7c3Le
wtTCq9gwO6Ce8m59TY1q40z+0Sdx5S2wtD5aQ7cdIaOuI6MBYGivv0STIR9FocMbFEtEyy3WcraS
Rhy174CWeTqQyDdUd0TLV18NVSS3fVZFXwKBlxIcmmzWDRcANK3SM3ExqWoMdorM9POXHpAH90II
r/fVWwI2KAqIMT9wQHauI/XdhzFN0500h+wjABO5KN6Jh4B7cEkn1Vwa06GwO1yC7nvkzxkflxX2
AfNtT83UnN4FAQIQjz35GzFdxpNsnfJHQoXAja5S+d7VTvkIWYnaJqBp6xqohiihiXACEpkGpHAd
9VqANTFhMDw8ghJwp1Uhr6LdvqV2Nz9bTd4eND66l25xBbqqAR95P+TZMUkYfNLCLG4CdCXx4ITy
0gi8LDHnHXpurNm/oLJKOZ/37hYFG5k7TiaWnc1H3xJznONWaodToX76IQocnNTr7Gf8K/tGjf2V
hBmH/oY5ux8So37Co90e29xjqgnLtJxjBbNL5irnI/1IDDbaRhVZ8PtkHnsf6ZIDVPQlqNJYa27T
wMhQXAiywMgQBtWXqGWfWoKJVGXtedGz8lG2Kaem8auq3ddmdtJPVHVvAjFHcVhSZbUBnDN2oVKC
iB/NNlEvRrRFGum85p0DjBbo9Ik1/hFEb2u6HImtUjOaPNHwQ+0PmZrKVwdNThH8TIhjgw0spB05
sDJza1k8JkNUfe5rwIeOsJpYBsYP0oWTjZlJEG5SOJdlcGNg7WMWCHCcvGl2RpgC+oa8c6rsX/NQ
nXh1h6/tAFjTVlO3E5m/pr2JRykUiGCCLVJluXcmSVFusH96ODwMkgGDSMSLrggnpFnklIFi7zw2
2e9mwhbde7W9Nkd732dNAJo3YJUbGPQw1jOYTNF4IXhJ3lBi4p/A62m8Tm1v1yKR7DbuWNfbLGqq
bcbPnfFQOYJLB9IHBNs9DaiIN8BX461MWShQD1rP5TBEsTk4BAqNXpMx5aYcjLoQ94/fEeA19CQz
cx4OHxSw1s3PA/ecNdNLmjXWjeOk445wp35jziI7hkXlse1O4SXv/DOhHxWhS/Z+RnVJcjdU4MEW
9vBkuVZ9GN153ANWV8YGvqg4OCPdgZSO4WxzevmO7SX4aAiWfGutvnsFVyMgbEL2WNA5nolLPWqi
32AJLsQvOCckoNZ1ZuK5UYsvCfkqi0Mzp/dz2BA5TLvT638mXP6mVYfAxADBn0DrqokP/Det+mQ4
oMSmrWISiN2t0alVjBe9NCWYdCXvmsSSTx7f6gXO5TvbE0OLXZvBvJmcyvvw13F6okzlECiO+jS7
v+BEFudO0KFa5k0GvuZFf/jO1u85vut3plrHJoCOFB77d309AddJMjllGytRuC9zTjZypqmJnFy6
3it3LPbduuLYg/iWObxIHaTBpag791aGxLottjlTZ0gOxH++lr/Td+vXIonHcpBN861+r8h0zAbl
YZASawfkTWPUA3zUQ8IBE9lihnuPCJoNjthq+58/9ifJ+ytjRhUoiSU4VSx8Db93AwfewhPd5yQn
CKs6RwJj/OyTCIy3K3iWhfMBm/cyYw3ehm0xckRgUPcgDDa9Cpv7iurUuOSgBfRQ3qLdCa9T7opT
oMjwXgzYtnqxxWVQ5kpStRZkAs44tBHZjzZC7wSiHTCpkanHecb+mrTqmpByTCmiFTfZFB1qPF9b
Lx0M1MZN/dWYIVkDUknOyGdK9oVFcOz2/WfgGNJ/xmV8b0tr2bVJPRyMoiPWO7LoVcvr9xCmFhNF
YflfF94dVM8A4O6Szv80U/1bA8ffyFCCi6DW4R+JdvLRxP9GhkazEIOeFLiJ4c27qZ0PESaWK0h8
eUAUBhqk/CB7HkIjZ7kh6RNqlbA3j47H/3xv//ak+/Di+CJMqmwsNwh/+yIj/yLzwRRxPzv+g0+C
N1yFM/3BX/C7FwdzJVk3gHiMShGv029rgMgkm54O+xgFMo7+lvhNc6p+GEH46tr1coJ9zv/wh/1u
xuEjQ2+tdbF9YoexVvxKN48yS1iRgx4ztEmspB++MWAyVjZ/+qDfX8qfH+Svu4jn8ZL8XlnXSEQ1
3uL3sVsgaiIzHaAzIVWYecF2d+S7kfXQhva5GAvvf+uqWT8bwwisPrUf2Pt+c9WwxXaplEP//6k7
s+W4jS1dv8p5ATgSM3DTEacmsEhKFCVKlnSD0GTM84ynP1/SdjcLVS40d8eJ6H3jG1nKQg4rV671
D9Dy28LLyqrcO1ZO6asJ7H0q6qcy9/3NiEBuo86fJL5zZZYvfbycaMI6G/pslhslgATZ15SZTP+z
8ItvY0XJWgefWEH7HVoV9pH19Loty0cjngRSRvqv2OYSSBApw0BVkNIWIl/mMaIdvbUSp/x4fZTz
/ePgoS2tXrg/VJAvp/unG42myW0o8zYS/DtUUdDFmdoGgjCH8/pQZ+QoFP2gE6DoJizUs0FonI5F
yQjBYshj0q6AOGh/rFTzlwJkdhsJQUIYcxFxowBwT3da2/y+Mvz56XQ0QpEJCMkGgbQMRo0xw1LU
Gb7VtZ91UtyLsf5KYfOrjlua6tMCRhUeEU9rB134A23+r0OMIih1EOSWR9OjU0L12sEQN7G/XP9t
F1bh5KctNjjMk7D3A34akiS3mIK9c432O0tzc32Ys3jMCuBmJ2ChISKl06A6XQFLwTcE+j9absb4
wW4bzyn0T6nE1VJtRjU2RnwtRNYagW2wj+QmI/qY13/DMhI//wTpAcTGNnTMBU9/QhSDYeBSYBM4
3Av0/dzdUOrVypdKxNPLq/zPUQBzSW6kYMOdjoL5NUYComeU2P4YTPZTm7afcjBO9djsr3/QpW3F
AXIMED+azAFPh4qN1BWV2dV7fS7rmzmwP0cFMr8aehdeb7Ymmi2AYa6PeenzdImnU8HrG/SqTsd0
a/KXMW7qPS3QpwA90I0V1t9bw4bGoP+8PtalY6vpNuUP1O6EZizdwyrFmjXoGvUeKSHkupSKLATE
BMVS8pGwjAcP8naPELfzuQiGrQARv7KaF/ctInJ8reEYSC4vzkc3+Iqo2qre15bxxgVYdRehr0JD
Yqab1/2aWJZ7VcU2dYwKD7Qg6qa1sjLnF3+E8Rz/ZXpPQ+900iEQFZUW5kgrjcVnXRfvJ1V7M6nt
U6mWnwDUYTtkzZvK/MMIXawiim8r63B+CTkaXrEEKZBtmC4uwmefxVmHnEG975seVllPHpiIwoOd
H+5bMz80RkNVAXEUq6KoO6ITrVDSM8Odoin7toXLkU/qFheVeONXSnIDbkrsEBMQu+s/9Hxzotwq
dNCAeHMBb1psTuHkdjjDi+biMj5G1CZuY9fxbGjKm7lXhpVb5Tx0cpVAtgXta7BHjcWsoI9pdW2c
IgVmNv3PJIk+8MZFK1pZAxWeaXHivoHdg0PYtE3NVJ81D18A6uLYp6aQGGKP9Bo6EOXnWU+M7ZQ3
72gX1wgDIZgb1BPa5VkOo1aj9eeK4aYES9IJVMlytHxQaxidXZ7YX1vL6W/aAYOuMs9QDTZJJuj6
PtY962OkaOma2ggUqZ1g9HUGAIXxB46MK+7Xy7VCT1kj7WepnvGSy2g8dHlolWhR7ztgq3t80J3H
MYCw4KDIj+5evhaXl9H/z/F4Zck3nuYI+ecv5jDMgPzQXsFzCUzkHb7b5mMT+NbKDlyGZDmKoeIu
TZdCkznr6SipEakZbIN5j2AzJJsy/D6P0dfWKO+bDKlF2RG+vuWXR5MBqY3D+Sap0YF9yh/04rPG
cggBYlIX0wKbFlyVaGBEqm9arf5Q6cJC945oFxRGvjLuGd1bDkxOjJwY47tEx9OBEZFr49Zxxn0K
rJGuBKidQn/ygd5h4d7otxq0ytiMPzrzH6HlfEBO5cFysC4lA0Lk9bOGHh3qkDwBr8/H8lDys3go
EKNsAykEmPunPwvjkLbJOQt4WVPL8sfAOMLOcbe0Gcrj9aEuFDGEg2avfADh7qQ/m6G8mPtkoiya
ooFFDAzSbT3nwTbQ0c630a8JeCXsZ3yFd9asfjMHH73HqdmCt1VkC4giKE2qdFhzGLqwHdCWRRyB
64I8a2mw3lVGyFgUIOPGag+wbJAhrxoIrvb8jebr57iDIR5EaXhYmQsZ7F6mPQgzcEnyEjQJwfLR
cDrvIOWJ52M87Kcm+QNaLlU2Fxc4rOvHHGsyJ57vh7wr7ixgfoc+TmqbRnjV/rz+Myzjws/QwOkg
cSMImMsl6dJK76lT9HsjHfSfZul/SfroYRBa5/l2+ysZOusJWI0ZIGrqBu9rFAlv0nTeZZobPipO
fYRMREOgT2gD1HawMdDSh36vYA1SGajqGqBsHm2lDh8g45vHxJjVo5vPw74Qaf7FzCrzptBn8bUt
Z+r1RuF6XdghNV7n1QFZwGZL83uDXUe2A1KTvS2G3KsgO261Cf4X3DvtCHv9O0Z69q1KT/5b06rj
+zYr+JEdFosxTOdc0z5Vg04hNQWF4wyI3Wl0r99WSGdBUE+Lh6yBxxKiKwCcWYVYLRsqu2AYxjdp
AtOrRTdKsrJq524c1ORjYhex6UGb1eeVw3iWwIFdoxZBnU9WCqBrLoKEMlVTbHZI9wS5/gSe6COT
+r2wy69dQw0/kpzUubmpbLrLk/JjZS+cbQVuZZQo0F3ghLrGInOD7YTPQFr3e2SJzJ8OqsMfNfo7
N9ksPpm1O64k49p55GE8Rxbw0AzBf2CRfGTRnDuhlfZU8AP/U6cCD8si29wh7+D/iCAvRsjbV8pW
S5XxPdDG4feUyu1TmNb2XUBl/48+7tmI8ajctRkA0o2SRnq3xbGT7oYvo1kipvE9FCZtCw0QBwCb
f0iYjfCeAZT02dZsyM+jicHBpWf+XBCwrMWhTs1pcmvQKHsEogAqlnX0rnYj58EpR/aOFfpHxGeD
fQsiVvtz67xKDel/Zv5FrfBHAWUyCsL2P54uWo39L/QH4776Z6rT/6277+Tuv55ZU8ef2Hf9J83J
cn+jPvb8EoSNQzJKvvUXzckWvwlKVw5ZKjpJUozov1SQtN8savAmpwSPP2rf/IP/pXRvqGxnoqgr
q0C8fBZOYNecwTT5RHl5P3ATw3Cix0a+TGi2FnmK4sTtZCsJ+iCDmj2aAKssGlvBzYA4uxRLHTL4
dhHoIkcJbtWp6mbPRChtWypz8hQ1ZX8rItLZoEZe15DOSVieqA+w/8pup0LZvq0LP3proWfyXhuc
/AM24U5x0CxEXZ5n/P/Dxvx3M26WFpBX9l4edNGpMZ38C3+x7Cx8ESAeQfaCdy+ltriY/9p+lv4b
wZCkBIMD8jJdJTD+bdqMnZ1LWHGx/ZBkO/m6/nv7OZg2u4h56Ro7kKrvq1h2Zy9oDKEd/g02gspA
7rOp84tUbc56oM1WgDohNNadKSAYARzeT2Xxo3Db707kPHYVFqChlpS3TY9+6GTQtX8xYe/+3O0n
9o/LJIkTKg+hgdmAQaXeXLzjscHhCKLfsut0Ie46p791cmwN4/hpVBo05RSAJeDzNkVe3GNeMngr
4y9fJ3J8m1mWtxT1vOVjwUX5Qm3IEZF+oe+xA9gA+N5IqocyM0MckdClzDa6os6Islq2QDLWqRQT
/fNkOAxpjodShuDXJqAeWdKOj8OdVXXpRqvBDadpWRZ/PjJeddb+7U4Rl+g/n6LNt/o73ufNSRDn
b/x1jEz3N0MT1A15GlPRg1r5n8eIP8KewtFcHfNxB3tWFvfvY6T/RgyX3ou0fqgQyPrQ38cIiivN
XnoY0uXCoYTzqii+3MD8KJd/De9VThHVXJkDvThGmAU3uVYayjY21XuewEG7i4EK7ufE9CFXdSPp
D1cQRsYtgMN029C3VbahYdbtJgMTcxu2U/OHOeOnB//AFd86wAJIvbd6G6HN7pibGjGDj4WZx29q
K531P0/AqzbUfy+r+HfbdlJP7J+33f235v9svoXfsm8nO0/+pb9p0tpvVEUAEZALqDwfX+QPjviN
3cim1NHBo/ArV/2vnafZv8H5JXugdS3/jvyjv3aeJn6jqwMTVLbQ/gw2r8gflu86mvEOhQ4HmIPG
RrdkNenFxjPrAYC7apYeqOdia+qooCIxVa68Ypfx8c9RoHuT85imxp1zMoqW4RxNel16aaMphEN0
hbDDGGBcAH6G8I+0exmstBgvfhlwZCHp5LpjLMaci3CeJ8MqvczQiv1UNzWi1DhNv1ju/87VI+jy
GNx9BAFqltRtTj8NV+EwcjDm9mbFsW4NVRu/RCPw8FkU06eG6I+Bmghv59iAfwuaVRGjsfKlMnid
5IDyN1AyoiFPBIEtRLL5chGRtHU7YMOF18yK8U5BogsMEC2Zber35icnap3HCXuU9zMGlADEqmpv
dwIopJp3vIYqe1iZlPOpJ8aqzAUZrtyli2jWuwpsv9zOgb8kNXVVxYCxUrfb61Mv/5WXmS8Zj0X6
TXlEfjc5+ulXK5HIRTAE0GvgM26doUhvhTRcALder3zQ2f6VOgdUAjmOUMANKaz6coINs9XURgDZ
MXA7vUMDYPydjiOWMA7CvWIclZ9qUPfxqz+QtJ5khrVVefg+l8lenE2/iq22L1wESyLDfoCmpD/a
bQdbFAzUSsntbC6RcOCBrTOl8npcrligQRNRW7XyIpYTFfQ22afOFN+1aeWsfNXZ5ngeyqD7RBrK
Xl1sVr90E2NshspT2oZXOn3jRrHrh+t7Q4atk73BIKwV2BLe2ahQLGoUca5RporLEm6ci0cHKso3
Wjv2D0ia1W/SzrRfG+CkKgExgERCJVOwFlEgIsSDJx0ryZ94p+nR/WzEKL5TL8tG5QeUsXJz/QMv
zCIwZoYkaJPG63LHvtwbkTbMOfQ4QGRWgIBd7CMQCeTyXxmFzhgtSUvwYjgdxe5yLbN0u/RU9DEA
h3XNXqWt/q+MwgRSeOMRjf/WYpSo5QWNv5E31JW/n+Lh+6jazcogZy8VwQjEiecSLjm2s1giH7Ph
il3JtxjI8AwqelwaElI4L6mfMtC19yDik5tKm/GrTrsIfg6yBQUQnJVYcmnlbCBwfCfVXMLk6ddq
eZ+ams/KwdApccty9QOe2v7KhpRPxuUJoDDI1lAFbQwup9NhIOFbTqPyuaiI8KZogbXHYb/XsgH3
o/4prEpYvbq+0ek3BlF19Ev16wjPgX4XEsCFSqfRhQ3z+v1kE8yYf8ACiMCc/igD0VSs3MgDJr17
UnxNORjVtJZsXJpgRGkJ1OxaMg8ZG14cDeRnI2qwDFKWbe4piqQCGziaXv+US/NLUuHw5gQjymqe
jtI0TlKAtS49v87FTZeU0RNEg+p2bOz45vpQy2qh3Ln4cwjUcni/UPQ9HWpiMVB47UqvL1qypxy3
d0eY+a6EdLvtRuzIqI9P+1pgwXF95PNDQ9tXpbvOA1/IXqz8aS/m0rcCH03DovQsuMpf4s5EmxG6
gld2GProeWTedfZQ/IJVZb7Bci29TQ3d31q+Ga3sHLloJwGdOppu0ycXJnAjoE2nP0ShEFe06Hh5
WlD9IQTO4OXUp3u/9fVNQlth5ZCeXfjMMtgIqneAFxltMeWN7wRNhjCdFxsZmst0GQIA62zftzi9
oXmVFWgAZIAsP16f8LO9y7gu+YxUP5JHd1EYbk1rqGNauN7Ab3pj2ZxatKfNldvxwii0vIVL5dAw
DN1dnBDFbXDLg22Di9tEHV2QAFZx/+X6p5w1MgUPCxrrFEbBi8qn9+mSDRrudQjT5V7tpz+wQH4Y
LYRZoihSti6ii7ukz9+FukIHc96DWzU3g295YYcAq55gSZbD7xuBMY2lu3Z5np1d+ctoKbg2Dy8K
WIuza1Zu7HRA8bxsyAZ4XeYAOA5JjCxCYO/6LJyd3cVQi0nAHbBHemNmI2ljd5zVuqZ5rbsbTYtV
FIwD9pLGeaK97axs4YuLDLqBBAibE/cspetnbRAdfTCnhsCTW1UIMjc0N9e/7+IoaFXxBBIUApd9
+UQvdbQu5IZtOtXT6Yrv9Nn/9PpBgErziKPATfVyMYlCMatIALT3atWpdnMHz78YBnVlwi4tFY9T
aqoUTMGYLUKMpdcBRMCYXcHdCffUSD6H/mDuJljib6AKWrdD0PZI5iggKl//gbJySJuBc8l1cnpU
gPhEHTKsmRfmRvQJkUyYKPVg3qyMsqwyyRNJqYpl4tCrwlmc+xG0MV4wEzZ4ndJ+rBxnOrpT2t34
dabcTWglbR2EXY5hFoZeq9jpW7tBAQGLNGcLFcTkrWhhSbdLzcEqd7EzO7sQHZuPdmd8zox0ekwU
Ml8e9nj7aA1xOakq9BlQSRih/N3qdPU3uRi7nYJx1aNuG/0ewm2CzHMv7nJUAO8QgG53UACjvd7q
4RbxygiBJNKQBF64l6Vj8rbMZms3zaQy1yfnwgVDIOSWoRZi6xReTpdgRh8SIZco8zTs1e7Q/Brg
eeKjUgSQhevACL9dH+/CbmM3U56QNUSuV3mwXtys2jjAebLizFP6RvFMvcPDvUcONy6wvkU+v9tp
PTK2WT7VK5tNfsniKjVItYnLNFSpSi2eDi6ao/2ADJA3IxC/MzHg3s7dXO9gjcQfLHb8PrDzege/
ttoUZbnmJHshYpwMvzhmHSesVLom9RQa/9usQM5ktOpxJXO5sJyy4Et3jFUDYL5YzgSCYOk3JqO4
hnkzknXexAFsUBWRrYOpg/u+vpznk8pNAoYP1UO8emkEnC7nrIxk1EWYegUm17s8Lj4PhEyMTWNr
63Yw75IiNB4UmGY4g/bO8fro5+kKlWsCFw1HCaZcvtNQiRB9YYnSi6vkwTQAeqUl9EIwFeMd+0u8
RZtgJVo+x6TTbSSr5TbhGMIRENJFzOqQH26gxZVeoWZ49xkRNn87VdP6cMdEA/422ii4RywVn7s5
UNJbdOAQmcAAyTxWohqloEn2nXesW8GNLzr9A+UOvfO0EpHvDZ5xyj0kNEV714EqgWAW4dT6fgqi
8On63D1LBy4/hKUjs3bhTJGonC6dqldDEAV+4dk2eh3vqYkNv4yoLoe7EdTLL55xo/swNV3n77Sg
g2pMOw7OMrJekE+yYHR/H9PZ2Xb2yL1gQbj8Ujdqb++oGyrfhhihpY2KH1+NiLiDDZ3oWiPc2vPU
vheJgnda2XU8u7TAh2w7Dj3MA1A9zafcbLsjhMXiaxfY6KWVTlmWaJA1zgPvNAwREYb8gjmVEyKW
NoRfE5jzv65PjXkWKQDckfgb5G9QbGRn5GWMysw5yWcklT3cFPy7hpRsMwaW/kmnrrmynS7sYOzR
aHzo1KHAeC+GwkNPB4YMFUShSuMH4706uHin6vkTZjFoOjeOuxIGzzA0nBPZcuFVRQnDpHty+nWV
iJrQQf/OA+/WoaA1+LcTauU7Dnpw62o+mNoEYeAxKxECrGt8yBsbyMb1KT7/bvkjZC2f8htMhkWc
ytBDT7TGhyvpyidGigbRbVfNzlEdgxmDSDtQ74TvzD+vD3vp40lzwPBItiDt5cXHW5YfBogvZF4b
2TjLlIWAy473m8EZ2I1D28Iij52vwA4bOLtNfoirePau/4jzmKkBJ3RlXYl8i9TndAFcJawzEc5c
gbmOirZuR5LF2+4RV44xeQ9RHaRsH9/FIb7xRpLYK+MbZ9v7dPxFBPPbSSDlpiMnE3XfAOI6701j
blbu+csz/eIrF8krrn1ZX/mI1nQAyB+rdo4fRxQL9lE/KLvYNMu7wELxSEnwScOrBAdFV7NW9vql
L6VHQXucEiXxf3G62oY6fa8Jucv08F3TGwCTtUy/ub6el0ehB/68oqTrp+sZBqAAy5os1vYNsWvV
THuHKpOzcmLOK1sQXoBOmTAYZLZmyqj1InPSe7epDaciWY6zcpMZQ/hhbKZ2h4Sf8qY1I1S9u7F/
hwaX+SbHR5EEfkx+OUaKUuioWG+Rp0uwz0VnCd2zeMUq7NIcvPxxixS7s+A5u2rDnnIwGtQwMHlU
IOjvrs/0eWBmCp4hB6ZNcWaJusACVq86lSnIjTL9qOtVfj9X6HXERrhSKjjPoxgJqRrAJypNwmWc
8HFIQBs2zbxpjlRIsjmKSrYb7suo/tra+dpLb224RThUNK62qC4YTqQYIOMzjJRP4B95xMdHF4nT
lYm8OB41WC43ALYk4qd7qWlRhYhg1HsCstZHzDVVT2lCa4clcktpvfBfnZYynTChyb+5Ruwl4WDw
M8sJJsaDB4zY0wDZMUHndus6zeRp/tC/fjydirqE7QLVhE56+n153ohwmOiRIQ8/by2rC/eOWXxD
kqO5s+esOFzflxeSQg1AHNRbiJ0whJcyzUpQaIlfKIlHuQAn2zj5oy15PCK+UgT5gyIiOMq4YahR
ch8r1S0iMDusZna1mhyUIrgvaKLuki7GZTLHYqI86Cnk0NrfhalYyzhkNDpN+6SitIQv8RI+76Co
0PmRMtETL9Hy/Abd+n7r++YhHL7OgdFsnKl1kf5y7JVQfHFYWohcvmSbVMZOVwTYs4qyo5V4uqgH
T0c4m0d3lGxFE78B227dBvYsqJJZa6S2C5GJBiatRNAuwJXcxW2HOfYM3HpMvGnAxwwj7QpdjLBd
+bxngYHFtILEAtUoTxR8tuUJtsWMaXOYeG2ChF5Kf+5g5yF6yq1r3wz1HN0iWDJ/w7dL37lqJ5DX
Gd2jmdYJ3kE94jUpOlHXd+WFaMn7hAgmS6uSYHc65ehpolQ4x4knVSOPWDOT5ohI3emp8+qWLUgP
GU6kaATlhOX+r9LeoUzN1yetEXm5iHnGBy2uTYn7+/WPurCcBC3JnuOTDJ7zpx+VaZUwgGLGwNz9
DPRdVSMQ6sSvnzrSPmI/JTEOyRLr3YjJmLIS6Q60OBLP6VX3g6M70UcUZdbeYRdWCeA9JTBWyXR4
Up5+UG8D5eYnxJ4boKVLF2c84Pw93Tpd/hf87R9FDC4ORYOI5g3oXKADp0N1SpFhddHGXpj1M7cM
qP150rWj1cXGyv35HNEX58G1oRARFon8WJWejoX0b9F1vRvRSVCHJxe1i60LC8IzS/zJapywbmpR
C8SfpxCWH1xIdCVyvKri4U53Qv8xjAwDpIZT/dTtwMTqbjR/1ROSLPmIUhPyUwkccpogOpaDd1aC
CtmU+/1DAsETAzDkPxrcplYAJxf2Hr1FUHS81RAaWYKGOmFB+sZSzBvp2OysvrQ2k9klK3eX3MGn
MwcjU1KKeRjJS3Oxw9XMx2quR4e4qOb+UJgltnam03kQOQrPshQEinhTrNxg51uDS0EyQADS0N1b
Msr1KWz7LA0jj7JRcojAvaKkQpnCtvun6wf4wsNAVpmhHT6DFCA8ne6MEQtrEdpos3R1oXhD5xgH
VW+1266odHRVNZQ0CrzBzYGa6IB87tYK6jW22flKAhsG+0UqogM4W+bSPU87gKZZ5NVUWg5mkbZ7
czSLlZU8I3RxwSKCRwkflDCQt2Ua0nVI5KOvEXqIFKukAEiS7esYZ0Nl9kc6zj5KglPT4iZd5MfQ
r4OHyc2/Bn5p4nrf6xsoXvWdPs2Vt7IG8rZd7DGitUPpgZAjCwKna6BSTUZeBNebrlb8I+LJI5J0
QXODV4+2mfJ8fJtrfbvP4h5ikTbbWA1CpZzraN77DWz66z/n0uajFOxwbxLWkeQ4/TWmNQ5GVVjY
vDWW+QV5NnFAA1LDFRyNtutDnachUtgI9AgVaMoPSzqfiSSjpbdm4gm2N6XfBlXMjlr8BCN6Y+WG
vmkDRHMpgKwVDi/te94uyDaAcwX/s2xMaR3U8kmvEk+LXWWPDRAWfNRUqbv0w007l/fGpLzBliLb
TOWkeU6o1x+uf/yFeeZN4wgHhr9OBFvmYEOHvCJqZ2ThCBbodB3Qyp2gBJE77K4PdSGIaVw0oBAB
5DPXiw2mR3FoTc+3mqY1twqMzVsg82hpOQ7awmZfbTrEilfO24VTDXEVwBhNbJQSlphE28KjNE64
Sick1tASVesdbZd/IdVD7IFckiE44O4Sg6TnaCTNlRF75ERv5zGGv9TGyrSLy3bYITxG+i6U6Gg1
SOR2ETl17gcV/yPXrZOZ2REZpPLT9em+tLI2UiSUk8i/KE+fnqBQD1ILF8XYm9PpbeIY1X3sIEwX
uliwXR/p0hxzRUgXI7ISno6nIxk4VJZWmiFqVlnxvLEy6N220TXhSkw4f6GCPZQdIim7hFTB4otI
vxTU5nOSLx2qv28gDGxEza9YEw+EqzVVnEvblf4gOGUQrRi4L0o4ba2J0AQHhZeb8A8oCJIlRxUC
MkZWHUIbU1HEo42V7Xpp0Z4J62Ae+MAleyJOXbcaRpckMy8iNCSt4GC55LN6r6+1458BK4uAL18B
6NABIgE9t7h0hRup4SB8NoiifgiRDIzq9i15571vavs+tG9iszrCoTwgDbDRe/u9qKrNWDRvnajZ
5QEV96F+a/jjR7vsb67vqHMYryywGNS0uHHwOFq+0Gwk+ydyvNhLqXhuE0CfW2ss0ZpUo2FnZYl5
GOK6fDubWnHkE4N958+9ZyOwDhQoWCsd/MPPeUZqoboCZ+10h1cNqVBSc5bifir3EdSXuzGrv6Vd
mbwbcju44QCiTQzkdptY7Yi1i50fghxr2DChqXd9cs5rxcyNKSQUFtAcbbbTH4Ob1yi0gViD6YNx
pF/tbvJSVLjI4HaLmCOwgNC1fi+0sL+ZZqxXrw9/6bS79CYQn+HEP4P4X9Yce3TcQtGzNO5Q8nRX
Kxx+yYu966Nc/EgeC8hSEE2pS5x+pF9gUY6SL6PQKYHd4VSfhDOpO2rDGGVz5LcYW4hNPBjZ2wbr
hJU5vviRvCmfm8JSoup0eACsWtZLg1QnQE+owc5xO6RBtpJ5XDztNg1vWQMDBCl/xYvyra13QTUM
bCt0V1Cm1kdxyNow2nWt6z5dn8+LHySVKZhLCaNe7GCcZOfOTeRtoKgOxO0Jxc4ufTXa/bkuajAO
zTIKDItVqxI3Bg8mEKMM3Op2sBAUthSt+BfuG2mzR2+ZQjZI2dNpq0Y91TCRjT2jQwEw8EW8UzCv
PF6fsQuLw9YiQUePhpqhWNxq5WgmaU470pMSgCCV0MV2ktw/JOVab/HCvcZIfAd9CTTRlnJOZl8b
YYwfpTdZznyPbr6xRUndOepFgvxnUhYr2+7CXoA0o/PekpA3JANP5y+Tng2J4MtGmDo7uAOYTEip
7uvzd3kUTj4lV14TSyIiL+EuE6RCXtbV2QYbBwt5d26Qf2EUrPBwV2SRzrIcm1RrSOXc5dZU3VmR
2+94tGQrpYuLe4G6GdwkdgJNndMZ4/6ZNT3sYq+L1eBgtBlyj0EuJS/KYH/9gy6kHbIk/gxdYDRb
TuuLmKDUql8VwsQSw6TWVLrOrw7/hQ2anO9EXXa3ReMYK7H20kpxr4OEkug4NvzpkDVGs1PmUKSz
20zZjY0y70PUzlcqJc/9kUW+AY6TNzbJOJWS5SO/x4BxUHBL9DBmDgA6VJi0bB07aoabWi3DBzwE
inkfaXZSo2ccYv08k3EPt7WROfGmDv35zlaEgb75qBeIYQkt+b0Oteopmd2fpj/Pe2VszU8qjTax
EXYbGXhz11hQqRMghE2FsY5x25mlhmiZVbUfAjF0aEipQz9442TFJOW2OmEiwsPrhw3i9ZBELiQw
ERhufkssq9RHX6tdZNv7rP9s1VEMrajOMACozL6zN+jyVMM2V3sL+U9AoOigFtoXwbMao6bCyKCg
9xrdRt38AfDFHDd6RsE/t4vsoa6mg5bDvES8o0OLoUAY593gAJkA/amlX8sWFXl+3zTeWJiuN9gP
mX2ybZzM+pyWQrxvLZwuNw5Gd78jyNF8h/fe5ls/A9+1dcKy+WYlo8ffzLuNmZrGHoqy2W3c0oyx
mtZ664uexLrUKmlN0FZDkuBbYQ3hpkrsZNxMtlU81sDNbrpMLeNdM3fqPXPWzbd1GQcfK+TujhOF
2HcZUm37bkJzxy5m7U01qN1BmFN240Z2JJCF0UbslEuVYqNtVfPvOIs5lP19JXytapHsZFCXA0fA
f5AVW7xshRgE0pLs6rLKsXAGrEzslq0Y3Cbmg+7X/Qb1/8QbMufj648wvCFI0FI3idrz6XnK+2ym
IjJGHhZn7UEJdOc91nXUcLNpwK9FE98Rr/FX4salSwTaCMRrCo3ylj8dNO00bArxBPPyAWMlZrk/
6tlYeKjP/6B/I1ZixoWISCVSSqBxh0hG8Olwtd/Zam41vPkwNNq6iVnsyjL6OUPUWfmwS8k3Q9FE
oPxJR33ZS3e0uW4S7MI9y6mzJx+dPk84tbqrwGtsI6OyNyq95r3ewBUf/MC6q7Wy2QczIMqgF2u8
jQvx+eTXLIKlQMle8bGK8lhCCmRhvO0n7CcxVHE5LEp2TGPxx/X9dHGudfAhspEoaUGnc922HHa7
5jZoutTdG2ZY7rpyMg+zjSPm9aEulSelkg3kScgyAAblNntx/QxO3I0a0F/PngFoBfEI3CQwin0U
1eHWQq1+X2UA2myKc9ty1BFGLHzlWMR5ftDKQd+2qe3uoX+tpCwXdvfJz5Kr8uJnEVMDh7uDTHlO
0huA9uIQxLF06EMWUDTUp6/Pw4XnBzVaOhVQ0G0eIMtpQNvOwuuVnQYpYoc2bkkdNP+K/YDYx4hO
7dvGqDxRJ8qNVnZrh+tMbp3YBSyZnqgkIdJGXuQbgGCw9LOxByU5S+hzFPvCdbboy963Vvdrtq29
MUUHK6k/+UN8BAJxT7qFM72L6ySmq2rx2db8Y2plD7bAhj7tnrTOnVZCwIW0gQ4V/XSwpXA1lmlk
D6UoqGRTYrAapMniHEPZrhhen+AhqME8wJUCC6cvnhQJWHqRKwFl+ckZNl2noQnpJOrKt1xg90iO
LjBkhxenoBh6usFEirFUGan+oVaAHw+Vm+2tpE1Qchr9o8QD3rtKjJdHnvp7UYdYiFm18LIm+uP6
xjvf6NTRQJKy5SQ5fJmLiU5DfoY2/8GeYty0YsA845wE+yqczG2p1dWb/9F4y3f24HfNZPsVBa5Q
K+4TsyluKkXXPB6Mxbeqwo3q+ngXIEuUfyXUzaKKQcV+sbU1JY2BA9nuIa61Y6J3uoIfUO3Gm7bQ
460xTajaFtOE7Z3hb9QmsTehgURx10XRg1NhsBm5yoz3ERojO9yK1+LfeXinB0KNWrORoUCHQG76
F4EmHmusvSrHPTR2g8lzILaAqjA5yE38Lmx1S6L8nla/QZ1+UAABJRuzxKLXMGibvrcmgJJ+c1fa
+YcJVbDrU3dha1DNNegbAWOhPriISXZZTapPPDrYbXg/zDruCrUiHhPfHT86qAOurNRZCCR7oSyB
ciYsE0mVOJ2JoK3iEO1MfM4w0MJSWTjbOYz7N46BltwYYzZV+9j1JeqXsZzblXU4WwY5OCQQ6ry0
y2Dznw4+j5ne9WETefChw02mB+8QrvukJgiNll35h2n0765P7sUBnyuuUkaIC/B0wEiZnWoo8UAe
+tL30iRvP1gT0H93Es7eqEwsVJx2jYh7FkEBFAN+edbbBYayfPhjXjvnYc9Xis7i1hxS3OKwdVuZ
y7N9I0fhHiOeYDtxBsRwk9F2lYBPqwK1PAamSLazkob7sJm6PUKOr3UjQFhX6mJCt4KjiJr8IvGu
8CHDV4xMNEamdJPNQX/w+2YN9ycX5OQ1uRhlEUfyEfHtNMQ6cjBtdAnhZVJscPBuzqeNPXT2ttdK
813QDGu16QvTSXSWpCEkQKG9Li6k0TKaXosm+qS4u3pIh9mHFgHWvYVy3pvEXKWVnV9NZHySpMRh
lO3Q5VlQgkDRYr8KPb/UtBtoR/r7Mhj12zJgpzZOhMvi1KUehjb+nYrK386PUDiP3Vh5un5GzjSC
WVng7QbJD0hxFEwWb4wAUFitODCifGn1AEQm3mpK84uHIaB9IvuGMu3RrcZDHOjbiXrJbiqmeItY
j75x/XhLkoyoNw3C3ZAIvJclO2QK91PkHJOoaDejEI9DE79rM/dBB/20iSq73lBPuKMgYu2btm1e
m10svmixV8sxrpDoxzxWiOlHburB2wgA0PH6vF3aMXQ8ZS+DBjMB7TS2VF3Z+7aWhB5SRcZmMPNm
n1jiI2iYfoeayRqp6fzBJD8KhVpYPzyAyZxOxxvtTInn1g68sK9+2lGq7eLJ0N9hL4Ftp2++N/Up
2QNVCe8JwC2lJT89oMWl3PVST/v6t1+Iq9yjoKZowBLilqcl1522gCUdeG6Jqb2iDwGyL8289bWB
B3FqGQcnndeejBdig6zZwteWmBmAKacTwKMlyNSWVY2a9jHHDe/JDbrsg0qP8kkNjWqbd5TzNmlp
+ytL/Qw3XoQlhuYRTgJHTd9YbCjCxaxOUYTLkF3cBeocbhLczAAPpPTRbEojbRLB8hs/jza2e5n/
mP4/0s5rR24jbNM39BNgDqckm9OTlSXrhJBli6mYM69+Hw52ATWb21x5TwwDkl3Nil94g2Xda2b9
kwz3n9oIvWysB6qlwy8zzmgpCdjd0vCDOvU5gmrlt03/DHI7Raum/mEZZXvq86I7RUj+3l64dZNc
fQghMcxg+i9XanZ9X5rG7DCHU4FPtmN1VoAH2pH5ye4oJBCsE01dGICXK0UVlMQyCiPkcerBZ0er
njTMR64MO5uQmi2i3DCcCfK3QW6fZTiAj6jH0I1fPDiduJFmQrlHLgyD5KXAWJGaysFW2P004OKI
VoGC17ZKRBlaks5gadFdqzs/605RTkaU5Acx4VsV62qZ3gw/qBqz5zYTWDahntq0PGHJp9WrXpuK
i2INwsdDZDwUkSZ8EvrsBOpI+ixVdefVjZBPQMaSj2BiRm8cJp1Knm68Dkun+wi1Sy6XthUI7Fge
wsZaHtOqEO6U9fxTwu4z+A/7zCZKoPQM23cbZqZpkoSdJLM2aPi6popODN5vv/7LIHQziMy5gre1
wCorw8auGUQ22+5OSzHkNpuiOrjr9laccBnE94oBYdkvN7NmYRpNO4IVX6D8FrPVeP0aHtz+lusS
DYHi2rOn+buKXm5D1bzPHB2haa7USE6/OG0sHkDdTC/4D6NjQsLuKxYe9rY1RqewmjpvoKLjZgBw
z+OENXCZoT+VFYfq93uBCiCmVZx+xfUTHV1+vxpVZh5B4Q14UPofQFowWYR04qFVXz8gIpy6LRqQ
K7ZZR/tRQHPCDz1Nq/ZohtaBNocC+j3gutWuDqjReh/8lsQtS5kUfdZJwYza2is2w091JNnnRc71
wEi1/LWoxtU5MPxFZTP/FeoRocYyTO8ro1Te316unU1hc38a5PNv+eQmTo2cdmyQiZWCSsy1j0KR
4mJqlR588vUoa/eLkBvYCBzfbTm2LRWA3QvSOaZQJxc78+Y+Fpl9sMGv71FGMSG/cI1ylraVWF2e
zaxQljAgT1X9pprncxIOg6eqyXRWEdj15EKdDgblHrhaToblBeJhpdwMTftyOdtk1hpjonwvetR4
EuWpwkzz5zJSLT7hholDC5hIx62cstG8Pm/FByO08HNu6HQq7igvvMSVJX8A7TO/B6wi8RLLr2bq
OB+jQc++TyWIyJMDwC+50/BU/xTHmvrTpnmgeHqVlLqnTtr8vRdKPvm1bs+Si5Nlrt9PzYSAq0M7
Cue5MFN7X2hL+iltZsTQdbpHs5vkcRi5lgZwCfuu1Jn8xCij0EeNDotPW1Kb9JyaInoe5i55avI+
/GsaJURPJ6f6kUQ9ZmRZCokKx50+fj/0lf5ZwQX+V9Gpxd9pFeG8uUSyMdJzMQa2s5OQHEjJ35ne
OS8JCjGm3xa4PQGXUq2JXY6zzkmyxgqkgQnjdhmy+Gdq15yAMmuTH9LoKLkLhxv1WrXsv5jLDPUW
4PkXpVyqxW1wtc7u0lgtsKbveri4YOp+TrrSv5pJ4YD+MszmPEOhfZ8DBTfcXFGlJ6XRk/CkxaN+
jnuNBpwqyeJ7LNnj16LS2/dCV/CWCeX2vU1TATvP/Cnrc4zYG7uXC7deKqouxRh+MofaeOR2sT4J
ilbva2xL8FCHGuk3hYPlBj0959xJuJq7GXpSkt/YbSX/XVlZZ7v66CQJFRxnMvDEDp0xgFcafVeK
Zaj9XlH6l3SIs/muMSpJ9/5HdCmSLbVK2yixYrifle68lzKzwF23MD4j5VfkLoqB4bupdroPERyw
yC3sDLSmkks2lSFM1D/bwpTeozqdf7l9r6wx7OUdB5gDoiydEYpBV3DlqHGsKczSMIjaqvTCuMi9
vlTUO6s1P//5SCj/EDnRbqWIsImmCSlqtYlySqOoNDxWbfyrg/r9IjvtkYfa3jeh76TK+OfQ79hG
g2UaRfEwxYxEThDU+M48LlVoeG0vfbv9TW8h32b6gJcBY6La90Z3v7xTsJqzbYlNGVRRi/iPtuSf
JIvWJfeBdubxmP1Yb2ldgmz042iAl5XlR9fpm9Xn9Y/gB8ArITlUNxfbWGn4H4+hE+SRuQRiMnPX
mJwpwErlszr3jxAzMVEI7dEzwhZ7WJtySu+Uj43U/Rs531NpfOy68K/ENh/NWDN/9RVq522qVefb
s7WzLlSQoDGRwlJHcjZB5lRbi47pWBh0UjvcNbH9j2jz/gQg9n8rn/9f6Sg7L4wOGwxEDUh04tlN
qmxHIRgbTYRBaJilP+QGvaXesvyqmGSY50KbXJ3W9kGus/t9eHNaaGiiirelv0dhghttv9akrUj+
NnTK7EZqOp75u+Z/mEpYFRSOOLhULjaHyVI63YmxJAwc/HTdPsHLGQhEjQhftxx81e4eVziw7G8w
/dBjL/e4Y2T9iHaAEwwNvihuCRrghB5pe2oX1TkJ1RjuRx7ck2Qog1/bVXFfEz0cPN/XuTj4H9Ae
JqJFCEpsgWcmehKzgodGsKSKCBRHzf0Bl6ggWWheIibafKon0hJh4Gxze9fujryCvtfMb5W+vfx8
Q87jVBLUyzvIpKcCH3pXj2v7QRrQo8Q5O/o8l5gyqplx5Oi2E42tyn5IEtPEgQO3GdmOkG9oIuh+
PfBaBOAr4ojZOdIw2tu1ysoa0FB85/JYv/+3KHess15OiskJ8IRP/DY1wx+wS54AQlkH3dfd7yHr
AEwBVYBDcjmSTuBTY8XrBDrAmRdaVCU7NzmCIa2zsr0NKXIiwWAQp4D9vRzFoHnuEGQwSoEGztBo
baApk3iWq7R5Lii5urf3x05YSYWMfQFIg6KAtjmKAwonU8V9G0hFXL86MyIbUdVVp7Iccm6ZQfWH
TkOrvtXi16IZj5q8e9uT25TcgL1Ci2NzqY6VEoKiYfh2EvLP1gzTR83KkwAKTv5+dvQGJmOj+5Jl
frr93QcDb68FZHSJqWoGRiNLDlQ9El/V1ML7XEV/Ik7L2K+1WPyd5eEBbnPvcoeJgXYiUA6S8E1a
1pnT0gBTYYFpniFU0JS+rQlxlvE+9OYuLj+iX/Tz9se+vaHbXUVvmgo6149Jt+VyV/WmkYZoyDjB
ZIi/Z9PMT5PFD3FzoYW9NxS6GlhpVDw0aJy6kdTmQdgZXM9z3oLPkmYaJtZXQ2rqd63RmS/qgkt9
zu4IVJ6Tc607ozcMdR7QRlXvBQU1IGZoUYJBK/hPtf5nU+TRh9sftbtzVwYzWDGqWVuFpbbTy7np
mEiaOWnh5sg53WvSnN33sjH4C3aWntqH2aNUq8LLSWvub4//VsnYTCoVXVaDPulq37OZ1LhZLJIr
XpaubLpnWU7EczLZ/XNj6bm3aEX5zA/Jn+zOcty2czA0j+vxnUTa5hdKhl9ZZon7vJ/sM+Fk8Tjg
5+11iz0+tuhR4Tc1wpqPdAC3iBS7bEvzORFKdII8L3827GFy26q1fAeduJMctbEvq+AO8H3SPdw8
lUdU6tCWUjQayFOyeFl/6jVaJToaQnTW9bir7+x8KZ71Ppm/KUqUHc3P9U2GeN4qBbW2wCByXO45
GYswSW7YRUaXD7jJD85JTmLt4P7aOccrkps+FJrAK3fycpQ4N5JQtWuiRyTGT1GOdVhW4cUVNS11
oDnDZjjv8P2lWBPcXv83aMd2/ck+kI7kql7z8suhy0QZxgELHhKoNL+vYq0eHmHBqr1nm5McIiFZ
zd8ntdN8W28my1uMLPsiJusE32SavWTs9b+KpOk/4mFGqoXUi/xky3FZILQb1l8Qg1A+SLLSf0Te
dHwXL9b4xySKFQZPPwIJc7YvjM/LL8jmzEaMfZ28QtHOUiQ6z1KnCphpXfqLqve+aWiA/inzBZLT
H6HIdt5ucg+AEFAo1lre5iqMFKFPc1MSmuVAbmc11N2uasXZUMKD2/4NUHG1VrBEiN4VJMa3F6CY
5axfFtMOZqtvP2l9OTzWUp1+AZGYYRJTd45L4tX8DcdR/QbxY2zctnd+SA0VBMrIyfw6w0v8GYJJ
anx9mp5TCqm5GxtJ+pcqKYi6zagDfhWZ0cVuU6Ib6M1hqH7DuVU5YoDtBCIUXZg4VgxNAV27XLWk
tS3kw1g1JRmiILGN1ovkSD44WDsVVt4Le32X0S8jetycrCnJk7xdGoJUnMkwDWkTu3FBk05IsBJt
Cq+Kk+SsjkX4vciz6GPrGMvDGIpEnBMc1ejfAFcklyvnLnO7yUk+Hpy/nZd0LfZBjIIwDQJts31K
x5LS0BJOMHamX+PlPaXNKqeWn4rIOFdl9jiU4sUJqe9E+ge8ov/OhuW5mvOHqKlwIRpPY5V4hoyH
FQX9qtMw/Z7OklKeVKPyJAc6csQR6DVek95pXBU1joNJ3vuE1SaJq4vKKPXEzVIKs8fZULUDEj3A
mz0Am7zCCbbVjSfF6TrfWsGOt+dt592kSEq3BBE3jdtru649kt9xMdtB5/wQIl8ekVLN74sKKLA9
oPzbyDiGxXWTnbQIEPftwXfasgh7rRRR2gPcuVtYsAiV0KpA9gQpLWDXSutHJWzvpLT5JEc2LXWl
CKRefCwc5UNsSr90+Axq0h5Ju+7OuwVbgswIJNa2e4B1bB9ldWcHS+S8KGO8VusXHs8iiU5OWHeu
Ff57+8P3Di0QbBKht9hvu1nHXgiYdax0pYwIneS25ZUxJ/f2KHvFFAIS2uy0LKmCbylbZSKjGdHz
1nXR/B2e4Hp6URKq6JXcT1nRnCdBV0bOW/OTHU6Q5BJLvzOVqL5blrU5mxTjmXZ1/DQjBveIBJkW
iIrqLB6E4gXV6z9vSqLtAUBmxf3Ya73j8gC0iyYVbaXZQT2o2SNtPDWA1te6caQ2d86SSs+RJE0H
p253LQiFYVWiTENwcjko5e4FIuhiBxRhUoqVtelqZW0cxAd754yapGWAdsAjd9sIM5emarRwtAOh
YJAH48KkAjo6Qb2U6WfDSNqnZEmcx7wY7I+NqMXB8Osx3r54wO/JJSE/r3Ywlx8Jsr92hMTwTbb2
0IWJsMKA6wu9ASd+gDPx6/bW253UFcWFJTMPhrWZVKlKQFIN1DTsWFfcObT0cwdx3///GmUb9BvA
Dydq4HYgaU371LcFBGRH6g7mbvdb0EHAXxTwAi4+l3NHLWambNKyK5Ue1fVesfzIRgriP3wL0BRU
U4hdAVNdjiKMTMv1fmAbJnHEZWt+LNBUO7hw93YhWSaELXhNNGQ3g6h20aE+yk03xYX6KuwleVkc
Ai1pttOzJiyUB6YWHnldqjg5D/+h/ARYimR37VrRcd2cbzAHcTXUgpnM1eJspL1CnMUFCGVsPKdk
j6dO6w1vkq35IDzYu+JX0iKSPpw+egSXs5upam3SJebCXaL4XYNqtF+b2TelaT7avf0htvDeu72e
eyfu9xHVyxF1YQPfkLlyESj16RX8FPhTn2G6eMu4SAdb9FpXa2WtrwgntDINUD6bha2bPumzngdF
jFLxLW/KqXYrVH9PdQsTPOaRfVpaJB2LWfoSm53zMCL55k+anXm93f9TK1b85/sZQBx3Dod/NafY
rHXjSHZPvmIHEVJK56LQh4f/h7h0Z10vRtl89zLETRSt98w8oUCVRKEeoLJl0i5r23dZNCeoyh2l
Dzv3AeorNvgcqjYGPaDLlTVKaZSc9dbRymUkSlxmz1zT+Nv7Z6/FC1SGxjJVcbqCWy5BaGlZqes9
sBMltlB2qkf9XpLplAIUMO/sju/qTCf9pmvZVLr4McmLm8iGlHmkIZPxYOBrbLu4/lQRBj1F+Ksf
qDy7jlQOtg/OzmrdvDDQ+1Rmzn1Ul0rlao0DNblf5prCD2X51ajMySNP6/mnK2X12kS0nPwDsUT0
QXNE+/32V+/lGeSfuImAroaZvbWFMFF2VkowjhSP1OG90TuxR/e19qdYiU9tpNhfGixtcXUPG7/V
Z+2h1Ar9B63F4VUxQvEQZ5LkLT0oits/bOfmBGe6Aj35VYCyNhcIwpM6bluoXsSL2bjclK03dCHJ
A/UlD8N1+mI4eAaDoX215Wb4fHv0a2EKtOCBjyD1AYTUwM/scs/l5KkLfYowIIsaGs9Jo/E5Do2h
8hIHnlkxKYrjZ3YbfVDqVY8hW7oxcZVQvFOpJ8QYlLd0qu2CBNaXaAKf0nrCjT4tE7HeANwpbmYL
/eBn75RjYNCSM67UP4RmNi+nNamGlI5rfclRx2fahT+l0ezuHBGjWjAgw2BR5grkNjQPKBw7R/QN
b/hWjKNNu7kWnFSkg7nYVqDMqHi5jl1prWvoVX5wyV9fP7RkQTWuxCjcEbYgKllYjVa2gxWErSN8
WcriD3HapJ6hT9bdRMLh5k6Yfbi9GXYGXRscoHhIEYmWNy8L+6SqMgUTCj1U29pdbGd+VzrK19BU
m6eyWoqfjTWZB9f5G1zmMoKkAwEoESoOpG+AdZc7sCi0qQKyATi1J1byQznD4C60O81yFwTI+5e2
GqpPcjMmkVe1RvkpCVutI5QOe43IyVoRhTjhDpBgC+2xi1t7piwbR61fReZon2bqYK3XxwA5vVYz
chlASah8CCvoXK5okyn1HFGm6pPdzHWN+EyfRm7cN3Lrt/2k/eg5Bx1oqgJyhNyE5T9OkY0/LOrQ
3xKr7CAZoy5Zuo2eNoPfLe1y38CiqYO05aj4hTzawtMzRBRcRZIW3hMhf6DKIMsuOu+djWVwmOXn
0Chrx0uoKT0NSSd6PzKlHM67ZCwuBSyjWlEqy+AZdVQK3za0CrBqPpmZTzYp3k+Z1SeneU6+ZobU
Vic5DCfhWTBJvs3hoL+f7KSuXDq7k3hERWyyfdQNR2tolUCQvee+6SwmAqlDPj3z69Onockb3cvm
IgMm28saSME+LQ423E50QeUW/iOBE45ZgFEu1x4XjoTKX2wFiCNHD1S52w+zQQ3EjhQN2UxUBWul
Cl8aB1zPNJnOC8oaVVCaNI1bG7SAblV/nrWpqA5QuSAep4awzdri3g4ju9XMQDihOGtZ3d9hVlqf
bh+16yCOUeCYorcGdo4U+vLDK6HHCQZbZoAtmzg3hLY+Ihs+TiETmWJ5pA96NNzm2mo1p+24UcwA
upXptXLVnJwBqLRsre4CyfDn+RM1cjJuOphYG9APv/y8REiNtEizGUxa1dxNHT1vUUnjwdVx/Qow
ypo6kdajqbQljjatqSHZ35qBGaqZr4Xt9H7QIg2Yo8R4uNs+WSA8vCWZjph16+/f3FlIeVD84JZG
TmQLnRBR5eRirkxctDPJm0WL3Jku6vsks4Y/VfammOOQ1ADrp28JBHUzlamxWEY2GoGxOM0910t4
P1iqfORlvvNFqzYONgigJVYe/+UwFG7yqEhKIxCxFD1mSaqeB2BbQVlb5cEbujMUFFbcickUVxXk
zYWv9zFqBUUMpzqRSjTSltrDXsLxq3I5KsDtDrUqmL1V5GkAXH5V3MZJ24yOHhRGUgbECPQJR3W8
U7gUDzbjzuOJsxdNT95PKo9brUm6l00XL7oeYGgMqTULEfeLI+NFXpLsq9Io8h2F0uUgTNgpxDGN
nAId+vLqlblBC8gK4TlGwxo6pZQn6hENs6niERWW/jCIrEHncNA/jJH6M3W05GOmAdXE8CMJpsVx
EMwylIcFMQrfFHoXRHYmggWtDzozWYQEZvj59q23M0dvpUlSN4DCVHAul4PkOCTlWOjyYFjPZcfd
EHg6yL9zk4fx+fZgO3eeg+Yaio8sBhDl9cf8BtmgMerYKCPpAQbX2iMBoXEnzdKAoB0GF7OUjwea
K9ehIbJCwKlAzyK9SNx2Od4oqpEjDOo5XIDGNgoU39zOk4Ov2tnRb6wwInWWHfj75ShWOqR1JRJG
MWf9g+mI+RSJpUPOnev89gTufdAbK562HfIaWygwHjui0FKL0uzcKK+h00YoDiRH+c81/55VWumn
SIgAHMDx5fKL6tyaDCQ51QBdRelBcuzwQ5tFFf1AJEUyN9Gl8mTX1XSPTdb0b142c1BM+nTfoM3w
akFofXRMOtJGUpcLqi1CeDVBLLYXSez2Vry03qJI5jtDxHPwpxNEQYSa8ipjS0a9zUI6rS47s7JV
pE5obYgq/GnbTfRfBqGkD7GL2eHcXE6PUi95j0iuGmA8PQBJLNvvZlQXn25/yvVhQXcNHYQ1Aqdb
sqXN6XmUpTD/KegvSkgVt4+9pevI3cDKoAKcHPn37eSdlwNucg1pJGJNJ9MK1ErqHmbRlEE2x/m/
Y5klD/FTDKlS6QePtrKFykpPepxMcYCu0PhXjp0Roa3lfEhNJEFs4MUBYYB9bqtcvb89L9fHjZ9J
+2+t4a9trM3P1JKlBiRpWfhAZbVX9wSC1Sj3LgAM7WChdygdjAWDglI6vBlUBy9XGl8aB8wcHtFJ
pGQeHL/GV8pS8WggT0FYVLQrkGe+l6uy9ZH6mf0h0yXPLOri4I65Pvj8EHTr1xo7WfbVZnDIm2HU
WMHUI2s4hmiHa7NzVMfcgUwyDN9JTwZCEvCay++NikW0IcABWj8RuQussHMUxr1b2zWZtVGhvDKr
oyewmnqsQJzfjxS5D9Z371OJUSkjUj+GBr+ei98eiTKNSXmBXQRxZOm4BMalp8m9/sc3KYE+SfWK
ICG1kDfBlVzZSrm6/gRJN1p+OI/zOcWn/nR7r67/l8uglFFgS6Pes6prbPeP3DcTLCV15Q5agC5t
ZTori/XvGFuUQlQFRtmY5Q8qMcBB6LN3SN5krFFPIafZVt/RDu1CUetM4lJZj11rhKc2FPhZK8XR
UHv3FFAsQm+Kl8ChNnsGzXxNqmbWa+ynwh9S2oqKkqRY/3Y86ob+54nMW4pGnw7EMtH3ZuUUlIxb
aRqtwFTn8l7tE+GKIbYPQofdr+J+X73juYC3ocOgzLiBSxNVpcKyPfpZFSWYpDgn+fhZm2rx7vZG
eYNuXO2UtRtKDEb4uE27M5qEchjbZjB3ZYHMd+94lpFMfoykvxdFWuW2MGTO6H+a55GqagD5BF3y
sYlfFyEaP6Zi6EoQOkhKsPIQvT56swyZZGhzxUXKe3jusRt5insy2blr0VwOzerJNofR75cV+zlG
871FQuMBEpNL11Fq/Vw1ISa8GAto7Ti5Zmm7SLDbZjnh+pMad+qspY/lhLjB/1RK00VJ06ClmEOk
rKSlfUAKqodLM9pfb0/W3tqsHPzV7x407rZ1rNW9Vs0LlTipEWogRBYGlCzAwsDfoH+sKQf4371T
zI24+kfSzdK2eOZKqWNhJFTnW0et3abLtS9GZyivdZhqXq2p5h1CZ4bnAOM6OMY7dyHNACTNHDJA
QBObu3CKSkdvrYRbajDqp35CU1oRbXu+PZ87lwV4PV44i2YhoMZNuAdId8pMWNXBIDpc7oRRnROt
fJqMqT04VdfZBlXM30bavN15riHxLCJOVRQZnqYWIw4AYMSlBaSQJWF12shS818mEeoGIeEas20F
7iXoJF3dplzCRjHdFU4l0c1Jj+DUbyjwzQnmHVl1RRGEIuvYxAoJTaQYRDVvJ1jQUwnE2AudnsRN
zGGgRlp0v2iDfLapIwP3T6YHFdwq1LhKnPMJ+WRSvc5X5E6/l1MNgZ18EH4nJf9U3ag+A4hQIEkY
5VnplOqhy4a/FgEJzVFAQQ1h3r9OCEY8SV1oep0Cci9KwwJG1BLf3d4r1wJG6HJhTsw04iG31gwu
n+duKJyky3Mr0KJ4VgNFq6TKiyTN/ltU9AjdpJRN14b6heZFMs6v+CrojRsadftoj3rV+jWC+2dz
LkFsoW9Uf8s6eTqq5e3taNo3dJHXPqmxbUjGdRxVekURM2t6ZIpkqfDGclQfOsk4QlLuDsVttEKq
EKizN89fLDVJZCjCIhDOar921I8wPNNzWwJjOZj6vdtgVcj9P0Otf/57ZJSLPrNi0wwk07CeHSuu
gjYssycdPl4wOWH1vSBj+JTYhJ990VhuRDXubumU92kkLX6HgtK9gP1xELDtpIuQb9deOwGjAhlj
87uo1DO5A1Ogx6Y7GnFQYTa7ONZ3xVleYwkYpKyQvOiwDOP0ndZP50GNn8cVYt5nybu5ku5NpfhS
Gp03a/JLa0neuDRHuiBvT+j2gBJAw4HnTecy3+TplDmspRUUeG1JCumi9uP86BjRcOqSjkI8jjlB
rrbVOcKbwa2WEgJUjOCSGi8DqLg0P82TNp4kZM5PWT6nZ0kI/cXp0+XJHE1w8zqdjdRclK//oyI3
MJbESsGoZvMZheHxBFhIp03f2Ae32w6ubqU+E2GulRW+axMPzUs9R1bGWKsu28+5aksXPZ7BT2W9
uKfn0HmSNqh3kpov72KnAOPoJOTweW5gOE9o+h82KcU2mkc8VziYbDYDNqHTnKaOGcQreKZtcvSI
1Ei/M0I9d1OxIHxqSwkEVDTtZGH+2wzFAEddZC4BKnqKjdwHDYzXg2laF/dq8akJAIyD7wJe/PLs
OBKwIcEjH7Rx+EToVHw0s6j+2A2Iulay/K+ZWNU5hx0caAuqhrcnZe/gkmzQoUTXCxmOzeDqOGSp
mYZmQMYz+0oC/4JgyTlIaXbCIur74KnXaUc+bBMs9Eo4ttRw6RWWOJkaYT8+FbP4rMPxOKWd8+dQ
KVh1aDMC5qQZitbs5YyuNI8+aSwz6OPQOoWTlvi1iqLw7anb6UcxDCo2OrU1wL5v2/+3Sy9vY02R
RvokRZb1LhpFwqNy/HVRa8ef+ffv44wyR9MYD1pUor9rP9uS4cf99OX2D7meXazVVkc3Op4Wt93m
cxu1VcxIjGowzeIvci7VMyR40xEm6mDeiu5gv14/KwwHwvvNq/FaGaY2BhzSzEIN9EWSeheIV+8O
Io8fVbPU/7ifcTHWW1XgtykmjWpaK8+oZ4Xy9FSI7FdYlUdFxd35wyCFqi9hJk2ay+0iyjAzGhOU
5zxDbbV7Rz5pc1WerKYjtbLmowR/bwIB7IAuAe8JOHET1OIcOq9oYyWYrKpzS/TtXgn/ilNrKNPp
9tbYGwpkEuqcVOkgeq5//tv8FXKO+ATCWUAfCvnUJ2Bu5M7GIcoKs4Oh9mbRXD+L3hMMy+0sIkUL
7xzdf7IeXX/Vyqp6aMK6OkXgDB/DqqgPtuG6qy+vTVwGyO1Bi6881i2IkOt6zuKk5NMWmcrWSHXq
lGBOSWbY5adQrnNfgszoT8I5OgHXlyZDq3BnIfDSLtriOqZeTdQ2EkqAH3dzV+JF5hbQJg8mdH8U
rha4kKj1basXC570tWInCqajiu51PYUSZBKObJj2dgitPFI4ZIoIStdl/W2HVH1TASlg2VZ1dBhi
84LDYDV7tV43Bx+0t0PwUqCKR8IDumqz73Md6a+yqZVATlvhptFk+k3cq35U94PbwT0+SOl24g+w
xlDjIchDIKc4eflttZPS/C9COUjGxPbyRsqeJBtxIV2ODDdDof6Us4tiV0OWGkxDqJ7lWl7uwWPU
XlNYR0D466nm51AeRnGG0B+4zuXPKeRSGfix+KW1NqQmuU6CkQcsADHx6faxv57py5HWX/LbooYt
iSxcBjkgcTNPc2n3IDAz/K5iOT9BEftxe7jrnWoAq0ILEXEZ4rKtx1aLAEOeF3zYKg1y59TheBJK
UR+QVHemTzF4eSgbkucRol5+lN0WwF5KZ0Gcri3uE0NEQQGg9p7886hTuvNBAFnRcSIqW2+XzYva
Akvt1NJYgsVArRl9494DmZMeZE07q8QotMtsOsBrXLT5oFA2estUl8Bo45rSvHgOs/BFGVqTzTEf
Qaeuv4naG/gReBiQ+nnqLker+pAp0yY16FWtDlBSEaj2tNLn21vhba0vr2WKknDr38C2xpVMuVPU
eSTkRg76vg01b5Sn8PtSqIbm1yPySu4gtWHmjyJciGexzX5MAT1XQdSUcf/AX0Eaq0dSqHiEQCsW
t5dz5aNi4f7oq1wWPkjU6H2azsV4HxZL9QWXBxNdtMpJ5vey0/wCblp9xg8qVdyw6pev6RI2o9s1
PYTUeJBUmhPpKMRrbI9m7edKWivgmCS2UtYAwJ6s8rMsRqXHH24t401rl8W/PUU7C0GmjJ4aaBBU
Q7dlChmn60IzBzmY2ry7a6ZEJjuN479uj7IDYV0RNejbrcow+JVsqiExsTxsOVTiw0mi25uM8UtR
LA36hGhPpE9GNUvpOnFO4octh9eF/mHNXpqqxl1UhvqHxJSrT92ShZAwAVYdbP7r5xs4B+EPAk5E
XFca5aOcJepUZHOgTWbxuHJTfW2M85emk0BFQAeBxt0Wr5hjHOnTXs8/I9Pkp+5G2G5u6+dYKtJL
dOjvNnhOnFUAp75mF8PB9+2MQs6GjyiII4gUW2sAQjxdGlMOd9enI8KvC2L1+mQe2N/szCK9dtRu
iQ94xLeKAWWDOyXHegmQ3m5eNGyje1CKK3NQVguvsFvpJOVz72vVcKSSsENfXfE4qz4gQCA28joD
vz0ytWi0oZ5VGux6T3ocT7n42pAXNA9CUpfabSVRP7WTHBWPUtbAII61Ea+NSJ5LyU01yTZP3aJ3
P6oqHp7I1uPwTg/n+rNDxTX2mkqCCVbBiUO4qnYk12mWfnLrslBfuhCSpT/USnpUMttbNXraBGsA
ahE/2aQCWR12kdbgQlIvde/n9VwGjgYH7fbZPBplEwgpRm3ZtdwtQVR2yaMJPMxLzNw+2IHX7yXr
wwoZoA1ANG3DrdHORgnJL3ZgVtRu2SSaq2fF4kVcQAep8N4H8e4byKsCzwB2erkVRDGmOJqkDBXp
si9SaO6pPcn+n08bqBnYDtTLgXJvpi0CHGolsz0HpCEU7Ix89CUtPArur1/lFfJPtvQGbzC2KVMj
N/mk9jrg/lmLvyzG0N0BdhN3Jao9Xg4L/uCrdij71NfoaHMV0TC6AumMiymanoZekAOdfhSdOpSe
kixfIy1En5tt4k5VVXiTZBTfQo7WK+EcoOW2kv5uiqW9x/hkwIsIILM0yEi0JSWYmFGtz3pTy7TL
03/0To4/c5KLg9vneqrWg8JFSkhB23v7xJhtZfVyrU9BoytjkMJ3eOxVoX0KjUnFAbQ3D+LMHdDD
2goi6yOKYYG2QFjAAaKN16ma68p5l6dJ9CBP5ddeK9pgUuXP5qSlAaIi8GHQJjwT6+eo1lZHumt7
v4NK9xrtrp1e3vLL/V7PYWrKUzcCeCyqb8B+BDwn2mXvyipqfkkS1ZD/xd6ZLLeNbGn4VSpqDzfm
IeLWXQAgqXmwZFv2BiHZEsbElJjfpl+jt/1i/UG2b4i0y2pH9OIuOqoWVkhkkkDi5Bn+gSHzKMqN
0Yzzdak5rYMhlXNfmqN4TW3ix+ecomrVZiOhAIt8mNhNRWoNQNdWbW+GcEbr9GcWwnChmAv9lZDy
43MO3IRewkpQptF02LlwsgS/n4KlhmGMP2Gv04cS+Mcrif7PLi9tY1IWpjkMFw/PTiyMPHuwi3FL
Z/kW5Z0oKAbGm/OCystUnC2ddTI5oxko+nBsddkDdf5rQKqf1I7UaFQzaz3DNT1EH+qz5QzFnIzb
MUfzyNIqE/s6Pb4sTKPxaapVR2nqGdup7EXQjbM8iTJMF6o07gKRDuYrQeInFx7hViSYmLUjL3CI
gs1reg6DYg1bkdrG2xoWTTj2VfwK7eknOwn2O9kixzkzwedr8uJE1xoXeL1kFeRpGhTzY3nTLSD5
fVUx5Cvf6Hm2uV8orIAC+pXMpsAVHIqkLEhTFG2tdQwgJ5x77DoJALy4uHmM7jKFU2Uqi28psNJ2
zVDgv60V+JoH1qDAh5fRaHahBzvrlDlTdG/JNhV4/xZdcVzbkSGOHK+jm5Z1jQGYNZUbSzoI8BtN
nd6DDBy8XZxaLJBgz7D40qi1HOEM18n8CrB96dP2LzUfzGndBKasoiOjY86NvpCuX8CmX85SRzpv
VXPC3VhtulKGkTOrsY/8b1IG6Lj3G01HDTDQIsub/KxSBzQ4Bl2ezVldBBkaMejxiLy8l1aJW7tU
Fe1jSivvPK3waDuaxWx/LvDv0TcuzjoVGGE4cEGU4fThy6Q1p7BwrX44MzwhmU0YCYKECfgzsBVM
cX998P4AHCbNg3gMomEVyiXerQfBi42h1qViIl4GTQUE1kbnKPyYREOzQ4PIu4AyjNtAl7jXRWQV
n1wlj4/NanTOTeavPgLSzKNSlLZrc2hPW+Hos5/lqve+JSweAUzNzpgcZr+Zkayf2AMgt8L9IU4c
ItTbulYgl/fNdjRLJ0iWxSGNHJdXErkfBncss2onMM7lq1JWOPsXZhwRJ2CPNVttVHWMIbMOJT1V
T1If2ccSAShKVwz3xrRLQjdeuUqDXfWnhdZ80oXocfvTQc0G8wh63o8Tcyr8rjYw9OoanOqOaiZo
0OQzaV+mPRakSDYlw3snqcYvxVDhK1Xa4jgbVMIfDmT275aQfDsQA1xB+gbrAO8g4SoAkCUDSf62
Suzkwpmb9MwoEu9a7+z2WFNoxFsddn04WrTVW5iv89vMqdZpwAzmJDOzWg8WWRnXi2e+Jq9+GBDX
j8YBQSONRB0q0MGFL+eM3kON3/eE3TTUQSPZ5lX8mgnFYXnFKswyWAXcPI2nw33vNCrWMkwctsnc
Fhew0eQ5nLAh6NPSOq+j0j5HyjbfJGjzvvbIrSnzy/C4Lo0FDTqWbF7q5IMUIxI6Yn6YtWwLS7wX
dsX2MNSx9Ntc7W8m7J8uIgnV2JTRxzq3EXjOp/GVc/jwOLA455meuxw3UGZ+yOqx77X00TGG7bAY
VZC2tjxp2kTZ9RPJ5a8jzE+XWidYHAYGgKL1dr8IMEiqKmnnot225O6jzGfjeK7SD7aoX8P5/4Aj
Xb+UzTgayjSsAqCB+yshN16J2hHDtomwclUT7H2cPDdu7LnFyytH/2VC+i+MxqK9zdVy2ZjGb2Pl
+QzUl2vm6FFlwEzd/wx2vF7tweu3iwuwwEhFFyxN91oI/Mk1XatYjHAoApFKOlgFKpAHJzTqodeW
OThBGQVwivtTQV/ilcP8Z0vBObK4riuk5RmG8eL2JRI4n1PZPfCKQg01hAtPqmpuTqbxNYG9wydy
vXTQTnku6KIbaMjvX7rFMqYxiRnEJ45aAu5h/tK7Vn7UGjjRGosh3+Ju2m3dCYWzX2/RZ+z8yydy
XRpdJ1rQiE/9KKIPudJox7rtt3E695iPGZpv1T3yBR4S3VqylJXP2d/cYElPT0NddnYPkqzX2vp0
Trz6KNITJ+Rxs7aGIXK88szltonK7JWi7Gf3giJ8RSFCz+Jf+1doYKwRJQhxb9URqIKNyv2ujeth
AxbWeuWSrE/l/hXRVgwxaQEhgm7jwbNEqTH32Io3W6+rsX03F9RHx2h6JTY8w9MOlrE4W1Ww9WvK
eJiWNnmcR0Na1VutbRorzGc5Pxgqu8CPZ8c9mTDqgfSBFedFMUnZ+rNpg47NDGv0fMyH68rPDWml
27q09bBITKNFZ910Nin4WRxnNNxYd1Glkvtl2mw81mnZVL60LMn5jaPDCcMj5XyMTPURurACW6dI
4k8GMxxO+aLpad2reOv6szdKQEZZm8qgsEv3yyBy9dEy++5dbRpxHGaDHMpNjxUGMomD5V64eB4j
TG4l08dUSazIl7WZvYdlicGdbg9DsvUiy5EQ5rX+2ho0/FxjI1/lgdD3VxOx3Io8AtNEMUbXzxAB
3sbLu1E30m1mNrrjK2jtxQEtQhfcrV3LKzOCF/ObqRaAGoZra46wMhzB5u9vuMLtCquVVr21REJY
nbGKlplZvrLKeqAfbAKmJKuzPOnW2jDZXwXBlhlwsqi3oFrbUHh6FCIcnIPKYbpdO0oUgn187fx/
nintr7pCSNaek0n15R2eFrIqIMihn7KyLMzBr5EincPSTBUznBPFvKp1Lb8saiHHYGGPmqgstupn
y0m0jbvMEDNSe44+oQ+0jJvZTueLps8ra2dWnUy2po6kbtRGds5Ii+JmMyHMPx/bXpu+nWGqYoic
QGPepE0X6X6JgcQm8hIU/gwaDFOgZMaEY9EqJhXSG0ZgwBFdDC04trt+i8dImiNfoanI3RsNZqXY
kE34h5fzqO3G2ohsXzYOLaWZJ9ZcWeqzirUX65j9rcJjb/nmiEJyQCDWulfu5g+JM14RMLQgpz1P
o35w0yybThVKLXO6NdzOTMmYtoq+X67Spc4FtIoq93W1NUo+hDu4V43IaR2XEmOcpUAd61hdhurR
6JcUfBzEYr8XPKuBmapZE2QNrtg8YktBibjIbpPVNfKyyFJ1H4DBeRc9x2/qUwl7YziWcyWuXjkr
1t24t2+YOAMuoGTHFQ5K4cFuTZLe6PK+TbcdZszQcwazX0LTUJqraPYUTIDcBLep2vWg7Rfwxtpw
mGoPSVguChAhO3s/erjHPH+q/9jTcJf//Ac/f67qGXRn0h38+M/L+rG86drHx+78vv7H+tJ//en+
C/95nn5uK1k9dYd/tfci3v/b+uF9d7/3w6YEnThf94/t/PaR8qN7XiB+rNa//N/+8o/H53e5nevH
v/78XPUoQ/FucVqVf3771fGXv/5cJeX+4+Xbf/vdxb3gZceyuJd/BPep+O///OFlj/ey++tPxfHe
AIwiHJJusydpSvz5x/j4/CtXe8OICj1qYMUcQEShP/8oUc9N/vpT41U0o8knXQB05D68CoLot19B
82MDMCChcMYL4s/vH/Dq6075emu4Ht9+/oNW0RX+N538688fnxfqL6ZICH+tn+KHIFtOw1iWdYK0
S5p3uzLWxWVev8+xqPTbWE92iY34ZWdo6UeA4F/cUY+vHHXCMWORodpoS1DnQ0RoqLwjtZsrP27n
zPDr1NU3qyk6IkXqHCBTcZQM5mdcPORjGqGykS8gYV9c+599lfU82Hs2+CouYzEaziiWwHDaj+QJ
guVpazAhXgz2Zpy/c2qKXL0ZUdy3p6S/mOd5lzRzpwd6UpNVZfVkBFVcDUc0OdLLSl/qXaFN9lmj
TMaJqtJyq91yArRdDP1N6+b122mpP6jFa8IIzzKUex8dGPWKzIIExmfn3/sfXXfztInBu26lzpG/
0cz2FrGb6WNlNmjgePC2A3uqq/tqNsu3dTO+wwZTPS9jDExSUQojMI0yuxpUUb/PmqXglJde1Pm2
3ZPLeGJ8TBDhPi6T7iPAN+NYqMlwDzpUJwWYRXnduX0VKOpMtwlxsuPWQ0HY9xKyPb/qwA2bRVlv
5yT9oNpFFIdMDCPOkNlKPN9I6ZP+fjj52yCxF1h+GXT+DcOJzX39+3Dy9rH+7/96KNLP93+ElUhL
/lHev4xG68u/hRXbfUNzAgQJs2D65msU+B5WHP2NSlMNvgItZosKey+skGqYiB0w10VNfN2H38OK
8waYJ8gz2lqQ1ZGY/a2w8jzsfrmj6SiSWgNhY4gBX/gH+JdCZ3U2CkDgHd3P06xv1XkLUXlatnle
ZLc6w/Jx45oS8zQ6UtmwlU7XNj7c1uJUamqlhwYNv+pEWsXMH3rqsOu1qaNf0Cfp/YIlgREuRWV8
qUVUizDnIMQpuDb7d2UGaz3ApQesht7FoBGqJm3LY/SXKzuEi+K+S0sNAyc2fDsHSP7D2ktL1wSP
jUarCEpnVqSf29LNz8tCyJgG6+j1vtc7WJqmmTlj+FYhoB84taNelNo43Tq51NtA6+Ha4wU0KQya
F+nUm6hyhkevtxzmOEo53bZq6oijHNTohC2abQ4XTSL6GHcoSUdY8RL1IfG86EtWJkWPe0Wnm+Gg
j90NuMDCPi81WXtBrlb9+ehR6Z9k3ULfEwg8mbhoJyG2fbkAcZe0ELFRjuUsAi3u9HbbgfkTF5yA
qx6QGIzen9UeLJ6GcRbPcdm3V4O1xCQu3ZLda2AokKy1eSWiIuUkN6Qj0IANO1J00Ddop4bV1PXJ
p6Qr1UsFa9carym3It0yXTFcjDN8vJ1Mx/aDFNYgJ98rUWDZUDM03lED4fVW96bcDIbUE2fQ5NF4
j9JJnEeIJNyPjptdOrnlPORlbErINHOuBlPVw8nT4mwV3eznjKGJ172vGy93A6N2kSMpJ3p7YRIp
xsPiTDECPVO2vIs9axz90Ykm1ddsxAS3TZNUmp8hD4M9VCX1AVyAXjM4N6A+X2cOxLY1zxus3aJU
jXFigqTR8bAdUeyoOLixgbI0+VbJCprXYDWi89oaOvLlunUe3aJeiguG5/rbbjBU9ywzB9w8a3yw
8nAxweUGHk5OInTFBNisiBxHnFbg3MfjUmnbJhh0KMehwnPRhbKb6jgokLhl9q01XRpoQ4OWiNpQ
KIS9sIo8rNGujXZK45rnpi2yLog7xKwDnHstYzfRNxYYWlE/BUkl+7cSWkgP9cAZP2tiRIrDVuAQ
+LGagJcoO6/5mOkdznUAyqMp8DrIyb6jt64VKGhKH/emlAir2qPqhK1tDFrYgYVMA6iw4NPxR69u
ohHpK7+Byo9zQrwq783IQ7ofe0uJ3I1Ga770rSlXPnSyTQpK4kl536bDOIapcKz3uAGoH7xhFBEO
ZXrpcMeFZfJYRezW1HF8w52azx4zUobBmQrjsszSuWH/Dw9OmQ9XyjRRwcwDg3YIV0I8taIavGDO
9SyFIeRpN2MnHueobfvdZC/zqs6DGpc/eGDxsJszAe5YrQiKYmI2n6Pi9bkbaNkGY7G4Z3WMcwjK
ng2PjYMgwG3S59YF7bx59OfSa7SQhoPYOiv1DzVuxhsbST5yLAq+bah13Wpu3029CKs6B4wiMqWu
Qt1qGfspWpfXoAFcEz1Cs4U/45lFGxN6Fjlvqqlwzlt10FDsdizgfN7EQDMoh3Sa/AXQsHGqx5Ya
NkJVPws96u/L1rSXjTUmXuG7JgBq1BWXXttNqZO9M7OslIFeWtqNxSasL+xVNhN/BavnpKfnhUgi
E4qg1edJDQrwE3WYDmxdfzSTTOcNRzpUKbdAC604jh8gzpvnapdbI8rkuqEQN3MwKABy1cZ3K6WK
t+aABCMia0b+Gurxhw6szZGGsSwmaZTx/EDOvNfrbdWkR7B93EwUUJ3P3VXsQO3YptR/2XmSqW1g
46v9iYTQOtWW0gX21y2/a2/6/DHQakC3i4knFPj9j2Gk0EIWmFabpa9gEdOoZR9pvwuvtnl38n9m
CAy0OecPMsZEAgBobKPZ2JXQTtw+Gz5adSbfNWlpfn6RhfwksV4be/tHOcpoJJ9gATB4AIuz/4XQ
1vQ0WaT1pqh6YOKgzTCUyrWRu0x/ztXO2qbwvDAReoPWicp/gUR5Ud38f1rYzWuVuapt/n1auGtJ
A7/sJYLrC74ngtob9jvzboofcjoATP9KBG3tDdUjMuMkdKsf1srf+V5f6m+A0q4SW+uthSBGnfs9
EdTe0AZDOxn8H5CM1a/sN+rLdRu+3Dsg8g2bYcRXBX6mtvt7Z6bALWunyUKDVgxK/429UQAiH4HE
dV5pGv/gVb+u5aikxXxpYOOHDWqtEgnmUTILG8tTzot+UPwoMu11mv8JL3YiXV4kmwSk8jzG9VU7
jd1uzDQ4FhOyFKYVZ0GOT8zYL1CO8tLc2GKR2zlW+t0oqq0YqoyTFnuaWVdwtXFz6S9IbQUGmkuM
ZYEEFV61kDF2xvWLG/6TJ/BwOME3g11trRruQCIBCO1fRVwmbS+PWH5RcFTryPkDbZKrdQMZs6EQ
1QuQLf5CNrD99cqHnfivK4OmWLcY6gMHMZV0fcDMp8xCTSvjjTWIMoQV8xqRXKfuONwmKyaesRJk
Irq97O+XoTsd7DqrWhDDaTxkX+pWV/DScBWOZBWp/vMurdM6wLYn+txFWfxxrpcPzZjNTqDlin3j
KMuJw+G+q4XoWt+iKnhKRje9RquyY7IpFMMMtTUZ8VqcgWq9Z4jTVyLfQOisWl9UtnGqdHN5lJse
/bv/j1tf45ams13+PnCd3It7atiXFezzK753xuw3iDyhUka4gXQBquJfkcuhuiWS0b1F2AotovXI
+R65XCIXWDHOI9pjzFrZkd8jl/OGgTLjAiIhGilkAb8TuRDGOdiU7HlArmTpFNi0yA7lFfUu73oP
e6XtoqkNWfKorxAfk7RoNE2TLmtV1mvyintHRTe8J9UssbSHSzvMfqHOeBya6kCLSQiJQChAHHPy
+2SJCBGJc9bBmhUMHOxs2UwGyWVvF8qRkxZ96Y/9ML8rPW+JYBs0vR7Mcsg/1J0TlxtYcidJlIi3
c5EZddB0jj37duzSlRqtYjJ91AfMIiiwXSrpfjmgmhYYipEPad94j72WaoQlY4mzItKru6aoMeyq
I5sPqBvRpVtU5YCb02AiVGf3XrZrLKldyVEV3lHCROu9jY1ShZV2BxS7ATQgAoF2t+JjieAMvqm4
FxXKURNVqzY9xpqHxVLaiOmdhpnp0aTlhQjURcuP+RFZab2ctQ/Yk+gPzlqa+hxj6X2v25ArGj2P
tcCKLT3ddL2Oi7G29Op7RvrmB2CYiNqNS+494KXZnJrjaDF4c0qUGdQaGSA/6idAdgyPowel85jB
pRWK+LRhTaqsbEZfbOkTbo5kwHtXOxLMFtNU0/IXXZW632hRBI2706qYWaemfPKmbID7kUaWiQfW
4G5oNTr3FTgypnmADO50YSSf1wPH9Su7ji71EedqP5r11giTxes+aQ1wDNJ0nUlZTRtwORvGPLsD
r+4FDGXcIUy1POsp0joL02jwaJ9aU6lzXxGWNIMU7e7HoemnNIAzhSb6kLbZVjKAvBv0yCg2dkxl
riAabvtThFXR1uxygRiH4o1RMERJm2yjfjCvbWlM2P51yXhizubYUWmIZXqNfX548kPuR8KNlJEn
FUOOQ0HlrJK2yvumW0tPyk3KTfR5sPUt49TX2qfr8fcyyQCeCxABlAeUSeLGYeO3QA8pbjUn29ZW
c6U4S0aTZ0QDw2qVjUy8OeyadDjDd8670jJ1/Cok+m368O10Phh3HPz46+nHv2EjEgbaryL3+X3b
Pfcf92L3+prvWaf6hthITOSsXjkia3vv21SDrHOVu+F+ABwGvr0iKb7HbvMNURlGLbpZdC1XYsf3
0G2+IXLzq1Xq7Rmg+zuh+4ekBfYb2SsgajJPzpaDdKnM0fEuY68MLRtB1xSb3GN1Vl7zcn4WFHu5
7VZPCuTaTGow9jdI0/2kpZA9DslVgnQVwjeJz+QuOoJANvW+Pc+M0IcE+0HkS4CSGQuW0v34wV6k
+SjsJLqvFecIMsBQhnqdebiPgn36oBnKrmzr6mrIJ+XG7KR7tmStd5tmRkNDMyt2vT564ZTX5SdU
ANXbakz7R1lb13HsYOyDlMiAEvfQnGbIjVzSd4tOEsUCM161juHrszQv3LaKGOh6JEbT4Gpf8A2x
7niq2qt5MPA8XyZ5E9c6RNqpE1biL6nR3WRKCbYAat8TnUYPV13s2U0OjEF5r+mN8QVPQGL/yKN9
TQ+yB1JWd4WvT6ZZBQD3jcGvLFf4RTdY1dYYpHtcVNq8iYx4ubPtKPVVzp3zqlGHT5FomD20I2MX
1UPOpp8d2ng5c+3jysv1L0U1xLsmx7m5V69QT9fe2ZgqfaHm7t4bSoV6iRGr6pGjl17AtKYFmVE7
wCOnrDm26VcVPjrt4s4dEjQ656kf/YSR6deS+f8uJuyNMf522PFvGDkYWP4qclwxle2qP96mn6uX
seP5Vd9jh0WAoFfEvBGs3H7scN4gOMEgFPIiseU5ufseO8j7mGnA8kYRw+IQpUb6HjycN5Sw9CWA
0xNY2Ku/EzzWHHbvNEEPeiUBYx4LXh11v4PHusRncAAZKzZVhOxNvfRjaErhpL7uFKnf05cPG1d1
TmbduXHV/iY18nJTG1lyAtZC9ZGlScniKMySzkU8LlPcM7tIHhi89SdJgrw+WeKp1ueTnyqDdxlD
Jjxpirn72i5h4/x8snuIa3nGy60RalV2B2ay1pQvoHNjbWpMWlNgAFXUBsrcy1BE6RXOAxItT/yO
+0wbv5Y6f7vm4ZnPYQ+3QmP2wySZFtxa5r1YM7YUpStnCsWoVpFC94on3Sk/eSqEqheb6tuR+3Js
fXiPDhdav/yLhXpvWlI3KuINme6nNosF+qve7e+vwbfBFWvdXWT0+2t0SPcyMCV7VmrF9VHfpyPf
tfUrt+kHTgpfhcQNGA1kVZhah4Bj+gZqtdRYgrYIhIQMeU4r4X2AU73Dg/RuaPt3rdSAknYaRCjt
WrjTK5iSw9r7+QOs/Hf4T7CGD/U17GrQvDpLldDLq7OiGvPzpdMbPx86LaQl/9sA5Of1MPiAawUi
FxjU/nVNLRrLSxlFzBeaOWA095AwI/BlDAwdxfDL0rOk31om7jjZ02A3N7++reipssDLc5sPgBoW
6DIecZIYysS9zWOUk2IuKFtuUq8+IWW8KJRF35h29hT39XKd29Z1mo/lTgy14bdO8WAa2RMIprMa
qyc/EWg65DNSRpW6JFsDtfWr3nQvmtS6Fg4OyIp9sWT5k8pZW6ZuHlZzYaBaibFf1TewTXIOZeHJ
5CrXGIyAyPgyFEyhWnUdRUWA2o3c8DFHu4Fs9SmP7FvpmtdIx127KiubTvwuM8YiwOX6gfGj9Jul
BYrBamMXlf76MWAp07ovnVtMkcFiTNq12ccPEZ1z5gjqR3fOPH9Yf2XlunWDP2+3sfUC25/EbY9s
OelBkrEUagh1YM7MrBTMl65NnF7DVPLWNUbPSPNfZ5La5/mb6Zl5Pg/NfGo2a8xLlXxTIq58ojpN
fp7m8i4vK74V/Gj6Y4sIxml0QwXbkg1+aheNMcJZseyPiiPLDx3lSohcpxdUGldOwZwusHJEOEFp
eTudNpiPFsCDXTgXJDAXUCOqo1zSeCvy3tvOlntrr9UsMXw5d+GGBE6SADYzkJsv03IIOXkuNKtc
0yGPHEhxGJ04xjXosAfw4e+RYNFDz5F3kUiKjXD4CFpazu/W+xo55VnWOa5f4C502XvRpsgcLehr
VwZWJdRwgJy9MZMWRiyGRswrucjPl3EyJShQt3HDhEneOyc29I0KISmcDSyBS630dnMCD8dNnQsA
Wt7OagGrNDPFJM6zD2aJuqyRIxukMnYH0jHqG6kky3aUxnJUVdY1LiUWM0S2wrRM1unIZUjoX2KI
yErZ4s3nUYwpYqMYeWhRbgeR4EeYBsqmaYond6zvgBEfP392RD7KHQpux6XA66Walvtx0J8Y/N42
E8YnScbjqi58yaFJnuw5ZqSPn0HArNkL6OYMj+gBdRs3m5ujfCiuhZ1WO7ea9E1q8LlzL4VWHsm7
JSvV0Mowj0npEvhFMcpQk1wnL0njrZGV8261y/SdsruDLstWsNInJTbLHV7od93k5JvJtWmWKEUd
kNGWfon2cCA9eoWFp117GjwRpooUxVnDq6PybH1o1IE3Hnv+iNYK2uI87v1KclrTX1QkGDbDGOet
exRiZ5E/WQMPWbGIB4gKF8monevReNmo3i2wwszPJ5mfN0AVNgtxe4c/Nwp/o3kNatMLGonFDRw1
BBK0cVMWqeN3JR6ss3FdZDxIuh0/GB4XBhMW1ojaOwu9fmr+O0XhSs1O+oHGRB+qIzdMW/iaupco
txngz/PESWZ41wxeLdxEQ8rezwNEk2By3VuapnkYCeUWMcsJlXD3FqGwp04WD2XMIwtG+Xalu27W
4Nt1Th42sr3LhH7dpjUPLdShVcIe69QowY2njQDdKVPQ6aMVNpVS+oZJyFicdjqp0246mQRmD8hl
0NyI1c4HnpVcGF2/RIEZczsdya2xJB9SVZTsXGUw748FFjNDXTxYnc03AOC7ogdiCIJNH7RDJT6L
JTnOTTcNvJonXmbtXeskD8AW7vAEumMUxbU3K3AeNtITicM+cRM+d+UmT0XaLNvn51SpnVtRAJnv
M5ou8YzEcFu11RHYW56K2OK6DWwSd1BupzlncyneiZcX9dat5vztYGbFe5gOcx6oUTbv8OJ5BPye
h/pkoH9g8qpI1a+LHOotR2Z0LzOLKmlN+yJvDY3NpJ0ZTqWkfi4sbYeicEPP3hkvtY57ucT9dOUa
BMFs1PIN41/jeK1bgR6ztaOmA63NTVGOEBl2w6JV7ucJd0fDFXqQEb+Pep2An1vVnc3Qj8eGEvXM
xDABqdlFf6stKUP4AUeQ08GZibRGTle9SxSUjhmA8kqtV46EyUfW7H7eAdTjQ8wDkV4Y16D9iYsT
4vcMpPFIjtJMfgCgnlzmSllsrNa6h7CfAxAW6MB70g31xFDvqPisUzk19TZq1PqjprjTDmup+VyB
9GWFapY8yFjJ36aqcq81eZ8Cp1nvX6YWglbnomz0UQM6ODbmFyAikGE1YwjymIcFtU2e8DguNtOs
Q4vUsCh0mkG9oy5+wFHqDC4r+hQVO9jgwHYn3rce2rvnY5G89RrlaH1TyqwOpLqei5ijnIo12RCu
dWEs7MPS4TGoCRgGDb5QF1Z7amqdEkg5XgLvSD8hceuGzzEiT+0LVdbljVJmDzGuCyd1nGh+V+np
lhC/ninFLVw69KhsJw7XeDwBWgryKn3qa/2qNvrztnI+m0nxsXTy03xWqLUXsgSJNoxflYIKd1D1
oE154HRC3LZPKYQrBCRxmQDka6DIeTo1an42Tw6FSuS2IWSDyOehO9bz4SaTg9jqhdqH3WRNV/rI
GSJHOZ2USNAEZJR3qJPwNel3sijPY5E3y6c+9QDNJg9pzPUDFvlU0+0MtGZ9aNcE4zldKLX2brbz
hybjarqpNND6RF3g15na4dSLvPi5TQTLYZUhPNRTMQSlXjktyaZwiVW2o9yOrETQzJ7GtIUCmDq0
QsGWv7LuDwxiiGlUgExMVZgHlIEHCSJ9c9lLLVZCxxkuk9QJuy45MczhOsoLcFwa4ou4FKm+2hYh
+ci53dEGcZq7zEx2Tr6yM03O88U0SNnyLFDbZlPCGM3a5Sam44vssa4FiZTHUQem3+0U34iUD1S7
N1bdnqLNBhkBh0sskN5psv+S6cWRFjtgXdjWQxE94VHdBYlIT7DgIE0rhukC3538RMw8y2VE4GZ2
cjyuuftIS9xf95yVmRdGSdTJjFnZiIIIKbv8csa/DCnJlHMT4w+yxsLjkRzlgu7dLHxR5/AB6sXY
9Ir+CgvwhwLVRqxIp31IjQ3W+VCuqKqd2pYwYEJkrJUNQo8kaZp9vDjxUwbs1udgffr1hnoWrNzL
/FnSYcLIsmDyzUM9MR09h65B6iIs1yvFzTGPocYv10biQf2Wy8fedY6bjFNFFOZuiNyLNZ3UFwK6
8AY96DoKAG3hzF1zJnUkBVrvcksyMBv5w5RwlApiyFC6xzN6tChwt8eVXjw1dXtnILcb9gt1TWZc
T5gC+Z4E65OmNVkQxz7k3mIzdOa1bpI6rummgi5BKUjCpcrTmUIJ2SDANvvJoHZkbRQtzznd0AIJ
XHQXyDCPiML5lOetcqThBUSvwbqoF/6SQupuyjR5W0FrTn05ZiWo7RWPFnGMfz0Zqbni1ah+nFUF
y6ZkzvmIrRfoY01gFZzFhc6p4HmzsiZ2MqRUeQAIlodrumWkCFvbmACRPEcnMTTBryoCv9VUu60E
/x8yB/533bS9v9o9ViuIXx6+1b9jy211//v7MetXFsJt336GjDCvdITPldxrvq2v/z501d6sgjCo
d62SOqjD8KtvjXtww0BFbFp1q7gUzQAafd+abzqYEChStPWBIQBYXHWkvzXf+BVKCasDHVRm9OZQ
c/oNuMhhyIcGAXOHaSRvBebQO8BOzVhjRUlHHqiPefceT7HY1yhiV2MwwLld+jS0Wf3e0Cqmzv+6
Yj/pJx02rp7XhTm08iAYVR0eNVrfaBz5rDtIo32bkcBw5is4qDFCGl7p+Bz2rta1Vl1fvFgohvia
++0HLmU/DMMM7hPiPn0rah2JWF/462/EHdlrcqyrMHEgfBHzUEM7uJJSmo6wNVZhXC42mF8wC420
/IgUtcQdexJnShVtdHPXylEc/3rtw8jOwnjAoU8GS4X+ziH22xr7eHEL1p5w99k4iXmGD+N5pYK7
1dtU27Q1Y4FfL/mTG0iawKh+9T1DU+KgWWdYEW0A9X/YO48cR5I031+llzMLL7gWyyGdIigyVEak
2DhSlWut/U7vFO9i72eRlV2kByuI6sYAb4BZNBrdiUyjmZv4xF8Apu29Mlx6mYxfmB1NGJUawRUe
7IWVNVFEA7rA5EzQ7bPv5wRF1UsSCUBdhHcqmGLXmbLwBkZlvJfAGhmxvIdynmyThs7u2/N8pb4n
1hbelpglEhTqnL5vSjUO0JIhrRw7SVxYTfIKpIG2oNtkb9NeqVxNRZPCzsZ2HUYT4VKDr6ZiY03W
Kek2siniBHJoXFmUS+tPNY3GMxsbBJZYtJOC7KQYQU2xg+KHjjuDCQdlCS4Ch4eQwOfvLwGFftE9
0AX9UJ0VEJUy6sNED4M16kT5Pu8842uQ28ln+l7GEwlBh6dfvyzkKLtpEWYFDIvBN44bYTlgrNs1
lPgU76q05ysME19GAObYGSS4hBna+RLUbaX72Ej466nPEdqoEitdDPJo525YOKDMSjux3/N8K++0
btL8RdGPwTIFZfDOybV+16u99KGFYJwuRiUJ3Brg7tKHm1Ue1BbIWqZZntukvltXtn4IfekrzEVt
icAjEZ4sLLlAAWQfcNGN8ytl/dcMdarTQGBopqokofpLy+Tk68YWOh14aEurighnbXRTu7ecKCVt
yGWQwV4eyL8PXo4Jxgj02tX0RgDHx05dAAovrEVFLHGEFIEoQdEVzgcAMebolr4fwHXSxvzKDfua
TgXsgKsPJAwAd+CxsyvWs9tW8wwTXeM4M/bZ4GnZMs+gqpLRpfsI6P9DjUl3vixV3X8KcGgBvZrY
u8yfLKggpdw+J1EDjiIaPSleKKWXUjTRGo35wChBM6cG29MD9CPvd6RyOahIpIGH9h+xD+3v+BeC
e3yEaGxK+WDtQywu74ixk4cwMZbIdEL1l+3G9dpG35RBre5oEhgIY3r2sFTq4Rq+7vWTA5BK5m0W
5gQyUjrnW1PrjM7wNd2j4Rp2T0kxyhuorsaVJ+fyKDggwF8TEOzZquPDHnmSI3srB+tit1fHH3lh
XvN+eB0hCEwYc0EhAPyXIGieXjSQMTDDM3pvpfRmQ/Vwsj5WqpYufKT0wMyQJbVFXy3HKlOvvGqv
qZJAYgl9FBTqX9ySZ0NXgQmZPtKcFaKT4N6h11sBLebcXKl1FIPUrwwJ5VdZgmzRYyAlUzXf5hTH
jGVvddZd0DTp+yCWx+9R7R3KnsKJKswqFnGGJoinRtK+Cyzt/ST5OLmbWRY8SHGWfgMWhu554UR3
Qxt7m7dv0wvrSd0fvOyL9h3sr/P1jOrGGREdd1adoUVIVVHrCpCEWowVKgW+9QTCP3hG3Nq68pC9
fkWRcwR9jLE8oH2AQufjYraOAlEhO6ugcLo1XGznkVYMnpsNV7o1tGs22DuqNsHGkYZrapyXPiVq
H4awZIVxSf55PnoMQk7S5cpZ5XHRbppKD5aelFVL4GPWJorL7jaR0nxRjLQiJJCpLiYw8XpKZO0O
WsW4KjP7ObZgRg6BB/9anYYFYBkk4nPdXKGMgaBX1atuIRc/fFgTizatvoCg9941ghXx9hd81UE0
0D0XCjfczMjJvXJh8odB6YLOslalr1oPU6xZC093wn2QNvDr1R6Xj5H02w0bT3cTNE9vwEvld0kj
XRNpvvhTACij7PSipTCPbYcMrEcY5+ymKq54gtvqS9dOKK1qbX1j4y53ixWqvCh1xAaoOXeLeLQO
ilY1D1fWRARhp5m+WBNExTBEQjbmdQnH4WvSTgj4IWV1yFr1ZpoM+Qb8fHggKEO0AkDqMtH8w1hL
+lYr6CwpEZb2Ragaf3+nv5gX4MiM0hW0yPO9FmgqlXgCBpTSc+3JD2L7aHJBQHLMSjfRfWtj+coX
HKbGPf2v8opW/YVLGY0ntMR4wYFNvJyEk6c7R3gWTiOjY5bkHb3asddaqv9hNPS3UvO/RLGc5d3/
0yi7SF2fbD2hMHAmAfD4JfvHc/gNMYEf5N5CDuAnXSNEX+8sBxf/zC8ADDk4UBY67WxNev9CCfZP
8Bwbj6a480eezef8BYDRfiOUIScG5Kii3MWf/MK/QOYAqiJwdZh6UvD8e4oA8x0DXATgjchMecZB
wMwyR8+RKhsrw9hVuoyyO2KjJno0Tlfny8KBnbuI6lh9kswh/uAExE+LIA/su65J6ie5KQlF1ZRS
Za56a9L8OtpEiuQcx9bYQiNwUNe1YtktIBV+zfreo6c3Bs8YQKbjqoUiuI1q9YrVyysdXDEh6hqm
rtiAYgAGnh/AEF0MS48yxOHDunb90U7v9KKH/h9pwdIYa9ildU1HzMHEEQ3p5KhVtX7f2kW8Cbg3
F06JQ2Tlh8c8Np4otY/rRJQI20B5ik3fWHlQ87ZNVl3zKBTxxOkdxu8GDIUTL6gQEXTPEgob1r8h
jXFMjxhab9NPw8rv0+d+yrplmCIl1HjIw5zs3guFEEV83fmgL1cmBVINmNVsscDxORpUVNReukh9
iqPxuYAruVBaeIDYe91qho+ejFpryEQ6/RqdKufKjfWCEpr/BChNIsHF1okg/vx7WSWZkdXxEwoM
3VamFkDl1JXs46BoLTaCgXWUa3odSNhMG0WKsCYbVZFuNDQJzDHYB/SMFloRfyvS/kUQ/JpF5QWm
ESvDfUrxhhIHCe/5L5yAmWOHbbFI2nOIyyitj4rODYiZRZdhHVzlyyS6pbq9nGRMD1PzkGjfwa1B
OE6XsWe4I+ZkfrohyFhOre1qVgZa6tOI1BjY9mJAx6WW1qHzWF01AZ6jfdhUQryLsgXFEhmI2/lP
L4Moy1JaKC7lLYUGXwULNSOOdeIJY0ppKm6ubCjxD55/TROYHxqWFjE7BfzZgLbR6U7rKBFREien
t5M9MljfemXytzkU31WC1NSRyvzXtoloruTpsGoTxVnZtWluGq9Lrvyg1wvA72FbUYOzIbfNvePo
6le0xPg9TjV0SymgkZQGfbHlgs1dhIf/0KP936cRLRn2/T+rrK+exp916ef/+38q/0f2o/7Hf6xW
/3h6+s+zV1H8C79eRf03ISgPAA1xGxG68S79ehWN30TwglHwT8EbEcT8ehXt3wA3IkcPzRGVHOQu
/nwWrd9MCjFAtF9g6AbKO3+jMj1/FQGNgaUUtoM82vya2aUkUWXo/QxxMCfu1mo4bkbbu1K2EEnH
6UmZDzELFIU8jwNAxnMHWNRqMWzCghutcx5PvsKFK35+AH4OQ7SApjeEvjnXrpG62G9kbDE8hLBz
PT2gqOjGhvMs5e2Vs/bqKhdjYaEFMwOgHQJIfJ3TbN0xsGWSp9Fz7a7bB0oDQkngDmCoe6CbELAK
tW6fI6ehB/EuTMd3zahvR1/bitV1+nEjQ+97e/piFeerTHDD1Qe3i982u48UtCOSfBo8Nw+kh0JL
tsIZBijE3hcfFm0QPxn+ppnyyyqcDCn21kkMrqv+SL2cVDKV/Q/ZyLCoOCDwvczaCGySjxaCcyXo
ubRdT2cp9trJkI0NrKkqmWUBLSySg12gx9u3F/JVsiemRZpH3wcQJU6wM6B0ZI1dbvsNH9fL7yY5
+4yEylZiLApRRzPVj53Z7usmQkIiv5N1/dr48xxPjE8lSFQRUC/nUj+fY6UbrUqn03PN7nOhV7dT
k7pjnWzjzDnYXrgb/XAXGc5D7yTbMrWfgrq5UvWmufV6MwmsOAxGBdzgvIfteKPta10KXjGl0zJF
n9QqPRQUoWhRPAGzcNFtRwqhX2k+GiIK2DBbDXc2EHKsK1cZWCcfNlTEwWMrHBKn3cdgpTo53nZw
io02v3v7m4nzNt/8nENUssyXStbsk5V4spl6kPPJRvPY1NEykcBQq+1S651Hqa73FFWPmVx/fXvY
SzcbIqdCroAc5VWFIvUsDlyfsRuz/qtTpXdF3q0qM3h4exiRA72aHnEZdU5Q6DwLsx2h+bbiVQ0W
LjHUmLi4y3QbdA/ohaLJMYczdlGn7yg7r+VYOogrBvrOim72ASjooc+S+yKbNlQKFlI4uQOGUGbc
r9LGWDRSiwMCiEx5BM8UgVPLk61TlLeAY1wERNDMSV1ZiIahcMPgSGNt3p4bpNNLkyNpFGx9VOPm
x20KbDuWGstxM8V5H1jpnTp0e99wjmbtuYlnuvRM0DZEVnkKm5vBRAG0ib+0tb9y0mgn/LVpaH4a
hp7ih7cqqMX3w23J9gMOvSxGinCesQQuFiw8lJmsKt1mVrfGjIcb0txOU/QwVuzLCq/dWAKQjsqD
Mm4gRWwHtYPBOrl+7W+y1IC53a3ESsoAjjyVmxUFJaXuv1o12hylsa1YUZ//P3D6d0ZZ3nrpZ+BF
7wKtvoloTEKvX0PefBh7sJiGM7leDqUo7qDn++nBsbqVV2M9X0afQFGsxIB6mt9xyg/t6C8tkND+
gI+4mXxC622fWvb3XpMgSg6bMjSXYxDtpkHdAQcVIq4uggJb0Swz5OqLqoe7MMruuhBGAaHhLTSH
o+2Pm84MNkaPSE+dUK3xHien/CIVmrYsquGd2nNsdfs5VcIHUFW3YZkYbjHF7zvMPhdVltxFjr51
dJgEfrBq/ebWtiVaU+F3GyQRj9Em98NVUnTwV9UPYcQXNe3nSLwLBlXl0Vk11hK3hJWxMbQjdmKL
jstDXCS5+XvA2op7V6w1cndrLVvp5WcubpAlGf+XZnwffH2biRYGz97WMosHJUoPlZe46WQ9Sn2/
T0JpXWXSQfxbeTdt/Km+deJgZwXeqm6Sw9D5u7Rv0Js3xg3s2/cIRK46P9jVZb8QCNRUmp48zTia
BhtPmm7oMhwbv4WMCirPwYBedQ5RZm5LybkXt44Uyhtf0Y52EmzAwK7KyNj6sXB2CR76rMvJ3pxs
CQfs65hK68juxH8WhZTxbNbtTZQ4j9R2n+jhrIamIvGCSbzolfQQlfKmaI1Fivt0qtQ3dYkCjKeT
jQU7CVuVLI52puGvqMfvtRxYWz26hddgEW7A8JgQW2JhwU6Ffvvg6dHSLqtbujqrXB9dbUxwlEzd
rOfvYKGNfhJmi47yrc7SGFxeD0KnumlrfSc+dZDwv2lyxbb0LHXNTa/3KwCPW9nvlkkp9MOkte5j
eBJY9qIGfpR17U2DrDXB8S4eJ3rK3sseAB+7G3X/9zGeNqUK4jyYXNylH016Z3rC68LDaqrvbaUF
Lx/tDIDGPstaiU8DvkCpwk81HUI97cE56tsuTbeG4j2l6nDlhrp0yYMSISvGnowEa3b5TlVpItmr
Oq5mV7cWfHY/GzatoV559tV5hUI8+6L+JXRQsQ8QoninoU3k6UlRwvAAdRr/HnCKK9MHt0ZB2xjd
WtF34ZjiBU/Rasyxp5SyOyTEPoo3VTa8DwE860U9pA+m3XywQI16MpYCw+i+fV2/8nD++SupNlHJ
INB+ERc4DcDgg2WpZzt4xY4GmEE5Qcd5+tYb+jZStd3AfyOivAN5+3XS1CMo3I1FjWrh59fY0S8y
1vNHn8402TeBEnZuIo46+SmqkfSJlph4R/fBA2r47/Vs+trG46ZJU9e0mpWqNfusL7+EVrMsLS4L
SAxvL8fFvXHyE2ZB99ClUlqj5+Aa2vDOKn0Qv3nxJaLq9vY4lzYHVQ2dDiQoP/bIbBN2SRlKaqM5
7tQnnwpZPwIbBflsbJvJeTkjWeetLGt0W66hUgs+jtWt7khrjVvI8aobSe7WleMccDXbpS3HNmiv
lbdEjDX7HLzfoLAAjyCmPscJmD6WD1alUArNYd6PCKhXXDzgSaIYGZmkQ43cA27pPEk+hAQ86xdv
r9GF/E9QKzEgQypVmBWcbwcUkbWgHGSHVuXnoQ5Wtqd+C4mDkuxa+nch1cI5HFgIQpWEZfO2s1To
Vh4niMKp0U3aaiussN3Is91CHTdaoXMj/0QI/iX/kBbPpcXl8EMT5Qaifn0+ucSEftyEDAnxZxXz
cLSGsbQrwFYEupWiBgurBCvNH4qsUzAOWs0uFl4fb8WOGEnK9NLYjRqy2jquSJO6NcZka5q4QznG
rp6qm7rxP07hANJc3rRptyr7bhWZqTvwd9KhW1lEQZXvH20zPaSh9Ay373GIg1VU1rfKGC072zmE
MY9fYOyailKub+yQs9jVKeiZKrpPo35hdca2NKPPI1kV6O5nGcfDih8t/n4zdOsxClZNoW0bXhsb
lx8NI1402XbSEHwU0VjLeICY90YZrIqkueky/zhEEfqUza0+equOKHCc9J0CNcImzRanBK0P3sPq
VubGdBJ9K4Klvm+Xbex/9HUJupbggUQ7Oli/d3a81ciV9XZ4KJ3pDhdUmK+IeJoFIWJY3yjEwSLS
snhsm67jdUu2XiCtAll6sGN/Yyj+htcOAYrhm642+8kf3on7e6z0nad+DkvvYSqSFRHvvnYQOPQQ
UBGhiNfZBy3yb5LhaAbZZ6X1Nx68uTL3nuWaENy0D5QhlmMHzILv4E3Nsi7YBU547xN9lkS9Vg7W
t3EOo4VsUhXseq1ZijXsmvJWTv0HBzlARXU24u+FE4EhL6o8GFuUXI6Sw3966bEvw98H1i+PsL2w
31fdSKZnLKl0rhsZADUPvhrjpefF9/iagUdyHibLWVUN8ROwrV4eNyKQ0SPn2dbR6MBZ6lhLA4hc
68kjH/Gc5tbKxndd2O31mAc/4puy13ynW8hxejBMIN/p7WRFD1FF0F1/Bp+zBFJwJ2pGtkdYZfQb
pdB2fdrdFCPwdV6hRkeGIIzvpzFc+nm/z0hOcyO+z0hYsdqBkVexbPzloIsIkovgUdRCxB4xUXz2
uaa6nuuJPSieWDiMN6MF+6CeNrqcsl/7FULoNya3a+OxP1EIUKtpUwXGUnybSmpR1MKCOJAerZwF
kkg7w2SLEORWqYjk+vcc6ae3L7vXjx9scTrjdNnAbNBJmXWzcDCJWubusLTSo8gHVL3dT0SVYhtk
kb4NY//RsqZNqI+b2iMM1JwraemrC5efQE8crAEKXlyEIms9eX9zuZQrWcP7BfD2qssaUNTI0xgJ
XlzXPCbJdOcXoCjGAMFRZXhlFN1n84VIKGXobtqubkQ7Cd4fkI4GkcY6eLDkydUmwvhaj+9RhViV
3MNRqTyXwfAZQdSHYizRrtDUnVdIhw71HBKZhTT0X009XNqDby71nJSTu0GhdQZhjkhdMqVDFIc7
NPHbRWOLMEcsLklaUfibNjS2ykhSEOZUPvpNb7ZLUeyaTKIwiIobs4CL1+sIfabx1vPaPfizXW5p
9Nq0naFRP7LCB/KPh5qjA6binUPTpwKWAbu+X6CkSvA/6sc88TM3DHAeSK2Jzpz/IbInVL/NCXXe
EWasyEAT7ihNbSDEZdyCU3rQK/PYN8HHTAvvpTi/a6o0W9iDt6oMkoqC+7JNLe5Y9mpG4qh6D5Xi
PcqwobJeWnEPv8y+QfYzyaRHicd2qabBA9LEKtq6yVbXm69SFfwYBxOeoa1tzay4s832puP4SpQi
oEI9xFFswkLzHnPTWCoaX8AvpUMa+x8ajYyQzDHrMnSEy27FTbDzw3QDkWfn2dldY5DUgXDdBSRr
akYOnHdrv+yGZe37D2UjwyBaazFvXWMfJNV5RNVpR8nsXvGatTwlh1LWdoC+jzb5dCI5K3EuamB+
Wqaj1DS6bLPdSLKvmRxR8owWC7+mCHZF1K/jyn8Q1ywc5Celh1TYtMuuqqoF7mzuyz/uRNtwSGK0
6cKlBWrOKJNto/IoToJlzB+0dbws7eZRLYDIeD00X835bpmN72K9c6MEtQRdrdS2AE7tBQTipW//
3iZWscCmMFjoHooLUgz3d3inYVJq4A1Wy9mXOLYfw6p9pyXJPU3qrdXkB5F4R1zKE4lUITdfgyqx
YRZL1SKWpnFXjMk9PMhnpIoeatV+KLmcV06bcmHRLPZr70mk2EGUxMsBzpGEVw+ystAA/aVkxlCv
/JWZ8FLm2PL0iFUX5Na5tAL6eCOTJ8O6/myGpPHE27S26KZzZ8Kg9fa5ou0o+e8SC5p3TXRSTsO7
2EL7JLesDL8J5ErQp/rkZHi2aFHqtrRI9uKlrzL/Sux84eYQcCzaLMSESPfMavUN5a10rFFLpa9L
dMRi8vAC3NnXenaIqU68fTO/Hk4oRBDzA1sCFGPOhpNDE/Ut2LCulLR7EZ8EZM12ln0RO70Y+ivD
XXgIEOpxkHSDBnlBrWdEqgpeRG+5OZd+QoJdhUjWYH4IZatZorz1WR6DR8yND2GQbsO6XQ5OdP8y
5/+GXuC/w3P5/5HCIirjf90qhM74Jax+nLUGxd/41Rq0f0Pc5UWDjxbYT82/X61B+n+ixYdmCxiP
c6VA9bcXHMsJM+UEMYNGKOwIWDDg5vjLf6c1ON/JQHWQgwaNromsDlLA+fteJf6kGJ6quHVXeitj
VB3sqpFizn2/vLGivFmlkpFuThbo7me+eKqA8irTYVQduzIZHxAwqeYLUeA0qhjVCHB5qrgFML8P
gYkmnxXrY+06WLcfnFTLb70pThFYmJC9TMpnfrj8WOm6d1OHpr03nLJYQH776PU6lOsyttulrNQe
5CJZQcc3mGjO9wgXL3oDE8S6k3qk2qd2NWVyQ8wem09t6yOA2EO6/xTjnXP0U938YTm9Hbht00A7
bRTlOMQ2r+xomuvRRhdxbNNgzQdBYaTPe++TVSvT43/XKfsfB0YT+exfH6MlcMrpy7nwkvgbfx4j
EPyI2QDNBnaLWt6fHXbnN+SYACiKuBHtNmEn8avDzjESW4PmO4bJQF4IX38Bz4RUMIUWehKitgPa
8+802DnfZ3URTBnESaTxr4tO8RyYMYayjqIFTmoICxCkpn2F7I3pg4jsikqGcIiwP9L72RqTB3OZ
TfKnCZzSvqsHy4GwXXoT0u6lC+EC9EhYd9p9CEhtOSnQdRZ6X2fBUi/q6tFXumqtI2odIM6UW1sl
cGgaZlgb/N7hyHUDvMozVrnNeYJju+oihGyOTRDuY2j5CGiE0ydbL9F3MvBls1ZyPbnxpBVbp6b2
tvW1yovciCJPQBZK4WFovPYKc3aeUIgLh4wGFqsFiFncXmcJheoXyLlnOGTkXkcI5N31Q/2kEzbQ
To/b9f+epl/ytW8dpv9q60aAsr+cvkoiqvh5mhSDI8Pli9r7P3Vof75JQHx/A5AN1eIPqTKO2R9n
SeLvwLkUYks8PLCkTnS3JV37DdI50rbIE4EThmTwd47Tee2NoWWUTEGnoacInuYFLnqadPppbjVO
0KsHBJWQTQgW4bDsP+boVsdXIisRqP1Zz3w9knG+GyffY+uhQXKIbWWB6jtddyjlE92Id1W5l1BU
PfkMF16+893/ejzx5ycP3wByTE40xmus20Vp33SJ6w3XPE4vDSIedChd+G8hMHo+SKHrkSGVo3Kg
2OxGCabK3yol2gToRrw9G7E689UzREMeMIpCM2M2G9ji4TB2vnrIEEUsEaWx7WAZF+7fHoXEQIgo
UHUWWsbn00k64BN5musHH7+v983ooZCDEY0b4+54pT8jLp/ZhBiKvhfdfuoe8x68hexG5ieVDsFF
tZeWldBJR1Dnp+jqX1Z6L3wflPnI+/B8EKTk2RXY5WpB2VnTD/QtQheC0/vW74PVVNgFQlS1fuUr
zQgjL5sOEK5AeQgkLmj98wXsbB93FdDZB6jVqHhIKH095Qj8RoshHHyI8bJmJ4vQqJAPt/tO3sWx
X31pq3SI3Tp3agPoruH1wDunKll2JM1f2qgv/LViNEL4I4ii99jpTNzgcvR7UFY9WuiZ2n3yQ0tt
77qxd7ZREcfGKh74wyvTm0F5fk4PSBTGiRgJYOs724Ut8s66P7U6PjwylTulfKfHoe8GkugsT9Zy
8KTbVG8/0yuddkktoTpW2doVzNIMe/zyKxzQdSClkIEXIoLni4xocmk2HYsMSUYhu5YX2PscIxvn
m3qM1pJcroyiWWSOfEPP5NqRv7QI2NBzRPC2NdGwnWWkem7JXqNNxkGPi3yp+cV4n0EUrGq8mhtq
zxg/uURPJeXc6CaWKu3WsAbzytt+4VcQgFGr5CUQYBnB3T+93hpiGjoYrXFA7qH8aLaZtyVe+9R1
UbxFmoy+RCLHx3acWgx/mmKleKGyrYdEunn7ynh1jsmzBBUefhR8HsC757+j0Jxa6/Fs2ZvxaG5G
xxoeJ3h3Vy6m19+cYQywgfCXMC3DtPp8GGoDtVarrbSvfNfypt1gFd8dijILDYJOEAUFfX1g0WUV
Hv2fecJf3iGXZggRn0eSa0Qwd8+HHnIl7it/kva2sqtwgOjNK+2oV5eUmNufA+izR2Sc/EqOofXu
VfU+HXcdfvLOjWxcuQrF1XN24ZJ6igTUIAUWbAHRbzx5D/PEUlqndpx9g/7XUgmNR12q1gjkEIZG
XrxFGT648uRfmNjZkLO9Afq+SuvYcvbWbVJ+UtQnO36qtae3N+Crl3E2r9nOwKTHp8BsOntf/txn
Xwzlpk9+1mP+cgdcmAfBGwJHoAhZvHmxXNZM2PQwyQ+SNC0j3146QOEG/74DRPX2ZC7stbORZh+p
r6NMUacgOID7W6OFTGV8+PD2EBf2gYhEEUUi7gMfJiZ7sg9KJM2GtIyCQ1+0waabyhsabfUK75B9
7BXjsQ6QLHp7yEuz4rGn0SAo7yAyzofskrFtSrg8B1iim3LsP1WmdffvDTHbamRQY5mXDFGRUS00
Cy+swrgWUoqTPjtCUICEhc5L13gu6YCiT1sVXhscOKie3+1sCXh3sqAAv4beYpePjX3N9f3S1qM/
TbqLXenr8meLaAPC2Azpq0fZV8Wuk/r7kD7Fv7B+f44z3+IKtGGayX1wMONqo/dKRz8oHa4M8irZ
MCDREleCwxeEsTkkR0a5MDQ6BlFuzQyw1KIdk9sOxTw0vyW8GN6e0sWvdTLabKOncWxNYT4GhxQK
jdqmO6WSv6eoIeaO5grTx6pGSqq3rlx6Ly/vq11yMu4sBlRGs5Nij3Gr4EEum03ttADCaIYsAlX9
iPqpG/t4xSp029p2mcb7IPnhB9u09pah9Lmvjmn4re90RBKbo98jl56DG4jXqRNvas3YDHmDqRB9
KgT/qvFfuOlOv5D4gieXAyZopY0QYnAoespvxBQsoTug2GikX97+OpeuodORZq9qj6Bja4A0OgTt
fSUX78op+O5XH/wwUBewa5Zvj6aK8//qo0B7BvIBcZIa8fnEsMCUemvSgkNnhPQDtxhPO/VnZaoW
09h+0jr7vU9COpQfpcgFSuMl91GRLYKKhv2EMVwGJPjejMYl6hoL21r7RnJlt154xizr5AfOVt6L
2kCubIebP0cZRSbAfNcOMrWoabz2LF+6jgWrAYQitQW0nM7XIpQHUylaJUDFOalgWurmotX1a+o+
l26u01FmKz6ChfUaY+AYhF/qtjr20mdYG7tUTa+s3MXpUOOC/qiSEMzj8SipjZjkODgAqA5wSOzU
6coIl74NxJ0/RqBmMl+waOqrjqk0UrKInWphV/f/ShxjvehqaZQ10WKafZU2b8apCqfg4Cn3/qht
wQMsJeqFbx+Ei1MxRKhOUkxwNptKHhaZVgC7OIitL3XPxfS5L67kJhfHoIRMTQT5HTox58ulmrls
hpEZgOU9epO2jOtNZJTu2xN5nQDxmOAZ889RZuulaRMzLIPwMKiZvEgbXXVr0w9uJg/mKbLTR1Mr
PhZhT5Pb+GTUTbqi5jpc+RWXbrHTHzHb5ANyKR701OCAHYa0KPGZdcch1BbhSG/WBkuGePO1Is3F
MQHMWaJygaXNLJrywlFGEZVPeJOOHQLdKBRO+lJXb8eHt5f44gk+GUg9/47GYLZVZ4krqWsXkvbF
oC7EIzWN12T6rw00C+EjkbV0gx0ccuexQeF3oMdkaDu7uKaif3FnosAjv+SqpIbnM+JtgzlHIeWQ
SU9+ZK2q8UkKrwUAF2eDlIIFqJcPNAdOthid9JUUhYdI/d3yJ/Bu7xDhwkI0uPKozUS+KISII2BT
JMZdRjD0Zh9oaDPJquowPHRoEAFawih4U/bH7GscUP7ItsNSjhaT48rZGrXrhXRl819YTdx9hHwS
bvTQz2fDx30ShdYgJuo8NdpTQP517Sq5lPefjTHbGmolN9lgMIapSxuiYGtnjuGqWDegLcey3kjJ
dziXq7c3/oUXBWN0tAAwGrSpOsyuFgQGegJVP4Qe1t9HCCAh0xcs3h7j4uIRBjMMZClKWedb0bPa
RoIREB681liTGiO4vqq88soWuTiTk1Fmd0VrSlEzaFl4CLxk0VrlwqFK9/ZELg1BFQoLESic7EPx
5ychY152ASjhJjxM9rHNqrXfmVdGuHCgSFSprmPGgE3JnBruYMHjN1kdHir5OVSP/ZA/BOpRk5Mr
hcVLn4SrQQjCAEbmBJ/PJNS8OkhKg/1s/tDTB6l/apJrYd6FpIRmy59jzM5MXtP9iFClO+jB1O78
GMOmNtcLKEfFLi2sDxFir/eyXd73Ec4vb3+pa/ObnaVmkksJY7fwUNt3TvccGZ8a5/e3h5jxGV6u
pLP5zXbDZIfKMNTI5wDIVcyNscV0cOoWHlB+7UeK+balbHTMlEi9rPTa4l7aKKeLKxbgZCsimtS3
Qa+Fh7gFX5gB4/0QpvLCib+9PcuL4wigCdoXTPlFP/hkHL1o7VgODIKoj+aA6QFUqvey/PAvDEKj
B7deIgzEj88nkw84jejiUdSsrR5v8HO39sm1LXFxJieDzFbMzBQp0CaLB3EEzWXU4YNZqeOixg5i
GQ76NVW2y8PRs6caBKVBKNqcfiCAJ1JaqlyslrBz9wvXbHZJCSRTvbYVLgRJdAjwJ8ZcWxSdZtfr
oOtlW1m8GxUgFSJqNeqXZoiR94CP61WuxqU78HS02c2hjJ5XthGjTZVrfRB4wSq5VyYQtIug3reR
cFd56nOuX2slCGzjqF+5Iy/eK3TRZNAXGnKfs3slG5CpVyzuyMGnXgAe2Fy2Y48fkdzpLiwSb5GU
UC+rMe43uVfUVzbrxavlZPjZ1eKUqtLgrMixB0nc4l/hSU9Xy7AzbN7PywWhWtGuhrmLfOj59pnS
wJbkthIXdLOQpNuyA0M/HKP0Y8jz5lQfgJjmN0RFLv20K0nNhdqVrStCD5k+IobYs63byiZFsaAN
D89jXi8CgMpJFyzzeG8N2lpDO+3t039pQU+HEyfp5IrJoXWmScVw8pAsDOs+qX5M0fO/N8YseYGs
MVjqwBhFt8vzL2F7PxpXVu3SMTydxqyqYUs4mZWdGAJdl2OmwrPb2uOPWrmy/S/GiShC83WQtxLi
Nefr5XlKB7iX/V8HEI7DcJH7Dz6K6VErfW+D4iBn2Ixk3U0Tx1dUGy4PjQEYu0JEQfOhC1hzSi6e
9LTwtRtzSsOF07c4syqFvbHkpFv4XlltqO/h8oGM8sZMU//KOl98d8lr6ATaNAXJCs7nH0mYmciK
zPzV+9wc83Xclu7Uad/TsDpqfAANvq0oG2qFvEqkTdffhJl8pcV0cdOe/IhZTU/+f6Sd2W7cyNKt
n4gA5+GWrFkl27IlebghPEic55lPfz66z9+uoogi2nv3BhroAhTMzMjMyIgVa9Ul9FdqH5wL6d4C
4i1WD6vFssV9CN8V5N/Ty2eeqDa1Ckr5OiOAKqXIAZ6lHzUdueMmHrUjLI2qjSLSnajl6sqlv+jK
kHFDoUgJDQ6a6xnWO7rH2xjDdR6LJ6lVYSyTRsdM9XZjeBqaV0U/HG/v0OVlnQQNQVxDmvw7rXlx
DDT024dxU3Csa8J9UzxF7UFWwOnXOwkhNvKRjfnsRuo2kGKaasRt+/X2ByxdbJMq78SgQXg/JyXs
atNt9HZ6pYTuvQHxGeWpla276DQXJmZOY6JShIozTxQxex7zAiqse0UvVkLfRa/5Y2Se9ip9H8UH
HyNCkiODQyvKp95o7KQKHtrgZxyv+MpSnINzTs29EAtD+XHtKyPyzuVg5YwpOY0DKt/xiWwzWty3
V2fRJSFmV0RAGSo1vWszrURji6vjkr052MC4HEP7FmvpRgrW993ikCb0pk6/JHnDWYAhxWE5xD22
wt5EjAKRi+yVBs2t1q0dZYsOARu8KLNgHOmzjWahR1HnFUd5FlcoVP/yh50Mz6t2N8auc7TM3KHY
FqBLC7zTJcLS03bXDb9uT+3aR0y/X2y8tDa4TCQ2Xhh+98vAqYPTGPy4bWPRKckSTUkAAHjSzEZi
5r4IhCM4W4RnmnlAd8Pxiw+evzPQRRpXrC2P6I+1mbN4bjRqBXrOZ8R6i7LcJJWEZtzD7SEtnhcX
Q5qHFKkaR0HM2tVy4ejuNy//q518YWF20RkK8KasYtJowa31j17ibn0E7hC3cazncvRWTqffizAr
HMGk8mfaZsdT0xth2bstObbQdeT+fRQVMFu+z4LjVApqglPeZxFy9B9DsPt0om2QZbc9PDJag/ys
zO38UIl0qQuDhJH7E1eT8eC6kX179RZdBLkPYDYArMhLXTs9slIoKccDp2TQvFaNMR5HXfuS9kq2
EjMtHiYXhmaeX3SF1sc6k9pH3yUosOOUkDpB2autVoa0Zmnm9fD8qGDksJSOtErL2YnSDTCHTbom
DbK4OhdDmnk+HUlNrtQdB8boTZQeL9Gk7fu/rc/M9wfIOVAHxsZoPCW+Quv2D4nWjf/NyMzhwQjT
+I8Gx9lkUSL3FcTBahC3vCr0oyCgNb3nZusvhiglqz2OlkjxvktHeuxeB7E/18GKoy179B9Ds+VX
vNSHZYUZMwr9LlFezMHcwlu7si6L97A5UVbRkwB9pXK9b/K6M7JBJvjuPc0AxaWgTC4j5RBK2raM
A+nO9KQ1uo7lkf2xOdurWQyfAGT+AcWZ7yIa6Xhc3ucrp9/iDTWJ4IJ6IsSYHwi56Pm87EdeFdlr
hF6Y3h7U4KUVnVLf9al4/O+ep9GrMEHfJ8a4mVdAGtCEVm+R6/dTcY+CpEpDf9jtK3rjV0z9LsLM
j3WqJxB7kr6jM2yWsamaCM5UMJFAksZDZUm2yaUVxdvKz/ZZvrfq3fSIRMBhG9G0b4wPmtF8qht6
ccXaiQQxskc6jW+Pf2lXoFWiADSTgZJrs+0tm+1oZfAknYOg3xDKSekrgpp232xv21k6qqDJBFZE
8RQ842xTdOGQ170Zh+eY1lzvlSLY7b+/5DWXf392FIa+S+ZJSMJzloLs0W1FiuAY+pwP9I9xQcKw
fNve4gscbDfwTISaJ3696/2HaoZajPU0IKsrdvSoqbsxopc67Onb8XIZTajY8pxCjyw79/rky2CB
0b39EUv7ccK3AQ0j7fiGEFmhOzTTdAYtec+yJzqUwgT9+baNpYWDkI9GIrobOWam3y+C0igdm3qU
s/CcxslTxWvfBh6W/8VhxpFMi9fUzgW2+NpIERTDkA1peC6qVHUa0W8dETTQps3zn1XecllbtEvd
HtiSx1CSRcqL4ixpxJlHkhcuBzEbwvMg3nvVU6vFCGB+ldzESZL7wVoTqpmusPnmNybkNq1skNvM
uzaC2KJG4cOkaIbGM4qwcvM1lA99Sh+6+0HKP/D+XPGORYtQKsHODYSUp9r1pGaKGMRCrIfnttoS
80BvyrtlqJ1M9UiZGvTy918Kzdzdnlbp7byi4EbnAx0H1DIpal2brbQ8yX3EYM/ST2OnxpsiuZNi
p/nhvpCh6SXH6s/FsFfp2BRPbXQa9crxgbd4q+n4t57Lh/Cms0BvM9/z9FQHmDDOvcI/W8O5ETdS
uuJAC6lhDPzmq2SwE8T5eqSIYhewPYKTjDqeHHWwGQ9C6X7QhwIk9VPXvwzoI3Zl4SiC+25o9JVN
szjRVCZRR6F8qMxbEorcgFF8rPwzd43toRLdUZFvpdKpt7X6lbriir23EQctYMQRnN+Q5sJnfD1c
yA3SMqVF9lwYFTQy36q8d9ruZ6zv/CRcuZaWbMGAC2iIajhX8yyZEedIq2ceMBClzbdy8ml8REQa
KDTypf85fwj3Puz7xC1MIwjl61FZDUo5qILw/lBfI1i+rfgkRWuyrW+3ImpgnJ4AJtDn4ay+NpIg
1BuMCamgOqA8kjwVPcyz3wf9u5C+yJ+tbuVFvOAZmINVesJaT3Xla3MlBHpaNVCzyLqYqoiwUdzP
qruTo6OZWQRUv1a2vMzfuz7bpuH9sTf9fnFHCCBSghQJxLOkx7vclZw2146xb+xNqX1WwA17/etY
fxOOcVDbaxmNhXzltfXZ5Ja+2SMIS9pE8IWDgRppNro718hPEFeFELhbjbatcvPgdvVOFrNNDjMI
b4CV3bEQEPAZU4GIXqVJNGgWENCgA1PTlFnRrf4o17Kjit+G8HmIg30VV46ifB0az26VtbvzbRDA
prTomyY/PcWVM7tuIkpozcUcc1CsmpAwUcKhzr3mwgtJCWD0gB2nhgTyi3MfJl0bQDcG2n0cfol7
H6EMf3Ai1Il8VYJYx37Sjvp+bA+pYGfVCjHdwnEALTDJ90n0A4eeHP7CwaYDooAymayV8VPqkaMP
H8vyBdWpMPy54svTyTLz5StT01a+MGUajWoKHaaK7nuITJj2LkBtSfc+wsOk6nDb7LLs84rNhf1z
aXOeZVFHQ8opprBfI3Tr3vnaIcjuQnff/6jLjz5Eq/xftcig7VcMLw2WEhJZF5KePLJn8+q5JdPd
s3X8+Ky2L2LxPXqpRMXxYNA160fV9HawI25vW51O1PkM67T+spR0SPIYuJ5hN5PKZuh5H/fldkrs
wkRJQ+7oyOnKMbiAVZs0U/9YmsWuZlSNsjfl0ZKxcehiFKrPKTrrPLkUi55ZJxNiZxDv/Nz/IMvJ
3rc+ukP/nwE+fMOEU6IThX36+9i48Ke+csdQnEbbCoKEFEcHnZABQERXwjWh0cUtyptEBD3NYUy7
zfXMDm41+ok0BLTSZg6agIc4f4+alWYcChWRWniAJZXuWsQaDTXZTlVCOY7OfjhuS9l9ur3KC1ce
4/7zLbO51+U2VJqMulxKyjBPLdu1vkdGaeu6YY9NYoc+CiRrd8HSWXhpdPr9YrIt2rKm5zxnsBQ9
Wbm56VJjZ3YvfzE0VCAmLk8egPNprnJdo4nEYruO0qE090pjbepa35hq+RKaG2S3nbARD7eNLkSz
PI0o79D5Rag5r/hmcPDqoi+Re4lpk2hzVXASRWlWbrGlvXlpZXaZyBn0bEVH8kUW4n3ty4emeFA6
Eg9rOIBFQxIHN53JVM/FWdiV9FrbuI2Ae5BI2wLny/eZZryqbED4qzxzJcpbnL1JDmd6C+jke64d
ox41sysylS6qAYTM+AD97ub2+iwOaOo8JDxG4W2eSIqaCiSlwBmeFFB+aPeSmMGpfVrNLi7FGUgJ
/zE0m7lmENKxnwxJvnY2EqjyfBmW4PZIlWAjVa1uB2O/E63wJ2mHr//bIGfu0aOwVNbTPayPh3CE
g+9DnqE67/03UdAJdEMbOzoApKSoA6tzvmYzp1fQhdrnTDzl0KyjJOP29kgWQmR6K+hEnB5PEyf0
tUMocdnFtIrQ+SCnCKx+dImUdelLXAe7nHKz8d8YqP//iCbeX1B10HLMH+NKXET8ZzoHwno76EBi
D/V/r6QwaRcmZo4xCEob0sYZnIf6Y9j2m8qLbXlYa0Vf9PMLKzMXULRUlKFbpa/yNWMIhvFAO8eY
f7+9PNNfmccIl2OZBSY5wS6MA4yll+HBi4tt0d9F/bs+bJw8XHGFtRHNXCGxUgrCwMrPTV7dm+Fw
yvyXvvgsh+XH24NaNASPykS5afFMmMLAi9upiYRWgoKV0FIcNmrxLA0wq4qb3iud24ama+7N7F0Y
msUBwLhKzZuem5WUE5tL0wvQ0r65KQIHty0trhP9qcCgrKlTdHbLl0kuWWnEOsEL4Ayww1MlfKxD
ympq5r/etrW4ZS9sTaO+mD4J4Gg/huBCDLUa3yPZIe6TwXxfG9JLCRUn8g7DD10cs/1ts4urBusN
bFIErLQczMxWcqL6DSAEQ6yzreHRK5Kl7qcUElMbybJ+5QZevKnQtNYgf5swP7NRVqM4qIWGudgg
16plEZc9LXwrPr/kIWSuET6BBwB93dn+Gks3N/I8/gfqxx6ulYf1U3zNyGxjBZGZtOaEsomkU62V
9MDe69kaP8jSfE2NE2T6SOEQGF0vj5sXYPMtch2VoRSfpLaA/ApZ3JUH6ELtRgXU+8fMbFlCr1Hr
Ie25dS0rO6SwX4K1i7/FZZjs4tgKQRVDSgoPcYOaaaNvXRkpydYV/E0Ktdm2he7O7mJdgdIrsAh+
R/ildX21dWWKY+Y7//IzZ87ae7L+DwgI6bhM70AN1Nveg6gCmnlTPTXunWKhohyf69Uc1/JqT/y+
KnzGONb1QiBEHltWQEWr2tJobQ679On2Rlw6a8jU/WtgNjZFg8gmGMkyEfDcATE0t6WabqF3Skjv
+LDmBis7fzHUmuJTxPjE35ne6yF1AyU7byAa1vLc2uaNkG2SToRYOO2ibSSXUK41XuqkJo86ZHzy
r6WWrWWZF6eVk4CID35mToXrb4jDTm98V+Z2kr7RO2mFpe1HP27P7NLJSrae9kxAxujSz/ZQ6sEE
IrsRRUBjI8qnQqk2Ai9/VLOy7161Uh7/nX1846MX1uaOYmW6mCqcPYEs7gwXLfKBSHl4oAi0bet8
J5TfEmUgKGsQkqmOt4e6eFxocLmQjYXbYM5PZ0lB7qcqZ1La7kvT6f/m+Gat/v37s8G5LWSusNQT
uLjJRpIRJArWguPp2HwzfxcmZh4h9KMwGB03hFpAdSwHO1m6q4bmECIspTxryH2vBa+LO+/C4vT7
xc1ba10oKCODCtWfcS+YtuXDe4/6azX4L6G0u71Eix5/YW12NyWiIJvdiDeGgJdHVG6mS6Pxyr9I
zHCnQzUpkZVha10PypXMVgx/dy9E34vwB6zyf9MRwq1BUhhWXzok4NO4tsHFEDXlwJE1+htKcI+p
uSmqx36NdWJxS/FSAhA+pYEJHK7tNMAoYl8k0RVD+l9nmRMmj6MOYLfW7RgtAVPpoFPwSVEEzX5I
zLXk8NKSkcijeqtw8KtzfkxJL9Qg63jNa/JrDNKJIkqD6dt+sXBK8ddZqkmujVLqbJCKkgRimmGk
bCmpKZWdN/s4VDYkLRBMzOwuXTkrFjYaBnmrgUbhBpgHScBGBsOVqEoDgXNCN3yvIqQUytAIDtaz
pgWnRjzVxlrZdtq+s+0N0pWu/ElnGKq62WFcCnpZNHoRnkuL3J2uC49VEN3XQuFuUtGI//tTgcMK
SDuAUPhDtFliJFOjPlb76DcuI6ZEmUv3nflwe+EWjo8rG7N3j4asr+m5YXiuKVAOqnuKDKj/+/uu
eS4Dc3Pb2KKXTHUK2NIohsyrlG5HDKd4bXiGRX+q4ye1XWiqv5NdMd6hhPVdKDzoU3v95bbdhS0A
nvaP3dmy1aoZj6aQh2ehdlTvXjS/V2uEIksmGBZ6khOF0puXSMYbS7TiLjxDY3zvuehFpA9tvwKF
XrggeRHAeUYHAKnGuSJEpbeNaHkYMWRQOi8Z+su3J2rJv2kuoOEV7VWLoP36rOqlSqNB0gjPU5QI
RUOw00Fgpu7H22aWnO7SzOyWrJTU5eEG+iGIoa+Jd7J5lA8BktJq+OW2pSWPu7Q0ux1JuxVKOTAg
Y9gJbZnasSh+6bWCYp+E/t02Vv57S6MKe9ufKZy+6OI+RgOry0VRDc+K9V0z7nWYgAvfptHmfxvY
dD5emLGMoa6IFsOzJx3VDuYkITtPyZ7oOSpKO87LlfN20b//DGteKglbRasNV8G/R6q0hls51cTx
2CSvt8e1dF0yfxQSaVwiHTcH4o0oCkep4IKMSUFoGclXWZGPYle+gxD9Z9HuWvGlfNF8UoJjJq4R
uyy6C8gGMKjQoQE6uJ7V0m1LFyELkGoIQxhVnm50KaUNP4zt3KBZbYTD6eftAa+ZnOWDINpyYUzH
ZCdJ7+OGWATVDimEyaOqjkjWbX0v+4szf8Jv/N8oZ8chfJ1p3qLncY50lB593duV0L7bWScJdunH
h6RroxWTi+4zCTrzUIfLZl5XzEcIY8sJRCzH24Yye0h6stJXCgmLRujBnpqj6PGdS0P0QpXTqEIZ
Rm2+g9n0m6fVsuXiavHsnPqfIEyCuvxq28U5Yh6tyIsv6GQnGmguE3+4qHUKwBrlg+yunMfLu+HC
3mybR0Lmp2mBvTwIH7wC6Zr8ZI73UrBr5WorurKdKMcIybq19/XiXP4xPG+rs4RChMhBIWEtHVOV
HkXd3FL8/3Db+ZetAC2crkz222w6zTpxq6DXwd6QDzeyUxmXUE/tbxtZujWhahSnTiWuznnjPPR9
RlAnGAk16RyV8V2rut9vm1gaxwSoI9kK7QkM2tduoct+R9YFExEY+SH9rqLCtwYcWrQBgRI9BXzx
m2J1qiVZowUBEW99Euj0S4bSDsm+3x7JUgQA3vhfK9L1SEyvhatG9zjny4dUGdFJhVkuOWmCtnKh
/G4VnMfSl5ZmZ63exy5s4zUXpe8hoBhrid0DJDvUjd9vyyAvN55SGw+iAKNioSb6h1COH6qu+2p0
hm8LHipQmeQFdq6a2cYfggJlnGa0ex8htbg0P5u6R5t9Rmd9pXjWsQgD+vsCJE6Nvm7ONdB9qDt5
CLVIBaxs2+WlmoQSIbMGjjd7Wrq5AhUN+efziBaUEddbIvfAWLusfqOH3swg7bW8XyephTnRmeKO
vMc8YM5avAPufLKUwUEWbuoD0bfofDzJ8SdZnVDPoLzKB18Pn6WwcFr9g5L+aEIfscvsWKGNJR4T
cxKc24nykyfIjpZu6/gdarvUD/Vgd9vDltK16JkBFwIbBRhi/gpIQhgmRJ9oXM/vwi55CFrQvWN2
1PxwIw7jGZHC+zoBI54WvmW3PjTKWbMvqgpxo2CDAPZpCGSErQbxb5bt4sNmuzhS9DCvNCDbetM7
fZjbiCuq7uH28Bd948LI9Ptl4NaHlhIrYLarGEWo56J/Sc2V7MnigUdn8iT3DSZh3jBZFEOBv5TE
hv3HEHVGUVw57hYPiQsDszH4VVENQoCBLt5AfYp7yfKnyHu+PVNLrwR07/4dxvQVFzOVhW2WViGP
7d48pu2p609wOsTvwnrFIZfu9Es7szdCKZkWzsRBJGvvDAH9dtuDELQULOoGv/DA26NaSlyDB4YY
ANgRG2C+Os1oIntQ4GWEQoo8Op1B/2yfAHj6WFWbsJTueOS3wtqDYYoU3hwWF2Zna5a5gpSNHQkT
JBNNaCxVAlo7H9Gs9A27UixH7yW7kYo1bP3iKl7Yna1i0AVmHE1JDMV9L4J8YmASDXEaqpZE1Lfn
dtEWHdZTE89Ezji7vIaKTpNBYyVb4xTXkWtHEl35cXuo3ICE7xr97zRlb6b0wtzsBgsNLWjVEge1
vO/UlSAaeMqSh9tDWowAaYSA2hBsJ1oPswjQKhNVy3p6E2S31x0JFb3RdKTxu0vHdQKLi1fvUYp9
hjQ3LcOn28aX5/Nf2/N7LB2LBMVXbHfxB3eoDrVaOSCB7Nx8sYK/yXZdDFSeLZ7fCmWWG/R8IOzm
8yyJs30DbPYhjcbkL3C5aHTApTR1PFFpnT26VMnPyqwjEXWXa4UjIyZpiv1KLWVx8i5szG6TsYFd
MOkkDnoRhcvadIbku16Gmw5aesp9t1dq0RUvjE2/X5yVbIchg0g7PCdG/lkSgq2rGb9ES9/cNrN8
eNH9DKcKLAOiOdvNelN4tV/SkpYrpT1o8fvc1e7y5NRm2VGIxnd5esotJ/mxYnZa+zc7zZwI3yYK
UeAM18PrGzE1khGzhVshxGc4Sf4Ex1bdPvYoiSnoiSqUAPcjKpi3LS9epVQJSDDzrqSd7NqwQAAT
jqhsoKqQGI4R9P2xc8Vq/79ZmQ3PlehzLuXJCny1jmDkw8aNOL5uW1n0EZAgE00q2gXzSiKozybu
Sy4eA87aSacSsulxpRY/rf+bhbqwMfNDtaC7Iel5pKBjL0+5ec0ZY5FLbvCdnp6k/3FIM3esybPp
esWQFPdkdt+lTRSttbwujwgiLSrNZHf1aZtf7Kyo6TVfGTAhImeivGoQldWPYbqmy7fkaFMiHjwd
Ne3fQmqXZgZdNYKu4y6J6xGownHw1e1/X/5LCzMnk71QiWS54rVgoNUH4sF9XxSr0c3yOCBmJBeu
wL08u66EoBdioeO6L6sTnci9tzHDaENpd6PyGhucPr6XkoMglrvU+5ik71K3XPGJpXOXFjeKQ9CQ
QpQzfeHFgg3R2KLywoKpODgM9vCPNeq20bVNGuibUYue/mJeL+zNXT62aguFVu6txDzSu+4oTX4v
ZMPKu2GplYbWPUWlSxnOIWpe1+MqvDiIk56HQ9Pmm9K4t7rBzosTSTWYAFuIFH3TTni/KelG6KEn
f2zWtAemkcw39+UXzA7DIBTzNh34AjN9bkptNyaWY4ZrnLyLHnQxzpmfZlEQ9Wjv8grTdoFhm+LK
vbw2itndr+RjCcxgmsfyHd3/3JGdkK744PIYwKRBm6GR5Jj5YCu3ghbVPHFNV/nhe7rp+Lk0bv7G
8f4YmTkeUtpi6k6NuSSEgkI+mdrP2k1X3G55tv4YmZ2wkValSjdOMW6QH1z0wfNeOqwizhet/EaJ
Qc8IH8L0RLvYs2ZbhJkpEvtlegHrRwOFXtVCbjkKQrK7PWuLxwNN9ZNwB/B1c7aNcinLBy/ElC/p
W+OLMER2nx20ztuqfzV3AK5w5kmeb07pG/uZRlprnGrUopN63ybYeZWsJL2X7qcJ1fV/RmabUlFr
jcuLyM+SA92Wxg61uW4wdoqapHCDKWuI3MX506hCAp0A+jRnAAsMs0QOTMS1dUEiAVmHDh00/k6Q
onKTWiolk6BLVjIzS43LCp3S/1qdXSuqn+RjXVJ+GqvyJFejo0vifpCgtsrS7dhaR2NoN/J3tbV2
fWD9ojvknaF5Zz38MEbhSREeJrTSxChz25kW/ZYeWOoN4E+RiL72W6AAhTxaJmE32bfI2Jeq55hU
TP83K7PBa3FVDVphcaOJvPWolFpP+rCWJV/0I3AGv7UpaYOdGem8VEyIdKNzJpsb2B9dEeo1a3DG
dsVhl+fs/wwhWnY9Z25Gk9AgCOHvXHmEsrxo1DYig39zOv47HmAp12Z4RIph1TKe3Oo3smcddDXa
xKsUw9MKv7kTL8zMbiu1CoUJ+AI7givvKMh+oG3eCgOnqe+nhkF6Pv7i+oJWEr4H2ApoZZ1dX4kb
haIQsd998V3/UUIZ/m+c+tLC7PLKu84vRpFjy+8++ePL0N43wVrueskJ6B6ZBPNox6Hce706cpZH
JmTXBKNpePAz9UCfdaj5Kz6wtDhgM+l+JnCfyB2urQiCUXlNFCLNXg02PNTbCAQA1QxJSB2hGO0w
XFmcpcNRm1Qsp15cQ1OnYV/cYwrdvsro1hH9P01gp83g/vLGwHDMojWd3EJaQHalvzmRwXWhRzK1
48BVfm3U7WPLbLskOqvqlzzdcZnuhWfNd4Iy398+iBbn88LSzDO0Li371Cujs9t2u6kH1Xd3pdlC
X8GZZxWddxCVNW9ctsnzi040GvTnJDht0cmZMnbRuSnATFOYzfZ5rcTH0YrQpIp6ccvjfRtEob6S
RV/MdUBb86/l2Yk4ZG6fp9CLnodyoMVX8kAUD/dNIyEt6IAO820ZJacy/AGye+W+W9oeBCdTDhNi
KBrXr5c0jWmNlTMtQuUg+tynw3BUh+hLMOjeymG8OEj67iyIVpAkBgt5bWkofDOLAyJVpcu3mUvI
7TttlO20H5Wi37X5c9JZm8r8dduRlvbJhdU5hYQ8uGabqISumXTv13dpLoA0/tR7J4CaK1O5dK9d
mprdA0knQ4Y5VRESICMVkLaivK8Cj6Lg0+0x/RY7nV8Fl5ZmV4HAmMRoQmeVmZ0G8bYIABj1yQsA
t8glQ2W0u0iMbXWgDul2X5pkH/anrPs+Zu27bm2rTlvxzceAo4H2AH4VYA/X69oYXmL4Galbvcw3
6Fv1Sb67Pd4lH0Vp5F8Ls4kNKI1BJoMFOEc3TWRsmdjVh8Gyf9IHSJmQWPNNE5PoGsSUQU8M7Wv7
mI70TKSZiJjTdTfd2NqZ0st23TR3QrzWsr3opBemZ5vQLKUgc0deCmW8kzi/vd62khLy+Nrp9FVq
nmlB3i7Yn4HO7irTSDRCeeJq33oCv+roXrCrqwjtQlncV+q+6yG0tMT3dSishJeLrkKzJZVTBQWZ
NwBhNzRkT5ugXd530331vJWNsbgDL/7+7IjJA1RpohJEHPo3eVm+N9K95mdb2KFXBrJsaJKyBO1J
5X12EYZDZPXxQMZdlbNtH48I1kn7Md0J4PFv+/6iaxCBwRg1scXN8R6aGhJZTui7OhGdqZCL+vY2
qMxtoWibcq0FZHGnXVibOaKvVBEFSiZQsO5dE+QHXPr6t9sjUmZD4gYw+QcFOE2D8PMNd7AyRJna
6nX6pKPE8WNqpBM+JJ5tSY74LH11C1t8mUiFqs7O81N0LHnxlbsRItyffb8X840RbmJ3OxKPqicv
OEjyKfosn9WPhfyhDvZu78ivXrIdo42/BoyZZ8befPo0tIuoy+2UCNBIkz6Z5HKopBZIO0DH392L
KOfeCeExLezs0L1fazz7LYx3sWf/MQx+CLwZAbMuz+KhIAKD7hly+uTqjnGGNPAxcjdBu/lAndPR
7GzY1+g92MUvaGae3NAe2q1c25rzEyLj6hyox0bb315Gebpkbn3SzFdgcPD9FgW0p3q3GbbqdnjZ
HfUP+9Ru7Z/5q3o45E6yE21/3zjyx9u2f6Pfb9meHWG+VBt+IY3pU3jUH6LvX9TX98FH404/JufA
Ke+8cF9vX51q45yST8FOO76THO+9AyHDHvKfTfD+9ufMK6e/VwfmPQ5Fc2LhnCtii+Rg66FIsifV
H6LiGBqN0Dq1qyRf2lYSn2seBe1GCYaidOjhSj81YyI+D7WZfMkUK14jDp4dTv98DcymHE3IEpLk
unbSwee3yhyzp6aGnlisaEaL1ORnVYvap7YU13qdFrYzCSfeBHRdTgJns0PXgqa40Soje5q0uo6o
8Mi7XCykjSFYmqNQmoSKKF7LIczTNNMgNeDvCqc95HakRK4HKQ9ShJJknYE82uiaXYZbtmSZHZSP
ZW27e2n4qG6K+1K/U6SDkdtRuVMPawHfHF/0z0eA/gTwz8Z8wyehDP4ga3mTPQkHXbqnRx14dHEu
op2G1GvqNBvxWKlbYjNYxEeaA38ax//ueRyivMfAedCgYszWWvU9yOW1Inv68SPaFk7yLXusnWK3
xqgyjzh/j5SUGAkTFZoEAI7X052n8oSkYqRuCZ1ACXnGY+HDdoc3FREkV4UNLLWWNCfyBLspPWcc
t9ozxT8HVauVOHtOcPPPx9CxDLidTC4NfNcfAwNWG3tqytqXuzo7PZ0+CZuTevbtjbf59bxSZ1w6
8+nxoRdHhJ8E8ZfZ0Vu2fgC57pA9wX8S2NF9eVfSkJM62rsCFm7bSHe5YG9W1nUWo/0zRI6TqeUI
or15/7fZRoLUiGL21MGAuRGKwYAqUlIPueYOtpClg220ireNffOxszx3P9LFtjLNc9jk9A1sLhab
JxvUib/v8YvLrpWK0GXn8w2uK37uA0/4BSE3gKVUBp5vS2UGZEmNu+5RGMfuZ91GubtxU62XqSlr
lr8v3JbuwMgfU0Qc+9gbnWJoCOMtJagiyFiz8Esjjv4Xo08jBAP9qqtsipMSF4eRSWevi0ULOuPO
f3ZzWXsu06qtdokhqE9Km+bm9vacL11oEIspE72hRGCnzjJFcdyrpWvl+VPmO6G+lXLmeNxkkV3n
UxLnh/yVzxFOsmJnH6CRAcLk6D+6L8VOdx1TcrpQs3Wxtm9/1Zy9aloF8hF8j4xIL/fL7HiV+zEp
G1/yniy02oytZEfyTnqnG/ved+qTd+w2HWzwcb8dlZUU0++C8/UtO+lIipRYNWoY9Bxd7zO6mlUz
6tPgafPl27BNj/fjpj4K9rfM/sZE2O8rp+CfzPE35pFL37adT5vXhwfn5Nrd5nzmLNy0Tmx/dZzD
A/87DPanT6nzKXd8O3Vy53Q6OZ8OKzvn7eXHrpmkWScyV26I2dnQ1HkCJNF1H6Xia9p5dlUfI/+D
/x97YVmVazOzB4DvZpoJB4/72Ija1ovfVWVoGwqMguOdwsvttg/8TsLMF+JyULMjyMsKbp8Ia163
GZz8aNjtpnrNz/f397vHzDm+/Bwsuz/1jn0eX6MPa1JKCzvjerSzUE9q67ITJ/sbfV8H9v3uR+UA
9LWP6ocPn8VdbutEVTKL2tjNyik0/elbQ59dPKYcmUY0mTbcnZq/StH7SFtTeZym75aNmZ97Xu4l
HCvuox8/FU1hB/XKTlq4PplAyunUAsm1KXNAjND1bjcqmfCYHNwPL/v+1J7edbb1616x77TNWmv4
LJH5j3NCmjqZm7LDszkTC91rlbIRHiEitfv6WKg8CIR3RvGj1j932kr0u7hCk4A4d5Wh8k69PiVc
uVRpRW+xpkHJWO0T41kZ1rCdCyE2UDCRixjWcP49zzINY8f7OBWEx2wbbZO9eTbt0yuQD2eNP2np
AGFeQMfAhKDz2roejl50plH1rvDYe8muz09hpdAfdV/U/z1uZkQXhmbzplQqRKE5hqy04wGn2K0q
2gqY4EBEFmitDLIQq16bm51YVdWolVtawuOdZkcfu638ILCDeWT/lJxtunVO+t3D7WNraVsRl1I4
ImiaRKOvZ7JUCiUeVQYYW+1WF3ykStYEqRd8b8LD/G53J62szEzkcVU3cpB4T7Fefi6D8lwIaoNE
3hpZ5cKOkqZe4mk4E859tlamEXZhO1beU1plJ9mT3rta9MVKgx9KMdhAV3cIMa1sq4Xwi86bC5uz
BevV3vcVM/Oe7nfvPTvceDb/6u2Xl6O9P9pcts7p4L6Ledh+Wgl5fwN8ZgfilenZfSOVml7VHaa/
fBGdZ3373DnDHuiCvdntjtaWT/jxOJ3/JB1Kz07v1I1uNxun3j90dnW4yzeb18NtX3r7yLyejNkN
ZAiKFWp14T0FAfXV0d22mnguemmTlLVTVfLK5C+a45CZnlawe+szvwrRz6NvmPwkfNpgx4NGc3Tz
ENV3ebZWdVq6XEF7ghPQTEXR3xAayG1U1eidek/NqTCRjGdCFRqG7f4Yvq8/pBvNdSrXrul/sL3s
/5H2XbvNI02UT0SAOdw2kyQqWJJpyb4h7M82c858+j30hl+iuCL2X3wzGGA842J3V1dXOHWKIObg
ndeU8J8tum9TEHwvOBt/ujw9/NvvmbweVTEweU6xrq3VOnPdBWheMrhd9xuUxFWdhZdx9F6fCZs8
vSA9E8KmVFy7HMz81GxpxvoUkE0Sdv0iK9KcsWCQ2ceID9SDkXq8t0dUV9FxHkaebcVkNxCG0fvv
b+stQoLqu11xS8nuOa+NuZU3iScCxxMakO97dhusm8piJDu0vMaQfBLQxHdWSBKg2l3XkRZ5nMbx
VuMfGPoaK+CNtlqdpklGbaSR2witIsk2dJbmZ/9FkQ+7f7Mjk9ii96LBoZvAszVexYRYw0BrLhEI
3Mtvd6PumQ820CpS6T+vh4Nx2lJmtFfPR+26s1Zn/ss/+Fqirhz9W9Ja0pJVfnl+6eevxn++b1q8
SzDcdOC90LNZwQpQfLmUgaaUGHGEIVSbQFinm94LkI5Ys1p07MVd/orJYt1ndULVvQcloffy/INm
sk6ggLv5oIldQILE99sSRyrIu8p5ZyhGF5QVB66TtkIxJTUwoLXlkICiCyTnN2WmcZqk/BTyTm5c
gjbEpcs688YyDOoyaHtBagK9lPc6TfdilwNO49m0Km94vTSHC/viq/S11WLNcdRIXQI1zj2FtxIn
z1KfsCDT8FLPloqVmKt9aURa0n8gP+8tJTLntxuENmjTH3NcU+xGjTRvA7Zxz855g4tVFrQN52IP
yuBY0dt9RBJN8g7gTpQCc8BoShINqvK6cOTjDj7cEQEgLyQE4Lv/ZeZvsiB1LxaxktY48socxEKn
aG4TuJ8tKANYJHmTAB2Nock6EggfSlVYauKbc3wZpPZA8wD/5hEVLjRik0QJ5PemQPJfkJAHJE0J
o6qhsfDuzyTWFAabjYQPGGcEZepONYPnQp16zwbdt+GWb+Ggxw7mr9BH1rcCET3oruqDQoh9x+wX
l9IAVBekt4UNnzPTtx8xUekhU2iviwfPrqVzLauKvEKdDXz+6L3tj6F37PsSWDygvEOjX7MI8TE3
fOFa/XUATQ8d2FDMgsJzgZbxyTeE2cBEA5hH7cwnRhxpTEXeORUY8r1t27ERaqnhkV+YvON/s/gx
nYzmCQHZnkkxvSsFuXJpERZPjXXJCDRKdVZmo+ufgvqdfi22Rs9u9o28iUHzS4nPOwHy6o3WbYvX
5CXUq620Snei5n0WK24/bChzXyYEjOEbj9RfrhapS0c+d8dA6//HdQAqyinXQeEWNRtjdqNNNeeI
1vyjVOgYYsa6G0nZA27kflMbUDk83+tZL/dW6uT18z0h6IoGUj1ONa4fO+9fbYJshBjjO3hFZJ6s
e1UivQ5mlReRgLQITJzq3t7LK0xZJ/a5v1hLXUBz1hV8T3/93IgZppUkJQsrJZYcz/bBKlG9FrWV
sO8SZ3ldSpZ2fbTUUyUfjcqITwavqTLxqcPEBVkGxgPZWqv7xN30O5/IlaruWSIJ6hIBw6wxh2H5
gw+jWWLK9Y32wrzgQsq309rVBf6fKwFwoGeY46AoRi2+oGXTL3Uq/a3yn3wbB5pHBarIq3FhYmrS
wuGPTuxk7dhdYNl4kDIj0p+cPWphee67aFxXKlOMVgx9bB0zENTnKjYTRrA0h0wMBIw8ShMpHRdw
XNRzgd2ASIFTK04L9d57kYfv53LG3zNZDQcEF7DmY+sm/Fv8/OaNYvlalisgwO2wzrSu8wkSPny9
9ncFt/JZTN7mA+25xJn9A0oG/BDAtYsCgsV7iT7TiEDEKRHs1KHa9EZ/ev77Z6ouyODeCBhNxs2S
ijLonaSGgHQ/WInG/mQWGDvg7xFFU17bL8p4LnB+Qch0jw3ESLZPjipP4AJUPOTxPWnKiyDtk2ET
JJ/PpUyJFMbUHIdRASJsO3g2gWy/XxYTxwVb5kFsv5V6WpBKkwiYkrfNNifMFjH1QE4NyfSXhKTr
BNwIbwzS5OeFYHoUMlWX24+YXHwv45NxQkJs8zWn8wNG5bhfz9c5s5soFKKJeCQp42Bh7pfZsrXE
tGUe2oDCEnlY+35E2vzoLmjhzELwaPDwVUD1wzNTk1IkTpShSyi2iyZ+AzGzbDBFsdQlNOeB3UmZ
LKYB15DHV35sR8qhaTbc1kFHchBfI2bXp1duMMvOI0uzbqZwtFFT7qROosca02O9IfNiePahdBaG
X8wrCPJ94r4yJeKhddCun5/ZjBGBh4sxokh7IA8xdT2K1FeaJAxjuxVIDdKkIDz13XtRGR1bj+Oa
l+LxBx2BQYQgtCAiaYzIZfz5zQ1vJDbKUzFNbL8PVKaLMtSOTYyLAadKyC4oyoMhnsiaHCEvF3HH
BGFiM6WkBY1CPNqIy8b0nU6r6X/PN/JBKyEMTvSYlsQ8QSzufmFpggHekg+QUANj5TZfTVF+P5fw
WBQcRYzoB5BcobIwLVVmIKpvGKZJ7DegKzzUhJrrlXHUQDDcF9ayqP/nwADNjbhewFmAdhME25Oz
4jCJwQ8jPkMNHAZr3WgUQTaI/IhEMtFyq8EZfr7Cx9B/InFyYijGi11IcZltZZ315RLfbFRf/QmM
hgy9rh5r8r1Sw39aqj8XPLe1Y9IPjxoA7jQodSan5ztAeLt+biO60T4Uy6GIY2AuofZZmSD4/l6q
NzxcOywUiArAzfGQou9oIs/1U1F2uja3eTNFsVv3DADqBwzL+ekWkpoPvuVE0iRyD2IFaUYJkmr/
OxK1c02Tc98v3LSl5YyX4+ZWCwHFJs0oBNz/vZrwK1EhtuxoC4HSkpjpEyZSIN52mNzOddCjugES
0YoOCCvzLrz6izxCD57yuHPougKmDcDgh+Fq8BOFENcjh/qLH/KHEX8o5b5efzbmuSVRs6SCc+Iw
ixfIi3GyEPpw7/dQrLyyyviisKsI8Yflf+apUfLaRUzI2dVETE1SF5R+TjUgCfYEjHkiDMu9RNrh
MyDV28JGda0nA6I9MDSJxDtIyFqRwOBfBTVJNdB0N9G5ok7Rz7DkUT7mnbHJt98w0ZzGj0Hd51eF
vcP746L7QctiUnmqmgEo0AkLejru4Z0PNJE22eNMkhonV7rCLgx3FVnR0hmOX/vs908sJl16MpeK
ZWHn/hr3mmg7Q84JXb53obbiXqTXwlg4w9HlfiZxYjHRPhKyqVsXdqLsBNFsrqDXgrGOj7mzUUpg
Z8lSKvAxpJts4sRHCaQMvccc1IZLdwylDTEwqBdez2IDY4dYwjeHNEYLApurCdCBhKFClXsHVEZY
vDIPeCl8CRDFigIPHplQYfLmVi06uQMqLm0Gvf6dFskJkZjN4KhVuwra46Av1dj/2HAm2y2O5HWA
Zo9P43TQAXz4vvZDp7S74hoCE2dHFwEpyXjdsiTYy0TaJVYLFsWNbHBIFD0/7Bl/RqQl2CO07gDu
NkWF03TDBZizUNpZfcUwnEYTmzOoa8CT+lzOjF1Am+YIJUDfKcr7kwMG4i+WGTAO20FwGriVZLvF
DorUgrd5gVaGGy/EdD8RTaIug7FZGCM5eQeRE8lrCrlzm9Zr5GC+gDOSDHfj26+7oCAy+dywyL6o
AaFJYrqHRFX107n4sa450ULSLix8zv/AUCjkojBUG43iUwzFkPeK4LRiZUe16sUGZcS5nmx9S+p+
cbKriIADRrHCai0MK9YjLfLtlMbv5d/oWoQLxuQxHQmP6/ZjJlcbjX0ByBLlCo9q8x1aX63eAOtK
BkOBG4aKByEhcGmeLpHWcjVrKXUzY8tEAa3HY7Js5OKZHA1TZmJDYYa6XYhUhwl+3ABWHH5xlTPP
ngi4I6LiEW4IBw8acuM6FG3MYRbcKGYoCLOi2LeoWPsmZpmWsR4wqrTyGkyaIi5o+lozB6K6xGSc
gDSfcnvxZCvgLfBwpN778zvwl/W+10wGqGYwqI0hJv45eSoQzAe1hGG6dsEQ8eRQem82hc79CzVp
FVFkcE2PJz1mPOfbgdXaVGe4QxSQmF5JidaGFhDhoNtntKz8djSG0jHDM0h1Z/gOwcn2/FvZxz28
/9bJHsZRmIaMS3d2SXbQSiQYPlA1GJEDA0F+TX9NrGwvqOdIhSfxvSD80Sm7Fz5RU2QZfTnNhw4h
60ek7nodOUtwHmhfY/L0daeQj4tP3j8Fk1FtdX/5XJD/CHHBSFoMBkBWD4V0hF+TpBSl8F0i50IH
Nw0deKE+rGLAD0eyAOIariaQVnXwZ0Hso+G6lzq5HTGnVGOzbGdX3b4X4J9FII5SViOt5PP95R7v
4b2kiZfGCgPP+yXWZ8TEOGgf4Lgxan3QBlIBfqGrW2Spv1hksGNTUQvCagVRaUuFtSZLeerHhpTJ
Xo/fenNZlSTuxJxxOjt+S7bchScO5p6fIojyYI9ytYLCud9KQLQjygaani8Y6Mf8yOQDJrdywGhi
lqnxAW7+zaCx0yMVvw1rnrDJewhGTQA/o8WJhLP3C3OyYAgx+RwkYZP6DOW7KRqyKSybMP8M7/zy
sab+VevAwMyEz09OAhrWOTh7jkQm7RIK+LTnOvCIChqXjZZfpCPx7MMi3e+74PoKO8hub0N8H5Hd
wUcr0MYlpx/+2zyto7MJXiBBZb/4/ffqVy3UpaL8Y/vW+AVA44CDGA0mgF7dfwFFRQH6MePefrOu
h51vfXFGvj+gVOWTU2aZprnXzz3ZbD7L9d7eRLpHAPo9rt6eb8R4vFOjfPsVk+NnoopNHTbCPrBq
U1ykMiQpGuGfC5m7cDhOjE5HTMQAF36/VEAPMqkos972B90pJT1iFP25hEcHa6yl/0fC5EoXJUgq
vCLv7TJu1U4AwxyHixuaLiNpQohws1+alCY8+o73Iifnx/RBh17DtLcz7W23Q7EgJVZ/vF53H556
eM13r3jitYRRTx1ZD2TtrF3yylnrWDUJ0XU7ZYjtbfDaEeVldQ7IRk/2m4DYv4n6rT3fnDnLCkoF
UJWhrPGYIeSpsUAb47K1MWAVwjEYPjJe92N54Zhn5QDQjdgBcFmOnrxbgTNgoOB4p0BS+pf6lOFc
0SIAFNXv8xXNae1YWEcfDYBeIG26V6jM4bKmV8Lexn8EZlIBXYMi25IGGdD/L0HKxE6VLfYuGi+p
Er87rFXRNsdcn4uY3bX/rGU6PgE5njKr+aC3pZEewd3GCAyY8OJmS7W6hU2bAoybWnAVvKa9XfMd
AqwE9zBJB/QdeevnK5q77jenMyU8Eaq0x0wtCHJaxFQK6vxp9V+cC9pq4OLCdI5tRfcKUINyPaUj
0Lc2Ya0xEcCj7l4IFtK1f2DoqXG8lTJ5JFqpa9k8gRSkirbg32sB2TrQ+sF4yVYNOXXW6dSo743+
/smz5JMmGvoznm/lX73s2SdMTCewE43DF1DATLtaKZEUmJmdYRxOeKrMYf/CHROy/dRT7bwCjiJS
F0zH3FH+Nc6A+hsz7aZXugcL8//U/3rkBUwTIocLbcxzWnkrYbTsNw5QmQXgru+wwDIEZsHTRPct
Y5YQev+Xk0Q3y/9ax9RgCDErlRGk+MEqJm+7dEQnHNYnARlx+9S+/ONJC9+j0VttD29v3Ev0YCzY
x4Wl/rliN0uV2gBzbGV8RDXaR+VHsCPXeK4vcyJQxEPshy5K7mHkANN0OYgketwLtHCXiWA4ubzO
lSW8+EwkjWIhMD08utrAfzmtyEdhwHM12wzAu1TaiHbs1uhA19bhjuhbVnPVYiN9ZupqqblsJrt5
J3haXfMULhGFCoI5DD4xxU8/tMoP+iVviINGObASvaRfz7d0zrWAkwjKADyf4yyxewWlmSKouLQc
7Bggpj7ReYACgvqEOPkDRGXPZc1FfpCDhn70odIIku9lJX2e5GXLDrbcJ6SOzjWTaRlH6CsVHBUu
28T5Us/ObLB3K3JyM4IqSdO45AYEe1av1og1WdVdfXDaq+HaJK5Bg0cWMUOzUQeyboyIDAV6Gqa5
gJZNwkBu5MEeQkOJjLyjSRdiHih38SnS0tu61tGyuvAuPYIh4HLfSh2f4psL6NZKlyi5M9hNrfYi
SRodIGKJV5v6l1GV+MV/YcADEF8ddvVfnOvNcieeURE1Oc1mEMwqL/6GYUkUvtPpu8eZxSZeorKc
c0xvVzlRolQCk7SSjMLcYwvyduEnS0HEclzClnCjUz19m0ZkHw0rAKK0abUjRHetG3PCYO92pWoZ
yCKtmtfcpnQTXYyqb9Cazaj/ekP/PMYwEfUqM38DvbaOC4/U7IIlcHaikRkXddpgi1m5nN8qymAj
U8/JRrXiPDVRFysrs5fzRsx0X8u05pUeYpJs1xz6nLQwBAkBo6ryVrFLsLrZEFlURnY/1DTBajU+
zTfKWtaMD2SZR9sMWa8p/eTqr4evDwFNo4ev9fq0JlVpuGBhWugkeHzxMdcHGXlkgBSUUafcZHld
J3VdUY1ND6xNCZkKnpkFK/c3QPNecUYZaCsdWV9APTmJ1tLC9fKiDlobHg1eYlFVvhgLLzFJDuuf
ZPXvkpAB+LlNWZHzynaIt/rcrFpylDT38vxizuRf7j9lsstAGGRS5Iat/cYR7gAGEMIYCOAAIYpN
IKXX9Nq8vKNHbl8ezsd8Caf6iGPCVbzdifE9vzlkmZLipA8hXrav/S8IANQDQ4xROPw7cfvvwh9E
8r7fVypmPH78olr/fP3zp/2fk5hYxCHkSzGscBJZf4mrQy4t1MpntPh+gRPLV7VtJLk8FggGZK0x
rgavYuIP+alc8qInKPNsN+pq9Q1W3wWTO2Ps7yVPrqtc061UpFELx7IkYP1BRKoprhZjYncENhep
XCmR6TGHQniJEivOFruNH83j/QdMXtahkmmw4GFvOXIN9x8oxnjaK7darwmvmTptbLLNGRZxycuc
8c3u5D64md7Qhcwo12rgmhmJFhmvP6fgojtko3r6inpZoVn2uR7NJPfvhU5CpZiSgphNIbRVhZpo
nfax+2rOr+HxNd2s16agXyIkrxNCG+9wDgko+ZA4b4m25JnOPEr3HzIJmHpQHqb+n23J9fE6t/rH
R/WKqURjgmYnqq+BdjITi8Tb7Xsq6HvYcAL0AWIn83tBBZdu95+K3txukA3maZpA+anV2xWkFzl8
K1E11o5WWZ52+pH0rS6hy58ljL05Ktpx4XYvfsB4/W8+oO6aPo49nAq7q7SYjN4d3g9sgk/WHTGz
1QslqRdd32AHot3RMxci6MeX+f4wJuat72UhbijI99Be6LSWnNkM+E2cRA3yhTjyb7TJk0flr3f8
Zq2BrNSdMprSXI9R0tvx+mGts+sXndnsVRYPibak9IvbOzFuXJlldZ1BJFAJgsFoa+/skmb0CxBX
ngB32m5jDYZ7g47+y/eR+xZPS339M2nk+y2emDkpdCjfZ8fbDlIDawQqAK1Ab4otDjq0YGutUJXU
l8ul1mRQSOhcT/QILT/EOWQEEHUc/Wq1cOx/NFrPzmJi+sIkzt2iGT9q1+oH5BrxtiP9eTL/ERg+
/wU234W2cwsO/l/Y8ETun47c6MCgeFQcjnJDwu9iolXbnSGh19bRTqfutCXUEaoAlB3i0oWrtqDp
f0b5RrIDeh0npCGZy/M18lVGn6WWX7lqEA5G2izNTZqBTdwd+xTuVhRlCoZtyCu0a/6547bwB4nZ
GijRvWCJZ9fQFg51Jma7Fzn12hSPpcIIIjPN2TkmiEc3zoo/ONbS4ITFY5yYrSj+3y/Y2Ku12zXb
ISWHQ6LFqkucrfmClFsikj2nn6FGFreQplk6yonRqpSuTJXxRomxWZWmg477uFCjAeNyll6rmTLU
/Z5O/K9QdrKsUCCrN7XAJ1c8UTkxUH7CQtenF0n9J5/fU9gxzf49gt7AWlDbP57+hxsDxlxunHaJ
SZuTQ5X7qAyCBF4Sv7OuNVKbuWqcwt1JfvVb1fSQ0TmuPaOyuBOqFpjaSHxDTY7jY7WShxGztwjk
nIGMYE9uPmly+rnry0UV4JP6Ix+CCGUHU07WGMboGI7xj+yRojuriAUWtmL22G/ETo4drYFxHnM4
CnBUaaKaye+xn6lObsaM+txZ+kNRPdv0yamn4BCOGgXvhkD6Y/NvDI5pOP+s+pWgCxRHj78Z67WA
Fqxxq/d7VkPxN0UFEF26RvG2vXCA8dIgC2rIT1GRE7u+1MZ7sBc2OkiCtCPaBNgdtRX7pU0a9/7Z
l09ePDby2I7n49auHXZfh7RNMdxSfX4+JoMqjoB2DNiZVkRyJ8l9RR7dJmSkpNFjQTbKwe2X9GEP
RBq6OnT0sKwSFM8s92uVL7aPPeqCjEmMigh+VXRwIj197zcNOVs2UoWCZU1HWlBV69qhCpV24j0r
SyShpUh7rhLM6B/fb+ydxGmhKU8apg28pLc1iiXhD6aQBjpvHSkNyrggalTkZ6ImrnoPnqpw8LC4
VqVN4WBZsmrtwIUFn8XT8oVbNarygzDUZWFhxvzXFGHHNGlVNODDth3Qm+cE/a7awm2aQU9i62C8
RtCrAi7DSS3IL9Ht1w8oxIJeY2y6//hwV6AlGMilP8g12atHMMo+38MZGwXkPEjEaBmIMoxCnshU
ULPrgsodsIe13gIw9nU4DStRKw3gfNM1Ue1Ab8lvoC75ezOvMND0PBojQBOEtoU/srFbRyNEREHV
Qm8H9aZv9UwSQU20LytAukD+KlX/QNhAkmwpqTi6kdNzvBU7cTMblvVYP4dYZE51/HYKTuY2cFVq
wYV75FIQ7tc3uXpBXkiNh251+w1JtkQ7IB8SWq8gy0PPn2KV6ldpHny9VBlkGyOt3B3WW521Nr5m
96Qy7dQQV4252TTmPjfOlYq/NqlxpglNMHwJWZTnijCn3qA4Qrps7DIG+Qi27eY0xCoYokzwBpvp
z4mV57biG2HrLaj4TKCBTbkRM5rlGzEMX+ZK0ULd2E19zHl0cfyLiKnr+7FQ9XuOdHVVGavz6hMD
M8znK5wzhcgHwhRjsCtS9RNNZ/MszmIuGWzXcdVKOTgc8GiBRWFsAAzngrCZwEEGORUY9GUFJXFJ
mETvihOgCpmiLpBsKSsDSR5UgELwcJLUL9ToLjJO0SHUDtmTwlzCQo2qNdXxW+GTw2SdsijqCAle
N1qJb5kIZ0dClpf9LWG2CkyfcKpF4ok5u38rc3KyjeIpjRtjwcy2QwtvtpIk1adAglxwpEc19JJL
x+cHOmdB0ICEMR4jqRlCkYmjw7RJ1HAR09jSBSYfvMapkfMar+wa24nXeNOfy5vZ1TtxE2enLmIq
dzu6sfkNRmkKBMSbTKxS5YvrmU61kL2e0dY7YePPby4KHw1CFZVYG69KlNEnmB1wzQ+Vu5DBnt1D
eAYjkhclWzQm38tRmkoM5LRq7Y6OohdRCHdym+YE02wFvc4Lat0GMUN40FjHtaeYAubnLD3jo2ZM
tBUXBbMCwK82ImonzzgQqhg2wymN7XcaHZhCNjJZUpv4wp7Sr/yLa8nSUE9xxnO4EzlZdeyLTNY4
EDmONSre6y+K+eJ9NfMtGlNacs0Pic+sve6dxjF3mpDt8uSYgcw2MTtlFzlvcX+oAKcUQHz7EyoV
SF83MgZ397vUOfH4v5VIF+GV4PCEY/8B6gKxM7xBi1MVE9992YwSs85Iex42HKqS1XcA6txNQqt5
dfGif6LwL2lPYq1y7VooSzV2MLBc76S1v8mDBhwnlQp2V7FfoJZ/ZCXEUC2cAgahoV6DgScTu9F0
NWokBUomfGYN55JRKaPmD2E/tlSl3qbuwOasczII2l8StGBfuiUs2szjfPcBEyOCxEMfcYmPtEer
8T2Jf3vvFyXquDFrcUHzZ/oLsFgenfhoDoHT9acjNzeMo7OKrfAY2WxuCCTbNlq25TQjODQGJkSa
0dqSPdUzBiu2HWOIkFbkVMeIEcKepY9OLSICHgxq4d2Y8wHvvmpiZKKsoxqmx1eB3vIqOGQH2OwI
n6X0KwWivtK3as9UM3vBls6YG3DqYKguOMsFkZ2Oeo7FTASncNTZySBCRTEzroZzhJRyjra94Prc
kM5ceI6R0A2LotxIFjBxwVCAlaO0zTtbqij/rUF0Snixcxa0eaZ8IGM2Gjj6QHhJMwB33Js2QUk9
1pEB05eilBQMb0SOpnSeBqqmrCGFZA8or6JK78DDjTWfAyiiVaNWUvn+LBabsgR3XUGtMk9nuAW3
e+6moa9OAYgHdw0dLhMDFMgug2mhUmcH6ILqjCLe8kJGjrn3w4ILA8VKMAojli41h1Lz3HRp8vwI
ZkJTDOO9+YDpVY8xGBDkhiNcGwxfxkerXzX3KyTH3xUqKyvwuuauyr43NIl7C/9mKQc3c9PBAjAC
poHFApPT5H1j84ZluALhVAHsOrJFTqvtwpVxGAh9EA/t1n8p18FmtbDqmSf8TupEJap2AJ8TC+CS
VRkREBMk3OeEMw7G6yk2fyqybY3tP0kFrLVdb7qdrS58wFx0fPcBk6AAewH3lB+jY7wDjAFKn0br
PlkXEK3zwrs6t8MofPMgDUA7PUgx79W/T2lKdHsaHij6zwQUKrq3ZHgd4lWPkYXy0mWbeVE59NoB
u4xJHtDpieUW4SokZccMther3LX+DAGjQPLthYjav8tl3+hojwV14s+5CLHSpW1dkj7+/MaWSx6V
y60E6VW+Awcn7CaHxh+iOAPpOTWHKwNil3AleSr76uV7T3+uVzMlWjAzAbaN4daYPfwAcYjCUAyz
qge0SjLynccQ2f0FEMDyEMlGztYVDkOzcivS0wuSZw75TvB04UUrga+pQzwVrFhm44qElbcSj+FE
rOotTSWaiRHRSYOBIwClCgLi9vtdVvKspuQCYUXFbZsvXvktuldFWljRDBwdkdGYFpAxxU58mJKa
I0JkKgWvA0feerXVhWvwLf52W8YA5b0qGDn5GIxGo9VhK5sYvG3sXk1AGwY1+8QrnW8bffuONoeN
bm63+me/ZnTe08r1ZVC375vN73HBks2dAC+BkZ8FuQNM2cSQSkmDCagp29tRdgRdpZJrSohOmwpT
Z+A0P9ezmXoC5oncCJvcsgJNrbTkQ5i1O4ifkQa6dZtIp2r1zzR1dEWDQJIC5zp7aRcN9ozpvBM9
0bRG4WpAMJneZs0cbpFPvgzr+21XoosselPMzSe1FhYs2Jy1vJM5Ubi2zBKnEiAzJvmbRK7Besfs
s7dgwXzMBes8ENiSCOoRpAimih3xVUkNDbY1RQIs0VJVRMwBSml6jQC2hP/lGJUuX2MtP1Br6eVb
eAXtxevSTJ+ZUhhO9+YzJm9i4wRO77X4DBDGM+Dx3WM4qcpuhqvOHyi7+UKvZYfmPXC+rs8M+gmF
BfUatWcSiAGCjj+YX4WWEGlyxLxTptgF3Lw+/SmDfSmfnqvvH5j2UQCCCxbd2Y8I1CEYUEztys4G
nOOjWXPasOXf5A2w+yLgBJGGcoFZ6OE6LzTJtM8ojSja7zgkAORq1EuDBsYKI4R6pE6WbvH80v/z
ZZN3GSFwTsdd1dm+RJdW6AryXpCj8/P1j/v3ZPl/2O6bV6pqlYpjsgJCHPadZd36LU/gXaJrKVmY
rTi7HLS7AeoOGvaH3Krbo3GhzrHRXuCdcxm99tzSg78kYrSLN4vhhFJoAozLtt9qjAXDAAgc6SEz
/jBB23iN9kORU983Z9Son+/i7G3FDNr/s7jpWbEdNTB/kq/sZmdw6DNLzZNvwnHXck1/Z6Efq19l
HaGqspRZmz3C/8iepsvFhMOM07rp7EYUVi39RitftDjoz1c4987eLFCaeG50RXXgJ4IyuulP5WhS
d2F8I/Bi7b8Qg5YTZMOxmahU3p9gV4LAp+G6zs4yjI6uvlzOaLJzidD7uZy5YAf+wn8ETVQlHkLw
qLB9Z8tMqccJurUFpyDQIAyrROO2B+Bw6COZhiF9XCCpGZj3mgblKUfgjVzq1i7LvyldvKDBo9SH
23jzVRM14gSA4RUaRzmgiPnKlnJoeFEBoGQF/Inn5eGxb/ivgpK5BSjhTKyN7UDVAz2E6NsUxpt1
c3NijAZxBApd0WVWHVvW1/P82A9vQsJatLKUcZ+BxaO6g1YDFhEw2kOnieguoRD158jLOiXAMr4m
FiRRgBgnJSbpDd98hda+TXSpwOQCuo7uV4zVgQPz4UI+c/YtH4kxxvoZ3tjpzRGERsHgGqCA89/Y
vToMr0Wcnja7gPuUeCPoMEQHU3UG5bqgfGNaf3rMI4nZWFSTedTv7nfb89iGdhqXBtiDVlOkiXfU
PiPxi3PxFnIoc7lU0FgibyZixAEwCBN3Jem7xk3YeLA15sKA1OTLrFHsTkh5qRds4IwzhhcUg3hQ
JBTgJ08kcaE4FE6CWkawrmq100og4LqeRKelyAbE0Y/7B/Q0Ol4FsDBgnvFk/+qw5Kswg9OvYGLJ
TukGR9TLCslgA/TGjEyivGI9NR8cvjMiVqK+8o53rn3aNZRJy0knEncMDEno4UqoKecJoJFtRCr9
6TivCl/rBNMN0SMh8y6hXYDf1ZRnw+QkiW4J0FGRIw/hR2kWbeVK8kVdzHgl1dMY2dvvMAod2sBI
OUpGglVOMQyTF+heK/iGTg6dFwvj3DF0LOtjS2liJDWQrITlKpAuKBgKwRE37Htf61o3ENft0CpH
Lm4i7pBKaRdZfJ+y7q7w/ILSRI9yOBIzbEabQ4o6igViBTY4xEklFFcplZr0pQn8QlnnVJtRppuB
WV4tG75h1HpoI97AgFCOsdKs74sNG4vOWENgHXHHMnSO5pTW4RgjiUr3FTbQ685x70flzhMET1IL
kJBjpJ2Qg3A2LfwAUR4m0wJtLvJ+9dJVAUD7VUel3L6PnKpR+SHr0ZrRxxiB5ztUCCYeNqJrXXBY
zlsxhdz5oHXK6dBO+ahJ/gn/g7Mr65ETaba/KCX25ZWlNqp3d9vuF+SVJNkhIYFffw+2dKcqGxXy
N6OxZh6mgtwiIyNOnGMWQLJ742Sk6XfExxOIpaAbTOg96gNG/WRBidk42COI+Z/spqfoKZtanXga
15oqzDs7nzD17ZjOviOKqngvwVhlhSkSBt0P7mhJ+8Po+iIBe9XckfLQV4YrTgkhJnsDow1lIUUX
bP6pypiWNV7boZMOigYFs+6HwTbTV8gvJGhjQw0ITfRuNtao97SDi6R8kvR26g+dVarPSSX6Ocjx
7w33GrPHn7Vblq+Zq2Z1KOpkSKKuRWLkd56oaS5O3ZCb9J70vWV+xc/UgEcUthjeuc45h4Zd6X7K
53yavBGKhlrY9EVeBXEDQuZQKyoXX+Qye7znLaE07CemWfsEktbs3GsuhU6YZsSZeUaChqRR3MZK
eUdyJMT2cCAOfhQd5pE+Gz3ximGoxnBKqzIJlSrumsLvWohwQ70d/cCgv+rKqf2UQOJQZ1BOcUX5
Ute1PZ9Lu4HgSK6NOfENgvaog15mmh5aNiZJ9WokK0SAb+HJkUNktQRbd1mqYU9avYiaSikxeVRw
E5KpiGpUtL7xzBk9NEu6xBs6UTTHohBq8wgGgtwGvHdqpukQp6RTXkxnBGRmdq3WeU+EbbPvc9XW
5j6ZiNWh8GGlQzjEuTv5mpYOdKdaSaZjqfTRuJ8tsCRZads3J5VOFkgraq1X9nnX5iUYWxrV/UHK
AoIIStInZjBD7+2XixQP3UHKMqEPtK0puVfbUs3CvEgaHhInHaudmmpK3XqDQvI5SNCM4vwWZUlC
0LXMn0dQ+yRQPRLjr41LZuVKB10yKr7gSkMviMz9ZMxDhlu4ml9TnqKo7EYDe1WUo52+okbpuebd
WL4Pzqcm+w48jtfQ9Pc41oEb/0oL8Ly6vzc+Z+XO+8t8pYPBDQVv6Xpoi7kE0GQpdSc7wj2I1ql7
pJMdTzUDp9nftrb8mHTBoqqO5B9qRhi93CRdumpMwLuqvJaWU+x04ryZTrorlZ4FTJmK3W1rK88O
XHmQsULUAkYPU4qN9XYJwAc0MU7MbIKSpwnEj92vt42oq1bQDQoRBcAVwNB7HTTovHeYQtG+mBM0
mOM53tf3ao/p40jOm5/MGY0Y3MPDi4d5AkoNtw0qxwmszf7UtdgZDhc6zwpW1P2ACULZO8kyFeFb
cW+9JUvOuD/ZbVTt2HxEPxFQ/0T47jlrvWmrpL/20FoaYxc9VfDn4MF+PQt2nucWa3rldUi+jdpL
lX9OueGh2mnM34oU6gfikXbZiWbGC0+HIyPxvll41r70KFQV3HfSA/TZC/6toVVgJr/NGdn9LbS8
trL9IAKGjlYVgRDgWdcfOc9WrmUGMqDG3d0XFFrfoxgUQz/GXVx7+ef5uQLbzz1KGdAiBFL7bWOj
rJw068K6HB1NCcQ44Jvn17E79c/C9gr7s0J2o/6UdgDMt1saMittwyBqxpIshOn6kiu6Hm5ZOQMk
hC2E86M32RCjT9wwTuNwyu4VeGyD3qHGd1I+FVqoAdlye7jSUQfC4o+2+cLjjBcjiO6ujc+aC8VN
8OqdDfbClUDX31l6Yq+3jUixrWQE7GLXRhxU82hNnD+a8KS903H9albIxl9qIg4EOqP5uNWiKJ/3
vzZBrqmhjw/95n9y0hdPMhaXtBV6jIt7/CTMR6K3gduiXOGAq28GVNWErC1t7To0K1D6oPxelE1Y
O2V3qoutBPjqJCONC75ndyHZXQLyi2+JCVMz3uFb0iL1+JzeVQWWOeZ+Bgzg7amW3NzfYV+YkjZT
PYk+6zOXneHs9p0CMIOqbtwO0s341wSYUqFcoIKZWC50Tm5NhTXS7Kx3dxqFiyyQy7VmH1GSR6y3
2+NZNQYCRHB+LfwIf5b5Yupcpx8Ir2Gs7ejbaJ240e5I0u9JdnTqfgusIL2M/g4NYDKo7EAxAFXz
64UCy/nAMxfWSPEU25nflqd81v3bQ1pdInDMgXHQwbBkCHEr6i4z7TQ7F5y8m8yeHhW7oBsZibUt
h+FAVAelOxt0CNcjoRSAyEyvs7MCpldW3KHNElFDQpGf6TdMrU0aUEZAty4slYBGX5vqXIRyjLXZ
2TiBn7p8rz7fnq+1LXD5+9LNLcyiRptWk51tNVCQyCjBhu3k06lWqlDkbHfb2vpoUGBdivgYlRSN
uE0+mHhUsvOoWF6BPLbOXH8ot/yunFn4s9UgyfH/dqStVipTQjLVYOc8P2eQlKIK9+3uMzoMPDUu
dqrTemP9q8u2HOPqxgAiB5kGA1UB+XId8ryoOYUvKocTxJh92nymxc98syN9bZfb/9mRr9F2IBUH
qQ/sFA9t+tBtpTFW1wkhKqrhFtz7nyjrwjE4WWLHXcqyc6Pe1VkbupCucbeAbKtb78KItLUHvPhS
rcFRzUroXf+kbv6iZlbn9eQkuLKR4ZdLgX+3xIU1aaPHRSlEPy2+btqVpPSo2XlZ4qtf625vVdp5
mp2HXHmxIIGViCfKDagiNsfaDWeqBWnyXrRPRQ8ggO+qfpc/K6A1UGzujY35fPuMrN3nNtLZAAfg
qQqM4fWJT0s1tjoDc1/mvkveNYuEJv9JECsRcuz01yTbyMOtLvaFQWlmHNEhN9Jn8GYt+lMRkjOe
eeW0gR9bXe0LK1IsZFPHHlMFVnj/q0zKkGQHxf1ksiCHPvvtGVw9HWA2c4GWB8X/n07hi92r0ykl
4wT3PNjxD8AYhm78cdvC+pT9Z2H5ggsLLB5V7jRddhZ1FdYttHYgYeczbqbhbUOrDgUYc7wUF8TE
H0KFC0O06Jy003h2dtl7zFI/EycR9z7bOB1y1vvv6biwI91oSpWKxCS4Zor8NA7CL4doTCNHNIB7
DuGU+3H+nWqv4IjwpzFyRX1ns+SJ190BWVxvrLqNCV7dLRffIx2CtkF+nluY4BHoTXYQpv1Skc5r
mn6f4A27EdetLieerlA7/8NpJF0X2dDGFhkqHDk39+rm1A6zJ7bkOpZjdPHu/zvFIGYyDQXqCB+o
60q9dsU8ztnZtMWXhhpPetrtKna2qqBvrB2z0y2uNPnx88ck+gdsF3+DIsWUTvacgYfTGmAycXRf
kMNQnOLmC7F732wiq6oCw+h9p0PU4lv213/fuQjDkMZZKP8/vH0q4U4FyUvYJo8ACxzdiocjuKCR
6NhAlKydkf8sfXgAWQbpSKtg9dS5OdGS7Jz2SbjmI14uG/tky5IUvjgT47ZlwZKbozHSnR7yhN8R
UCUpaTZuBLJre/JyVNKeREN7kVKSZ+cUKB1B3lvncdxSU1odDzQLHOThFBBTyzZUm1ZFgVPGxd4w
aJR0d1nVoOO12/DIch/L3514YUm/dphmS0iiQKn3PE6Ob6Qj2Ozs0I0D0haB2lk/EzHd5WO7d4vi
EXlhv7DLJ8BQHymbQ3VWDt23roc6Fxt2CZCgnmrvM/GVivkwKZ3r5cZ4pISj98uByOmsbIV16wcJ
HYFLIg3dPnL9SJRJXvQpPr8UqCGZuten+3b6oQLx7Jh+R7KoN417s3AiCtQa6Eo3/PPqQtnI3i14
GzSJSu6wr/paoL0Lh6mIs73KHOs4VIX+pkNq+L4l9ZZk0+rmA9wV2hmocAHifL1caOcbGdS3sPny
rgsMpbd2vCw4nGKzxZC1Gqs7ADaDDxgUpbYtbcLBmnSdEdiq4kewpO9n26n8Kq9fINh2Upzp1Una
0IoHCJh2j7d91FqgcGla2pWc8rGeGjU7g5e2QgZ+sP1x0Or9bSurkwm1MgsNpQDpygGdNlOGWM+E
46/RVETee36n/E+pJmQMgENSIRiPC+Z6xSBDjHikihHelvw42+WRZu0h64HGAuJ7AwmwNm0gpwI9
FXQbLJRErm1Vmd41dknwkNeyF3t0fK3q2IarXZu0SxvSDtQ4KS0qlvEknZ+Od3wuoZK7EZOuHasl
Ce8Ax4bsoCMZcZpCK8zchVfiKMYm73VNfJr2O8a2bo7VKbuwJC0PKGv73owdWNJ/OyXYcIbf/77J
LocieYi6QemMJpivVNkjHQeAiOJvhjBb8yXFEz21WQyRA9wX5E7PkSRq76ZhpylbXbari78IZkAf
ZIlfJDumqDhXagzGbZ+qIvfa6XVmb7cnbHVFLmxI75E4cTIII2MTl4AKdqkPZ7CxhVdna9FUwRlB
rl2myhw6nrdOkeXnJqvCtuN7rj81GQ8TyKHeHsufepkUW+Kto6NxEqSKC6HD9YmECFeC4msPF9Ol
wtMoAjpCAExSgSJRUQdOsmhIYsUHYAciGzH/ok/xXZ+zNjKHLA0AfQey3hRe6xDr9+1vW1nLq0+T
NqZNxpFNHV75ytD6Yjzx3PKEs/GEXZ8AKHdCYWWBzNiSSyLJUPRjT9hZUZMgqYwDS14F8Rp0i1Xx
WzsB7nAi9uAZSe2nFvILEROKh4rVxpqvjXZpz0aTDjrTESpcL0Rqq4NiV8gy2C3ZcaAmMjATVq//
PqWXRqQbcyoTx2ADjExIbaVoy02dzOO2crhtZmX/QsUN6HW0OONalvFuOR1Tx7agHkyYHfQlgWZN
QLCV9WJr1tYsuWhuQvVsUeNRpNWLC7ODMgos4TvChtCA9vVOtSNTbEVyy26TDwpkufEe0h2Qlcue
JTFtnROO9zQy4mmgceMEQDqEYEj3Fcmwyh/SOtk4nGtb4tKk5Gjc2iqAyUY2AkKbXh1PzznEZBOm
Bv++WmhCtDVAWyBzLodRWasm5YwmqTMRCyH6QPtDMxxo/2CaufHvbxM861BuQZkCgmdyOBxPwmkS
Bv9sgNL4kJuftmpaK84ZTPIIQEHEYeCdJvkztRzy3uRJfs4poDUlINj+6IJJ7PaUrazMlRXJNSl5
3ShqmeaImXZjP3oZ3CYft2Dqq1awKoseHUQ65WKB2bSNqs4sP8cq0orzc9PeObzZiGSXG1Ha1wDC
/GdEGgroWcDqnxS4aypbhGAffFFEawaUccdLjSoPOemdgM3s2/8whUBJYlhweIA1XPs7Rvt+Hlxk
2RV1TAOlgSgvmB8Du//3BxDG958dyUPkxE1Sa8AkljU7uOUbtSGfUI2+PWw4vRUHAUPo7YbrM4Ef
kE6raBtjTts2P4Mn9RAXHE7CuNdy7TAQVfWmTcr81d0BNB3AiejLR7bkegJ1t2+p3Zb5mRfaDg/j
gPS/u9ze2B5r+T2QrkJ9ykLhHxG7FFHlNQWiDWChswCdO0ojicfzPLQzBc1XmTf18b1wvgtmf0kA
bOXziVrDLmPQ/vnkqiHp6len3BILWHH6V58kjRwwNjNG/iQ/j2044EmUlYflHhv6dOO5srqk/43d
lArkajU40zR0+XmIX8fYOKidQLqr8stxV/TVxv5ZSxWYCkDK6NA3loBfcl1U6zimFvBLtBTwNyDg
2LERKvUH1dB8UhTlk1M7/XOpJ0M4s4wFjqp9M4TBnpqh3ELzru4uCyLBwBsZqBdJx8Yq1LxiM3YX
ulg+EaXBBWQrQZlt6UjLsJslv4PHICiYkS5Aj66s/u3MGp9dgjmO51x4SIb1cDxm2XpAQ7ZavFMY
+NSMfj8YaApX9kb2u0AROHvJ8qeRbmz2tUFffIsMw9EBLstHDRuLdXjVAZZAxwUAuxFyru2qSytS
pIf2Nq2aSqyzkn0mAF8aAJPsdfPrVtV8DWtxObW6FO1VY0GRm29QyPT61uft/lfd+YCr6rk3vdi1
18fB73jDra+dzcvBSW7d0DswwztwF0qthwWqAAXr/KZ4RYFzI2BePS+AOyygALhdQ46YObPchChY
raF5srsANVM4pNk8qeyodQElL8QOM9Vnw8vtm2st74QHw3+GpXmtdYH7NBWY1zHekeEkAKoEqH7c
WfxPQVBBmm9otvi+VjfnhVVpZuu+zRPq9HAPQCWTofNiwK8230OrVkAevihcqmhWkjZn0hVTN8zY
M/lcBUnneC441cT/cgJQ6AbGaeHytyUHPqDZv7UynPlefad6u4c2Kd4jc008oGu3tsnyxXKAA96J
pQ9uoROTT4FmGQUZjLI4O0Yfck09AiVzSOYdt15c5RiLIUxA+9u8M74RV69NpQXw5NJkC9sy7VaK
+D2x0644x/W9SFB6E8DwbxlZcyaLBYB8l/YEOUVotmphdbZbnFvb+tkL5VNXD7ux0D7VwG+N6VZI
+sEcHPUijYwW3EWuSca7QoKBWhZLUMirH4ii7kTXAyV+l+jGnk/9xgR+8CULMT/QPiZALKh8yY87
hwAhncZCRLFmDz8bpU19ldIk6GqaUi8Dfc7WXlku9Ku9slgETZuio73cBM36dUyVJm0pKgcWJ8tt
cCNVBDI+qeiOHGBbaxp/1oK4p1lph/t+iMuvpW5/vu1c1iYYzkw3sZ4IA2RiGFF2E6j06RgVvY4E
7HtZml7uNnu3jhRU9m8bW5lg0HO5Jt7OCx2NK13y7WBmdZLZI6RV7/WBhZlh3gEBc0hLa6PS9vGa
x0WvApwAXBpemR8Sc3mZ0GyyYYp/MU7ijoBgOH1NXrM745HdkxPkr79337fkJlbGB6NI0SKpgpTw
h/scrV9FaztjNAHgN4nKB0VkCEZar6BbkJQ1U9gwBoTrl9MuP2ynuXN6qPVO0ZgNntucck69Wr0r
s7fbS7YsibRDTXCs6GCPsZG0kkkf7aKyICPXT5HGPifNF7aV2P54uWGhAFREjgNJVJDUSZebi1pa
oWfOFKH9BTwuFIxUqe+O1oOTlwFFR4M1fyauEgpri8ntg7+ULEsXHKWVaU8WLMdP2kt61n/++8wB
2L1Es0gXIUNwfbZt0PPqvYrNEHex6rlpMweCGFtRyco+AEYf2URkTpHgkONmPqppm3EgHQg0alS7
/konsM7RKvVa5MFuj+jD0x0kgmhK0+Eo0HeIZPH1iDRtLuemS6ZItEQJ7MYygtQk6a6nfHgjes8i
/Gd81lpQdNy2vLJUS4YdrxRg8dBjLj0K6Wyn01SYY1TnEKBT0f2j3jXWxst91QiaquGTkcqBz7ge
nqKTSs01OkVKFntdY/owomkb8eqqEXSI4umOm02Rn7flXJndqKdTVAPUoOKZ4wq/5vXGfK14dSTY
UMGDNBz8rJyVQnObgQYcZYpy6wdI5kxU2PL8ZLjo5Rq2ICnLPpY8BE7t8mSDLDvY3JYRXwJ/atyn
nKVzpGtkRyfzM7pNT5P+mymgC9Z8tX3t3S3s8dqu101AWlGmBL5G5plqUZ+fW80dI9qdzPiudZ6H
GGmWbOMIr5mBK7fB8uvgoSwfYRcAJpwkG4sFtI1qFUCoT/V9X9uRyMvw9hZfcbRLhRKaxiA+hEOU
3v6VYrRt1s5zZBl5eUSBnb9UDbOfb1tZGxFaC4wFQqFjzaRwuxtzq2KGOUUp7YygtlzlqYUs58OQ
4RqpVK5tNHGsbUQHdz3+Qa0BxYbrzQHZPLSjUWOOUMAIRvLA6uHn0IKiK9v1afN2e3BrdwlS8kty
b2E81JVl9BdbsWO9a2cGVSKR8YC1IVXnsIS0SqO/Wd0+pweIb6LOtXHYVuYUVm2g09EpBf8kWeU9
60jBYFXri7ADPyDYPMrml74lH7EylzbI1dA7qEA6HY0i16ObZhvpMKtXcKGoNTgqmfFeVeibAwuo
sye5kT8oM7jAb8/pis9fCioAQBu6gyS3tC3BxJx2pa3NUTo+OV2/i/MoU03wL0G4ZATrfLmRlVqb
zEt70oap8Zo3zFKfIzP1inCOQ75nW/fY2kRe2pBCjmnKnTausCkH82jnT4KL0NX2Vn5X8y1q2hV3
DzzFUikCxhsthNLFVZqmXVYTiNaAyNqTDvjkYghbEW/04K/MGh5j8IULgG4BQl9vDT42vJyMeoqm
EfQxadw+jUrI+iHi9VaVdM3UwrKLzOGivy43RBZZ1qYlFKGivvYznr0SA7pFZqcFjplsPBfWJu/S
lHSwKnvSEEHBVG4+o0HWw70SzxsOcWUvLBLfeKpjlQB1lGyA3EJROBunyOqhq2U8GD/6AcgK26u3
Mo8rDn6htEUfG/KnuCylXQdZW5WaGVxvDLlEAqyqNv+6fVbX/B/eHcih4gnyB0l5vQ0Ip5o6GioG
k9RPVfoYJweHf6qVYyvScGgWsuBTpny6bXVtldBeBd+HfQefK8W52JMzBHw0XCkmmTySzgddz6Cl
kvRP/4OhP2S26KsGxYZ0lpjOdDQjY3TYDkncwMHnvumy8LaV9UmE2PmfVzHsSGYcS7STRbBOdcWC
ifzO4m9ilz5AH+c4kPtpC2+z/JwUPi3Nn3+KUsutLJnj6DNMbfQ0R8BKBIkC2GvhkczeM+3UTtOJ
6mRjgCsHGAbxZHAUdG8BUXS9SWKlmmne1XNkjCZgvVX1mlJAL2KgNXb1rP3YmE59bXyA2qCnF3EH
bF6bc7WE2v3YzVHTGOKk2wI9nKg/+nYmxAGxo+VNBjhy05Y6UZaO+kFX0vLBsnOr9dLJ5VGGnueN
G3vlKKKIjyAIfYEGEo/SUdTUmUwa53MERQ0FEarL/KFBc/ntoa8cDFjBDnLxpkAJWro6kYguk6Tp
50iclKfpZ7zx82vriBAOXbwmAPe6nO7jipMYSiXmSGXuObezo0CrNhpFeHbUx2rjkK+4SbRkI/AA
08yiMysdctLDg1j2hBmzwJnWlcEwPRclboBuDvr5++2Jkxllluj30ppcBxNtrxlFOWCLnuwvzdsI
1cWdE0xfHFA/HrUtaysPGFhDWKHjVsMVIF2e8QhOArvDRLY2j2pNOaAFEe3N1qep/5HnD2b8irao
O70L7DkAO0gDigjBzk2x427iF+ZzoVDlkG5qjKyur6XbAGPiugCY9/rg0Nma0ZKL7aPrz4Z2xyDZ
Zcz3bIsxe2WyQcyNjg1cS5DTBJ3QtZ3EaXUgaOGALCjsuC82iv5Nfle1v/EEeWOpAe3Qh9g6kfjf
H44wjHofSKo0S0enpWS4mPvMNhuscve9cQcvQVTrDL5l/mrfqenRbqvZ7uNCAwWCuAWXo6ohSb4c
2IvnwaRYY541LWJLpbyHa0QFt8cK1iD1QL+GOLJaFUFuThve5qMfWMwuEJTl/kdZ+9qscGdR2hwe
0Mo/E33P3Zc53fCyHy+RBd8CF6vYeKd+6L2EJAAa1ChMVGW40N5MQvcM982d0JY/VGiY398+oatD
QpyxENCheUmON3s77wgI43Fp5Zp2ANUMO+LhQt/VOt1IynzEA9gYmg5ZdCSnIe3w4XU1zcaIG2SO
6h9lU+4L0ge90Z1bPnq8oYEYsl2XlOjQotHY3QvePBXzGW9ov+qTAXgB4Rv5ljrS2kbChnVwXoDi
w1/XK5ohgaRC2gyut/iKphVvApm6N2iHLjlzn1X/HAbjRYsjChj7gpuRU7Bz0jgWs5Q5iqt7QX6j
w7HfQiV+vBCvTUgDQv2mjTNDxSQLpG++6//+DEI3Edp6UMNEq6Ams27wwgJzz/JEBoR9BzovHD3a
vxE73YBJr50DlErhNJGmRI+95Mt4j57uLEmViAIebe17AFWOdXs/7hNrIxj9eCFiRBeWlrDnwpfM
jg1f2sASRGc8pvY7100DNC9FU0KD2N1wIVvjku4CI+tTdRpgjZHTL437ie6b0LjZ4qhfO9ZAqKHd
GekMDTXE60G1k1mY3Fm2QcmCOIewO+qH4xRvjOZjJR1nGrAD1Jxw6S4V2Ws7IHlqEbogqUDgMqzU
Q6LcYxR68iNtAkF/lm77oo71g8iSPcioutT1bvsvmdYZEcb1F0gbHme3jBHO4CrgbEdod168ppu4
pynb4fGSK/wtT+tdGgdaHmbcH5UtzOrqXIMLGfO8kAXKD8+47wwxcMyBUt87ACtU5pnwf23JX0YJ
UZ6lt3S5Y6WozSRDXvMBiQ5LfCvnZzRNbSbN1zwH1hFwCOwXVHGkcyCUknPcE4hSguHQvt5epo8h
EL7/4selbV8YWpfMDn6ck1NWPdf0DhoG5RDetrJ6lIFpQ2YNMRDyANe7UUtQ/qzTGLFte4gr3yQR
Cr2s9Xuxu21o7drAsxVrvjT8AtN7bUiZ7FjlNQyhlnNH6PyQx9kvkAO86dohjodPIHyyPbvaSMGu
bTRkN3Cs4a+WGtG1VUbyIRNKpkR11oF1745oDyUA9v/D0C6MSHNoKgxAHJMp0Ti4b3UCFd9x2IHb
ABqFmu9kWtja9q6oso04ZM0v4vkG/COCSJBDSP4+nTok6EUDf99+suxHq+mh+PSAmWUM74X28+1B
rs0k+r5QU0E5D2VsyWloeT1hs8Kay8cvHUkiMnbngrDjbTNru/7SjDSo0qW8aWitRGkZmoNfsIiV
SGO/3baythkBOvjThoG7UvbBiZuBdklvlSg55Oq91njWtBvCmATlHoSBt22tTtzySkU1FMB5ucY7
NYbVgA5ViUwNKWOahCr77OJ6uW1ldd4ALFcAZUDFVYamuH3ZdOitUCKwU01o8xr0BxsFtiHbSLau
jQZ8N2DxQZYIRE3S7dXGesLabkAwAydhUMgKYcJU9v3fR3NpRdpsbakXCx8jahlPffdLtb+Qaa/9
c+MPLghE1njXIwHq4Jl57RtS4D+HvFKUaNJO07Tnih/3+7TfmLA1B4sNhooMmv5Q+Fwm9CJWIlh9
cGPqClpP70uMweg7sFv57jCF2+XI5ZOv82kqKHuAT8KfKuoyi8u4MFaOGvJakNqJ5hkhMx8zSN2U
7fhye3U+knSgFAN5oeXaWHQ9ZCgLvl1p2RQPUQO2RfuLKHdxFZX12dG+EvWtbYKYnaZfxqNg+6KM
UnCF5NPZeUnJiR4qdDZlXuwb3/U+6PKNW2YlgXn9adJ0K1PXAT+BT6u+Dcc8eJ730+6rcja/3p6C
tRjqagqW83gx0yxzy9ihsMNBdTDfgWnV06vAdsNSP9LOc7+K7MnQD/R105/IdPNL+HZlWrpJMyy9
LgaYbqtjqhx1SD1DVTrxIJRhdoeCfYbkl/qFUNuboMhb+OmnijzWO3DdtKD9c59nC0nW5JwdZiPU
3F9c27fWuZ3vEvzPFfRr6St7rhOv5M2hI6fSQfc3pPXKDYf1J+Hwca/+t4mkverYYmj1wR0iEDiL
9NSyVwdQEU28ctXyMhRYbIilI98ESt5Z+HT6Vd11RbVLyHPK9hkg6Kw6OuMXs6ZHIzKTL2DzhHqX
aZQerw201AX5nPlm75XOKyO/O5F4KWgp2MbdL2uufViN5aq52AgWHW2oeiQiMspH1ATBfznrlmcl
h4W9ZvYGv3qlPwqvPdpxMMNf9uCgfTChxYBVaKIcnGv0kNr3xM+Sz5MTDO6RDzTI2FsF2TQr4g/p
E6jCT1pooADv9iEmzcOytCe1eKl21SOBIsf0YDw57lPBXjNyP0L7zRMv41ujemn2MNxbGWRTILGA
jsOzEj+4RQC6nG1G7sUnf1hPIKX0hadqade+noh6ckg3IuUQgXIrCehUdKEFUcZj0VTgYR9BA86q
vPAS3XoAha/4VHQ9CODGaatT/Q9vzPWHQOgLUg+IMxGag7D6+kPUfGj6QaQimrFdAOL0VXP4NCDN
jcyqP7c8cn41tuG1FvOqRg1z1wp15ehO75npesAthSNkn5Fj4R7JUyhnZSFIyg5LsjenmdcoXtMT
n+97qz04S0IfjbZOEfHOOijWRvi6ORZpUrW+gsCnS8XyCJiob38xD1B2ZdWDHiVZOCYOQLzhOB7c
PkgLcHVRZItRkayOmfrAHnTbM8ghDdNhX2V+rAVD9bPa0RMSjLb+VPVg8h09858jOEw/0GwIdlBj
wWV0Pf20rgahg1o5ejeOj/rjP/vd61+XJiTVKR6VOX495jPWAjJb2p47AL5X/lLEICq4neeQT8XX
Xj93dYJHE93K3f7pnP+wwxZBJLQnYqvJ95/DWqYUPRMAkkxA5pJHEIp5laCPVWaeynT2aq0F+hlu
rELBYNICpfHjON9XmvvcO/MLaKF/IH93R1vwiuZDdzc08QHFmuc4KbCofqrqQYLmRwJ2bfVQziLk
+k53IhtcnCXw1LblJ2TLkX04vphYoL8MF3UVQHGkC61W9KHInVJELSuAqWRBVQwodoQxah6311AW
Z4bLvDYl7ZC6VY2mTVqB2MF6bpMSXb+AqlTWE2hFXnUzDfISAp2WHSj6dDeI/MuQ1UH5zOmvvOMe
6GoOg6N4vf5NtCe9MHzove214rDxlR9jKXzlAixAkIN6qKxnECeDU3V0FlGSp/ZuIsMOFNNdUCSW
FZSEs3NF4nuAzuHzMwPU0+Dt5cbAAtJNrtfkpeqDFNzAwev7XQMcyc4Aj8WZJiXYK8ayDNPG8eAl
C+RZZgtPRm7tOs3gz7eHISsv/p1sxNKA44PbAqQT18cRnROg9HA7EVVgjbQ1sEb2IBollXkEvfO+
M4+Osx+nbwbxXXrXuGznQEZBFTtHnY41IhmRfdOA3rz9VYtR6QABVIPaHYogaEq0pR0A0J66TK2I
hBM/l+6eV09qYuz6rjgA6doMEZ35RmS4spwwiUbSpSKJkFW7noexQcOymykwmbX+zE7gn/xfBgXN
EdcCjA1vC/3aQs1tQXg+iqhEAEDpnmv3traQ5YP/e1f1p2rawHkvs/RhFi8MLkO+CD3QY1maVQWD
Ygwh8+igB8HcQ+B22DqxK2UyDYhN9w/PA6pyMra7dcko8hGTp9oHVrEDYqw78z5R7rsf7duQx7tE
3XASix//OLb/LEovwDh34mJOYDFlh86vfgC/fuzT/8UIQhaAalF0RSvY9QT2iZE5VqWKyKljCEK+
uzHZpcWzTgcw5r8PW4WA1V1/YU7aIKVRzHVFMab8KO4Uy3ceuiNhXnnqNjbG4qs/TN6FIWljTJox
NdkEQ+Br16oC0ehPm5zB8rVxplZeW9gXF4ak11bf5VZhO/CR+pdi3/+Kv0Il8beBBlGv2yhurG/B
C1PS/ZRrM0cTOkyxx/ZRVzwS9rsisHbtCReIvXGUtyZQ8k8z8q61PcIYNKCewQPwf6R9Z6+suNL1
L0IiY74CTacdDjucMF/QiSQDNsGEX/8u9r3PnW43ajTzaqQZjbbUhVO5XFVrreEZNBT3XeDKC/J6
7qRIJjdQW3CaZe6e00+i87of4ksfpCc17I/oY+u/bNi7jc+v7UkXAYRKmrZGLAGNUIAN+Hu5N/bq
Q+pB4C73oCh539xtnujKmly3q/jo1qYzDagxHET/1I7Yi8WGjbW77XL7yc0Lmeg7N1NxfnsoJGZ+
eahSr5qD+axXPvZF6qVnZU9C1QscsUv/2jhlq0PEnkMtB93fQBFfew9lzCDBEMP9AoFwoi08PfRg
qi0k4vo+uTAj7UU3L8tMUXCYk/NsBJDOqoMRmQYRiiF008SfODx/ugNB1pas69YApR3qKLqW58uV
aRY7ku9Ta0/maWsNV48aMsqohoGpCijq61lkZZ/kndDxXKiO5j5/MM41hW5e/tx0nt179ZHuVOEp
kdlsBLzrHmXBn6kLChyMJteWO9CzFCAgwRZFNkTo86H/6lqQSqzOpIAUjAoUE/sG0jV/MOMN//LR
ai576IUBBxDJBVEiv1Hp3EElK7ZwvfE0Mum+tb84VOzN6mFWny0DrLXJj8aERjXotPRHLcsCMzn3
7X5o3qbl49xvqhsm5uGfs8wuYvUqmhnBrbC0hEpeIs5qAY5ZCrBJ9sKGP8r81zR8vu8ablmArmzc
9IblepZ26LsZz/mDZR9AzhfSc/pke+MBfFWR/eoNR2N/3+baVkZvPNBwwIwhPSrdiKpSOQnTMKxp
/N7qT2O9N53ovom1iOXSxPIJF9GYY0Bjsgei6xy/m/58gI7G03hKt0KxtRji0oq0aS2wUuHxUYxw
ea8OJFntXNnPFA0v9r5Rj2132GQTk/U7lxcEjoeBpwNy/jboS64HprMB4nY6Bga2jV19SHYoLzhP
/NE6uX5zEKfx5HzKfswhVIKejeP9SV3zDpe2Je/glBWBvEY1nu29QPUEaL+T/X7fxC1yfxkfqv5L
B5EOZh7JRokEkGa2sNEEaLM+kGO27w4FdBfZ3nxRwjIkGyWBZbPJh//SoBQHliqEPToGg4M/elvU
SaszdjEaaae3Rjk4eVdixsoBGHn+rI0/UkU8YQU3ztRH99G9cUg7fmziKR4FxqG8hvyFvbW75DtI
mo7CI8f5kJ14UJzsIz+Oe3rQv+ZPzrf4aTq3nzZCw9WzjbYa8LKAHxUIPWl/5rHZ6QVGbIEe/Ikq
lqexauuaWtbkZqwGRDogWoDuJ7l8TdCPyIxlzdwwe+9ezRPZgbH6kD00T+2xF+HGnlwu9XvmpKvX
yO2iris2nts/7cF97XDyjDDbaWd2GD4NX9Mn+v0V+d/DfbOre+dikJLzL6qZZra7bEzw/Q87tEv6
JX8r+o0k3oaZj1fFhacs1bHqaxtmBDkozauYn2fzCeik+4NZSzOhLeN/SyY3qoEpHrAeKN6dBT+U
ZUD27GhzD0LIkOsItFP7anozGBg/WTvuG5E4aSfy/zefcmwzJTW42XqO+bS/quM+TaEX2Izgwd0I
J1ZPwAcHLCAwaDhZJvxiQoEQVd267cYzn/doIkUde1ORfdVnXZiQotDSAYNvjAT/eXRzdKc+aZjK
++u10hgFP3xhQtrzdcZEPhGMoowG7lXfLGj9VY+VeEHX3G9bBVgUjfIbRvWlXn170Bb63P9MnbTl
bSexNdphXMieJ57xY36YvpN9cwCNXug8qj8R8No/88PJ+IbnhMK8LY6HjVGjy/x67cyuHwu3bfAB
03Pr2afWt3+ZzGsHJHM8IOm/91sM5/d3CzJi1xanthEqRAHhL7MdUfZZBuHLjRtu3X1hK2qOg0Pm
SktZJtDsayy4LwIgh/25TF75J5AVQ1lxY/1Wg3ic4v9ZktZPjfnQQlhwPBefhxPodEP9yA7xgfkg
OvlXThnBlwNM7MKCLF00cTunqt33cCh68GwIb6494+vwNH9xE89+cE7DL7v34591gJdulWy4s9V3
IHh3/mddOuRJnFam4mCn5qUPFZj6j4uU3zH5Xegesozklf9qq81izupD5dKqdO6zhulcoOUHfeqo
bLrJg2oERnvMn0dD9QltPDJFlXtM6JfU/uGmKXDIYTwcs+5nkVRfkuo9H8VTNxmHaQs7tKzszcm9
mA9pj3Gwd9UmW1aj+WLqCoiWdrPj6T+rLIIiZ/HvXqqXUyFttToDqfesCWy1eGfwQMOtzP0jyvC4
LlHp8arDAyuD7M09/hvH+PdI5VyKFpv5PEMZ/JzzI/3UQBFPab7YTZiIt0b7xelfQkPIRaJus9dg
PTa+MC35il5xgY/KsfxqFD/aEfQvd64P0dGAeDwYT42nb3iO1XvmwqB+7Zw611LBQqOO54TUWsCV
EWDEWDE2UjerEciFFSkCz3SNTqCowLDyQwP5T7wt3OJkbr50l+m5s0flQqE11UWR9Iur5YE46uJb
qT73munlsWcweynL18qzMYkNr7hs/XtmJUeFmMdUJ4rhgXip8N2nOCSHCdqxX+5vzLWLBFBs6Kug
qGIDWHK9VmXcpDnt5vFcQyfXHveCIWrcopVZNQK4CjB7oMiCpWsjo6LVVQ5x1aVLy2Waz7tIt7bA
MVtGJC+X1qBngYownrjG56Qnnmofu+rl/myt7WzrYiCSv8qZKZJWhw0Sv8b5DwVKcfcNrDnESwPS
cgzNAJyEBgPoryKT30O8h+1sfgRQZKwBVtu4kFbHg9wVcI0oggOreL0wOWu1Xqthjh0Vf4sQYnVB
Ln5cWpAxtfKi7vHjxQElwa/KxgtkNQW1gIX+7+OlxViykePI8fv6Y+lF4/MIfSOPR/l3LUreOv8P
/ie8vzqrrvTSpLw8hJChczS8ILN38AqhMS8+dQ73+xLqtS0Yp9rf4EurplfGG7QIqqBnbXrIn37b
+I5l6iTnABjKMnAk+VxAvK/XrYkTs8sdEweKZqXjC8tg3wnJ0lOuTzTZmdSyJy8bVDSVaVQtX+OU
mSCtyDVtPBaN4x6g06nTQDEhtA1et5KcLKsaHzrL7RO0ibGtPv61712gpFgt+JobDBTJCVW6YdnW
0I+GBk6p/Kw5p3s9gQRzFVvp2ZmNLTDIqtHF20CWCiAnueA56qOagTIeLyrxrg/f3fbImYl3zy9m
vt5fj5WdvsDH8e4B7RraLpa/X7zdBMRd6EBhqRgNMzB5ah9yval9PAzcjV2/MihwgYF2HYy5ePvK
K58YTOlNFV21EI9ReQE85/wAVa9YeZzs8u3+sFauIDS7opkEqZIFxiDt9sltzLg1YzTeC/ULMq9o
tXKfFkieUT+p+RyAPyO6b3HlTgfEClqCC9kENGSlyEGgUgRUu6YCyeAmYTkXbkCgjnfsZ/fQQiBl
/y/MLROJhDJgs/LbPq1IVQ8VuoddcG4aKJIonbkvVPI7cZqt62ll4YBLWrAsBpDrN7StGSkhyjZQ
7WzWMdiHGz8dZ78AgN0257em2yo5ra2dBlI+NIyg1xTw/OstyVnq2B0a2kGgNIfZdOjaxg2yXNmR
xDm1TvWV29rvfz6bC68LZhJ95WAYvTYpnERV45Ko5+KPURp/yo5Dr+Knplt//oUdLBmaTjRA4OVc
b5c1DiRxe+1cQt+gmL4Dn95pXtvyjctx5VTDdeDlC2ZhbemGvB6PpnOrKjqhnZM6/eq4LBxmKwB/
6sYmXCvAAz0MeC2oGgy8SqWlqtuitdGQpJ11hc2RZZVdUOIVFmqjNu6IK5zdNHbtb+LmCnh2RXIU
kLcP7s/pyu5cNIYXBqxFKF7mVOj1Ykwy1ArPBO2pXSFCSlhIkuSxc/VdukVLtfbivzIneRbNTGsT
+hfa2clVn6EoyRwemOMPuFCXFnsbF5BtJv5Y2WEKJdN/HmTBOoQC0OKI3kZTehCNkxbzCoSu5xqi
3E6MK2+O94NL0C79yNiequYvqrANEOzKgcR9DYqbBXcDRR/JKDGNtsXsY9dW6RskeasvlTCOivpW
WzQ0bLbRdbq2oBb6GsFbAYOWfP6JVqWxK9Cw26FXuMrRXB6zh4wXYdkmUGS14o0E/trwELgC5buo
FKkyDa5ezLpa26V+TlJ/VlEJRTtgwh9FAurp5iFHA8s/37DA2eL0A5aD8qO0g7pp6u0aNedzPffe
wpzsPlg0O5Toyi71bMMTrFxLQOT8z5ic7LbnYSTcafVzL4D9ERoHoAmP2jLL0k+d2BJklB3CUpwA
CAgBi4oubIQuy1xfhBPTaNEUgjY0qu0zPO1TXkDMZp+ax9o5troIVHRP2upWJ4bk7haroL+BC3BR
Tl8wtNdWC9okhAlRRPZgehlkex32p0+35M6kF8eHFQNdWqhDLrIg8tgwf2pj8YxGGZglfQ6JQg+k
8VvkojLo/j9mcLMj9AOW/aY5kSE4ji0y0CjWS19Pw8bCaz3tjpUFPG7lsXryqUh9ht5eDcIDDTkL
+gs1o6DpFfRbPyJNtLu/YeUk8X8+CUrCqMujJRUk+dfza6cWs+JOpxFN6asbE8jKNT+tIbQq9ydn
wp/i2FOmw2T8bqqgK6bwvv21iV+wa+iDBXHMDQ+aogyVLeq0jCroAu60cZpCK9G27kzppHwMEvn/
5WKGKjg4I64HmedmNWhlV0aloD7g5cdpfpvL/FUp/9V44OFcEyAmBAPS7SyUrBSpaWM6qzpslWOX
bN2JawfCxGvPWPhdMRbpQGTaPBh6lpVRUyeq3w72z3jscyAMAae5vzZrJx6OGilpB5h1lEAlUwWd
ed1zVkXTXs1Sf7DDYjqMdhRnL73+SZnegFi4b3JlcAStFGiixXsF+knS9KEpHqRXHAtVCN3yMqjT
e65iHFX9/b6dxQ9fvFSXDUFAurpAkxHC6PKGYG6dTDVaYACkeuuORuujjcN337v+IW9eGqA275uT
rr0bc9ItGze5M9OpqiLVqovQmQwR9Kz7nU1jgSZ9F73m5J923f/X5kK6CuoyrKFk0xatFmszbOba
77mnoWUy35ojqEtvXEPSHfthSMfJQvcLnkeWTJjE4rgE/25bRQk01HI31Kbd+A7+p6orPRUaBfen
0lzbIghXsDkQESKQkK7YuCK5mQ5lHeV0Th6MzMx2MULDTzr6LCBgT9DJlKhj0CW6tkOJwQx5A7pU
R7GnoEqKMTSFCuSUpbOgUYw2tGbV8Gxuuv6YM7QUjGD4A2dXGuiDbYE9Ia/PatlqBzce0PmXMOQJ
7K4PG/irMHNHsEWwqTg2OcsfWp5ZIODI9HeqzY4fY1K8Rh3gxJO0eim4RvdNOSagx7E/DwrvgkTR
01PRUHaCfI/63M7IynCn7zdC+bUFAq0wFgd0RHhRLj744uKG+oZe4o91NJklWjNjrQqVAeAuy8kB
kyqpForGad5d2m/tezmi/tgbCLuQFgD6Y3Ek16bT2QV+HZwUUe8yz9R8oeno9DsOQJ5Z+6LJA64u
1x0Lod52vL9RVnw+bpSF7wp2EXFKpplCZsK7vI4GQl5r9zOEvSJn8ckb23/NlVzakS5Q3er12orT
Oop5aBTv1bNqKgjfv5ISvBviR7elvbnmSy7tSfsfGHYz0SjsNdlfRLwMSYbOpYLWHsPuuT+Fa0cN
qHyQGwBWAzZHaePUDjhfOuJWEdcz8yhIpoOKhTxNA+1+37e0OonI6ABXB81Z9Etd75NYlDWtSgzK
FA/1aEGSGq3lefrY9T+Bsv5S0+fW3SjUyFDjj70JXRW8tBDzgYRdWjgFT1jNEAocZBpo7JhAi4A0
3zPzbdB7z6L5LikPxCrCRYw2BiNSv5tyzzog6PcK5QQhiHT29Czo3IdJpScb0IgeYb5K3u5PjZxQ
/u93otiNhxoeiPIbpkuJm+YuHB6DkIen+gB/1Y2PQDvZoS3va4vOgd5LGw+4pdf7ptdWBdie/1nW
r1cF7FDQbbCKOqo64rMZKCJWBHNb7BUyhCzmO5Wnn5EP2ThRazscdCGgdkXMBuENaYcTXmqpkbM6
IlURtKL00+pP5v606Vvuvtwf4ZprvDAlcw70rK6aRsfcWo3R4GrIfFOjwyOxR+YbM6B2jkXFyQUq
cONobYxRZvoa3daolLaGTx6r1xndyJP2wDgLxuwr3cprrC4jGLDxgoLUL/KY18tYGFU/26KpozTO
IG7/XM/RXDyrJAdGO3sa6KPabJwtubHzY8/aC7keYjnQU8kCwXhp6czuCxbNmgOeaOC9K6ssPc3g
pg9ZyensCivxSDEreyQcx0MH1YCQu9UEzqIZWnx29msegDxtudkdiCbooYqZOOi44mNQhG0EumtX
BfBr6D9FQyjuSeN6goSrxjoZcUvFowtiEFqWR0Jn0IbWSgLupGarYLPmV5fnFnIgoH1E/VGyR2ZG
Z6Vk0RgeR38j5bH2ooM7+/vXpVM7Uwoi/Bi/bpA21IbXovxGrWMcP1v5c67ve9AXkCRgZE+2+pQ/
eC3ksBrJIrSfL8k6PNivB9azyp1wiFjUzWwXF2ekJ187w4XeO9lxvX/ti1/MCKDEOjYvnEJy5tNM
z5OFHhMg8jMAvFNoFxeHjg4nCE35MTuB/KBUnA0Hsz5FzpIMXhjoob1w/Z2pObYgFh3xnSIR+7QZ
8QSnGjSm9GoGl49OTyluIRCqjvzQWdb0pOdTuc+M3oUMaqxvrdiy3jfThqMJ1kYHLxO5EG32XOsL
aLhHJrRHuXZouRcnx8o5VYo/vxjOFAAPWvy87/rk/rSPMwo6MpRScKksaaTrSRDWMHUzqVikZhrk
r7y61U7JL5qCLTIBVyQbS5+P5K+iCotq9BSSPA7D4A9sxl2sfE3mdGfy5MBAgACOTgIhq/vft+a1
QPaGtnC8PQHllD6PWQpIgcaeRQMb0Iaiu77SxpNnkrI7onHc9aBuQg+xUMyd0tftRl5CBgB9zA5W
Aj2eoJaGXOxyhi+C5o5A75ZUnEUa+n3ApzCWA/NykvTfgJkvHwZux4lvNBAlV7C7D0JwAN5dgQam
Ls915k1ABZxVs02+sKqHEDE2lHgAiQobfAt01TsF6izf7s/YarSN4gnIhxHVQJ1s8XMX32znaoJa
oop9pE+n2hrRlBqjGIwgdEh25athn9MYNAWmP8xbZJxruQJkcCCYg3hsIeSUjpRGk7YuRh3z9bU4
U4/gH8PPEZT8qzH+bUe6zIBPKJzchR27/OPEjymx0ZT6Qtm3uSH+1KY71/Y00j65W3H3rdPGKYEM
gYXXzKLkKvk2TlteATTAooyAuSH2nPRXucngt2VEuhnIiHKtVcB361GCHkDx1saPCfTGRMOCPD+U
9N345lgPBaI/CgBPjZBQ2bi7l6D+2hnhrYaCD4pLS11TXkhucTS9TwMuJxMVgBL8Fio9biziMley
jYXnHhk5VB5xuK836qIDKKBPxCMNzBOFyT1amx4KUcesBIyd+Yoz+Vz9XMcbY7uNuvAevLC7/P3i
gKhpMTANBFCRbZ/n5jRqe9Pd544PjbX7I1xbR+ToQIatoa6KcvW1obI2iFIlFY9ay8VLJu1jXwGv
pV92yZYU88rJw6Bw6cIdIgGDVqZrW82o9LEOPpSoSpqHrDMht9B6DuriSoLrirMDy5WzHtfH3K0+
3R+m3DkKLwnbuLkQb+CFeEPtwON54mM28chNbFBaMlz7jppC3x2aLu5o+iOf6qC1cxCLtC3dVSMq
zGSCEFvdNuzIunor43Ab0C8fhCYbFCtQ0ZITDjG8nTUNKo+MSn9V7PzFFiCBSJ2ftTUdK7M6OOM/
DyZATIP82tLZg9erHOtauohpN9Q8Em2+c9LSd212nIYISW2dT8GAQBdlEb/Qu6Ca0P3zTwGxH4sA
4eAlaYqYBpSR1xvA6Lsym1SBzWb3iPNQfk6pjchhwtNpY71vI2WM9cKUdCsC/VPPhTZgrPX81zjm
CBX+JAP9AwTcaXYavzGGB+A8fNWcwF1Rnlth+iCqR/yigj7gMLItrqe1g4ayDbpp8LhRMRXXY+8L
7vLCoTxq5sRTQdQuQIy0idFZGza0LJZcKiQ18UK4tlKYtBh7ZF4i0H/tW6Z7rer+ZiY7aNC73pji
Fd+4FCpxmWJBQf8pXXAmV41s7N0mIrGy4yrzVUEi2qE6CkJ0fxbKW10rrV/x4tFOw/vGV3w/5BlB
jYB8P2io5ecwagC1M7tVE7nxW23/nJyNCGVlHpFxAQsumhVB8CeXf5muVqM6902kostLB2PY/KhT
qE5u3C8rm+LKjOQRU7PvmaXBTPPVCMxP/dv9WVr9eQ0tCR+JMUNu1m/ayejnfm4iagy+SndT8QGM
+RdGEHpC4Ql9Tmipu95yrepkUKcfm2gGPJmnmZ/3dD9sMVqtLDhKqn9bkTYb7xOQsfSw0gSmt3EH
ri72378t11jUTHQ2VqKJ8lKEDlV81fjD9e8k/Teb6sKOHDMlasbpADtzdyRg01fQSeDme1ZsEQ+s
3XYfzVLArC4NMXIiXalAzJTXOo4mzbw5Rb4Xqm+i9DIlNPGYBcpmwRXtEX2m70Js6Squz+dCpPsf
68u2vAheaFYVA6ewPs2jbxhI+KGbkgglSECVfn/zLcsuxWfWx70OZhYkcOTHTzWaWVy3tMXms9XQ
4ArdK7oYD2aiI/aFnkCT6WpQIFP3aGvJuOEC184XiEbRHQZ5TBT9l4m4GChzHHTA6FUbTc1LPDUh
Fbk3T/WGlZUkAIr9IL+HYoEJAk25YUvRqrbXbdZGPAMpBuMirA0Qm6sO0J7gHU8UYC4OU8qPrt0H
+WyElqUc7s/zx8v+ZqKh++ugJQ7xiiOdct0B4lojTRtVVvKNkUcrdlCKVHcThPFscgaBgccqJbAG
3dMdgHC4xh+UGeSPTRIK601Lt1Ijq3OPBw5CVhvCfEQ6TGlsk3pM+jbKKDS4M09QUF3MGwmPZVQ3
o74wIkXHCZS7DEUTbaQoINEE3I9MT0bznSQvmnrU6MZCbw1JChFImusKrTtY65hnDD10Beyo1Out
Q7N2Ppe34f9NnRyGUVXJEYu3URdDbPXNJbPX6V+rTTe08ojBG5SgMo9cESQ3pNtNqMxMe2AmI7yS
vK7Xd0l65DH1Ws3cgaLp/g5dH9TfxqQNmpU1uOsTGKvsP677LSHvqCEbSOXeN7PmcJbSsWkgylo6
KK+P/Mih0+iMUxdxvI/U6qewvopk8odxrxZvenIu6q/3Dd6efug+oIUS+ixI8CzqV9cWM0PMupUo
NaJ27mdDFbQW97ibLsBdVz0UD3nP9xY46y30vfQb79CbLbkYh4IoNGhAGaHLOEkyJUkGEAKLqPuO
gC4HIUkr9H86pyDA1zGVi8I33Juc5Ey6yVJn20bCon8Bz+ext0Mn3mvK2aAiSM0NdNXKkK6sSZEE
LZQevFAWiyYt0uLeH8zM4/q89QBZNYMXiLvgC9D9Im0Up3LjPHYJi7iCPIwz2NynDj+Niap4eIOB
GNjIzV2Kh+ahRBv1Xld0NBfT3gibCfScQuEeUjxDkC617/tbavXT0Nu1vPqXTnHpqLictEUqYhal
vln8auY3ewuSenPylxW9sCDN8USBlDByWGgzvCdZFRrwl9TyhlZ9NDZRoctUXnnpa2ty/NZzK2n6
FtYoS5HMV49mDhUW4vpFTR7VWngNsotdnnrwDtzRDvdn8yYylaxLCw1cxgwAmMMiSB/XXmrPsZ85
bKt4v6yJPEY0Ui16O8hdatayphehBmgYKRExxkjK/cwOuXUQygCSmBKFuC1U6aot5GYtZCag+O1I
95A653ad5goyl1C+1eB1xviRiIcWEhi8zt9AQLFJLbG2hAgsoGZmI9BB+vJ6eAaDxLg7FjyyJvvU
pPyX07zyQduxws+ToHG0XTsN3VJz2/Fcj+6v4G1iCksIdw4Hi/5NSChJF1U1od8Yuu04EGbq6fUf
szeD2uzeUquOxlx5FI55SofkBY2sG0fx5tb6sLygwyGRe8ufNdd1qVlFwqOOq/uuakPle9O6e6Fn
x/tjXDvzaKrRQMMOxneAUa4nOE+bic4NUi8qbfog4cTwU9KgTQLVxI0x3R4InGYX1z0KNmgulush
op+ECeAqj+hMZ3+ETDjimM7cGNCWFWmT1pViiS6zeTTqQO94nAf3J+y2RoFYe9n9BHwqaDr66Ha4
OHEKpTZuVIdH6RtYmiF2S7yB7jP3eUoN347DkYekBNXK5/t2P/Qer0867GIjLtxxEIZxJN85dqaT
a22G11Ojo1cmRaBtjQjRMhVyPwXVdFSj7dynRTEEA3hFAZ8l08ElKeIRQd/RuKsAed+wF8NMx11T
qW9zlTeHifW1P6hDGZYKD3msIg4z1ZfaTNLHYnKMnYO36W6ITRFmDdE8xVG22MaWL78dGQ44Cq72
be/MPHNBDJoiaWM0u7xJd7pmhHUXoCWuC/oOPNJ6v6XtsrZNUCoH9asLs3i+XO97i0Oei5QMKZDZ
BdBPBR96N6t8453wkb2Th7boTgChB0pkIvsvpWpqii6JBrhcdPDTL+PU+uiT1tAHg0TSvmN5YCtg
1naGQE1qP0nmp3TOvW5QfJL9BFU0VlHzytpnyPwW9JkNRzA17RXGv97fXrcOx0BTPOTvFmZq+Fsp
miyMkqHoXjZRWbwCtZy8x8Ynqm3IDt1e/zCC6AQlEwJVXVnwDo0E4+wSZOf0+BPv5oc8E36fmidk
nwM33RCIu/VsMAa2XAOCAABHyj0KVexW81g0SNVBVFQv+EHNY4RZW2qbq2ZQMgRAaykEyYWStMPR
0Vu1ibqMtMFckwzFH0M9ADC6JWqzOn1406LOji5IJO+u92xjxA1KEloTtfopc9VgrA7pQD2afEm6
jclbO5Ko/gASSMBxBkDBtaks4zzJJ6eJ+kz5VaJpayGMHDy1QdOFhqy5yr6oUAy4vwdXjaIQZKGP
Hv+W+fXquU4c8Co1kdPv4xiUDiLzsjet9g3EM6WzL/pf9w3edvnAl+PO+69FELNfD1OdITamVDY2
5F47UiX4YvhmOIVFAHrvoPZHv/G6XbM3Xokf7+7bXlvMS9NSeBgPdsfKWcFiKrHyarn8e6p1AWuA
43XKodqViUE+/QuTLhJii79DflwabePwpMqXXA0vjuaOwrl2GtAS+6Tc0tFdiZwQtS08iTiBeB7K
+8fMXA0lRCRIpvEv6HCYfm6GegFqKeuYEivk6ovbWBvxhYwih0uBUZTNEJXBvyDYuF5NlrQoqGVp
G1mggPmLv9fv03v+HAOC7+xGf/qqK4EjjvfndO0eQVsjXsIIwh0k7a9tklTvDK3mbYQODDTedIHW
f7tvYe1U2HCZwNIijY7eiGsLZZPUlamNLYLQl7z6a2wPFKgFN91plbEDZTqUhrYSTreBPiaSAE60
WEXMsezdixCHKEVuTo2BHFpiQWg3r/u99kLdJnAS4zOejxsLt2VOuovbhPZOHJttpLaTF0OhVHA9
VIvqe2M8avoZGg8biYVVgyizLnocC1ZRMkiT2lF6prWoUFlzmJCCIJ4ixb6oqvLgDmO3qzvUyOIC
6jX3F3PttkDstiRtUGfFQ1uaWVB7tiANwcy2/RIqpm2YOHkZ1MkmUnltZy5wKKiDIgCx5deaSPk4
NXHWRXSq+Q4sAaCCTnBr3B/QWtxwaWX5ioutYmizVqhgwYlsGntZbu3M9CVJ3iFisLFmq4ZwyS59
XgsD6/L3C0N2Jyy3i/sualTu60oaGOI907507pahlXkDYQe44qARhe0vx9kZc5uic1IR6WU+79Si
r56cOCn+cQINUhLoL4QkGbqzyAdI5GI44IUf0kTQLoKff0c/UDSnWaha6caVurLfkKBb4Gk6aA2Q
272etZJCMdNgTheJrPJQYvcwawYYke5vgpW7DN25BDc2CBQQ50rRglDNeHKzso9SO9V9pa9ynw3t
H4HGx7AEPBBMCvYWxcrqyJBEQ/S2pKpcyUcVealrkC2AzexHlz4b5ZOSfb4/rJUth0sEdV4CjNXS
Yn89eROz25Gg+S1qVRTF6GDpgcLQ2bmoUwct2tM2pnFl5xlo+MBDHJVZCyqo1/bQSuROemr1UdW6
PJw6ez6qrNZ390e1tlg4QxZ6wMAEAXjVtRUrnp3YLoYeGaPZ1+LmoZ4t33jROIDpdIvYZ+21vFCF
2HhwolMTOK5ray0oLtIkswbol2jjU9qB0MVVGj0CThJyPXhp+il3B1DxKHpI1Uw/Cd0WYVPU+oaj
Whs26lOANCP4wZGQhs3NHDVvJx8irbOrvamgY73RxsDuqjfdLp4nbO+Na20lQ492O+TlXBS/8eyR
cWVuyyC4ZioisucMdye6VYMGdNWhy4oOdU9WP/VdpQaILZQn3DfsXCYAyw8q4ByqoxQbn7MSR1x9
jXT1KEjzjGKwRTR2KguMOu52wnYhh1y6VTAWRnbqweIKVbC2P2ki2eoyWrlz0WGEYAKd0IBRyXeu
y7usLstyiCpctE5D/nLaR8g/+3P3Z+bzIY1Bnnd/o68O+MLi8vcLFwuIpJsQdL0CGNzua/GNvxdx
c1gwToY3Og9T+uW+vRV3gRQscNHI16HqK1+4NbAAVWzXYzS737UqGtwPfSOUBjfGteL5QM6EvCDA
NCtoOMMRltXk7hjlMw97sDigQneqtK/3R7NiBWVdMIuhvRxZO/ldS9CD11B9mKLGch4MBSjgxKQ7
pWvdDX+04vVw25pIkYBNwcHL73qZ1KFL5kr0c5QLG0JetdOCfEfnG4HXrZWl7cDF7sOti/9Kfojb
w8Td3hKRktVo1mw8c6u17HbCYAF1TTxeARpBLuN6HDxNlCSJsd3aie9cDsyC4+S+wrcUdVdc6mII
MRBaDBDbqZKhAmGp0MZuiNTpUTHSB17XT/acvyxFP91j87cq/R0PP/thSxLmdoOjYrW8QyALi8SZ
/H40M6qbMW3HaPyZuTuBDqg+0IyNS3BtGhecz0KmjgWzpFNrJCLVAHgdo2biQUk6wItrvyN/7u/u
le2ApnwUTECJDcYvmfO+FYruJEk7R2ryzBgUReYf9w3cujtsBWBI8OtgJsIz43o3aELkjV0latQ4
9bBjuWoih2KPn9DpF1SlKgIGnsXdOFjlyz83TJDVxOsNHXi4eK4NO62l0WLOVLT9E6+ZQjDL2rMC
zjQ/E+hToN3G8V1ZL9SCsVJAqiLTKWOzMhIXgynSOeJj76nDwS6EN077+4O6vbyRjEJrKCC4eGvD
w14PqkCKCj6hnKN6Ovw/0s5sN24k2LZfRIDz8MqaJLEku2RbtvuFsNs253nm15+V7oPTKoq3CPcF
+qEBGRXMzMjIGPfOmu+hpu8S+Z1IthvFhqgVJRdwMrh9moWSL7mcJ3DMB82pZ6Y27OOY9s/zYO6H
1jhZ0nx/e1UrSqhDsET6mQ00dX3hkpAPru1I7uUL7HLOzurkcF/XVbnx7q8cEJUzBpi5swT1byZT
rVShQWqUL0E27PL0MgfVzoo3dk2o83WeW3SlQyWPzpsWde3FAUW11AJFKl+q7DDN76TE3kUgzYb6
SdP6XZv5B1X+dnv3Vg4KwB9Ivi3RA0Vm51okfeF+khiSfOlGIzzGTZbspHiY3QRYxzZx5I3DWlFB
yqsyASHdCJjfxb3ylUrXK7NSLtlTbeS7CtpyH1gnepvGfAuDY00WbBywFYtwQF02yADu6JSNbyoX
MvFRNO6bMdpFSfiuVL3hw+1dfIvoAhQHMARwwMP0QgP2wlBpk9LFddqolxJCPn98DKXgkA61a9bp
qZS/Tw30uQHQLcpRz4vHtPcPcpgf5qG870LlqQxgc/edz7c/asV4vv6mJQV5ZzDWWoyleknK6DBH
+9E/SuYDGHKZ/anT240LspKsFOk1smskDTnd5fTkGNozBddEvkjmXRpkrq99jOp0P1VHK3tKpE+U
X5mhPN5e48rl53kAaRCjJjqyxbV95Z1GRa0DeZkrlzabQnew+pFhVn+L22VFk66kiEv0SoqV6b01
N7FyEesqDKa4lNbN63kXqJOrxRstNGvSSKizjyqRDwgl19IyUl5hUvXKpVFg9S13qv/IwO4I7lqz
oSErl1/EVRD8kXjFC1rsnmokpQxYp3IBtO5gxH3ihlXcu51OO2uebqWzV/SR1ImKtQE6UcDtXq+r
MoZ8MCZfuThDs/fN4Akkjdj4qPR/KVLwKA2X26qxEjjiPzLnA78mU0x4XNfyhtpK0jyln0EloVb1
H+fil5a3uxzaScM4jIV0tP3vXZGcncQ59/542pC/Ys3xX0nk8tjiMS+fjNhqU9MOKu5f9mOKg8+T
ah+rTL6XWvOhtDR3oiUpqbUTntMxVuRvcBvvArO/r4qLZUmfomN4Lp+ZBb/9WW/nPTG77AnQhExd
4WgvTFWX9llVWSQPirbeayky9fe1fYGQM7W/xvB8kfq3KVQlPzvHDRijqGnZTj/15ew28s9o0MFL
K/e+s/VhawaED6PhlzZDQfu+OC8oWY2A9jH2i+BlqgM3DqZ9HJWuZXUHgZk86UCvpNOp6fSNs1ox
I1A20RiDz4dbvuw7VKoh1Vt7UC9dB0NzL/XAl2rSVpVj7boxnAVcEzAsYqB0oZCDoeS0MqkXvXoZ
h3hvQPhcU6QH0vZw+5BXTIj4fZrE6RN7a4ubGBZjW8vUSw6hW5IFe/pQAOGBoBxYnNL+T9Lwkm3o
Xx2C3et1ZcGogUTCwWWxbR0rg7AmYCz2OI4S7NGkLH5JQ5j/uSdhmYQeUCfR2kOq+VpoZJpJaFmT
SrvDi5Fbe1qloch9HNruZOZbWZ+34BtcGo5MuM8i3lmChOh12LWBb6oXRZoPBSCzHeguZqAdZnna
A3Gw883yzoyeguibU8YP3fCjVO4GDXCQadi4wGtaRGIE0ADibwZRF7s9moNSzeqsXuzp3mk+D/3H
2Pow5Xe3NWhVik7KwqJRjRdnsb1KPznW2ErqRY7T90o/Pmp1VpwMu/3uO+ZWG8nb/ne2V0w5AYZH
XeLN+NZkxlmRYLEuWUPmuz5B8UB3+NFokodRbj4E0XPe/w2nfNvBqOPIBzVt92lm8f/W3qq2pjZX
1s4N1UU0IZMaWPLMz/kwgkmZ6pciOzkjNCnMdhjjRxCmbu/x20ESOrheC1pscuAbWp7C7XwpdE8a
6FAJkv3USRC7jWctTz5M9jOIIzWY3apzoBHyJWukDeBP8cQvQg7GtXE0eJeJbpaBZ2z1c0nLoX6Z
cz84RG3R3/lxLe/gcg6Ot5e7YmRfi1o2xyh1EslVPOqXrJDP0ph+FNzlt0WsnZyYU6ETj1ZO4s6F
UdCrqcwiXb/IeWs8Nyol3mwopPtxnIajvl0FWJPHEZJJIipk1nQhL8/gAhu4PZd+yg+10e5N61Np
6Pug3Sh0re3da0HiQ155oEonJzH2gL2rwG7JI3ewN9ylNUXgqtPFiIVjoEB8wSsJdlen/ag2xoVi
UBW+dyxaqDcal9auOQWAf2UstmuamtKSs9pAwHiYyl3Y3DtS4il+c5zk+1Klr3gun5x0343vHaN/
6Op3ZfdpkI81AzB/rimvP2WxofJk91FG9wQvZHoo1GYnNjVyyoOz9eqvbiyPFI68TgZrmbKfjGYi
ZmRj0xSUrhyIpk9qvJGXXbUk+C6k4KiRgFOx8J0cs6oAA7CMi5+1aeomSoOfWRqkNq263zNkPd4P
tt1jYdT23Mqpdq/QBKv5zKgUnVWebT3cmjtYuxuU/LiJFOEE8+G1QhlOrhV57xuXsTvlndc3Z+PT
ptZuCVk8hgDL+VMFGuGlUHXXmj0/fJ/68e6/HeKrxSzyFlFHo53cO8alTko3i//SATTspQ2XZlVT
XglZZLJIp2VRUrNjZnZSx7sofO6TjdhyzY68PpTFLS+6IA/CmnWwV43+92Bv9ZqvHQgnDh6xA/II
cNLXp+479NnITm1eQufvWpnpCf06ax2h668/vr9UU37beHAt32Cc+GBZ9ZGeIycEWarJc2h1Hb8+
FElUQTZQba1rLcMjUqYUpJj9pJ1voQFW2bR1DGXDZZC/qk3i6taTNXh5kz+lUCSbYNUmk/k+Mk+x
6WaGdWe39/0neFKi7pCbG7mWlU12ZJJMwkWB+mCZJ+z0Yo5zINkuPiFcVjxLtQ+VB+QHW8MfK+py
JWhxvbq6s0tcb9TFBIY8gqSj+HP/A0Uhc0MjEen2ZR09oYovz744RxWm0pjcOo1n/vN/UJZXQhZa
b4im0jCozEsNf6d1tjIPLJXhj8fNwfqlsYa0LaVx2lIWUgAwbm2/7ExxfanVu9xfy3I23q21uhWd
AIQiMmUX4PBF6Pfqne7LNjQmEh6XKo2n82D4nyTgxfZ9RceXlebyY6A6oAASMpX3Sm/bp2ROZNpO
7WSLrW7FXBFcgqpOSwyd2ZbQ0ldfotGyOxV9al0U55NlwLthHqvNatmqEDLi9EHKAtFI/P2VkCka
xqGyWou8+z0AUJrq+c37P9cO5gH+T8RyHV1QJkqBCEcjzRYq8CF+6VJGU5SNPva1a/ta0OLoQiUc
mXWprItWf01Cez/3n4Lu0ndbteAtOUtnQPIZuug65DT382B8yILpqYyin7284ZVuHc7C2Bu5nfa1
X1hoPLOuo9uEthuGv24fz4aQpR8RDUPqK0VpXWKZejPzyH30kG3RpYstuQ6DSIBSBSYKoo6DOl+r
mdW1vplODrlJy5AP2D11ZyaTdqiL2dlFDFWEURDehXa7lRR9uzoBJ0LPLYhZ+O/LJOGstWnnFLl2
qcnIh/E7i+LzML7c3sK11THbCloykQpYmgvHQotHzfL1WrvYwzeLJrmBckR0Tvz7djj0xVYz49vk
E/EiLySIAdC74Ixe76Xc1FVvqaN2oYDKNGYcHdQubQ56ZO1L+Ojntt9wat7qOwKxt/wnAuoliKYz
jjU1K0W7DOMh7i418x55+hA4W0QLb19DIYeKEq0Jgo1uca+0AMDdguLgpaYLakfUDLZZoGz176+v
5l8pi0tVRoPBRIeqARzUu0ZzErWGMQAba9owR2uqRymYwr1Ab3qzbWmTVXEM2NlFl+RdBnhsVBiu
b25IWV/Ov1IWflMwVhWcMSyHCtpxSJ5qrXdNpXYrcyMG2lrOQsmlkDRHAcjDBe1zu/w5rF5s66/b
F2lNA0xBQkG+hBdviaw3T3NktBoXqSFrA01q1L8ToEAb7t3adSV5AQQpmQVchIXXVTjdkKpzq186
54MdvDMYsn12QE4q1f5DIGmVG6njuBF7rF1aegtFpIYtkpf9Q1pVdnEvO9oFINyDXf8ETG+GG9jp
p71lqcfb27imE6+FLSyE7Y9NGpcSOqE+ltFXvbwP651vbCjE2pKYYRBBN5hcJDKv7ZDUt+1sFpF+
UYf4xRgPsxPv1LNihnctlZfbK1ooBmEBqW+BliSzd2AnLbQ8NFM14WlXvby0EjqQ/eIYhO28/y9S
LE4Ha073ktjXV86QnDR+ZyW16jVDO57UyPxl5lF2ui1kmev+Zy2goQoJwJyoi9MZk3juWr2DvKam
vdKt23h+n8v19F6nFfMAkyX8u5lxCEpYWEq/Sc5SkQ5uPNLnHY5QleFpaw8lmAMuhFtbDZDLHNL/
fh0WyyYZ79C0fL0HdjTOdaUOqheCu11bqquGzikxnftByfdZ6vlG9q2LOq9hZM0+5ZVFDeulzk42
TKiF9Wcq9vtjaB/DX4Bgj66aha2WJDnOwCeFqynYdc03B7i7ujj5E5TeyYaoNQ0DagiFJlCiwr5Y
dxjMRsOYleI1ktHdAZYIBE8ylhsput+jlK8cod8rosYhJosp6IAmeL29aV6XWd8FqFiWqnfFrOp3
gx/2d8bI9kZ2Lj/PkDvuCzv4XPicsxEO8olCx73uJx+BkunuO3sYQVlgqFxpq+o4qnOwq4eemTB+
2Y1rv3GBFpP2dpuqx2nwAQb0aeKy7ULaO9ps3vVGabh5Xil7BjhfDC3J7sNe8dlW+UvTjfox6bJw
4/4uTO7vZdMICpoXAT6tIov7W1lF0g+zrnqVH4d3nS37nl6Wyd962Hwdst6+48my92Naa79u37ZV
wRbTiPQViUTZQoPCxNGKNnBUb5bMY+2XT3mYH8umfmfJ050WgN+aKh9ui1zTJEJCajv4SgSSy4cy
6uox1FPNC6ke4gg+jA3wm7dlLMPU3xvKVAEJf7LJCiOk13pUQTOCx0241uWnqTlWp/Cl+eowZ+27
kJh/3+SKXWZA3whcrKptZaVTfQTG2ugG2UH5LgGO+s38AHaL9i14H2j7jmTnxku2Lpb+ImA3Rdy/
rMbpZWIpNe6uN/jv+3CfvgOO79zrR5ijlCfj5Lx07xln29jctRPkrSbfQFJDwRZeb26T69CTUPz1
mq7bMV0VR3vaIw35M1ju4wPT9KAiFy8xWChp/AtveEP84vn+Z6t5fUhA0apLXH4tfix8CNUGX/Uk
yDVOWazXn/20suadbhOlZ0U5HHvZnA+zrTR/14EYiA+s4qEIdHvPiOaHXFLAwlTa5DBEeX1u6vHD
7S9cuIL/fCDpJOGh0X69fCMiR2L4X4o1Tynt+bnImu6gajQfFhoYA7dFrd1fAB/+V9SbYexkmnJH
SwPNm7WDCTmSqd87qu92aXGPU3BWi62zFxdnaaBfC1w4hwNZxlpNWFunlw9T1T9OmXyERuaJifFj
DK0r7W2KltLqNe3CodrV+bf/sGLRDgUFBZ7wMpikqYTOeS3SYMu1C7etmi+lLO9Va/6rNJnIiOfg
lEdboFprzz4RJRtNPhC8n2Wrkin7oxTE0HdG2kMy2iffCHb6pD4584/2c3CpWm2vjY+BVXrUl/cz
H1JZw2kCmG/7+q2oF/edR1jgboGPt3CQ/MDx83CGLNXKsmNkfPQbyasicxcd0v5p6mRXLeUHuXwX
mHd19mzm/vvA/otGq42nQ4hZaAJeJyCAnAEAJ8t5sdAKmlTTB8XziydOGvPj0zUKTVvwM3GiLb1b
ufRIA9SA5k3sjiP+/sr3pJ+3GkpfcHCCq2go4zHLp5NdJp8H+JHUgVpSuY/alIHoDgJHz7ICOrSD
y1g376O8PUibFPRrTwyEdf80yqqib+D6i/rJDLNCgiiTWcaXWf0U6r7rp9kHp88OxpS69WgHrhOM
9632Wc2VDSu4tvuglwpiZdHlvCTF6RLTBFMHf6yXpGM2PShNcsjBEZiGF2WLnkQ4AcuT/lcWoef1
SrW6IPNUI0tpHqaXNnfhQHQ+m2ezfaCh5/b1Xs5/C+MJuTGetSVQZgBJuBYWc/R2WiaqpxOp0wey
c9TADX9c4vpjIWXuYAaPZjvtpjbc1f2h8i+Tnm54DyvvG0Pg+AcK4OMCUPr6EwBajBO9c7hggd3u
gRbwd46VbvUjLGFFfq/UAJuI2iQONVyM12JUfYxkO4gI2noA0YLvNEh81GBGN2uKSVr4UIy11/v7
vk3uZQpKYClU3Xwsy/JXOCknBwuUDrQUBz+oc+7GObtXyvDUV/J9HOgb1+/tMyOcKOiXGLRmLmrZ
O5nqJeXlpIEwte4Goq5DFXyK2kMDJ56/jwLr520lWBGHL0oZj5Ze8obGQgc0M5aUeiTIojPZ2Q2T
U7m1cVfDaxT1TPi19cQDPmgbx77iTGFNKRU7WFdOfemZKk6YY+oYVk8Dh6rZ98wvd5mzd4z4sese
TOslnv9Oqx96cFAyLXOTdotU8f/xBWJMgtnRt7iXNrS0cKJNqgcbdrxrZtDSS//cyf6vyf6eKb9C
Kf4QDMa9JTU//Ujlnc93/dhv3MG3913sg5hMY7IBGHNxP17Z2jFM84ChMtUzP1FKPIA9pE7ZsYvV
XecYd1VymbbinxVjei1yYWJA2AmyPiMAMqSu20eJRtv2PGvPahsPB3uysr0Oe+aPRu+yY51qKdMI
ke0y/y/f3Va9t4/r9Ycs3pkits0Io656jhRLjI6E1fvJmdOjXvfy5baoFQOALIsoR7hv5NoWizYl
CKsLmv68OtSPsa4D0a9HL7GzBz0empF3kXMxNLCpxkPpFzuzAI/KnV9aE4Cqd9l4tMe/LcHYtAPa
gYDfLexNWta3r+71Fy52IwjCpK1bFeLiwv+hh5EbtEfN6eHcdsF2eSjTD3SBHiP5M4ytWXbG/QuU
p4g4q1MOtzdr2Z6Ltbz+lMVzO9f0fs5sptdZO+tDPx0VeQdH9NCDpLHLoFGMN6pLS1yZfyQ6osnz
95C/tjiesEydlrZu1ZO1BjS+4Z05uPNwrkvbjQ3lXrV/VDHY68WJ+SXYsY+18nGKqlMbWrilxynw
umRnBxtftUQQ+/1VeFw054ssDMXv68tZqWVVMMCuEXz16Ud1ippDHvRwTk7zY+1r0ruZ/L3bAnT0
HPeNgwHL5UPQKsBhWqkLoNNXqk0gNQGxu6uKMN1Hjt3fhU7zjX/kOYTN7xl3+KK0VvLQUtG9FIma
MeOcdvuRqsROn7Ppvu8a5T8YHTpKDeFKMhf7+/xfGR3x5Js9E30iBTL0LvnB6VIoDkQNeiHtCtt8
rzmBlbuFrDgu07NbNLNrbw4o08gmsCWFutAvQeijajPyzV7fV/Uu1EzXLiM3zCEeNt3ayYINF25J
7iOOkgFJge7BcZKMWPgZpiVZfhXmmpeZXefmvVx/GHu72HdRGv5NU/F01vQetr+oSfI7o4C9oZy1
c5Ao9Z2aRhNzZoHzbShbZReAPf6TOh7gcGkVnqXK1zbu34ol4OknawMbEbqzxIpNxiCNK6XXPDmY
T5Wu9sxqdCqdckm3UyN/+ON0I/NgaDew86DG4mVfa3k+9krctT19qe0XFQzXovpzdcNgyEyzy9Dc
k56/FtBHQa0H6aB7ft64cVHtK5tyGs0Tkb8DyuYuTdytcRfxk9duNGOkNJSIDnxHdGxeiyyyorfK
Nta9Gbilu0yT48e0qzWot21lJ3dxfKB7ozz+ud3kKVcZ1rdENWJZM5LCXCITEBmePhlffCd23G7g
KvsfrCb5rDXJ3pGDQ6eb7hxvgbCsXCkCVYqxBIlkPJZ5otHJncrobd1zatW5b3W4umIAN+hxHM1j
lEhAbsNU/bMG0HDjdIURXGy1eFeZ9BMDTMTK11vtW2Zn+4SsHrTGblJkKOtLPW2832/DBFDpCFOA
chTpzN80dK8sll0qZKIoZHgJ9d9DMAHV6kjV1ij12iZqUERD64LWgPt1vZQxk4o4ngzDk9veG3Rt
Z4XfRv8+DMJDOfnkaucPGxojNme5eQSVJNYILmnpXLh/vaSYXVvahjcG++BZVFkwPLILs0k7uVW2
q//6lW0BwazcDVwg8FLEKLcIMq5XybPQMC6YmZ4TfcozcKNO0dyfpiDb5cm4UWRYk0XukrocHdNi
xPpaFmx6QUcVyfSsTj1FpnRQKmXn2NJJyzMgub5sbKcI4xbb+dvBYzaYbDS1+2txndJUUguZgtdK
j/r8YLSHPDoVhQYYbUL3jX2mfYrxg41g5q3a0E7Cjpo4CcBU/Q6zXylnXdkRjVq+5WX+cAhypd/1
BgGDY0LYMA57U8toU63HrZmCt3cCsQJlB78JfNMlPGzjhHNBwGp7ap1Mx1KJ7+okDu43tvTt9b6W
sng4J0lX5ULPYSaowi9akLizEj1zCfe+XRy1xt9XUvV++KwxBOuEXgNmah/+6OkEKbem7N7qEl+C
USclRX8LSfHrw7WkKpZk6Eu8spIPWfRIzrucOpceOOqQG0f69gm+lrWo1fhOU/Umj4WXh/H72aZf
0TcPGnCi6bxldFa8bSFLzDKIh4PE2/W60nHQK6OubZrj2VKpj75FSTNC9wv1bhfUyS4vavUhyEyY
UMEnejSrZPh8+5TXVEnDDyO9BfMzvZnXnzAmxeT3Q2N7Utjbrty2g6uV+tbo3epKRQ8hsDo8yeSe
rsU0Q6DLc97ZXhB/GMvSDTPDTbV3WZUDt5CdYr/C8tkMAv59e3lrp0nWh2waCYe3FGEqs8JdGbDD
RZVV9MmN4wWGg0crHEFRN4etyfc1cbS4MCQH6Ag5w4UVSqTGyftktn+/iJL0bqj/ikKiF2Uri7J2
bK8FLZ5eZ9SKqaom6OazkvbrS2xvkattSVicmBFFU0fvpw2vpac6L9MW3NranaauBG4cRVG6EIT8
V6Zz7IZal1rZ9kZpdv0fPn7hDMjvkcGa2yrwNs8iQP3EDBZ6wKu3OJM8S4xs7CTbc4qvfu7iSXfB
Pp0OO4hOB2OjEWpt19BwHDGBP0nJ93pVkV2zZ0wEe1nitzu98OtdqVRbcFkrlpl5Tx0/F3BSgb53
LQWuJWic6sbyculTAVzJBG35n3aOETcJSNt/hSz2rUwcH5Sx1vJiNYSxQnZL5fH/W8hSj7UuF+3U
rCQNdmr5RC/0Ptpq4FjZLjwtIkCUjYh+2e7gKITu6hTK3hQFdzSaelGV7Cq93lC0FWfgN/cG05qi
T3HpqdbqMBiRlMmeGUV7RiTelcE50fd1qn+eU80FIW+jrX7F2gA+yiQ1kIVi5GrhtE75nM0YbNkr
rZNpfLR2hSbYsDZyIWu7J+bbTZJnoodVfMWri5rLwdhN2Sx7uM79nR2l+0TKrSNtzu7ti7omiLYX
QLSYpSdjt3gNrUCS5VZl/2Kj+KuG7CMPnfd9PZz+gxgBmgxfp4hbFoaHgqepFj5itASuCesxjD90
xqfbMtZUgWcH0EqQUwnoFzLCMoG4x2lkL6taF1arvO8Pffmzzz8LlKaNBa1YUgwbpFICzxcPaaEG
OTGRTR1U9oKn1n9sq2JfmSbJuoctJpsV4wYQK9VBYXbIpyw0IVaDWQbwQPYk87vu/xqKP05H0Lf8
6vfFQl9pWqOoiR4O/P48PdnFt//2+7hZIiGE175MfmmjEqdmRYN8Z1cNRjNO3MSp724f/ZoWk98S
DBEYUGhSrxdBH2xYlyA9QGP0M4UFdqR7Q8k33JrVI38lZGGbfUORaOdRWUkfHRy/f4ceB0b4TZP/
KoatDNqamXm9ooWNVpsgSPpWlr22b06a+i0HvSoxk70hbSjy2q3BRANRYgiSJnuhX9pk6gDbIYiJ
qsL1m5dxftYRaR6zrdTFqipjZXgVSO7KSygfvw2IWxsHW91QEZxdE1rz23qwtmsGiKuA8BKokV+7
1gPdGJSZCF/28iz7prb6szxVD3APp8HWiM6qJCw0uU2ak7AB15JCyZitkMKnZ2rHTHeNimjULTY5
2tdOR1hnyvFAKlKYuhZjJ/0QZng+ngFkSPfUKgeJHLHSQ2LH6NGwRU6ydo+ovNP7SWgNjPHCqpWA
OBUaGQTP8qV3MZVq/g2Df19vn9ISP0Z4OaKhl9cG15D+goWlzmLaiAwrEhX+6jEPAJFKjAkedfvY
Gg+m07ltFLhK3T23RXAeoTLdZPRd21foVx0wwegsIul7va++ygxDrSSKN7Wtq3cvhf3eSRA1nWpz
X6SX2wvekrZQltksTcDAMjpMs9Ct9fLQBDJTbBbkvsdZmg5Vq22R2awZKzIyUD6IxAytbNcLlPMk
rZXWwE3xT3oEjfDQn1TnJ1Bau14fv//5+kAhJp7+DX29JEYAeyDp9YQWoqHkGEfH60jB2AJjpnLp
wXQNZotuS1xdnoBzFlNFNEwtXH4zDjRlLFBUQLBdNUtAVapcLbsj64yTudU1sXYtaNnFQvJQ4s0u
zs8245lSYaN4ZfRcmg/ARhlb0FQrZWLciVcyFjc9m6PCMRLqVCOeP/1eXD8dXMmPg6LsJ12F8PCO
elgf/d12/2Evhe+HP2NAJrV8oXlRO7UZakVk8eBcBev97wF2a0AScTePt89tbSchcWEOjOSACAyv
1VIJe62bAmSZlQ/lmfGSgyfYNn+IdfrbwNDqQG5QZTDrjdMkxqinROko+hUXrXPB3oMDaQu4cO0J
QBmoVNLVTD5Q6Ogrz4k0ZCXhiCreAGLhkJwCaXJr+/08/nl4yzCywGEkFw88zULXc7NsJF3EAiPA
me5Iue5OLZot2O2V1QgzIXJFJIwYMLtezawr01jA+ePZXTYeAk1vDtqsuAAt7wO7lDYs4ooeENuQ
W4TxWiDmL7S9GApDCwd8KT3+EFuPc/Nczqc/VjVECOBejCBVhsWl9QmYOr/jhU5pJxPgpo/51PTA
eTcb57O+ln8FLdYywkpYVizWM8tfXeSV4WXaGrhZFUEhRuQMddzbxYPZUvNWI7GWac4BbH7g/XLz
rQ1bcc/YLHAGOREuyFLPMimSonAIFU9T/PYxYxT6nqrp59unsqpmhOkUDDADjIVeq9nAfIuRKKXi
pcAL7kvfABVTN/y7dg6bH5FDa+1teWt2VXibNmM9v4OohcC5cQaj6HLFk+equx8gxN3rRhXvyMLI
5Iqk8GBFmXFSkgpF72PGKhS13ENSuNUBtbZykW6WyYwBVbZU+daJ8HmkGJejiN1AfWwc/6XPodfq
njeWLJyX67IM1xdBNDYy6Qb46PUeq4NsTvlUKd58rM9z89BCZ5y6p+QjLuMWEZMwC29kichUFLXp
J1lo5kjloLcGZNH55RrlnT/hYCSKa5XlUdc/3V7Zih8lOgroXgT/QqX+er2wMhgmQKs4yyLzstyT
bFpyzb/mrtzb2ku3hduzLo3aFtZdpTdQ/P2VfVcoWVdhzdJqXuDsMFKQ3Ok/qnqvmO7tda2pBo/U
/0laWPi2jTH+GZJ6wV/3vcz+GoxhZ+Ybof6aFXklZun0poMTxdKA09TYn3uz3snht8zZMOziU5f6
8FrGwuoG4zAkTS/0wbVPRXnqrMNTO++6H0O6sZo1zcPlhMMclBIu1eJ4IGqrenCucCW0Ut3PDHAd
DDOjbUp4m3lWBu/mNtx6Jd8sjx5JvE16Z+mloRy4UPcmimUrpgfCU+fZVf3gfgj6L213HB3nvtdL
N5p/DEn4cls93pwbaSZhlvExaJmjSf9aEeU60vu6VyVPyop3UnUfy9mzYzQbs95vy0VCDL2wonNE
BJzLkCEtM8mBhdFLs2qvOB/NHzqEzcxJMXoXHLuouh/zjWTqysp4CqjjMrDEWM0yXocYgKEGXQ7P
ICm6cXNq+9l1hg2V3BKyeAEmjH9fJWp4hugrjA4gwWn2lz8+oat1LLbO95kqzwxEhGbjmmTpuMHl
hpvx5nkWgfKrvVqonlQ5BHXDFJ7Nh/xY//Gbwa/TU8JtIuUspvWudayPUn7e4iSG/Imcvmt8dqyv
6XgMxoe2+BVk087u/1ytCQJoUKIURaphOXhSmcDGtdkcnqeB7mendpnw3Y39hpl4Y1vFwsgribkS
Plxe2NYhCCkFtWZ4xsfeSXJCy0fjKtnD1P+6rQNv7NG1oGUYJee2KTUqfAd97BP8fs6is2+eGDzc
yVsdXm81mkyQoKIg8cSa3jy6IJkXZm1k54hrU1HBS8Ef/ePXgh9+LUR8xKvnr290EiQzQqTQf5Ad
JEjNMcv++HIihWlY4dYCLLgsDPgT4Mh9rGfn2f6mjw0A8A/5Fs7J77TV1aMklvJKyGIpbR8mpAu1
7GyBMh1mQHNk1r4uky9g1T06caa4g1+7agev+UQXolYzYlhWZ/oUd2NdMoy0lb5YO0ABB0DXk0i5
LjOhYdgWY59H0dkBidiwKFOdqq2R9g0ZS5ByfZ70GGCc6Dw6f9WysxN3uOq28tRbUhbvvZ6ETtHU
rKQ2PxkNCG7Kh07d6rbbErKw4EPeTGUkhDjBcySXOwWmIiMKNgzsEr+Z3kWS4HRK0OLD5SI3eK3x
jRqBep7J2bnpAfqzw7vJD9xEd+mXsLvkUe7KQ9EVLsgAZ6X4HJk/tbQ+9k1GvzZs8elPlOdObvR7
FWTluf5DdFrxdQAp0TNC/xGB7fI8HTkcStq4inOpN7QOQ8B07BQz20Vt1hwmrYtOt+3Z2/fmWt7i
ZK2kDJTECotzRfeRPgMsvoXHsiVhcaxJ2oUz7MnFeUzAeTN/Rlvxwltv7XoJi2e5l/0pNAyWQD2z
78BYi5Ej/VSAKyvMPWnRgzluPKRba1q80k2SEFKWaXHWCgM2USjY5Y1zWbkMV3og/v7KLjtDURed
HxfnTjlBV+zNxoORRBuNhKtCLMJHgRsOad7iaCYjCoN0LIvzRE1lR+H2S19iQ/y8/vnnWibef0J0
LhxV9evVAFxbMOBaFecsnI2cmflIf2I6bKsX6q0XQKSAa0OJEGh2BF2LgZfcHyRGh8/ZswYxuf1l
aJi1HDYsyJoUnAxgDgQUPywD11KaNnW6CK/mnEiHrJQvVSH/0pt7eta3mlFW1IyTYWzOwmezadW9
lpSDyZT2Zl6cnTkvPB9aw6MTNS+3z2ZFCUS5E9h4Kgg01yzORmZCpNQzvTjHctDcj0odfJdAV3db
0ndbJn5t617LWmzdYCcqqWFkRfMnuarvDePryJus58pWQuhNdoSgkYytSMPgFVK+u966tp/InPQm
N9SSjikewW5OulNZ1ztNS/e9nO2KKniXhuZ9076/vaEr9uhK9GJDSSplAhmCW0VV3EX31X2KKxoW
hzb94dCkbknpuYsAQb8td3VzwaJiUB1nEcKG6yUrid8oSV0U58Yd7UsqAyV3t8k0vKot/wpZRqkA
RIAl0nOT5cHe++WnLgazLrdgx7q9mDXVJ1VCWp/RYPL7i02kTRQAz25CK1uo2TWIWPZTWm3hXb/1
5kUKDfAQMRoCl93igql2bSS6H5R4T9QFpcwbre5Jt6y/I8ZaXUdXN6Lv1d1jGAR9hIUQhKDrI9KK
Ts8hfCrOdlTkh2Sai4ME/dKxkDfhg9c2EH5JUYT5H9K+rLltnYnyF7GK+/JKipIsy7Epx1n8gsri
EOC+gOuvnwPfmS8SxBLLmfuQulWpSgtgo9HoPn2ODRoaORa2aWfZjZFWR68mu1ZvMfZKrA4Ymdvf
aWlFgBUheACBihEJ2ek6LccvKKtj6z6BNnZD8RJq8zWC+4XFoHggoF/ASSG+S9+Js8ydjZpXR1Pd
gb8ZFv4h70JhBCkh9I5A6SJfhZQnSkabvj6mrHpyy+y+pPObqdM3q1hTw7neMtBdYIhGEIWJoCst
psvytNAgVHtMkh9K+RWvAtOJPvpVLk1IFyHPMSLTl0l+RLNvhH49Ziy04uW2jeswBxsYd0ChFjhT
uMClL0MpmPQNhAeOWV/fEfu+pi/18ODGJyPbqeCnUVc87fqsXtqTts0m0OZUddjzUK9QH6YgLcCH
fad6m9vrWvo8yIYgv4aaOkox4u/PMi89xX+o4OfHqvX8IrbvM/Zggpzho1aQDkFeCvUwMMHA0KUV
NyljWynG/DiOZjhOp94sNqvFpOtPBCMQW/NAtYExULkUXNcInrWNx/1Qz0E5Or45YNSg/8PoGGDY
sty1ZbayrutL6NKkFLf5pHOn6/HSTywl0IYvDlB6cIhV4vLrrwQ7YD5GqRTlHgzBXe4fgEXMHlUd
dgYzzDEg5YFpYBVDu7AaIA+EnXeaiivu+QqXUGo7+VGvssAhGl5lOYoG6vPqpxLf+7J4gSh9ZkmK
o9OcqxW3YMnrvrLxwRvWWIeuDQCRBQ1IJAfoxwGKeblhuqtoKChN5L7O90UKwQC2Bs+73iwxjSTA
n8i9AP6ULre0oIZWtaV3r3RNmCpf4nzGcHdxKPRqJRRcs9kILBbAS+BuwTwSnn+Xi5lmrWoMoyaA
UfwuOCYAv6DhsYWktA9BMWXW971ywLCz4k4/K1QSKn6MmzuDs9Bam5+59kMhlIHiJlC8gKbLg3pV
4nWz0c+gO5vc4Vg5fQZVOrQJGk/N97dDxvVpBq+coMlCfxhIS08KGbRJAH1NOUErhO8qF4WIlAU2
LX7oYK028mmHQeeo0b/etrqwQGy06EuAtBPQYSnsDqBXa/GyUe4ro9/oxpHFLwWk+G4buY7teBRi
KBwpEe55dP4uv+dYgkZ14EJF1iRbD2KhiIjx5G0n+toZP27bWlgQnBPND4EZuNaPda2mNqpe8Pcm
88/MeYX4XVpYX24bWThtCBq4HnEvYnpTJjYseNGjw5zGx97ldDOD4CxQKEtWkuSFbYNaIu5gdC7h
D3J817OunicUpIGwewATyyej/ZSYkZb3B3P6eXtBImO4jE946aKrDdZeDYOOsqaPnlMQ1hAFxTm3
3+QQHkFBmhjtFqTQQVb9+SgbrZgwfh+kF19J6HJIGUxHkSbP1GNHk0x7k85Hq1LuPZBn3F6WvIOi
Io2SBCa1BSEX/vfS8Zg5zg5LOxQ2Wd7f161So22UF1u1VJAvgys0SLAbHyy7YNoOxRZMFQDrgz8N
qWCVJ3Fm4uWZHNvioGgvoo3E/9xel+x/MIHxV4xlgeMeuBj5emwJcwo9ZemROhjJKcf4ObbytdHs
682z8MAAvxAcHfzvcmuHDW7ipRNPjwSwNRd4CuLo4dQPv0qwFCbDGhJLPrhiTYLqG3EIQhJYlvSt
eqNQLXC3HZ0WZdnER8GSOd9v75scY99tuKgZoI4EV5f7SE7nsqTxxvRYFFUAFV4fYHnoJYO/wB+7
z3nj983rxy1imFewIiNDwwIvVzXnOssrN82OVaP9ajo2PyWlOTy6dqFu6rZJ7iixp91YD+0urds1
Fi75WIv14ioBixNKFmAJkfxfHUFM20Ci7Gh64KxIuLuvOusbpPw23TDujPmwmugs7TBwgdDdAE0G
+DOlW2xsuMl00Isd3VlvNxjyNQIy8K2p1o6fKWkSWJlRhnmjEujE9O3Keb/KHLBgvL2BR0YYQ/1O
RswqndK5o5UVx7lzkaCyutlBqroPTIpKrtMO1U7lVR2metXttcpLwIU5Jt5dMY6d4Rd2MYW6ZfWn
kpPsnuVNecpyla0UkBYOL0byBXE1Ai5wYFLs62OLJDkkAY9j5qRhppjNa2YpzUot4oqr6X0rAGjD
VwB1jy5PH4E6rHC12s2O5KWs/iSPwDiWO/szyBfJQ6oH1RhUb4ayv+3uCzFDQOmFMB4e8hjjuHR3
zyCuPmv4/JX2p+nf6CddOeTPycttKwtufWFFSkXNzilz9HiyY1rcx63fp5WvOZ/BgVVbma+uUfvY
+M3nd+N/G/l3TdIRtgzuxFViZEeeW2Mw6E0MvhrIIJDMmMO45fHm9uoWAiHwIaD8wNEF0YucXPRx
mgrOn+w4lWBoxH1/yM2VfvrSZ8KywO4kuFLwr11+JitLuxYnKDuWXUUDS028BzyE6KHQMuep1LPZ
r5pk5Vpc+mgApiAYIpVGxVuyiaoR42kOf+zI0xR6/uxr8y9a/0nebm/fQgTSEQNEwoTSIkauLtc2
ubRWnQZP77ZXMEgax+bJtu32oSJFHU6DYt2hxEo/TaXyE0jZtXbYonXwb2IgAccA2gGX1pUUA+mg
wsmP9ZhuaTZMflV/d2pgspuwV5rnuaWvRbriMUseiuQaNUcP5TGMfVwaHcyhBnbVRrWBpL7od440
Is3zmpDpkmPihkb/Bck8qDXF35+VTgqQ+zsD5COOGT+0IKAx4odqrc2/5JkYl3xv3mLKUIYSDIbV
DZMqbDDf2QOwMGqB0/hDuRKo3sdT5FMNyQPAv8S7BIjpy8WwPjYHL6+K41Q9McZQClID0G4nbWSo
vlqAY6/c5h1wBK8N4b5SPZbehihe2NgxRDsSnxIDwGruYBiaPbbDN43uSU8P1bz2Gl7a9fMfKnbs
bNe7Cj+/T9riaIA4F01qfza2c5qHt0/NtQvhMQOuJ0dMQwHPIJ0ataunYUqBDdP7l/Rk4J09a9ke
dORr19L1clCQF8SVwLWC4EQOA7zugGCs1OI45qWvgadJ0X7WXeKrcwnt6T6wIAtfcPqipc+uquBt
nwKRCpnlztpS5fftRS+kC64HRBHGhwxUhdFTvNxbCG7PzmQTYHCabVeE5FPm7fj8m+UHJAhbyod9
PuvgyTbu3fF3ZbGoNppgsv8MbHv7l1zBFnBsL36JtP+zXVeKruCX2M7GnEKgnB67sN/22+yOPrmH
/s44lb2f9n6bbavy05z6mLm4/RuusIPyb5Cu1coABgR81Cgrb74NIQ3S0O++8U9rR+8dGHN59C7X
KsVI1nBFybmHGBl2obbtj/zODLXP3rY84K47pBE7zPf9Pd874RMYY7fKDkzBO5ytXfz4Z58/Nz5G
ofb9rtwUIRiGt85KOL2+qfD78N7BWRDvN1uKc/XYJDXIT4tjnabNNjVmnH/XaQIt67qdaiVG2FKb
hEXB1z7BwimEZVEj0fFmgAjZpT8ac5bYepIUx3RWfF7t6g6K3n7L725/6SUzIGzS0XrGrBeKnJdm
cgVpgTrWxVG1oIY5dlCKMMuHJqMBWyvHLO2lLXQIAe/F6Ms7ieFZ9PIQy12vQvQaG7B6WQCIdv3R
IPdgTwMGp/5urUk4LuS9qC0gexL8uJhPkCcgZjebAJuixTGr7yy13irDm4OFJa8Eg+tEwxB5BmbY
+GhBgXpl4P9qTkGcoDPbcsUGA5CEAwlbHJv5l0d3rYaidfw9q/mGMB/C9d34q+y3cbfyoli1K0UP
MldJmpSwC6mXrTN4EJR8KumddvDgR6URzB04H6fXEnogtz1pKZq7mIMQpW0TS5cyj0Qv56KfGhwV
pUkCmhYJmu+oGWltudZXW/IktGQF8wlSqyspZmpOA4YkzeLILFD7epQquw7EOL5DhnlbejwJE9vp
QEFY1CvH5T1llAPWmWlZY23I6zkDdr04xrYVGKn54tmvfNhqXrLtTX6ncdsH7HAGt+azB73zOhzG
A9O/jk32QOxmN/EnFOf3+pNd45V5+wNcjeEKlzv/bdKnd0xmOOAawaf3DrqzabV9TDGaIui7tvH0
5IUj3iy4vryV2+K9UXa9KWKaDdQTEHGRDA82r726wKbkJxRS7h7Be06+2GXw1vhagMqKz4Ms1P3K
//odCidBusFoSVAFbBtvxf+D2G+D6cHw9nZcp9/YDdSOUEIXQGhLimy84TYkkwcE0GLXsTIop8c5
35ZZsaN+DW7BZl5jhrs+AZgOFB8B6FSU/OQOOfRbRr0DYdsxyWbLd5r4noCx0Fdovb+9tOugfW4I
JfvLoJ00RqubKQeUr3fvSep8jcHg1Zhu0Kgrm2jiX7r8ssKSgCYLUlsMvV1agizRgCoKwBleR3+i
utQFfZbTlUt2wXEvrUj+03Z2R7ndA80FFVBF44FevXl1HeBFF0zl7FOrCbUOggZKCCmF1q8sc6U2
t/jphB4p+NwxzfX+C8/uJsscZmUUO+p4LyjUNtqDqr/c/mjXQQuLxLwx4pWBCoJ807LabQuiDuVx
iBx+qIPK8mcakG8pXYkD1++mS0Pim56txdXrInGAwT9yD6PwG6Xa9fbW+qw2K8d+0c77eRcVbqzo
0s6UGmaddCr2jFs4TV+15Nlru4A1Bxfkt7c3b9Hjz2yJ73e2Jkp47VYxbHEwAhnhpNEgrsPVYsh1
zMDWnZkRP+PMTNI1ikncEYAuJ4htH+PSwDzF4QCZ+nBc03Zb2z/pNefGbpPnk1YebfbHpQkKk6cM
9T/FXiW3WVuWdDVPXZoXVaYDytWVmOAqHhJnbHwdOsI6EM59sSWT9jgZ8co00NoCxc862812gEZW
ZmOBzWw+ZMTcO0m/sYY9ahS+Y6xgNZfXiKDrOKLGLlPWttoYAzNtwdj4h7Dfls59K/fhjFrOAudp
1IYVl1xe3V+D0ucrZkA9phqbqlk/E+K3bh20d8R8tE+3XX85OoJR9f+tTPp6do/UioKr7piwY/fF
UtzPEw+H5HVq+t087D3k7V7a3eGdjrGo7YrxxQvgzLj0De3MyzS8wasj4OqFzyroeStWikp+A6il
H9vTN0eb0KwA7tIJk9QDf6VRs6/EtpONnSfFweUKWD0VsHev/DJx9VxdTTbIFvFKQhXBlM5qHnu9
QgYg7PJP7L4OFMdXXtKn7lnP/XktqV60Jea0hYwUQAhSqLOMvPXYhOuBujtmfjNK3yBjYD+3Q8DV
7zq04d1q9y/rw1fHXCyIYvBmujw9XoZbpLUQi/h2Uq2QeN/6+ll3d7ZxUoaXeH4b65Ubaulbg9kN
gGqUDjEyJl3Dlaa1pM8RZOeqeKKe98C1Kby9qqVTiv4X8Byi5nzFFzGoGTgLCxe+7Ow5wsCQ39Nu
CAb1KSeZT/lrba7UmqVjCjppwYEBtgXw/EF3Ui4yGVnNOmjemhH9zPpXG/ih2Pid8z5M1pqk0vYJ
S4DcoOmEPAJc6VdwMjOeTHdM7Cgmc3M3ZEBhJVnarOzgwnrQgAXqV0XjCHUB/dItQHQKIp04hcx3
0em+21tRrzVBiX6Vr5DkJ8Zovt3+ZNLV+74s7B3qgKDjA5eAFH6s2QRPVZI7UYX+xEbRcytwatBV
kzQNrGlN1GLRGqiEMDzqigKkFFV5OrRl2cLaxC2aB33cJhqKBXCbAPm1+9PuVPQRb69QrOAskvy3
QrDHolGlijqPFOO6jhmoE2hGBPYiI8YTOfeV4g70RZ9Kkjw2cbMSVEWycmXPRl0FrRuICMhY5Bpk
ml7eWkZENNAblz9yAdLDrNztVS3u5JkV6bsVBp/rGnCbSJ/3BgbRC8yKDSgczv+gjqyjqvO/5Ujb
l6hjikKYbUSaOXfbXEMfHeQseIzXq1qJS86P+x3hEPgUoB0k76iNgZYdNIOiAqqu5hwpE3uq4/6+
MDI/4588A/IvpV9DgwCCrPeT9WgMGyUOAI+f8yyw6nrtzS3Fs/9cR0xXq6LRbLyLhJ6lOIUu2tcV
MaIZ0dKD9k2mB+wTtXcziSpgl/10iPcf/664hjADi0cZSBqk7zrWpZ7aeWVFmaH7jlps+/Q5n95o
u5ZzL7gpaBkAlkdx3kCXR7r02mJyVK40djQpn1wlMlnY2ysZ4oKPXpgQP+Fs+5J5qpLW4HZE55nt
3MK+S9W035Aks3xEm3IlZVuI0GjzgNwC2ycULaSti0G+luguMSO9ZPG9N1W5bxSkXInQS/smLm3c
oCiD6a50HtxJGxnvUyuKOaov4OrqG1T84KG3/WDhLKABJ0BFYggEd+nl3rU2ROOnvrAiaoYJaN2y
gvqzUqL89KKOa1R/C34OY5hnANBIYLSkncuLvgOSqbEi4qHYHvNg6De8+VlML21Gt6ruG+mX28tb
tCjyLcEt5wBDf7m8ygMTg1nC4hTrLwal6aHLjZe2QZutHaGs5WSM3vWTomzm0pk2t42L5UgRGlPm
wLuDP0moVEt+WUxpTBgEICLb3Frkh7FRArXbD90h4St3wdIJQIEfHTd8SgxVSMusIYRBVIXjNCuG
n+uvY0f9jLRBukbkseguKIW7iJqi0Sl+yNlRs71htM2ZWJEC6UGuvnHjh9OceDdsh2Hl0y2ZEg09
ERDBhm5LgcNrwWGHEGVHmp8+QIsBmfIadF9uUInAi6D014b0hbjrJJmWFnbkQl8pGeqXGEwNXvNW
FjkahTRolXHXxuQpYWshf+mLoR2NZgWAJ2DXkPLyDvqOcenNdpTbBUo4hrPRBxJY3Ht0Nfbnth++
PyxkRzw3JrkHj1kzF8kEsRedlGynMjB7hrmVVUen17xf2jzYe2YwG2yH/aHP5+pBabv0deoVd0s1
d+58Ah+PgzbVva+3f9viPmCmAYT3+PNq0jOhgzaMbmZHpC5/TfxVjyEMFOevOVlTapB7Gu8fG8m1
wFHgnQeKmEvfBbF9/d81UU6K78wbRduQAg8IrgSgNKOgCuzK9o2P+VbXftxe5dKVARYkVJExmibw
DpemTVZMdsWIHQ1puMuGlatiaQ/P/3UpmbeAttbsDP86cNbTtEuDbN5lL7dXIE6C7EK4jACFw3iI
IAS5XAF353ZyY+pEbvkJdWJ/1FGfWymfLu0SyObQ+UEvEQ87ERHOgktmZTwr1NKJSA6B99jv1mip
ljZK0PKJ9jxe4DKtNZvG2NHq2okaGlp9MMV7EKmzbgWRsLRVuGmEqpaFSSdZJxbt/zJtpxHj5PaO
sm39vDrMshi3zk1Irowpidwde5hQlXjnuPVd5rGQAKCYJqFeo4o/qnesGYKk0lYKZEtbCFJPPOXQ
NMMhkvIFULbP3BRxqyRhA+U+rUUj0DzoXf8Pl+eZofctOHMGL+uVtO90xCzaQios0KyjokGZQIGe
C6g5PONfvpqgDwNWXbxRpYV1RjO5AHDaUYWSuuqV2xg8YmlTrLynFp3jrxm5FaLx2RiSGWZo47iP
easN+3EYf7Us3d0+sEuHCa0U1EjwrALiXwo5CgX/pMEzJwLY0M95EgxNtr1tYskXBCQNL1B0I6Ac
cXlep9kYp2aOEROUKtCHNpj1KNcxCQ5Ztg9bgrvhyALwjI/jSYnjVI1UwSvCjhxM7iDfnpt7NN7n
4h+y4Qs7khMQPs4gqcWKsubOcU9uQv0OUpyOHk3oBN9e04In/LUFLIOUAXhDR4ZCOJzKDV8f94oL
dlxzf9vIwidCHxndRDxzMRstvyIAW+g9NcHVgEBhbkqjqPyEzkCeNFPrN7rzQakScceCTAkCdgCc
ILWR2/ce11wAdlF4qfmvUrMBwHq+vaDFXTszIH2hJJ5nlZgwwLTvafapRVu6WJNbWtw0zKrqKFch
b5fFHNKcx201FU5koRVv/anmI6uiNl3LPsVPla5U7NVfM+JnnEU4szc0pemwlAwafKHVlOnOy/Pe
L0qNBW07/ejKzrqr7dJ7plm1Eu6WsiGAWYS4IcB54DGU3M9AK5bMBQb/raQN9H7aF71vzi94cfqu
0ewpRQn8R2dh0HSNWVhuRbw7yblpKTTpEKuamQPTBmxqBj80zbzTaLpxEKV+FSBqjsk72ey+8LLH
lqxxBC6vXReC15A/Anez9AOGNFF10AS6Ec/LbTfGhymjBxRBQj4dB5Pc6za9T6oq8RO3PJXpt9su
vBCZTVwyyEIBJ7oeAawzM+1L3DaR3rfMzzI9DZiqrqW7C49PSDiABgTZlKhUSMnUPJdZmdeNGyEz
BD3w96TMtoN5SpIyANhw6P7cXtTSGwOARzTNkCPq0CaRDqaV2KkyEtWNtHgzjs+puynLECCVSiVA
3Sobbjeb2f2s9ONLBXVrj256b00DTqxJPlF4zmFOGgAisbeXJ6pqO3grB3vlA2R7ibrvwYikbLK1
ptGSGaCGIPDxPnQhY0JSIByceEKJXhnscPD6fYznVBeHlW3fxfpKHrQUjIBexqMeFkHxI+2r09V2
2g6mHYF4Z9i6hdbtstaw7nK9sre6+1ESsvfDiRoCcBqoYaMgJPnNNCmxkjIDD1Nw4UOVtjIwAGH2
QZnoK+n+4srEXC7q16IBJ0Ugt89Ky+uxsqnne946RdBgKtev4yNl9so9KMNh/++y/hqTjrzFIafQ
IqONRo1ZiT9AGWpfWVCQ9pWGlJtZnXs0Ps12Y8SsDLUxDy09QYOO659LUqrgVS6n7WBQPRiIoz25
LUBZY1YbB7yKir0yJcnRYGsc0kuRQmyNQGu/i7Vd+jNlpaU2uW2DMmh6gUQyyETtlXtg2QQSKzE8
hMRXyuFSWhcTNDPsiGX2W6XVr5M6rbH4LJ0XW6C6MK0BRJ8rvR31OG1HkFVj78EalRFt53bd/ehC
d1ZrdlynK6DJJb8SxER4pKCBhufe5a5NWZqzEtTs0ZwP2oNlZGjWTd6wAzvH9DMbxz66HfoW7WlA
9QIehqtUZkj1uqm1ew/JKYWCsjXNW9aWfluCyrnY3ra09LHgwpjTxMKQ0klOnCtQSx1KkQb3DtuC
irsHQVr9QV6g96MiknpDDF3ZaEtc7l/VWlNpVyLFKoZdqpd3vNeDucIrLPPu/mFBZ6bEJXaWArmQ
ttNGG21IhaMUzAjjvpvbH1Sz+m9BrlAPF3OLlvyU1BPW6zFlTuSRSgc3NG8hNjX3WxeyaitfaCk9
Rd77P1PSFxqGDNNW0AqN1NLeDbnt+pjQLP1sXBWtFdFRvuuAAgMqEUUlwKDFLznbOlLxMYVIDx5f
xVPS/1EcvrGBRB63zMGAQ5mGHnuKyT9cRmAHESw0gnJbfr1OmgfMYwKjVgVofWc+NW75ZFLz3rLb
0z+4BrIJ5BKYvkJb7HJ9tCbD1Geo1ahm9smgaAmqa3MDSwcXr2Mkv5h6RtddulrBj2pDNmF0or7m
d4PXbBMSf6moejQt9eft1SyFwDNTcradgcmshoKpE6Vme7BAamh81bt664HUK8lXbC0tC0A6wFXF
PB7AzZc7hzyhR5HGdaKhDGPoUuWB12MqdHd7RWtWJE+fNXVIUNJ1Ig2Q3PlUjRvUr6ty5TwtWQHZ
FnwOb2XUOMXfn3k51ghVgBwRT+8wU8MOemz40wicjur6t9ezEFvRlELEwyMZ7yH5TdA7wAtMBkp1
Y1OcrI6pRzpNxUq8W3ADATfHKDOSHge0KpfLIV5sTEZDvWhs2a6YPSQe+IjBpJQBdOXfcoNkK4nP
0rJAegInBxGWmA6+tFhAvKbuwJcRWXb2VjOg2PJRWYNui58txSILVx9cDWkqkKmSL7Q5WIeHgXtR
0wV65jd3cAjSAr/uV69lFd7+UAshFthK5BJoWgv+XrHiM5fINSQTLuu8SEswGqdCCs9vbfa5Mq0V
D1/6WEKCHM8J0SWXrw3i0XqmRuNFifYG5gWvUbY2jGWlHjjG139YlKBwFW8X/Cn5OTLxavKayYvi
7tQVp0J7SNfK0gtHSTzP/mdCLPds39KEMiDde+ybZwboj2xjWkAApdiw4YPYYXHhijeQeLagnHql
hqmPLK+HGqvpnZ99YhzKlyZr/Ln6gdxw5dguuR5QI2grAxUN3LV0TWSgbPV6NLEisJYxBzou4acE
aEF/eEYj6fY3WiobgHrrry3p9E6p28QTSJMjLQvyw/xT4753Ynes90MlDaFPfdve0gf7aw4sTJcf
bIinslQgbhg5oBtp7/X6OH611d+3jSzvH+Z8EUoBCJNruGD5VFp3Mr1oGF5b9kUzX3JvM7Sd78WP
mA7YjGvjVEunCniT/xmUAlJvDZYb67MHIFjsu3YWqtq3dH4q1WNftyvBbylU2CBLE+EP94dM3lD2
qjahO+ahAR+1w+e+fBpqHtzewKWvhIxcHFpoF6JxcPmVZnucMImekajXB6hLRhaYJ4n5R9d/3Laz
tBZHzNMCWYZqgNxVKljWcq2FoxPK003pddXJa9T8odCL3W1LiyuywAMnGu9iqu9yRTFH12M2CfzO
+KKaml+yE0oq9B8aLiJAoHWAZzf6itKlUZkgjPXUhkQN2aRWADWm3Pl8eyXvw4DyxQRVa2AV8GAS
jJOXS8lzbmqZqpIIJBzJFrvb3rkabzHlUiQBrzHfpmXJV6h6NCFKaHMwOINyKEoHsz65Bq3DSetB
ck3nXU4NNTT6FJAsQ50edNqMPgdVysrdJqKV/HsFfgM1LBdaaDJKsjadaeSORyI+qw+kiZ8K5ViQ
56zvdxY6UpP3/fYGLR3Gc3tSRCMJjcu+VEg0jKHXQnotBNzhR7xGXrjUr3zHpfzfdckpqapgvzSL
kIha+m+PaI7vJPmmQcEEiBafQRnIKsk2ASy8MdfKAUsHB7gz0dND0fXq4LhzlmLIxPUiNvwARNpX
+E+3WitxLJ0ZsOHADJ4SKKZIjuYMmWswnpAon5wMbHIQftNS4zuvTe6jb7U2wr/w3UCIA1ot4NAc
sKiKn3N2l2uD7hFOEXQs66SzP3XXi1NqQ6avSFZccuGCwCNMQDPgjqCDkG4hr5oBBq4yJUqVbmOW
yY5CMUDrj1MvmNMDMyXBXK7d6gvfDKVOcEtDSc8UV/vl+kiBmduscsQ5mAAK86kS+2tOuWQD3K1g
XROAbizv0kbdKGOiTKYSJYOO2abcJwXostOV7bu2IhCCqBULXSADOf+llVirrXGs4Bg6zldMTd/w
el9fGzwT+3EZNy6tXMVSAoJYg5HILsDLbpYbusaoe+3gwgK6vRbInzAfKnkcUQUacShIlPH9YHwj
A90okIPrn24HpOXt+mtGOP6ZY3eDmhODlThHhdLcM8+cDxop9mXhrc3kXx+hywVJiSMbW5Nh3JdE
mDKz2g3dWDtvN67Juy1ZQV1VqOiAShNn9XI9OWuRgPS6F7nDj5y4gapuHQCpkhZE38ZKtrOQnyIB
Bnc5KHhw1V2NxjfGyHOtquAFHEwjj+oE8gsTOjp5oGRbO33K9M/xAHZzr1wBhSzcs8Ky0MgA4ySA
ndJnw8ulaisLm1lCwzl5aUB9BSXnKt9W9k43TjPdtjWAdcx9JE9Fs1WVEIM23vio0vQbRuU+g3tp
c9uRrsMWfhE2Q6i+Y/uvZN9JbxkMpf2oSV7BregzO+jLAy6f8UXvMPa3Ym7hAAohRkwcCHZwnPTL
74yaYgMGJ1zccYag2PQK3SRlZa7kmgunQ6TpYAIHhEmFGuOllUFR43kYWmzzhHAFqq+W+/X45cM7
h+kT3C3I7SzkZWKpZ0ewBL8h9BAR8Od63HptkPVfKMC5uDmraTNNv3Ln922DC9kBaCNQ1gZGV1PR
s5SWpRmDyQveKBFqMGMT1oqmZb6CCZnUd2c+/rT7JoHUra7lnxX0o7qgBmqX+23LvY/jF4QDgydW
dNwE/8Dl4q22rxW3sBSQZFnoydf1j9Hs2cpnlBkl8D6GFXEh4GmMdunVy27qR28qDSzYzTBAmd+Z
TrHBoJNvTG7g8W1WhC1/cI30EZMK204BWfHHMYP4CQLAC0o9MOfITyOIGNkx+rlKNOiHpPkKFRe3
DT7KdvvfQs+sSNtZNVNqEc9RIqX6BsJ3YypQK9zddp/rnBkrEZUgJChoVMmHolN4Aw2KND6hdMKy
3c4ZXpJyMz2X9kqUW7gCUdUAgBSNF6juyLCQeei0Ydby+JTEO2CGN2n14M1J0K0JoS+d8nM70p3h
tHbXcjuLTzQB3g1S9XXThG61clss3EwXq5FCNpvrNrZsbFuSzOiJHMp+TyzbL6gT9GufaNHhoR2I
ww1SA9WW2cvrsa46zW3j01x+z4wwMzeJ5u4NRXuyzDsI42yS5snKan+MWr2+68Aks3bklj7e+S+Q
Yoyd07gS1HqnL8wGg5pv+PawySPQATg+TYOKoXQUNCQ4Bnm94jdLO41bWdQHMOGOXPAyptR65lLS
9/HJTH0yhULQUA1w4CClffskLDkO+Bnx1EFZFDU46eE+K6BeVWwjxgD4Y1WFbrejw8qDcXEbz0xI
9xzI7vSSzGZ8EkVExWh82/jkZHS3yue7cH/jUAsuekdAha5ofvLCdShr6Ik/TezQsrexuedVHbD4
R9c8EpWtEBguXkJnBuV3DgaxG7NROT0Vtu338xv0rcJCLJDQYFaPpQb+E+i8Z0m7UuZbil/QDgAQ
C/LH4gF56R6i3ep0ECU9pU21TV0LadLXAd3jyUQr78EFk9ltL1n6hOf2JC+BuCLuTaelJ6/T/HaK
5pT4RNlMa/Mb70OW0qMELXEkv+JWx/9IC6vBDje2xUBPerq3pq9Ve0/tX4Nb+o1zBNIMqXAZP+it
j3q3Nr+OxXOrbOu837EPCiO+30LnP0RascOoirkVnZ6aHix8r63+hY4r7rN09EBYhMkmwFQBMJfC
Swbi15lC5vFUwU840QM1LX3erzWplnwFrTDwkQsGb0wJX/rK2OlG4tkxO4EkXCtfx6r+ouX75MQd
/iN1P3/cUc6NSWfdpWaTDtylSN9dpJnmfao90cbXWx7+/xmSsoQ61wA4ah16YizdVNOblhWBCTYA
rqwJ9cr7h8EzQeqA4QIUfEByJF+tHKfZIMkQ1UXoJeq21TZVvQWT34bOoUdWrtj3o3t+AmRz0h3b
aWaC6bp0iEzceOjz6cVGoz9n51dsn0CHuXGn3xPbWmwFACNfOIAKgQQYz4T3EUVPliPWwStoWcRQ
o7mpt6ADTnzTHU4N9IqCsk3vOFP/3P6ASwbx2kKNSDRpMVF16Za51jS9neYaALMedBHtfaZ+ccCz
SCwW9OyD5P/AawqdQyjvCI1YQbR4aU0fSqcejEqLxpQVgdU6P0mhbknjfuv6KWIx9IlvL0++i8A8
jNcA5hbxHgDCRsYJuHlVthUmH6IZio5Obx0LY/6iKuUBde0gzronKEuEoJZZqYUItz/3HsmsjBmY
mANijBRmkVj88ZCkeGr75fbK1kxIIToxGjiSRVH/TfVDnvEtGp4rh1uOjAL1APw5Cuw4RiAHlL5W
U8W06hwWn7w4h+KGt8N1sWfN19sLuf5El1akk2baHutJhtxcHSHzrYL50/ACqI5mWXpHUZPg3gMa
kc+3ja4tTUSbs5dy9n9I+64dyXFl2y8SIEO5V7k0leVUXdXV/SJUOxnKO0r6+rtU++7TmUydJGYO
ZqZngAEyRDJIBiNWrJUWkTr2MKoNaGWNAQCtfBsi57etrBN06QYY2qocCPQnEG18BnGmZKknHVZI
2Tla27gm+ELQRJqDZvz/ZonzhsieS4nOZRz20hHZhUn2p2pHRWX1zVmDBgAEhpApB9DsctaYXg5T
V8OKvmheaT83I1TARPfxVTgHt1tZ6gHqwbZF5p+z0kg1GLEnxMJsMoGmjyWnM9FznD91QUmTz1Zn
iqY5D1QRz7dn8XpPwTKcGGErsmEQG7ocX5mXpCsHaNKSBCQyQ5kl3pQRM7htZWMWkaVA1IhYA6QT
fPbaKEncRbjNQlstD6BOcHolPlBDQHuy4XsXVrjNC8IdlSYAQoSKZflJ+Vobx6SvA6kRdPBfPRDX
5cL7HQ9EpJ6QdlqHe7aVJg186KRAYKNFHxSqHVZieXr5XE9/mvah6L4PsuLM+oFN6MYYdwCc+Len
k7/BPu0jIQwUCyYV3W2X9oGhB/41LlPckoqX6KlXTq/zC4D5ouh7a91W4P8KybcAkeD2mBoXVmcn
eElk0bIrR/NeHqW9SQRXx9a6of8QwhQr9gdvz8vhTIAMWnkypaGipyB0MV01euxkwJ5F8vObhkAv
C8mVFd7LSw/0RtmagzWnoW7tutw44MxIIKBkTpHgAb+1q6D5gyy6AnA68DDciOImpuUop2GkJd+j
uKBgro5FtOdXARtS9NB2WV1xFX1GX9ulFXATlBKUPGhYDK/F/DyYtbco/SEngUWrAPAPd2lAFVw5
ol6gz4rW5Sm/wq/xF3iGPnf0pWV1mCHIo2lZKJmzo8els1g72UAv+uMkLfvGTHdm7Q7pHTG7QO4b
r83f24x4t3fB9SQDN7gKkAO0AyAXz37WplFUS2lEw+q5DEV8NTw3toXJRb87shOoxX+65eUQS8Jq
KTPjPIwLtDAc7OpAo3AahlM60r0t+7R0jfQBCtM7K9nZ5fRoJ/uqVp9x4gic6XoTogMT1WC8urHI
ROEu7pak4NQZ5yKc859a/QvwyIYJTrQtE/AkwPwALoVcBuevKUQrRhvQ87B9b4ZH5f4fo9Mwm6D9
+Wtg/YCzEzNJcr1S26oII113pOYOihUzAu77DIn6216xORRQrK/KR8D8mtw7cM6iVR+yKUI2TAcW
7Y2qfMiJ9I+DD4i8rOpDBnAnwDRz12a79G03EKUIk9mAHFXhqPkPOWqeivnX7eFshAawhD22Zibw
iOYTLibI4uM5UrE0eeemTb5ykpfgV6HHauigIp+5BkEQGYlQcVsb4MIw93pfYsOapQyGjTpMWOOM
1WtKjvVEdnlRu3SUvBr/om63eBounmH+g9AVcp+9Hd6eAv4ZvPqOgToLYDeoRECQ6tJ3wEUF7PZi
FGEzDk6cgYGPfanYwcDRQ8z7GbXwf2HvM/4HJhlIXm7gZpJbJpIi2G/K/ErqnrROXpctUq2TcWCa
krmLUuYBhIxGwRP8+l5fuzhxoKO8hBCDR5Hn1ShNINApw4QMRyPHS8D0LNlLLfJ1kiaBsa1DXAVv
JC7CNeVl8Np3Ta63TRsvJXZKgWAFsJNHktWpN9SRl0kQuCr6tA/0gvQeGuCkXWVBMSVqWHtQqiLZ
x/1MPWsqc0GPz9ZyoziLfYUTAwxM3FHB0O9Yzk2NI90uoY+mvxZGftDy6DDX0UNTPrYZ4Iu3V3zT
16EkDCjTWuBCRfrSxXSlS6YhNcrQVB6m94TtoMblGlOzQ+G3iXdjkzjV+GSYR1XpnBUkQ9/yYy0i
R9240FDGQ8/RStwHTBXn6FUDXE4clVXYxuhjW7TG8pUxmwXXyXUQBAwVEK/IVSOzdEVc3SukUPF2
qkJrh3LQW256smAFt47gcwvcBtL0uVUXGRYShCCp+itZnonAxKdzchEIMito90F/B9DivHZpx3qV
Ib1ThotsO6jOEOk98lX2k+ysuXfK2iPRXk1kh5WQLDnm+Qeo0dhd1LtJ8Weu3ssHsDIsk8/6HcOL
S1eDQUaV5bZbbcwDphjCNABko3GXcPPQS0NWTgqaco1sBgt696smSuskrSjPetWijBMS1Wi0sYKU
zVp5My/ddyn0QSnJWOJpDwVXs7a8NJNdIML9QT/KP+r0rUZ1vNZdGnmSELyw4VAX1tf/f3a32+Wy
sDJBXlwGTZX1sLAHSTnS9ONfTOb62lmJbpEkX3MqZ1ZSA2J8ADjiWIgkPHSo0zfUy8D1ftvMZ1KV
cyykqtdHOHgi0I/MBdVyaUeSlOAoiJd9VyeOFD+OyP1DLXkB3Ipl9229yxaGF2zl2lZYpgEwiGA/
c1UK6l3rmL2m6WM8Bf3kKvXg5Pa0K62TErVHiQlKdRvnxariBxo0nN7o0FhP0vMp6Rkop1SzDPMK
7E+6hVbIoaYiUNDW8gILtooOYMdBVOrSSm1PyzQapAwb9hFP8i6NDv3KT279uT3z10kx1MRXdk80
N4ECjW+HlpWcWrTPq7AxX2wAXtPujxVRdwYQzf7B8mcWGYK13rhuLyxyp3429XmWoPQRWqCRa0qv
yUqvpn/UpvBGKRUY29ykYHMCuhvAawAhOQdWEq3QFsKqcJ7drGJYqrfKfLK7zmvb3o1T4w2Exu1I
kLMgz00qyI1sPRYRUaxcSLhfAJ7nz4gciDukYRDLVbVTssmR0+Q+ssagMaUnVs/fyyoGdfr4pZg6
J1q6RXDtbDkrdhWy4GAxQ4jDOWsyQ1A9AUwyLOVICrq+Kb/OnSQLUgkbVlYi2pXUHu8YiBJcOqtt
JHmWN7QOp6YzfWYt06HIWkUQOm24KrIiCJ7wsl9717i57CSjsc2R1OFA3vP4IS2lXSQreyVVArs2
XZMBCTF+v709tkaGx+7arolXGlgSLkfWNpXRDkrVhAXtLRcM45o7jkTENrqxJWAA3gGCHCTreI2z
fEnKWJK6JgQvyhc599N43Jsxc1PjtxBpsHE9Xtji7o2aZFZTITsQ6jPKjwu5S7r5qNtM4PnXiwWn
l5EyA4IIiQIe1KiXkLDsmrINZRIMw6TtidqQoJ2yY5bVD2rafu97WQ1MKxF1bF5HsrAMrts11AKu
n4fg5NgIM4Qm2nAujhU00wb7AZkgKaOeZodyJOr42RwoGJRQLFwxUlewlaYpKuAs2pC9gS4HWK0F
7QCDUyVORv3kn5eZ8Mhe2YqRmkBdi++7bldtMzsv+1BhzR2gcI9W952md2CQDFDs+16lviYMdK73
ALQJ8QxEiI4nIfoDL/cAa5namF3WY/JqPZhZBt3pAVDN2zvt+sKz0YYPnu6VMxITyfnlaLRlruTG
ELbmTxvk7uhDdHP6VqqiVMXGgkFtGmSCkGsCzoiXarQZbVKz1ocw0xRPTiXErTQ5jl3uHiHo/IfW
MbBH3e726DaS14CpQ4oD7QXIJ+Cfy0msWGl0lPZ9qBfaY9XbAC9qB3uMHdSCmkQ/LVADpDR7H2ji
GVHqjdlDlneCc3ojrbF+BdAHgKahBstfB8WSp1k0VH0IQUXPmHzcm86Q+938jWgPiiQ7VTW6DVoE
BKO/PnQu7a5rchYzSdRqGJuaPhz+MMuziEOlsCb7cvH0h+TN9OfEn1Cs0hy7dE3Rq2XjEr6wzgtX
F/Gi4w6GdTmVP9rxF2M7CHQ6k9L5ONTnbg9KLTDheAR38O2BXx/sa1lJASciMIcQt+EuxgnZTihR
tLBc/tL1g8oOtEaBc3CWrvNvm/pMSF6G0Je21Ms5BiUopXgQwMNWZqZdHT325K1kIDMonBL80HMj
OfWPbxp7LLsYCY5TYf9ETbJl/iRwM9GouRc1mVHm7+KxD9VkPOg2OCGmXa5/FKp1mkkqMLbxdFjH
jcw4zibMJ/8m7bXWBNVh0Ye1kau/LI3JR6SPbGhJVnL7Z1gG1ropJNIWn4LiYXCsKJOVA23bsgrI
yAZ/gTJy/dT0qFjFhU5+dGVW504KoeSXqijVGvQMlOn+YqjpM8laKEyDqJ5KO0XO62IHjedBPkyd
kUGvUSqTx1RjpYg3nhcDQ14cg4SgMiS98djEu+BycbvBppOqz1hcR/ar3bTPHrW9uY+Osl8fJCdV
HTbsjLuX6ocRO/rBMwWp6s3z6/wDOE9OW21q9XLpw/69zgLixM+qX9C7afq5yPusgSLaoW08qgji
141bAelkqIOurQroHeCdumYZHRKMe0iH3K2NCErSalnsJzMav5pFFIeCXbRO5NUuOjPI+y4tq9YG
2VCYTY1TpM1eBSzHVA/UrLweSchieivI4kqibq2NSxYVD/Qg4E8kXHkKJ+zT3KoVtQ/TQtVcGlPm
6OMSB7eHt3UOA0CPCwCM7ivj9aUbSXrf9rKZD2FT3PXpt0j9rWqCwG8jq4f3xpkNLlwwo9iU4x42
DP1dHsMmP46tz/yqOTEwGHR3wMV0r9Cuu1O7+7b5iIHHvj3IzfP+/Au426ZU2RIPjA4I2o9JPNy3
nebR9ndC0SLt93eW1t+1bPjSUxFd49YiIh0Ed11b6MGWdDm9ddKpttQ2QygtlvxSZXrloFEger09
vk0ryDAgMY+aEdKnl1bAVBM3tdoOoQ7N50OutpCcRGOxAK248XJGkg/xLPggANBEteXSTNSOWVRT
bQjRyheQD8jBuJWrHuo3ze0fSiK4KT81qvmNd26Om7tEG/uhTtUhZCk6cPV0ouCOnYbvhBmJB6nJ
4VS30vKIzkJ08GtKeacZEdJCijW4oO1J/WWJew8pDvkB3dwZCtqFdcincgzkZGFBJ6Etl6hR89ZQ
O3+o5AUk63Eq6ii6DrCA+1/h6ygmAChwxcg/4yVEutQaw0Kqk19aA3XTkrXKU8Vi5bR0dYS2bC0H
0QEUG0DDUy/9UQGn7M/bHnK1zfEVeHV9dk6Db49/fA2aOXZzljOgybVDWhROm8SHvhdxJl054moG
boiUnYbebL4SLiUzcFvqwLDT9fw9tnpjArsLQ+vD7eFcXQKfdpBtBuvzmqvizmRNKmnM5paFDYrS
Xq4Vf8oRvIAkn3UnSivvtrXNyQO13X+traM+i1XVzNLLGAFTaNhl5NpGLvlLDq73FnmTf3ocfw4M
Vae16RgdtNylWtKmnaKmYyEqEE6jRse8GD0zXQSX9/Y6/TXDXaINMECZBvasMLH0L+h0j47qaCeC
c39z2sAHADphdY1WuFMplQdWp8mIacvaXalMvtG0R2Yp/u3V2fSFv2Z4zNZgE2qN6DINe/V3Px6Z
Pbtj9tKok8COYDgatzQmXWpd0rE0FhqXTRQ3sm5wjF4kZbueahenHtJK2EPITgLsg15E7pCtbaqm
NJpYKGdN8q0yI/CaJm00Okw2Rp8AMg4RX3X2SE5FENmNEYI0C8U+MFMAzcQ/6/MaWgZmkU/hIHWu
leMhaED7Ek3Utxdsa4SgUcVJAY0LkJ6tn3G2nRIlxawp1YTcll+TUO1mJ80nxW0TDG2wgBovRI08
Gz6yEuijsRPoDQTN3KSqdQcmQUikAkSiFU7TDpVjytnvNKnQqjH18/72CEXmuJvLajVtzAw2hYyx
wDaXzulBJ+DUUTF5emQJ7uWNzYx+dzgMcB1o4b1CU/VqW2qJPIVlXuyJPO5Q6/qnaFI45bkJbiuT
QWVgjVOn0Mi/ko55nXRPyUcUiURyNj3w71A+L9Mz1yjbASBtVZtCmn+FNImv0AZqJPM/P5hwviKQ
gSobkBy8FI89ZJbZ9SYcEGIyWv9L6V6jRfBs2BrJuQ1uxuohmVhZSVM4dTOaxKg7tEgUR2+3HW31
W/6wAGv2JzAKNQX+sCilGkjvNplDPGbllwSC9h4iwGzf1ErhS22qPhjRzAQZ8K39C+oDZKVRAQQg
kdu/jd0PA7pUJ5SVCdrhUKcrsGeTZp6DJSXtT91MydeqmuqAJVLUHW4PeSugAhgE2EHg5NE7o6+b
78xHGmlZpELCzDKkja1lL2knPUeeajyM4+IwNQsHfW8zwbNza6ZRLUIt47PUwOfJDB3sNhnL5pAM
IZFyfwCTwfCdGUeWfLk9wK3DA9UMA906ANOhzfZyfClF0Sixkyk0bcSKVtQGUIYwHLMqZFeLiKg4
vrWa4D024EYgckIi8tKcWdCZlZI2h3OsdaHdsSl19Kw1xsBO5iV3xtbSJmeOZyidREYVi+pRWxOL
GwccUugBwapy1yrJF6qUo7qES92eWJN6VmHvQUnwO5embzhHRUcM/4qBpVVPDMU3/NcqA8kNWFsa
omZFBG3L4V1eq8MtKgCmUt+pdnJcJ1lNO2/V/wKu1+oALIta7/YKc1N+9QXc9WDHTdqnRKpOAwkg
x0ypnjjU6BxqFncjCPcXEesidxj9f4MArgG5Zq8gzcs1JjJYBpAoqU4k3w9jBOzFHnUlwQ7h/PbT
CMizQSuKpy5iZS4mn5ayhLpIVp0m/Zc23UUVYK+GE4saAfi3/H/srANBdQyIaF7LWh7jZKGrHqod
556lvttuDgiAojuKa6s79cdYvfSJsGq8NTrYg8eszyg8bi6nUJ7J+tgk1Sl+k6RjduoKJ/siG0FR
lp62g+ya0/yKINvS7JrZnYjXDcFtp+EbIz/HDdIZcEyCzQG6s1zMLi8EWn+SCQ3v42PjoGMK/2iB
7bxXTrDKZxzrj/S9+Xrb6parQj4DnDooDQB3vk7L2WGroU7HFBMSvDkkE/r8MR0IQHiVW6Rg6Liv
4/mfxYafg1zp0IC8A6b/6mFXsE4fpVirT9bUv1btK6nS+zJ/LwEAMSWcC13/fHuAW1tjbXxT0FmC
WIDHBik1OGntKmlOKlQbH5g6D4ecmce8nUXFaj4t/Z+xoTd55RxEv4DGLaCCg91ozbQ5resW7/tD
vI/3EGv1lSBGqX9XHuqDdYzv+gPdEzfat8l9nJ9kD+ioEyiAbo+bv0avvobbrkq7UPAlZc1Jq75V
UuZG1nsW3WeRuesMKagb/ZiVvTOKdH75ZOCV3TWaPfOojlhLNOuwO01TQIDwKCxXsp0IBP+Jo1DX
aiTPjt/jPFDCcXaNCiKovTuIthN37ayfAQYNgOc/g6crIuTRyKISqeTmRG3mZeZ9Bmo2ZRocTY9d
ImK6+WRgO4vT/mMN8FngGgk6VXhgmB2bPQGfV3O6A4GN07z1J4iRO21Q7dG47Xz/AQyck3ixnwT/
+Yu6v0d3cWdP8SMndnVX9hR38mdPdQCPE9RLtm7EtYcG8ePaRwBmvcslofNYzN2EuSDD4tioLDhL
+m3Rp6fOXA5yhiLRci9Zw4HR2Z/1fN83pgBBtbEaGqoYSIWtUR1gKdwXEKRTLFZ0J6SO1q0eO+18
SJTHrPyHoOJ1JbDPcb5YqyqQxbMdpCSRF1aM3YlZD700eVp+38m9Wy7Hdtr3iSBY3bg1YA39Arin
wL7zmeI8c/bMZGqNqLQ7dWBs2S0e1H0LUZ3geifDh1HsAgANqDDUcrkzWu+qhHZFnZzQpa7mo0f3
Fvhg8sHLVdNJG2+s64dIeb19fqwrcuHRq9H1Ubg28axSDJcrlkq0tPWeJScZqqn+MqrlSZqTyjfH
lt6XhVq5narh1aN1jx3EQgXv0St/QU517cQG2xtSjZBivLQODjtjqdA7f5rzIjsxUwGkkhQR+ijN
9hiz2HDoPBSCsG09mbghI2OB5DfAU2vHFxeYZ1ON9ii8tE+VKrtNpHybulHECHh1365ZkZXVCA4D
J+Xv24h0wwSVjeSUJH6p+zJ1TDuIApJ/j/8hlQt+/NLUOsdnvqlRy1qs2khOcJWXVGscY37Sx1Bq
yJNShre9ZWO9LobFrVcFHu4BUrLJCdI9cf2ivse/onEl3L1tZmsrrA0aqKyv2H20Bl6OaRzkGbla
BX6RfW0HwyXJg9ns8jv0fOV3Rb/sp/q3wOT6k1decWaSu89idZS0Ql+9op5CaEeDK6J300n3jLl3
rXhwU4D3h2h6lqfYMUx3Ib8LKpJt25zfs4/gXHPs+taEnCM+wvSqLqD74h5oQklwSq+/cjXUla8C
b0UbLyhuqGMH6uwZKkenLpmdvFhciCMsVCQkcX0drY55ZoYbzEz7soT8PByz26lVu1ulEGwN1fX0
OfXulcFbkfmLU4g6ba4Oa84ud45WasEkO4LdRP2dWIu/TASiR07R9oLT638ZIXLiOh74SCpwI7QX
lENL4HtO1CKxn9YkdfCCSF17qV6UDDpeBS2/KfX8s+qBedIqu3bnpPyiDZUhuPu3xqygHoSHP24n
ECRcbhiKnCuaPDBmqtZHPfUta/RtBmongZ2tsxPpImS0wbaFsIub28FuUqOrrOSk07rbDZX61WRE
BCraOjzPjXAnWlZUSqbNOgbT0t8Gc6ufNaGQi8lcOa09ox4y9/bm35w91M1RWiMr7zEX0Q8d1VIg
euCp8hOdv9lotjQNt1dfbpu5fvLCM1XgyoE2W6MkXj7T0tEDltksPVWjl5g7pTfcLDuO8uDML6DL
nwG/e1JBZX7b7NZ0riBX9D+B2B2drZe+EUN/ttTbCV4q7xOUJivX/AGuK7lyWCVCMW75x7ktzj8Y
ZOVoWsCWUtUuQ1+bsOdYZIFzDmjDqfM0w4KtoBacoZds+Gd5+M8LFVgNIAmhzoxqPJfJshDsqXm3
pKfUQXuHIJLcOnvPf5xztXycMwtyROlJblp3Mr7reu2WnSCzu3l/nlvh7k9gqZLSGNchgHj/a+qP
+59WkPuGs7/tWqLRcDeJrLa6JEtYjCR+JQNyJnID/UBRZXB7yf8uCOfAeQRc7Ezm9LSA6SAdngvy
f1xxzmsjYlRWVmG6IjV2y+S5AwPl7YkSDYHzWq3tIW48YwgojDizjTRPKujg2jrD1moIrgDc6Qir
L3c5WDMTqlpYikYx3Uad/TKzwOr9vREpcGweJ2v2DDrN0LLmE82jPnYElT1scYsc9Cx9s7XHTgtx
N+F1r9yPVFSF27xm0bH7PxbXLzqLcBeVNHoNeoZT8iQhq4L23Polv5s93XQU1yjRSSu4Dzbd+swg
N5dMns3MQMrqpJivMS38pr1nhsgIj/z7PGeQQwAJigoCDby/LocFnv2ubTo5PanPIJ1T7uTcIa+x
b+wGn94V3/VnEuQO+5J9mEc06R6aLBDJv322H/CRIJ5BKBSv+QyA1C4/oWukYlKhn3LKIW/3vPwE
dLi5s6PjUj/rOciDtbcOWaxH6SfgII6pebc3xVa0e26dm4AuyQH+0Eychd2HNlpuCmZEubm32O9i
/jcXE9LmeGuurUJAm1yO1E6qBAzFZN3ihu1UlBUeeFwMwYi2tjmiL+RYZXSzX8mqgnYLEUCtpSeD
pHvbzo7zLMqsbu3zFd+9LhgSBTy1cdl3w0ougqNdlh0CWYB3Y36bJkE6dfVw3jFWYvS1ogTWSr51
loHPXu3jCFYsbymBMkIDHhncXndyRpwF3NJakgt23eatdW6U80aqYZsTQORPxfwddRsWyU67078a
ym8jngNjSA7R+HbbBbfGCRod9B6BYAlZee467iPQAEWZnZ4QdUlI5sb+crKemiL4V4ODkhDS0wj8
1jz1pQOCCdeqqi7JTuY04Sm0A8udOadg0ERLZPKcTJqTgSuNifKjPHj885RBAyA6oJEjRaaHu3mq
roOGcI9NpuHWAQCPOkMBCSMAGJEhbeKH+aukPDZRc1Sj55m46o/iMDZB+zszvgBKJbgGP9HMvF8Z
n/UrsLhAcYb7Gsmy8w4KVOlp9qcXgNifrR9LMITxM9BFB1TR9pgYj57G5zZ14x8oUNxebnVdz1v2
uasktczFho4iDrzKie51T/85PU1e6rDnvnTS78puubN9yQeofoweYne+Kw/53ni9/RWbTnc2Cdz1
onZdl8oN/Fxlr40BdIRmOe3itsVeNYMENYQ8poKJ37q0cVujrxgMBeD/4byvjjOaqhlkSvNFQzOM
O5jD/YgOzcQO4ieRBN3WuX5ujAun7JTZSUxhbD6m++xlQKNCIDoGN99SoHJE/zIYLFbKkMv9lCrD
IFVDnp1GDbj4wnB1o/8TA181E+1Y0+ZpDUs1m97H0be0E2GftrcVCojQ1EIVGn9cmq/quI26lmKM
Ls5H+lxlXvmSvS/QntqxpzYO0kd0jH+rXqRv0jcmJAxa3yBXfowuPPRKmijT8utpqoOyxDpyppBV
PYA3M3qj1Gneo6cIjbfvv27762YAhtLhJz07Gpb52n7S1VB3jrvs1PbTXmbP7N76mQ6OWlmOxF77
1tW910GQXNncJHBUNPeibnmlPGIi7VyX9pidhg9zP7xSt3rMQeV2J1KC2NwZZ3a41x70Qcp6BCLk
pOtv9oJqnQVauhMhH9JhbCfB+bN5xa1v8P+OirtvDBVOC2HV7NR7f5CW+hJ5w2l5QMFSmEJdd/SV
h6BN0kTNAsVuvppQLL0dUQnzVxW5OyVBQxwdDWD71PKNw/g2abucOtVbZ96rKJNGogT4Vpiy6mP/
1zy3PUtpYcCYY6DB9EPboR/7x22f3HaPv7/PHeQUMkmQpsHvq/dkdmyQ1tjlvWl+wYunNnSnEZj7
Xxburz3uzM4miykUsIhT2Wm/oYG6K+vi0FtPUWW4kX6IpodYA2mR6LElWEW+pDcqk6waBcxqAT0d
RYJT29fh31XipRurEk2DXYNZHIPZjz76ANw8yqF7k95tz9rFxyR3AMmaf0bfzO9EceT7Och1R/2H
FM3/iVHOPoPbFeo4gtevw2fENHVk6fs4PraNKCeyFZujNxKMT2g4WiP0yxNbyhIcmevWW7z4+M3c
z65+139N3eiufU5fGj/b3fbQzYPlzB53sMikAqdbOmcnWu0KsrLHoiYbauxenx8rVRhfbt4IZ+a4
OdSlFoxjFsx5i+pko1M8k91Se83JpK5eP7XCLhJt64A5M7j+/7NXeT2AQpnEmE/mFv78jEDi2J1+
LW7sTH53EDEAbu73M2vc26DSoF2pyp/W6pPqEndyxj+6++f2mm2eWmdWuDBJG8x4ttDKfir21hOw
2XeiFvZr2AQegOdeyMVGaJAuy0SDheFjukMsfj/dFX7tZwAf0aDfDd60m0NaOrfH9Qlqv7oNzgbG
HcdLUeJZnMA7yE4ZXfqdOKXXeYCqAZdAj7bf1U7zZYYO0ldpJ++1b4nb7Ko95IN9sLd7iRO5c9D/
i6zb+VRwR/jCGqPMLSxpRArY0U3QrRSDCCiwte0RswAV8Rkn8QVuUM4A+ZRI2SkFCjOJamQYBBt9
c3KBqkJTFWR5kEXhBoIUD+oTqY2nXTBKiP/IkR2b3fgLgtyn6SW+K082MjnQHdx3p3rX/6neu13x
RfN7fzgMXv0Q/6x3wtTOut/5FT//KO7C0iI1jfMJHyU9toHq117n9k7qJx+6W7skuO1ffBPp5wl+
Zo1v3pjVtAYBaLReJMRN3RSotp+lU7ilk+9mR/Jum/ukqLsxOL6HY1FRvjQKDG7wS4/tp/dfSpDA
oZNH9qE9yn7/Y/na+sVR3yn76LHGtZXdI9xBL+0+3vWvljPtpV0B2I7gu7ad7X88gS8kpXk6aJGM
7/Lke+lROhBXO0CxqIAqMhg5vqR7epzftH35gUff0bgDPsZ8TnzTrX9DJLDDM/RL/FNz5Sf5lDnR
QyJwVJ6h7mqVuCO7A7GVVFGsEtrxnbdm/dt0vy3Ioh5/C9lUBQ6ocSe2BdnAhmQwJh9tJ3W0XfCu
OMTJ/A/RW3ArSDp3Pu7U1vUYMIx1/+Xk95A/afWfQpSq3Dy3z21w5/YgyRn6k1YHx6mZPErO6GRO
EsxB7E0uCEicbPf257Y3bb4xz21yh3altZJud7AZW3NQD7WbQj2tivJdH8/7OlqO0tDtU9aDCn94
tOzkYWRRUOeTJy3zTlMaP1as12V4lETVDOFscCfeNA+Z3c34MvuFAgA3+9p+8MHr6lSu5I4+9ETe
y6NIsnEzBj+fD+5IGxhrErZgnUGaFS57QDKeiVcEjdcLYsWtYOPMEF9NB5NZZMgDhsd88HfcEcfe
ZT5zkufbC7zpt+j6QD0djLQQNbiMoDraybNUxPRE09ZrlV1hVm42CTb95+1zdVb+tfI5q2dxGhmj
Tq8ktEgr7SHN/ihTsjetvY1X0zSPT1NaO4lhu+pYu1k5uKPG9oniFtHs9oC45UvxhYG0sRz6nRZV
wVL3KPKRPW0kP85avze1R1tu76Mmf7EhJTN2jX97ktaNxX0+kHcrqwnI1EFlxoXttcKA6i365ETq
xa371iFa4qrxa8kEq7HlXhYgfkgngejwukRQ9BOZJmoCCtc3+8rKH7s2SKlvyzuVvg6a140x9O1F
+YcNJ0DoAHJKsC/aANzzTjDnLV54XXqKAX5rxyTQDETP1SIAbgjM8PmqOSa0G0BAesr7YzJm3qwk
bi/ngot5ywogjCvNAfrXAJm89Ggs5KBkBIm3Dv7jD/JvYal2wx2AkPxrYf2CM29uJLvqSYdCar6U
d6zSj4U1BW07vy2DqId3PcQ4z4MMswLeJZQ6gU7kjvyoXZplVlEVVnMQjKChZVYgXjYt3pD5k9Hl
uzER9eetJ/q1SbADrjyE1zTIKRtB4Gxj/qDIXKqTAwkePxsMsB6We+AdBNmozdWCzvR/rXEvVMXs
JlOpgEUgzOuNDxr9iEQRkWhA3KsUWE6rGyQ1PfXmMu1AIGGDMNOGMmkx/R70xHQyQkRJ/k2bkJxa
ex2g9MOTbysJ+rmlHKU+pXfl5D4YzF2zBGh7un0wbVwSqIv9NcN5YleTWo0r1E6bVg0hdBUoceRK
vbSfFsVvwKS+YnukSRaY3dwABAkMNGJDkpdHp+Rq0UZ6pwMMkbGfk77sbDXxGM0rl6KN5fYQN3cA
MtxAK+H0RVvZ5WYzqk5lTY8hpsqhcTWgZTW3XpwmiGrBLSWyxLmiRIxZ60rUZdBCpcSvbeyo2inz
5/5OpG+/6R1nY+I8Em0JfQU1wk9LFEqb6dEq3Yi+sujfnIVnhrhgWwbmilh0NZTJu6w69gv1hZx/
W6l5C8zs/7NE3InLmtGW6IIlAsX1LlX1oPpIxp0BhlTte17sShPlNCNxYnSvdq1g0dbfvjqtVpJn
dPyhI4J/9KGTWDL0BkUIbfm9xM+TqMdE9PucU/w/0r5sN3Jc2faHjgDNwysl5ewp00PZL0K5ytZE
zbO+/i767NOVSesm0bULDfSDgQyRDAaDwVhrWVrQgA8Avx/Gn4b8JjxLln4fVC4yHkch/qGazFXO
zpLebixnajOcVmX1M4u0eTeqTi/YQ0v79dwIlyq3RkYLo0y+9hD6vVIggBL93u4+r2/VpVgOSCBr
LkQB4ttzmD61Q2xCSe1QOzdp+lGrkiDuLO0bFBBBJ4D3cqgVcuOYDLvJaYfJQu3KrKe1DFEdRAei
ZDspEV4wFpfmzBqXFUWp1QUQ3YgPSQQCc6IERetNUQgYDYXIWNqpvZ/JaftYJM3DbNU9gxsNt12X
G96gZI035MOTnc5UsJiCzzK4gGjPdWFFA+t9ikPJHXRQYKa1LNLKWFxLFKwg7oOGLhSVLv2ybqqp
7c0KDZva6CIUihdz6ewCPO8fC9zO6rt8bNsOFtCzfCpoupLGAFRjAzG7ba/rpFT1XRsLwsWCBwGr
BTJU3HjA6cYXbZQ2UlhrAE4uU3LbPt03TXkPCLqrtAwrFIWbf70lLuxxkd6ys7GqKtiDH5EIEA8r
vJmqvziPL6xwYT6KKC4oCqyUzo0+3tDuk8Y3nSm4kS64BOhB8WroAH0GbSlu9+mOrqVyhZwmt4MN
NZItAGT2v3du0IECiQ/yTA2o9UunuD73SwXBix/jJr9D45uZ6jiXmqRLVnkYbxspCu+btvCnJFZI
DDq2VWEVn2mfpofErNB3poUvU63N22bsRFDt76hbkMaj+cUEnxGjSOMJeczQiPWM4jQOHbrPzWon
hz/LNHiB6CQA8iYxSxTgNUA3Z5KA4RUVFzC+ropUXVtpuqf68Con5vv1SVrcEOgIU3HDALTsq/5z
dv5oodNmVMMcge4hnn1jX4EtGmKUolKcyA4XTJOgKlt5QnIVlcWup+pGnnsQPRjQnVD2dVII9vnC
iYdk4J9h8Td2mZqZMUD0D9hfgja7PvDAS1Q1gsuLyMqlt/5PY1llNkVY0IzIwf2P1HoONEEAWTah
G8CmIRLjEngZh5XEaIOxxrypCUqz424AQ9UPrX+47gUiK2z1zrygiqwo7SmsQIt6hCTNAbT4wii1
cHBhTXCnBG4SoB+eLKFqdD3pZnSfVbbdkWQ0LHdKR1F7F4tCXEJ4YYWLUuiTsXNdlVgSsrPswdUb
bR3M90x7DNRtbhvvrk/dsmP/GRXn2Bq4i1EPiPEob7T7xCyfUvpW0nvZbNDFXQsc7urgVIBfLtcJ
Mqc6arHoako0lShWCrIjSuQfXXGXqowLTuAWixEfzLJ4uXKAOeWDA4pFFkpDGBuEY3BONq9D8nR9
9nS2Rb4tFzB2yIBN4Nl51plet8eirjAipw1jP8msygvB2u1OVSqRqc+Txy6XDaJ3KfWrpEpXoV39
GLVmII4U60Qpm8BF9gKB2bb6nEY0WYVRpLlz3Gcu9o7jzuPw06BNB3GH/DmKoG9jZUmwR3OrTZpI
C0PAOwN0b0Am99mBTI7bK2F0N4NRzysKoE7Litokr8AyiaJI4eqjOR6UCJQRupxbvhIOEsn12gRV
g6atrk/O8vT/mRvOlSO7Ak9YEiaHMhq8Muo9KRQ47+K+B3AMzU1A4kGP8tKfEHXsDmVZVLONByU8
aBN0c3tiiLKupbImzpc/dthIz+KL2VErKWTYMXeZ49OASIYb6MiVd/EvaasVgolbjDRn5tiwz8wV
c4KXCAtOFd2TTkB3J5oyLlRCzK1VAwW/XaBjVL+rd/Pr9VUXGeBW3ezb2iwmzFWYBH6tPdWD5Ybq
/Zg8/3d2uMCVU00robeCp2+6a+u1jY7g5kZWBRtcMBqHi1hdAd3MTMN0BU/drX0fP4p0VhdD4p+1
5jLG/7GkvqBQZmTPsEpMGhk42U30PrRQ1xZM2GKkP7PEpZPoXdDUOYMlha4AI+1sH/ciwC1lEZp6
ed//s1scLp1XQ23C0zkMWXiXBYVSH91g85Dry784GjxlgIVKAU0Cn4yCea3D6rPlr48OGqwks8Ou
tIn1YYooKxbHw67r+Ic6B5/DNFKYF/mYo/FDXiP9JdoI3jxRH9nieCwQ87GaP4hruVBGwWYgxUaV
HOzB0wD8yxuLZFbEBEcrU3AuLvocip+oWoPFC7eVy/jiVEGQFQWKQk3mJ7E/9it04BUZgLV+Kepx
WoxlZ7bYBjuLZSjHD4nUwZZdE3SmRYITQPTzXDhT5z4L9AEtzF2HqlCT6pbXhSJO4UUHOBsDF9Kk
SstqS8YY8vG2NT6MYgcyT0FqtLj+IBzRGbIV/ILc+od4YsCtFYUhVNyjGZBDqpCaQuNNPkBo6Pre
WTzPQG8JL0NjMOTsuEUJy07qIG2Pzk88lvhTP99aQyWvwyZXvHDqYhfgtBvdnnRv6saSjLZSCoLR
0pSyJ1sAhtHugyL8pVskEJ3HJbPAlM6/k/Bx/AuMKBRH/vw+dzqYdlTmaY126wrExznjjMvfK+1J
MI9LowD0jMEqIdKHrXQ5CjAY56h54kWwHPZUrioX1epD296PHSWZWpEcOm5WgQ4WLGiaPSSdvRqM
lozGvQV5yusfs/gtaKSHzDnj9+SpL7siMYMxwrco0GPzUBOq3ILSu74RXYUXDTGSFbTsGxrKvpeD
bgonUG06Ae8zqx9zkDu+FkudF2Pf+deHxBaJT67B/QdCf0eDSAX/rhsX7RiVVgfAWZE+9SVIrqe7
XN5Gs+o2zY8CUMY5E2zDpdCIGVRQI4L2IsCgl4Mzxi4d62bETTINV9kGeo8kStwpVN1gCkkgoj9g
G+3bCM/McW4aZS0kaBUF9bXY2ipO9gjRBDQZKBWp5Xj7F7P5xxbfkdGrBRgBegzNLp4B1yfRUJPc
mcl41NQHLZo9WYQ/WAKYgHwElyMm0eAgQb+czbyt4mSOAc/Mx5WhpPsCbEn0aIP/2HYyQhMv2pvx
XRUPgr2wdCqALdL40q9nLAGcXSj2QB4OhY2oisNP1ONbVxoK5S9i2LkVdjc8O9rkxJlxumF0Rp9s
Sg1XnGQ1Q9z9+rItuci5FS5ty6gzyR2FFUud3tSGIInbgZbMjXVRm8vSxmbU3iYuASAV4QscDZwj
0mVclwOUCzZNlr0DqCy7cTT+xRsA+K1wbQO+E4kNr+cwVnbWB+yOYM5262czZH1oU4noPBe94I8V
XhBZnUJL0nQUbCTtQ8edHLQwAj9bLImi8wTEJeh3scHrc+kCbQ7wo9biZcqofAfd/u2qeJKl2yok
hbZ32g/oPU+/gYY3ph9JmLt0drNiq4qUi5ZyB8b6DawpILPo0r38Cm2WutaqSoCA0208hKuo2Fbx
bW9OKy0SwXOX3BGwwy/9UPSn8EsnWXXdljU6OvogW/eN+5pRCKr2Ih3EpTh8ZoZfu0ixs9KSWV/F
U5cScyD2b/k1SO5SEchn6Yw5N8Rt4rHXDGg44zRLP+tXmEpHcpwl3ww8EbxgaXvhmRlRCTJh7JC+
XCU7blgqhFh/V59AICfAei36wNmvc6dyjR4DGhj49YyJQcsHy/gBFR9iGa91sLkekZYGAvI+A/Vp
JKu4fl0OJJMysKwxhHY+1kezMiDf2G4M6eMvrOClgSmrGRDZ5hZmivCrLQiADlmbgDqV6MPJmkQi
DYtvLHjzRbeVrDKdBu6EghCK3IwUzTVj7Vd4tNCqzjOcx9S03Sx3CJ02TrY2ozVYTkiu7STZWl0f
5tJ+Arexif8gpAjZtcvJTOU6UfsJk2nVSQeQuLMq0ZvlpVlek1AKo39d/kHZFWj0Lww/UG3crM4d
pD9KB1eZdqzcvgXRYzVsWOHEKAXpxveBwRIOLrg8NA9AQHY5sLlzrLCCTMoBF8AYDDOgmZHj2h8B
CAz09fVJ/O6Rl7Y4j5wbpWvKBLayZxMag1hGVWBheTRIrxn8HByp3ObNbKnMGwPXs3RAt2eiaMkm
L7KG9GbsENtK7f/SHredZw2bouk79IVIQLg4n1r+iR0mZDxZnjgUx0FGhesgT+Xd1lVY9PqE27lU
/kTv6n3e0FsppCL+pIUeGxX8GOhvARgUtOFfB+lZrhTkdmbnIcaj0JyoYeRamUwg+udVYYI0viWm
k2xoA2hJ87Mrt21p+dddZGkBzz+A2+hSBtr+ecaFMHGeFOMmlW40fxC16i0kvBgmbkV4/wWmGNq2
l04v540uNbhUH2jst3VJ8AQaDYkXVhkiCyBAEEftjZzolW/8+8eOC9N8zluEmh00DEuWA4tH12je
UETFlgWuEzxrQ+r6i7TXAonn5fAg1ZHJ5dhiEjvJh5Ke/VoCB4+XDhCDeNH0a5y8yuhd8HZrWNEu
BdlYsEsy9eX6Wi509V9+B7c7TFoOVd3gO9Lnj8Y1d7VnHN6D12hVPju7aiXtzPvsZD2GnsAui46X
17VLu9x9v6omZTJyOFH4HOZ+rrusz6Mk8rZUd3LrA3OWi+qcC7Ua2EQ9CKQXjBSWl1CVnawYghw7
J8xboPB1txkJeqx91gtnBruur4jWHSIRF/0CPuHSLhe/zbrt50zBHBdEKshdb64jT7+vntCNiWyv
PVY2gZpelJLhZXoXzDPzo2/zDPZKxvoPhhYe91LGKWg4JERbXYKkX/3L6SI/isa16oyrLipukja/
p/FKVXoMnL4ZOSRorn+CtfQFJrJ6UCOgt5enGqnLPqggxI360TTcyjXgX07zjhzrpYLeR9Prr9fN
LQYOJg+NNkQZ0FpeIKibswpa7jPoAeTCQ6f7LpaGkEylfTSe7MRt5Jd6hFpkZZFUFsz2UmSEb5mM
BwHnAM+GU1sVHrU7FU+Yd/Dl/E7LfSqAKS7O5pkJzpcs5DFBYCmI/hE0DVKS1+CfMokUd24lahb8
fuuD357Z4nKBzJy1cLJ0FLc7+1fr6CRWpOP11WJR/Jt7OhCyQ8cJ1ouv1U953aPYBeeYkRVqreTj
8anowaumfMTSjS1B4Fh0siwd1BpWyLQMkNJhT+CTzs5PzZwnSLWZyKYMbH/zDRxPitoJ4tviMp0Z
YX8/M5LURQlmfQsX5swp/MQxQ793ZDI3aUJKq41IXWWRwOai9wEpghgHpiS8sFzarBMb50dmJIdR
fc7liNjpszW+FWhCvL5mS2MDQTOuWJCGZmwOl3ZiEMdBFhAbbMRIPHRp9ocpMKBGPfexqw7pb7A9
KAKbi7GbPUyDB43lHt9y4CDqp8zBmTyY++plnO7NCICEOHS13HFHurOrh8wS7LWlCYWSMrj1VbgJ
vPNyoGme9L1mYztHoGOS3CBBCVq61wuR+OjihJ7Z4ZxlTs3RoCbs9GP9LhenJo3WzgvIK1eTFDiC
cKzjo/kdB5JddFuycjASkMtBVXNZpFIbpwfrRQG9gog3nDnZtZ/nnEMrVXXMhyw9VPPbEAakBAN+
KZ06aae2kTuNH9d9cWkzn4+GWyLINUpofs0BJxsMUgwPNqjahCSfS0Hq3Ai3Po3TRhWtWWNg74Cn
6j4YqKeMD8boObafhmj5qgRvccvufrZK3F7OpXYc6xwmw2Kd15skfAapLulRY5bql7ZZK8aPZNYf
rk/mor+fGeVS7hLUlmMGTTEUPsDHpRyByCGKcjejlnPd0GJGhMIN9MEhtYirOldV7ho1hbZUkYI2
bl2b4B1rKQkHB+IjXXQ3SfE6Nkx/hI5rnW57OVgp2ewXJwNUYbNc7OVAJKi65EaghLRxKQXACm+5
l5tiVGgLFb46PUzyjaU/4YoohA8sTe5XSRFPaVBW5oesS44OqWcjPaAmQZT+kzFdh41JVEU0u0vu
iqc0FMCgZgOpJ26Hy2ruSNVspocCFI7RNuyVfZuHe8pw3/lOm9PHvn67vqBLQYXxMLN/Mmi2uVtE
b2mT3Gg6hG+1kSS4kwob0BbQ4oz+lqUKaEJDOOYCS107wRBXeBS0wzug7d1EumEo0cEbsrd5r5RA
V2l4msCNVPabYdWZgi25OETkDV/qAAz0d+kiVSSNZcYuhWln56uolJ5yByqK1+dxyQ9x2f3HCLcD
9SieQvDj4VYY5CutTkltja6Y/1Vg5iv6nGUnYQO1NVvDRYg26jYcH1Cb3Ij9cNEKmiwZITkQLXxu
V5YOZDnR8XNIZgA1cgUNuFWu/JScTkTvtHTooJQEsCxIkhnQ7nJtSqfDw6eNzKeUqDtQZx05eGvX
QTtMEIXWXRPKEAgQKZEu7mgwrYPGE+5oyJzVMDbwRCWz9KDeTpK1rwD+6LBc1V8Nj4k3gI4S8oJf
FaGz5dKwXHXOhoem+02iWRtwaBkJLjextsqKCXoEonRrcenOLHL7WQZsNioM5MhVOm21at1NkGwx
BOnV4qpZuGAAbA7RDR6wZdSVFrQ9/CM1fwA706yMYKsMz1WJw6e+v76xFncve1nSUKG2ERYvPaSN
aJ3h2QclHWto78NMle6KrOr861YWR2SjdR7XTjgjXxI2zMJClxZyqw5VRvb+MQ3ktmvAoXPdzuLy
nNlRL0cjN1YaTzZA9Kr/KhNBDFp0a4BIGA0pjim+ja43wq6oIht1bRUoS3V221GHTNZ9kQnSDW3p
oALXr4YuAQb/MXkvw66dVVxaDnYz2K+tlBreFIyOi96ZaBcwsGoyhygbhPMhqRLVBbFGRHS9M/dl
L/movZueTDN9U43KUyQpEEHKVboqnYRulUkDVj4oZ6+pk+YlbkdjBZ4KmdgxKqTFTI99Vg/ESqG4
qEdqedcn+I5w7BQIlpTxZqRD7BYmWu7kwpx8dP+k677Ion2IXyZaguYoKB6ZgqlnEYNPnpl2FK7d
oMhDXnS5riB5ruzCmNPDKKWnqdVPKGWYDzTVqFeVYfQaSbUhMLl4rqLDGW0auFxBuog7curQLM1Y
G5GXTKT2FJCiuM6L8mi9pB/yr+y3YnlJ7aKD7roHL4/0H6v8o2ScKamsJbBaeoXT7EbrNaw/JC3c
DsbTdUtLOx8k7w4glXhEAaHC5ZymBvDeTYE51Ss0HNZy+lgHlWgSWb76beEQyRgVAIgh+PwRNa5a
6aQpBSBKhczkS+rU9zLak5xxXTmbLB+ITCvSxY/Xx7bw5oZz7cwut3gxflXqIVV9iAqpJIOcPs1K
XN2VRiDvszHMH8I8TAB7GSZvsA1pG6jKjzxUNG+csnKLlgGR2snixeXsi3heOxtdcJUEeBg0lEh5
sN5DZaX+6n/KpCs8uxF40VKowvsbdDfxBow7Ojd8qWmUtotgLEwA2au3NAP4N/M7zPX1iV42hI4f
FAHwFMG/WcWRPqUOou4BUjsyXh+UtiXWz+jjupXFTYGeRdB9QP4KcpCXrtpMDdg/a8Qhi7yDUM7d
0fV1A8ub/cwCd3BMXd31ORqz8LqnQYPmod2AxWSj+b8jMnmSZ4M/6L+0yMV4alhp0g89SJStX7WP
Ih/Vu1cpbzdKtEHrNEqXk31jQI9Vgz6ABWHYXKT8s3Qos07Q/5tVLqjSsDOmkc0qyCs80Klu03X8
GIk85Kus/C0EnJlhZ/ZZkjZJVRZAux2xG1GUGFBehPbVOibhG0r8ZNUcANiKvRfUAX08A3jVNrzr
/aeP2Re1+i2NF0U3PEgjoQFsgxtvr/WIUmqAU7Wa3QSsOTXYxMvqedL9rDFxMxNp3y5lI0iBUSQD
EzxunVxuhTJhrCtZQgFDhiKGI8e/AbC8zVJRmWzRjoE8Ab3dgMfzp+NUo40ADSaw0zyM5U63t6BX
ve6uCyYYrTBmDULQKExwi2g1M6VVMUAf0zde6D4SMe4u7HAFGbwBRVuA4nEaXToJnry6Mi5Gyuoe
OroGNlUPjUhXDQTxanEcZ3a4JWn03spNp6eHrPxEjzXoEITd6AshEe0kQOBjIEAC84K5YZymtmRO
9FBSazX1Nwy22sgfwg7rxaGYDmtuxmu3yYPco9CRZNqZ9DAoa6O5GRIfjTh/sepnJri4G9rUHusE
JtC50uQ7mAAH/nUTS6/2rMcLbTEqo4/iQRao8bYS7dCDE6yNfbBKVjiuSetOm99PovrPUlZwYYuL
8iij91rUwFaSPFnDThvACo4mUUcriBx5uemBurou/IEeNfpLVMLQFh3jbKRcxI/DLpcqNlIpIs4v
m5JpH972B/lpXqFE69L9u7JpvXHf+vGq87pT4tJN5RVP3Rqax/tppW9qHw8JMSNuPYFpThipF5K1
i+nhAmRu1qWWsel5VjzZH8m8VWHNck1Su4H3UtzLoHl5dkjkX/eBRU8+mxj297MTAqI7c1IiPzvQ
IVjXhj/I6tqeV9eNLEaYMyPczh876FebJYwY5SPS60w6yuOL4k6OwKG/uqm48+5iFtmHnI1mjO1C
N9hoFK8j1W23U1b21nQ13B8KN3KTrbJJb8vV7Fl706tc5fat2dXbCIx8a80Ddbone/oKFG5ud4L2
l7qiDwq0aaPNREzMvEZSL16JOTHZ2vJfzZ4aWekZ5yNfRSydYKpU1sgKHfF6M83e9dlfenxGKx8O
XZQZDVAAc1svCuTOohLEFEoA+jUyZ6sgBfK4fW6oH1akpMQys7vMEpxbS3vu3Cy351RTaqgRY1hW
Yq3aEWCXdFQPitn9NPtIpFi6kGBgjFDTZtV7xqh+ufIm3DjUDIwxVc1t0qxRZVPycEU3jrFqLEHK
uuTPuJuiqIcMA2IRXGzW4yAwSoZLberaTeR8j9q23xQPsTyCx/rfV6QYXuEfY9zqZRTKDUGPtm0t
mm4Nq7kJu1fT6r24roispKtBF4mJLS6cA90qoG7hkTYXE+wQNb8yB+gqadDaN5UVSJdN4JXyWldI
AmzI5rqDLttDQdaAWIWKS8bl2jkJqMicHnClUNm+bZME+dpYim7DzNv4TYYSBh5T8E6LQhIXg+R4
DNWGIZJK5Vkuy1WPso0an9TqR6Rvh24bqhGhgP5a6Uelb7L65foYl+LsuXlujFMeTzMNSmgoBCba
dgtUr4L5FFb18boddrv8Pky8gLOyM6o93KYrwX0UorMW0C/tVZeNvZa0mzo7qfbPSrmnSeb3rYhm
Ynlof0xyWy9EtzAaQNA1BbxE44Fi7UNv0eOXmZVgbEvbDu8t/4yN88tQy6RZybCEU1KvW9Pxyql/
aO0ycjWzIhI0Bq7P5VJcPrfHucwcSwFAYcwvwWQU68fO/n3dgGjmOKeQh85RAmagfDS6yC2Lk24I
grDIH1jcPDsRqwQQjb6C3+Ud5Mko6GA7nHLyPYj3tJRCV+lTQ4/X9WEtrpMCiAm2sgy1UG6dJlQ3
JVVDE3J5PyKLCd102KQaacuf1+0sTh8KhCgH42b0jcUwqOQ0mFkLW9JY71PQp26gBDfjKKLsXPQD
DfcJRuLGMMmXc2hU1LDzlrWrjU9mt5GM01+MA/QSsm5DcwHFusvfj6OuQEkM/UYDqKYyA50r6CuV
exHtwNIDN5BRf+wwXznzhUCeUskc8LYhKTAVrLIUTJMA73+iDLceLBVtM5Xu0tp+BbqqJXlzb6To
6lbHQ4bFDIGOvT7upbivIhijqqyyrmtu3Jo0VlM6sBcy1AqNLcr5c0pskRDQshVknxAwAw0frwMk
QVNYMmaMGp3BTfne4kqoD/d6Ksg9F50R1HL/Z4YLFlloDi1olfBwBMZECBynI/BA9F/2LaL6rmME
WENki4iEPLS7l6Er2aPecIxAfToZAxloD0rcdyn6leeC7cVN3P/aQj6FR0TI/EFn/NJdFKBaaSPZ
3dGMh1VeqqtoHN25D7eqKjqcudvPlylUqeEJX+9gGrfDoDXYW41W90fT7HxzuKnzea0HaAYNflOr
JCFiVxfFj50pQnhx4ZEZVhXWlQBNYzSofaXOZ1vCyuxaSwd7ONIydMf43Y52cSS7NMvd1z4w1t2/
zK2YQYCyvwoHeJ4Fm9vlpNIKqEJoysjHWjmUee8GUfmgjsmqoL3gdXFh+WAJ8qNAZoI1mR+aHcV1
nRaJfFTjl1Il1bROQhVtTyKdr4UphIojk+gEhyPq0FwyHCrxOEazIx/T2rot1dY3WbAAhYJVkxbM
GuWYvBeZICleGty5US4pBgeOEXcAph7DBte2aCuHv7XmOGnv/ypCfa0WyqfACWN80PLmIlSSt1FX
TRhb9FuGBLWaPJt4f5y07XUz7GfOkjaYQQ806lZ4YEP8RzPHpVOUbdhAOqlRjmUUvaqTTtrCy3Tl
Vo963GfcLhKxUfBXQmYRAFn0OelAeaEtmBsY2m9CWRt1/YhX6dXcTlBeN9Y2dVw8VhKc3vvRHl25
K084Y/dj/Ov6ePmTCObBS6CiXor+HAiN8u3QfR1IeMmf7SOkOtdtdJsXKTrKHFxN/UI+OfFnOb4m
80O+rrRNAoJx03yT7u3Cv/4ZXMhmX6HaJmCdlgUtDAA6LqfdmXItDyDJcaQS+thyM5f2A8qkmAtF
u7tuikuJmCn0uWO+VXTS4C2VW+HYnqiCbsrolMk60Q6OdFc1ZApLRqt73RJfaGOmTDw7MYe1TUwz
tx+HUIoyCyQPJw3X710YVj+GIVZu0ylXV0YuZS8OVRVvkjXqNlSet5Vi3jXp0OzSvN1rpqQKMtBv
s8y6UBwMW8dtGWcw+/tZiGVar1ap4Ht6+67pH0E76qeWiIuKh4ygKg48gYJhI55DPY4fdapgv0Rf
ow697NO66733cZN8xu7wWoCLvHRtQn28jydkvA9Erzn8A+N/rCOss+Z+JDLsfDsbY6kijdfGPj6N
NuBc86OVnaIOV5PYT9XPoqx9VYXqouZfX2ouL/1fq6D5YBhoFWcn57+yGlpQycLMplXoG1AmbQHT
uW7ie6Bg83pmg33D2cgwqryfIrZ6P9B3oLqJ5/hxAWGpkpRPlgC9uDyPZ9Y4X5Fimqu93Manzh/w
Mia5ptd5oat0noVnsv9y+rg9qRtSWgBZHZ+ARCGB9juORG3NPKDqPyuEt3BUHYD/5HketcDJunCA
XzSk3Kb78MHx+12XkN6XPQhmb6TH1jNE3c7fYg1bMibQoON/SKu5JQOthmWmKsaV4CR2lbLzIovi
PG7tYxOnb5kaCpbt22HMGeRWjdIIt6YQPoJbDMmccJeo77X5wyx7gSH2Qxfn5Jch0PsD4woorcU5
fBPXNFWNMT7Fip54vRlIhCJjdAdbntzrji8yxU2iFVEVOGiYmuhpkmwiOygNAdpy3cry9sK1EhTh
7AjikzQT0ibjrAbYXvJHWCiAIrcPTabdxOOO0nKr/RzUaitR6Ta1RH0K3w8KNptntrkcigZarbaW
E590y52pCxnrcqV0bh28V9JNpaIShjZdkNmQKhZElQWHAckmKHpBq2ig75hbx7A2QMTdY1vIVrFN
q+no6CPA2LnyoHVAg1+f44WVZESruDOh1U7/ZowW6OEaYqxkrYHKYMilo2TQfN3bIgGkhX0H4USI
m6HdGPziNnfw5oNN8SFYS+XO6E6V7scaASI6E9XzFweE5zoEFND0Yv4uQzK6FyItjyXULlVnIzlP
Kb1NbEWQsHzL6nE5YY0lCCMW3gd5hYgu7Oqoq2ly0lMCVE3c1p6kHBNlXeCEG8vW00SUTnwfCAuW
FybZuM+OmlSL1HDKo+RUfILQMyrIj9yzXz9UtHvhGUx1iAnSEoFz8E+g/zGKnAmlAcAvDW4TKDma
/cwoS06z5mafxW32pvvDesajUZluM5CmC3gcluf1jz3O9ZvEqNBLAHt9t3NeSvoQySTOXSCGVWMt
/b7u+iJjXBDL60lqE61MTknk+GWA219ou9boWdIpc7bDaONqEQoC51JIwzL+GSG3jL0BogMUmpNT
GAyk0x8rmYypV2qDS7XRT4OPcFjVzdExBsHpIFxL7kCnJtXkcYLPKr+KLtn2ir2RnqpwOiUtUEwh
DgzLtfvIdRL0v/aCOxybS+5suhg2iw5n3qvTvpKzGnM96RIQlmU/I0+qcv/6ii5lSLiwIXjivVAz
DD7TrLNyKvokT075ATIERLXWtNjGKrhi/RrCivNexLW06ENnBrmolqH62jggxzuZ7rxBR1uBvQgg
9PQi8NWvDP3bBJ4Z4nZiFTBmd7TsnOLn6bM8WXv7I/vZhWTw6Z2SkV+UaLvXgwqRwNHNj4qrPAmm
lhm49gH81pT1MZlauE8xkfA4jUS7GVbyavCqx3ZtbT2BObYPrpnjN+dgzHM/wtzoRbr7pn7c63el
D+WucX1w7r3kQwSRFK0ktzHLCEIbqQTXqYMbvH65xmlAqUFBUW+IjsVjksSr60NcOubBzszoV0wm
GcYZlBRwn0o6VnQob8dhpeSf9K0WVbWXp/GPEW7TV1qYTGHRJKegUrNVN5vvkVorbjyNoh6NpYQJ
e8+C7B3r7YTJyy2ep0neVAhvp9ZIQG+9m1bBVjt0zZNh7sLkV4W3+0fo3YM7XBYE1f/P5vhjmhul
1ahGDj7c5GSPdwH9aMy91gLU4WagoprkfaN6dfXLfOx+Jp2rN88hHjeDX7ScSFM9GM6Lbq+SUqSY
u7y8f76Ji3hZBuEjJ8Z0hIkUeEaVdqsMr8oeQGUnaJv7151JOAVc2oMacRZDDQGHWROtah2SJzPt
Ifv1Hhr9fdsCBjvuTOqW5W78jBJlO9ibUVkl6WbuVmUBEPCMg/ZB07YdFYGcl3fWn5lgfz+L/Y1e
27XBVkfO9urOdMds2xPnKbyXRVIai6fMHxfkAXtGa40AdLBJMGqFTFMde42ei1gSl0/SMzNc0C90
J7LLAQNynCfV8tEoC4JLjWSe/ZLsRB3GS7Ub9G6gIIgqtYHOPW76pKiT2rDtccRkvuzcBhMF3P4R
2p5kUleV80S3Sf00NO6+/G03+6lbUWnbKER5/RsP+/Md/NlqOunYyTpCSW5uitk1Vl2+1ucbagIb
ad1l5q2ZeG3ZENXwoA1DxqJhzyG+bh3S5kEKNp3008yIfhR81rfqMMuLzz6LW4ykn0uNmpievo9e
JXuVN5sp2tDqDpe1hhZ40a3c2Sx3dblJnV9q8pr1oCo4ouA/aYmfdzqJgk05Qd7NQz/Olqo3YVZ4
c23ttYFQe/KzWPSsshwqz76ZO8wHqtMU6ny4PjwVb/SUPlQ32Xr0h0f9JXpIT5KIC3DxFDizx53d
VJvQNgBU/KkKwnk1NYD16VVQu601hNvr6/H17sUf3Ij+MnIVnAPomr3c7TSrW1TjsDlyLYQSSubG
WbiV+6OGhgR504KqRe4etXlltu5s9yTIHkEtqkxEz8DzQWKrJVkocN3FtPD8m7hYXELWTAJdOubb
ltbN/KrjYTdOYq+Q5pXW/kohElD2b3jDWAkmg03stcngovIAtJRetdgzUbgv8pNWJESL7yxw4853
RbzC62SwG0qvtA6xSO9+6b59PmYubIAjSLMSUD6dSll6wVJISYjWYoVEP2xVRIq7FHfPbH3N/1mE
N8va+X+kfVlz3DiT7R8aRoALSOKVS20qSZZoyXa/MCQvXMF9//X30N+ddhXEKcR4ujvaHdERlcSW
SGSePCft8HfQlGhGIsCByo7M1m16aUE45RAfUVsUm9KAa5A5mLUjr1s0I2gusaQ8T+tvfVg0dB1a
4FFB4V3MOkUJ2sk0gtG0hY9b0VfeoK+9r9zpfriXKU9vb80LY4IrWBYLNGQgiQta4qPmMPbeYFV3
lR9quFOApli+zmYiCRY2cwkQpPl3hII/UEwUr1sdPlMbOBBsLgUKSnObz+zRnk9llIDibW+DnaZ8
spTXlktOxZY3urQuhvZTm1taC+8XonVuHyEn5LHJwL01IryXHMCtV8ulrfVbLnYmeLCboozXKKy8
M8E/Su5V0jgxv4eIjTKBnS9xo+ax3NmyUGQ9Xrc2keAG1cmalmyG4dg6TPqvGikMkJ44WRfuE+uH
9fn2OLcuwcthCg4uUxhtKrx8g6R4aEgBydfRjfR/QnTbx9GCaNi7bW97dJBURsYQbt4Udu0wKZoS
dTOc/JHWx2UEXtCtxj3vPDvQG2kudvtE/jEn7NdIz1o+ok8tYOhdqPzoHkQXLgXsGAh5w0MWWvY2
23RoKyUlSAFBkMyE+WyaoodKqg2DscIcfUwWZ6FIItyexa0CCCBHf8wI14OWFJpKE9zLaf4Y6466
7Kz6EboqOKCOAe0r+tMIdzr4WAunnFdeR9cyZWmhTc968Q3CPTFVLF9oim8YCQTY9TtVdcjPsnCr
9kvzQ/9UeWb2kKuf7erUKgVK77Ic429uiw8n5d8PoESoDkbxkKxtFricCYqsp+hlKBxqg/gWZFn7
utoZ2aHLnrPxbD+VX7Jqz5RTkqcgF0zdQUuheQ7hEO1TUn8b7eeUz/v/0xpRItw8kKzskXzB53Ho
X6S7oX+IAfjt3pdsV6ROY++W8EkB7z0ZjkRZvHQZHLuW9VFtnu+LORLO2xJOxjBqJtJnexZ74BIY
ngIZTdlmahLKgNC2w45ERV7Y9Lmm9TWJgPpld1mKioc2+0byg1vnovsnbXqnr1SvsX06fJNM8ZaT
vjQsHINlzNCkNs5JEGavffyLf35QTAeUgk40/1BSp39/um1wa8vrUIBgQDX97oC7vhSqbo55XbTw
GzTdz90j4S9tRN0qlcXdW27k0pAwsCRfOrC11ag1TqNTJaNL7dfbQ9naGJcWhNMbDjW1uhZDyWjl
alnvLuM5yx/H9L0udnSQMQZvmjOARTdVZKwA5rueOa4m4CRcV6pTa7euCi8ESpaDsTe0aOqWvaF6
eipTM/2Ih8ETb9VBgGGCx56Ih0lVxaoUFaW4zuu+K0E5eTT0PnFo66ALKfuh+642uIdFghDbDM0u
zIpkF9lULWSpYbZHbt5pHqN/9GeyW/4hX5S/CW8vTQlORk3Qb26OKI6lORTRhjvd8rroyWSSMOF/
GBIaQQCTBEeriPYE8sUA3fKars56gheIMnmJlpQvTdKcNRPcqc2czQ6va3bWQbAEHCiUQm/v2HWL
iO4eqOd/P0EIjFhr6wrv0zSwVM9oOieGYGwxO4V9pxjObVNbxw8Ixt+wF3DBiRnJnnRTQWqkgyA7
Z5941VDIWaiKd9vKZoLGQiyNrQlQNzqJrg+F1Q4lLnK8Taw5GKLTWL/i3OnLr/pnAcim8aSCjCv5
sdBd+h4Sb2SHsPLHR/v99mdsDfbyKwRPUM5gM2hbvPeiiJh7s6yASiW5DM64mfsCDhVQLQAnIRQt
BNRLbw5hmyJ4z9HxZSnuNGg+Ve6U8lOIrAK13dq+J+eh+zFJs3tiv/bvauSlbWHrdFADtBqGMNCc
HoskOYWdcupLfuTTi0ZOA7g9qix1p/abVn1Phtyd1V0GuLiCOvNxaN9n6kGqgqrHttxh/3tR+KZU
6TFT04ORAOnNlSPoLfxkkIUQW/cbdoa+Nnf/5gS/3iCmmRdNNyNaHrkfde8luV8WelAcwwqd5TWG
bAHyoU21sySXw9ZDa+UkARgEAFcg667tdgtjLUGMFLSxAYhNzvQ7W4/r/azo5u4vdt+FqXUKLt5Z
Zj4i3TwuKNewrvfjrloOlapK3Ne6hUXXcTke4Rkw2CEwmx3Bs7VCp+IpbmbXjCDlEoVBGL2Fo+1b
kQwGtRkVXRpdz93FyIY6BHCJY/FsNTpGECGlRepaOp6rfeJFeunFQEeay3lqHZLOEt+ytYI2GrWB
U1rpqsR3Vm6qxTCOeIcY09T7WkmLnZLFipelZvEXfhlRH/j00MuBy10YpwLSn5J1bE1VcadD/T0Z
PGhO+mQwfbCS3N4um+NadVbgQcA+J7pMZFhrc07jLNDDuHUA65ndZGwTry8W2eNRZkrwi0YxA9DC
eRbUXW7uMzyH/SyLkh3haCO5PapNBwUwyH8PS9RdjxsDuoyhkQdQiKDRrrOblSQRLCT9rkmGpb5H
Q87I55NCkctyyagbaClPxvCxHReV+hnCoMSvTC3RD3oKcZUjZEDG4qSgjUH1tCSN+rtIL/Ta7UdL
4U9WVCbNL5XENfKIpjbtwemagomraMz5zh61ljmRObX1oSFV27jDQNrOWea4tN0wAh5dpt67lVeC
zBGoiUDWvcrOCnPNZp4ntaZniJhq/31xag8E5YnzHY27TurKso5bFy+iQjzJAD4HXNsS/Fu9ZDkO
fJcHjf1DNZuThTspNMIYiAoSKOVPqCI4sYLUc76c+7m4HxPfyD4XY7gb9Z+TEoT0B0vaH7c3wUaI
rCMVo6pANIPAROx+LdiYd1MV8cCIG0dTiFOQYmfms8+qHdF1pxq/3Ta45aFg8Xe/xFp3ZcK1iMCx
akHAyYNu16EN1RsU1/mpvy0vfcClZEHrnAo+GMAKxOJoetHQbSP44LTnVjkyGMOVGvB9XzvDa35y
+WN6qiVgoI2Te2VK8EhlDFvasI4rx/Uc29bPuIrfqMplrm9zI10Oav2SCx9PxzCEbhwszacxO/Tl
HpWIcH7Ry9ILlUOp3Be+gscw9UPuJK82+ULHQzp4afUiWcqtzQNviF53XQVJoXhjQyWigip5zYOp
uZ80P5vcnEw+G5Pdi/a1ea5rf+WH8tLa4WR28uS50Bwww9Py+faHbATpK3zm3+8QrvOVFT2tlZIH
nIMRa/bU+g4FYkBLIhm197qIH/fTH0vCfjKrwhxHBkvFLnkqZUX4rWrU1UCEPWRFoL4uQkxoMkOL
ELxo+zT7nK4EF8XP+h2SN8PPBZAEl3yZD8WL/TBi4WUx81Ztfu04IOiggo7mh1axLjdifTA7bK/w
U3M07YeqdyePtKDOdZpvzeCq4/fuNZpOUL1pdb/sP9WDo+6tBo/NQopZ3zxWAPTpIHAHMTcT1pYX
y5BrNb6mP0155S7ht0G54zYKUXN16JQ7YAJi+s0wH6e+2/GhdXIlOdFY0t24VQOF2hokP1WAKNHZ
KThvCDhMiqoPPHhVjbelKB0bGqnW4OfU4amnDYdQDQzlW2a8jbolu6i3vJi5ipQgv4tcl3hRTXVY
N7Y9YX8/98+GfzSOy3u9T/b8aD2B4ontQU37zjzyUB7au17i17a2/B/jHxKeJB6aojIWHlR2BqRC
e8eJFFq/LqJ4rNa3KNTsgGFGn5vg0fK5tZKMYMstJ7NycwNsVsN4jk2XvjYvLHY6y5cSE/7OiNyy
KqSHKJoUm4asI/MGb/QLL8mcfNc9GtCPdCan97JPykn3vx27R3qePu+L5+FheogP9FfpoQL8nLzf
dmO/8xm3Pkh4msfg9WntEh9EHe3UvlW799ht3fTHPXg9joPX+zRgh9ENf9aHp/KO4RubO+X5e+tZ
frRnL7YHrMCxO0T3ufNN97s9pCmrxbH2/efUkbHw/G53uPWxQvTUlXUXaZAdCSBAhD4z/pSYbh5A
vNHTvvjqM/X7Q/hAvvTHzj3cnqeP1w6QzAj+V2Q2ip5ijltrays1jLkJcqVzdKhVs3iHknEP94Qs
W4ik721760iuR4qWJ+xOIIpXsJhYXqn0rBjqpuoC+wUDHY7fAdFsXrkny79u5LtWfUIbsHYTaW0U
kIRjMBo2R4ccDCXHGACD/plp53EEvcRUeUp2rHu0CUuw4evREgeHXmrEv4hMLXCTXdts2RDVZVl2
gZHSOzVFxy6LfzSDvhu06tftefzoSayVshT637CGri5he4cTNxIb0KogaskZAr14SSWS5MXHSODa
hLAp7XQsKnOuu8Aapx0kqlDjO9S1l9gqMDKSO0EyHLEfqJgzs6cJbE2d8Rzl2U4PZShomQlhQ5DK
TEu1X4czN9AFoGA+/3J7TT6epbWRfl0UHf+Gqt718sdtWNYDzbEm1RyCKr732tj2lqT0aA5ZkXr8
xUgj6feV2RSudOBtDAJV8y4An+HK9nGc7cgp+Cf4E6cfgLUxDrcHuTWNoHYjaBsBkydke64Hmeqp
VRgFppEus+nPFkhpGpN8vW1kI9e4TuUfK8J1MkZ4T9egiQ9qp31ZnNjLzl/C3llOLk28SZLu357D
P8bW/3/xBki6olwoK7pgdufZSd7YP93sUPf19pg+Bl/XQxKOE2cNZVYIK9Mu/hy/yqiBt07rnxkz
xVqqOmIVog6+h7aGrywBZQMCvACdGr3h3h7Jlpu7NCXs8zGrADhbVh/efq807rT57kXpZMRE21Ys
4B410PB9eG6qRh23SQIry6R4vNonqr5r9PS9621JTCiztG75i/VnLE6nUuu6oCwgex1q0XOiFnfA
Hb0qdSmJADd3AZrMEfwC+o3u32tbtOumLKUz9lodeQVUcQz1fUFQdnuFts8PImtI461su2IQOAJD
X6kLzMTNfdQClK01vsKKYwVWZSv2NSt6iEPdhXjeV1ot/hRN325/weY41/Aazdag4LWFA5xEHCQd
BemCPPtWMgwzP0exDF4sMyIcXLMvzYbHKkbJlF08xne5Mn7iSiLxsRtPSQg/I54GDwH2IWo914sW
gtWyt4wQG4T/BFWVg+5BF4gtgqbOJnW6DJLey09tLFH74egb8NMBtMYl6hFl+kiz0tXwBK2Tz9US
H27P8kbgeP1lwgwArVInfWPhysEj0lMaL3xuAHT/FS4+f7AOowpUsGe9WA902Jk/7ABSiQ41Atm7
5qPzwWegpo43rgY2ILGhoe+Mwg6nAc19GXNjDexGKhRMTjN3qCktuq1X2nWUtWaq8ZoGKHqtJgpj
VhSFzq1R9SsaeQENGz822VvJfPpPVL/hjesA6anwnwpXJGf349UH1JMGggi8q6CHKpKv29UEkhAL
LYyx9Q8175rs/fZqbqTzYGDlJwA9CYRjjXXkF46o6Y2lzI10CLp2HEBw2UT2l9lurOYwZCj3n3lv
s2SP/2bvqmL3umdwe7EcM6utg6YArOXd/qCP5wsd7ij4rQ8DtIiKZXCSLVFmh/EUIFOtJh6oOMgh
nU1SeZCrkpFOfPTCMKaB5W59GazUM9eD7xWuRlpdTIGS50eDz61bqXAcUzrhAVnI4ufNoUE3HCQB
qL4z8R0STkvZ2201BcC6kNNshubDZBD9COKuVBJebJoCNREUvJCkZSKKP0xMkhXGgIHNbHTRoJof
NAqZdD1Ex+HtBducQ9BpULx41hfI+imXG8hOhjoOtSlIy6R1Iu2wViPQDTH5oNVe/NvGNnL+UMMG
i44KPMja4yG4RZTfR4TU1RyQSWGfWGS2g1PSKI/dlewagknWXGWfcJhzN4uiZmfxzmpOSW3l71U/
4OFnlWE+OWVXdS9Zwkn4cvsDP84Gvg+1+ZWfHb2jIh5dV6N8mSZ8nzmD3X9QNAac/1j7sW6BSF1R
ZJDTDXtIjBsE2xjkcWjfvp59a4kspdaVOajR33WHpvz5ZMLKsSvb5DMxxloC4Pvoj0AfgDwGqIxQ
e8Fdf2Xv9lx93KTXvyXEdMgXaaEZGZirJ/09O5pfbv/8hmu7/n3BtYHhJQqVBL+vxW72T3YXB+AD
d1Z9xRcoXeFPib2PN9K1PWEtKE/1PtNhj8XnvLvLIcL2JTX/mZr9BOiobTxPiq92q4JtGrukapxx
emriH7Uha+nfyHZef4ng15bKpFE16Wi2jXy9vzPfzOpeQ3aufkt3deGSgjr5nvWPb5IZWFf/+pq8
tiv4AqYZyoJSzhz07GtVe012aJcdD3coXX+JvsvECrb2PhoZV9Qs5GFwO17txf/SBzC18rZYgiTT
UIwvEwhA8/CRJXXoDFrZSJ4gm/sJOiGA6KPbBKQXwvombZfPuC2XALI0npn8zBKn/hwevy3qoR9s
N/cTe3d7QrdOmwnKl1WTCPc/E8KOmaltoo9kwSvBbHcpSavdbHWyvNX6K+KqXVoR5rHOWRxO47AE
dgM9PTXcl9W+vwcFgBPeQRFJEtlunRJTBevrqk6Om144lXmXF6lasSVgdsQfCJ4NTt5Z9VFVWn3f
GmUwpGl5/It5vLAprNygNuMIdw2bZEiBGapADVyX9uFvrKAij/wYgK0fWtYQendWl6AYrBndfW4v
X0dAlyRGtjb9yjXIkApBOCg6/CljttUTVJy1boruI9XaaaH+nFt24c0JNSQTt+Wi4e0Bv1rVU9CE
eH3EkM1UyrDiJID6LnVGu+++Y5qLB1r0tX979jayp+A3Q2JxZTcEoaItbIxoMBajDe0lAApSP05T
kaOy3pYuBORmt8hI9Dp0KENaY1U+1E0+n6yRmZK4aXN2UUrXEcfgDzFuWvtUVGtEKmNBGvWUZnbn
JHo/exkSKW682D9uj3nzfIMXGM9VALYsURVxyTQ+WSFY1qxhaneQAIf8VFMpEse1ZQVtBeBbgRQd
IiTBi1CuaDUdYxKU1vgEyVDoDLH++X8/kksbog9hvWIlOfZ+xhXVSYYucgcmK21uVM4BaUOUQ+ER
kfA2hZFYmVXYOp9gBQn9E5pv2zvLntkxnObuuSfI02V2y/wmssBgYzSAm0az6ahhNPs1cN8+TRS2
G9sRsrY1qN17xUw+R5WRu3E+J6fbM7J1dEAJgxIHuhNtoAmvjw4q63XBuEYABw1DL8P1FAwd+J/6
NM+CvzEFSWfgm8C+K+otK6lWRG3GSNAq/exqeTy8lK1tOHQGMOS2qc29ZEMKAw9hpBxMIWabKE2S
vNWxl0gfPSxpuviG1pG/2U0XVgRX0EGKz0rgsQOIvxm7uK/Ko5n3xv72WDZXiEHNBZCeNTsm7Flb
y6chMyM1ANEFCDkHQAmrRUsfkKGS6bZt9N5g5/6xRa/j5v+qDGByUsUmAUeCAQUhuymGszrN5XiI
9IX052FO9NlR2mVoPJ3VfD7oCSOto1pLiwp+TntkzHLDdEhC28jpGopO6NJI0bfwN7NigYmVQEbH
FF+pPSl7pVNDgn65rDqpnUW/zmRsn8K+ZJIKzDrBYuBhEzCjre8XAKaFIwKEnFV1LFMBdtRepoW+
N7X2HNMgUtEPguh5hZp0kpBqa9FXmUfcMdBAgsL79bFsYmOppxY2x6aKHYXWPZ5lcbwDliKSmNqK
dGxwa1FULMBqKV7VM8KBQS0rNYjTwknuOtObQn9od80oiQm2DuWlofX/XzzBwzDMtNQu141cfOJx
4uYRl+ShNi5GXE/AcawKgGALFZZqhKZ5Na+7ImqjUwF96RRkHw4dOXAuL7c34FacjYItXCaIdXSI
LAnDmYcG6qwDhkN66Ctp0eCZXWzskqmZHmyjUdwuKcdz1xgo9FP73uzt+QtX9EoyqxuNIEicoDEJ
sSr2iirmk6scrdTRlKpATZhOVOb3k4FWfe21gWQNGg7c+mR04PuJNG+s4js+mw9t3kNbbnjkZXlU
imiSHM2N83L1QcL1VzVgzx619bzErmkkOy0v70LMQg8V0WycQSsMjUbv9mps7C3YBD+cBXeAN5Zw
XuypMkictLAZcc9IP5FC1jq+Pao/FoTgfMKTi3UNLBgNBO1zFPjYFPRj8tIMDZIZyVM1heeajZJ3
yFYq6WpkwjZbkOWt8qZTg7n4YWZflIeIIZe0zJ9TYuxLiG2UHUQNEhdE7D4abB+y0kmYhI91o2iC
yYXiE7Q1EWYzQwiwi6VATK3ARwCkpQO2Uimjm1kUImwqsJsFRxoyPKVmtwvVyXSKVD/rk4wGe902
ghu++gZhW1ktbhQ24x5sxqx/IwrBy68Yhv7LNCBSWsD9fR6zQfMWXrQSF7npVi6GL1zB5mgXarIO
30JzgmJ/R/TqGtb7ksvSyttO5Y8l8QKumzqNgGCGjwwgLJKmjvKANHb6Wn8eH413GY3Kxi2DKQVJ
FqpROoIl4dQ0YZLEQ9qogdmdDT1Q2p0xSzJxG7fLlQnh2AyDlufzWMM7md8xIpAOavwtGm1cZ8fb
LmB7kf4MRjgoHR/paJo4KBCkB2DoQG3ulGb5mE+SgGwrvr8ak3DLIOacq4jAFfTI1NbZseE7szVc
3fipoWypxCPkZ10l1aFNwHeTva8GLF7iNcYMgTnzi8H1nzQhP24Pf9M/XazlOj0Xt6uKt5nKKSba
Vr/FiUdCCIcvpzH5p1UeC/VRjyUh9tZDGGV7pFhN0DSjBVEwWPRpkiJHgbhhcBrsVR2kCW/mD645
NoBL1XMrQ8Vue6ELi4IX4uVC5mmd9zYO/aquHWth+yp7gtj83lDeSkhj9tq+KqHD1Q6vtJO44s07
5sK84IB6Xs+xGfYrApM1+9hWU6eN6tS/vY5bMTjmFRAmkOOv8FhhH1vlBP68AmZM29VejgZO/wLG
rrPmIFsDrg1X9ozZPKIXBoXt3Cng+lZsHBxjWJw5b5ze1nxF/car2OuWr7eHt+lyLowJuybquypZ
GNawKqt/2j4vXDtVVYfneebetrR5IC4sCbtltGZrnCdYWmjnc/qU2X6jH1rzzGa3qhYXySiJxU0P
dGFR2CCMjzwdLVi0hmJvh4d5+Npy9NANu9sjW3/nw014YUe4joxGUyEvsy5Yw504GNM96QwnMiIn
S2pP5b0koJOsmZgxRJ99mnUU45rMYwuJBiMsnIVIQneZEeHJztUyCecEg9JG5gOYk7HFCcnL7Zn7
H1zIv4dLzN5pSjyn4xpNkaf2rfDq/XP4ozl8Tx9qKAE93za2sR1Q+9e1NW+Gl7v4GOEj0/sQ4g1B
2TT0zNBO8RyWlLzHEOn0opHR/31WcIU8oNEKbx8GJPv1DWCkut3FNewN1n6mdxNohxSt2M2Kdbg9
sC3Xf2VJiBtGRsoG6UcVBDK+mR9rhg6b4j71jPpbmz8C94Y8tmQPbpxmZCAtysBhjPewLpxmw2Tq
VOoz/EaxjEfSVFC+b4pix/Cq9bueLM/KaEQqSE1j7RhNhkxvYysyA0EzBCgwtybkWNb9e3G/alGc
dkg3Ibx4TX/UrTN9pg/jV/6JnLuHQvaE2jgMV8YEL6kMeWeWsBa0SQUkfOPnXQYEXudLFlJmR5hV
zqyy0kvYAajCo3H02Ne2F9nLqdZPVae6GZjgKKeKg27dx2pkRzvLTiTO9hmek+osawoWPgdc5sjn
XAgiCZ9jTQbInEvoLun5MHuJYj71SQHqkP7X7XELm+k/dlaJAlTmdbSJCXbQFRwuC0TMziUP2V06
M9tFvpZ6dcYTEDaMzb5BS/6x1GowWKMd/7Z1IY74/9apAWw5NE0Ad7veSdnMszACuPw8nNm7LuOH
Fy6H378OyULUKCDxoOMxfP3raaxloc7Bv4242wf+6ZjQzh3bYcerz1q7L03J23BrzS7tCQE+m8Aj
YCmwZyHTYiiZW1alY1Zfbs/ZuiIXV96HUQlBUVm1aqGoKjQKzQkrxO6Xlj2aXXcaWHVIM4kn3Voh
vOfRZAyQBHrg1jFfnnWmsjnFP+fGWIhb8mhy8Z6VkbKLbvQ/g4IGOJKL6IlEnvraTFWWvMsJRNxq
Wu4MclBKb2Ucs0EmbqJOluce0k9emyqS+EG4mD7YFbxLVcU6mt2xZCZ/YMO+4+2OVZ/6SjbAzWm8
GJ9wzGieqVpZryJ1EB4LZOnEzY138etCtKWwseiGdfa0dtUfeiMR8e1MlRzWTSsrNYeJTY62LOE4
jRVN64kqOKys2qN7GPRahjNWkirM5va+sCIeIkZjiwBSdqbqqxlWbqdlkGkjfjn/bPWXvzhKDHlL
dCQDSydi9RTSws02JDvjBUIdnWaho2cJ8bQmSvfQygQqqsra/W2jW9MIQNTqcNeOEyYUFqIiVLHN
kgwM5D876FbmAyqm2dNfGEGZBDn6teQsduuHGC6v7CI7TxDCGih5iDr6MM3s+baZrcUCYhA5V+gQ
QqhIWKyB82HWsjo7W/Mua94s41xEHrqfvexvZFIvLQlebxyQilM0SB1i3x3j2KlTiSfYXBa6Jv3R
Ir3u72sPFI361FcdDICI3renPZmhdxRJNveWuwFy8V8jwhEyc4X0pMfrvGr9MPPL6GQV+2WQvM43
h7K2awHUjZ5SscNIHwx9yciIxW98Uj+kkOOLcZvfXvqtoaCBCcIPwPQCXCP4nGwpQ4iy0OzcxL4x
3bPQZcZTpvm3rYjY5d8O+tKM8MAjAPG2lp7kZ8S5hZMPy+g2i/pNnUuU2pbQDCHCyXOvNsG+N4U9
NBk6q3JLQ+kd0oUnXoK+UrfmYp8ao+J3jQnOA4gZe4O+DC6dBsOfZ335fPurtxbg4qNFnodGrSro
Q2NuRpQM672++KoM97AV21CsLxA5CN4gEXa9XcH3nEZDA/XWyLzr+xdA0h41ICvZYDlF/3PUG8lC
bA5JhTNBfhTwZiIsN4jfyrJXx/TMWQfxoI6SO70p0AnYpFTiILfuSnphShha0xgA4aQ99MF9y5dx
cGyPY0WjomCFSp9w4S/52KvNOm85gPktt9wY+Q82Stzv5uFQ/1hZ/eZF1NToc7TkBqy0GlRYUJWl
c+6y/m0x++Avthq2wZp6hEFRY7HVVJT5lCE9d8kbtZ6W6GnM/2YwQEGj4q6q0E394LQg4piDzPNM
05d57Y1cCsdkT9LweespQi/sCJeJwdpM0RbEYrzXfVolrqGARE6Z3RZSK/FMXKZC3uF/m7z9j4cB
Xh8FM/SZA5JxvVZzEtF2HhE8zaDIi8GN16h7SAuilHIwi8SNw+9QinPttpdtxc19vkKWkKNAXcsU
DFellk6gDs3OeQqIW/iLgW7gLzbHhYX1MFxsQ+D5UKFr8bibwpdxOqEi5Yz9620bm44IsGmkAVaR
RhERFSemOZopnnB2sSeJC1ExXfUZsI+zO6USz7AVbtALW8KMteOQzYkCW2gu2y3l6EzGYxjtLaPZ
aTSXTN7m8jDwepgrNvBD03NsLkimzwih7AhUZQSF+rLMJSUhsWno9+bDT+PNs4JaPqBzrMlsxq5J
s3NEn5jdopfaaZMTKiVviuZ35asRpIZL8i9h46doN2x1R8fWnLwKAg4ZMlq313JrfoErxWEA7RJa
N4WTDhjJMk85h2ABOIIL/qQN6LtnUJXmT+PEJAHElicGrBSsZwAqInYUAq4y1FERJ4gd82NJILDH
7jnKCLcHtOVS1oMNHimy0tEJB2BWWRVO5ZydUbI9pSlH61XuVw1xMiBMMazc00FgUlJFlrXa2jwr
6gKSlpjHD0X4zszAgEmQviFjAab7yh2n7Hh7bJuLdWFCcJfIR5m9EkIym9guEqGBSu9TvYFOAchD
LF2yWDJjwsnjUPhVFQqxcT3fZWN1biJHb5JdZIAj25AVD7ZcyuXkCaum9JPapqCqwjGfH2m+ALpt
ODnI8awQgA3IQ2nSMHNzM+qUoZsYRI0A6l57Sl6yJtaqNjvzFnkOp5h5CXkIhSOWJLGmfIG8LZr4
cpsXhUN6ldWgQG87r5xL7d1Ax0rtJHHNKwdhaP+dN1b7ic9ZkvorGequWvLFLcNm/BmxlTDBakPy
OZ6sJHTMPgs/9blqhzjcQ5PcK1ku61zeHtta1YZWMHjihJBHtacs66vVx+TID6lO1KHlT5bJ2zSC
zD760vAX9MCvJxC6ERGZkc47K2HmaAskSGqHGG+3t/zmqQIpDRjo1tfNb4DIxX3GlbzAiyPDIxBc
qHeJtcw+SoQyrsKt4A3+HrNlgwXnA0tZai99Y6t4pNWo/41eyP2FnjpVcnw3x2KulIho+SK4AK4n
LJ7aorUsuD90JzK3/3x7pjaXwyKYKuBLMQwhyZDaLEtaG79OoXCYPljgGutiyc2/OYILG4IDJ4ZS
GkWCF3M7cnoMy0KB1qXderdHIqJ+/nNFYrVBBwJCWrCCXE/U0inhQpf1zQxpktz5aqPwO0QQJDo0
iZNnz/QAfTWX9Hv6ctvyls8DqtIGvBMNW8hQXxue5jmezdzEBZXw2W+jvkWhtFiOyrCUd8pIzlCV
Yv5tm1vrdmlTGKzakyJtOwN7rxh3C6nuOVLXLXDRt81sD80G2SjS4qg0iC4haVs0WFjZOTZ0Dzz2
Xp0ankaKT6wnaFeW1DPFgtHvJfwttokmATRSik0JBRkHo4oG7HXmqMNDrHv1qSl8E/Ss5r77epDx
GG/NIjLJOrrn17Y+UTTbmoooyjskDeryE3TDkRKlvpLKelG3JhFchuj5RsUN8ZKwVlWiF5QP4Hav
KfoNgEuAvmbB7gbCz5WUqWxzSGiZUjWguNdiyfVmLJcET8lFz84hiOWQU+hGy+llwvabI7owIsR/
immGyLZoCJfKyU2HBgxyu0Wf3DC0Pb1/ur0Ht0e0MnwZdD3Ywh4s5yJFHyr24ADFjXJ8mpLGGSZJ
wk1mZB3xxY2RliwbSQEjWY/M+AJxjYF6lMj692RmhOwI06GTWys4tl3vTPE+AyOgJACTWRAClIEv
cwvlX6SUQKReDRTBawulEEnmcMul28a/ayImruaITpFeY7ps2rpD3zrN8hc1sjXAQtIKVQR4n+sF
AZUiLUNrPTSp6VjsPU0zD9KAkrh/c7ZMhkscXdvoXxTWQwX1DNMVjIOSXwXILZLexQPu/2hEWJIq
yYFpyO3snLSQOKP3fK7l5ZCtYAR9Ff89ElGyLoMqQB2vntpWT/VbHt6puR9JboNNG5ZOwNhpoWdR
ZIVJQ7BEtTxE8Bt/0ftfhb4f43NtSFZeZkXwYOpsJzHoN+CU/x9pV7YbRw5rv6iA2pdX1dK77Y6X
xH4pZLFr3/f6+nvkwZ10K7otTC4GmAwmQLMoUaRE8hwqp9JrUwXX6YdxFHgVvhQHdAR0gAOQadf2
1Y54wappmh87o9yq8T7rnUADdLb6ftt70c1lq7Dod/9XDmPHEdhArabO8uNaobXcAToYRIjo6Lat
FAC0H/kou8ILl0g35o5dDah0g0cEufC31Hke7ix0OaHT6bZibF/QZ7BGQh+XAspjobPW0Bc6wiXW
4liuD6utYjqRCpTLLu9drcd7RSad/l6vT83akkbT/dvSeQcXsCjEbZCoGKgHX2+fvpZ4pTsz2hHq
DYowTXuykpfbIri1ZuTcdBUpF2Av2fYVM5OVzklR9avBBeyqcr7Rk+XOGju/yL9oy/1ggBwLE2SM
TsStyXnYAvZPgc/I3KPIzUSjqZK1fIjg/NbqVarI1BAj3/eyi/L2x20lOaYC5mPAnnE1+Zyofr2O
a6zEyzw3+TGdjC1Sf5hyGOTZthRl5PhyoAll/wArCd3Pi/jarGDIb5Q2P9q69Dzr3fdxsnblEu0r
PEcFlsmxDej0Wxb9lgtZkVw1RVb2+dHq90biQ6t4FPgozgXoSgSzQWqTGUtlQR0QqXRukfQjUbX0
oc2zczbnW6C8BGGdE3ABY6YETLTuiF6Va50KTWu6SoctyvHX1RqILSprcvzUlQBGo9wG9m/ucW9c
JVwY/UZdNlGxsx+iKg7Mttvo9ea25fE1QmpZRtsWnel9rVHd9oaSq/SiEpnvkmo8AM73dFsE1+jQ
7/EPjwBi47WI2VktaV6gUz+45a+6P0TONqoFQZGrBzpLKewdYYTl4Jo7OWwkGQ6+nIvtaBtBPP/3
yxZC1G8J9Asu7HmVIydskhxnJzYJajc9+tRvLxT3xFxIYE4ncvNasayQYKrnBu07efsLxdS/EIKq
kGkja4ZMOUvJY6SWUkU54kVhHeofA7C9/m0teDtxKYDRwpzqRc9KCNAqEmpk+o/d0TTg4V0lY0os
KlwYY8CcQbmVRx1lYiggj0AKGJG7Ls42Vy1iLQnRp7OyyI+GKqLl4lnxpVjmoAAAnYM7s8yPcXiS
u3dJR/4b4J1IVGbixbsr/ZiYOiMFlZoq9EtzOzmGpQo8Xj/l3mgkD7lxny/K/QKcVDmBGkoqQhEQ
kRf0LvVkrsmRMg66WkN8G96v+dM4TWQlw1L7i1G5XSjINfBXFQUFZGxQtlGZO1IydnFea5CmY/AH
hkWouifl+9IQjTPnykE/Mx2GBrIPtmqIl7IS6w52Dz0W67A3qn2Z751MYPrUtJlbJm0DBY8ICA7w
X8zWSZaettGKMA4R4XSGJsJStUgEsz15bHVWRG8Kug4+XzuzvlrIuoNoXhAX+Av2ryosTVhmOVIk
2witWUlbX4rJXZvA+StnhEHYlKmY9n7Tr7jwqXKNJsKmHfNjbz/bke3BHU118xdBG4whGIaC0Irt
V6+FKIvUhlKPJdMkqfSKBsUQKTVqwd7T8//H3n++XilrFlJ111KWvlQB4YWUTjE9bH4oPzTKvi1G
TxXhCXkeFqEINRzw5KiY3nQtqpCmErRbSn506qr1HCuXXeS/F8Gy8SxNVdBMinE54Edk25KkVTVG
ABvghxIQemnh66omXu7Ioqo3z9LwesGxRK0DhQLGBdRjb1dGrsGi0e+zySZia25iCd6ZXGWQGv6s
RtBr9vWS5UrVgj1XxcnENWR86WQPw9Vvxz2eAYA5439FWMw1Z8HY8rgHvuVYKPu6TYGhOZnRBnT5
rpOJcpk8C9Boh4eNVxcefaw6WpI1qzEWx66JAjy8aNr5tjZcCciTUkpg9IWxyJkcA2GRAMBdRJMy
ItWY6PYXzXVgfPwtgXn6F/U4G9rn87j73mXFvhw+5Pw5svLtbU24AfVSEHP+48hKVL2EKmh2DKP9
knra2XhGnnkZgRr12ukvbliX8hiDTgfNmVp6jaNLR/s42nNhCV4+vEOjy2hAwF2INqMwxmZnwzJk
Jh5XICfaSK1Jsi4O1v4trFqBNlxJ4O9Atz/OJwhQrk9OU1StNShw0Zr8UjUPDrIKiYYaWCGa4sA7
ogCgglwWKAYdmZprQbHThyB+mj/fi2Dl2sEYMmFY45n1pRDm4MALZHXaw6lFoFvCFaDrTcF6cdUA
hInWVfHiYWlpUn0Ix2GEhKnoSI+aZGe8y4bgLSISwsRNLVIkE9RG8JlJ4TnDBz2gzjR5t0+OSApz
5Z30Mcq6BFLqMqq8fLQtd7abzg3TVNRdQtedjZ6YiwbvCbC+gaTL9eY3i17GAG/iJf/N/MgfyzUj
W8yK7dqvomITz03rIL74Z6ITRsJfS8rl0JHKNS2OTrua3lq2068uqm0Sx7J0Xsry+2gOIggY9wxR
fDeFf1mYI3UtUwFqXJfzrEAoDVH6nN0264hWgndjer+9ZTxJmBKiwv7AfY7E3LWkRIpBb13mxVEx
jh0GutbxGZQjRGoFUxF4poHWLsrVa2KoNduwPoPcBfRTZXEc/LBxf7T2X5je5e8zK1aXo2S3BfSQ
rcNQHdF2HY0Pt5eKZ3KXIpgzBJwWGGiNAiLir/N0AN3wdECPrjto7ygNuEKkBM/1gNMQjZkOrBwT
oa63RkFJqMT04AJndiGrqWMex8ttjaiHZA8R2qc+2euQeGPv7GrXdnPUQqMMBI1DhulS5rfktW0D
26rcIhNNseYGVjT+0BYcYArg8a41KlbcPOuigrywe+iK+FyhRBDJ/SFNTYnM+Y+o/MCsKyVcBVvH
s/JLwcxStmOoKkUHwV3cbqR1IUsyBmFxzkWNwTwzB/yVJrd1PFJZppw+MYxycWDm0rCxqn04bP6m
5IkunN8iGEsv5HqdO+Cpjp+LlbjLsB+jj9uGIVKDMXWz0cCzI8MwlO48pX6enCwRtYRIBON4zDwO
ndaGCKwUcBJYKb3a/40WtDsGmXING3JtbpqRgrmg7YujqkVrgAm+ittq1oexKJF/WxLPNeCdiHQB
IgVKn8wtIY3KGpM6Icme+wmYDGXEQ85AR7HTzrJrSVF/GkKz2a5Nr7ytoyoq7HMX87d8th2ozhMz
NSy4ClN+w36F2fPf7ZeNSVKUhcz84+z2kZTTOiaOkF27NmhJq9XVRdAA7jm9EMKcU8meKCTaLo5J
NG0ikNlP4zmx1YdaxDXEXbALQcwVPw8d2VwKA56o9CkCDZkXqxNcuXkXB/Dyof8bTEK4DLMyMvCS
NkZYHLVYBo37qcOAs1KWiC8IfTwvjhhBy6EynsV/pMTK1bE6SfvURVKJ3oAowX4a45MwIvE0upTE
XLqM3uxKe9QRAdXIi8vnsPnQ8zHou5DU4/b2keI1Falgg6OtI4Cfoefw+vRO6PjW4WCh1keVkxVQ
i4PmPdiDi7E6+Rv4mwXyeCZxKY9RbiySMVFSmIS2DkdrNGfSgH3XLk0CsjN/AXwAHcXzZnLesy7D
oAl13w/GN0ed3SYzBZ6Lu9DIcIDkBnRryBBc6y6HI+hd0rg8DvJ+irVg6ELXKg+98RhOIkZZjiy8
PiheCSk1JMsZvRNjXmwgV5OjVDvmfbPIJtGioiDSBECW1RWVRwcSCBzm57QM5uoBxlDgy3ANULDB
zOEwCvDyalGbYDw3hte+VEZQmGR2SKPeL3XjO1ryoKSnXBqJnL/NEzLKylelGvw+/tDKIbi99xy3
g4+hiV7wEOoq23xlThjtYYx1clSdPigDo8NEZ2mTNJXAxvhyaDYJIQIhnLn/lIYRy6U6JMBrpE0A
1E1HdD2ZfeCxpi1gbo3AM9Ct+2OREf3wDy74wERdm5EkYa6wg4U+LiDsJGsWlt4wG6pACufgIEP+
WwrjtFVLTywthRTQjE9lG8RJUIIq4/YWcYWAapZ2LwH1yBZxptrCEPN2SsAyWG4s9aEAqVaY/M3+
XAihR+Uiu1wXJZ739ogiCrCh6VOovcek0gRhgWsEtCiF1z7SMWx2OZMKTOWxoMmoavtM9t/XxbXb
TJBc/Hwd/LH3F2IYF5IsxqKu4Zwcowxk+8o+M+8TXdrUxuJOvf5oo/ylRmelfF5kkPCbrtPNXth0
nq7eYTYnaX1nPlrpd8zCsuwt2IRwlo9S1u2qCfNSlXtjh+5Zf6glP+xOtujmxvNJdCIHkoloFEEf
zvVGjOrUVLGiJce8Iq10aHbZ6/iOmTv/3aYupLApy6ICk2WvQwquoLjbuVmGN1YvGpTF1QV5ChsN
KSgosGneGRzSWU6llJobosCzYibGQ9h/1a2n2+pwBYEUEncNILVxgbleNDAiSgPmYiVHA+3UD7kd
/Wr7BCSBYSFtjGhBBrtGGLktk3csEaL+lcmcmDXGbPJugHIIGa5ZfJ+VfTIIYgXvwABNDwgV8pYY
C8OGin6ekIhP0iOKP6QvTp31o7I2Im5YnecsgVdCBEAeDolSRhUlzWs1KiCm8fXNeJS24FoovXBX
P1TutClTEhGLKKRyMZoziIPMf33+2rra/nn0jW300LqdSqadtSldnB4322XeS0lKN93ku/H99qqL
PpXJfI7LEIeJFafHpMRdqPsRa5vbAnhNYhgo8nsxmAMozWOXqyEWQzOzDepxgTljeIr8hMnB/lxo
6GPZt8ZZHz3LqkBNKchWskSv1G1div9EjV844nDKolIfoKB6tr5ZCRlW0r2h/TJ7tu/H7+G3/vt8
18QkPiPld1tz/tJiXgxax/ANbPY60ttRTvMKHC9NBDx6XtZeDGp6wbFheRX/URDd+TZCGYAoDhMz
zbBsELDb9AjGEyN9CzGa3jLTbT2QjOhdApJpC5RgD+Xi9XP+RZ+2qEGa2RgA4UknqC3CogfPeSCr
8O8HMYfMKeawiyIgmq24JC1wD7Pizqrl6qBAXWdBMOerT6krcNIU9N8wrsqI40KOhxLm1YGhLsxA
4huTLPwW2yQbTtqp/DGrFdHGQB3TYD4pX+QliJSHChmbUdSixdX84luYc9+kixSBPBMUMaZnrT8n
CdPEqm1lkjoTVa95WBegHg207CCrS6+B1y46B7myY0xA2YfyuUxtYHZ6kiknqdmHixWEEYbt9p7l
PNWJP9fbRY+JOo2CTCz36n35Eazt1QmqAQog5XjBT4cRXstdu1NEkopET/2HM3vKW0oWAB6euicR
9o8XMC6FM3YWo/8FpKAA/4MJ35vNN5Ss3K4VuC/qndi7Dx1coQHUg0VmL4sOhi418woN212Oi6+K
2c/lfip+yNpxHL+jteMvIhRwKJ+MzMiOsFk/jFnEzEgD24rOxSZBZRJdn0mFvI+oM4GXQQULKUZe
0KQtngXMrS5K61BCC156LLPRLeMvjWK5tJoXJrXrjABxwEvjkfjltlPkvcU19E7hEoMyCBKbjN0W
WpZaRQy461w7QbPm7poHYftrwtiGY5Y6J2d9Vsp1nwquyuzYpH/cJG4yaHzGbRDVkOvzoshxreWT
mh4d9WeqzigkVj4GHpCpOpRx5IE7Hr1cC+kjE8MXV2Im3RZvLEEmgnf/gBX9+xGMs5rDMkk7AwQC
svUVHXfuBJoCQD53qSUwI57Z4i6FNjV0iirY42tttbkw7EGNMmjr2X2wfu9zEo1u8tPGWRS8D3hx
DiUFQEHQF4cxL4zXA3d1Ia2riadOYrxXdTu5sZRagjBHP5g9hxZiKEB2dGqmyniaLpvWAjEFZmP4
6nyOG1/7XsVHzG4dRMVgnhe/FMX4FTTAoU5bQ9TkVi/KMX+s0TVK/uIYXAphTp9exWuWTRBiqd7b
MJG6IKObrkRNXaBi4/NtcdzVA/kk5uoZmDj4eTguLkFWWtmpHUFaaMm7RaflZzKfo1kBQ8dIwk5g
5jzPTCcKULQWnYDDnHHLTlLaIwSnOWmJWzbhycnzj7ANRcGft1XgCXUA3KOxn737LGYUOZkMvpFe
a7eGMnpFcVj7zdC4SnzIl2PUYDiDeac6L3Ss9BTksrntRgz7eYoUUc8S7xjYIBBFszH+wMik6yM3
V5Pcgv0KnGdane1sq0/9JOoUwWHjHWwcMnTQgtITqAvGg2CytLbUoJY9rmO4iXPJLxO068ed58wJ
6ct914zn1KoFgZ63oQD7YAgk2MDwpmGsFVQ4AH+gCHKMMQsNbA9WnXnCUMtbwEsh9O8vjFRRKl2Z
0EN/XNtzvb7o8So4dCrPXC4lMFsUrkjYGJircoyd+8ocvBBAfaOo9jJIJUprJUVEn9XFIO3j4j7N
ThJurBkGuzfZpi76CRA3neCV7095gjZO6y6dfIyEDHTMNgOXq9JuezWwEhFeXvTVzJZnSysBPE23
PDsulR/NNgnztyR3+0zk+vj7bGEcHQ0dOFXXWwCSCIwXdhAkwQSAfqWESEgp5kpw2xtxNxrN8kC0
4xYAQMO1lBX8CWMWQkrcYrJem7hS9nBbAlePCwnMRkudgkGdPZasUtCoOpmuHR+rUtSexJdioQcO
eViAvxk9hkjPi6HDqbBmyxtR+qE5rHnZ3NaF57sd5bcURpciCZsY5APgOlpPamh4zvSOot/Y5riM
eqUcCeb2UGtiAy2IlzFaFh0xyOIz1laB/VsvHHCFJOUd8nnFnJ0GsGyiUy8SHEfu8qGtCulrTMj4
Y0JQ0oZZ2YXzP1SUC24MzvSsKiJmV64+F1IYfaDqWlmU2RWTpvx8WM72SKuo+xVTzG9vFM810xQj
5rABp4ye32uztsys7a0QG5WbCdxJ5TaGa+TfANWo9cxXRh8Z0tsSuZ7hQiI1nQuPmZRWJMUJDlJX
jV6oqsHiNBGxx2hb9fHXNhSVWrimaKCzjI7LBvqJMcWkyoomW6FhVrYO0MutsZ3NbleWWU2aPMJE
Z9jTJp9T0WOFayoXgplNjMGEOScl4rxJIebDSdXfAbQS7B9XCCasYYCzRnkKVWY10TQXriHYckNH
26AjNEMWpTMFNzHuloE5DDVceD+ThcBEYdwBKwafgQIoGbR0N391MECg16uNkw2CSzM7FYE+enRK
r43xjnjkoUP8WiW9DMeul+AH7TohsbJuwVfp4KU1oiKek7hy45O8LwjmGuUby/St5sttA+UcPnSK
ooWbjl3ULTb5FkeapBh5niE3hfS7FtXfmrhx62qy3DCqBJcUrjAkW4HAQtJatpngZQ3tnGcSKF8m
eSm9uc1Ht+oLzbNBnObjQioibuLKs9GeTEk/UC1nT0NmGxie0oMCYdYAcB2VPR0yLq+lrybxz9sL
ybFNdFpjOq2i4VJtsxnlorHVWsbhQ7kc6IEon5FWAjje0+swFRiNSBTjVDqMNoslUOcclRAZgGQg
ypySVhHhVXiJWVgmfAml1AXzLHOmpyipF5QXgK01vyQEDOJe9pTtZBLeV8faHQNjL7mYtLW7vZCc
83cllXHSuBakUiHTm5QbuxZ5tzaZd1sCPVNMANUp7RAuBcC6Op+X0AunLOXLWAwWcJrtNIJ+RrYD
oPJfb8vghBqENKCD6fh3+GLmNRxPUWnVBpCTeoPZOWABOchR5q+Vr3WKXyXFK6ijeunjtlCeYaAz
BCNZdSDmUXe+dibLlKdVpdm4hwKXlbVvOfL4kmh/OCEGxS0g7JClAWCCbcYtzNZKezygjn3UYZqF
GsjRF2MfW64sPQvZb3nGgI5fOAswH2l/zH4olsGU5BXCqvKlcIwgedPSkExp4aKh7y8WDyggdMxT
HlZ21Fpf160MehHolVYawexyeYMmrMKt20U01Y2r1YUo5rEmrTneODUOMIZ5gtn2bZq+LPZ9izxJ
8zf4JrTlA8ALegMTxQvmpT+M9ZAXE9Ryoi+jiU7PShdEZV6eEqGLsn3aSP8AEH9tdmk2xdakIYYA
RUwip8GdF9Pw2sXNcokk3bpJil8Gkt+O/BeYWMq1iKe8bgPcyxq8JpnZFKUAD9ca6V7HxsWT/rZV
8EKIBlIgGw4Drv2PpKQ1xSkyauDFWvKnfJhJVVX7JHX8RFQG5x3eS0mMtx3jZBlSE7QzUd/WrpKY
NUnDWXVtI5cFDlAkinGx2mqnc1WBh6SJP+riY2zfbF3Q1MRfNzhyHF0k503G/7Vm4eSVBW1kPXUr
iQ6q3JdVFCSDIFzwdUHTGH0RA/HL2ndT52tbQ5dp9sdqm+PyIkhM81X5LYFRxdbqqNNhaUcMwv6B
nqHw8DfoFnQk/RbBXGzDdWiGiNInheprXJN2/L6Kgp5onRifAyqVMgaXIbgD6p0eGI7vbG+fFJ5T
A0EdJSm3EF5ZR2PWS+wsCdg+MFWiHWoSNqcs3E32+ddtObzofSmH2Y5Wy4Y0KyFnxCAB8KtKabH5
7xJAio0ECybioCmFOR52aDiVNYM5q1U89MMs2svt3/9s0mQvIJcCmAucU0+SGmaUViEnndb5ql9V
Lgp00dZaH6fkYy13KcrvxepPY+3WX3twNK9uk78thUPSfRrtag/8wpKIAIRnIyCeBmwU9z20eTGK
L4uESaA2vsuywUgrvc/RWdiMy9s+VLNQQAPJCGIt4+amRput0XIQ+0rM2wTsQDcE55VXcMbN67cI
Ro0wUgunkiLghot0G6knjMZyzdlDp/59mKL7XAtloqDpcW6e+tYmzWNWecZibSol87T4i5Ec2lrU
18K7NdGeFpgVugDw2LqOkYtWj9k44Jsiqzqp5mO8/FLS5qCW2l2r6TsMbBG1qVMt/zAytLfQdw/F
mjELncurOoLQEXwR1YOiNEFt/RpoRro4mMXzbYPm9Z/ptBkepwUzq1X2YVeHa1XVKtizMA94Xx7l
rX3SvD4wDuNW9TCizi188zE59ffrD9AUejqp3cWT0NbTu7pXBNZGJqYIo86rv19+FFt/n6VCMaMM
HxWqOER6usW12x0dfZvI9iZbOq8HCaU+nOZFd+0kOZfd/GD39ld0+ga310f4KYzPQmWkDzsdIUS6
L7bSNrsr9mGgfA234J08ppthlzzelkg3l9187DpufkC1gy2ZEaiHWa3ONGYNQLPGE1Hnr2MN2nBB
9oBn1ZdimLhVwNIxeg5LPI+PauMmlY8gnG3hn3qBJF5VGiN6MTscryoAE1iiJ6XVRy21UMMcGv3R
MdpfTtQf9NzoyZo82bqXZX6JtoawtTylNQWxjecY8bTHQwQvOgVR4fr0doNUqA04fo+ZtglXy236
OJgrUVc678SiNRutDGiERIqSWc1IWzSjSdHTB1dBzLSR0I1ZAkwLiEQ96j/jThKUqrgCUa8FcTcs
Bciza7WQmer72cSaxjt7ZyRB4bbnUpRG4K7dhRBm7RR1ikDUrKNrELWaETSEjfOm2oITxosqgBr+
qwn9iIsn/RqPaMA2jeQYEMHWf1IzsEfp8qcZPzrUnZXV9KcXP/cKkh20TVqjQ033+qP83p3Lh/Wg
fNOCdKe7eC0+gA1ho8zPfbK3Ra0nGt2QW9/CRDZHbvHYcfAtTuxFh/hX7BrfjABdU6iE5364145K
gMBWBtMx7g/zBj1F2YN+KF5nv7oPfxb3/V0WZGR+dtBs4N12OdxbzeVCUWdxsQdjvMphHMGa4N58
sMLCH/gRWO18TPEukPTe169OT2wYtLvskt0s3U2/ej/pXXlrCR4FIsNmXqSWuqjJSg27QIoqf0m8
dBcL2hZ5Hva3toiz19pKct3HmEIFs/aGkxm0J8Fy3rZo1OCufz8x8ko2JGy17PuRe3urbi8P8ALX
v13q4VQZdKdwq/xZeasre6LJX7dPvcH2LjlSFuKCh883zYNc7Cdzq9iCEqJohejfX9ibZK7DlNN2
ZGnc44ySThFNjRCt0x9eJYxRwaHrlJNRAy8opif8ysDeg/zG7R3hFb5BuP6/Dgy+6loZBWEvGm2I
8sLqTnU/0Gj7mnrZneo/RYfpOWnIOzga1SB7UA8LXtOb7Nv4nG9FqF3RmjIOJpVDXc/QEnJc7VM1
45YWiy7n1G7/bxeGy8O1oqsiR20zIBzo6LfWSOYpL/0GFcx7aSLWfbm5va4iM2QcwYRpalqbI3CX
x2D+OgjqGdzqzcWusckHzYy7NqLK9L+WO8mdH7NNjkzUQlS3fsTjLtm29d1UnRbRVYGbm7+UzLgH
NW6rRWmgWEVqz8G/julIoq362u2a3bRx7gBlmzAwTmCndL1u7N5nK/nFmdPHGNDQEGa6ghvZJlUS
dAYZvXL50OzHeBAYi0gacz9prFmSQPicHFsPqM1v4zbbRa7ixv7/y0jYboc5lvQ5UakjkbwmroNM
y/3GFMQLri6YHgIMEAp9gFFc231uDU6NxBt0QeiO9+gm0/x4douvy0FEm8Y3ywtZjHG0cRmbUYp1
kyV0oswqcVaVzLO1GR20y7QLhqR8UyoS58U5GSw0Qucb0zY2tlmMpM9EDeBcn3LxNUy0sWc17hcb
ocBKxtRdZ+uLXmvCbmv6K39Y5oUUxlYsfZlCmVpmeMq9NbC2cqAd7SOuG0kwBiJAOzcyXEhjYo+9
aLOJbDGif0IKYD521uTV1t9cai+EMOGnmjLFmWV6xkvFX5rnpZAEli/aGibqDLrRNxiWjPtk+VZM
h0oWdVzwn20XOjABBSik2JgGSJC0l3TQ/TDdLekQFJmPXpJk2ivx6FUY+WAjY3j7VIsOHBNoqtxM
5Y4aRPGR7ItN7SsH6VlH5md3W87/cdo+exxpey3rE9tkbmcnGtCNqmbg/y0Hw1TdZMiGxK3nolQ8
W64WAw+6bJkIhj9P51SxMVA4qxsD4CZZeRhUpUw2YVmYAMP2CaKhU2oiJjWq758H5PdnMgckHlHk
Rb4EDigM9BnX8bYmfqQ+zJNgQbg3Yzwm6cASoIX+SAQrq2pqFE7UZqELgA0JlyCcGm+U3gUrzz3z
F5IYPyePiWZHS4Rm7S53UxOoGeeUSk/zlx5Axmcd8ylMODTM2tKUx9uiuTpixrah46UOrlTGrI3O
yaVSKzCxUS1IkmoKGW3HN0Ntj20WXde5O3chjLFkbZWrcZgBWomT9W2ZIm1nlTOtrsWy24xASi0Y
bxbYSyvKB3OPEMblYrQtqtgA4F/HLAw/bY24QJdwH/5wkBxNpvtFPUZT0Eb3KZqJ0JNye1m5ml4I
pB90cb3IDUUK4xECl27agOwY7Up3M8hwYgVFJMPw4nV/WyB1oX8cChsoC/T6AGbF7uPaYPAHOntw
dj9SrdwvSvdiKoAD3ZbCjRYYq6rpGBFMOfmu1aoSzNWz5y49BhZG6s0bjLxKdRKJaAy5hVj0atAN
A9AeM76v5UxoF1ysCtqUIDRYAVxUf1bJZpFyorQPwKWSqkEnragl9RMmxy4iCE1hH8C9ogLHqJcM
cTViXgoF8M3HZWvu4810it6mL9ZEhnNxNncIwj9UiayHeluel6BC9nd4bAbSPiPzvhE9prge+fKD
mHXop9TOIvpBi2sFjp/5lltt2kMaZM96kN1rr+l5FUY66j9vrQITS+N80aYwhFAZ+qcPP0Kv9aXN
6irHn8WD6F3Ds6hLDRn/Y4HoxmqlzyUvg3dgy0jp37bZz/mAt/RhDv/a6UaSTBCBWtOdgyHNd07n
HpFoPagP7ZdmW7vDFk4oUPbha7Rr98NO/nr7E/j2fGFYrDsoMDjWHPAJ+c7w9E2270lLQjx6RS8A
nju/WE72HRe2alhkDgSBxaftz3W9Bw025oW93FaI520uxTDxCn2FK4adwb0hTy4TzRV1m2oCs2Cv
ImO0trZZQg/tvtkO/owaTOjWr/qeWHfVnb6L/HU/b7RHw52CxUs2eUl0v/yRBuvd4s138XH6ij/3
Ksl+xNvSNQQ3Ax7ECz2G/3oKFuWSrmmMFCa+bylfWvT9nXS3jkmSY+KSm9yVnmz9CJ2DiVfK7YXn
XkMvBTMuau4iswCNFlyUO7kySV3roBPbK3YqsQUHhxfDLkUxzmctx6YoampLvrFrH5AV8GnCU6CQ
yJQYbxPpvYZRS5Bymn89ZLuZdGT0R9jUO6Zs7Jz7QpDqEGnFOJxR6ZcmiSGv90zfCQaP6iUaCiE6
hozL0eXaTpwRQlaFSHfrPoOM2+v22c96w6uxvUoGaH+gBsDIQG8iKV2DLd2t9qpvesZLfS/vhtEd
T+Xd/FLBfQ+/vmMCzO0v4OoITCetyqJrSWPMw1kTObVWxGinPQMS68xvnfZsDYJsA9cRgD0F6EKg
YkGkcn0TWIBzisKiR9+5QZpycDGdLXW8NXKFA6X5wRb4ACDoceNAR+W1qApEkmWhASSgPVogv7eD
CcAXO3mZFSUYbdVFBZYMgF5Ygw6aIWDnTkbxvQABye115dZYgdcDeBP4OUxqpY+Fi7tjKhfmnIZQ
Wendqf4VmUFT+yOGSnxL5LcWTErmOhMnLfzCOK7aXtQWyWNRwBxLtHDjjqdQKqtr+XDuuW3MtDm9
1t0h+6kvM9FBFVlO2+mjSIMJk0innTLvZ+eXQHXuboN6jOIG0WrKEj7LdmzodYwmctUeCfzqXL0m
YEwAFEnSt9UgB32xQQ2aYvtxbXR7/Sz3DVmXmtDhKKJRWjQq/3HE0HCAsWAgiAbDxvVClBigZtQ5
haJlpU3yVnocKucx6TFOzwGi0k/zNCYTmr/BsJW9CpaChtBbwpkQm/V120o1ABeYQ+bFrfKka69j
dATEZbem+l03gDCtiPzqI/6LIQI6Wn1RwEW7uYHps9dqI8kRVf0AWA4mv/T2KbGPU30/i8gaeYtL
8Ss2pcLFiWOsvKyS1uxNB9GlHQ9RUu7VeoBmzVMTq3gt9d/XVvkGfrift9eVZ2GXYpnkQditgBet
EKtueuASorrwpbAkodWc+mUQHGVebEPPPizZAVstmumvV3IxNanuV6xkVn9glmAFuK1wcBQvnoH2
CEyr9Myq7NO20/M4lpDvgmVEbqW94tanV6WXpf4ygByoUgRun5uwBx87Su1I/wIowLhJWW2qf5A5
tYHCaPc9asD933SkbM/OdsiloI5RZAJoWnZQQEi2jYq8bb/6dm1/r2NZUDvjLjGANKB9wdADNIpc
L/EgybkuxdhPTW+JpDxnGgC5lgh+x712gczHQCIIvIh4X1+LmZa0VjNbwpkArYu2G/qMyJkFWOTo
jakPzhW9dpPSRenntrly1QPdCiXTRZv6Z6n6IhaE62oUcZ9iCN5o03ELxmx6UygwU652IJwwMFEI
doSG+2vtVKVXc60e0JyeJNXBLmXNzbQu9p1QTnf9qvYB0p/aYanxvyr7VZsa8zAg2S7IRfE4PtB8
hUZb2rmHNnnmLti3Y+pISDgex+Uhyrw2mQiGJhLN2FqWX62+IWknzIlq1s6LyvhV1behfpKQhKjo
KOs+2v73xb/8HMbSMRrbaIG3QaeplW4HcL6s83MpiWyL5whBgwkEO8gaAJlnHD0mCZfT1CDKFJ3l
W87bMreHygI22ASHYxfdWWpDmkpEosxIRTQDwSccLxJG6AJCN9/1loMWQ4niyVAeuwgIdR3PxPWE
aQvuomiHJNfdrpQxnLbzb68oc2f8QypjaGmWlGZXQer/kPZdu41j27ZfRIA5vC5GBVuWRZfDC1Gu
spnjYv76O+i+9xxpSVdE7w0Bha5uoCdXnmHMMVDvdlo1dIIgttJCdNp+TdmBOTmsKTYSHrkyMbRB
EE6tAOYNeX7T6OMsQxL9/ojYSPDKDrN8fZ8MuJ4xJD7/zrU3NMtuO0Ens1ACWS+iV5HzolYmvDo7
JScTcL+YarqmyrKymmy4rKApswx7WThxUHuPB2Wrj82jnKg7pe0tpe42WdbYrbQ2x6yr+H8Hb0DP
G6ljCKsti3B2PYV1KnNazAmn6h0dOpBv78lsbnu3OFbQhCD9+8pkM07RlT3mgqiTXq1VvAWnNtK9
ChwqyHraZd6bY1WZ6E40Zwhf5goI/CXepEbsrNi/uanwyP64hMCZMU6LYaSoM/W6cCrAo6FNyQMe
BpOX+scZXIS9MbjKNJvdpO7ovJdpepqQHZ1jT+XABCqtBLI31/zsWxhPphmFFk46Np6UwSVPTCoT
oLwnOyEDxNvHtT73m0cXbZ0/L60msEPnQ67OqIqlnsb3GnQysyPIpFgL99hk3T8rfGaGGRUVdFoM
Wimeiow2zpxD+KEHdVBEZD7pObS9I0Y0k4HCt6BJYObKCAhbWw22pJeGRfU53Yp0BDq444DgFKf3
WBvrnWbQAGQLuWzP4twSLS1nK6Zy/xjmVbK5v0kWj+PMcf8ZASIXULL+qBYpy7qdnYkhNHpVlkPx
lAb1oW3KU9jp3Mqtc2sfoqERQSKcEUljyUhiPel6TUgwS+o0eaCk1TY6FcDdFJT6iqmbFxw69EE3
AiojNGAxLwW69GUqxJV40lLpI01UR83cQXwEewZRjFMKrsaM/x3VsZml1FbGMjSLck2AnvHa0cEA
QXOQj2kYLo9qDePlaWM1gzqQUp9XKsL3mSnHAUA335UaWqH4fH8BGY96MYbnGCrQKALgQWb7ArmY
m2SB66nfp9WJq8VjPJZOWLUdqfh5w80V9j0a7Nz7Vtn0wz9mdYBzIZ2AbgKW9jasOfAOSSP16Tw5
etu7izhdesRB4+jstNNbA4US3g9bu0dT9UA38+Ci7L3iC7LIzJ/PgAoWwn/QvApXbL8pTaJh0g3q
z/HLfAD7J8hest5FLBgoyLFCqJOzNVA8fyOvPFW7WHVywe6QabYjZdtOHj+Qeh8JbixBm2EflGhQ
AH0vBKJJxx3oaa2T/sc3vThuWC1gURZSHgWLxfKVR1otUQhBUL/aaJ/5V2z3Zg2U/uwFVrvjnxpb
wntEvcZpncHr9o2dn4Zda80H/nHy1prsfrJu976Gub64Uk45pP6oL7qQNbWp2dmQYTMTdArMZkD+
fE1WQr5Da8VTvXE+RERkqgBXDoEZW/3Lu7kOjYJvfSEGPV1pduKrpmDqS9yYuDtXduoyCGaQaGMF
nz5kZZCeYhGjNQVCpW2xU5O+8rSi8Yv03WgqN41aBNXhvkwFaxYU0FEP3y331emvQyas7NNr1wPk
XMge4CGCoiJ+zJWABJnYc5VK/dRA873abKQ6OYZHpbQSWTSn1kLjDBDaPYRbBo1AXfltZRZuzLm0
CP+CjQiNm2iHubzngQpF+0URt76cvAYD+pPH/IVKDwbIFkCKVKXRZvxFGwj9PVRZ6DVRa6IMrIRv
sZCalSiveANs1nA5t+hhxreAZA8NeGwYwYF5vqtzqfXRl43U2b5sTC50AW2b0VNfGoo1dt/x6KrJ
U80DNJFXdiqJKzD8Zc7ZjQHMP2jg0MWKPxhfWAWPdhHgbfLDshZIYkygXB1ANb8y81deIIaK4jMy
wrAlaWwGom+iCXnTvvPlyKQhJF/sVP8VS48a6KkGPygtvrS67u+KVfFqcGg8Bk8RlhzbDvT+l+vd
G0mX8kmknPTZQ0l6epxGUx57oig7lHngDRBQwY/evBrJXL/ABi8gsQOpG8QRIHpnL5UE7OdaLeon
i/OczWeMOjCcbdNUdyvXyPXlz1hiDhUUkqGT3MDS5FagoQS1BfkqUF6aiWwi3WpNpiOQyGk9EJt5
vR27uqVaoynYsRVtc4ffhc78pFj3Z/4HVXCxrZivYqKMUpE6iNYI+gkqCuZoJX/1bbEp9r1Tg9lY
2gle5mRWaX6heNzY1Brw4y3V4VxQZLnQvyOZmzqVm61ALq4ccOazmGBkziSeIoevnwZTgHnNLkhF
OEtbGT7bBYi00+XyMxtPoKUBKMSPnfIXbwIMBIZnPyR/Xn+jiEzoPiA8WdntbHnpH6PgrRZBdwso
GAuFMHhuyJVC0U+zM2DOJU/xZi82hW2CAmtuNWZiHjgAZreYV/f+ei/jYZYbiTykJQD9wOvyQ3l9
5kAXYt2KY9wbp6j0dfGhBuojad7j6iFL4pWn7MYSagY8WxU41qUnnvXVpV6NmqTiTjGgpLWJWjY4
OcUKPgvI2iz+X6p3L5N6bo6VM5yFaMZWrrmTBuLgOvnM6b+eOryHUJkV0ZIqIUhjzq9Sj5LQNH3s
S22FtBkleuUASGfCeTCFcI3z53qhBJQJUK2BRrVswGG8vBFlLqQJkh+wpkfQwA5J+S6+yhSw/pVl
umlouewhdoSHhXVvMnnqy6KVYl/UUe1B4cuvdCusvTpeeUWv9wPmDMChJV0PHgj2EQU2Db3EXJz4
2ilD+i2SM7sENU2N3puSxLxoj2t0U9cBr4E2vKUIgnZAyPWxS6anaVkBaZf4rQNlgodPeTuZ3xxJ
Djko20M3NXv7nbdat8IP6de1y2WpYV0eNphHo6uCxPZSbVxevbPDpsst345SlvjqS23OVuBUHnXM
7vX+kWZ7z7DzL80wT9gg1EmToOru5yRwFaKQyUb9yvwEC+mmsUMXyLjHzmosQPFMiby/VGZorb0j
P4SV98bKnI4MDotGY3xE9RZ6HOHQ3NCTDlf3TKCobo32E3gZTeCfSeXqBJdrZioHFDtX/Jdbu/l8
ypnnTE1yIVR5TLlGIHIuga08IVG1S5vT/Um/imMx5+DBAnIVpLwoQTHDpfKkqkXaJr6CpKBeRISa
Mi8STTgOm3VGs1sb6dwaM6q66+JyCGji09+pnYFUySDYTqZui6YI8FoOTEfnALtMRmu2Pp9bb3ZV
8NDGbrlXTMgQWC2IT1QC8BVpXN5F/GR+NyTxOCuBNIFhAQJkcZs1Yu+fkgK7J0CdhN5i0LHhrWM+
O0qSvklFOfF7R7L63WZG74kGsN/siAubAZlMftta1aZ2Eyc8PnfO4Kik3ACTn+Ht/Z1bxXYcySm2
uKfI/Q/WD68TbgcUB9Buf3k0x6HFawEyTr/vQJage203W20teCr8jEQiOf98395Vhg/7BbBH9Yd8
FXRxjD10vRs519epX1J1U4Auuww2KqdBZ2QF08HWm35ug3NLzG3QdDUCuhGW0H4mOSFEhTon0HZZ
7coWh7zCG19u/ruxMWchatCzwhUVxgZRhiR66sbHPh5Juzay6zkUwXCAxxea1SgzswCGOE8LaJRz
iS9qVtPt8swP4YzOm0hKIQyA2qEMf3Te9Zw3uOlJSEj1Rdfu9JvfYIDDCO8Y/CiWLI6fhwjw4zj1
1clrtEMQ78BgIgqf92eUrQNjEcX/V7JCNCYYjO80iiOibj5N/dExgESt7fy7ekoscQOUqtt6jZ0R
viT1Sr13xexV8mGBBoflBLPtHuKLx/JIrQ7Q2HnbObxTbcGOis8RVwZ7fWXDQcQpXFKDyO2ymoxZ
Fg5ZKo6pH3FO8AD0RepNAdILwgojKotAXiYVngePUrYKrVEQyF+eeT5G3FuFfOZDOe74BhotAkc/
toFrJCN5dp/2+1f36+nrK3gbDumBq0i/Buu6MVTklZdGF3UpBkvMsua5kQCIVRd+8FE43G/BTlcf
4ussGUa50LKA11MCQSXrdk+VUAd9Mxb+tJV/dR/RIfyITiieeNzzhE7q4RS84mJ9SHlSVlaydkaX
2+Xyyod1iLchxQvyFoNNnoMovM3rSCr8yhr3qAjsQvdVMHWy6N5kD9NaTH39MF6aY65VYUr7LFVU
mNvkXn6EQkluQrzqsdmpG+BFPTSYvyiP1Gltw23d+FS8GH5g8173Csie/si9Zy9rntCNjMLlNzEX
MG/EyaKbt0wBb1eOatZu5Cj2YIlW6QSPayDva7f60hyzq6uqj5u41Aqf48ByoR+l7EGZDnJnGs2L
hIb/xLp/Ny2P9r0VZh71iuu1UZFhjw8exT6zpHoXy2uNestHM0Ygz/ojNoQMJAoFl0c1VsNJ0ho+
8mnzyQuv1Vqa68YgQA8Ct01F3glEscwg+sIoe5B4RL6i/R3bJ65w46Aj9yfqxmGH1492KYiKwk80
FhfyzPsfldwYZajI+AfJku1nkdCVgOq6qoHY4twCc50gLVlwQQULQvhcjhkkmJ6E7IGf3FL5q4tO
6cvhbvwozf4ZeFkTFdz7A7yRPDm3f/VcoB6ViyJ4Rn35I4Ta9a/0S3HmXfY5WOEDkbwpseVNXG2q
Fwl9bSvGbzzEmFfQV4K+GDyMLARBLgqpk5oaQU9OBoQ7XnNU1xjb2V0IJwOZeBgRwScvg8fycgXp
PMRULcPSDycOBPKPOnKiK1PInl7WBHN6iy7Q2jCHiQLNRdwfDOdX/Uv8nW+jU4xoSdmmAZm/s8f8
afD5ldvzKs3/j3FQt2ImMUY2x9A3Q1PqUwLjvrSrXiMzOqn7zObQiBJHZO1tYM8ca205L2fnIS3H
uhoXa+WcWWO7z4OZZPFKlpyNyxYj8H7BwrPUitFDcGkk6Y0ZvAF8ictXB7b3Jc3NcYZUyrBi52d/
nd9QrKFlf56Nph5a4PfrufQldC6a4a58yXbCtnoEE9zaMrGPHGuKmTh1BuJdRHufz+2Ch2qTHUI3
3EfPCclWXu9bK3Q+ecyNVRspLl4VhjQI6sjB31rdJKm7suOXq/tq4kBchBrwgqtkkyKCyklpAJEI
f9jKdhSR/rN6NV4SL3vRnpSE5GsLxRY0MHtId4I3EalIpO5kZqEauIXV4pT40kHMyPBMj/oBvuZO
+o4Pa5fSjd13YYtZqXbmQNDIZbWf7mK0IQVe7XSv5cp+WP4nzAReGGFWKUKToKFpMBJtsifJ4w8i
2unuL9LNcYD3GAI9iFtR9rrc3HHQpxDPqWsf4me/pcfoU2qI+Br8vm/lh96YGQkeeRSYAS1Vl2rf
pRlRSTNA1cvaz94ic9w9u44z7gh8xceAvJpHLyHdysBuzB0sggQWt91SzWWuh9wY0i7kae3nz2FN
xEPrYtvt7w/rxilCZl9BLIPNpoHl8nJUYcGldclxjc8LD0lmED43w3Ct2/eWEeRs0cUJ7AaIZ5mn
H+QTudBXEfVjYZMAG5ZGrg4Ywf2RXL9/CJiW/D3KgYvWFbPTlMxo6qougAzRKpQcMxVM3qCYt/87
K8xQ+A4YzZKHFTk6cdD4K8fVxq7r2VoGAjg19NABr2YpzJQSSkY0gIlO2M7yb54zHHTfqyoSUk/V
RCYwDPalaYRbTkIjDIQQVrbEzYmEFgc2HBpgoExwuSWEVE0VyKFSf+xbg+RanZtdM62ix2+bWaQE
FVTPcawuzShRF0xTCHANKEl5hYCJFnShRW+KlAAgKb7x6Uc/f3TUAp3CqoAl65BhK6ro5VgudrS1
ALZ4aXzmcgD7AqAzqgkaTvxroAIlL/6iydquvLWY54bYyQSADVydGvXbAvVpGU311ZOy9kxd1UXZ
4Sxfcfa+cwoavKMSEAgFGq+fDn0YP8OvgprI3nnAKKEqGFuV66F5eXQa6yiSbUQ6olhL/j1Eqv3U
4a///qAshKULeTbYIdhSdTSXSp4LVetTLY6eF4ZWa56jNdGvq6LJz8jBkYxHRFvEJ5ldpM3THOk6
16KcoG+FXf5sOeCrcIQdENToVN5mnrpD1Ve0TGOz8lj/wL8uXwRsojPbzN3Z1f3CowDbJeFeH1CO
Niur2ajb/kAd5ISdcvO7dHLrF5SLncw+/b0/wVeVFHboi+9ytuhZX0lCF4adDwCmo7vVAX1xhHer
TZARZNkdxR09DV2xKGM8i/vxsdiu1b2vUALsJ7DHaMjHgZcwA6EO1P2n9jrSbaC9gUpSe01k6KEh
zKNOWoPIzC242c1bAzR6fPF3kmqIIO67lKhauY9TzippYjYluvqs3MC/nZ+70C3HL2XqySCaXekZ
vHN/Am94xUhGAPm+kMgD4qYw6wfBSzWKO6BHQrRsVHsa2iq3g27ya/Fg7Nce81vXHV4+FC6R8Fru
nsvVqjqBb2qO73y++93LKRGG2Lo/nlt32tKtqP6wbQITemkhTmJZG5O08yOaZNuxLYtNU+iNyXeG
QQCAr1fsXSXvl9VHclsC9mshemMBd3RKtYyDGhXCF4U8JCflwTsB0PZ9f1g/1Qb2mJ2bYTeZlmkF
GLE7f3LRrLVVTsofYec4D4KlPjVesHeVD+IS8tyT541hJ79tbnM88iT6OHZAfJzA+Ea+V4YuXccF
l0NfVvvs7PENnRWjwzepYJ/Sd4kGYNkzHzkG6hioJyKXeMxfUNeq/FlxurciJeAzAx5bs2pvAlsw
tdsXKdkJ362woeKnYYmQCtwHkxWtZcCuap3sKjFvQ5PTtmhp1vliuqP9g1SZHiYkdArTsMyBDDv8
bSKIoO3EblxTfLaOq+JrP3iGe2vI7E1x7Hnwg5edP+TulLqApZf8JxBbYWMaHmccqbI18mM+HOpq
JtKwy6pNzH9WamZmGkHFJM9NiXub0cb2oDWWoVqT8dwD7Z7aMgJmeTuITj6g6eq72jRLqxAROLdJ
D2Vqj7ppQAire4yqxzF4SigZKmoGkwppRmiPk/4rzd0OWkX2rDrSJv4DFpidHgLRTMIxWHkUf/LZ
zDygkR6lA5CRI9XGAiapQcEpqnbUf/s4fAI2w5F2U5PiiSOfMfrdY7IUoJHfh6QbCe3EWn6liX/G
v4TsInl83Npbnmx/Z96LhGb1BE/7KbIjwK4mJK3/+Q3gOcAZuH8Mb+RfRA2POXJLcEslkWXv7Jom
z0dtgluobTKe/xOr3YP8mvzWOE81nKJpfa7zeKBak8a5b3rZHFeTBvbzBfBtwCNldrBUxlmAxF3r
DwpUq+hcf8iJ8cYn4YMRz2tCErdeBU0CghL1FdymAIBcHm0paeKiUxfgrpTtcmhIK9SqeNnSkJ5W
3xLpAEY5Wq+lJ285ExdmmRNSSzXfiAte2Dj8Mkj1JNckO6Xb8AVtfgCvSbZgioTb8JaATBu3obvC
rb01BtircgAuix/J6YWQGnKiLK3PoMWVzPXAbYr8dqFpdsQktNqX6YTe61ECSsFGjHiQ14jNl+uS
XWG0FEC3FSAiBXWgyznPpySXGx6uDKc8lND8o6Cgur+Hbo/szAQzv1xUIy01Bq1fC26FpYRMfC9G
bh86KbetzLKCBzx8QqNs+HXf8o3EAeb0zDKTn1CrRDTyCINDHOM0Gyg84DB/9eTPH4AcsJyC2eCd
Ci0DvzVQ/FWR9GdBz4wzbocoh8XcRREQsg/ytj9VBa6VcBvhWgEgXnxDc9bo1s60SqB0nQa8HDQT
Jw9a0IQ6h+mmdgO8RmSqpgDcYLpXAIOXwOcMzETpFMfUMoB+EVeqp1cYaGbYbFhg5EHYlxLMc7tq
zz1qj8bz+Ko9ag+j230aT9HDWubu/7PKyOICc41OERaK3IRir4YjTk4wkvxX+lydImf2DLP8E2Hw
EYE4Fvcu+Sdq8yHJreBxjaTl5gWN2vT/fAGz1LwEWEEuY6krydYyM3ApMvFeyu9y8NWJkDjja5sf
/t7f3VcV3H9mGk3JiKPRsqIz3pnO8UEhUXhCwp9xo4JzJCTyB2/LkhOHm9QM+Cdh2uuIL09y5oMq
nbNENEuvrPdyP1zfH//7EYw7NlAICkUqJl/PusGOBNzVA7TWzV6tXu+P9+ZNZUClFOECBJSu0LDh
aIhlpaC/Yv4Sywe+ac37BpZVuhrKmQHmKjTQfa0lGt/64557UzwFsdBuflFXJuzmKwctmP8ZB3Md
CnNTaNIgtH76Lf3h3tIv40Xfy6f6UJQrA7q9L89MMfcfVHqqOZZgCgS74seMo/CQRSakAPodvx8f
jIG07/fnkG0fB+BmabTFH6qMxKbCJhw1fhbyOsfxhwJl8w7w0nu+VZTtYI2/0oTQnebnr2jVR4PG
iuFlt7Ord2aYFeiQKc/BrTDQCoI4vNmrrvFm7OoHAVHBd+7ET2sSSLeunSWLhUcTfhE2JbOOSYE2
1EJE0NfWD4irI7VxleSlkV+aevZacOSjuFQTcOPX3ERG3pNlsymkRYWzK7dNHphFWnhl4ZR0bdlv
TMXFlzHL3g2NJAQT4g7IlIj1TkELSv8Uie9FasnzY8A59Xv7MG+z5PP+Giwvy8USCGicAxIZxYAl
KGU7kRs9GtoO7tQRDWkG0P6qiUfwuZue6qCxhSEwp2kNPH5V29YBrAQlw7ICIChCTgjfdBYOQnJd
RvW8oseIO4TTMTA4a5QPRQvYTrOdXiPVlNR92TnSQJAHSyaX777uj/o6EYZPADYArW+L3gYQX5ef
UFZ6FMVGS4+dhr5jwrXmxH9kYmtHJe8ICmeqGsKtx3jaZPVGi6w6fxK573ma0LtVHwy3aP6GHJF0
s+NWFuTqRlu+DG1IBkgz8AixhelZabsGjaP0CCIJq5f3NffdUn+Y3kD64kl4Lu/PxNVbsJhTZR70
8pBJRcRyORFtmXMQORzoEUo5phztoFFvqvTpvpFrd5KxIl5aKRU9zyZ1pMch/9ZaULK2mmX0tUV5
JJH45zR1EtErgtysO6+YX8Y4Xjlftxf8bJzL+Tvbc3wXKUqI/udjV5tJVLga19pJXUBnetrQubSE
2JTTioAVMk/f38d6L6cfbfvSKtQOIlDyb2WNgjzqCQ1oQlh49+fn5iIgH7tIGSqozTEHohQLPlaT
mR5noBC60BsDamb95t8bQb5rYeWFHDpoBy5noNP1eBG/psde5z4pjRsvXXi/UVZf43a4TnRiuVUJ
ZXqQSQEa+5MKO5tsKnVR21VCe+yhbanGgR2OD3MMqLLsitAMBZ3E0n4keUVuUem5756lcat0XvxU
75IALVR5uwdJSiQ6EXoJPmIzsQc0xObBoa83Ze+WGhkEE6Qbdb0G2ri5TxbXbEGBCtcqQ+WYqvps
aO0x5YRdOig2N/RkiqbnGB0ucgmFF/2Jo98BFiqicE21T8ThhMZPQwx4cZ6RNHPEtw7xSVtZmcxb
HHb1/YW8dhEwvaCd0TV0+qAY85PDOpteeZqSOoes8bEerEgAFK4s9mgjD+weGscn7S9wnJN13+aN
Z+LCJHNftkISKmoDk5HZ5w8dIEfc+CxNxx6BSvF7WG0aXDYj8ywtOFnUmgxUW2W23BXjgkTSKeyO
3XfbojteJcZzHjxPT8PYEPipXqysdKXdOIOgTwB3F3pKll5MJh4YJUBVC2UYj0jozFZeDWgaCcXU
pLwWrZhavAxmcMvtjjQ6eo/RasD433xpNJEwzeMRsCurEiErslBQga8z/Li/ajfHdGZo+e9nG0Xo
xbCpWn489q2rZRWYsLfdJK68IFc+PhyI89EwPpVOKd5YitEM6WuYfFbBr/uDuE6cMwaYvTcFghon
IQwoAhE0D4x+0eSgNwKVT9Wq58f+V7/i718vEIgMlhuMF1Ecx+Au500WuyzVgmg8lmVcupFSpbsW
iuWWPk9ghezENeWk6zcfFQ500SBhhwZgUG1f2psDJQEqoxmPYax57SGTQxIE1Ib4sTWn2PBhstYG
fr1owDAAniHCLNJ3bBN2L0uTgHrceMx0A5nTGD3faaGtWbmOLECF8BNYaAgwsOGZiZwypYv0WMFE
9rW2abJcdwBlAAUrX6VW1+SVB4GP1MsaxBZ0Kr57vZvsGPqQJMzH0OajNCToM+kdoPRCW0/HzJXC
Zi3PvEzv5XlcNN3gji54UTAWMjs47pXYqKVoOkKXkxhGbPIAHgqDDll6JwHx8f39fGvqz60xi00N
gyriBL+3r0srpIon02IFPXprQGAj0+HYQ49RY8X/JqQlu0FOp6MEvFfwEivYRg+q9IsXnu+PRbwK
W7DAoBgFhwQoCdHVz9yaaRbEipx30zGqSifKPvjG0YGuT1pzPDRPWogeB/010gerBn47mj7i5DkP
3cTYgeqgQgNy/0d5L2KN6Aspx/h5/+uurz8QcfwU1MHGiHQ8s/sGTcuNqR6mY52G+1gBGsSooUsd
FdnKi3xrSRc900VmG/VEdhbUstPEgWun46y3j6HceGIevdwfy00TaKLENKOkAEOXV4TGyR2VB4wl
EqC03hWCgsHw88pAbrgWmDLAYfEoLd2wLDpsKlWhblRlAudiMZMA94IbakJrNUrZmlGnT69KTHuv
4KLGzKeJ2iqw0Nu2aagJslnRuj/oWwuI+EyDsDOmF8Xny0Fn2VBWTSJMR4VqBwUbJ+vyA/iN3Ptm
blz3iHx1QQUdF4rbLKoryzTsDZWfjvEQPRegxUjnwm6a39Ma3ditc6lKQG+AchJ1dNbPnxWqirWU
zkfaJ19NalgF/iAoFVmg1vTrlq6VZ67dNsT0ZwaZE9C2YijpQwiDXesO0FAQqj9y4Wc8sNtE1P9I
vX1/Km9uIBXVJ5CqAHqPS/9yyeZE0vMcWKVjnmyFTrJEsMOrGSjNWhIirA7lv1MnO9McHjRwJNJi
jXvw1jlBR6KBHzJH8JMv7Q+JUEtl08xHwChns5HCyuVEaY0u/qrNHzLXi1oEyntw4BBRMcdxaiIu
r2MNyQst9YTK6iewLhKxtYJcJclJ0lx0LoOGy604w6262pJmcQdqH4rqbJx+QA0vyett00qnlfm/
dpzxYWjOUZeM63KSL8efi7RtCgUfNnIHFUgWUTIjzhbrg/AiVU6sfAxrOd5bhxQTAUwR0Nlof2Li
SlFGtTyVpRmnJwQnrOQAVrEpsrUI5NYhXdpyVUQ8ENlhi16iWBgjJI3n4zj2GTrME1BY6HVD1AgM
SkP09/483vDI4HyDzAkZKmxkVq25jarUGNuQPwply7tlnL7oGaeYfCgB3F5AcDxvBM3u5XGte+XG
iYVhQwciE33t4E++XD8gnnV5ohEMn8Rt4w+uOJhzsW2/he79/hBvrNuFJcYPyflcEqoEQzTyYlMr
4P0At2Q0aU/3zdwaEIodCxPa0lTJXghyns1GW5TTUX/ITJyR+tdzqZhSZJZr5PG31uzcEvNaTAXY
b4ISlprUMdQvIAnNhj+maOLmdZ/2zr8fF7r8sOmBPb+mVgujih8So5mOGp/ZWhQCiyVYkm5Nek54
/rmoUCAN/Ps2b40QQcmCxgQvzlXrlNjM4WDkIkaIpgT5OKGvG9RxBRgqnT5Zweut2Vo8v7PYMQt1
PcgMvL28yT+WgPKDq0LclStWbl2k6BYAnHqhRF6Igi7NyG2p5XotT8fJAAaxKw/lUFjKmDhBom6g
XZ5wdgMQyvCkxINbzO0vDhmH4K+hPvKKGSM9f5z0v9385/5E37hsLr6KOYUjJwwcF8MNGkO0Pev9
RkzAjgOCsDRRyH1TN+f5bAKYYxjoOIR8h1RKKMoZoQWqPmL4FzU5YmDnJgOWeI0594YbgpIrNAHQ
I49LhvV3piJMk2yOcWO3/DEI3SrgbSPa9Nmnotr3R3frklmYFkVc2ri7WdBbIMxp30jlfAS+rvOG
QJ8cTkYomEhzvblv6kZZAQhajEkAfHa5PpkdW04q7s25mo9pdmrEX3n6lWl/2oOeWPH82Da/Mu61
qHZtbgFWCSq7Na2sW0OF4wGwIppkgctg3kFe5+gADSDMqjymbl7QP3o8Q2+FpmuqtLeuVCRX8Tos
4SoKN5dnRgR3nzEJeHEHyEc+S6dyOki7WYzBcuCE0doGvTmuM2vMBm3GuQq5Up2PSo3aYw+csB7b
dReuxKzXyLslG4GHHV0ViCjRxHE5qnaCgx7K3HyUeyuHIjHS7dXRMN4LyNTlFFivyk4Ur+cac0j+
NtQKkB1Jn6Agm6TbGqKnYkKgxpZVpjg/KqMfVzpJB+1BLVaCklsHFtlXgNJAjIsmEGadg7GWR10J
5iNA29DwaaSnLknRZJA2gmlEcW/RnG/MUm//gywR2gyQsUFeVEF/JLPs9UQrqoE876i9pQ2RRWrp
IVDim7werfz1/mG6sejwslDyhi8JODrbPpii2WlC8McfIzAJ2kKUC6Rqy9huuqzy7pv6yUYw6ReU
uUDTjqAISTeW7T9JjGFQtUE46lroqxmfW2UAzzkbBdGcp4YHfTl6kceGQzf/rIKiUpkFp2v43Atx
kT1DfrHYp2rckLlTU7CwK5qj9f3gSHEckiYzuodEhNawngnNvkpL3S6arsqQPAyg2t6PnY1ss2QD
C5E/ZRMfPY9RqBM+60srQ8vXyi1142X5qbfrCI3Qoiwzu7zq2jqJukI6lt0+b5uHfHrSKUoGur6y
TW9dh+eW2Psoj+KynvtMOuaaA/wCMKQzPKHGjorSE+JHLQM9WB+baURKOXSSjynYdQVkE0fu/f4C
yzi4zPriQ1TEhLyBhtsrqQHU/hrDwIfwQmFRGQn2NUDcNW4Lx+LcxLKdz5yVlsvn0ShS6ZgqO7V8
1Br0GMCXGDrR1cb9SB81IAGRVM2mfatOpgiKosSWgPpJnv+TsSIcwouOR49tqxJSmtJWraWjwnN7
ietNLY3XQrwlhL6ez/+1wWyhpOl4oW0r6TiZhWRlqpubZQZB8GabNnYdWNnbfzUmdiOJPTqsshxj
ipF6V4DMAgr7voVrfA2wQehKwZEAZw+60ZghSWNTzXrByUc6bkb1m8qvLaRzvrrAyf/Uos059+1d
324wh64xlF+WW4dnblLainMTgaXviJ3pxMVhzD0+oytGrre9hDKSJskqrkgUXplwBNIFVE1B5Xkc
InSvT0ULWm5UlVaO+TIzl5vh/5B2Zctt49r2i1hFcOYrB0m2acdyYjvxC8tJbIITOBMkv/4uOOee
lmBesdK3u6pf3KVNTBvAxhqgP4DkKd6S8B9LqrcoXQnXGcUyj/3OaqAjv0SKr6TH1vz+SLItfORK
v4FZCRoISNiodtrSUaDIx6TL08Q8Wk0ZNYCOKQHTxw2m8gpYAKxUFI/wLAHk9KcqWTvZKtftDk2K
63bXkb59MDOYVLTqnEdsomloGYuza3JODry2ofc22PTO1vtq32hJdeBmnm2M5ecTMz7po6CETR9b
ojgTnOSXdskgTzTW5rELHfu7onqN8YsDbqbsL09MMfHORxMUO8wMC4LE0NP7JCUF0xtoknfkuNDA
VHWv+mVNO3PeYjl8HkcYkOOqjFM5OIuoJp83hwoNpLm0CG6QDZy/VYj0aa3uhqintRu7+yedaTww
IZZY1/BJwfqWjksutlDV7ExyJMtzzRnudEFLpyv4hYXLT2XY5bka8C4c7dQfmm9j/eCQHTiMvbMA
hLVnI8ztIV9ZQE8H7qXVVar8Tsnd3IQtjChpoNCnZuPo8yEQIg8ChCegEy9wEiAgnfdOY0ERPsWr
1pFDY6uPvbK94Uq1U/BFTvmrbr4bvt2me9JOh7EnfoPqJgPwEELrPkRoPW0BV+UL5b+n9K1L0Kpd
O3xpm2ctQ0Ug/V0p9d6a75qoAdyk1tObvL7FO6RPK/cVulaX59Pn7AB4lYF+R3LFw4Gcg8jIeQvx
RO1IlGu7rDw+Vx6Ijk5Ld9XyNClePW9sFp95dhhvHBxVYCgwwbArn/fexBNGMvzlWD7Uyg+npn5Z
BMwEhGp5dBf1J0oy9fjAeJTjVqYCeKVmjjfekQf2ZHaLT+vpivJQNTM/Hu2ravazLEiGLSTgR9np
fJChogQ5YsEwgxSyvNKcpspHPlPjyNvYDTU7L3dNTDCic9MdK6NWvbpSYuDSjNGLnco6KMCGg/TK
x/fLQ7RSMceXuHh+MPHKAYisdG3N2660EiU1jjaZPJOGtvKjB927czKPQLC4uEMX3TTZrrbDy5E/
T47zwGIDO0lqap/bemegC3K3hoTlXIFeU+LO7JfutZLfd3TjhrfaUhTMUJSG6jcWmEhLJwFjRyGA
W7XWkUYV/TbMHFrje+WYodgJAyjWM8/kXufqO7XeQFyslJmgQI3ECm8JQZ+Wcde5XsZKMg7WUYcR
VVrqnmu88BhwGWQflaZ+WkDVctfWod55yS+786o2rIuDG9eH2bhNs6skKULXmTa+6/O+Ij4L7xSQ
aXFA/5WGQHNgipcZ3DoqpnbQu6s6gQL3QgJWmbv47+G2xNQJnC/A+4d9HMBN5/0/UmJw3Zzt4wC+
bRO1kGUVdcts3mXZ1xlI4y8tv62MK5rNNzbZOrZ+3tvge43EgBoNxv9TIXjgDI8x7mgfez3kUNW0
4q9jFmXD12L8XTQP9tMEdW42ZftFkM6egRGbpw2uvtjXpEV/9gnSkUwF6budUm4frdonyk7Ln4By
RZn21ulvMkiSX15fn3fZ8wZLC1t3yMIUZbGPuGhbcKSEO5Rdz0CtONVWaWDlzIRYED/AP0KeTaab
cdYvtC8N+zhRMDjrJ4pHPuuGLECNG1V/hTpIBoiHHRTxbT7cX27n6sCexJZ6FTZCGcRwdfvo2vu0
vq/ih6SI+Eby+Fih0tgBQ6JjmUAyGTRyKXkALGGyrtCzB0NRMUOaIjbSILHjEaILrMsaHBMInqz7
Rgd6JO0hD3zbdGR6TuukbrwMtOv4MKld+trAG+dZcV0Y2OA5h91l5QTpiLGaYYvk4n9OAqYWYICM
KWXxoc8z1fHrpVgc+HIANRyMCbffwINOax/iwFXppxNpHx2Tl98NOiuv1SLqDlgFi73P9BKnA5Mv
tnUNdRIcdwyjRkGSpEAf+gozxI/2SuHzvC9e+6WDDRLkRaCNqsdwZCpaQJ4smk/PXB1iHrDUGsEJ
1Unps0wHL6jqG5v5OayNv2f2NODuZ1bKfQn1MEiS4SnW9Oc0np37qcUt4Q2K6DomAZ9QKwHWfP7Z
lrxj3lTGJrtbkOueh24ooFkPgkiUk6Jo/LqNywBCZxxqhoNTTNDj6pVoUfUEPlWo5XWBhb7JA24u
/Kdl0a70u3LEM8+gaZW7VxbTSF5Lt0bGUQezanZpZUDOcy6rUX+cYcIYzTGwcBuvCisrz8GhB1ZC
Ql8TNaXzRIcdqKNamaUPEAy+z1CuTPJXxZ5+X573IjlLMxLvFfh9mN5YQO5KV6/SLKGqlLjZg2Ka
zyBv3Tk8tTZyyMrawrMZgDUWiOpY2uLvp1umTsbEmBRUucrMH+lNya8ddwra8dvltqzGQST4VEFb
AtTK8zgKyF9QeS3yhz5DqS2hOye9MWJA39ONoZFSMCBgWL8nrn1SsigKq5gBq4WpvP1eaqPvFKO/
PNkTdHlR9AUMwv+rhv0nnrA6Efsedp7zhs3dhEKsZsNtOX+Eggt2umsHqOHBOV6OI025P3GwuaCC
DSgJRBLP4yRpFyfODD9NxXinihOAluT1mhL+iyhgm0L5HI+ZsI+Wohg578eewXCygxTk8JZk9i5Z
3i4HkQ4lf5pyEkQ09WTOzU3ZNMNS5xGWtz8372oFj7T7BcqivA0uh5KW0KdQ0vRWAKKYugntwfNg
4EQDDEguB5DOuJ8CSMPCUK4Y1KzKI4vrz4SqXmkN4dQaV4DD+lQ1rpx4CtNs0/hUWk+f4krrKZ4q
d0oYGpZ08e/ezj0znX4vEMxA6tySwpern3+CCXsV4Iogdy3P8VaFZmviINjYhwY9qpOvWves3Dnj
F5a8OrhVOsutbVOvtm4T9XsCSnYFI+6p+MsnsE8fImVEs3Y1bnB8SJ0CaqQ9albu1cv+8pCuzhmh
sWvZJoBqH5jTk+np5nXFkxHTkyRJYJfUo4W1MWtWR+8khDR6M7xoLGXErEk6egc4XGC33Y7axu8S
doWXW7OaN05CiQl80pq4qQw+itak3btaoyJA3zYveusxUCMEBhJIDBlMb9YG4Srv86hVme8ob60D
U4Ytdf6tINLYF25f1gPWW+QsRwWGzep4O872Rm+tpiaArv63JdLuwQE5NMD6zyOtBFcY1g7KN1LB
hwAKX1Xy49+MzIfGKxAXcEg7HxlNHecENoToNYJ7YvtY24bXbtUhVnsNNz/4UQKAjOLieRBQkPlI
hYOw3cWijMTHgzNV8a4H/mhjUm+FEn8/mWm8KgiJK/RdzJ7YUAa8Oc751mPx6uKEjjsAqjivwMzx
PMgs1CBinedR19qPfHHelC7emAPyw9afLON+yMMSkKY+2EcnDSltahkl5HQilL4HqOOheGSUNwxl
pqQfdmnZ3/dYptqY3Sp17jdjaLEkDbuUBrmeRNyKNwrWqx178j3SGGokH2NqTaLNcMPhUGd5q/On
y5NxJSMJwzSUrADXRzlP2sdaNqKdA+YJGwZcY5xsb2l1FdDCnj2ubtHz5euk6OKzcFICrDVoKCcT
hhE8GIiVIF3wn2RRHx2VP7MWthvFVW5fKZ0OcYIyZDUL0i2Jj5WDIq6xgLuB6ASvZVkRTZliw2Lz
iKNO1npqB2MhZQCeawmplt9n05FOf7+vnAWUhjG3qDq77ZJHPaBB3tTAEtaImbMRZSWDnUWRFkiH
C6HBDDRrrt5xEaxBNt1zK/HqPLw8Y+Rq258xPOlAKX/hnDFkfYUxnIcHah3rlAeDfgtRCfM+x1ox
Ki9ub3tYlQ1bhY//IzSe1/CaL8CM+nkWMNTCUXNAXaPU+ppjd07qHcpuar7PSRo65uybFWou88Nk
aXc4AW7cmVbWI7oYtB0N1RAXvvPn0VFCUmcGkdNoGcsg73HxhhpQ8XC5e1cOlniAsU087tlwHJDl
/p26gCiOM2RR+g7Eb3uMjZsCzo3FEqGWjFPm2+VwH5XAk8vmn9H8J54hNarpqqRVYZod0XKHVxQa
5QeKOl4w8C9qm3sFxcP9S6d9m1kB+8owMd7a7jcxv8SFz8wg4V49heSLsidk40K3+WXSxg/jP9Ln
JnrCAqZC8/Qf8R5bWXqgkfu1/pagFLB3joSGCuRSGx8sNNS4VfVesH0P0Ff54V5d7qqVLQgSxJj4
sIVSIUgkfc9kZz2qjDNumMb7ZL1UzsZQrK5gA//A9AlMDBmIrGQDJh9Vs8iYyA3lT+noaTRIzHfH
1TaKXrIK+59Rx4OjDXMLFAllcdNaS0ivpbgtE+LlyjMvA2I8aT1EvACK1Mtvmk5AMrUjVBSh3rFj
0xdq7pp2CBQc/y3rZdoo9a1/EG630B7CAw9En87XVooPpZOLDxrUa3eEYluQ34GjsUu0l4E9FMVN
Y7ve6ASs3qfGoxbUw8tiHGiRAc24BYNbHWjhX4iRgIuabCxpgx22zOmSRcK51TR/uOnGpru6xk8C
SLvgAkkGgM4xk+LuCdSXPW/wbulcm82v1nB+TPoTRHT/Te46CSk+6eRsQzLMg3pESFY8Gul1kqGW
WejB5RUiwy3+TCvhRQ57MYgwyLVU5MyKZKWDKHVWhQVencMcda6dplLstW7f7+DSCgFddcqD1FDi
/UjScWMjXO1cvKmDdIP3j0/AhdLiDadUQQKtX/VnzKIQ91am5qBILL5jHy83efU0gXWE0rEFD14Z
hzqqepyUsFiNZsP8gmwVTKj2dvxgjuw6v59UmFRfDrg6OU8CSgslViva6hPqQWN/myy4QMDI+XKE
1Q6EHqcASlgOFNfPp0qe1sTMnTQHzCiHgPNrOfik89lPKw9jVvsoSv6rgCYYUiimWVjp5wGzGkI7
wNRkkW1S5HEjyqYlNLIiTEo4NZuBoYbU2BLDlh9q/8xVXI8A1EFDDRlz0vSAy2UJzSPa8wI6HBBq
gK25FQxaEe/LYXI92H0tgVIAAGW6EE+x5/ZhdpN0Y76unSoIUMxA+ELV4JOxp87cPs0HfEfpCVkw
X3u+PJwy/vWjoacBxAecLP1EVziZwDSBDI4elK9JyPfke3mwd/RXr3r7b5WfLeEcmXv6AP4ExKzD
/C67Aoig+7KlVLuaIE6/RTo7gtLQFRnFtwgz6j2p1JDo76PJd2V7bIcXEke02Ei2q4fG05hi3z1p
/7SMCosJOvh2Lrz6++3SBvMSsjTguM8hLcCH7y+puP/pcktcvVFLAkjlPCSP3d6Y1AI1i9z2aPOu
WT8uD6qsrPYpgrRIq1bRrVx0JEjru+lqCPrcJ5Ge7tLr9AB130MXe+m2ws5a9gF+5T8NA9jtvGH9
rA6t0+UoxI1eZrBXjYfTjTqMP1g1Xk29cEtIpqeEPSbQ9FxUiOxZGwl3fTgF6UcXKGJc1M8/wcDj
W1aijBFZff2Wj6z27JnsiqzylX76UtjFPoEQLp7eleTQJdq1xrTDRueLk558ZhZaJ2DooCtA7Tz/
hDkrpjrpUPtXCH0CaQtONciNi+KXlnbQWhBbNCAuWOsPmbKbjH+TL0/DS7OrGFV0gIMtAG9IvhHX
fmPCl+A3oYav6r7aBrr9l8CuP9PtpMXSdCNZZjZTLTbV4RW0agCpc+ziW5r74lc+9SsS8gdsAeou
UqZKWV+pM4mBtl8Kr1dH4MPDln/Xkxe1ikqz2elGu1FjWc1IQG7ASw6qLDjWihl/kh3y3M1N2qnI
SABndPr3foL8Y/Y9LeNgYYuPq2zMoSI88o1q09pKAqPEgOqHA30AOa5NR62ZbRul4NzynAmn2q3r
qsilcm8aQvQHflLijUpaKCMnc5crSEK1e6sr0B9Kn4ap8abk/fJyELP9UhzpXlRSradKguI8M6ag
6OPU1wuI/pnagG0FOyzuEznfODKsHbtO26adj1q/1K3q1KihLvnOaZ6m3071MgSa0BIetyTU1kYK
xwM8koKHj7KR1I9JW+pg5LVItdW7EjeeZf6dmsrH4sK9B/8KFXs8+p43xp1AQbAXlNGXr1l3q0yw
Aui3MDoyUOlPEBf8IQdJE4RJKWlkKksSt0Dxok977ZCCMBXMadUHoKUrfqfo5DDzBHrHLHV9fSyG
wObAILZmY4LP3dYvxZgDz+UEVRLHPrW5OC3NbThVrePHnVL6bpHoG2tk7WiEQxHOhPhqIdhz3jH5
oNMsVRUcjfrJz7srx/GsceslfDUISM14+MEawbv+eRDFNQEcyJsighp2XeKq+2L095dXyNoMwoaF
NQiDRfDHpRWSDrHhgMFTRGCKeGR8Z9UWgHptPeAWj0wCZjqmqLQjTV1XG1RFI1Ar8hXcPUqoenfW
LdL1oOGtjG+kzdVOO4knzSY4qbmTg5JQlGjHtjR2Y8X9zdr0WqNw8sfUxbMM8LLSwqPmaDLN7sDV
1CxvzpFSyBKa6hS6UAMZqgwCJ1s+SWsjdRpSGilzVLoKBsRFVCevqFMHqvO3OpwfC/E0hDSpXbUw
+zbmRTQ04LxB+0rzU5XyG7dpkj3DzQ7+C/2yr1W7ulbSGsUXHdOlpAU5Nr2rbtlPbbVYuk8WS6EM
tokWU9z2cgfomy0Ew9quDq0yyG0ALQw8orSrmw4HMbPqi6ivjth+4oBkt5BhjEB7jzf0ldamJY6E
8HeAUAHU1qTrRW+BWlyOdRGZ440GcPIAarHyeHkxr22rNtxn8XYAocdPLt45Nds2JmL8KtcfGQcE
7GogbrC5xlb7DZuO8EbFY4Wc/YZWr+eRAcmEJeIv07I31JfMfKHMvI4p5KJmO6SbFNDV4zW2CaAp
cW6Ai5OYLyfnIWhIKUpN7CLSOkCruHmsGAeK1biu9G98XEJ9fi7t3LczvJNSHsQuJMkvd/DaeQKw
fuBdcH0CfllKyNiGRtB7Y9FuCpwhliF8SFjm95NzPdssVLq/ZF6KJSk0uaAoBU8AsBakbLYYvKq0
qcSLrLIAdn9jQ3fD+DIvuW8VL5C2+Ov2CSERIaOPsQUJ8ryHYzY0lBcYV6pFWv7Mpl/ta13dLVtP
eyv9CJsvaH6C9iooB1KrcpbbeAa2AJlkgFyByWh+mbvu0RwWD4qtr5cbtVZOERI30PT8gELLJte5
mzr2KKJ1dql5ywjtkrqD0E3eZlCiyd1vhVuO17ywe78Cf9FXqQHH7aL9S6bLx1hieUKcBiQpHHOk
Vjc1aVUylGWktI0/1r+WIXBwGh22lOxXVqcFASy81QgRIbwKnY9iD1dxNk11GbUGipy8B67+qrnS
XR/YWMN4Y/nWcX51OP8JKN97edWxhhIRsAnSKsQL+/Ks9tdky1ptrRRvYdYgxRHg9TAVzluGtQ4v
6Bg92GUHsDs1uIjHRtBT39G84iFBqeF52U/vVuqZ/gFWwVtvASsJ9iy+tEHWWVpOKVyrIvgCebr6
VanTgLjQds2WjUyzcsBAgROHbjyBgBj20RMnuU5PCLfZCExqFYeKmu3yTANVwKI7XrkHBi1M1Ky1
rYUiNlTpumRhEwR9CUc1UESkBAv7XdCA476MbMKzu6lTf5DYAnjCjanr8aKqfacGaSQuHPNuSJZ6
rzkTe5xyRoFE5ksIuylcvi+v3pV9E6ZIYAwIXhLeF6UhN3jMNCfOy4glYwl1oWLwU4qEZI/aFpxn
bRrjkPqR/ADlkFFWbQ7hLZq5RWQvb1Y7X48q9MBxmduPyhYwZQ2/hj0Eig2gwOBQIOtR1ERPyZiy
MiJty+9GasdhDLoosIc0CU2NpBA4BW07BSLAnwkH5gO7RDjxoQ4L3nYh4WwEFELlN9PCpp3aNdVG
x6/2hmBYugCfCz/d87XW66xU57kt8fpaVfu8qvW9yai7yyurAB/dSO+NOGZXl0d7bYEB6CmAfWD7
fyp5dH2qLz3QmNFiD3eJrd/P8/cWFq6eCjHcy6FWTpfCSgRWyPoHW086+5ECkHVwCMqobq9N61hU
W0t4pS02xDQFE+1Dvk78/WQJg/rh9EuCIa7NhzF9UGKPE1DnjMPldqyM0wc/FeJ14lFeRkL2aYJC
CpkxThT7qXNXgLNnguY2azAOmn5dDrbSaZAIxqlOuGiC8C2tRsJKN7EowWpkX7L+tmRbgkZrAXTk
O6GbgrdWGYE2dQwmqhla00GvPMx1AoJW19v7y81YGxqQlIVWGO68eGU5H5rcgir+GCPKC5B0bgmx
Ua8wgssx1sblNIY0/Bar06SZREuAFhIS22HJ/A44gL+0ORbHCsG4/m9jpIU6YxpDRB+BBjwZ6NPi
k+kRBcyN5bLVHOnwonbjXMYVoijDfqqvW5h4OFdL5afV3/HDPjVHOr3EmtUo3EAgPu8X1dff6xc+
B9bW6lydaICygKVOLJQlxN9PVic4jxCiZ04ZuQZe6ltcEkO8om0JBa9NNKG3r0PnCag9meTfgWdT
4bm+itQufnXj+5jasCRzDtBs2ZjSK/skYDmopuKaAMbQB8P3pD293qZ6sxgYn7qxb1qj6zybGuUh
NRI9vDyzVxoFBAJCCNQ/6lLSvbxpnYkyxS0jRymCuXmsy3e9yyBau3EbWbvw4bFXg7ExTL2EKeL5
GJklq+281spI1B0fFONpsH62S8RM1ePKjeMvus/7e6XfWLlrhXdwxHUkbxCJ0UYpy9EpFqcLvYzU
qocZHyzkxgeX8RsOPQ1rSm7jmviOemvDivLvexb4boDXkf5AhdfOG5wMbownLExKccPtDd1Lqh/T
5Kna47+IA/9aEwLAkCCS71+10lpTQzCCSQPLwcmruuuhvWVbeLy1OfnBxQYJBTlK3pqSDtDsekhZ
VGjvDb91pxeypSu+HgIYB5hqoBghaz8OC86rql2yaFJemP1CgQvjxfFyb62kCgdeIdjwhD4Btqbz
UaHl5NDMguA8mmHiGbEr/81wnASQMnhVq1NrwZkhat1bILyXJfea9nbzNWRt3YoXLKwpgFCgPHLe
jjohNSh0NYsacgvMrm4HuKHFW4loLQpqCBBZ04Eb+OSOx9R5bC2SsYiMN7WTekb+c0y+p9X3y4Oy
GgZlXtTgUVUGVuy8McqswS11GFgE9PC+DDuQ8xqt9zeNHWQ9b7EfQR7/v4E+ksVJYp3tPG+VasQM
G1zIb/YhAu6KPD3i0NiNN+Lek3JY8ZnfQCNLd0tiRU7nXi8TlEneVPfbXzcbcJ6P4zFwTDiInTcb
MlD13FO8nDH2Yow/YutBse5T8+83k7Mo0maf1AOvCMhxUeHyazc089lb6i2h3rU0K7y9DYKdEbNS
piyCWaaltoHXKyAuKhjM8T36slFVPy7gxQQLUMvT9C3v8pWEISTCHZH5gIr60O44Gc6srEmTaQAj
p+qeCpasck/6jY1rZW6C4A4qKI5ZFh7NREI5iYHnWttmwwyKlzEHI0/8uap2OQhXMeQ7Ls8HMc2l
K/tZKNHck1BuC3h64yDUrN5a2XiTFj0OM1eoeYFq+0Y7dkhIeDmkmGKXQorWn4SMdaZ2Uw/svzM9
NqDt38BWwOvMJSBzvXHo3GqdNNtpu6gaSKx4JzbD+GluqvvMumHDS2vdN/mP2K03enOtVAhBTvAs
hDsUjDikDRiLIm5nCDhGSweNBs1rFerNdRMuhh7MlHpGClNqX7NxYSgb5++fCM6CS+cqKMqURKsx
lhp75xqMH/SjtekyIlogj95pC6W5affUpI4jWoj6WRZYrwrxbRguqh7ETl3VmxWPFfvG3PJ7FL97
Ka40UXFJTmbO0DgCkbmxHoLEajb6T2SlSyGkiTn3S5yoMfASHfX5HgBEy++C7mrrgX+rJdKkhMUJ
cGIJySN+vdsSx1j/bTCrcQOGiYH8wAAGZVfFLnoJNVot2to81vYyzLD//rzsh1R11khi8dJeXM2P
xr58K69dv/gKBMuXNryuFH8O3aseJsGXM8ZGq1zp4AFn7q7mBiqJSt92d10Cn4+YKPbV5Sir+8lp
66TFW7pdAbsNtA44ca8PJq/wKt/winDL+2AtLQn8rvDxQy1OJj4rTO1JkpuojN7iwUe5oQogAAGe
/1F92ei6rVDSToxnGh3SjQjFtcrTXe4n1AlIi7Kz9r3rr/LhgUHf6HJHbsUUfz9J8Io6w9ugQcwK
b9kt3wHU5rXZrpthVObeDOqbq1xdjrg6Qf7p0E8XBY0qSMoGWkn2eb8HUffy76+VWwGDxkEDFxFY
8ckXHjh1dDGLwc6xdd+NHuqb/FoJ7Z/VvvN+6Y3XP8D3cJcGl6OuHTVOg0r96DCuDKONoG2QhA9b
NqBr2zDkfSA0Bv0CCzzo81HSUtycFcMF2FD7QeAzqqoHq3zE5afINjAia8eZ00jSHIxtSgjNgHWx
m6BKJ+9ng9xqlLvLvbU6607aI/UWLlgjtoZYbEyTz3ntT+bN0t0k+aPGCHhbAmexVdT6PO+EBiPO
97jf4S5qSi1jWpI6ign0SwfAw44QDmksdWsarBwqRBTUZlU4jHz2Rbfmopn0oijwPAZTr0LZZaPf
6OZeG4nXJb/mASzYKb0Zn2JzY119HjlERhn9o5gKCLvUpzhfW4PDgL0Zievt4Cfg61mwZQm+EeQD
3nWSLqyuTnGeBrLB0G45FFZxde30x9jYwPWscGDPGiM//hVTqhaLBmBP0aiHKvmeDTUul3mYA1ba
9s9a80hQNXGnCIaV5X5kNvAPBFpWSr1B/1qdNajo4U1eBdfqEw9OaXULPk5FZJV3Oh4fzeXx8lLY
CCAT3/TSbeumqIDjsBsvZi/ZFu9zZatEXwpxEAHxFM/i58kjd/ShbG30pUaNQ96Zu7q7Z+rtyO6z
efAgxlNMqpfMW9p8n09oCCtw5yi7C+kvab3NpitOIBPCFiGuYO1vDco9aRn2qhNsYhdXexFGFgIy
IpafdOqYoI2Uj5MIRm3PVu5xmd7YKD8neDRHPL6AqIYr5YdT1MnMz2JTowtFhJxaOEHP3gAeZFVt
eUtuhRENPQmDAhpgniJMCYiVEEzo2O1sDv+qMQK56sBOBSXI8yhZC370EC94QyohBcePoFMqyUZt
f4VkDS9OTDmo8KFeB66sFKTAs6ehwuOgvDNKD6QHt8O18S4b9ob2Yna6n8TwXJpz6JMkgKpvrKvV
FHIaXupJyB+SNC6xsJzZxx39rrS+avBdRS1XKYhXjoECEcRyeHEyM+y15mBXUIhTwDeB4tP+8hr/
vH0LV1JU7FHBgjSd7H/ndJUTlwZWoLFv2l9J2oJO/paBWb7d6QKMeH4vOg8lrbopKUwla9DqrGX7
uNnR5G5O813FZ79MgwrmHYT77Nfl9q2tvtP2SRmmjq1+nOeyEIVZ23isxq29W/zA51ZBJAp4Oohj
fELTtGqlqgvQgaqKEbTDJn1IksfEOFj76VFRNlbHWubSYWAFkyXQzkB/Pp+4xaLWzJgRLU1GuiM1
1DfiWZkRuMuvrMEuvHEAQR8OTMHlftwILGNr7FZnppMgcCneOw4JDwryazL3Zv6VAgV6OdjqoP3T
SjllOq1WZ1aOYBBtdcrbeN74/bWjwkkvynDyrACQtCvFeaRyPNN4TMwEKtHMI2zjMLmeaISRkSj1
CWuF8/GyoV5jq3BNimZUEXn/Xib9XU1vu1+Vcq3Bz17fa3ocqhC0G/VrawuruzposMiBjgMq4aga
nUcXqL1yGJCxdXBZkysUU8gDrID9hr9dHrDVLHISSGrmmClGnZtAfLbT22j4VpSxsBu8AhT0/18g
KYdk5TwNS48WZT8oHJO8OUhBQtm4pq1tdABjoGyKh0wIMovpebLRaY2d1XqN1kzlC2jsaXfL6Pvl
dqzOQDxaCkg9NiBZpsGp6FTDTggn/lDxSp/4W0ec1RE5CSC1YQRYJp80BKivSABPTx/Wmhvnzw96
zKfUdxJD2qoV1S6mSkeM6tryHg0vvwZQ+/reDevDG2T+/diDlm7Y+r8Zbre+7/jf9V0TvhsHZeNL
Vgfs5EOkea4uWZHpMz5EN6+y/k7lO7X5ennAPu4olxorTXFIX7VZVyFGG8E2uLtpbvJX+kt/7yZv
CqFYuxt9s/XqB+Wrc2iCYUOOQPb1xlzE5nnSRGniC/3LkiwIP4T2DvPeX7zyGqIEJfSDbwxP8Wy/
2gExl3jZUx22XoqF0QbkS7oje/a6PGk/y58kJFca/nK5Z1aTDCA4QgYAEAZZC2Aocz0bFB3J+lUP
TEAeI3KwoF54+P+FkTrAytRESxqEyYvrkt7q/L2FVAw76M1voGr/TQY4aZO0zS5T6yyxAJabU+JB
hxyCpD7XN55nVmct/JLg1Qh9cGiZnKcZI3YLxRkQxKaPoO15lvLUtVteaSvgBUyckyjSvCUlaNuZ
BrS6jbFJh2CID7oRcfPHaL/g6bXpHR+yeDlgqxBYvTxkq0kOypawegDAGlID5w3UYWSawpUQhxUy
TPtk0Q1vdloSkLJtmNc4+hYAeIXzi8biCR634Y/9Vsp6hpP0MIN3cDc3lmBowCTyiiAfAlO/5fXg
4fTptzjsm8c8weNNDhSFsTFzVlfDyRdIOZFAJA1as/gC1efmcwsT5Yzti2uAN+xs6zC43r//tFaa
QK5FOW4SMVLSAo0S+jblX5UYGiDZ0+VxXDviQuiDCFEfgQeRV4NtAtvXZ2VkfqfNVWUHnf3M0vne
TL5osIjXmi2TkBVCPtTYsSuKMhW8H2RrjUkzoZNUUABQ3Na47jj0dnu9z8IU5kKQE8tL6ENZyw5X
/PRqmCsagrynHNy+G77wvNZ94RhxzftY+Va58SuzywHP5ahYm3By8hl4pR6DsEM4lgP4RWxwrnPa
GsAoTe6tQ1L3BjDW5OpyJ64NFlwfIFcEUDPc0iSqVgGrkA4Q0iJSnG6HaixMnVK/V/Owdf5eyQS9
B5+qD44Pbrna+bqDpzbPLai9RiY2J60NE9Z4irq73J7V2o1ARgqWD2T8ZREMQQqMO4rEMv0aXsCt
r/Z4oJxwwoSmbLeRKlc7759Ysq5U1WdGmmtYVSjMs+barK5NcqWaW6W9tRsqdIVwJsN9DqR1aaKr
xmLZicDVL4kW+wufk6B2xh8GW1Lfrfhrlg/FjrSFbxglBCnHOdzoU5ER5UPGyQd8amc99uCFAGVe
ByjjgP/yTfPd5/FnMnoKD8Z/U9GBtBG8Y+FsBpyAlKw0uD9WCRzXo7I4AIE670x3q0WrXQoMNfRY
QKvFs9j5XEwNq+4ariBHtQEU3RaYAO4K45bqR+c5Z97443IPrh17BWT7f8NJu102FSnw3EiJeKT/
3RaPJB73iVaHVpkFfb9xKBPT4dNoYebj5c2CyZYscjDBCap1YV8BGRgYxe6UX0U33WXOlelkX4BS
fZ5gJfAvmifsRDA/BWRYSiJzbDdjR8cyyss+SJobawC9DBQQvP7RfGMnE4P/qXUAHIFqBHmOT6rv
7ZBrM8mBga+adtcodahW7nVVb+3ZqyN2EkaaIPaCqlSZDSIMGEIV3Y/QOQGyKNDi5TqFq/vGDXL1
GUQglgRp0BZPVuczUqUxtD5tsIS06mnqDxkELFvWHgzYjZqq37Jqj8cr2nzvO2Mj9NrZ4DSyvNwK
iidUqyqjMQmg8x7Abs9Mpv3/kPZdu5HsyLZflEB685quvKQyaqn7hVAbpfc+v/4sas49XcXKW8Te
gxmgH7RRkSSDQTJixVptI2yxMI41HB97y9IKgo9NRnUYFyIoDt2OVEqFWK5UtE5IzTHXIyePDhCm
47jJ0vpdG2GmUx8heWEQuElqrMNCsuO4cIfOsZJVl/EwfYsDwvEJ8T50rgLaxwxIrwu1CzUgfvVM
dXppyp1ZAP0lFE94w1o0BbUt2uOJEbD0b8bcSEbXD3BLpdd3sTRPbiGaGxmAfc6epg7O7jO0MdAO
RLwEUKi9HVShTPo8lQQoX7OEdN7oduE3ERRkSen9c3eA02Ms8AVELcYdyjwNO3Q2Zfsp2RYg1IUS
/b8ZypUFxhfaLm/NSQFQOmwOReL1tZORTc7L3i9to+tx0KW7Ss/EidiDGhLjiDRfmCGA0J9E1a5e
TZJ7ZtdfHs/a4vJcjYn+/cpaCEb4zqCAdjwFR2+OFDRKdoYzlkboqwYeVI/NLQwOfgDBXgnNvVDc
YMzp8aBBlgZnShOO9jRvB/0nSC7ldptXT1nCCRALY0PSH/jN/+jgsCRMVtEV5dDRgFStp2aPfvBQ
J05v/nPHQyUHpz/wlV/R6HYKE7Q/BDlQZXsR3dCa6VTdVhN4G3YhDt0YYSYOxYVRU2g3QJJ7Xe1M
/QFU23kFyhVOFF8yhDobRJwpfR+iw+1olEmbJyvBfkXlMAxUTxh/6EJqd/oPoI053rC0QADZAvCN
4h4A04yry/KUCTER0IQirUjixcUWBI8zT/aPZ4WZOqPUEqmZYSWTtloOWiFbro4x77K5AH5B/yiY
K4H0R54ID/TbieuEClwpdZLvMxlFXeVimshYdSpOfaPYW426V5pPAYAzEbXsQDU/E1FdhSuCkkYo
7ZScVwRYyoyASwZ4C5ALUdIF5pnU5lObq2hgRD3KC8fQNk3ASIX6IBWBHQYvauooltv174GVQ75U
+vN4o3/RyTBxH+aBywUOGIKlGhMsVaGdxqABoDtPIuiAb4dhUwm7OhRQ8uuPOHX8oJmQn2mceuxE
R8tfB7GCesBh1EGqsNOEP8Twu2Q1dE85ML0DhHSUPzmSGoK8i+RV1kK+nHPWL1DkgM6Bgg3QGSkC
U8xMWZ2JQhfODaD70DOKUDvRg3VqqQ4afELH+J1pdhlMniDNjiH0Nr6qF+0iekqGgzTGdgNZHjxX
n4eG9+Klc3U3l7KCej7askEVxbiWOOo93rwAaQtyEXgjLsmrUq1aTtl4YeebIvL1aGVXaKMH/fvV
URCMah1aZQRAWroVQWysfOC9ZBkvvBL4Qn85cP5InNF3DOXfZgx1EmlUrQbbgnUOh20f/jLy7zmI
cQoldlLRrYd5NzbBs/UR13+gGwfl63Mn1zbOPkNM1mhN56z7QoCghRC0JAM8hLYu5nsGuIIBKDnl
40+cNu0+u1lezbFxGkpeGF8yBYZHKkWL7jFMwu0c9ySaSUW1DLIocc1wI2uxXYyxY+U81MSyJTxs
0LCDJb0jrVLnyFRLwP7fW2s1VE+l/j7xgE9LVQMwdv41wlzuUMIV8qGrAPOXTSiAWY6Q/hTM3NEC
7QmqSM0q1pBNmHrfVNpzSBo3hO6V0vsB8sFYTiDBhH37z4F00B6lXa0obdG2FWY5Y8HUIfoLQOBc
v0vEj4atXn4fee1rC3vyxgqzJ3Ox1Fr0CKIlYFWuOQ5Jv5DZ7xC6BJYG7XhINLEt8prUN3NLALFt
my0aQbOtZu1qc/f5OETT05W1AvYKtJ7jjEC5nVm8CfRKqO2DgA51QHMubWC5bHL6FzZwHFoo7phA
WjOXcr0G0h96NciRyxdt3mcBuoB57QRLnk67S/+fDeakmcQ0I1UNG0juAjCpOnHiY6+D/dJyH49m
ac3hVri9AtEFXBXjWQgUfamHAINGxZMagX884FHvLtyPzWsLjFcRC/j9LIOFaV6LIwBVlg8WKLQN
oDFC0zjDWZw4tGVD6QJNreijuQ1G0MbGxPWACUUnLfImFcnUbci5HC+5MlgG8Ps02w2C31sbQPXU
8kRgQ3o3zJ8QY+xeqwAdn5xb6+K8XZlhUptGjqen0VGk3Q8BaE9IQIINXryIxqnh3RIW0mK4I0D4
iOJugPlk3K2Q88CcIcsLIu3m2VCbsxWIT6mO+osZ6xdJEFfo3UcDSzZy9uvCct0YZm7LAphB0qhE
xJGD0W1UGfn9xgZVq62KNScALY0R11iZahAAys1migMoDAZCD37TGXfGWdpYw+/ymaoLvipi46S6
7D/eWAstE+C++GuQfXXUcYICooKGO7lV9nU3zusukdAoQSD3lGgoeTRWhX6DOcy2QW1OdlQWUHeD
Lto66kXNMVsDOoKClWexjz/9moNIWYOgfNxwvpNuCSZm3nwnu2XAuqqYUObbm5myD63XsIpeYsj8
KmQXWXaDok2cBW43TrapHR/bXlp+GnPgyUBj3elCJGhJTOQQtyYNT8BWmuxe+mmKqKvqAidoyzQq
340SF03KoI64YDG7ieR5ZZQybilKA27hyjPj1h410wVLKrRkd0q2CyBCh2Kg05j5Kg5tyfDz6lce
rVtiuWK5snSnGJE3Bjv51NqxVb4rHW/LLz1wqLjR/37lHS1nOzVBSooOjSiZ1zffkSqzp+m5Vzpf
ADsuEOBv4TC/5/Wm6Z+ULnl5vBwLEQdg9i/JUBAP4G1+G9jkuRSqMMH9KqWUYUed5I4A7dd+sgOi
uMCz/pf2GM9LyyER5gFr0kZ7NBfZyqBuAmtTtpndo+on/CtzgOGBGh3F+6/X7tVjIBJCc0wMTC64
SW3BfBWUxtaNwRag9iHIly5oOIfRF7D8zum+GE9oXz4O9NsJLRHFcm2Cqow2oNzbJ+hFhDx7qLTb
WtDdEjx7Sr6e8tc6rtfpIPoRMRwT0t/ZRDZEOmXzvlQUsCHHz23hF5YfKOa3x0u+tAMV5JNwA0B1
AqJat19o6lUAeXb0z8h9D2CGgI5+2Wj9Up48fVYmTp/dUgzG1NPpxx0b4JNba2FpdHIBnYR9UhSe
mirQ8MJmRzOZErxUjWY3jfxnzvX14zEuXArpmgOZTJkasQ63Vts2Bw0ToMFgTLoIRm7P49qY3x/b
WJxH9OvSxi6A4tlMSSFWaMSvcPE04o+21WkrA+UojXjSDEt28AIAFxwFiAAleDsWkgX1f9hj5Xhb
WpMNbVkn73w94OWx6A+xrnttiImXgtwoeaDjBtqEnZ9VwWU0j5Au6dV2NdbEU5pg9XgGF25VILMC
agpN6hR5z/gGUC1F337BfsnrGKiHXD2IvVOaxjaTeTx3i7ZAv4pSOBiWwFp2O4uFOPRBK6EPw4xU
kLsPnVeAp7S0ntokWkOyi0dUvFTBotmH/zPIuGBN2nTKdACpo+z3LPhpqL5K4k9INbhF54zBcY5V
l2Cbg4b4X8yqjtoj5aGAegnzWMlTq28gdYyG8txNbVVxptDNeG+IJcyshWcXsjhotgNRKbN24GDW
mlgFxrM2rGDdCxQP31Sza8ydirqSKaxynaS7PKmCna5Xoxeb/TGUAuscVbJ2kECKwAm9S3teE9GY
BeINkFyzmcLG6EOrSgeA5Bs0V1ifZn0cA96VcnFZUaejWSz8g063Wz+qWkPvO0UCdEgdngYoERaj
4Wp9toWUMv5tV3JkuY2gbrXumLSz/3htl6cdNDq08QLRlO0mzWclN8bBwAshSCH5RuTeraYo9cQy
xKtxqHoHoa911CQnbtyNJpqdxtxpdbxY+64U9uIMTeHH37Q47wCvIbmkI/nNPifFbCzSSKMAMohY
J7Fhz9OPpOPRWy/tX6ysKYFpkKr8MfvXtPKmKwbKNtpU7gzUhyfGpWWTqItXVZc9Ndnx8bCWDCK7
BT+i/K04yW8X2tLBUtz3aMRrYv2QDd8lET3PB3Wut3qUcC7k9OPZyHtti3Gq2dLJONMOqyakirAy
EbxgUg3OobjouxCExBsED388l+lJc3UbKlQzHQILeza2qtIHU03shaFJfJDBQcJ1Gsa1JnaTp4xS
7unpbEl2npN6P5mZvno8uUtHDe2FgnAAyk1Yz9svUYp60ns0YO/VuQQBbw+kYQBGbL8PktFJlbCF
doF1GaK25wSJpcMU10AwX6EJ1sAr5NZwHlShGhPMdK981sjUW+qh6WLX/BdgZyS+LJhBUkK/k4Ao
5aQZVYIBAiuES46pJmsUCCq3nQLeS35xSEix6cAYiqCHZOL91OMQaEqcbJoCXG/dHhIFmr/JJ979
nOiztNORJQUGiepSIerfTp5aqmRoaKdCVp/QnW9HkPeSs+lfxBMoNimg/IVnIMl8awW95GCI7VFc
LXBLP+C58NoqobGerYBw0i1LM4c7IpLY8hcWj9nichFagWaishrTcF7ZRvE0pr+08J8D35G+/WuG
2d3TnPdRaoLbEaVbOfoMBs22eOX2xaHQ9D+qPlAYYFuOgPBP2i/golUfQ1K64NszICgXZh+PN+6i
C/y1w74XUaXLazPH8Rc1NVWwDqH6USac6LAUDvFkR/2W8p9rLD0dAlOZ4CBBOJQUcCRlLoGzPR7H
8nz9NUH/fhUKh0nIhTYH+rIkq5yYriq/oINQ/BfocTwM/pphfNnE/a+Wa4wkBcRCeu2sTU3+PB4J
b7KYUDrWdVcEaCXbS6FpC1XlBKLBCZrLi/53FMy+J4CkCGpFObElAySOdeia6DIDYfy/CTAWLjc4
cnX0OrLiHoCdW4FBYKhTE1+RP5QEjTHm5+MJW1p63MxBbAYqR7Rb0Qm9WvpCD/MgGYCFwna0jB+N
Jtjo83HHuOW4MZ0W9lSndGN4/FqASLPhMtLLicwWmAF13AzTY9R/oLG+gMRIKLzVY+BJ4z++sgAA
DigUEHP4/x0QoUoA7zAGbM5kRG/H9DKbjS0GAPHLyWaov//TaUTHGrpdvrgqgRhg/C4ZKzCN5AAK
NDkULj+nYl8OPwKQZD02c39TAJczUhWUWFjCajHBU0jleZZrJKjkVeTBub3Sk5yUs4fuVwpGcJ1H
/wPEa1QW9i0WRmZZNaAiA4g9dNE1xcyv+xIH3AS+I93BCQJ55Wn9eGgL9zHKUw0KR/CxGkgbM/tK
U4ZpyELk4MFZG0crTflUBhLbQLU5ArhvEjWxx6hwknnai+Qf72nYRuIRuxpTi3bt210QpSKyQClK
NDhcN6UCfuhhRM8obw/cb7ZbM0ycVYuoVc2SPkaR+I4zv0WyX5dOuuk/nksaSG/32q0dJtDqWiXl
M7qv9+aQeUkF3O1wGJTWGafLIPL0Qe/jITVGZQ7hMLg7MDcuqZrjWBhC3Ljy5zR9lpoW9Af7xwNi
wrqJfhyUSRA0QNiCY53ljRjHIJdIGScnsf1J8te5fv2vfp+ljeihyAJEY5GcgI3+aYmCbekdpx+A
bfRhx8AiQUttKtCrkiWnxDYPde+E+B8kgX19cMQN2E00SnDN6wtlWx7urDIRg1RaKigCRgZ5X3/6
Q17UDTSv9uRt5kRAxg3uDDFuEOhCrzdqmpxGNItA0nu226jzRwuok8drxYSn/zWElxI0hSl3BHNP
BR2a2kLLIDnFqSM7ZmzLg11ntrrPge/g2GJpD+6MMdPXh4A2zpAJO5Xmc/YxPAmBjRd3armQFNhi
Qx3y1WS7HScWLs/l3yGycxmpkzwIVXLq1BJV42pdZuj/STqyeTyVzHHyNToggywZnMTYXWw3AKlQ
+S6JYR5TIr/MSNeSUrM7Rd9O7bHNvkcST5JgaR/LOJNVpBAUHfVjJs7GUU7SLrCOynCWIPwC9s/H
I1o0gIEgTqC5E5CkWwOy2De6HPTWsbH2qvk8g23wsYGlKUMqkerJIKeosY1lnYZO7tog5Fi0skOg
kT6jcNlkfofn5viqViKvwYeJ5V9rBOQa0NZo8aHn0+2IQDw7K3IVCpBvt7PJ1sG23kXf6uEbhJ83
WWeP6Nztzlbhm9M3MbILkIMQy9eq0okLTpS8d0sa5VEkx/qho+Mr1lzfFYs+KapyFI7o9HCUevQy
aJFaMadGwmb1MGJkJKCaQJWDdWQW6RJcmUmFyqhIHgen3c/pFL9r+nZeaaNXbKJfKnGaEjvu8Zre
R5SvdhEVeBMIRoosytxQp1wNtTQ66a3qJogl1bzKX9LPMJL8IPcjHlP/QlDGax5PYGQtKYSeTRcb
gjiOeRJHp0LRQGyfrVTrzcJT29Ukp5PS7WyEB0h4cYa5ZBbKU0h1gdCNEnUy14/YUIpC7yCo0KDw
6urmnPmZ1RseUerhFGdVvjEsUFpb5RBukqiSXq0k511N7n3IwDeg+w4ZYwCh2AqY0Gdo+mjm6FRG
E9p4BQPbpy2ETamRinOpu985gFai6AU2N9S78RS49SOjn4ZeEuP8ZJyDxgbhZHxqOPeSe8+5NcGc
RUqnkTTvqQnJNoGC7WwDVbzcPM5zukuDNXoXvH/qq8hqKEhYolEUSkjsQ6MPoswEm1d+qmXXDOzZ
QlvoPrBoGaVXVZRzOU6zNMJre0z4AdG/pCQa7Kmmm4mzHZaerHlzssXZYKYX+fR4eAsH7s34WEo0
kpZzlESwB3JVs/3Qa1vrduEMdES5zgqnB9Y/2rRoilZq1QmPaEjNeE0nbNUaAYgmWmScUTo4NUyL
+vBVAMqaVOwTg+QnZL3BDVBPT73wQYKD1F2yYteVv5ryJ6QvzM9ROraQmilbuxu+JxUkF0BGh9Iu
WESy7Vxz+1cXPBofhsVHhET7o8h8WFejToQTAh+WuUKw18199l36UKDcaYs/g3MDssmVdhg2jS/v
Z174WPAEClKhWxcTBATR7azEbSpVhh4XJwls3i161RH+oWeBS0Oyr9KDwdlazFvpP4vwxRiEbAFg
WczWyrsu1mtFyE+hml+Sk2ziIpS9Btz0GgtT+jKEPg/oIEOVgSo43Y6raep2iuW0OA3th6oOtkV2
g4udlXnfPyvP+ozIITUvjbY3ogJyVWDReOzy9+4mIxQCCwB6fIqfZjmvp04RI70R1VPllfviKd2o
R/0ob+NNsIVOyNH6EZ6Gi7YivurWjrXRORGFfXiDfe3WPuNVmjmOVYYmiFOuN3bfoCQZ2UHvQi8Q
/7wYkQwl7GdryiHTSji2v3qDrl6qd7aZI6kug3xEDFdPspNvSj/ZZqt2l6/R4+iPu3EdrYKN7sfr
4FnbyEflBdRbPsS4V+mKBzi9PxzpLNBqOC0VA8HA+NtQiTMEjzELunRQyw9V3uLZBGq6jSaslOLU
av4w8qiBWLjT1/BBK4waLUD6yHswR1Sll+VYRZV2gh7vZ4nmHzc7BHuIS7wQu3hOV4897X6lcdXA
TRJXHNxz6HP91tXFydSbThb003v6HPxQc0iZ2/pzecBjbY5dkXORu4tWFJ6B9BEIGICmQn381lqC
LE8SpIl1ki2v6zepsKtUZ0IPAo/P7H4LU0uQBUSnB73AsTuo6asGed/UOvXrfte/5efqIH8n/rA3
18lzvGq8cJ//UXmghsXxXVll9k0ypcjcElidwk9yFIZPFNjtdmWENSedc38oMuNjdknW1UEzNpjJ
snZJ8QZFZ21d6XZ3qsU96ECs6Zsc/gg1Fe66hiZiAtbXx55z9+rBY5sW7tDFrUFbgH1zk1KMjUkZ
yanT7Git7BInCFZP+utjK3TCboIBY0W+dRgpJWU2zAM5Zbb/5jz+7fv9zfw48/Q0u0IQxQk/3j1N
mm08X4YX0tmlLWPJOKboT92NA60gyCdSETO25ahKY3kUBoWcxKMIoN0vy8/P5Lu4gePHkUPerJf5
hWPy7rREkws6C9B+QnFlID25nToyiYHaaVJwFtbBLurdcWdZ3rjN/HO3Fn/WB/OpeNNcHth8aVLR
04yWCIBY8a5n8R/aUGlzqIbhGWrReK80zhDbSu00il17ld9wTsoFLwSgBclvBEz0Hnxtk6t7GdST
rGrIo/Cc77uVkdmDYjfPBHqOnFTd/WR+3f1oYzMU4sFbeDuZOkRAo1lIEjwbkHP+XfTnSWhtiIdw
dtX9Sxf8FahPAMRBj30E5ltDdUEAP2zC9IyeA3Ol/6lFO3wL3wScBvvID/9ov0cO/8PdFDIWmS02
yiSANm+QnqVfObpD3maweaKbz+55VP93wZExxDikOoxVIAYYWhTYo62djAaKJOvHXn8XLxgbzM1t
knsjlXDEnHtK4MbLVXFXh4nvI3L1Vazg58NL8dQ4sWs8Jfq6e3fBgQBtPYClecTk9zliZkRMoO+J
QoJmhsnB+zm8prKDWtnRM9stcX4ficIJVHc3esYaXcOr/WSJ/QySTFir4H6pTV7izsdtbz5YLyqv
mLlkC3VG3HNRiUPpiplMSe6sSmpkrFVho1lVQJIF9N2OuRYGG5DUx45xlwVENMJd4AuuhNQOyyYU
jkoyDyhrnk0hjJ+7eGhcMCTyVHjurSA0oCivWrCFQi2zWMLQGMEU5Oo5alNHNJ9Jc3k8jHv/hgG8
83CM4LoGxorb9VG1KU1joVPPgNVKLVqTBCcyvz+2cX8nVG+NMAuTZbNaVcOont+TD/hBdAr99C3/
pv/qP5K3x7buXzpftkDfQ9vQcSlkbOWiDPFcaVbPrT8mP9QfeW/jTW0pvzLykiQbDUwtabIbMkdH
uls6ynJg1yCY21iarYOXcZ/yZJHvoxQd/N8PYpZwgChUPKWSeq6+ZZNXlLEdg2gulX1R2XDGTiPr
zaWAjh0QVIqCpxhRGpmvNptSzh1aLTT1vBucd8sO1j9Ub4bKRuhGzuh8by4fH5+Tfe5shbMZ7kP+
rWG6M68MB5WeJ22oqGfzFfAU040/gk3IicT3D5mb0YE1/NaICL4pw5hlGDmU53Lzk2ySlbUVNtYK
DGj+46m8vw4zxphjE8l/ZGZx3T339VpETujZOCmBvbLbbbTX7eClf9KJK/DmcXmn/N8KogH/doyQ
ubVmMcZEJt8UkFypTuRJR+MgHJBL9R4Pkfrd/99ZLJE5PS1w2EsxosLZrY6b/pvAya2wvAao6l/7
BB6gt0MxpLFLWgK/l49Z5cSyG75MmdvNTmAbXoNdmbng9v01Tx5kmx4PbWkacQpAQw/5b5TaWQL9
UhEGlHND7VzvQQG6I/vWI8/wk1WzmzgHHM/W1/31yvdjq8gqXSPqWVyN+9i1f71oTu0Ve566Odv+
Tif0elBfH3JlqAmjWRUiA6H6XF98pbXbnfhdfcl3jQupeltx6tfQs0CW84JGRs6E3j03GNuMX/aQ
yJjUzFLPdegFO/LyYs8r4QdU4D5BCh/SzsnHBhcCys1YGeesgBOEsB8mFWL1vuj1a2tV24n72MjC
Veh2RhkXzUoo5lajoJ4HJ97kL9UhgKCDW2NCFad/DbfdW8MJYguHwc24mNMJjTN1Tio4prkq7P3o
cfY0/eCbPa3RtC0uPyJQsJB4pNN65SJq0o7KGKv6OYTUgVS+BSlvV9OFvrMAIDHVXwM/AIv5j6w0
o09D41y+i5+GH8fYzEJjT36KO7iXuCHvinznCZqC+gpQGRT7BJAqM6Q6KrQsUqTg0oAq6lIXyBHW
2NxOHhqxb9YAOUCeVj31VsgLxncBklrGJQ+9ZSAkgIjz7WSGCsjk52wMLkaxMfHErXBnHbiKb/TU
up1QagU5YZBf4n3L3iMJCcIyjjE+rQp9JQLvZWSD3MSMV2ozb3QjcdOV1PIagZZmFXA8FCNB5q2C
w/R2bEqbl62Ou88l0zJn1g8omDmQH7VBNCfFv5R05uznhbmkBXnIuWOgiqXTv185Zq0oYQ0qahA3
rkQv2Kp4AHD28sI84pIloscefadUlfjWQiaMkRX1angJN+p23I87fdPsVT/2uCCyxbFcWWLmjigV
VEdVLbzUvrAW1ujp3VaHep04pUfW0jHaSNt4W/NAAffXH0ANrgfIhMREjKNumGF22IYv0Vp18hfp
+D1+qjamz1P8uk+6MMYY38/DbhYEADcvydMF2q3qeXYwl4dqzePi5w6LiYiVLAYkIRiWsDZXhh9s
yW/N07aSJ67DA49B9y78MsNi3HDITCVMcwwrenqW3vIPNHyuOX54HyBvl4l+wpWn6/1oYeMq4SXe
l/t2r2+D9bhWVuRZOFabmEO9c38nwIBQJgO65ktfmfV6ZPwLPdHr6FJ4sy87s5u62q7f6W6ymR0F
9PkFRG8Hu1t/4wzzfrupIAAEGZtOaVIRwG6H2RXQdiClHH9tguCkoYySfhordRc7/6UlZs3UUQJH
Rw9LrdtvZpv4pfemeM2u4Jyd97cBdCleD4lZuXAoIjLTISl4Oj396F9++aBGPkx+eAq+oyrGO0p5
U8icbOUUz0LZwt6EeCU4htf5nYt0qsR5Fi5sZgwMjI3gKUIfErp0b9cqSjO1Qrt2fEFOE9V1V3oy
nyUvtKuzenq8WF8g1tvT7NYU8xAsotlIgbiJL5VX71O/clL3R+9nNpTuvXE9lPb0Ij+bz9VGc8S1
sZlO46/faEXidWTyvkOnc3+1C+MMZ27V4juGbbqRsDPaPVprC1uEhmbuB16wijaD370nm/Rb/GSt
FKd1wP6y4TrV/WFxMyE6cyyFZmXilokPKd3WbYA0doRT+/bre2zXh3oV+cQjXsw7C+/DnArdMKTA
RNx9aFf87eiTTIagzwDP6n2AG0A4ATGEmTimKz5X+/Zj68TH8lC9STxBYJ5dZgdlaQ5aOQt2gw91
K+1kCcVkkeNi1INYD7seG+PMYxlGJvDrdNcI9mz/1F1yznzeQUHD150VNLYiiSihy4utdQhyBJqI
VsWW0dCO+DJpv8nEu9mydBmg4scyXRlhDtmSSGXdTTAirtQtWYnb4asg3/gR0BXdiqyaVb2WtrMH
Nna/cAt/WPNSRvcPBhWdBAryfuAwg+Qb4ymT1QZKlDbpRc8ne1R6O+HxJdP1YGfy2gLjE2kXx1D0
rtNLbyYQa37KQPMFhnAhsZX+pLRcdo8le4D1ge1ENkRRZ8tF0HSIu0ZTk0ujHMfOaQUg7bxgOAkK
2rMlTwP+gGTipujkVa35MTqXc7VzC7Qul3s9LOyy8B/HxCVXwiuC8hWgi09n8yy1nHXYijKmmEBX
GTnW2c3SFMKIff3x2NJ9KgIOhRo4fZyBjRDOdbvvhxnckfpQZpfus3mSdpmzDzbVL+k1PvBYRRYP
S4BfQfRgItSgn+/WVJnELZj6q+wyp/MkQ0I9KP+oQxcJThcKxR+jbSGIEBrtvEcbc/M+yeOkO2lA
hoMutYUMJJsV47HTCOmvRtO7asWZCjpU1u2uv4+ZikiPpyCo2uySFLsxn/YWQdPRDOoTCIjK6e8C
Z4IKUs8pqFzlNRyBwhiOjz9haWtZOlgWgBAGPyILE9bESBiyOc0upaltrbE/C43Kq+4t2LBw+wKk
R0El4k49ocyyLkAuOLuYEB5cAWIUgJC/tzgevLTYFrpDKX4IQQu92beLTZsgVW3O8kvt9i6U5HGj
NTe6qwKhbm1R7V7rHFjHfV0MoRcMcyqUtgHtAJnUrcVcylRBlvL80tgVcqCBZzkv3ke5WhsvvAvm
0hyChwdkVUBH4cCkf7+6KmhGX5UtKQAAc154Odblmbv6cWYcFhmNfKrL/EKabni2hFp+16a4Pgpl
1zkhXVlborzNtjwaJXyybKTQloGLVZxRR15g1ZqZlAKQnFIoeGiBV+mxl97XS8BHA9wFUjbAaAGi
z3xhS4wpAAFIfxFLh/YYhnU0ONV8rII/bewPwEJZp6HfxHJ0FkLLrrrQnZpL0IXgEl4FxFUEz1IA
cqggcsbZxF/ondtNjG9DJgulcgARUQS7XRpxFqtUF+rhIlTrKpD8kvzsQAFXxlDlGRwyg9an8RKt
sjPDj4RoQ3qAttBDn0HYo3Cy99F6b4U9MCtF6uuaF2brNPzswLFmPkNhyMN/3dWHGIx/PTDmYDIM
R0cH71RRegKyWiIqeuW7oPqNdqjKxhXJr1wsvPAp+pP1qzr5qcfv1mA3QMM/XpP7IwxUXSpWA71q
6AJgYyuCaBujx3y4ZIAi2Lne657YpaKvxtFno4LZo5fN330nJN5ju1+nPTPfSIgq6DtASgi5Peas
hvqmHkHsFUjA8Y1o42YUfQi+FPlpKk5i9KIYdkS+WeO3SMB9ObRLS/LKZ+WnvpGFLWisz7Hhxqbp
xE/j5JSBo0nPYQMY50bdqaav6a50mCLDRRemMaGrMHqRwVIIirCytsdDoa/6yKmUV+uPzONO+UL0
sgMDJBx7HLRISEExl8ZcawaD1MJwEZMQ+F5o6KrPlrpudMcAmfJ86CqIiEaucdQcfacFZ904VPVo
G/HKfMpobz8P6KrQkPnoixjXHmt1TKaQDJc+gsCiP1R+Ur0kltMErQMJvNWk7yGzgspIsdc3evgB
+enQroUXaDFk7bvQu+gLJuYazniYQm82XDkDmw+OVVcCbpmskxRiProztbvAbcOXx45yf9EAul6S
kTYE3y/IHdiaRwI1oXGWx+Si2S6ZvGnEy9U7T7b2EnLeMjT83MwTY4l5PyWyEang8Eou4PvWNqMm
SU49g2VlAIM7Z9vdvSyoKbAjofuEciWz+oYVMfu0mufkktjg5oBwHTAy9WTz3sh35w01A4VdZJdR
nwLD1G1Qa8wuTgG/hhkQzTu4IXWObLa8U+3rhcJOHEIHlslAHc5gXzByGmdKITXFJVDT7Be6vZLY
LsWIJCup0gvNKSYDrTxpq9arOe1ADZ+qoK52hmRKwE9diQA+CaACLp0cAu2Tk5MJVNUkNIbezVrB
CFeRnguVr4JoDbc5IoShPaJvR7IVhcjnqlQsOKgGlLuT6ROUv8tuhi6FGCYDYm1NLKSlQn34SC0w
ufvdnIcKxGKE/kdUxJXghJYJxm+O1y7NvEJlwdHrBHg5y3IgqnU+ZJaUXka/3VRPitusQj9CsS5+
+lDX6QhdRo7Fu1so1vraIrPWIC7q5z7A3R9sb/tDpGyzwYk2CHOz3zqCS05ciPGCRZgEMT4y+xCY
YwvI3VRD6AuYKLw2nlp/aHwAjAckAP2m99r8m7prfofoZ8BtmDPUu2wWTmpQbaKlAQIkYCxh7hFS
aZJJirLs0niGrW4PoaNvWm+6uI/t0COIcesbM8yMpkY4ZW2HW3XnZK/fz588TNl9sowZB3MGNlYZ
pkEJA2Rl7Fp7/6R4se38c1QjY4Y5kUSjn8uyoePwKjtGsDHtpxDQDOfxdN1fpBk7zDmjgTe8sTIs
C+AwPobk+4Gtbkwonxrb2OZ1uS0dDGBCAF8z3oQU7M5cpvtaNOtIoebcwWs38p/Gtftv4B98+/14
YHd3JDquK0OMu4XjHE/D/5D2XcuNK8m2P3QQAQ/itQoAQStDSq3uF4TUkuA9Yb/+LuiemAZLGFac
7pfZMaG9maisdJVmZRGm55eSjDusE7RThyNq30sTE40J2h59oEhcsQV3REoo9Aw5aDh3YNtmH+9P
D9zs7JLGzqnI1/4gWpUlBstABckHiTiSiyFPNJk8PRX0k/MkXWIaugjQBYrnDibdGWHopVWcSKGf
nYWAvOQ9BQiCT1z39s0suFHk+DDlIqJ0ClRb5jx5ZSqlqjR4TxHvl3KXbVoiXta05pU+lgzOnM7E
19m7rUEALAgZ6LyMHjEPxD9fErI9rXiz4EtMm9NhRDpPlF4xQ9DxHmRaU/0OZRWbI2rfokFI2pwG
I81qGTRNoV+y887TCEa73vuM85Za1Mw5CcauCdgm0ppNDXYlGxRhqWALvxR64rRPf3/wMieZuDm7
FXG8KFoo4STRRt861X6aVNwY1aOakVPwxEuhLnmD+aEYgZakVjKHGofCQMJrHBL6ybmYifGsu5kR
YPcuJEgZ6pWO9/tlo1rRlvPri9Z5/vNMdIul9Suk1/Dz+nYCHrd1cqyo+z5QhZQ/bqslTwDYxKhR
6X5bBWV2HijCTqxJFmhpYQkaxmW42UGObrIIaWYvtm3eVtO9IBBw5IjETugIFkfaOKrJpm6iTu+F
aoSwXaz+1MKcVTS0fN4l8WSAUc486YduiMG48jNy1M2HudtgMlOz49PgyjsZD6zn21fFOxYT43SR
oPnFAIJW+PiR7rcu70gctTEZW5B7iegpIgi8qFRy1d9Y6bO5fQQeBcYMdEUpNKMIxVwddqPTEzy5
ebrP8TOsMwuwmTCJNVx+B4iOcl3ZWzzUCcdjLsYAfzQUQ3TX9mxoEkE2sI4IkjzQdl+S4b1ztu6K
Cpv32yzjGAMAS12TqnysU6sUKI0V0Mh82NtPokg6ov6oA5JR3qDLYqA7PxnjpxugC0uiMJk2x9JW
6BIuXlMr2RaUx8KlAGdOiHHU2E8ueX7xZQw00lorWjmjpbnVTsWML6UJ5fBx4tN/t9kY5Lnmo1+v
1LxSJvWJyS9lF1m6tX+K73hKdNtnY7L3mszFK6PuMoB/SB6qm3ojEpdzkNtWVGWXxIqd2MthBdnD
Q/VyWt0HO2rTlfE3L7f5/TDWICvqSycAA+QsfhJSOyOlAR4GPCt62yIALO2aXW2mSNmgI4zqKIqd
K4pe4LuAhlQl7WuG96nx2ewBYWzzHnTLdKe+SOSrMA7AGNPYB/CbIASw3nZlHWqShoRjrpcN0R8K
DP9S7JUWxTzJztIpfxToZaugXButbwsD7xgM+6RS6yoRQBCIqn8hIe+4yv2/EWBCKVHvQ2RNQCAd
SUIysvodPd2m8F8szn8YxTZlmA0mZoYBJA7dytLpeLSVzN7S4f/cPPwVg/6hwxhSL2gRVwEoDzkC
8RlQs3dPic3RTc6dsyB5kLWVWl4gVR01iYAht97eFgcOkf8Ssv05CGM5o6LVhsqIYGKc1TpFJ7RA
4nVtRcfE5annZO2/G80/pBijmXRVqqQXPA2j/a6xNSzeIi39OR4y6vKyYsuG8w8pxnBK5aXtIi1E
bW/7EhL9xDnK994f5voZjc/MOpSqBncj1VuDSLIlaUQ6CkdUcAhQBokNlFbr8TH+CKmBRfCIrjgG
YVnQsdURuA9oQwA2+rWtk7VWK4JmKikSmfYbiRguWo4AIUZ5vm6SgG/XNqPEmAUMfDZJoaEyK3+U
Pq2Q0gmIae36Q0FdTrC9/LSb0WIshJFmSRq2ONWAARifdvtXaifu9vNZQZQic2R/EoIbB2NRC5Ab
65AOBrFgE5xo6dw2RYvW9M9RVMZCrEoz92AgsvPzrzEgj+nv0+3fXzQPSIVOqAtTCp65lhIdwgCB
QPhr9ZaVusNTlBJEVreJTD/yjUUzIsx9FEVZFVKPOGe1hiNdP2H6498oKEzwWwkYRgp8hNjBy0hU
iNZlLbqc8HDxov+cQmGuQima/416H9cPHIldvOXZTzMRrjyE6OaswSD5uVtrW5moLueeeRSUa0Uv
LoUZY74Vpgwddhf75D3+4xEYs+yh1w2dMiCQ3Le0s2zuE3rZVs2YxFhjwKR1Q2BAVIG18/iW0/vO
EvcV5ZyDI6ts0SsxK+BNqaAyPLy8ma+IMN//SRlYkxuYwkVqZBAIzqMbr/e5U61vU1h0WzNGMTo9
DJc011BCOicb/0kkITfdPEn6DX1mAUhXOTZDJdM7SV0/V5ayWwWTzQgtXmmQcxDWtBpqN0ZxCbUo
jz6JzxnlvcwXLhtNR5qmoHUDoDNsnS0tPTwoLkqOsAUv85wODsl8nkQtBUdXVKZjzjKNBabKTfxP
joKT4rxJZBNvsPMEL5fn2/e+oONXdKa/z+hIeZn14nQavP83E8MGnuwuXAhWZaHVBV2CeKKwvfSx
qmQBGu1yvMQdOUFTa89bH/t9nBXTN3MSDLPGoQDgigAS3q/G7p7vCqd+KmzRkp5p/B4QjrYvuL8r
agzLzCKXxkuh5+cX7+CIJVUBotEi+qk+bl8Njw6jkpW86i5JPdFBp3lPlCP1jryHF48G42XhQwRN
b8G5gepr7wGZRgsd9FhQd759lgU/OOcZm2mOsYnQiCc6VtWSvOUmExasCxaC4QGM9lA01bELQMxL
J0nCCF6Fz51dk9Um3BAF8SJf/ZcSWVekGJZ5QgcINxmkNMzDGni0OAFNKSQgsLFM6wcv4bN4Q39O
9uXhZgpaR1jSF00nw5YHR6AtPcbOJ8e9LFubGREmTJFVv2+aHkRiEm12gz0ekSd5ergtA1wqTMQy
aBfTCERQKW11fYh3gF9/kj6fhh8cQjyWMXFLX4wx2iS+WNa8Sq5+srNfn7fP8r3natomof//NYsA
OWRLwXkndVVnqNMT2TvEx2IzbNOjtz57VngID2iF2P/sn4d9bqEPwr5N++u3GVd6RZsJarBjZIXl
56CdBjR5r6zQqgu7tapgndq+6jbVLi8x019hi7iFhvC6t1qFivZAARvS/8zTCS4k3GFYQ/1Mt4Zd
bhUnycmqIulhdZC3sUr8jzImVUTSt0oh6kCil26f+ZbvuY2fUuWQpCaRXPHVW60F7AT7sYpp0L+i
9zCszpdx3WZ2lGyww67l7SVZcL7At9Aw9I7hBXT+MDF7m2VAAa8kvH4lq9hhFc5TaFm32csjwehC
a+Bpq5jdlBOXqaPvX0+88YulqPTqFIwiKIKsD/JFzM55RV5KW6aKjz2G4OMDb8p3yVpdkWJ0obmo
ORZ/4zS1HW2KhL4AELGiZUKnuouxSTm+ccHOX5FTr8MJM5Cl1k9Bbid+oBVK+nn7bpZMyNXvM6KP
/UjJZUTf6Hm8Q5XfQF9XQDPiPueu/Hib1EJgdEWJiSlKdC4ovgRKw1qmh3q9+u3+GwEmjFBjrYoU
fZyKSCJ90+8rzgEWrODVAZjwoUd3XJZFUBWkhjeqXSXk1f3kXDdPV6ZvmDmnsgvlrokhyCEm75yh
sQfF5eWbbl8EegevaVSxV+m5ARrN5yFfq1bx7HH68W9zCgjd1xRiZbysPBE34T3lpD13JqG5RTk+
lncMRue9Um+lVYlj7Fok6p+6/yss2YSf8R/D+G0OJ5HqXilFVFNycghJZD2adsybx+AdgVFuQOln
fl8PyPuIKEomVmm1nH7YhbfC1SkY9faETMe+mcl8hFt0Czsyr/mcY0B0turUx2Etex4oCDtxe5iq
JkDT6p0n3+JNwN7WDV1k9FtEjn7EEknoX0lWhProRChdrn2fpJ+JBa44xmh5kQPrOr7gTl7wtpLh
5Q1a7o3nLSekum3XdRZyBoNouZKpOMx5g83V69uWkMMpNsSFVKtmlODHxdZyRpJ+hIdLyU0mczj1
JRkzW5WnqVp3AexhRxXn1zRdqROsKec9dznG5KvkPiPjqUageTkETCOOI57oe25zjO4iBRmAadho
gD0N3946+gpYCa0CJTHQTZWPRHsg3TsnCvpC5vgmWDMqjGmvM2UMfVOGorgGserELZF9cC4A2AVm
dk48FLfbtYim4hyBRXzU1+4FA/nNj0/7Vbzb8vKoi6bnz9ewIoJYPFQEEWeOSf6rtH6iv5rD1UUh
nFFgnEAu57lfeqBwuRATi8N3HdT1tpwvWrcZCcYFYCSyyOQMJJ5xbTqo5LwNhLxDMNFehOKQoF4g
40llOSFZ7QOs06Mc0eDI31clZSbhSROUcteBiEaCltR4eZh3DoZj8vNtdvHoMM5AbVZ1WF7AroH+
qkbHxGgEtbWn20R4HGPCvKpfhbWOWznvqr2D3kSreubt+OXJLuMIwrbr47wDCePOaXeRy7NsPLGa
jji7j1o3crOscR8YN+6tC/CFT7d5xCPAmAIzG1HXhv0/j6cX7bFxuH3Vi6b5j2J8PbZnJ1CjPojT
CaUe8Psbk7zEx56grJlsfef2SThX8TUuOCPU9ArGegUQyn7n5A6aHr5zdFziSK3MKHktNI3eSLjt
0r5YkiNSDXWljAooNIeYLG0rajzYFTm985rhOZLM7unW1KCZJiEnJkpWHZEf245o77f5xzucei1q
WKRUDEUJGtGms1fPv6W1sR4//s2+fFXAZ5fUrxqzyAwQ6aiWA4DLkujP6viPRBi9V7xySAC+Ar0v
n2HAjukGo1eU156zVFXGjON/fDU7c4g/XYZ2EjirN9cYim3p5nIuX2JHfdupLo/cd8yF6RUwI8eY
gqj22q6tIXwv7V7S7XB/OGMW8T7uMWPcb5VnSvvewjml2P7EDOlfZjZmH8CYiqjxEw1wAJMQHnwX
UFinFTkZ1upvXmx/yLClW7XtuyyYnPWLuN4NX00qmCfM325L+3KeZkaGiQnGwMiK0sPt9XAN6IN7
f/Votubo1FL1Yn5pLEaaCGMxGAF4hl7SzsYOI+yPRRoRhaVAPmCsDdaDhyDDPRkTKIReaGBEDgy0
LhnJI/KKPFrouNh/8o8sZCxG0EXloIZgIV6l6VO4/vGaUeOel1Hj2D62JpeIgmekkvbV8tsTf9Pa
PGAWLscYg4Ghyj7VepA4pK7jRO9Z7dDk5Ta3Fo+Bccaps2aF1cuM+q5Cs+yrfIVIAbjOP/ONZOtu
+DeGb0aD0dAiDnVBwvroM9YfxcDNlbbqy7DjJVEXHcUfKt88eqlpKFjrU+wW/VQe0Ic/NfsanLMs
v+ZnZBgF1bGdczQQv52tgQb3JlHphUjby9G9fS9fHS3fHkMzOoxTx/KGlX/JQScu1oZt/PLIhD1G
qA00zc32WJ930UZwVtuaGHgRFYDsxVw15wm+nMqdfQSjs9N2cb3AXOrZkvOd/4AdQvoJPuRHQIR1
avF8ybLAz8gxmjti7XcvDBCU3UHGzKwltVOTjLzmHWsx+JvRYcL8MM27NK+N6WmHygR5aS1/O35+
3r5BjmZ9bdGZxRRV2iYhFlmjgSIn5fNO7gheRhhGuU1lsgG3xISN9Hsz8ADjjJYcwA2RDtto/irW
nzGLsRBDlgZD2U6CqBPVwojz+7+dgLEOoXzBeFOH3+8xC3LMuG0Nk6Lc4BDruDEKPgyxBg59lWmd
N98ON/Q1snmYCEuTDQB7+I8pZRuvgk5GVkzAQaa+BpnejQRdv9j5xu3/50gW673bXvdyz8eJUgII
aNqQ4OG5wZCwcBfcF5tKXLeoCmNsxzjfvimOhWUn4IVVl01l6OkVbp6Eu/YM1ABHDyyOSC8eD1Ad
U68fmsxZPmL+rIJ9NWF0mufLLt48xRbXii9agBkNxroOXRgLXQcaO32d7cWtZPVkUOjr370zV5jf
NSdMn28YCADPikM/DHPc1XNyBvTys09CIKfANd2+nMV35owQY9P0Nm3qUowmQgZWumA6kNdmvCzg
MxJMPIJ1zqOUjPHUhiQhOh3smn70FL7cCggvy7woazNajF3rL/2ANVvgWxvTI7D98IIILZMXMyx7
nBkZxriZ42osjAhkXkZr3N/rd83+Ieek+Zb5htWdmOKHNGNxwfUTtm7HASshsqnVoXXy1+4VcSmt
rSEnqiNbXJGbIpBvBu8POWOS/ZnjqSNsDBPEIsdjdnSGZ2AVkvuRei+SzfFwy9ybUWJiodLMzDbS
QEnEWuy7wFJJQVIciCcMi7I9o8NoK/auNoKC/ZFnC0sYBPg54S9mn7EVBFAWWCyBWW62yN90aht3
aQVxA6akTqe4Y0o38zvZl/z1nBDDsszzej31LpOaxscQS7Payrrs33pSWvJvSES9L88X+jcXNafK
MFAULp46DmCgQsaXFO/KC+DmW+SEeISmH2Jlb06ICRh7qRX6IW3ys4G8YPJTpTV5zMhoV8diy0kR
LqrVnBYTLSaR6GeXEnd2cRDBDbY0aZVTWwWsBW99xZI5mtNirKs2NBBCHdfWTpi5LiY5cgvA/dZt
Gy7xpGP6+0x1jVoxsd0bZArUOyfsYaCb3mFnBUS+pRcbi8h8mEEuOByPLGNs0SMrGRezngzU6FQb
QB1a6qtqo3f5YifH/pf0rPOX3C8p9ZyljOmNE7Qvx0A1hCaMOWmeB9twDMd86V4D6qNQZqyoqNnp
PXfUiCs4jD0OW6VfaRWOW4HLGGCjxQ4QMkCQLdZcMIpJCP+7QnzbsaKkiS4n6iQ4jjyhqO8daa/T
VLPJcOJJz1JQ84ejgFy6lh48syPhgjEZCGnyLts++d1ZzcbbPXCkdPqdW2dirEnXFd1FT0AHKERv
qR04Hxc7O8pYJ8GNqXlHYuyJOcaF3+UgNToqyv9YNYTCdoaux78KbubMY6yJJqiyGJS4KGMVEa1r
HUX5GNQHE8XHTLQqxNWV5csns3kti/b/jFyNJCoWpqpfUGrAN2YkMjHCsArqYeq4NFAQUuBJ7QLP
/YzevrplnfsPnS+HPrMvCLc1wW++6NS/Okeys/VfNI8CORMgWcBQXwFykjmKsFKFS2L0kxBi8HG6
MOGgvfK3GC4JIXa+GijUizJmwhjz4XemUPuAuwVUgUidDKJxr62fYuf9NscWjcWcDnMeTaqHoDVA
B4D6v7Fql4SbwTHXEirPvsVr9P+6AFa1ZtTYC+pDVU09GdSwVJi89bvf4/OWB5UkL9mkORHGToxe
V5XBZJM6rKhLifIbbzlLHwiAjKy7x9Fy8HS99zeqavefkbs1N7ylLYs1ivkXMBYkCUU5bUV8wdhu
tXz3tHvwjw0RybHbIOZacaR+yb3NqTFGxBub2BBGUNMAOYAsRvNyeb0tJUt6NafAGI9eHXoIKTyK
/4rGujagxuY2ge87l2Eh5hSYAMSQB/Gi1ThDZckTos1oZWgCN4i2ScnLwX8IaUI65171rf7Jtl63
Gf3kmcild/n8E5jgpBEMc/S1Kd4C2ECMLK5MPnnw7jwaTCRihClWukxxVvO8KeyL/epbvGMsJjXn
52AsR1lnl2GlfYmDge2nZ7QQ257VotXkSdyZ97cvjncgxnwEiSjl6WQ+lDtnItPTAVWP2zSm37hh
NNjM98XPvXq4wEkiCyS/qiTFBjesV7BuU+HIOFvIlodRDvsQVDqIHfCdx4AeP2+T4B2EMQuZ2tcr
QQCzrBCRLonpSGO0S/GaChftASAjVzpwC7FEh7kTMyqkPG/F/PxLccZNfK+6t4/xfbX1pKx/CLAv
8ELAMuewHHGOLLAdfavTHggQEZFzUsGrH7OKcremLRr1GU3GqEdK4kdGCb8LUHiaEx2T2lNoq1st
FR1a3v3rGZm7ksu8qOIUTETwrlIBuxHlp8SJqX5u6WtgCxtxmm5t1xwpXPaQwNeXZeiworDC3naF
ArxNCTmHdWtFP2saiCQ/b6OeW/xYij2BbvsfSgxHBRXGaFBASZMh8RdHI4c+t8Z1I3NniXikGGZ2
hp73UiBPHsqJrPiw3wJFn1+CnX7mm6GYnYhxhKYhh6tUwZ3VsYtcMXY/q0T9Ldm0Gx2efPBoMS4R
AW1WRAmONDotQMejAHhyCq3vHkLMp/ASRIsF7fldMe6x7rQsBYwm5nwAv6TY6d6skAW4rKcnCfoF
d7mLWhkN1rcVfdFezfjJeERAsva52IKqslrX9XPR3K8ua+1JTJ7ExklFcpvaYukRuUrscwfsMjLj
DEvjwhAFMVbwRLnbOOi16w77Hq1jf1OunZNheIlNeAVwDdXpYW6SRiXSrvilv/H0eNKe77L45zAM
7+IL0OMlH4dBQ19JgpdpEnTvEeMZ0Ia3+bZ8S38oMTFFI16EsTbx6BHt1P5IyH56P/JiTO7lTIHA
7GlVmUXjl9PlWMn+kFkA2YenV2yeWi37rj+HYXxX4BmqoAcgk91bTm81dv1UbsRT/9qRiFZWw8ld
T19945bY4pmQYOtE7kGLX8aMFMcCrZ0ZF2Dqy2Z/o6JihzkQSKc105N5nPFOEoA8GpSQuAlHT3Je
Qos+NyGNXcUNHPmMtvxN+5jYHk8IFyVjRpex8Oh9UPUiAd0K5Yxf5dN9ef9wW/YW+TejwBj2Ai2M
kVaDws47YPKQwq5zboh3BsamD1h6j1oZKGDxSur6x94DNtxdV7t+9zeju8iP/7knxgBpWeUPpQha
mN6zpEeRZOsH3qjhZF2uZQE43pitBga6hg0ZbCZeVf1Lkptqc7Y2PDc7fd6tn76+7tsX+z0avv5M
5mK1sRkCf1QawKnUTnroHMqrtvIYwVxsB/znzlfBiLfHe15TKu+3mYvU+0uqNwZ+O6XcVWEL76tr
1rD+wzeFBkjazVmxHmsLWD323ofzPb2fnm/fwcLAwDUlxocUsIRCO7EoJhtAFndkB4Nx0i3i0NNj
tt79sqBvtmVj7tDmtAN+VaFvCRPjVTyMU8ZVCwE4OL+6p/BpZaf0A8jTB6u9ewwsbH3fUDc82bSx
Tu4xtTzqO+bm/TYHePfIOB0sj43EtsJHOI9IjHL85ndXc81dxtU07WoQhxV+vCcfPC1fSKvNf/zb
iN2q0bTa97Xm/BzbwjFdF28JAYB79GQJvCVqt9WenbX7F4ZjZ+m1p5Ilb6w0eWL4PecqeV/JqHsp
1J4XlpDlf/7lifLMu7Zjo5jeZKoAHM3r6rwtgDqL2TgIYhp2A75aI4RwsuILecprGWHUO4vTS2hO
MgLo+8fatOX86SF5vDhIKVv7930D0NBht1eeLxo1DsFb0JNoH/Fw+L+65/+7on8bquskbzBWk45h
pzVVSIzFi85+ymvXJHNL5+VpIGvX/vxHcWA0ezCMrBVEMLYnlPPTCk/UGMXuC3R9xjp+G4+yuCTx
Q77e2nf7gTxS66Ehe/eVvp+aHV1bE7DbVomskhfHcj6ByXPf1snvG5dWV3LyFZrPBDwMJMxyjDjP
7ldDUN6OLOfgbSoiE/sDKwBuU8OqvZthhP5l2mbkOtkcjS6BWJZkY5lk01vCW0zeY9RLa1cgm8rB
TGFK8pKoqhUfD+iO0TaCvQmc3WZAelv2ifJ2px1fLhlt5N25B6I/1uam9kEjok9K2y9sd3Sb9Uu9
vluJtvJbf5CwEmStYpfv2twrWKlHghUJsX+y35aAtSCrg/QISBDiB+hJTTZNQi73+qeEFsoNsBfw
L4xWuOuxrBPbv9bJ/senEqE+vzpWlnSqMyu6bz3s73jM9sXFzp8NJ6cXfK7we/WqRV/tEFFGurXi
YL1oTfO9h+RSupaw7ONwn09gaR8HcXNx1oXzYRIN460blMuouC3tQweiYez2VtSgoI2UhvYm2uOu
vytJe7pb2QFFIhvLyHQaWIUTrcjLpiTYNA1vltP+Dg28jnAhG0dbQ1LNlOI5SoEZrJDX/doFEMSj
sQ5t27CRkT6YD/6uyFDGeFhtUxu4np1ToG6evGlYojeSweolan4YO3mjXoiWotx7vA+svCcbPZya
pvQdEnQPF2zY7DzrXcNoxoqUHd2/im/pevuj3B1LS3u+k1u7JSdsUMusFGBPykawHrxt8WSctYIA
bhV4xtgbZAsIjddAG5ZQ19CPbWcNrmhvmu1T/pbWVFsHFl01AI0JHeMI32dfqFEAxgtDbejPgIxg
k0A8InvnbezCPXVEASBu9vneWfKd+/7U/dAUQoKtpW+HzeoR0xbYAR64pPrQO7Le6hD+USCXAyUZ
Ig+qwnT9xpams6EQp8LeiujDoOYmOqLP5Y7Yp4okdmnFFmC+Wqw5/tHSFquctrH12UjAgHIrstkq
Bzo+HENHJNJj9RTAAp4R+OI+2uNxg//Y6UjRg2nIXLX4Fsun4L6rvx81tAXRFX4UnBDoS2Blb+Pa
ATR7hv8r2buUOFi39ENApf/ds/O3DvjWCTpzVdJZYWGbiX10f9DkQ13f5btjQ3FSoEkYqAevQyxH
ORdr816SdglprPjpA15ugOTvvT2QY4vDO6ZEiVqQd9GVSe2OhrNdJ9ucPJrvfkaCz9AaXjznybjH
7uriqUHNdZtj3tiCoomkt5Gvd4my3m6EzPJ8SGVgNzQ7oNq9ptr7a0wBHas8Tpg/28aqa0rchIC1
v5EJFTbH5EKGu3qX2FVMiLuxSyDEmxYGpn1bvhcQ78R3BXEH6oE3n7BVACMll93T+0t695w6/UNw
iF6trHdGV4QyNMlhq+P8tw0azxRfBx7/9lsTrZlp7JVcjtoClth6dG//8vdn7rWNZx4VgV9LFTZX
TYGGSWJbO2pAJ+8Ib9u4zKPDxBzAWcqFOgGdFweoUYQc7gT663D2bag0cbFR5nlni+T07PJA5DiR
1FdNYcY6P65LKZ2iNCTteVEaz+OzUx7Gqi86YQrTnnet4wTWOUK9PCM/zjC0ziNx7Y223j4HhAIP
+32gW9/itQV8Lfu6EUaxfQGeKiflpcf5Xizr8Ph+d+eW5CdcqLPLSWqjU8xxANOeUyxb9yzs0wHI
lU+sEUUg+rl+6Kl9srfq7gQVIPeh9fgJo7TZfrgfRxGa+EMhh0MAV+Ou7Nty9zUud+O72XqDYLY1
ptLh7SXnzrMOm4PV4VN/OZpbIzzCRE7qKGSPZW35Ha9SydHMr7hnJhLRKGHv7vS8TanNEzf1e8nh
SqHYoVG9C7K+nIIm6+yTw2bi9Jrab2eU/gMCd5RZjWW9h4h5B7xdJ6+kWRQuRCcIETk5rC+s8ltM
vrZB/6MUeiLEMj4G4PLW5uXxh/+gbl7WB2tT0tX9hdjumpIT/onxAJRPddvGB9K1e8I+QWABuDxp
5Sgjm2kXAmOlt9OlAzbu+bZALYaPJtKcCvZCoi9cZc4qB4OfXlLsB0VgVkkw993LysUsnGDVO94t
L1mzOS3GHmsB+meA29XCaoZ26/72yGm6S86JvqfyNWzl/XMixjYPXpjGva4BxoYe4se3lCavaNnm
wlwvzDlf02Fss5ms6tzUQMdAYNvZv5S3CnsPAOmZAZ1ZQN8xFjoS++mzcm4fkMdFJtXT1BEqWckX
F0Xb/2XA95yMjvCaf3hkmCdfEJnDGBY4npV4REmJ9zuFUCTQwNvHWXzRYhoB6xJl82vD3LWX1gIj
zr1+1Z5fDhImVOAPKldAZB2gCaJCtJRaPjajG5vkYxojLznKvpQ5nVNn5F8qlGIIy4l68/hYbzL7
/fbxFlNLcwKM0A9JXUm1AgJS6qSDlRu27NGf/kasbfN58CxcHW87y3+hCRA8Q8aqdIN1sOLoxcJg
QqkPJjBY9G2EBODFHm2aPf3V6f5QmqRo5hQELKZslAins7znaLRqC0F6bDWuiAsTOBmY/2Kr/kOM
dX7ASc6qNsSxCksjHRbrScTbiBjHAE65AegVXoVzySlNA1T/y0bW48VqP/qphMMlP0dXO66pjIJT
sPVPt5m4mFma02HSeJIX1J4amu0ZD8bcVS2ldQS72KFkLO9SbCFKDh7iCrxfthFqhfqxNAjPqCw0
MkzW7M9ZGT0IsOKiDqaLHPAwju2Lu9pL9ql8+2emMvrgRYKAEVxc4oBFIWiSx74Q52l1/Itx5esD
MW4gkuXSbIevA01QXSmmyTsHK4TW3BNNlpANF+asYxxBqK/UIelxomkpogl8oBYzuBgROk4jQh5i
pQjvsRBTY1zKPAFlXEEmCpVpSpOeO8Dnu9ctYe2DonR/W0CXXcEf2WBcQaQGmRD4PhZWozE+XicA
ln0NuV0T8iRit/jI2JJGWZnYK4MbUx86ZI6w2JQCJRWFlAKBrUk9JwSe4rqF9dwmB2Hj39Uur2+J
c5VsgTkR6lT2VPjWgdZPTQNgDN0vLD2wW+/z/8xTgHhiDbiMwAtInszVpd1QVLmAw7bOSw0kpAod
1ieeb12Y4MCY+YwKc3N6Y46jj8XH52eTBDTuSQ9YSp9g8zmaARI7dPzT8MalunCRV1SZi1TTRFFT
FWLZOl8xJd6qko2ci7PlrhdYuLAZqW8DDbUnh3456V5KRAwAarZsnXithgqPyHWl9n8kXS99H0h2
aCI3d9nPzAm3F1e1ywfzcXxIVtOcJvp6aIFAJXc/qwfZ3cN6Z2T7hFyQZWHOzgJEhyW6JreZeCkK
vWIA6zvydMiy6YbBa3FFS2qiZ+HN299/FLsfBTqdiO4ORNgMHqoFt0V4yWdoEpreTBVDAth0zdDO
NNGPowh2YaAYePL2+9eCGx4uLLqGCM+IMI4p7aIOfW8gUtrp0Tyqd82Tv9U35Vqzw4cYg4uTTzxm
trvrkfL7bNB48pk9CEgVkgEN5bzkxUJnzfX3MP7LjLW+rA18T+UcZFtUybq32+MFjSi8GVoufxkX
lgpG0eg1SFnelG+OAfT6dDJ/8l5MC+b9isOM/xLRV5hoAcgc3vzt/Qoi0xHdvi0riyo0u0XG3MlN
KZbqABrFvbevbNV5wBueE8rzzsEYu1iXIl+8ePCG0X1o/xbWFZ5gf+Nzr7jFGDeMK8hRJeIkpV3b
ud3YaDaFe0/5W2OXwvg5KbZxN/GlXoPj7c4YxCTGTtn5KC0cc+fyVBx451pKelwRY4ycOaLnUxXA
PelOehFhSA4bA1UeyXIwUfVL3Q4Hf5tYOuyJ9bPZ0OxVc3Mq0L2tqASmzSO03GyDg4J8O5L9tucc
t27787YULaW/rj6StThBKxfJxJFVj6bsH6GCJD8GOo3OyVs30NeNQnLFCrHzXiORdBcOZNRoMNJK
pElqexGS5GgQHgo7Cqxo3FbFQ12uxeLE+czpM5hI5uozGZsVgZP65SK0mET2ttoPf9d/VXjWtrgD
CqqLheNg0Nt7CdSH0HnmEF9WNd1Q0EyuYkUHc5G9rg9aHuAiB9q9vqAm05ELCoOZFW67Q7JCHWOk
xUjs8KzewXM1+GtMup1p8ZbVf72PvrEBiy51hDkr+dtOQFEWFF/A+jwExlGLRLmEch+qVB/l5r53
Q4xs/ESN4RQRdYdpH4s3vLFsqdFSb6iKCqxQkbHUmVJ5ZtDiWaU0NP7AdsV0AyU9Wbf5vWh1ZlQY
I+3HhS5lPtgt0v9H2pc1R4ozXf8iIgQIAbdArabc7a3b9g3hXgyIfV9+/XfwfE+7LPOWYnpiYvrG
EZVkKpXK9WT9S3GTJ2TlZeCf6y/BGRHBRKfAvdEsDiLwJL4xDCPEiAaHe+LcXGZmJRtiYIXEH5EJ
ZrojFalpCToAVr3V7nREgPvLFNaN2hkJwUrPdWZl7aKeeNT6L7+f0n3hSXxrqbgEG60bGGGsc9CY
sB5A3ZdX/bH55fKdDOx99aq98/L2HWfZjzDq4Su8aRi0ezwot2zbI0d1WWJr6YHzQ3nT8zMqLOKm
osTgZtzqWxTDR+c5vp4wn5x6beZYX9h22YpsH1C8PMa47b/+I33B6Kpzo9cpxT369qxmrnoV39/D
A0YRews7/7U4lOgl07/aaCzITxJjJrvDbymhc96ziJPcAu1qcp7vbYB6x27goG9fppbLDfpkq86O
UjAWhIQm0JFhsh+9eHPCEgj9unqES2d4wKuUR+6LEb5ETrQaVpvOrMaZlqXz/Un9xp0rdYuSsIyt
5Xc+09FtlSC9zz6n98s+0voAD6btYP41J1v0DABZuvgK6CeO9TDVV+lCpf/j9r3TFESZVLzLQgs0
UUHLI5iqB6y52r4OEt7WnQHD1ClD4piidgHez3QjpiTOuzIZUE4AsEjwzU5c/Qq9Igg3rW26d5+W
PIWG7iyK7Jnxrd798i7fjPXg6+wLhFOkURq2sx4N949j7gBHMDz2VzY6F5axOu6Qq/xkXQOEEmuX
8500yl51Ms6IC2/CZOtUGRMQHzsMaR9yJ/A3Tr/ZSJyZtbZW9D+bzKDYemrbVGAy5lGnR0Y94O2h
6FToY9g6IGm4Y45FbKd4T4+VY8xe+73jTnOPFYJXZYXnnHAgRbLvyR3+3ZeyrrHVV/fsowTmUQI1
Z5b2iCewsClNXHr/ALT/5rvkgFcSbAAhVHUMuKhUV98W0ZypGBbN5HGK7SH303FGhfXJfZAW4FZv
qAX3iBCGaQNxz3mAjQhjFIwLJ/kje76iN+kXdhhvx8zJsaj3+UbWSLuWZzMwEq/jOJHwpaZwoAXm
1w0lSIf7+DX5tiydXSousetvv/+8RnUzdMyTejOj7+Yu2pXckYh08X1FiwREUdTnLI0Zui64GFNB
ipGTbICLMWG+or5PNgCs9Ak2t467O9mksroYgUvklif87ATjQi1jK6kGYM1gMUR1vR2B3x+g+8pV
doYMC23V49U0LFUwTBPXRRwXCPN6qHIL+lJ745bft5kbmi4DtXS/cf2npxlBUvFEMBH9SyLWNTU6
pyx4/W0wB0XcN8M/mPjoqPKXjB/23/7StppTIfMtcRXXbuA5QcErCCc9KJQOrEaBc9L91DFSh2xb
mfOzZuWgqrZumovWMEFd+mSe0xro4ehmsxwduwCr3G3oTVZigTF5Ga0tU2wXo3auij7c6UuQPmXK
fjJfeKQ5fXksVLQ35n3vsGKvRhjmJ5IPXJn1M9Bi/f6BgoI1WhHr5XKbcJXMbXIMnfD0OwBkxlPo
kn1ayTE/F5Y/qfQZRcG7ZTzvdSuE5HXA3lXHtIFVbvSlC1EJHhk7XM8nG4XSyO0R+wKPQgppu+a8
aLCJxGbMNpgpfEAUK7o5cXyAAbBK/9bGUMHoXitSL2ndUr0TshbzfHZ5raGe5nbRsW+AdcdQ1GPi
0I29ze9UAJcfKTTBu37Rrkq3yx1+tL+2J1nud606jeP9w6sYTeu91iekwidcLWDm/WH4XZ3K7/nV
vMsOL5gixW77/YZv9nwXXMsSrIvqfDpoyhimK1VT+4SGO6eBlqblhFRTtWST0esn7fNaGQ6H+p7R
EM6SWqmtqQVonNqveeIuOcYjHJfdA/L1DlrLFE+WCly/Me8kxTJuoFblMA3zgAYN4ypDdmJplt18
BVp7dFI89VD9kBbEVx+dM5KCdQyCpJwCjkfWW3aaNTdY1w3AMYwaQ2vkYDCr1AwdG1INRm1qCTIl
c9pjRQnFk37YxsTNPWAfsS+D3z7z4yRJeq5GSKgh/Y+Y+OQEXQb8lAbEvpnIQaJnQsXuJg2oRKnM
E1ytJp2TEqTI4jQBUK023Ae79hfQo6JrzTw0xRb/VZsIZerxwdjNSMcPnaQC+RbnfboKZ1wKr43d
pRMbMpBut6bzhWubtnXQP5TetOhVQle4zElaDWLOeV3O+Mz0ZHmVJVhWsuReuYrUOwwcMNYcBYHa
37zcBlu2+emWqTHBlU2Qq5gy21gcQECZoM1wiSFG96fm7aONvN9mNQEDF4VqS2nQMAxBO/WEKQoQ
aGBVRh2NwFan9LND6mT+wjIsQHb6rrBbr8xMIJD2QRVXTpvWao0tiFbHNkGnta+6Yqo/L4vhbf3x
pxPGyK217GC2tbdW2DOBkzlRCnVIxvsUIRt11e5x0o6p7ozd4NhRsbWAKZM+E6CvqpissW75/LNL
nEq/SVE6TR+NFztFT7tR/UjVGy13tOk7Utqbpj4V+mumVW6KIFT7kZROQtAY7iS5y+rd1BwA1WAy
SafKquEGQA68bGBC2SIvhcGJOeh8vMe+Qc5+93d5AUzSl+ROf7gstfXDfKckFqwrUw1rTQMlfrCB
/Y1JjPDHNB4TLMLC6T3H0Y4j2zscJGTX4iJUrf/H4Ns44tlhLd5aCGSyEaOOKnpPUb/W3WMrrYCt
eTrLzmS0MNlYzmoKvhUf9Zko6K24j7HFdL5uvspyxG/Rhqh15xSEy2DpSpFgfGa8Nwv0cSuBw6bN
tKlzjIPEx9kfbac/5F9K6hqPWnRIo11QYq4Fm1lipxv3wGZrXE33iI69osOJIM/Moa2zO5UHK9wp
R2yA7Nl1anldubelodSabwybqBOdqug0NESjqA8kyUo8pLWXvZ56xWWHEstWNm75uz/J3b41rT4n
J5jEOadDrdBhscFL5Ha6zwEJZm6+L/VCa/N6h2KCNMmxpgHnNIUczxQYY4O83ICl6civfwEaWIHl
LuyQAbzDT7zCg++3N2SQPKuO5zlZIUTOyy6L5xlkCwBZAw/iCyAUYIocOsC7p97iGZH9gEbf6qq4
qj1+Kjao/kvSS4vuibq5JF3QG8lM7A4XdLMwuiCzGrK03fxIPXMzuy/pTjZvsZrDOqMi5rBzjiAu
rPQBV7lyfnxRHJQWXezpa532LvH5lVnJEsqrDuA5ScGPKFotBUQUGJs29Pd8722fvd6nXvi139F9
8jPaSKzVmj92Tk+4J6OSE3Q4g96pxHKluHR/z9cJtnyjULnEZ79kZYG1WNwAkpOq4mISbOX+6Du0
SlJmUw+XjPZB6kUmItQxblNXmYHdeJm3dR15JyWEx8MUEE3tLJSCdvpjYziV6ZkY0lKA5KttZyqh
tvrcGIA4pCaQoy20ln3kLGxZHEQUnHlwbZvb4hh4eF5u2RWX9s2uC/GdlGD7u35S1IHDLZqwanM8
TJUTeOi6Qckh33jNnXJAM41MUdYC23P2hBtHqnmM0fi/BLbE7a7Dzc/Om9FSlEvbWuiiA58v9x/2
xCCoroZGV3SQSjPoReuqNPJS5qroT5yPSeeVebpJf43ZqShit+u8djPMj9yanQEYZPlRpyd78IYA
GcJj3ByMMIQqu3W3DTrXfu7s+7S4CtimT3+20WNTnuzo1wwAk3w/JdsIGGPhpkDkVQeGP9AvpLnm
4z5IJbtMV532Jbq0dM2yTKjMR20xms4qbB4gdkY/Qeh01xGmmLRtiKm1+mbcvV6+CmtjRcsj+Iec
cM1bMpOcVSA3LIhjo3NiGNtDH+ZGd9VvxN9oT9c19hrWjuub7uZhKUk42Tbx0CV0+Uve+qs/He7Z
lwgvZVEUuTFMcLFPluk9W7+TG3sLJJRbs7xyH17bl8nHaKWsg0NKVXgr7bRr+6wEVS+8xcRvs18A
JrVNBGfm1dG5q/VASIlOpsTZXX8sz7hdbvKZM9inRl0RwIPcTw86UNaUAzsqsZNY7oi0G3ksvo6A
H3pqv7Wv1RS6GG6Nt/b9TL/za5aibarmPy6Lf9Umnn2PYH5RLo2SpoEcACaaOzuytVB/KGWbPOgi
zkuHLNjCxias6WuQ6b1kdvMDOZqdE16jlPfSb5Z9B8aXAX0Nt4v1mh3TNZ/jXXbSHq/JdvdkvwAR
bIemGbd/JdvBu34iW929kYGrroaxS4wHrH+mGYwJmhikWZLkJFwc9R7lOGBZb3rkoEMpJKiUkqB9
cYAlNuUESvPWQziCabTka+smW1m4vGqjzzgStM2kWFgZ8Hi872rnuT+UV9RpYgdjB3vZBIyUJUGR
9KnpSiMFS+yUXHfX3Wm+tnfoqYQX5lxW2Tdz/1mZ3s9JUKaasczmNbgqPcXYBCZx+rB3Ru2gmhiz
vhujfV455THL3LF2KgyCswPg1+tjyLdmsZV8zLqIMRKGzCdDA5HwMXYOz0ZbMgSlf7JmoCk2tyo6
dU5fzckptq/WHu1LCJyv6tOwl3kYq76a8U5bePbZ3BGTVhDEWHvWy9hd1V9r6lZAz9uw++LG2LbR
lmr9X5Flmmmrmko0IlalxoTpfZPAj0qSfRPemO0d/5WF+k7PNnmP3mLfiH7qqUuN8jDcXBb3alh1
Rlrg2CrzuKbT8mzZ1wrWngELYfJs42oqPZVL+FynxTSMBVmUIKv90VQbIfIVY4+TbbfdEYj+rVMd
Mu/X3zD0TkR49qkdYF1KDYa0BSACg/Dob8gkjKzfTfZORHjsk64o2LxYX6To8LaNidt+odOuzY7T
5JvFgxVKruhy2T/d0DOCgiWd7Ro4dx24qjblL/2ourrM+1xLqsBE/zkc+vFw2tnW6rQFBcPxqlu0
bsOGYuR/l0jut/A+YvELlhkthXxCkQS0DUHhsiAdCQ+j1KfFtTa7duYoL1yBQ+hO99SUiG0xx2di
+0RMcKknUs+lpYapX3Jyq1e2Y7XVSRsaiT5IeGKCYme1VVi0AE8B4KhnZybONDhB6oaYDivcQaYM
Eq6YoOJVrwQZWoZSnwHcJG1OpXrDTMk1EhTuTXKAe7Ushq21lIjJr46ZZIjmLPUJ35OX5tnuQqeY
fl++qzIiwvG0DVbNpFgL4Wc6nLXhVs2AmUsTd5IV0tYOiGG+10YYYBqGOGdcgZ2yT4vUHzKstEkO
o+UY/e9BNY6mYmzLDDNamcxIrDGH3KFBlgoe/ln+fuaYqjUzx7kvU9/kxEmDQ2mF27jnXsMkkc6a
OpwTEh5MnQ3aoGVN6ltN6ibkWMS/CNMlKr5KhFGkVpFRMNFQ+5Eb25gBULgQ0aIIwvrdajs7lGwe
WqGhYpJDM5Z5Dp0Ygl5jTrXjpCGZb1K+zavjZGMnIXqp/7XS4ZmlmOogS9OL2LhVD3E6GTbN/HxQ
bhhQjK3Gck3jiY+7y4QWiykYHxAyDbZMjlFqCzY76K0uB0585rfduLBTmaWEwnKynyjAZYBBpZZm
i907VtDWfCjVzFebm2QoXdTl3TQ+VXa4bYzny9ysHQ4y7v/QWkT3UQHGiSU9JzicPLU3A9+0lHrl
8O9VeSlaUHgHoKWKi2TDNFL7oNQzv2Fm6+d6kW6Vuic+bfp/Cfu4GDhVwyuEDgJmqFRsLOM5yRWt
T3M/Jru2zbzOPsR1LdG1NaEhQ64tL50O/E5BaLFlWHqb89wP4xusZ3JUFA5NVXf//dEY6JqG5ODJ
WeIuQhpmLMLDlvue0ux/qMnhL34eGUwMWqmEMrHG29tD3ZVIKvh1tFGNk5nvaPEXNx9m+Q8J4ea3
JqdTwsHBMG/o/JinR6t7/QsuEDogCjXQU0cEK5lwhZAS/Tt+XCKoILAslGGpkkSBV4y+irI7wBB1
rHthluDd8FyFg9ODSqMyb4jRFKPdGMYT1ur9zZljrACbjdAHhd69j9eRpXVpNqGa+1OxselyKH3+
cllia9bFeCchJgnNvqlommi5b4e3Bn1odJTXY+YQgok+pdxcJrYmuEVqiAqgZuge/chPClhB1azt
3B/j/MAB0YX7qBa5F8399jKlNbN8Tmm5s2fvcqcq5Rx2LPdV50k2NCfjYvn72W/HDNB7UWnmvhFv
FHpqok2TncZaIquVg0H3JFTYhLvOiC5Q4Sp60qNSSf05fZ7G7qDm+5nE+yxdxo4kGY8Vjj7QEq4N
mZilRApoDUc6xV4L2Dw/VWXavEYFb4uBNl8VvWWGwFGtNUqh9HnmkzYH6p8SYitf9XNGhdszSSYD
XBXzHYvtX56yP+QEpuaJRwnWDIDccxM1TtPcNlm9pSHWHNY7Wt0b4y+jdnSASPOtFfp0xwBIM/i2
HrowIx6Z9opMAisvxYdPEgxHFhY84zYkEPVXXe7Pw5eI7f+14oME5pEwLIt33BZcOHQy6tjxWWa+
NmHhYnir1g+XCazz8E5AcHiKtDeGaCFgmogf9UNefx3s7X+jIdiJyqyRGFPqzO+suz58GCzMY2QS
Iy627f5//XhnZGH07BqrHe05AK0hKYN1rqbG7Z3V2JbHjDF0x6Jqv+hlWGwx8xlt5jQpHE0h6jam
bXJoRzvFggfNQFdgn9xeZn7FdH04QeGahBhsMJNFwJZ1l0+/lP7Hf/t94V7EpJ1oEEK4LJ03ttFc
dVEiydev6gj6zbGkDMk94w0a7Uy0s9IkrCPwiEYsRLlT1OPNX7CAbg143YhViCEcXT8mZqgk+H0V
u1C06Dg2spu6eghnFIRD6PU4N4Mpzv2iq90MHXamLHBYlRG8efJPGCR6wTqep5Apc+Yr/CUejyR/
bnKJLVg+Uogc0OT0TkJgYtJHlk81SHTosc/QxqBtyd1kNRL/d01WaBDR0UJAmI1Jho8XiZKm51WH
ACXuXkj73OijhMCaqM4IvCG7nanTFHSDSmIEczYtd8rQnTJGTjxMXi9rlYyM4J82LAn5wECG9th+
gwmFSJFCh0lkRbWPspoGqivjrIGVsHNU616zfl1mYu3MdVVnFFECdnCLHnDedwbpF1nlg7ZHyeY3
U65LM5yddpYN367yoiGCR16C4aYLcY+aUzOKsNfOb8pvY8+cwpCVR5b3UFRgLDz6Q0E4EaU07NGM
wEwwV6+5mWCIeDgUVXNv0scxOc2owklUTcaTcD51BvBwU1t4ShMHa23STvbsLN/8mSfdRg8idmZZ
tnApu4yraIUxM78P096r1eg3crLenKC9XmduAqguYmFw3HgsyHQggbW9rB9rbqWumbqFJkjdREz8
UQHzqZynkVoZ3MoS6csoOlY9PZr5t3mgu5qMstHSdYG+0xNMdTiXiJ8YXtneeOBoGuslT8Gqvp/x
I4iz0bq5YAp+f6u90scnya+vmgQIHNkKAKxhkOmjtIyupToyVpk/KlvDip2JXKWFTOdWj2TJTqDJ
jiBZLuicHiLgKsww97OJ/6hSpJbDccOafapRT5bxFSv4b16PblALMHig+KkHVk26cGhjZESGtEer
IQAznH4K5/1sTb2rYmjLJYnB7qwWHc+oRvAtb6qbkvOn3lJaty5n6vZhGHqqze19ErTApqlKLK+z
u1EWw60KHy2ZyHqxxZEXhJ+xsu6qNkGc1RtO85uTDpL592kPFCAx90A1pG5sW/DIx7SgZp3l8CTC
wFVn2y1Aa+TfLl+6VSU9oyK8kHbb6ZlGQaUMvXbYxfR6rh+sn5eJrIvrH1awXkJMQ3GMNk0pomnf
bI+tvY2Hu5ZLSFziYyEh2GPC+JCEi7SSfDOWx5yeytKVpiRkjIj3AXlQJYxApep+TOVDX1939e6/
yUoIYgyO8aJhWBjRblDLsdXjPG/+ggRWAuvYEYGiry3IiuZFwa2ozv3AwtjOZABwXcGGQOS/vMuE
Vg/FRrBn4UQofO6PNioM9AobkRBODrTeqmPs5JHqMAZc8VHi1i9qKj5dS+iOmU6GtJfoWxDeakRt
YTtMAPkrWHEzeFbwS5l+DhbfR9nLZAYS3tZej3OKwvVMLQzxlE2W+xZRnMT+FlSF5MGX8SRcTasv
hzpTQEEZxn3df61K4rTsWFnATq992m4S/nT5vNbM/Zu1MdAKgBBGMGvYWknyxMY9HQniF2cqXDRv
5880uL9MZ00vkGRHhh1D+eonBdSHYjbLCgo4ozmJf0mvunmbJBIiaweErLRmE2wAxVSvIL4py3jW
zRSWzfytc0x28L+4RkiAYXoZjzzDhu2P2t10KuNmicdxjPLsyUzRpsHMLPJ5jwUHlwUmFvzf3kZm
oDMDJSMKqEqBGVNvA2zOg1UwZjtyipsGYAYhjzdE80uCeWX0MtTG7wxjIpcJrxm8BduM2ci9YwR8
+ftZfFPxwiybaMC9qqZNySPXjn8DOuhfE9FRkEflTSNw1kVv3Yz4MGrRmPimkbK7ugwB9THq47Fs
+0Dm46747XBwMQC05K0pSjwfGSrjuhtCa0r8Ig62VRR/0aNx22utN1e70TwGxQhXg2AsT3/QRqxd
sPsb1nfA9rBsjAIlKibo7BilaOx1uyyElTvx4cMWdT6TNBv6liR2n/iqaj9FNnabA0iAxXzPZS2L
YmfqokwfSAmH2k65GRldl/hJN21z4lTRMZ4fOst2dP2Lqu+D0mcj0K7izZhwPD+x9zesYtqJYYZW
w+35yGph9CQNkCnBW904U/iqYSipMA5a+niZzorygs93OsIFRb1wshtmJD7wJoMv7ZBlByOe7ps+
byX3c5USgDhUjeCGmkSgZBmzYgzlnPh6mHuG8RxF2C08su1lfsQRxH8O7oyMYAX6igVpqWmJzwBQ
YNqxi2yDM+fBdlb7H0lPYQOqTdLWpz4E6kcxbJuy3/ZDBPgTMm+ssHPJIMMYWGUdVxdm3F5KT8I3
oXdvrswBFyoG8Kt2wLCpwyWl35VnCSaPMfQ9AjMBfstHfZlTpZhQ6cadJVa8r/PaS43xgdXVTUa6
b6M1yuYKVglihe3SEYcyhy3cxTEYqgiRW+KHyveoMDwyO8VTlwxeMr5ePtJVc3RGSbiKugHfmFWg
NE33mnqvcIyUYcqSWUj2T1s0eF0mt5ZZ1pF1w/9Iipiwuh9FyRObRxVXEn/gZHZJlfGNUQ5ovtdJ
6LYjwM7HKsGsNzA5nKRLMf7Vh9WelrmKHePJj6BsRy+qAUZw+btWlQiYGCiN6tTAXsuPn2UN2tgb
BJ/V5EfUmZ1qrh2tu/tvRERZT10XqQAH9wEnCIgCf1Alj+WKCadwdE0UxuATGIbg7uZW2pdcNTE3
NNW2R6ebbsmkheUN8KWnzWVmFokIDi9oUVhyNHjAwRZsaB6A/FjCthm5/lzX7T7qmq+XSYjT8Yu5
AQ0TziC8KDyaQpzAi74nZg6BtXN1yC2g4PcIupljNxiU19DrU30rgKGSFWjITZ+0gbvhOHomChAD
ICnyCWWrVvZNK5ry4Zu0j5pSaQYKdZaV+HaiP87xvE/RNEGz2K10ZxjvMs1wcrX3+va6rhsoM3nh
WvFMYSsTGkuciRUz8eFbBLvUBlybSIg+OLQT0gPrU9MhyVSiE77EcPasYGtQNg+7y6eyevCYq0U2
Bgb3E8BhHkfl0A44lMrgjVtGDaIPlcyHy1RWxXxGRRAzeuZLqwttuGTRzuZfGHYDBN8uk1jzaSla
U/5wIohviBtskSghvgw7O+FTafC9SP1qha8BsHzrCevkTX2vVLIBldVrqlnL0ChgIgE99FGFkk6r
8w5dWD4lO5Ydo/6lfSCNxBasWVpw905FuDxlEVXzTOfUV2IDM93a2G7SFNvX6rJVUy/u1fnKZHb9
nQ+8PpTdqFwju4UhXKUKXVUBWKfFG2xL50EgCZXXFej9w4SjTZsiyoeCp36z6b8qkvdsXW/ef1w4
U9Y1UwAjiLZNkjuNUXnT+Ds2by5rjuwAhddioIne1BYUpwsBZRGaTje9NhGWUVmyUVgZpYXdM6ec
5K29oL+j02Hchtpp3vfzvtb/ffjzQVOWjzgj0jbJ0PEQ+jh2x2oBXA8OFkC9Lsts1VYhgNOx7Rel
SRGVI+kq5LqXnt2WY+9ft4W55M0PG9hsxctlSqv69U5JbNfSsnbG4eMtV83hOHe3PGZ/Y5zOKAhX
i4XI208ajJOXk2u1/1qwh8ssLD7rp8f1jIBwRcKs57zlEJY6GLCux6yKnMz8ysn94piEgImYZBHE
+vkYhJmGhq5QMdPOCjXg0YT+1rnPmt3cBOFNkwW70A6cDMZqR7WOS7hcvasGomCUQN7QDD7qXQEz
CIVANFHRp8S+ahh3DEXWgSjOx/3jRJxREWQ5M2sas5HhJRkin45uwb0B0G4jBRCFBuDAmTaOMjd3
HRzQwaqxSC5pgE8xYl8h8rh2BtArA/tODOxNrEdPR0tWa3h5FyDX0t2Zai7Luq145Ch1LOV7TP8w
zCR9lEo/9ks3EL43LiOHNZM3YPZFP6bksT0xUxYKr54BZtMAYINcBECLP1KLWw5WusUft+oTwbO0
azvNrehgS/qoZISWv58Zmd4cSZsV8JvQOuAaJmZ8EGmEk3P54qze/TN2BFMWaXDOUgZ2ErJHK30n
8X1EuJ9/lAmHgkDbQulVE7hQGnSe8RpcVPlRBRaamh+SvHPbDCWY+zxmXthu7kzpnPk6WzZF2wia
aFFv+yi8Is3KBn5n4mvaDTXDk9nbkkd5VeuQZPsfBSGBkJrmiFkEvAGdXTijbjpaTJ7j8EopKywT
j/yRyhzpRY8/2bgzikLcPuVBXE7LaEoaKfuSRZiZ7zdml8Ozx4qMyN6z4cBV4s1R+r2pZBngyxI1
PlWEsIGQJCb4rVl+0NpsX1SSV3X16f7DnyEWhGrewPUbwV816E43h1+tmH5pKXMol80myJgRTFwX
daOdLKKMUa85ycJW2a8LLlWnYLQ7HSGq6jju9pfv6/qFwjgFA0AuhipEKfWxUgxzgk8vqg6zyP2u
L5gXTfMhn9XHuNAHF4XUu9ru7qI68qNO1tW/ypyN1hyMY9nMFPPa1qCYiroMxjRYFeZoGFe5zat6
/HGZzbWGS+Sv0R0BrFzk6N4wOc6sn61FmZ7yPPWR+XRnVMvHTPVmA1FjqLlFeYUWunYCFPsRkARx
O2+SnmyDNNq3CZaMm+F2UqtDzdXtWMX+ELG/8JjOv06wmmWbZxjpxdeRJnXCxnLK5NtlAaw5NIjm
iU1t1YKjJxgwvTP1pKwwC5Slh7BuNjyukBecAOMC7wDxfL/PqWzacs2jOacpmLSEWXmhmIvMwxfe
UzdMOjcr7wOIM2leL/O3qsfqghVDUNfEMyFckp6mNTdVuE+m/i1DA2FW2YciHJ8SoEDOOTtR4N3V
4WaMjOc4wU5hCfl1+b6TX9T8TL+sgkeZFU6pjzkygHwlO5TuMa5W7fqKnNr2NlQib2Ro3K2vKlSI
8iHCdj8kD7wu8qKu3qKJc2vD95qD2aW5bHXc2tuPkWV4/dbSeCwWcdSoHaLMgHDUaVvE19l90ki8
i9VYXtVBBNxZ6BQRY2pMENeFjWi3wDboNAD6JqamjcLNQnLbWKpbB8HGagDN0stEv5ys+I6dUxb8
NTXFFqReIzC+w+zEDRZPDtd5+3ssf1fjb10HuFuODrPqSoFbqQZ008iMy//BO6b7iIk5CNS6Px4+
0UKr6M0abzcpXbO6KSwAsCnE7afZnTX0rNvZMWyv6riXWO/VG4YMEMW6C/S5iXnxNjOGvg8HCD3Q
/MzAXEyju11RO6bV7KpYNsS4qkZn5AQlRwNHWsfRCI8hvE2GaqdEN7Z0rkTGk+DhzXHN1IJ2SJvo
GPWvbKzQelGzY2aXBzXJNpfv7SoxzGBhpBB5ZyriQ1jFUGFKDrqj1bYbD5vawLo68lwikTfHkjdI
RkuQXtFXVl4v+aA43/AG8VzzY1KcDtEPo1UpuRVrzo96xpggxTIZ8aYsxKIM2xTNo6VqW7T7uinu
wmURrlveM1LC46XHPQmJoiGxwH5kdXGVaFeBoWxCXriT+QOua8/RK1/5ZdlLPLxVfaQW9rygy1P7
NOA6K6xmdg6jq1qR2w6vdVy5QykhsmrZEZ1pKEsD+knsiQRAbKG2HSSpRtbOCo8Nz7ykhzEPtm1/
j1Si06oyVOXV0zujuajS2WtioruMJQNo2vUh055ziilrPdtZhnl7+fBWCUF06CkwUQt/s2xnhDD0
ZuV9W+GJTsdpV0xAim7Rhek1JLSdtiskMcfqgVnIif5TfraERzpqw7pqB7xDaZg5qvbQx7XDZMnB
N1/u04OA5lX4tBQ+7afJNML7oi1hFQdgYrZW0x0CE+VYo1TdrLOchqUPNSeFM//kTbor0U7Rq9so
S/YztvBMlqy0tSpjG0+jhtFvyFg4zLoladfZ0NK6u64arKGwis6hdN7oHE7A5fNcE7CmYr4GmMkA
jhRHvkMjAEaDRuEFoeMUpPr+oZfe+DWX/ZyIwBDVSNvEo4Hp/6j06vyYoafrMhtrpvKcguA5Avhs
0NqI4QSL1NW6X2q/Y5HutKjzahj+u0xs7XyAmkWwwxR1R7TSfrxsk41IO4T7huaTwq1yfizH6dBE
13qH23CZ1OrxYJmNviDd6ohGPpIq0UICJ8BK/YRxtwawWoPuKtkIoIyIcMkys52yiEF4hv2Q940T
x5s0S/8jJ8JjRgN1MGPdBK5Ff7QU1WX5SallN2dV0c7EJZxMnmAYqKwhLjK41r6SAbkvWiTaiaXR
HdjDFH6bIfAwd5wb9ozJwp5V90ivuvWcYOspPY4a2TVF+TNE38RlBVhVbPRqEwOhNkGH3UcFAJq6
kuiIRf04rnyDobVGP8QlKofodEaS8zKxVfExtA+rJirreE4+Eit1GlRNm2A4n7R4i4HJu7O4XrqX
qayqG0OnBIZBMe8k6nSf6XmkjBnmBhPA7nOtoi5lnYr3eMh3l0mt3lRmYT4djxWmtYWM1ahw26gJ
RhTtgW5L+q2Owu0IFGSTX18mtM7TH0JiHb9Fx6oZFBhzKzvbqftxYw8PScck5yNhR0SbqNoGMdNc
Zb5hBs6QWf+PtOvadRxXtl8kQDm8kpKcvZN7pxeh01bOWV9/l3wOZmxa10T3wfTDADPtUpGVWGHV
j8p8DBLs+dR95z4/S5IAAFW02CG/CKxt5oESj3lSq7qf7rGvBx1XutrGPzGZwBO4JelW4doRkiHV
IrLHlnSK2rY6vE8/drtRgIst/OJ30ErPaoXKeOq93Gdr6QBhsRVrHnVHlzEj4Gaf+n4pYoq2rCqa
mb8jGdkToXYzHkbVYi33khJjKgAG7k+9WKf7CEA7VB4DdExbtfZUq6bu+qIZ02Ksmo3qxx3mMKzf
re75tFVEAdg71j4SSp3WqeL/hT5cfhVjTYQwCrthgD4Uyqth/pJEgIBvg5SHkbukDaaGYAIRNkYz
VIZ5uc/SAM2JsCNx4ejNdvYmfcPDFFqyxoCoQJ8u+rzmHu5ra6UnpqkMMgYC5bz2Actu+23+aTTl
tpYFJ2qRkw4ljlosyQ90AtMCmolWKBags9L8JkMdMcUg5aSQoHuUFRPI64kI1HWemeTRkq/ZQ0NZ
Y2rzuBi6bd6z0GmTyPaREPC8yb6vFUtaiDQfpvLRsCNjd8Y1JUROOVDDtXSvyMM+0qQ9ds47Ut2s
kkR3iyTm9MAsvY/QSwaQUzRBo6ObMcqqVKlF2qAJGij+KdFb/VgP70pr7QJtp6AFCH9raw06x0Kz
ULznQhD62GQd808GYEcY3cfuMX0QAozZagGySkHz5IX1Q4YkQWoCtk5DxnbKaJpHB7Hsd/rkkbCv
/8L8WMB6xy4BjABZrLmTxygcZQNzuNZYbvvSeEsjhRZxtzZKXnVoUXqQuUbTMq4WLV/XdwqZjHNJ
w3RDNo1AZe+PBpoDu1E7mNzYe4EUqjHAC8LOLx3PeuY+sybTLQtLtfdm9mpW2B3bDnaZGegX+HZf
ThcJ4SWIQAgQX5hiu+ZJlgotKw3cYCkdNFN7zNKvbNwKuvHnj05NxKQBgEQkLDNjZ1C02oyRFsMU
hSqIGx9tjalYr/5mZPqKCqN1pToEtdlhcqJA2ioynkLNJ1H+FyHrFRXGiihTExTBPAXQdcJDh55M
XXiRBaz8Q0q5CW3P4C2gWtIzUJxhfayzD2BuCet3ei0s5gkeQ8eiPUDWWvGTrr2OOjx64eRVTnJA
dZbimw+YOQzobO5LyYLzwZ4OhC0zygz0nZH83MqErs9F6Lk6kCL9wkPjb8B/rmgwz81aR2VEbkEj
VQuC0rhiqkRLOTWeRUZQ48cePQM+h+3vCJMEtcgCYDaR/GVkSEVUT5HFa7ZY0ikZuy5hkLEwCcNQ
1zrVTqXYlXmS76dQzVftqBfES5XfhVg+AFGr4niaRWpAeAfKASqIIMdQi9RBs2ITsyH+tKlk7M4r
yxdsS7SzjIcQu+DUsLRvNrXojsGEKCP4ogbQxlD1831gfas8MqWbSN8Z/VrhbZVYuiYZfgzZGqSQ
LHYUpRTlotA9IdvrZe5kXrNFfvgQd8rzn4v1JRnGXAyRbqEgG+f7esJLaWWkxOo58ySzZjLPW4xR
/8sJc2SyWQ+ZpkT5vu8SInVfLdZo/Q0TQC8z0SmDF+AsHxfZw7YOxNxowYRevoKAbn0Tu6/7JBai
i3kW/B8SjEAbQ2NOISZh9xIGkEk4dhWxmgntCU4cYvvGoNpCWeyEVH+9T3cp4kfOFzNCEkorGlJD
17wVGYLDxtAAspFXysoq0mJVhEpLQg+LTlPRhOlFoLUaBll77RUDI8iFQeMsUhwzMtQNSp8RFYsR
oJX3P2xJ5zCKbaDrG5OOaDZnvqvqg95C1nYvl+NKsww8RiZ3VA75xMuLLXV/Y/UGMPDmsA4uelaV
i+sdpK7GgwCqIEXaZjRLd4o3Smk6Rm9Rs6EiSql9aK2B9EP9R6vRXM/o7TEPH3tzoHL1oqu8Zqkl
kQYwAVYKgX1kUhmtqUagR/hhnu+zUiuJWanA0le9jt4/4iUTcEmFUZyq7+W8UyBzw1BXsJ+VRuUA
SJCmNxbufVKL7hX+FUOEChZKIFNzfcZKnsuhNGU5kkFfRinRHm1mRTgXKXsRCEa7QloP8m7M0Oht
GRu9HP7ChKM3z5whzzBoch7Jv7jjwk8jPc2qHKXLLRZOpZ91URCODi+dJ951Bp4iioWQkrm1sccy
saYtcWu1YIfJaqo8Oxg4zxAeEebStCEFdIQBRnK0tyH+MrExQ+aB6y0SQbIBrgiwnXiDXN+WJXq1
khgDiARPyAkAl/uQdf1fXAn6YdAEimoTzouxPFafTjlCngID+XVOjORQdNFvWcNEYvI34QI6pHQV
M6yKiYLBNT91BBi6pimLfVTVqygTfozyTykNd1De+3K+4L7hIVQFaoUqGnZhXBMaIzEE7lKTAyWn
8YhVCK7Q+FvTwNMi6m0tfbtPbuGersjNduRCqo3GS5EHq/O92Y7Ey79LMepMefnndgITuedCk4nA
7rwN94KKN6SlGHgi5Bo9wVlTr/x1qMUcL740q6mbmGGc70fFxOTM6yUVMYBED0WxrwVz1VvqY+B/
K9rwgFU07lQXdp5/RystzaKK1F66QvMIjZOGo10LhhflNKDInlFE0eBx/REYpMiSsK2LvZkXm7yq
thkPendBQjDgh5w4Wjtna8SoFqoWbdJGSbGv5jU+3jFQVz62iyppQLyB59oW2EGyGmEF6mSKYbID
IIbuZ6aRjAVSI5Iy2ZD+8lMLAjzZ7svhElOoqmOxIeaz0HTGGKVebb1pGmXYC6tJ3LSUs43eZ5Hb
ZapEvAJzfuYUqByxXGAOsTgqTOAOwNns+qUUdb++A0jbXksKJ55aLCuP5L8YfcfRqbiqeTwSoD3X
AtFIpiZYg1VgAsMyV00hxNswsIStmg81RwMWDnG+JV2eh2kMLJa6JpVVYoukLuolIf4Hd9A6ZauW
bUj0SVfcLAstYuSNwkkaLB0iCCKLZqA4BDzVa6JDY7VC6mXlPvGq70Iwt6hb3uq+dCxYKUwJYuAd
mTpMPrJwiKGnidUQqOU+qA8moDcqqwByBQ8Ja4kKcmTmucES/VmM6saaF2W5EVV7Bei5xvQNJeFK
cP6ck0sajPJG/iDXShRX+yRX6KrE/J8Uc9owli4EnQN41SJasnQ2A9Z0o1ybfVjBK0Zrc6p+p9Hf
DHEDegozYWiTw52wj0ylkbSqVYoKk8z6yjewjLf0nbb11vdPa5ad64cZmBDnLLeKpwUAja9lK8ur
egKSJx7pur+v1E9dwjKctCFdyAPc5FFitTQqEnj3IMfoxYsRfaQeZuz0h1j4uM/Q7d2AIdgBXA0e
azd3U0eG3oxKB+/+QxpJw3uS836eSTMUwHXyW0REe+xttTXDzmLd/t8YYEIutdRDP2jBQO/UtN3c
//FbBcRTBXj3CK/gdICWe33daFgYm0LH51feyrAy0jSvZsCxkYs0kKtF1kCBYLFd3GKZITHsG7iB
6skMXwFdLMrf7rOxdAuwIf+QYHyZJle1Xw46pNYcSda9AoDuPoFbYQUKFQzurBZwmKxaqJkYjAlW
2e/jGkt+Al1s95VUoCpfFFhwIvQTx0+eQ4prPbwmyGhHMfQYSwIUzb7qqDmuisKuv3WlU/musA2z
g9RxBIHHICPHfpapg4h65V7PPYWaaulthlT4yEQ0pipVWnEs5iy0t+wBBQIz3AZC/PlCLwLH1BOC
rFUmsCcovZ01GLVSEQdIfeXI3a9SaexBygXijT3Hvt067Plc55WdCK80jI9fE+68KTQUD68ktO2k
hZtmvo2dAF4d0DB+ui8zSzzO9YMZUx0DVCzaOUbHojaTEWBZRrVPgX5nYCcjdjeYqSt7EclNg+i8
oO5WETBdCEgheAk4bd1gzjWPcwVBjljvFeV3M0Nsc1qpF47v6veZ48vkyOhjBb/fDyESD0ePRP5D
Pm+U4xzegjzC0eHYEIGgV4yFgpghOi1lkmsE9b/65AhZ0DCTl3ITSYsMzWQAro04h919kqa1ZkyD
V+8DXVsXBnBRTq2Q06nstonGqQvOh8MIPVw4CCFQwFuJ7XTIR7yeZTFs4FtDkgPWRg3wmvi4L3WL
RLCHZM57zlgvTEhV5cLkmyqI+DivPHrtWjepX+/TWJDseWnkPzSYkEqQgCnV+kkDQBmRmkm0xSZy
OmBNxBiKTlD8VvqYDI0ccl4si8JtGgh5EWtBsxjhqzrV08cxbYA+8pxlT33PyxkvCh1eswp+Hpk8
dvtSYuYYpsvrZi+WjwmWQsraYMMiDbLs3D/ABU5QHzZQlp0zhcoNJ1kpKmM/tPsQEA6O0pfdpm5C
i+dEZu/NCBz6avBmReUbHVCs12qEJvCsVm33YzbRxEpe88A8dJLk9nFD9LR/Htv0WZ2yrRau9Hgr
ma9693mf01tRQdsV2ntmNFq8+1hDD/+IyiYWuAE7xcucAJ0FbiTIyArLvUcqOU6cwEdpHqtNNtow
ppv71G8vFNSRONSw1AK5JFa7mwJhYVOa3R4Dd7SzJpJgF6+J2V6d8yS7NSPXhBi7K3Vm5vme0e3j
aJ0lbl+4PUZ7/IOg8+501t/rO0WlHY4L1UZgFSNIv3ZgdehVZq13/b7pozIGiHdSbkUlM50MwLk0
nIBgaVmpR9F9XpFi8CVXEOt8df9cb40MPgLTNHjw4jWCuuH1R4RSqkcNJHifTp49+ECQiAYiVCpH
4ReuD3lZdPdAUVA0ZBPQg+dlo9YDjtHsneix9udRyX1QZBwytzI6v90BAIqtEXj8aPNnXAQjNWon
iRFXQBXUSnFXKO10CATMOild8r0xgMqtj2K9VpPxBY3oCicgOWfiri8UMK2YzgHEHJrCDZbJYuom
c8gNaa8BuGhUsQxrOhXJIfnVR3a8s6bnUY6IiMXRravF2+YZP7QavVP3lakvsbcR9ZDyMNhuz92c
x5iBsoi5RGT+5wO7OJBUzjRMFAfyPhzqwhkrsTKerCzqSqoFWo7BvAIVHY5JXBhUArgegHzmgQlc
NVse7lo56ZpkwjojoyMKRs9Sq8V4o0kAakrU0rLzxHDGKXIq/c/NMYq22BmC0UMkwjCld82vL0VJ
XieStFdSAVvwYl3b12FTnu4rzcKpohkInVx4PgDblM0VlUnVof/dx6lmobQRO70SSI5xPNIqeGj3
gCLgGKVbLYUPQzyIJrIZe5TNg5XRNJhGMcp7TFdiwXCoA0vrR1JpVXqIhjw0OZK88GZB9cs644Wh
wn9T/ssr1DWivJb2om6nJVUNbHMjhWIDPh8L3qxjijGc4Y8t/DVNJhQRI0+rejOXzmAYRf/Y2rlW
UmCQ37+7BRMBlFhIJXrxgFJiytcSEpd4VCDTJ+2NVO0qOmmNlNIkrzK8W5K4zCn6dbE3xCyayfaD
CSNoqQDoxvsfcetkEHtL55w+MCBucJ2xuMwUBqHDRwiSvEKOybQHYJ65UlQZG20K3b5VQ45aLtGc
Y3CAsiF/gmrcNeMAyp8GwOtJ+2E096MeHEZUAEmuWBVWfYh734o4TC6dNLo1UPAz0D4HiLtrgomg
1GoDLMN9lvU/gwDDikCblFO0WAJ2cp1FMRXympRxxZHeBWWBF4D6w7uiDYbt15WqQMaOX9g8dAkK
jjn0zfdcTi3aRHU3cpz4giUAgAecOOZ/0CPLoqNbaYpAE9sMgPHkPzcdxtjj0ml1YBEhNrkvM7eR
Jrwa6qdIu2CO4AY0N+6FouoACIdNAGrwvdSrzpWFSuQc3jIVJIrR1Am9Z/vyfC3MJwkWaI++6pCk
Y9Gu46LndYovXRFe7/ghiAUKg/OxXrilvm/yPjEiZW8m6bQXlfZLDfyGluik5FiVZUrzqDBab1Ea
mbXiglIBTYujOFH2XqL9GHrtZdSao9B5v+9fziIZeH0EHwjRgZl2TQblaJRPk1RBo40MAJ/Bt1Zz
tmRdlOLEScLNLoyJMsCLDveKMByOfX4qXHA0BaIm1L4uAxM+2aIxiirlW1mJNO0eFUFY4c8fs4aK
HKyGhKklQ2VZKw1DDrAuWt63w0c2JcTCcJvMg425FTtUoSFx6MBE7tIwmfMT1STUABCuA0RZxYh6
MX5E+sBbybtIBB1XKLTMqwxMxiDlYQV5HnwQUetWtMsyR9mvNwsz5Fi+RUIAB4eSa6gmsSMxVhsX
eaaV+gyuWVI5SxH3+FPW/PrTm8H1o16KVScw65j7u5YEcarUCEs+dSxErVPRqS2jK9fdiBCItFkp
Rc9/Tg5yJ6IWh8oIHtbX5NrGq4DpFhj7xKha0hndixqYa/3PoTrQd/Of4GOeFlUYMlNb9gChDo19
IJT7mQpA2P44fWOh1xOZNWzrQVMCC+9jJameJ4Jv7Lsm/IZHi4cqn/GrTEzeJN6te5gJAbX2nKSE
0b4+MjVC+dczYwNFxc86Fk45VhylqhtKvATBEiEN9Wx4BhXbptgNqVXfil4RAMJZzy3q90Do9THW
LgLZmXc99yndrPrs0aIptiKuB7BZjtx8KmZh9y3QME2eb70NWBCo/MMTFkBeH17QlBYepKCkeAcp
r47AYiqE+ij5JR6pnGzoMlcwCli1B7hu9i3el1DjqcT5yVEY0MyXA7cqwsc8zbNdZtYcxV2wD2gu
Q58FukzR5sNy1gK4vU3FHlFDgMo8EST/1UCn88/7+rpIZa6UIc5EBMZOXYexrHmZXMpAJoqKkmSK
XK0kBH9/7PoAE39u28bxIbZkZLwspMYvUgDEN0aS2JGFsZ1EEBVa6tLg/AVHGAEB9ArmQNBrfy0R
eShLWV83iOzUsKPACO6A/2GYnIrG4rmdlz/DPMCAz//9wsECdncyzaAD1EWUWs+YsIxcPQtM+z4v
N9IN5F4YbQywGSISiGyHpdADiM8H6NG+TX1SeeozFsbZtQJ3bqgvSl5zjo4dV0cVAQHDxd57xsNi
23CtJgr23psrTSahM2bY3Ec/ZLKNWrt964npmJzgmO1u/S9NC2UTCeC+WGJzfZIplDvOPNDsqdFS
7wsbQIKP2HlMvmfFLrUT5+WPzvSGHhMajYEYe10Aeo32Szf6b8UnsqXdN6spOYTYdqkbSoyMBEg9
x1kXDKf3H/5Acvqo2h/Jul/X64Hz9Gfk5IYSc29WFkaBGVn9ydbewpx4zx6tOQLPJmxuaDAqDLjA
XG2AxXsSv+JvQUMyAsSgnW8Lv+7fD5tXuCE0M3uhWmmE9v1pxLGFX++pk7kbLDMZbZnsOMq1zBFS
GMgKz4LH9oyPoph7GZYsnAo7PvrrB4O+paeIcB5LbMbvP/xckGH46RRfbTCriUqThuEYqmGNN8lX
+ukt/tU46Tswk/X9vg9JtxK2X0CAKHceJ5RhHtk3XzC/Fi5OtJsq2a80fEGUE50OpHallUm++7wD
nZ3txavjhg5jeqPILxqzLOYDDWjkeo+mrW4+kqd+LXEEnsMRW/aS8F5TvBqUcsc/BvTZW8cb9Edz
bBOPChNcTHkSRW0FKspLcNJpZJe26E5fXxyBn+3AnWNjLSAaNyOsawAZ77fygLB8lf62HNP2XOEp
cYrDticcgrOJu0eQMYE5ECR9PQXBzjXIQ35o1v5K2R5HYm120uY+Md4ZzsxfyJ4Yi73U+qCFNWjf
Awif5uzVd17eg0eFMYAalsvrGJMfTvJBaIlFfCK+GAeT5BwRn3+HPTmMH5h4UaHsDvDia256qakV
bGcfT43YKU4sepXdhWG+6oqeh8/ArqA7axNyAghvEXEilJl5vji5TJu6RAzS4WQQf9c9Fg9WYUe2
SoyV5OQewXvEDcjO9Gjwyct/LprGC9rKXJa6oI23N4pRCWi7yUPw4AWPndO+iZZtOl7u3BeQxQDg
khajZZo+Any9AK0236nTJ9Y+JKE9tpvEMT07Fh/1GgneTW3L0D519T8SZ6KPxjOyxKoTGJIv77Cz
ddqvfGJQYAI7zQpgC08ceswbgr1UhVG9UYySTk1Br0IhzXnHZnQqbrSnbJeghud8+PQr92jOcUGL
cd1cZsHcPGbrMNp+fZ2l6YVoaJ5d0PPBBTCoSp91guhYtl9evgSOjiwLzwU1JlIIlTTGjDeoJfZ4
LGKKbvSVR7bTyAtJluzYJVuMZ61yP4p1PRtONjqn0UpEZLJef3mOfuTN/LHDMf+5twueGMUvxKiS
who8vWPEkMRH9buS2ibpHJ6A8HhitD7WwwBWBoR2LoAL34xduGk+17ZHW8ILvZeM5sXxsfuCM9+X
xmIEKf8Vz+V6L9g299x4NBjlHusgCRPUdE+vPX3fxcdPxXYDGwkVJy0IfXlpyet9DTsntG5M9L83
xa4ORjuMnrQdzMnuoaax8+NHSTYH91MJnJNqR6PT7qm4e/HtNR0OdJ3RJ23zK6L3P4KncGwnggcI
L8WT5ls8FG7sU3+DwQG6Xvvur3XH2x27GDFfXiTjY6uyUqp2AssjfTdI8qDbOpFoRAybB7vIu07G
kGhe0ohlCUoxscOjavsbk/xSOPHJeVj35gqBXwmUULhYVWQMiNkXCRbYSdBr9XvzkMhO+9H90Im8
xwP0WSG6s7Zf6ocX2u8CErsj6QnOlZPsWb7Ci49gjEszVFJuBPiIV/tQ7YNHyXXb7yXpNs9vaUp9
3jzh4msRKZh/mGYsTJx3VW1EoFfYr++dXdLy55HSJx5f88/cnC0ywZj0A94I0PauXUE6jrVSpBrO
FoGF028Cwl3evXx0FzSYoytioFHkWIt1stPvqeF0a8vR7b30bduS3QHDqLzn7xmf4R5TzNlZjVVh
JhsExc9PwJVvY9/1yfPz80RK6m/T1cPmFNilbxfb8uVr/ZT/eFoHDv1GneGrc3z6bU1fnmD7eII8
83nvsxhbnsQmdhEBjuH0rq+G3bjhGJk5Nrnz82c/fBGkJdgGZqQFfh7Aj/5Kfdlu109PTxxvvqjx
/97l2fZcEEk7QyorE0TONX67SgiFVN7nZLZPLCNIbiEBjp0gOvY7XcukWElKm+sTRD94VmLJLmKZ
Y5Bnqb6hALAD9PugN0Jnpd7P40KNMJd5yvrILdqeamVPfX2doUhxnxd2VPkcKaD5Ap09gHFDyzMj
i1HQmti9JeDSd5+iTnNsKnfok2V/FTT5ba/H1X16i/7ukh5zeJ6IPGCHHueT/T46JcGODu+1PyT2
5nnzbNBH5+3DgOvRaLLeNquRpBlZ+w9r0/nF+Y75SXBzxIBqAXYhdkSjBnh9iXnslXpm9uPp/T0n
75Ot2DU9Teu4JIA5oWRPnO8RiZDleClosfrybd/uyY4jSeeHyZ2vYIFwOrlsa13DVxx+KPoK0FgN
SX8/pzRwLUd9XK2o8yK+fVWf8U9arSLnq9/1ZOqcXxytOZeM730HE/e0TdC1ZTfgNOwDVpKRBwyl
EbRS4FOAxkxWtCIvWGqLf76SQ0+GzuEdxXli9voTdAXAjlhpBbmXsan1+kL6SA/QQtv0JyEgQBXe
dvvUUSNS7MJ941h43DQreT3+RVR5TXZW9guD4aHnYOo1kNWIhwswN3uTJA4vEDkn2G+4g12CywQg
DAq112Skvq4Urx37k77SROJt/cyxSPYCuQMsDLF+RI9lbKu02GeWjb775rv/M0MOvUZv2aF7jQbe
W+TWGIPti+9hxF9oJoCrThEekrGldXZuAPRdarX+qxALQLnUEma1SSWV5ckaO/Mo9ooRErFv0Tbt
qbmRkV5NM54DWjBG81fNy3phWFEzn7/64jJSI5I91BX6k0JyjA2SeFuJRDnKD7V9/Mrot+7wEh3y
t/um4DbEuCbKCJ6oKJ3uGVJ/klflt9r1Hl4QiK7v05iPk71+zJFgFSDAClC2YBIUWIDcC3ppzFI2
OrET2NrKp0hgcfR4IbQGytwFHUaPk7QJ67IAHSx2ccPXya3epGO6KUhDeWm5c0fgPZ6Yy5Li0Yis
HLT6bbY/oU36oaSYureD2FE27zAf251PNJLQdmfSxta3Mlrwnfx5s/IDO/o+Oao7USfcW07k2cZT
vx+JZhs2bO7B5maIZjW+97HMJbdDjA5ZyDckK9mUzuFk2oYjb3SyLVYe5VzDkkRd3gJjUypx0hLg
g8y3PXuWw/eMchlaUuBLGszTxovayRJUnP58z/Pwne80a4MKB2Fb0D/PLF+LFROFl8ZYBkCz+o9e
PjQ7z3V8m7cI4TbouSbChOHwxzkaNECkPEgrip5Bzq0s6yAQFIBOgxol2yGR+Nj9OKbYCwtJ9X87
37/q3evfaPm/FJhjautBGGPM2yEFOjqRXaxNkiJu4JrJWVhvhflfOsxJja1uVIKJmqDmPrwnFAGM
a350r6lrcI7s/7En/1Ji3JbvBVo1JGeOHsJVZKcU8VhG+zU3BTHrxD2eGIdUi2KkWCUoYcPKqSR4
CvVEfdEJLWi08u1yx5vuXsj7zfL2D29s0ngs00KLLJzia/1U0t8TPaYPvk3vi8RCJu6aCmORo0CN
O0tHHVIjk/sjsMUPby/RbyHuKuY4Mi5HjEUOUdIXvfm2UtI6Lurhv46C3a7/7uSQ64CDnnHF2Llc
XRT8WpPD+e3/6T/BPxfEJAKS34TX67/wNsfxXZBiTGmfDUYZS2dSyBW5OQ3ePDtyhaO/odkqrWnJ
8dTLIn9BkTGste7LfpGhnhttBvtHfBi2Ew2QsXniPb0W7dEFIcZaGF6d1WqM3HrpvA8GIbGdUGVz
X/xmS3CjVRc0WEshdFUYWfGAboX3BNqUbDnHxWOCMRAaNiEaXoGc9i7ZYMUniTeoy5nOfS6U+Vfu
scEYByCNaK3Q4qiy98od6WfwcsDEFKIEw06JuBWptElJZQM1eTMR+Zf6YVAsK3NN1/nQsTHAre3x
Md5stQ2AFu9/GufL2KRGK+lBXpaQloO6nZDWGO0Q13ifxjmhcIf9s8hehMXW0LRNqoLIa5eRw6dH
E8Qsml3ZB/PRU22s/iWBc9w+E8sJV+LJzn5jOQPPFXBu+mzoLj6iMkIvia2zIbOIeDigahmTYv2R
bo7faL4JXf2ZF5kvkETOT5qnHZFmwY4BiMUFSSsZ6kj02/70PrkoLzTr2s5f/jxximoeAou5d0nC
BANjNOc9d6E3NxFhr4aLZI7b7eALqLDC8B/58uiv+5d5buhiLhNYQHOjlIptBph/vGaqjDNVGLE0
5IStoTTFk/Pg5qSzEZD6IRldwFva2cp8BqqF+HyftDr/9D3SDKuCnIVapsKYll+dLSDZiNm1yJ6/
4D04wJaXNCTCsST4l8A2aO/Kj+rLQL/HL8NR3VGa77fWZpY8301WxiMnelqoIOMmLk6GidFlrau0
dC42irSkEp4OMb5Gc/qItO6LeXSO3lHb8Ar+C/0uM1UNHV0IBjDQx3gYDJNVZRbCgimg2DpztcxN
bB87RqhBUb7evvQk2wq2Rgq82HjSMP/67ZX8S53xNlqKh3bloUIhruTVQXakNaJ4Z9gWxPjMVvlb
zhP3+Y5Zgjo2dgB2BF2hNyidsVdgzksFuxqpNpLdrvBuINpW2M4+jvduODdK3lDDDCZQcNFfjXO+
FvYqaYcuNlBYwpPL2Lmu4spbg0QP1Q5Qc0dhVTjO+ilbBcShH1g/9o0bKs/nd+cDWFBSBJV50MyV
rQZvTwmRQ7rCysID0pzHbVYSpSeovnLs9VLMpwLZ1cLcJpqJMbRzzfUw6WlQKCZynPJ2dBTXRWLv
+Iiasv/zvkYvlJ6wfuiCEqPRgAcQo3DOpsbrAZ04CVzg5JZIYCoAfaf+KSPx40QfQ8cRPiPq2xhU
SklE18ZJeuR2RiyJ1uXHMPqrjeKYYf5sPGlSkLqDmn0vO814VeMSoMD1OKwkA432otSSyKo9txPT
aqViBHvt9TEPouSMTc1e/OXHMGqNUZOw80vcgfISWZsko01HsEmxc1vNTgC4iTQzNUmb0OI1tQG7
FLuaaYswbjzskkWDf/kljIq3QOTEGiMD9avSFs5rnJWVka9VLPm1xWF7iAI6jkfD34TNDjt7ViId
fxiKfV9SllJrV5LCRJtVI2MNh2QhUIFE2rrdOWTv2TgTqu8QSTzxilxLvvuSaybyzFIMcpgZuG7s
HJHR20eHbD6PqYXo64opJkDIkLfF6wBMKTLWfBFZKkjfOeGmNuiYkDSNiTo9StZba/2KOlcPn8Pm
JGJKpnlKtZYzw7SQQ7/WRcbWxfMIUJLNWj/l5JCSqaWf4THaHLJNtKl++Y7hFIYdboxVa2fkQ1vJ
tmOm1OblOZZFH7WceSk2Brd0xigIXiN6WuiPp9fh/dM8fKKDwfqerI42QVQ8R8YhShl/I14XNBnd
L7zI6MQINMUnDQZGejmEa9VRUvIY2M26x/UcK6SleGmDpdAYEzX/8sqoudCP/xVrQ0MDQb0WrLWB
LdafjbVSBxvrQdG/2qFV1U1jWiY7M3MVE8gO3xRpCwxBJX0D2ElQu1ZPxGlnFJjdbA5NvCkq6r/c
P6KFpxggCeZpMLhdE6Cu106hFnVUWMpwPCmuSgVqbY+8bA2PAqMNU1GjjtcH4yldR7ZFkyO1ft3n
YTYSN0b1ggdGxCWxHS2xmnkgyg86rHhitGg0/vl99H5dn5GH3XJyM4IDe8IhFQ8N+aDej/s8nAM6
hgkMt84FXEwrYpaWscdJiRoNHgTjqd7KK9XRQOk53lv0t44mxe6JG4IsXMsVPcbyTmoDzB0B9KyX
OSuPLHmN3lx9469611oZK9EV0ZRyus/lgmUEshwmctBog4LD2R1cPJ1iSRm1akRBr5WfMqEmiXVU
K4m0zTrzkWcvPu+TW7i4K3KM6JW1n1tNBHIK1FAwDaJmTygs00jKiZW+AeeFFiHvvbAQb1wRZaTR
l0od+CKINwDl+tqu2kOKJ+JPoEt9C9H5eZ/B2Y6wQnNxnmebe3Geo9CkVhKjUBv41SnOA7sag/X/
RoKJGtV2lEc5AYm0DWlW/YiSzV8QwHDtDH+AvCeLmmkZWA/UzjJhxghIjZzUf95vPE9A/0uB8QKm
EBph6I3jycfIQGD3HNVdCOavfp4x9olitsqggIFQ/hTk2LbgaAGYxvFlS/p6yQRjH2qhLXxjvgcN
i4bMFjP+XkybzKJW8lPjQbQqi4J1cWSMdUikxAinVBpPu93hXHpH7vuU/DzllGzIz33n7OM9+ejt
I82c7QtQs2l2+IXcMYdp3tEy3skT5CGPQnyGOHWkVn72nYbNz7z3II9ZxkzUiZbpZSKOJ/SsozLo
9+6gyxwhOQ/T3qjqxYkyZiGywnbM8RZBM+Ph/0j7suZGka3bX6QIRgGvySihwRrKlv1CVJVtBIhJ
TIJff1fqO6eNsyjljT5R0Q/9ou2d7HlY2+n2EUE2T4zNjcSH/V7GVUdzlZElOUS4RrA9fOr7T984
vvu8SZepavxIWgHQ8d2ZabM6aW8ppFXYnZ9ui3TfbkUvfQ9RLM85X2/yXXHJjU4gqoj7pO+klCht
gP2KrxdcM6LL7+eGG2hNOpQRCUa11ViP5mkPEgip0Jxfb4fFMXOONx81QNe1V51VYJ65Rip/MBaf
7xxbPymeI+qM5p9xM1uNNXxT43pSy5css9PKfWwdJxnE66EQiLkrbJh+f8NbH6u3qI2GoyT1v7Ey
azXGzQxv1XtTCrUtJjFAwjvePvAkX4AonwPgH4jTGqN2SolxuyFKhuO1XAfJ5lo/iThl/5gxHg2G
sSavxQgAQsMx1n/lTUsMaTkLeUizPCKM0inGJbgIRgzTBUhQWV60hWiXCP8fszIZuwErDZgNAJjR
gdv2/SMNWjE04pAP926ar7szIpKZGTgZmbm51RNej2aqgEXhEAHnQaG3EE19J4jCRK/pt2JAxLtu
Uc4xCODajtLzr22+c0hprbQreb3u06cr6ReHzPR2jzmeqvB8+wMY/6Cot7pML9Vw9E+3iISI5J56
e/2rcJzU3EdmadmNVZRm9tNeStYVnapoi+Ysr7Zzb47/YVRH78AIaqUM4VyuyuH4/LwuVm8V+dXn
ZkjcmelitTJ82kgYlUssYE+QGGkBR/0ndXNEnRFhfZjNbo1wHY5tsVPCA85irITiR6BiW79FUBvw
zhtyPzsjzjfBCHpg8+HVMcLR229bw/lVrW9k8RGZrh2jFn0188NhN7N2PE8sT6rSF7Ms7LjaJE0q
GZS2f9Ldt/j9TfkxIJ5aENdu7c56Xf48LDvvcykQ87W17R8x4TVFJv0JoLLoUKgMXCXG3NZKF55T
wDIeW+kjn+2vyvGxVPN+n9GqMOqUWdFCjeP0LdF/zGecKvfU72MJHfdaaZ4HqLjvWnuNpUq81fPh
qM3zk3y+noz8Zj5mYeorATbSoDdh0Zz6Y1wxaYehPAvDMSgjYvSLRn3Oe+sxjamiHT2l9A8Ryuco
6xgUo8Kl5QFapzpzU7hgHfZ6OL6kkhU+1XbnYCqzSYl25JClvpxVdsAywRdiLhbYc4yyC1qcSnkD
X9/FuBxs4mpSj/mi0KhzonQAXyaaUOgYTcxxH5Ck3aWP3XlvGOsoFrULbo1jjpM0UXFxyguQlzg+
QKI2nvnrcAkFKLXA/8PtQ/avi+bdNcNAhQgfMJPMMwa6nHKdro8D+gqzH2jAxmRpLAEMv/S8xnv2
OI8zSR7b/xghAnQdgCi+fxNZj9I0jAcRA8xrxYyWpYXA/HPHsXhTYwj49X/IsHC8pZ5cdXUAl7hq
TDDhk75d7fCVP3dD/9w/XnNEh1GVQL2c+7QDnZmHqG69/XUjmMMeXBsmjhx2Hs+TTLlwDI5gqIO6
NaA+MYGkjMPDfQvEuiOGSHNy3i5cmNSV4NhLjob+6TQ0SAf2UTGjbwiSwCiPfplLZdRg+dVyKtK/
rsyBF/RMhPjfSTB2LND77NZdLwjxl4NP7NVyc+AdXJkQhO80mAAgLKNhVmp0hxd94tJckFVv2Zyn
muhYfSfCaLwUIcg412DEnxHldYOBAtPCwAvPt3EfjHHkMwEji4hFUZpey9gZyvY8lATeR2e0M+jr
vGiu9KNXu/50mO85Jpnz+3cGRxYZ53hh93P8foWEMiNm7R449oXK/3eF/PYp2GGPSG4xH9CCgkoo
KkFknj3Pe+d9CR4fTCAdFkOK5hw+RPLT+Bk5n7w9nInBre9sUDZHD3WOZ2k9YEYYWbjq5S6eagmp
6snO43yRidH675QYPVfjHFVpBZSG7frUmKfT29n0trn5a7t2CixW3bD5ukWsxonMeTrD1pGFIsTB
Jar84untqSVkZdsx+cHRzD/NM2UOOxEGCrmwlozCZPG8BqZyjgURjGbAMCPNIMPrY5GTpkXuiwij
NINRSrNKzO6W8sd+e4ytm7ffh+umtvarXTJYRkHoAgxquxzKHPYUpkZybikmgQTK51WzxwTMqirJ
2Ync2tPxpOJ+RV7sfIFV6R+YOtVeP8MBe2+6KXP1YaJp9u2h77MzI3ktZkD7vAp46Gf9x/MaHsNZ
kCfNXF3tF3tj8oT2L4bwnydn134rvTLCcwZyZYkeBxpy/s7iKMa0in+RYDTwpsyxZUjL41ZJktx8
MTMz5mFgTzS3vz8bo3xGDfjorsYHXFuO43xIT+7TyqYrd7H5nHKieu43YtztTTtrWl/g0VDZG5yt
I+IjuVcv81bo3BSYB+XjPf0Z5n/nj/G+rXC5dgU6KcfBbxzTOD6W/79Yya9vxPhdtc1w6D2twNEp
2ayxAX5Eg5acvWJjcadS6J/6p2P5osWYkgSTdrGU4/Ws9Q3IHDj1gRkvYh8izJsZFs8BTLTDv78c
Y1TyWKkCQYFk+H5KrDU+12Lx1JruR+3tEV0usextYN2D59j+Ei/9wya7agMwdGwmzcBmGprq2xKi
qGNsrPI4wsjRLnbGJwdUpoqVedRDcyIs5lvL63jjDRKNvR98MfYIXp/20dXAEcOjb52cysRsKyou
c4vYtnkoXGzP8pIOHlOMyVD7c5f0Zdkf5z9U5JrOIjU/FMvFStwr1o95T8j9VIzxwAXdWstViEiW
k9gK19VpCaSD3Y7zqSYGC7+JosrYDfEsF2FI6UAMYTPQDcCcrGubtmcsDDgUzjPy/CkLkRlr5WAI
lwK+JMW47t2XHD/Ib1TJkVOZXmhZ7xw7Qv3kI0lh7IhxVpRoHoJiQtZWt64c+JStxSHCcdbsAZI4
QEG2KSAdJwsTbUeyQOUf69XY4/Z1m6fHEyW47x+NsR9VUkmdqIMlH+TeQO/s7MlH4Lh2hmlB6PXn
7v1d4ECPTZp7HPVVRdR7gZzESCRWqirE95AUrSH5KSCcaG5ao0e/z0hi0fVZoLbQaJk8Y5/h7W27
QFlPIRgJ0vGUnscRxQmYBrziiCB1CqOw5gYEBxHlf6gYmmBAjKOJvenodvv6WDjow/whgCM6jABe
gAqqtg0eTvUUq3t5/OMTdbDvXDCuq5hfU212uT+bpf/EYvRKXMrm0jOeOsINBSeN4IgVRvAara/m
7QzL9+EFZQO0CnmFiWl79EWBHSYIgdWPu5Jgp0ANaQuz/kHNEYoHgHfh2b5JyzCixdR3WrnHKCQu
lRwNJ94WHnqeZ7J75wUXHL251+xGYlZf/vv55UPkqu7jzz/RA/n2+e/2dvTrYSW0zYUGy8/+/823
viWecyzdhYty/GowO8vebFIrdTxkeTzWJuqN36kzNkHT+xqQ/3hBHyPMw+IiYif9ilV4pzbN6heg
K7137/BD8LkLQlRnHugUu7CYXq71paHJUdyYl+C1Jtd+20rOWeYYPY7A3y3x6HmNbJYlYQ5Lq231
hYqqKUcGp+P2kQwyxuEqDjNcsKYvaKGjgSh3i9yqRjujs8xl7/G6FzxzcZenEUPXNhPCJAG9GoCB
a8f5PyNr2aq5tP5VFWDEG2MtVCNTtEynUB3YGdBM0X01l7tdzTGv0/niFxl2WfGqKlqR0CeMbkSA
KHRAj8RGvKRxMnKew2AB2Duj/I/Q+ZZgq16w3JanH+0blpq4Hn4yvB3xxNSgbpGYi2lJxSIlzyWp
V466QlShoRwMsC07OS25aTf9yQcqxRaf+0sdzA3MMdCqFLEqcvOvB2MtYOSFtxg2nRmPuGPMRlVK
TarG0CpkPzT5+QCyHIIX2/Q+/R0PX2C6CDaixgQWgh4PgMYGYxZ6BWsntTFAtNhXlvu6tJc9OXhI
T/x3jl2erBuhKgUAFYWeR2J8i9Te5nUhInuVgWG5LQ7HBfITaUFsfD4PS8Kfn9294schO+1svsgy
clOc5VmhS3eyp9MWmDWmBFgkYpjqhgb15iemeQtMmwse2jK81uJE/4K6gy/qTI4UYZT/Il1rNMfM
ehUf39YLcjNB/7jZ8JDS/hIuftFiZCiWkzpUB9Dyn/3aovNhEXH2bo1WA2ynjcD78dP+RWi/CDJi
VIZKKVxp8kwzTphNQOLOLRf1r918w6E1nSWNHpIJTeXUqOZzjXp1wT1hw29Ng+HAeXHtzU8b0bBt
eRzu6C/+qf1f3DF+qNXbOL7R6BuenKQQGQxwuD+vrsc1bdN25osSE7CWqVAVxQym7bn+rREZ2rFw
M29ApP+yQnfNVBxAeHHY+4ub/SLKuCLtXP2nmFrZteWfMaeir4iLzdfGNN/VxS603p95c2EcdUC3
HW8+8rV1fVZag8ayV8s6CeZa87aYpq6sm9tw+PuLW/8vf7iG9J2UdNbSNKW5zJuxDawFUVBzN+8Z
NW/cTKZP9XdJwTnD76TqqAPwwZkmn5ZjbWmIvk9dJ/LfUOREBQb8rVa2J5rmwbOAeedF1u7yg1dC
m64O/qMhGrtnD5OupVeNOkjovnOMCOoxZFiifsB922lf/PW2jKVpZ9pM1q5UYIFTgLXLzEOCrW84
HmPOI8PYF10O5e7agQwOyxln7KKdelP+nZIad47xf3QRFutrFVlkOv6MxW/XXb0ul8iLDrZNFmcn
sH7/fsEaywlTscYuX5nvAZLm5dJG+tzkvHR9ukA1+gCMiZrNgyoOaHXbAsRhscDO8wxhw45jlqZT
tK+3Z8xShJ3MW0CLDjkWcM3Zm+CYO48H8UUtziOJZiySJma5HtIUeliUVkAo7uxjNqYLNqPHYsxP
G0q1VN3ARkJQPNydMLFCcQz32DUjNVR1Y5vRE2A+Dzufixj8OBLBcut3fY0LNTAEmiGuQbUyDVv4
bS7DmnBYfGzWtbu8jIxdoldJfKM1KYBs0hgL0arbUqw4+2oeABHBa+FwTLp270GOCOb9DZlvjJKb
/1bSxWwEWPunOfCcJPK5xJ2LQ+w+ZpEn8vf8YESxKW4Yarr3AufLoCPiDnZA7ZBvWP8jIcbi1Geh
6GuaVudu8Ap3j0sT3oErGI9jRRyFZgRDuCW6fINgPPsFEFGMjfAaHS7m7h4bPubono8/ULE7wt3o
6dqZFEbqjErH83otwuWnwI93EzPz0Bs+mJ78qvEEhOOn7i5zRDJR9U40Mjyif8Zgr1lZ4XHHM0+P
oybtXs0a0QhxVaBOUrC1tiIPpY9tevosX3DoBCkFF4pYpsbu0SMyVuRcy10mZpD4m2O9+dieXG+P
i320/jhetnvMJvUy+fggxKwwaA5cMWPlH5JD73m8l+WEwrhpw0hOhew0o6p3tfzT29Y5PrUpviNK
TNriYnKCYZ7a3TOB0SP3cjRcSsr2zHOKMwk8oHBSnGDOx+R4AbZOp0ZxiNOoUAfAEreWstYLMlws
gafbPDJMjhQ3wX8aLo6jemikG+aemD+X6OFD93ghKEcH7qnx6OmG8L+GxF+j0x08AT7usWLzAk+2
ENfWqPJUc2hZ71ooKG0XsVP7v2H16boDb+KbY7HYatztUqg4uQxJiJYfWBh/5/DC+zRMsKEWqRyW
tIduYYibuhMMkbs2/TLovD1ziHGUmS3EnW8XnCLswQtwCd6OqJsGq9W9zeGnv3g5118qV/+EUSws
b18YkVxQ2W5SS8DxtrkXq97ltroYB7mErJeKm9X7HmtvlfmYT86bssW5rE1EoRXBpt99Sq/XzSdH
aye2nMc1B40tyjVNdIkzGjanP9eYQU9Md+GsFdeBKO5DF+1nsrGxztSRTwxYcaSfS5zJhYoZJqCv
FbjL7RPaFcc3x/KVtVhanTkUdtDs9K3Zv1g77/NwWcc5zJb/P1pHtmxXN/F80DEpAbNlASAbUTLG
PS74x+H1L2XWf2Tovq03siXXTBZvlUK/ZPQTY2SaKZ0wtcahwhMXJiZBVhfnN5rH4jJz4c1Jfux5
k+McmygziUt/1vRISDC2gqw8Wmqux7NSvLz/7sdHLyVmRqyGFSic1ulGMN9IgZoUwNnd2eKxcvGy
YHYErpGVuplTWJHOxBWSVUgSd+8+ba57dO45pMTHwce9LDBiKkyapOvgTo6W1c3JgBly8hOVzDMn
yOYIgMKEFpdZ2dTRAI6QTOYAuUWyonB6OpzqGiCVv4cv8gwj+pceRdLOBMyNtcWt6pB8IJ8m2CXd
xPcxhAon8niA/dMpi4zreAbucePEpPKdsBSKgRZSM2x4z05iH+fWBwo1Nrr2tFrCnymeDE9H9Bht
Cm6zcxVn+GYq8W+e8SP59Vgopvt/IwKMLtVYkLhgzxySjl0g5+0Xkj50HS+EvG7QK9v5/04KRwQZ
F53JWqI3AX1Bsli4gYOpKRLY/f4xX5NxxogKFdKRrOtFmt3yiIb1gwXUOJ7JnixqjH6ejePDy+Vs
lFSV5rvIvZB7S4BjSHmyxsbouO7xn2Th5AOziw7HfyAdX5lX0zugMsTjabLK8MUTG6R3g6yfO1od
P69+4dNoV/Pqz4HoYljia8XrxE2a8BExxu2qgpFJ0v8Rs9YXR/jtWTx+Js3diAQTpl/miWFE9yqn
Yor7F1T5kaDywvN72vtHRjeiwhiE5tJWaSTj1S7WG04rfdwAhkUA0oMRnrCwHws1lxhjDcqw63tZ
BzHrdLquUuJ3poLJUEd5FfRtufCqxuFQpH/+I/ZY81BmEkD1QDEBbn7uElSHCRomnrrgSTvvczF2
AbfXEErTgV400bGog5EoV0XLeYVmCdJSY9Fh/fX5MXc8IWSMxAzDI1leUy1WrmSWYPeE23LivR9j
KOTIKFqDCmG2iNY33zBvmB/+pMFdjP84Ij9do/kSRjZUb4bbvDRwix0LKKjr4wmBKGvtAYOFf+g8
UZwFHBloiICW9OOnnG7RjkgzHjmRklncGxCUK0BLKWyphjppZxqHYhuS/ul357TLYSmvwwQhtOc9
pj69rTCizpqTpMzblM6r+m/pR+WokNCdbj/zwDOmCxkjOoxNUYY+lPIBDyyTAAD3m7TDIaSld4h4
xdjpAs2IEmNXIqk2ulihsrmm44HAlU+gC0v01XAuhPN6kxHbiBZjVpRUTlXhjBjgap0aG20uOOaa
4DAF1uTQAuJQ42jdH9F7HuIYLzX9FkYff4UI3BZ7NEIwOlCYPtc+czw1G8mrczWY1T2oNea6JKEt
ujg2xNG76SB+9ICMIdHAUFPSynmzvKxwBOFT9tWUhDieuME9o09uDMVjirEqtyYQcNAd9O471BfL
eJs9Pf5KvLiQjeKHRKZMgYSzTW0UuVryGyO+Otmg1Lvz5ONjchyZYON5Xce1GjmgDOFYjrjJyHzP
raBQKX7gytillCbqeqmmj4YpO7L/oKsINqaV7d2V4zR5hBgjkc+NStMKEFrjmvAi4iDx8X6dMQxF
LEuyTgvW/hzoptXi8YfgWdL7XYxR4HyRjCKrJPx8Y3ZL62ZdavJ7WJYL0+eF6NNWZ45MSjHosXHG
ZkcqJqTKGDmc/tFYZm7hsgPv+uVkhU7+IsF8iWA2l3I9AwlH9KWnC5G45oXHBPM1qgH7vmmAqAUj
z+t18xZbMmAbXnqSubiKh2ko1Is4X2g6UPpiirHWup50V7kHSentgpPOqyf7dWl6j4lM5x4KDnQB
3BYwuuyeiTjoZ7EtGhr3paQ314jHMC9TE+w/YQ8QbogTP0wagBE9JnwQOzmt6arjcfh9weKOvITd
fMzStEcdkWDkTb62UdkaLf1UQBXAGNkWuxILVBtRb4NjTXjdiOloDNd+ZEM2AL3MIpIBFFbJBwoS
2pgpiSoyeBRUhEZlb2dLj/zg9/KAHY3IydZy7O94A2yTojkizwh/Pw+ytjmD/DbcIUTBka/HDzpd
hBkRYGR/dp7rrRhQfFJyXq3P5taJrebHguyFd0wC3twDlq8uP3glmOkq5ogsI/94bC3sh/nteLMG
kv6IXMzZVjWiWg5/kyI5ojP/XkLIjNtMSHXcMXx+1vDVdKvfli+Pn5DLC5P00BHDWivBi28FwC3C
+Ava3urrO4cM/RJ/uL4RK1RURkYdt3KvZ4XegCz3EU637O8zjGhZHXoeQ1SJHlGijzqihHZVd9FS
MBS3QCarK5M4yUfohuqCl1rdW0V/JyWxs1mSqp/L+QDx8zEUOv9IJKBfK5F7DVE9z88Ed1wo5vfZ
ETbv1k6LsZvtqxwRmQ78/nlYiR3ayqK6qnoRD2tZl4IQDPhlJNsfDtzjOxxJkdiZrQKILIkR4PSj
X7Q+OmcpbIenLXYcSZmMLkYMMUajiy/dLAE22DG+OGEWkqq9kBhgvu1CEYgoLiNLnvtBffoxG55q
2el0XvzxWFT/xLWQ6/OQxfSrrgWzeK2izQX4I72GGmFgawUvb53ufo4YZqzJgIbhVTTwrkq00IWM
iInZuNLv63Mjm4JCIlxMdJfS+80fbPV8mvPyvMkIZUSeMTJGpwXzTgGscvoZJSR6WoY8Vz7t90Yk
GBsT4jyzVsWQUewVA+wp8eHKCU7aaMufsn2wuEtZPJYYY5OoWShoF/oFre4n7j3T8nhn3ewr8UyO
YZN4tBhz04Y4oaNHoPVs0asPuY1LMFa+Wb81g6kfSL5YrQq7ceZb9QrwgsTiFR449O9aOzJ30XUO
qO0K0pNZ9a+NDTf0WB95DLIzWU1aFp2RUCd0OgXLRWTDfjvSAo07WuKwcs/3lnPHMy1uqYNK3gPz
yg5n3QB5HeVUMax18b64kWPzERKn8ALFBMC2px4fczqdeHyJKTuapScxJoxud3o56ewzrmQkq7mT
oUzGofTYsUtsD6eIVNzQpTaOxmW9iXPAq8L7fSF04nbzM8cxcosT3U7XjUbMMVYmz+d5oURQ89x+
Vj7rZXEhS+4u1+OAT7pXj0fCeDGiqlEGBHzYgJ/9VszbMm1xo/vx63EcxN2ejojcWn0oYqrdzv7z
8S9PjziMHokxHEXTXcqCHjW4Wo1m9ZGZ7DXFvQZ2W5Li2VhjKKrxch4aHlfwGBuil7M8a2s82/mM
II+4MFeY/UJhj7c0w9Eotp/TyNfbLaHfJ/kZH4af3uPn45gitn0jZ/NIFnp8mHXgOpqTckwtR7jY
2SpdS8pIoa+Eub8Ejf1XQLM9ZoAjWewepNrPxLDIwUCwwPZHxbkJy8nGAIP6PTIV26bttY5qx2nd
Lek0dr3KIqe6mICVxKjp7mCa9utm7xYqz+BMZuxfgs1OWOEokWSoNTU4y5O+Q6ZUdNY7bxd2OmUf
UaHiN9JMpWix/pWCQWAti84bBThwAa2M9gmu35jcCUL6Xg/8w91zjcgBOiTqooS+58W61sSUCN4R
1WI0JrlhNu8BGcsgzkLsYc1gGZorwUXr9FB48fMQHM68nI9nqNkxq2Q2r68NNW9Xp1oHKHZcXT4Q
xWT59utLsW0aScyDUKY3U3qcXXop12VLzB2fDEdl2bmq7FZJeiMhF+uW67mpPyVmi/4d9rl6Cy/n
y0/c+VZePsQi2AqJLFxSBSQ1DxVjm2CbwTND5503tsXzFezMlKEKsVhRlepUK8dR3c3hXX1HQ432
Cf/HnIgdm1I7WRjKGtKXoKEVPbe40ddaLQ6L9cB4uxK9XtqC89gW3mOQB9p1h1EdaVcSJXkYXEBT
xj0ha38hv2tANQF6iOM1OEaXbcbkjSwpsxgnloyaRAGpeEb9L/kVpkhwr0U3FHbLp4zaNpMMnE4B
WoiVObN9sn41cQVueYgci4u/ON22ALTnf8kxVr7Rcr3BvXfaSKAbhbvEP+oL5XeEw4WG5S1j4h28
Hcc1/uVjfRFlorumEEQjpadJhq3vLJyZOexx2v6Ta+Fp8v2nUHzRYSx81aet3M7oW/oA59wuAgsj
4xSR6orbbcDR4xKcruZ8EaQxx0gKa0BZFucABK8Yh6T7b1jQpACaNFKGX4FbwTq9xRH96UDmiyhj
7AXsJDWyDpF89kHSWXcdLm8+BQfJEgCqb+5Kn3dH9C9W/4skEwKWQlmfOwEfEAAzFdGfVhTqDiBf
HM6mXeY/ZNhs8QxEveFKE4/ny2rdm4ODelG+7iN6dJi7DsoRljvPo29nVDNZleIZPRHmOG/ZUfmZ
JCRwfuaNzeGLp3RsqhgmQp0p9FAV9oZCX3UcrJ57C7LErMHhx6ZZyIgMeOM908H011tS9kfszQox
UPQcUpJqVoBj1OeIwxXPcrFpohbgELXWUlOCy6sSOSkuOrvPne7OHZTTLY6X4ckGY0NyIwk7NN9g
iH2s+kUvj0Xv7usfmA42N2wDOcwS9W6irJO0xE1tnBz9RSG3btg4icwa6+WrdIHZngvgt6yLi73P
x38C9z0ZY1LUShElN3BYrNLNr8yCDalWq5cV3IHHG6udTPE1TcfNSx1nT9lgv8TRVakoYsyHVsAv
wz0FB5AmqAA/ZmkywBpRYb7Z5dYpaScBI3NWmxfVLnNbxSmweBEXflpzxHFyUF2dyxq9eYRbayxW
P5AIyvO8p9vyFmxU+ys3AV8G+29sPubWE8aTQ6fxQ2e+eQ8BeKrbnM83pW9j8ozvydRSR58L5HFR
Ncdk1vnj8VtOdpPGBBjxEIOoB+Q4OoD+2vnlfMwXtUcHetHazCCM788z5zHByYr6mCDjZ0QtzeZd
in4gcIp8xS686Mnznx8TmZKQMQ3GsdxutWIIEWicTo51Az5VXHKy5snyxYgEC6if1NculumH8dfF
IX4pf2M+I6zMd+6J5Cm/PCZEk7SRxW0bsdUjCteANYVgGVhPGBC6kBWNSb25zXk4Kk6svRoTo5HJ
iJh+a25ydAOxysa6ts3zHpOJiiarKuD/RfS32WqJGDYiYKcFOuagYSNbrIkO4LUreNnNCoLVCw4/
U4Iwpsfw00oY4+4i0JMjEr9cyHmXARf1sbBNqtCYCOMTQ/Ha3VoJRK7OyUe01thv2WtkS6+VQaJF
raLo34G3Ty8QzNgtucAQdy/CfrXxH0Cd3OirdWEdzdXZACORoL6y/lW6BGmg6JLB9jyRM6LE/YaM
+a26mYrGBtgFMXttAdt9fqTFux5ccqzfZIivKRJ6y+JckyWdpvQjzmRJnA1lR78fGDuJ/zGC8Yb0
LzybcU///3jFES1G0XosGKRBBVrPvkact+JJ8+LtDb046wq4NusQ2BgCPJhzBziBcGrcOvL0w47+
AEZYkwQbdJ2IP8A6vQXAQUSG4SEa1ngxz5SSjx+Vkdd5mOZyWoCOD+yX4iU8PNaHSZ0bscFIY57M
bsHtip+/IE8SFo1le1cuxvNULWfMAyOEzTnPAaYh4q0w7fW2IJHbmoq1esmwTWs2RFx0nEBxsvQx
pkhfdSSKQ5jnZZCDIi1HnBxnZlcOORy4O1A8zhiHfIuUTsKdGArxhH1vA1TMpbJ//IkmvdeYGcYJ
K1p/Ey+oW9OoBiubOE+vEOmFYxgnQ88xFcYNd4U4hBggAJUC08kDxCE1M9+1fyy90OGZCqodf6gv
YjQMTek61oQYYvM8w56VKoNYTY9o2CIanx4MIuflqGA9IMMWEY3AiBVBVECGzjOdbpa2UQimy9Gb
+1fP98URW0isbhc10AeNcuSsMwu98Kv5ZJIzQur32//HXP60tR0RZAxQeJYSSQ0lut6FFbLTL9lS
rAsmTz95rE2OrWsjSowJSi9CbCQJXhGqhGrD+akCqsGAERL/SUDnGvY1Ogg+6L7PbZ4icwSFrSvm
elHpQTkHxL4VPA3u6rD0PtWFbvI+H/UXjySFMVFAoDeSoQUdv1saDlYCXoadaO5UjCw+lsnpAGT0
moxpiiIpqUoDr/mcoE6PATvnhn1Gw3RddwNd+9x5uvmYJFdUGCtVzOv8ViYQFetqqffBvpsjW9Ii
e5asJe8lJ03iiD/GWslnKdTPNRTBaimOgbzJTzMVVp474M1TbsaGKMO8zGIdNl5A0aFdzDYXv/q9
+exQuyy5V3J4n01hgpt2JhZxesMblm/yC/a+FJnUNvlhuwUC/BpQGJ6uuDsU2mFqSm6FeNJNfz0q
O/td3GIlEq+g/lzZOCwebpx148opweWpYfcqvOyeeZPH015nRJKxLwEgQTMBR4Tp6BiM5v4VVvMT
ZyCeuR+So+MKY18uKXZFy0rF09oU3rWoycxWXrz3x1owlZqNrJiifA8JMBI5y4MOelfKblS7M+xT
LoQXo14/JjMZr2FeG2fHcM9RFRj1RmCs64OkY/LYHTYefzV0+rG+fp/R5aQWpHk7x++XtgX8aHos
o3F6C3uoj/mYDnBHjDB6HAGEog0MEMKQu2kl+3AZrgfBnDfkut6h879RjzfO2P5fDNUXc4xKa+31
EosyaKoA3yaCjXPOaEL/1snyXJL3dy6qwKRMzGWIsSDi3XTmMRWcc24DKnlXRKa/sm36Q8VeRY1S
bP2jMEPAWPNXLikPf3iauaHrmOhH7e0OkDYKTSWsJdRGgCujAFMA/veMqN5ZNKXF7YoDOT1JHG93
MSXhX/mAEVlGnc/XoTUiKR4QqULHxNh8+WF6je/JXMOsUn19xCGjz3KNWzxSDFLW/C0nspNZOD7i
7LEk8fKBBuuT/fLaO6IZkB/L5RITpyea2iCEQffr/R1YbubmFbnUDoaG43un5Wv0CIwNCFHwT/Qc
f9la9lRYtA3OKAIuQ1xwdIf+zqMXYKKJRgDMmkC/MVhb52tJJuHCLMxP+Sn35zaH2KQfHDHFWJxO
aeeldAFTiDxPuHqEYsJGxANeTF55ehIUESfb/pFdRl+C4dzq856SAgqO7p5k3KQIEztYeRTZx/NM
gNvWZN5h0R+r/jQuxGEprHc0PvJxbn1q0tSO/hrWQmnnUL0IOJ17st4GX24cw7y7//MPJSTcjaV7
qPnoozLGqZ5ptSjJIEe7tIN1dhb7xXmrZyaqYlFseTCKgalLXgFUCojxYUkvTu2eeRHxZCjwxTVb
yxQ6+SwmEWQLn6Cz3ypcCAtWsovtevQ36R2v93+XRo1I0uB5ZLKGKtb7Sw/Og4Q45VKIyQwxiGtH
uNbhqa8Nd5qA82U1xliFwRnrNjMQ9BUXwYeYoueyFPwIF6iAV/HOqyZNlwtGDDIWS4lxL3RoKT2M
yceHfut5APPkWB+O4dcY45MU0S1XNRBBAzUFhCjatNz6M8f0aozhQaleips6pMeKfcdwVMG04ciA
+8rDxOCZUo2xOs0MvnNWgZtnxKO4qXIjIXD46dI759nuZeYHesdeyE47rcV0b0AnBzozXmnYS4LV
QcVW3AiA7q4Wnzu0cgJzbnMjU44d1xgLowZNJcyueM4ExzqsaCfv6d4l1k/MbEb+NzOuMeYlVuYh
FJvSuhL/tJYyU3gv0GLHCVOiWv8uJ/wSebZYW2RZrWUJddJvlZv8CNcAYDwAvqkjsxWv2jMdZv3j
NnTGfkTZOS26HCZrDZvl/MqQ8WY+ME6jg+f/ywh5xBljPLCT2yczoOvQIcbzdkBKjRfkLY7x5F9n
TMbtZkh6HlIzbCW7m4a+CAYkLdQLeNcnuJQYu9F0ki41V8g/VqzuZUbgH63QLPC5dp6+zANN0xnr
oSVhIsfKeUBDCbMzgKaiINyIW3gzMzx7qzPGQ8qKyyyWIev+qVq3JPMKAjwiibvPPDl1MQpY2AA/
UPIsS1u8Xe+ec4JgLLJntmaYwSqrSdFbxZXMSbVCtPTun6ON0ZqPtfo+zPfoSRkLMtOMPIh7iAmK
PVgRnZuyj3vKFyuyAaO2CEozANix02EwVIrs0NQ9eNQQsQTNd/hISVxZYoxMI0ppMi+h9f3ScUrT
6HEwHtjKswU6JLiq+Jj56ZLylyayF4yTQRxyWYA8oUC5xsGoBRCe1/sXneB2mbF451CjQsM+ta7g
DMZc1nGN+57QjqKUspHUdtAuCAdlK1/LWBR0vWibme/x+h1pDofalK6MqTEiPKCIl7cGqGGrhmRW
ZL70iE64GepUXXJMhom4h0veYiolvQcNM5IAD9Lrf/F6TJNiMabCSGl2zqKsU+/xDwb8I2C4AZwe
3Sxug3xyAHtMiRHAvozFpA3AzxXtwXrAyTfstZt00BH5wydyFgPnRnnfaipDGhG9/1EjybioWdCf
VfqtTlYrgL/VmeIkIkF65wkhjxTj6lR9yACxAlK0uHuyDJQvuv/H2ncsOY4k234RzKDFNqAoksmk
SLmBVVZWQksCIICvvyd4b3ehojGMZz1vejGLMkunBzw8XJ5DLm9qDmkvX9nbf2eF7MaBIaF60dAP
F/jRSZmInqOvS7sNCQ+/Y3E6an6IzIPXAAU9NC/QbPRrrJBtPWwWm2C+wKxjSDTLqTFFb4tbKt5Y
GxgxDm5FXy6+zGI8OP8hzHuYRnIftfTmOTunbQmkg6Yc//tGzQAF2K8XTgC6OARjqqaF7E7TMU3H
3I4oF7RYqC4IqrFBDWv9C2mJ8y3p7/6n//othrkaodV2gtkX8F/Y7cLCPeDynmk7hxeNceSwt0GV
Jqk16RVEHhIeQtAVxQA7JDi4+wotPr6zc7t9yNm1MyIMBIQKFMK761GkpWE1AAce1Tz65qAssOXV
eBf3OOciqdeeiaw08FiZGURisBlQNh87xcs32q5bi+jExXhXnfs6Lk7FzgUyt0Lpe8G8XqmO2b4G
jPLqMPocEbzvRf99ptN1VKes6yro9DY9pDWxDgmiJTo36nzxWISk5Uf0byNk13AyVU9FsYetv7zB
ZTk6JgIAb7QC8gJHK2rNd6z9trk+00ozxVCX45rmj45o7yO7rEmzUs/G5vtkvFNe2P8HZliedsxr
KmiyDhwnCJ32L+BzoCXmxKm26UN6Bq4Kb/RxkeVvbhyM4wjbMi4yiVrjm9efksBBmAfKLvSEX7++
v7nA/cshye9vxzgQ8RKiA61CHMUjeXMQa64M+3rmOpDFmMRUZCCiW4i3RMYgx0s+6I1qopQM9LLr
QXO1jZ3IXuZz8+9FjWaSmISkk1M1NKEUDlB7TbBAheUpYQ2cAo6rWmp2aZiAlVQQvUgmqCr/vGNy
lBdt0Kq4xqp/rj6t4/W9qTE2tA0/79v9Uh/xD0lMgDA0uiAUpgZJ27e993luX4+W++snQaYPEPvM
vhKNGxkv3DVsUkmiZFo6ba4wHywQo7IuQ2s666jVvAiktOurbQJM162d51O1q/z/2+X84jmvpXgP
PTCAA8iGoooYJPzzYONxzKVULUU4ZC/YnCm9NXkfnccfYAHhYvvdNpoYp/KHNMb9h1XRZOPQibcS
bQlKMtzwH5Z3IZ8hSbwjcGyyG+fg+4/m0fSw8lfZwF9ZbZFq3f/MS6mPLkNxGSgUkqHfzGDm3uJe
q7riGononm13sluraIQjqhYhcfVtrSkRE0cidSaM7n9IZD5yK47xMIC645w9oTFsGMBbRTkYM0/j
6wFx9Qu/0LIQ6/4hkbmdYy8k4RQkIm1F7hQnOFPkM5RbuOTGS5HEH5KoX5+dZpHlE0B+U1hRj/rs
fpoc+et1ZXcr6/yFd1CmAIM2pkV5r5S68GDosiRb6A4D4gkm/KfgppQVpHkZDEojg9fDiKcHwOm4
oLo3CF7IxKbdUVRlsClQ++a7iamAz+zV8u1ksK/bFchuAIltRy/V0c73J6fnlQ2XRt7/+IXMR+ij
/NqAEgu/sNugMQGqih3sbWr81gVWII7GJrb5kKtEo1yb5icQGXve3PuS+/zjRzDfp07VNI9EHBPg
rDWC5V30JDyTJNxwi573P4x89j2YBzxJQqtsrALaIuvuT/J7fnafv+tPXnq/1On6QyPm6b5OE0K7
CBp1G8dZWS2Ax9GtDQ67rUYUEmGxsfLSnYWtAkS0Piicd+ApgUEIL0a6srld46Wk54/fw7ztcoqX
WO/pZ3acT/V9+tQd4LAA7bIlPVYeac1oG1icAs5SzjeXyg69CJdAvmQSlbrdjY/xQa4BCxg5T+ra
Dx8GlAnAzBW5IwFxBMb3Ltuv0Bm33SfPtS06mt9fnZ1+SYwwGiwTP2NEExFVEL9ZBd4AllUL1Gsc
N0oD9jsWxiLuXcMys/SsFvE+47oHidMfVyhMcBfdln3aTCkmc5C7SG2E7ibIQ1k8U4gUoiw+2ALW
ObDQYUO5sOByjd0O656CjEtLAcYkln0FBUsyuummtKdVSD73XlQRDaM3j1lGSgdBauWfNoNvPwKz
ye5iwGFRD0uTerTsTTt9/TfNqz+sjXFl1aWcrEjHnYM/fUP3Cjte4Nbjv1scJ3Jz+rPXxEjSECgT
OPngMEoVyYOQmMF37oSJF5U/rgEJJ0dICOg0rM2ofnAMbCGm/UNLxoWVlaX2YoDzRzFKtIXYU7/U
GFOiU+nx7g3n9VIZJ4aFw6yQDPqpHUoc6obY1n+g6Vy3inyey6S/+x92pSi6aJmSrBns4JPQCd3l
auBUs9GzSHZ91IMf4tYw3H9zfjM5zPkZgxTg9CDnxXOChKBKImJ2mNolR9CiJ5gJYk7vqgxXK7o0
9PToA59uOu89wmtwX8zSdC3Cw9/nxnh2VAxbLQggprNbxxsflW0AcMcH8nONl6Ugq3Z3q1xkO26x
ZNESf0tmV20T1Qz7voPkAbRor78CL/xKyDTYGRwQl4Zt8dLNhDGJQKcDC0OyqLuT3Ysd490K4GZA
nnTidvMX8tP5id6ildn9zqo+Ar0K9FLIbithkF1z3xufV8DgnR7jvzUj0DS1ghRhj+jqHdvQmHfB
+IV93z6WSlp/aMP6a6sBAiy1d92wHflX4ABPW62wpdytBWf1RUdd4v3hwJG6+OTOPhfji025qLNr
TM+wt7O9+dB58lv76FTP34LzFflc+uqlFsQfajIhZG7mUlMZEAhQAsm57LqOnL67T/gqLu24tOgX
Z8oxLuRyKUQz16gskFJ91MRbhyQD1tuJWx9cAmD8Qy3GiYhTgiWEHKIqp/Uoy2lc21gstohup65w
zOPtZDeH7+l5dSr8b4OODnFeASrhjl++2dfsNoBlKLIsaj80Dy1t/ecLbwJtKcmfK3n795kIEygc
ed1CRGffGICRbQsTVtu/V8DPtL94UDfLoRPqTiYya1GSTOZK5KkmXK7YVTnrm6Yi1135K93lzz+j
1aZNnVO3R867pQ1NzkkujcTq8kwucykGo0ukqoXc6GH71pxRkFI2KGTYJwwRci7gQsnmD1HMdRDD
oYkvAkSlJDtLj2j3n744V3zRI8+0YW5BGoRNZZoQUTm7ff9quFiVO60yn1cvXE5RZ4KYO2DWYqZ1
6ojIoFmhMJmT9BtdIezt0RlC2W1MIh0bt3PSs+tW2EH3hMMVaT555s00L10FRdJF0KehgYTSDK7K
zE5jIxIDTZ9oMapKbaUmDi8IWqz7KLKMbEzC/6kslP4lTcOL2Jr0tnnHoHcDDPU2vv19uGIIBSvA
nG+4FHTNxTFHq2hlMo4lxKXE+fiYyN4H+nRGHp9X3ImhxRR0LosJVIRRwCN+oaohB9697c8e4K79
YKUC4QTFc278tfi1fh8lm3xmKPyaWva/R6nbQ45gCJn2OfQHFxCrX4eIV0u55Xasq5xpyOaZmRJM
yA0M3O+YKJ/ptBEkNwZX+8bcblwf632/yENAHjeEogzp+ubgoJT3pR8Bi/YjBDqJw/m6S05g/nto
CDKzV9lshFqiJy7mbnPZ+v4xAn7vz3d7xCjkt93K3r9a4tXnMpmwRhiVRMsuOIPt21uEIjF5fdzI
q+CREz7xVGNcuKkIeVNnEIPb30mgtoqHQyv/CAVbbHzLeLh/kjzbZRH7DUUPQ0zY4eafQ0KJ0Fwr
sde+TzACjlSvsJNf8OE1F6dnKdJQZAykSBItBuvMafboRYI3JECyIgBZmbwBdA7bjuVAhtpGa4Zn
MEsx6Vwcc6p5j9fpcoE4BFH9w5DYyco+BFhjW98/z+Wr+Vst5iEMjLLsL9QwjeMJA4rYGL3/9xdf
2rkizPMnB1kMwC0BijiDbEcnydffNuoneO9X4Z673LUYY8/FMU9h2Mp6YlJXA1LczHEqdTV6oe2O
3nu93rQfK+76+BLSIq7Z7xNkHHeeXE2sSEBBNKoLB/Q/4CCikJH+E+UOsGl3/EpMtyO6yzvbpfRo
Lprx46OchrKZRdL5ZfTxHIO8Mb0SnWf6HBNhx9Sb0rwoZYUjbU9XB+AUGDDguJDFzHmmiEEVnbnH
+nKtxgk0LwhgKFQlAM5tukx5NB8AHgFuvh8nUDV/cb/dUs9//u3Y6XSlj8ehNEMcoNO5Ar4cqnY+
L2xfah7/IYVxHcUka01fwEJenI8sIeBpDp9E8iwSzE6EDmXH4oW39C/+8/n72ybZNuFgDpXSWDjP
riESCdZTTmc10EFAz/Wb8/EWWwYKeDPQV1ExWcNC9SRTo9eDlkvnbrQd8Vmi/arH8sk2PR5839K0
qT4XxTiTvm3lXrcyiT5pjhiuYyxNut1+M0oud9Rs0QPP1GI8iSlnLfgzCtjGm5O6zUqxHeCWcZKD
xahvJoRxHvp1uMqXDkIcsybiT311yl85Dpi+FP+whZkIxkn0ajVlaYPPc4UtrEL3fCG1ba6ND8ne
tDoX+mXZ2n/LY91FXYlyczXxjdBPU7bSqnqqcruqK1ewnCjfDpPbX0njWakDYH25wuamkrhl93Rf
7Vt4fkdt1qUUBTgzFBRNz9uLi1X3qodXoRvTXUheAh87DqT4PB7RTHYSTwO8lH6O37BDtt649Vov
SbdGlM+dyVl02LOzYcJAPS+qThsT6VyZJL2upslGqWkk33rOedZ5N8VgfI5Va7gqAr5CITuRhbXS
VXRYbZ43dUW42HvUgu4dNROraFln5PGIo6Z1kd1unQDsrCf+w8P7ZsNFaVya4Zv7AHYxJhamHKVc
SNsNMQHXZWKrb8ErD0JusTKhaIaC2gSwLXSW7lzvwlbpkhLXxg4fFaf2g7VyLFbDUaWkuw2SWvTL
0D9RvlKiP9833uX3cCacubNx0uuBWtQSohjAG+/2ur1HtHtsUdtq3MGm3fmVox7/1bPxWywLslFl
Ut2CDUs6a9WqWD3aQ2irW4xVUHKRf9UAnh3wrWM5e/OHQGqVQMIBY5Bl13slAf2W1Tuo/2+54GeL
FqqrKDIBHw9DO8x5agrAJ4Kxoe+GJ7u6jYT3+JOATmxz+gZQ6v2vt/wg/pbGHmMsB1WXjxcJxSXa
lAs3wyddUU0rB3MEHFmLD8hMFhM5WblVTZoCzXa7JHT0q6vKGKKtvef245SCFsbnvVjLdZGZRMaH
JU1QaFMD7RTSe4VsP2wAb+sOrmyheeN8Taf7GnI+ncI4sqSpgnJSrtLZu/rFSvVOIoddm/u5GPcV
5+kkZFdIaARnfGqBL5uCQWe95W0NLvvk2ckxuVYRJarSFTg5B2W62EWTGGuQmJbng6MvhuwzSUyc
1F6AXaBdBgnFpDeHZqpniZzr59Jemw/+D9tO96tT5p4QffLmbJb95kw0GzZ12jWVry2U3H7sPrzz
WBMwKRI7W0VEpLP6hxXPbfHuABNETWleBWoLbXGummSLNYmfiy3d/j+NLTklm+6z/LxvlYuNB6BC
/OVRWHb5SDIipbIgU/SRoWM87erGO6uxBd++VJvM5hfRFuPR3xLZIlqnXAsj0mCmLwDviWzMy09+
vb58mry08nal/vGezyQxPiVp/jpPrQQqBTocHvXOL/07ppJ2hWcdteOv4xmskt3zsBIiDAiVa/2K
7hUvv6Vmeu+HMK5GLlu1GSRqS0B1aPaZVwDS7+32USnEKWY5OF+Vc29Y/BIjbJoyS3BDW0zuex/t
2iIXlO23V0Qa3kb/RJeOI3ExU5udNeN8sqaLLWXo6E2V9iC4Hm8jaOp5arhZtsI7Tsb/yJfIEs0J
smq38SgpxFvxMNomsJlLgiU6yQeI2/vguq++Ckgh7NaAEBetH8txtryD5hkz46A0WdX1KMT1KR6o
jX1ebH3f4MJyM0aq0z0TYtyRhBH4PLCgM4DsVR+wiUBdS14rvJGFa/+39so4ojaQpEIxICzJ7N3W
+6w1u6p889HBVGpix/8GYVufOSGVCWtKit2oizDXLaJD5HUxsWy8kKsA1ab7dnoLd++cI8uQWV1G
VStj+qK8OOUm2l8SbH2t1/vCqW1BI61vI0jcZna0A+JmtvviTsXeGDbu/QLGK4V5kOh6N+KZ9nZb
sL7s9hf7MybpZk1B4d1stamI7L0/n7hbZ5wQRGPcUJgPZtGHcEM7B/O4l1feA7YEszL/jrd/n4XC
QS+BulXq8R17b4dZNcWrvPL5armWi8kpZG2n62dh272/wQio/7O3n45Pud9hIvU5AoYPEDr8yRf3
j70LxvPMXr0MV3/gJNSLlVXQsOo0G8IgPzsVFF9aQ6hHkXoqYYUF5mw9OJfU0WJPyMh1bb1sGtCt
bw+8+tJiT3oumLnCQx9ZrRTeBIsHjRQxwcLH204cAb6w6d7FeofVel5JcjEqnEtl7nIdZpZUA2zo
jMrg236XH9PQlnJM06mcq7UYFs4lMbc4j1sdSElUkoU5d9UuWrvHWW4UV9oZ7/fv8eIc6EwYOykE
XO1OLVMI22IFKay99CPa6+c8crq1XRp4c2p3BUqw3Hl0HxV7U7grXGzdILx3jzZo2ds8/x3MbRYj
JN5lQ5VuIkc4ZiOxqw1FMbqv72ImPZfD3F0pLOohtyboizWy/b62j2C98g3bJRu8bXQ/O7F5reMl
fzGXyaQsXVv2UT1Bt6GzP70EzQAMbG+4GOk8E70N4szcRq2m/2ei2/ak+O+AHDyYNu+lpgHIvQ/F
BA15MoU6PhYO0Nrvdil2sTGxG1l0rPWL37Okn+OeNCYuSPqy1qMA0oKGYLt+s+n9H9XmwLG+pTBv
/oEYj2LFfVu0oSSd5XQtHNGPniI7EHgb30sLQvpcDONCtM6S+8KktveC0aQ9RpPWR/L06gJaCYhC
Wz4gNe9bMZ5kGqTkkmT0W21bx9EA/PCM+ep97UUa5m+5VZWl2HWmHzuEMVyzDBvgEAcUJcsrtliR
AN8MhiPu3+HFFqKuY+tJ11RZ0tjYQ5q0SFKAYHgup5VBy7iJPX1eI+d5gxZ+gtiDW8FZipTnEhnv
1EqlEJWSgqhx22CIWMDAApJJVMIOB4HT0F60xZlyrIOqoqnrrtRIcIpqYWs4xJf7B7joj2YiGH/U
6L0AtgFZOgsdqXfaKxB3OjsG4e2/eslmgqh9zhxSMYlZEvfQ5Wo72VNpNw2he7RbLirbUlQ//z6M
U2rDyOiDGN9n2wcEUfbmEezO6f5wouhB3E7Qop3P1GKckqAIbTIIKt4q42f1LoEQIpecVHRQPOHi
JvIsj3FNUdS3qnEzh633sZ9IDXNABxnwBtzsgacW455qsbQAcIBDrBygFE1O6RvPwgZugtcgpLfl
H059dn6MWxIBEF2arUYrhrv+LB03svNMX977Vr5YeZoZhc7MhJVV3JhxATEoKKv+2+7jY7/GGgao
Th9cdCSf7W3k3xfJ80wsAmSfCkUvprAMIEDuGqSyshs1XvK4rRKCZOi/PEid8RVXs+kUS4S4lzeB
qGtMF2Bi475KHHfEjrlERj20UgIRUUKuv0RMTdi9zLOI5ZcRHWOD7lQbmsV4pHAEkUwKxF9kVIGP
t3HtrX89xbaPhxHgSzYISfn1s8WIcyaTcU5gcFTbKNRxi7H+9dE/jI8CIP55sd8t6Pqnsf9WjXFN
QzvIUX2hYrC6CVi/iVQeyLVRqwps3nANdQb3ZDGOKW+uvZkjezgDjF86BmTDTfqWzeG3Now7iuVG
k6LaoK4PucnbrnZ3QwRQX2WnvuX7yv9e8aOYZef+Wybjl8Bx1AC/Hlqh3PjWyKSNiOFmP8KKnFCv
5ryNy/72tzDGN01yq0dtBgWpsF28vn+bFsvE+t9Gp4uMTxq6a5KkCnQxvE+MUh+P62JFq+GY+yvB
72ZzxC2GzzNxTNxSmeo1mDSIExBNvF3d6pRtmxdguTgcQUsu3UBzlIIjqxjeZOxCvEZFNmIaA2u8
TvD+lDso7GNvkSNl6YWaS2EsYcAWQZp3kIJWgoWivkpcxQUfHkebxZnCuRzGCJKsvipjDTk3HhmA
jZzXmIfFvu+PHyBS5w2DLg6nzsSxD1UqT4DhzyEO2DuOFyKeOHt7g3SYYdmNBwwrGGRPVxnI8fI+
PlUaeXLHhwakqVgJXhW7Q/0KvKP7R71YZJn/JsZyclBC19GFftDB2Z2xYU9AB4uhIXhkgJF+WQ+c
e6cu+a65QOYt0wYjVdBjlxF9yH46EvUD0UH+jQ7D1d3tSbw7lnbmndfHI+D0Bzt5QY1Ps4HQnlsY
ZHUl1y3Io43eGQ+lb8kjzH8Y8zZV2iDITYkf9tJgDMTi4w0u+be5AOYhGouu7IaKHrW3u9iZSBT/
f5ENpXfea7RY/pjLYl6j3hqKi0jvKYZWsTiICkjhrM8AvBXffyavOinXFdbtX+qAN4LGO0X677NU
QG2vg9ZTG1fAOW89Zu59e12sRs4VYxyQnGfRZbx9pe3bRwTy56PhPsBaEzDNc8sSS6+gYViWbIGN
DugBzCkarSSOA0KWc9NtgOckey39aGb6YBqcIHYxopyLYs6tF7t2LLASc94CY/Djo3CAauNafu5g
c5njXnlaMUcI6OFo0AqIEv2X3ad6Tj2OX10c1Zkrw/jvSWuxdp5BQnXqXWwWUEAJjh0sPxG/Pw3j
ui0K0G+EEOFQvwHC1jUGdPgzsIvJxUwVdqptmCpVSaye2rPnjbtztP9FftIJJ+ysfo+rVeLzPs9/
cMl/q8ZOsE3AABrEqcOr9LbzgLkIX+g/IUSmi3u8isdif2euH+OOA9ns9UGCfgDGOJeHkISbLMJw
PUEv0Afdon2qavIN4HPhiU4zf3FscbGWOZfPeF265ZNMMuSPPiYW4BQxrIosgPf2UnNgI+a5GMb3
GlprBFMLc8Hey4WEu5b2Szg2+R+c7u8Px7iLzATaRFJDF5RBwJpN0g6gkgnJPafyW3vzjTW6w3cM
dgDOXViK/ubKMb6jQqzedCXkwlzg4833fiV+Xj55YnhnyPiNcfjL9W4d8/BmkV33o12pLabSEnw1
IA/7dHqGo9tS9jbXjXEluTREmRxDN5Ae7ED2V5LoB08x3vkxvkTXg7Sq6GNZkuxJRQfktrjGs47l
wOdv62DhmrWmSTtTgQnCzjVv/ZlusDUwPSDcs2xc7+j4uLG7rbqVt9iR4JwiR0MWvlkvNAEeHy5l
60nbcGPZtRd7W0AtcuQsv/6/dWS8CVrFcidNOMktOplDS64CHaJwUMsChOZn3qIbzudjXNzEmNkI
C+Q8WYMoWh20o6hpmD26ARWC+wzrGD+f/Id3N3JvyxgXbqLCuRLsGqtYaSNa0/Rch8nx1hgtBOrG
SXii8/1ArOZ243nfkfEw6XUajVLB+WI0A/yxygo87BcbU/7vlKsh9DDZBQ7q+x+V9x6xUM+ZbFSo
bkBJ7AYDBhJv7fmXD8icBxcr+bwjXZRmSqKpKaqEjFZXmQDSSnIhSKmKu8lDiQjTBqR2XjV/Aw0x
dks42i0d6VzeP460NdWMJkBAwtugeHghZ4yGO6NCNPtR9DY2FhUtDMLwajhLURi2nw1ZU2hwqUl/
6ilnVdSP4HSG0Xrdh4EB9Yp37Zescy6CuY1aUseScpFgnY6z/7x6J45zXgyO5gLYx3uyQlnLIAA1
L5pkYCwD+TP2n1zsnIDPiCNvyYPOxTGmIZR93QoxjsxsSB9i1vwXR8DijOtcAmMMnRYNWP+ABHSN
0bn7JDmNgAAieN/ouHKYFxtwZH3Q9ZCDzP4NyJmRffaNA0If4BdwRNGfzEY+c5WYVzuKxwxlrptK
Dhxj5kk+UPNwlXgVtcXUbC6Jeaq7po7AKztR54RpQekCiHa1pZ4/Ihsg+zp8tPul4GAukXm4TaMv
GxRV8Llqop4R0PFfNM41ZWs2ZVtFqXaFiI4O6CF2RDSOivUrZiQO3y/3vxXHvtmuQlHVSmLEAw5w
dKPYMyU+IfSyt/vb67CdhFLIL2Ue4BtprSs2L2niGwOJBLuJ7VoCmqSRObJTDef7inEcEdtcKJvR
Kq70EIHWkQCWarOyeWwOi7W8mS2w70ZWYBsZ94pWPN7edFsFTCVc0YMbnx/Bysy19sVWxlwe4yrU
Lk3Nnjoj5016E79L0qz3mFTNffVqT1gvWm1KiTzXETmcvrhXjfcZGf+hXSZ1uo5UuHMFdxNFbOT5
jaVQbq4f6zeGesxkEZaC1YnL8WJTWrX86XEFKllMOXMsn+cQdcZ39GMwyllELeRtNwCa0TubztEn
g//8xQlnFosTc8UYp3GpCrDWKrhlQHdXVpef2vvXfWtfjEdnEtiawdSDMgHc0lBmh3dXWcUEy8Gn
I908wdgCJvf80xVkq1teZ5fj6tnCQaEN0yQlOMTYP3CHIXnund2ZlZQ+rcUOf/3F0X5uozXq1ehG
9mdVs7MMcHco83C7av8hGvzbX7HrbFEWmJoQ3t4U1MVAaQIg2M/QfQdmyw/Xvqx5LzPHBbMLtAqg
xwcjoRFN8xQ/nXh40jwvxS6xpZLRZBjUoXZeIr5I3Xx1ITsSh0QJidoDL75LEQTwbjP3HBmHUaXp
oAASgpokWK6nVeRQ4u4fIBteHTC5819eZ5bwSeyHXJ8q3ADENztPcs41+IY1MIWv4aq+eK6K80az
HE+BdtXqRL7dN83bfURf4SF9Ss/lGr7q/8NFYBxIpcthXg9UnIMg8W33IvpvlpdIdliS4IiGWAzW
yfsuhXf52OKB0QQTIGJv3hiVF29/9NWz7242twU9LtIb53lhywW1GStjYUDDK4Zq3na7AG3m0l1Z
iXvg8V9wQgOTyVHqvG0nVbl9u+CpfEB5gNfXWezMz9wxWx7ozRIjBzQNAlo8kmUgqr+jt3VCu4D3
tixWU+eimAwlzetqVAtcM8x0AZgMuTnKtyFIUJ/MB0Ie3sGTArYecPVQYiAelBDPubDkT5gmjkJZ
gqIAhPAyp1n5vu1iQgoZDJ2s4CQxN+TkO5kFWxfotaTX0hHiOhuFapTGwRA9EKxYPvnk9aH4gbjr
NL6eskNFkfm5G2eLIA7zw2YilCw39MEwID8lBSZwVCeIyTeSAI6evIDBZGIToM7EgqBQ34neeu5G
mLXnlae5Nsr4lFEXDLAsURtFijGtFP8ZkyMO9xHnhSYsn5OEUmcs1ZDTeG8YHkHeec7QiQ6c47ol
qkPQXLVde5UKNq8YwTMXiyl49MAcnVIFot/oHI73uQYJGl6FYUWZZf3hEHi+TgZwpjzYj1h8IJet
8PCVXQm34rPUOprZjcW4HGDSpU3W3+wG9ax+jTWk9ZkWmYBf8f6oYReJmivHgXNSVXbySVCkypJL
CI3WrePEm+Z7A9D6+0I4IbvFeJ/B1NVEoRfC+Xhd3f/Ti32a+aEx6Y7UGnEa0FKPtxvW+xAzaBjX
ClyOGJ4Ls5g4pRfk4GJpEPOy01BS2g9I4n4+PQDkCRPGDue8ePUri/EgbTA1jUE/yhZJnPexux73
6yO2VgX/sbUHH8hLHDPg3j/Gl4xmqqf1rWKG7dxmPTnoYWPmhFQrF7PGvavYzwAYoJhknO9Hb9cd
Z20xDmZSxTEVG2obvdO/TjDyKx8q874Qg516CvS/tNtmD3gBvTNuN1Ahjk8/X0fPtoV37oO7GKlg
Gxd+3kS5mK1nmJehAwyNAKfSooF5IfsjUJh8JFoVofTUwHd74Y2/L9voTCZT9ezGaxEESSCfi7U4
+Y/jwztwGdzSuexpOHY6Ad+HN8m9nB/PZDJXO86ug2J1kOlE613V2xNRv6RNCbRfSjZIkTI59rLo
r2YCmfseXDsc+mTREDBUiYzGcwAaPvu+lMWEdSaEue1JqABDS4YQ1RafguO/ykJmf5653kapF4mp
489TdCknBQDNefgckweKkPlsN8+UU+O+QosgOOZMJHO/lWsuxK0CkditzUg3vf207WJnrIHBYjeV
d+BaI9XhH/d6JpC516nVNZEchwqY2r9W3y//auJ+phBbyzCmsVHFGIa3RbhwAaNoafvvsoMS8srh
mcNy+PxbGbaA0aShCAJI3OaUXG0Q3WBsaY96q44h4SfEJT9+QOyG8pzxRv15d5otbkRCdFEECZK3
b5iDo3NF6yfyYJL3EEuWPGCw5Wx8pifjQbCLdxk0ER8NKLQA/QQXMkj4nvSz32IdDkSm4Sf3aBdd
80wk40CaRgHgn6hDwS2W+vf9KXMufuTICZGQsQKfJKUNRAfjLP/qyZtJZjxJY5ZKhj6fDJSgl90u
etqlKw8hJ+Z1HP/B8B9syZbBYbrilQU4N8NgnEuYpnqZ5riKn2dagGt396869yMy3kWN2yYr6NOz
w+ik5wEWwX8itPUFGkNepLIcfs0OkfErhpnHYXGFxWw/LgfLLp/AVMrDJPgPlwBRItDcLFW8zajN
ZvemOJESRUoVaPSB/HGCUa6f8JZuEnAeHcDNyAvFl9Me9bdE5htJF6B3jFTiNlt/9GusQSHw6ne0
O8UrAywHezNZzPdq4g64Ay1kYU3E+UBNyjvCs/wEgGjmYnn88MUJuRaRyLDn8PdxMt8sUKUirPUE
rtn57I7Y6ck7JwQGWz2AgmVN5DV5IIP7I37brE5o239HJDvQ1GM1PaUEbxQnj6Xi/vlS/P45zEth
XStVSi/Q30lX45Xk6/zk8Ko5/8FO/xZyuzQzE2rrIsBIMXQu01X1qjUeWWE99QWzEPdvH0eZmynP
5IBO22inEsponyD+o9QRGsdvLa5nzz7fzZ5mIiq1CfMwjxTUu/d6Qjd5N86VrABixzGU5ULGb0O5
tZpmkvKsiKaqwKFh5gD/YX4fOZZ0dRxedLIcLf/+OipMZCaoB2N8ElUQtBVO0SnogG29Ck+HWCQ8
BgdqTDNjQ5Ipg8bZsDRNMVRFvJFqzySp0QW8G2XTPmSZp9WrjzEFzPRFsa+qG/O2H6iTYGVZIIsW
EVeJhqYxD4xWTu0wBm33kIoYN5Is2yosO/fUcOSEq/R4GEHY5DBEC7MpmqTd8HNmSgXDBSCzktw9
tF3/Eppj7lmWoHCE3DKxf0gxKe8cTk4FruafH6mTx6oMu8v00Gil0Nu6MmahnRW9+pkFWdU6WiIU
yuMAotlsmyRJd7SUyLT8tNczY1cGpaoRs1FMZAiWFnXORR30L6WttMoNNCP+MLUEa2vY3gUN6WC1
cPJABnhUrldMK9aCVB/zpgBFaVuV1ks5RMp3OZb1T6AKTvssMdNzkcrNIWtHwc3CIAcIn6Fgylce
eoV0SpmVTjV112Mydvn+iiVyjHwZltC5vXKtf8pFmX7mYxCfkyDKCqIVVXkI0knNbKCZ6TsFrDAg
o+qbSLHrJo7eolQWaxL0VxH7v9F19OTp0ls+lssyzcv7Mo3P4IcHLzxCjHHXgI5J9aJYFjYDxm4+
dTDbtSQqW0XcSXWcHfpcmIrHIhak3J7EMWzdqA5U7OPkV+EcinH6NmGk4ONqXIw1CDvGN1T90oz0
VV6WtjIK2BiPoWLuXPKylxwhKLPYzfquO4W13IveYCqJ5OSaVCfAaSpKjFtE7SUnIDbXny8T8H7c
S5GUAZEky/oRxaWWrrphTMBm303CoamECNI6Pb44odYYjZvWIJ8gU69d3+MiLKd1h8PTidZflXY9
DmEucazvRijEWJ8BqA/sXOsmeDRvDn5m47GcRBcZ6KQPOjBtBlsa+/JC1FK/Rp44WdcMhD2GeOya
En38PLPiU1uiNORecqVQ8dNLfAuptvoLjkvKfwRVNljESBP5QQZveG5rUtEkOBVN1R250s3ezTAK
BqQEPc4NIqVGuzNTQ8Q5o7uNDF4x+tpWRVncmSB+dZtqqn92KNvUjoU5w19CFRapU/QmGmiaBjoX
V2ha6ZxF3cXXL9fuV1NKnbCSuizvPOPSN4PfWk03Okr2P6R913LcSrLtFyGiYMq9wnSTTdBKorT1
gpChABS8N19/F3jjnM1G4zRCM7Nj5mEYuxNZlZV2ZWY65ja2PvKXsRkIcbWJhqnXj/NU4KeacC7t
rjI5djjXtZh2Rs9taCwumEGxl1CHOlnjIdTUl1HOpsEfWOm0w5GZ0aGv3rQ0/0sjtuhhYMjgy+lS
QJ2IldMj0KeKZZrh6AsV6i+zxkZbyoYdJlUSL0e5wo67sVV2lQu0H2nQF13AtUPBAV8mVIbeYFWq
3UkubOjRZRwj5jFyypG0WXkiozkmrLWy0Ufz1eSYXMMoZMb+XPcQVu4/ODctTA2ACTI4bANdqdGx
65qii63ZZ5weRF84EW9PXcOAVJveZBDtPJwtcpQQpCvQ9seNdWJ9nllvFXNI/IIJ+tgFljrwEhKc
1VP/VGQzd8x4JN51Hi/lCIaIWAaFScdIzbWpSEXDh2bUZj8ulfRo16GaXBfdiTZW4RaU6jsXt8rX
vJ8pJbgyi+kc0Yh5bpr6ZixwqRHxIxVzJwyt8l72Wu9SLBI9XWdt5eD9f1K6IASKWsCur1wVPpim
rA1FfEKD6Zay/IfRCkw3ijH13wrm+SFneuukulYdrhNe+33vlKUQaHKUFBsZ1y4s0fI4xNLQ2ceC
OUdWhkdEfzN08hlTYZ3JUq4xfu7bxJnN27hoRjvGyju7DNTz9e94v7xzTWxSncCdsQhCCCz4OT9s
ScxGYl6J7lvUJA4WR5qGzQfW22rMKy/Sde51Zc0c6MvRmea4dKTqm0MWdwn+lTG0s6F/q2JuOZ3e
5ndZR7R7Qub5Szs0wwH7kmsXubf0Nq9HeZNXUfkpRy+kPeVTcMgzVT2IsGg/XWfq8uWDJzg2uDy4
NnIN8yFlbJSN0RHfHKeH0qi+tqW5N1dpQ0gxJ5gigMXdEWGtzq2c4rqDXzP6c9i294YxBi7kOf7J
jW5vrvMlKYuAlKUDqozq6nvV/oOxzDBHvsA4SMMvksqyJW2nmyabM8cCXnrnPWyRYpADKjHbDRZj
FUySnBVqhAvhS+qxwWmC45DtvO5Lnx1HBqOPRbmwrdiYey5w3JIRjlWafk3i6s5om8kjPWUveWY2
d3ALmM061jp0ZKEj56mPduivg0e8vOUDKIUPj9kAgq2MVS3TmpqBafr6eKDJMNmBVO6Q/NQsy5WT
14jyaM2NXZLh0IeFk0+316Vz+wMkFcK0JNhdp4xEJkyZseUErMztxtBLOuzSI9WJW/OrTr5UenWb
c9NXmngkQ2P3ceNd/4SNazY4lLkJ+tww6UrtVR3oT70OtVdk/Zdat4qT4qmwnCgI9HrnwDcufPEO
dJDBc8FGpfMLH0yuWmW1xM+IiZ5XxefZFr1lHXjSDK+DFgdeY/TJIecqc8xZFjvMXpovyxAmmsml
YUDo1thaEY1aAGkift/o8o5Oce9Byhs4tiz9nudasaN9Lm0K6FGuY5OLBUtNVuYr0DUyV5ISP84V
u+F6np/Qa5ceRGj0T2kSZA9aMFiPouDVjjJfYwgW0TaXczYsaejswhsxgGMb0GlH/NTAyKlCPk9q
ei00jBPvBoz+kc9REX1uFHVmq9q55Q2uQVoIRsRi0NaWNA6taBQauK5IvjgFTtD/UyjfYold8tKJ
m+N1Ef4/eP2X4CLjH7SiiWqBYXUgKKvB1qp/EpEcGjN7FCWGl6jmFEfxKa+q3B64vkN74/mgwM1w
v/DFEBUY56TnJDUjplWGz7CN0MWaFN1Jsh5LMIBU2SF1acosi1tMQG4pBGo9CHiK46gzq9zwkfkt
netHuM4tL+Ly8cfXNiwuOywxAP7WH4sCobidj91J5Ox+DtLfJG4e0Cvsakl1W1bxyzBHnvFzGPqv
SjZeSDQvSIgdkdme1R+jmrxwYE/Xv2/j4Vpw3eGVLU4nTOD5MYuJ8VKNreFTM3J6Vjhx9V3lAIth
8NN1SovKP3eCcBAfKK1kqZsx/jMfQIlHXqm5itvaU5TefblOZY+f5e8fJJYUMSMVHQw/SXqX9Pct
aw8BvS0ld/8DQlKn0PA63Mu1w8DKSjZjUBt+3siHof6u2vIgBiT99L/Lj74LEAwohqZxEw1G75W2
Dxy1lTWqbhKG32VvlL5lUke2p3fjyDNNzKZpd1Yibz0GxJcI6DAilJjrzJgMOO+pFZo+VW1+E/Ls
C5yJ/ub64W2YZ2pQMIXlfwQ8rTOyeqIxPUwT3TebIHQG0Q232G0eznbNjM4uYjp7jI3NTS14eTuV
XedN8EXvByHbL9Li/c4ZXzJN4YpBnZtUwHiundk20qw+qhPiN40x230zN0ej6pMdkblUaRTOgLGk
h4khAHM4l80k4TCh46j7Wa9uZxbct213G7Id9/LSSMCLhb40TYMjNbGe69JOmZYsADQ/MRqvzYpD
VVIk9Oa7iYw/gsp4Nscd/Xn55ij2N+LciODwv9ezFTJLDrK3dIQ3WNnyrJdN7yZ5wE6CdbOvDWzc
0akbt0VxT/DusNYRXK68WwKDYLZIjPpWkuh3dczLxylt9HFHYV2S4chECazPxnVJ3Nj5daVanfRR
M1p+ZGXUTUYkXIouEzvMXAoFqEjQgApB4L+eTDzzLA/G1rR8MQaVj8hO/4lXKZ+rpjG966/uUgND
wEANaThG4aOtnKYm01EXTBX1tbJVR1pmMCgkJzdZapjHSfXTa6R1e8Z1iz8TQTjMIMHDeq8bflBf
Y8CDLC9a6se11Wdu1Ck12QRpYMu2miKk/8GlIashoZKhvhB7nF9akU9dOQ8V9ecMQwVFP3eHrmn3
gENbTHEJRxcRFsKodQgny6SfK/SD+hwTGIv5USbhja6MHX2xdV8IroWJ1WMcC1IXIMCHo8ussqVG
mzE/FnHj9L2V3rLUHG5EUEQ3skXGvhJ9uCMkG6xJnBtca5R9qCFXUl9YbOxlZ1E/YWXviiga7xDA
lfaky3aH1IZ7yUFL6oiPED1gDuk5g+ZEk9oKJPUrwdNjkU3aXZon7Ibpded3vA5vc+R/byaNmY41
GOouGyd9Fx+1eJLnjglHVgr9jBbyjDok9fwr4rEP0cOZM1+SHE77eGqt0LPyf1jqs1y3C721Q4by
gm1mn/iuT7913rC0Yskim0gLLH//cMllLUkYzIT6UcJjWzXR6FrRFNlwjcud894khVAYBT1dSIQQ
56TCUeNa1wnmCxYJckfNZhye1BSnhi21fjR3xqJe6k8Bf5LoFhAhzOLv2bkPnGVpGlVWYzJfK4Lg
c53y5q0cA7JjfC6ZWqjAblMU9JYBs+dMNTPToF0J841a1D+MXpqH1ERNyo6Tptt5kJscwQ0DpEJC
ha4bvQuu0TTVUu7LNhowGNVshuIwFOh83zEKm4QYZ6i46giC1m0weiVo3vS4KZjR/DUNeHZDNFLu
4V5WSCK4lot1Q9peIGmAJ7hSMI1CUaZgceDTUBbfZIm5XEI12mM91P2pGyi5C8dZP+WjNnkKmwoO
iSLZscmy7qXS01tLYUkCAZbY46oKjkLrre+kTdqvqpzKRx4NzO3rNvnNUf/bUfMbt24KyxLWgm4h
+hruy4cakXncBD7PwsApQmQ7WUY/0XTaufINHYXHCemC7YL7Tdf7RDo+okxKjcBvYb50WydR9I3B
Vqce0hrxr6pg1Wcr6qreNVkf5QeBSamvfYKZizssr+dKLbcF1xGOKiQCdet1raVIMXqAqEj4gVAY
KaXIiHVHGKzvijA5VIoHN1hCELhJBoerHrTaa6fgIc5k/ThEQ3KfJuLVqpV5l0Lx70SRG9cB9wWV
7mV4KxzblWdB9K6XbRcKX3Rs+sxClA6LLCyfZ+RCdp7GpVFEsAWop4TkIlu+hve13ZKEysvkfpCZ
w7JfZhvadZfYRSntoPxr5SIxtUjHC0SEbOB/z5XLZIZNRwue3RfigUksX5xtxncCrsuzWyoCSN4h
yQ09tc7VghUUvxIjuZ9zVE+zUf9t6f3ssBAppev+34WfbiKTggSHBFOIddY1JjOROdqKivQ+gDF9
TJN4yYxG3EkDqk54Ov3hOr2LpOSCFqFiiY5RvIMuOz+9iPCs6Kq2uM8zYn2akAVxe6vjGNU+vM1B
SwEhaWdXj0z5YpAx36F+EQeBOhx35KGhH1A8WBmGrgpas2774r5PQute5fPslcY4HpuofUu0KH4s
IlI7kUz0T9fZvpDQhTAcXRPeBGzFurRmdpkZzpks7seql7NtmmFpAWAQhLo9GSjnHLK5rd9UOU5/
+wpBGAoKiWBEYSjLrF5hrKkGy06j8r6bc4BB4FF6EKfYFunQ7jyMS7W40KIAFhoCGhjYoPO7VTRX
Rmpm5T2thsDN61L67Qg3DdsA9ac5ItEf0SvrFLSjSm0exsaTjkGGN9dPeo3Rhk+Br+AoY6LGB7Xz
vnDmg4sxiDAC3KAs72e9Zp8sDdgSQscFYcBNHEA336thyg+EFN2njGKvmR2nyfSMqYOpPcuEnVqN
8kMbyJ9GOOeHWU6HkdWag6k15Y/r33rxzN8/FQUB1EWQB1tr7zLuqcR46/I+CZTlpYZ4yOFlH8tc
mD+vU7pwHkAJehjFRmISlMRXVTNUZRKdabS4n6UeuxXrUxuhf7ajhy+VyfK6sNTEEhSrs9d+ayya
oIpZhSCcBm3iVn1uIDlbs+y5bYgaHJa3dLy9ztnlGWJVkmnAVVlKj2gwOxc6xOJTilfN/Mqaw/lT
XiWYZJwDBFQ9lmOhJu9vyVmo2hJIFt6zkGT5nA/SRbGvbW67VPjJ0AENxVFUFfdECkLtmERh89dg
igUjhheFX5CwYussFGCKTaVNgvuhkZixHRChsJ6RySjc8cwvz9ECS6Chw37C/Vs9XojMXCd5LPwR
ODyHCh7F6LtMkk9DENF4R1AuxfGc2MoKILcWUexeEn4H+I2NiAqrwUcl/lrbI3QD0g5YJoBj+No1
F00RzVmvcT/G1L6jOdc9lC3Vezu2ljHoA4ezQFsLsz1MluxggC4VPtxQ5KJQJ4GzAJf6XE6aQE31
QCPpz2J0yz64i8cYxfvm89zrx0r7fF0qN84Ti3UY44ZuCXKRRQzbqRgUPES/q9KJ2xMlqea0giVy
x124kBLLWmIcCSqELymjc7YsUemIQcrCJyy5iTnsNSbCaZ409spae4RWlppVwsRC0qLwU9a7Rv6n
GJ55Ge/YiotjAzeIEAnVsaoP87NXsU4QTE0UB2MBVE+rDqooPueky3Zyr5tE3tFQSGlLRCjnR1ZH
WqoFghd+18dAG9Kwix9ImOf5376phZn3be1IVyCht7oaKlOkjKQo/DGMg9shk7GDsm+zQ2Ut17Dq
kGm4McBcEdRZV+o2ajNsK0BodMcmp9QTp8O6skB5NZ+OY/iXqh20gKLjgCsgEYOHuTq5gU2cloD9
3aXkSbSjU7m8bd3rL2c9egFgBBBhSz1OIgEClMf59UzptPxZsrvQDFOXRCr0zEIG3mzx/LVHXHSq
Jhl+axGwnmbg6I6hOceOMBvrK+lY+MzGOj3maHRziQIsCwOwNWfMrF9FIc3GZsoK2Y7XsHZily+m
QGowARAnbNByRR9MEIK8QIk5xxe/8tI70KPu9ff9P9fPZd3KupwLMt3wTTiS98uC5RUVE61hIkvF
HQB4mYO11cWtHknNQUmmPqJqN7r5VFdeO1bCVSJOHljTjEetZXmIvGAXnApDVF7Ai+iBN01wz7W4
+NySon2R/djfgDK5necoUG7dhMRtW112Nps62ngWBxLbjnRAb3fU19pBAVNySXcLDlwmkqcrrQIY
dDaPMxN3FjaTFeVRN5pbrfuOPqL/ktD6jsgE7EXDxV0/3wF+4JiDaWfxY9K/Xr+mTYZgS5EmRGob
hcfzW5qNvG1jC3Q4nWxtZp7M4++lVXnjzA/XSW28fMSI/5Ja6RdMwixIFglx18ruKcjYK68O7XTf
Ugz1NYYdpblHbHVRGk8w8LMAXxghr4XuvVa/3LR7/UlbhydhFXUA8SDl66DMSLvY7AHPvkv7GWsu
zSy/bYpa3Iipe7D4pL9eP8DlLj7mlBfhA0QD0/hwVXCxVh4W6c0Ii9FBbqjlaCcs79zaiPe2NV0+
XBQgFoS3zo1F0NcYowSJLyUx9d8fjLisnJiGQen1Udt/bcKe547ig/GjGdCb5WAGWDQ6YzN1nUNG
o52cpJDd506QPHLrcAjRuDjpZohh70VimRhiNM0/SyMqPg+FoQxvTmNgF1k1z4GXFXpa3nVWZr61
RhlnmmtMlkUPRaxMY8cIXWhApqM4tuynQJYSMMDV68pMa5ypotodAPfVl57b7IbojqaOQbPzji9i
WngF8HUNFDPfXcj1ZJ6yYSoXogt9DKVsD9VDZec/p9o9YUvKniW6kA+gbskCapaAGQM2vqROPuh1
ferigOtj6EsF8EwvnoG/v7FqigXbuWa3+ve+Ct3CVKiRZV9n/F8Kb97qem/S9kCWF8/v/FP4KlzM
kLjRi3gI/VY7ZUTByauOqXHkg7C5lh+vv4ttYhw2DWhuDONfERvaYqJRO4V+nH6NTc3rpz999Dkt
0rt+/Had1NqrxG1izylKWBy3ufTgnB+xhv5A4Mbn0NdV5RrBaURXwhQ9XidyoVYYHAkUNrHHAF4y
nMtzIpJiVjcpeOzXmbjvgtdAT45DlOGqdmKMCxwR2AEl8CKRUoIzsNKSvZRBEGUj0F66dkc5lpWb
iDjayiw+DZU5HZOxGL1Up+GBhXryNEaiOUyRQPt1JPoj2meMZzIAX17ocLIrK2yeAjj4j11uvhS9
5C9AEmP/9/XTebexZ2qQ6RIVehS2F5cbLvH58VgBOj3iIVZ+hEYZ61YP/ZHeovKbPcmTjsWzP5rf
QeAeguf8Dd98nfjy25e0EUtDCeNy1nlVlgdRo6NEAdwMsm9OU/jzM+Y4SnUcB7vaAZBcAFrAHjj9
H2rYSX3O6RQDa46Zn8qv1O8orG7jcnKN2TpyKg5com9ouusT4eZfs/Q55fMOr5vkUSYGZB91QdSM
V+QrNOvUE6HK17PetqoC6LEAhUza22gssisywjbQJ0r/CeuvXWO5kQKU7vp5bzxt+fETVk+h0JOE
JpThvKcfoXrlU2sHmtu3xDH/FhK1HDauFNgMVPyWgP/8sKORWyUibuUH081Q/RmD2Q777xmaEo3w
C032+o0vH7mBzPmiqy3Ew+R9D84HZT3kZpvWRhf5euz3gjnYUefmAG/T7Of1I9ywQKBkIBAC/AqY
+nWAIoI4NBTcaL8/UNtwqvsUTcYRs0u32RHYS+2I/BkADMjKAw6CSsr5EQ5aSURhmRFyW8bSGmFn
2pdsj8i6HRZpTlCBFl6yMkjXrYuzSm9m1BLD2B+80Q9OzHlhlhe6mltjPMH1s9u6pI+kFvH8cEkq
zduuT0GqKt40zQmfc3nX1jvh2EVHycIQkL8CSg2Ol7muPjE1NXGRN7FvHKsX8xvx0Dtn1/zwXP1M
RwAa8y/Xudq6po/0VteUVBM1VAd6BYYwp6WbRihCTXuJzktVec7V6j0ldGqU1oBKPHuxdwDaSffq
Z/lm7eQd10MC3uVhiTWhkTlSuWsvXOOhyQNGYzSNfOVm9kTC4ljw6EXUyaGcpRPnjVNb32RYjrZo
68d50v5UaBvVup1s0IbCRBiF6BDxNQAKYP9cXCr40iXPMuXzR/2RvYrfzP1VuOSmdkL8c/0St0Tz
I63lkj+I5jxOpVyAV36Tn0oDnUf8Z1119jDuzT7Zkha8Z3gIiDoQ8S6+9AdCaVxFVSoG5TMsXs6H
2O7oaIdqx+e5KEQvjwA9DUj9Y1jTEn6ck1mAAWHezMpH6flZPbETcJvZS/bSf9b9ygncIsntCYvA
//4UAWjkwP2jAIDk5znVyMJC39mylB+Sztbgq6A72Uaiprd2XK1NrbUg/0z0HGKx5dpJ5QjmdYhp
7H+jBzbZ893whLZGr7k1vT1/eFMOP9JaWc1yVqOeaqA1OMvq+O+N/RVego0AxBl2DPRyQOcOEco1
H9gyzg+wqYnRIk8c+41Hvf/oxwGhQm0ZWBxYr/MfJ3pvRGGAZoRGtU+FnmHDEBwz9+9FALjZ/yWy
4gDRoc7msYY7SUOble1jaRZ2Ip/DWuzIwOZZIZ/PJcK0y9UVhlWNUiad8hXPlF1r6pFow169Z9Pc
A4YFp2LZGwFk8PmhjVVR1nWK9zoZ/XisIx1mUs7UrQHiRaFC/JowrBLVU5p6bT5KLxik2hGKS68N
XivAfpjsgKeMGOb8EywjGLGym0APxjRyNSnuajSNexEx/0xNSd0RE113LPWWlsLaWNSOUZ2H57FS
h8Fs1WOQLA9ZySMyNvMNgt/EUdg7vcPchuKFdwPAA5B9aJpeF8RZSbpqyMPE1+mfAucHl8BMamfp
eL0umBssnRFaXWQYdV1pKU351Eg94MhPwUB9zK/wrpPZsNNLrIk+FX1J9qxVYIie+j6Lk8SPB1l5
ZZCHgz3N8idTWeOgLBnZSgS63eZiCF2jHHbBUNt8/vsBq6ubtbhGcFMkfqOTb4ZGjh2hj+mk3QSE
DfYorAfFzK9VWN1MXRPaKHYCSamq1MlUF7ljmhE7BkZ5Ry1sfdWyZmYJBwBFWJei8wKoPMxiSPyo
pjYflZfOL7ykO2nKLWFC4Q31Z+T2kCRaxbKVMqMOaLaF9+a+qn5E5qNuxDcSiZrrt7zFjokUCS4a
KE005Zw/yRh5qJjIFOyYtadj7wb8hab66+IOQx/bByprhd2ZfAiaLPE7jwENEeVf9OatQDP0l+vc
LKK/sjqoVdEFYIsGCzTMnXMzmL1UQz2nvmbI3Kn7skBIOnjXiWwd2UciK2Ym2pZWWJDUj1LH9AxM
vv373+dI1yEVhmZtuD/nTGRhbTYNLWEOmm9G+qqMm1r9uU5iS7xQk0KMSYDxQ43qnIReZQEmP1Qg
ET5kwcuY3HaBy7Lb61S2bgNwWBgbwAsMup7cW3UBrUcKjWgWc/mGLjNsg6BoSN5RvFtxEiCy/9JZ
Weq6KQtt0KPEL7+l8Aa1yA70HNNfApuErVNX5Bhk6SktK3ue/JRHD7lu7bzXLet69g2rSyuatCsx
ihkrPjFV+jdKV+xN/FPe1cKNCi96vn6wG3YUXcZIwgPDARTC2vVGVBg3dFCJX2j+FGePY9o6rLkZ
ksiLyr32qQ1xRwIVqQLUBGFE1xj9ro6tEKsNEj8bZ7tlf8Imt1NOdx7VhkSizQY4WlT/kUF7H2T6
IZrotSoagnrCHYqfJG1RmzlgagwucQ/ZuskOksHo4AJ2jZGVZlWh6KpmNGCmu9o2itCZ59OU76Ef
N0R/qaQuHUpLG6K5emBDlceN4hxqVTBIY+iQpv4PTgxXj+o1UDwWcPbnbzgdGhW2DUv8qv4Vz899
H8M8Y3lk/em6sG3dDJrn0N8MUYPjtjowpgILCGEJVuAHm0OEqT6hY6ZHTNbaechbVwNFsaA4EfBh
EMs5RzQ06xHA3tSnGTYpW18lRupw9feR3aIqFkTvMpFkjXZP+qrHqLkGRBjGOwpPho96dF+leziT
5VhWpgilpAXTtRSTgLVdMYP+krHJQKdJAjuOE6+u49uEVW7b+H0RnqJOnNASsePuboV4oIceF4gF
LPpFH1nW1dM86DBOvvGM3oHOJsf8UWAMitv97hOA83Yu7bJktiAp/iW4Eo+SKLRaJQvBz4aXutqX
2cs98/a6DG4RWXBqwMUhSELr3/lhJnQmWdZPqT/rT8loc8cogfw7/LbKr9cJbelxCquI/CEQ/8j3
rl6VUqIAiNFM0bZiZ57IX5JDmtj8dX4LE2faq1lsva2P1FYSn5Oy0pA3hTD2IfDlP62ws3vSOPvJ
0eWX1uL4kdKisD7o17kI9YhqFk6wu5t5ejN+h2nMB69lTpE4fXIXq0NTul11Sg7Xj3TDWJ2d6PLq
P1AumWlmozTQ33RfRv7oNb+bzhY//zsiq9fWh/MchxzXNjbH7+pH8s9cOMHLdRpb6gnNygid4fwD
t7KmQeqok1Oa+U2rfhdow2lm9DWxxv3vyKxMh9aQMZq0LPPLht7keXQ7p9N3bqk9t2mLHbiA77B1
RBlrRQjQW2Dmc5L5AzqV7Q6NNodkCJdCA93Lpm1ZQ9gPwJ2WMYhwzc9FANARQKH0PPOlqZijBxiU
wrC58vq5bbwlgO8RkQFRisTQ2oMYw1pK7DmFwm1iJ6Lo+G8MB6VRoON2KG1llhlQkUBcoHiPIs3q
2XJRibQTY+qr7tQ1kU3bByP9WhXHrgT84hfpT1P8Mwt/oPRc6dSZ2j33YpPXZdoOkjnLwJtVCKKC
ujDHAeJekBuOoK2MD0MQL0tcr5/pRk0VISFqKnD/AGFD9+T5zUUNRjHiv5mPUYkHy5ndn9lptN9s
E3nr3KNOgvLKDskNYTkjuRKWOQmnxBriDFWP/kBOg0e82I5a+0k/VbfjMXf2JrZuPAQQRIe3RDAE
zMfyQR8UlK4XVPYEqjFIs2OBwV2oTmnR03W2NrQgBqlYy5S35b7WI4I6VqIDpA1SPzEtNPEe5xRr
E83nNnjVmp2U+YaxhFuLERsWOlEwkGmlcNsKIB2a4LXlmFJj91moMLtPZcdsssbbskM8maEb8z5G
L+bO3W2dJLqyMAINaVkkFFZmGskaw8jwH59bft+/db7q/x5AgsYzINdR44dcYsLZ+WWZfVCUURhF
ftf+LAHIJxRNkd0pQxOrRCH6+qVt8IOMLIAjAMEtjWard45hYw3T5in256h08urUYKVBPe0Ecxtv
Gd4hXGhAeRGOr/OyGMmZGQm1UA+znrO5cwn9wyRqGn+PHlk6vv6lsxKLmEdwDC2Uwzh9YQF3O+2H
Kl4A797RGRuSDh2P5P+iGiGDK4dQ6HSsMWU29jGg1BMIGNyY6ijN63A+s+T73Jf6zjVtnuD/UgR6
+FwmrEY3S3QgxH7JU8dC+G+ol7zKbEbSHd42BeIDpbU6TEuV63mAkmITAEo1EDDIfowd3wlS9uis
dKDsqnGZ7Rf7WYUKnqlcmiGM3BvesVVbgyeD/IwFACEydKvHhFa2IKEiV/6MtElbiQcd6NUuiQ9a
YzlJlHl9PgHWh6mq6BBp2B9ZAv8ZjL/HcPxST3uOz4bg4GsAZESDD0CM62tMhoaSQSHvhXptMz1j
7uW3qXlGD8RjK8adi9zQkWe0VhfZh2HSpTpoJaTxUuuHmddOTfiNpt9j6oGLcNC5rkq2CCJ6RiX/
PS2wHq/QSYUGYgaCtTY7sQq8HLMVgIxCvF7ZkUxdWc07PF4KkblYbIChFpgHjvX8WWDATzDqGeyA
VgqniBK7bX+Oe/WVS74WIpgDh3wKRPLCKW54MnfItftFGRxSSR+U+SVm1l00jo9R1mIsC7+5fpKX
rx2NAjAyqAdDoUEvn7NVB5olAQbPfLR82z2M2fgUis+9+mulck5m9QStTqat1hWZj34EvfV49zCX
D2wPabfHzMrCxGXQRnVewlYzL01pbMcNspRZldq1fLt+bpfPCwwtxSlUADlKzSuGDKmlQpEhA6ro
MYjL17ao7XJswBbAuBHbcQW25AKDC5CEhzOOIupK+ALSafAs4Y1HCuiAGAk2bXytrNap6vYPuqf2
EzsX4r5oDpTd4BEvLY/rwb1ayNuRzGXnW6mq3QYwTxdjuYobsxv3ZgJtkIL/gTkQwD4gCFiHGhz4
rGKK9N5P4sC6z8b026hC4zBz2h2vX9qigc/CdrgFgFYsA0OWxqh1trIOmKFVVd/7KMu6Gi/dKN1J
rSzm+AqFNb4iC1LW1CV4wWvV7K4jnQeK9WHOk/YGAEDlaKQ2DhZtpDsmo/7lOoOXCauFQ7gJqL0C
PEvXc0IiUeg5HNne739ZxrPl3OrcxigW4EQxJtOpsav3OsELwXynh1QI4jYUiNZdUyIrsElNgN8R
W4neIiCqMHq+c2dtR/tePLcVnUWGPkQVfRVEaCA1QGc8hLSyufE5dGvzwdgt7G9KI/+Xo9VTMztL
GYEER5D46hVTZG/jN+m1du3Fzpc/xE0OO3e2x9ry9w+shWEcVT0Bwfv511Pk6qe/xjAtZ4dR38ie
ovIME3ZOAF5/2AwVzm7+VcTO7BSG612Xggu9u6KwUoZFiaxltkhBw+5SzDANGoo5phiH/Os6nctU
wYrQSsGjF7wzKmriecUvqnHj+smy7PbGD3q7xMz+1/DraB4T+ntvaNQu4ZVvV9IqnNMQhOmjIUub
OMMhqpyvw8EkN/T0T/2jtHfOdFMOP9za8vcPYjG3VaJHOm6tJa+JeW+Fr6m5M0Rmj8RK1IsgJlOs
LJym+dSPPwdxX5jfd25siRYuFOIHNlbSDezjnGWL8MEBdjFETEaO9a1s7MRFh1l+DIwdRbGl4jH5
EO3tcMER1654wkh0ZWLQau+TeLRJAGNsljskto7tI4kVS02E5mwVxoNvjPZwy+7iHWO/x8Kicz/c
PNYv5KABFlr13WgfVf+ycyd7BFYxZWTqWlNZ0eAHyGCUt2g+qKIH88fw/0j7suXWlRzbL2IE5+E1
k6So2bJpW/YLw3t7mxRnijO/vhfdfXtLabXynlNVcU5UhSMEJhJAIpHAWn63NXfi+vm0j2l6uC+U
ozQWzz1tQrTfGmG/SfPKLqSKFuhxzHVO79dNKUDvAKDhXLEx579fqK48AckgzbE1wUBlgmaC8z+9
eCAAAbLqfwUw5gVInj6tm6Tf5J/o/6Cx5tfZouuc82mB28d9ld0MOri8gQnExIMhoGauVxPlaSAD
l6jfjNK7OGOOu6hyEXBUpdSk6js2ibO6W9nL/wqcJ64ZgV0yNGdjFkhLhYonavxqgPnSg00GVTaO
md9KHS6F/TiW2qQ346JHMXT8sggZvj7+uTUAVgm3X8x0ID1mc3SzNXpMxcHmyvMhj8FHsh1j//4e
3VjElQjmQCqKsjQSgJpuZOmtSD/hrlWxr4Em8CAVHLe9ccheiZq9+sK25bZsBROkLpssrVEs+VDM
twF0IRLvDnpbDh6M8Zz7TWhxLWcObn2nwIdgAlZv0txEMRBcMKrFs4AbmQ9W9FcSE+hmPA1pNOBM
TRHTBAw9ai44iUKFYCA6R3s3Yh4Qok1UZTCJbaEf6HpVoTjKo1mmPfrkW5KrE+lRQbtvCzcVB7ae
72s00BGZ4KNJytQkJQy6F1dZFboAYCSq7qlD5t0XdEtvKHrjVRqTNHjbZyzBrAatV9N2AIRAS07D
Mi1fzfxtrtFJ7T/P71FixxP/TBYx95Jcqy0t4v50UooBvfadXwskl5yyouhZSf5xexNg+S4lMYuS
4yLsRbUeNqA3AK6VEke0Pee8i/TPF+lZDNoV8A9eH5EYXy8I4FGhoZ26YdMotNyITlAsRMEbdDKl
i2pZ8MZ8b8WHS3GM2fVmZhTCgK2KlGStfwpyaJ/GVzl0JGmBTmXOkMaN4+9qccxujahtWkOCxWld
bGeFSLLg0LX2fevjqpDZqfMw9NaoNANgG3cYUNOpYdFuJ2bbqCZC5wic6u33/Z9JIa9WxfhVH0h6
32vQYeF0bk3jffFs7Co7IA2R0AwfkU9g024tjpP9HzS4wIX5bx5O9uGnHFI5OcWg6bO3R7AykZGC
ErAg76Lznj2n69A/lLQnlKa7N/oUc1Lz73eKi0UDMAJ9LsAM/H/SmUSjb80sEOvTTFt5dN/dpf/N
A7ogxAHl+zO4YvFf3sYy5vNDJpPYdkZYT8Yss6Uv+gqjhrsVqH6Fh/Wnx4uV7EzsD1lM7C/GtoqT
MgIJ4nqkW1cgrrtcdGThgHx9BZL5+zbLuOEPaUwm1Vd9BQABSLPnadZD8+J98VbEll5YGQqTPOHw
aeVQnFekkX617Z2a+iWuwzhteLybXFlMFNMKcQIYOWS9bF0MNcYU3KWu4PNwOHhctCyB5NigyK5/
79JxpPpi+/6L+OTh9e2ttz9AXs/ZJe6ymPhljXkW6cls9BLokU3wqtOTnVKbcxf5xpa741zsS01r
gfZQ/CZhPW7L5fsvgSxjG2TIxHAWxCQfMXkGmRQdCeh2OdGMObv/20o0TI6gDQDldvZA1RRwmSpq
oYBcu3amg73m/D6Twv/4fSY468qgZPWYgtTaAnu3RvKGiJ/jkrdTzLX+hxgmJqvgLw20eRkvIJI2
tjtnJqa/77Pse9oPGUwIBJ1gUCcWlpIB0gFBYuueSLfGAG/ix9toUdrDw38okQmAQxIGYZ7l8+bI
i8Y+YqwrIQMFG7jHo2ZlL3c/VscEwFPbGHFiZYp/ds/2vFPD5pzaz0/e4WvN0ySTmf6QxYQ/E/wd
vapCky3k2G5k6xsH7nvgLYpjfGz1G4Ce6qTqWFOMqWf/6asn4S/OFnEMjy1mamVu9GUGES9blQJU
hKQjoNRdbjSf/eRHiPjrp9+h6vK2lVS4nIaQMy7WR33xnq2EgeQ7z6t4SmNnFtnd+W7IvxBlmees
CDTsznYbi6R0kFUA5QBHLq+KefvQvVjUvOgLSWkgVFlrQlLlHO296w7kMV//TokDdmi6fil4KdR8
DN1TIhMlpjqYJNC2zpTKGTnaW3f5+GjQB3Qfbd68uYjB3bY5n74nkYkZSTUNaAuCxNOLLiwG6nje
wfKz14T8u7PxQplMsCjSMIxrBcpMCNiiDYLVLRePKqls4tAVIgbn1GIRU3/YCRMxKtRrAacPgeJC
f19v9+6yIdOu/k29r8PhX2gSvSVohQfTHdA/VLZg1wUW5k3UBulMlniTaxD1EFV2J6+azDZfOV79
M3BcC2PyGWCWq52UVPDq9fE42Ha9WC4W1oHC36BIjrCfR/C1MOZOBrz8KjsXs7CRFgQMzxGJ7CVx
dnWL3Jor7mfwvRbHJDVVrZ470Foofn3G1PVI5VVFihkkb7s5UdnXBvB/U/v+GnkyGUcP1XxM4tNZ
8S0w1uROoUqkF58qiyOGvZrBJK/Xxjh4lJ+ydJCwNvuIm1EPFACnHt1V7jx5Ht4AeTv3M/hfi2O8
W4oFS+pbLGt93Io6yT/EDRztvup4psi4dX7uTmGft4iRve0e8VrxILa0ofS+lBvH//VSGGcez0OB
x3AspadrkSbYI1CF0nGvtrSVkHDwVDdb2XVgvJbHpACGGTe6UEOerey3Zz8RyLT1DgdulOJYHnsL
Gif05Z3l7y3K/pyfeQY3q+XOMliUlRIpxqRX2B0Azh1hBHBgZE6/j52tOln0yGMK44QK9v4joLQz
lbPWti+nj8jtH3JeUOfsC9sU2YVJLYEjC3nG4biOfbW3dcFNX0oUFtYcy76RUF/ZAHvtEbSTkU0m
ZL1sbYFsSbDsKK5YTz058PaJ46nsoLgRyY1uBlCcYBEwV7cPEeTYL/ed6Hvu6541MPEgygq1KcAm
hQUd25f30bHIVK6A16fPF8cnh+rkLSVkJ7ytt2thv13btNpTryee/Z+el+yMmn4qeuM0zIZ/0km7
+JMsFSRWns1VLc9imMiRiKnZTiMO5p5mxO7jpUEtg+Y6sanN2UZOLGTZFVs8c9ZN2Cm+RtZ22RFz
M/5OnnihieNkLADWBKgvIH7OZqmRrW0uAKXxvvfJYhEDXZRwbIbnBCqTauTnIEpEEft0BLOsRs4b
2yJhSQVHO3TR1rM/79soL9CzDw+1XJyBxAgdbu19VK02lOYGtaUHy255BbzvIcU7/sASnoiVXIvp
rEkcKsE7Uu6CuPsleVyEy9NyU5I37mnJXZ6KgH1xpTDaoAkrvBchAzhu91uSbfsl5aa+PBNh8oyw
rsygmSClpT260wmKXk1GiPAMFH5C0wVXICd+sd2e9ThaaafASqb9i3kAToDXcktBNy5+V/GYnRs/
R0UT9H09J/RHe0LFa7CDxRZjx/dNkKc8JmBMuRw2vTVHyQyAODnn19nnADYHVJnMIiujs9h1WEX2
UujEXIECvTaX6okUrvXGq8rzpLEMCXldj5Z2/tYZSEJfLFf+bGUie7UX/4cpGvtUFJspmFEUiLK3
SG4l2xW3tVu94STjFQVvVPuvLIFlEmzH8wlg3RClb+G1+hlwQhbZJ95Yk2W4Ep/OuTMsKrjvF/c6
xAsaLJxcleu1MpY4T4CJhkq87ER0iREhO9sajrVoO4JOimfa0tLOt5xgzDlfWAxcOU/aJJuPsrRx
1In6Ak1NW5t4tyFekNKY8CEFSEkBADIXc+BokY3rV+qiZokUi7Oi7/6iOyGY7ZtFu9OYKUOp+KX9
sgV4ZPuo7aZ3FNtCG2kWt3bESQZYxlBgD+E2O1/A1mt3W/4yyZzMrXkIzNxVMSEEL6lZJmoQ09OX
o7F3bdnpWwePUZPjeGAXuB+wblQ6rt2BCSlnuRgTfb4yv2gS8vv1hI67RU/tQXKSs0dJTDzPsHl0
nrx4zOKdhKmKqWh5VmaEfsKAUhFtal+hy0vhbgdkwJOh4RnvAGybTVIM8blPRiTHLXjtiXBQa8pL
quY05qcd/pXBpDmdJbVj1PRz8FoPrw5KHOSL947CgvL/T+j/K4SppFRmdh6mAEKO9ntEa7rM6PKB
7EJKV/nC+5f3l7/iZme4zDWSXhHrEVnAenvcZlta2/QJZUSO6uZgcE9zTEaj67miTxUW9VKKBA2E
vAjxs0Q5G/ffVTDBqGtkM5HO+P2EvGwVW9rtcAfzPjliZJ2zjPnvF8qqig6zRZhqhQHUH5Y7rbcu
/nNs7ObTovmuOpF+Q0cPp5np0q/4mePCtxOov6ucfeBC/GhkgXpuId7du2S5cFqbW13mbRQTlE55
pUeqNq/wiAN6snFp8JfLh3DhkDfo9Gn1ZdlfHONg0XH+2+TB5D0P8SqYP53XfbEuAcO0TWNMuBIB
sWuT7NI38Y+6b5e5k6Dv+Sn2pOU/1yTg/DHFNSO+YoiMWeagZVYYdJPoj0E9Oahth28hOK4gvhTx
xjed5E1hWqN3stBcUgDKeYcc6fzPWunmZQOzbKaYAK6MBhTJ62Wf01zSBEEW/bI+xCmQS3LHLF7v
r3R2LMbx5oYHA5QSFrr2WIRR4xSMYlFXsj8kPugKyanlcXN+lx1+ipjHeNH1DvYVZhmmNoDKtTrL
SOsTckyXqNq/h2e6T/HGGO72S2n9KNBF7m1edYKuR4KVym67qTc757lbPHGM6eaCwQgJlh5g9ICO
7VqpSSGftLwtZZBQomSgVLZW8wZ8b53cGgZhgfSJKR5MljEy0gyDv2ETIrtr6HGygXlrGaTHYD3g
59zVyuu9Ibb1XcA5wm/4JnADVExnY6ANs3HMCR6acqi2ZxliwUdQdF6H+ZCWm6HfyH4wdwLWLXR6
z9PZzIHQDEANrkDg4tv76r17DTbCavUF5H3twb5vmrfc/koScygkWh9OZQRJZ3dtkNi3nESyE9tb
A3yDnt370m5dB8CSBogvbBtmvliQoCKtVCQIiGwJSci2yp1OJlOIwoiCLpnHjqokJ/W0E7boW+sW
z3jisjmmeauyj44VESBVAFPFbBazgWM4DOB3FpAyr+Tdr8FrMEznIUE3xEW2pCc3p/a07737C7/R
AAIEJjRpYhIKPYc/uvNiTWymUcxUXzkvY8tre52KmwQ9X4/lwtIBT05bg4CsjiP2RrIEXc8YhAb6
NoHVdu2IYp9kghFIlo/CuNOt5WW1xNjz64EXy79B85n4g/kbrBFw14AyYjmBMiHW86FSIMgeR2pX
H+LcX3B+ScleX4ZkIgLJPjr8L2UrRfQ1PuGdSFmJZCSeaRDpgXeG3sq0rz6ICQ+xZOVNCng/H6jz
u23qnlY1fQ89gRi7FAM1u9gpInLQOO40/+o9NTD6Dvoo0EIRakhPxHpMNnCkJ44p3cixLxaGXvbr
LZVadRBTDNr6Y2eDJeWUroc1Rrk0Tpp1K75eyWHybLMFDp8UQs46XrbOiE7I3rV2Kql96qS5TZWK
rOKCE11n/fzf+gNyyfXi4kbNwhZjoj5kTg5QqTrRLoIPUMUEVPM5znF/s3S2YwkYrJpalfpss/IK
bed2X5PYzaimk91KoY5+LGxumZYnlIm3UZ8K8ZRBrfZ5KTgD3eWUh9V5wxktAPDNIOIzki2ma6+1
CNR0IS36wPIVWyH5Igcknw0oERo+C/tm2b1qi/o5xs0TwKTaFnhVeu4mCQ3xQLecHst3DBU3JEn9
UFsEf+7r/OfqAZIhgp5Tn0E5RLZGLTZDmBVRFPhTZev1pjGyZaFaROoC2qapa/C6on/aE+ShMx4g
PBgSxDj4tSaGXJSbokoCH6j4vh8Bj44ceYf1N5bItdFeC2FuBDpaPq3yDCEvx/0f112bdI1alyvZ
Ukcyr1hsXXu9tV0UrO3tNvSi/cPbauVEu4/dbqessgfcxg8xuvNWq5NLV6sn+sEr3nw/5937xHlf
LpL78DSFeqDhE+2MvPz6ZaF63tkFOfbbiviL3QpNU9NqJdHJ8dAqEFIuQNBscj8+QANZ3AzwiVyb
CYxA3dLk8zkI8Bo4uV1HNG/y+rdyJKlX7IU3Xg/L7EV3xLGXmQwD7sl0tgJfNUsa60et4lwbboRH
bPrfBelMeAwrpSn6DhLObr481eS9IqJTrSpq0WgXvpVkeDlT2bvvPjfuvhZmvMErDLfGZcJkPPtU
leaQF7nqr+e+hIqodH8i7iNZoO9oA3N6RscMz3huNFchh0AuipZt9HYin2eMp06DuD71qo9LhWSj
oRTtOehS3+8+elI4rWMgl3v6uL/S7ydbZgevhDKeq+fgKlMbCD3b8JqauCE5/Qnspbs9rj8t+/Oz
8Oy+86oCbrPKKT3oGcH86uGfH4PXi2ec2xSkTmgqfIeKQpBbrFL7dAgPwcOSjMfc0V/VXzwu1Rsx
8mrljK/KAJUe46pV/fxE3kuF6Mtz6PKy4Bv+eCWE8ccwloF8oEGIbe3f9T+PU0qGBR7RDve38Wey
cqU9ttcqqnNjOMud6puLaP/4oKyEz/sCeMb53eh9EdnGU2kEogUJ0158b1AIUmxMFCwXRLU3w6o/
poQ+83gFbkxQYFlgMwU0LFgcDRYKLBmzQgDcHrS3leYZhtDx661PwPBChvXjwqALqtEncT0S0Ot9
HXgwlzfavK/lMx4pqIMcZdowO0eGBsT5FcetqI/kZbtM6MMrcUqye36KVhHGSA6cPb1RHL2Wzrgm
MrT8FCdYfXc8fegreObgoeESQd15eN0Uy91OoxGvDeFW6LvSOeOIuOvjz7POwR5GbXevef5SFwgE
G46DppLV1/hr1nho29xXrJvecrHfjEsqwPdCOQOy0Y4R4inwJX1akungONnDh7qJUYKm1r/ph7jW
M+OjQErvjMnALteOm9s+gt9CRQvmm8Gz5xt3YkhCCU5FpoSq/Q8GITDB5KEpYUfhPr+k9XKRks1E
qYP3iJM9El730Xf94kd0vxDI1DcKzKo10gSBa3sLepElbOjRtB91e4EWU3nOWSkKENzXnpuh9UIs
k3yDkKxDcz/Eor9kW7pgf0t38ubT8NeH9H0eeuI9iNxKvK40y3iqMWWFYQ2Q2NK17SZetei84bWg
1uMfdA8tGrw0fTw/n7cJtGwtD9reWJpO6qg7TsC/7T4XS2ecVm4iTYoyfEiCjpet2y2HgGAwZHHa
bDbKqiSrwkZnkfj/8Q57K1W60gHjuVWsZ5KWQHTlvKCfDXMVxeI8IuEVvQN3/upGxn8ljHFVNVDA
7luL8zrjhy7324JqBjmLTqLv9YRzXb1RPbt2HMZFZUERMCg9S5tolyMOik9vqxptjof5VdS+f9bx
FMlygWpA5g0DUJXMz0SuBMxGvLBhomee5+nR8nhf2o0Rqau1sQTM5tk8T8oZQc/cVitCd4QsME2E
Ybbf8NHcOdnG8r7EGy0Q1xKZ7BbYY8kpaSBRwwPSu7tIlh5Hws185K8XmEzcqSfQh6c9JJS2q3kh
kXaOs1vhuoPMh1fsvH1OXghjos1J0c6KlmO7OhsY3qDOs/3v/ODBtBfCIvUyVwAsKo/G9XZyciGW
CTmRlcWylEBsRtbbLYZJkA+5S9Mm5DfZ9DaueisvdD893jAOL8SYTIhJgR2cjgUEvxzXSElcV0KE
KZ4Fhyx+bxzcKldPgp0D2yGmPFud9+3OeWIyISZu0rpXe4guSPQA6GCCiQUcJhu0STofDn1Cqe/A
o2PiuiMTarLRjFHLhlBxHqnC3voZfVwuAnexk9FVxTFd3hKZUBNHSWqpLULNeq33ALx68uaX6H8z
HnHlhCzRWKOdzSQyZdWP3qIn+VPHG6rw1pP1gWeo3+2PdzaNBQ0eLEnQReDc+i8R0IeSXe9st+3L
eSPZv5YVHRry+IjzcbOTyeDsdIJ0fuMYi7cABGuU0s/k13+mYbZsFoe9NLWzv8qORLCdJKGLDaZ2
I0d9vC/qRmvStZKZONTkwPcZWigZHioQ8cNdDoSQE4W5Pg8LzGgevngu8vPd+lokE4069HulYq7h
zlK66R5Q1OIS/QweFWzL7tdP6QKNPNabsAFaxf3FqvMv39tnJiDFcaid0waLTc7ENgAx1Qj2o4vi
ZLuoAkDlEPQtz+9B6JKFH63t9ZP3RN/eXpGaTPRthxaj+x90o1P2WhVMoIrU6hyVIk4BfVs5vwTc
XJbSonMoqict+bwvjJcBsi8jpljW0VhD78kX2CocFNzcmuyXp4WUEfn32zyuaGxQzLA9+oF6MALl
/Q+YtXtP+0yU0qOkzcdYxaH66zfgW+//+I3OomtVMlGpVgqlD3vsLVh+bfIbU+67D+e+DM5l4QeN
8TA1JyA2IvJp4doFc8lE0oeIYqxEwLOhQPp2gUtY8xgTp7I8keTPHNeZNfRDg2CU0GdyXzC3Sfj7
RYlBDNrwFFsWnDXfaL/U3zTfciTcTEsuJMjXEs4AnUBPACQk0UEG8mZrjwLVBPJyX5O3T6wLOUzY
EbrAiJQJtihSvD86i4fXV4nOzZfIVXkX9tumcSGMCThZUxTyfN3yG4ucy7351WXP0oQkOXdqf1yD
1+TEIxmZHffeTjGRxjLHLq8l6PH0dazTl0JYtSZnq27flS+WxQSPcxTXgZSZeMklR5Re9jN+xePz
MxqdeLVHnt0xSY04NKFej1Dg+pTb01q1J9O2uVkqz/aY+JDLSZxGkjGni0fMGg0iSX8NDuAxTvZX
71l2aL9w+xFvyzRQUQHmMIiLmaghxhaOIjXSMLNlp3sEQhxEX/0alxjvk/vgPzvPT6P4X2Hs4NZZ
64SiTwBohgnxrZ2aqAyahAK7givp5hELbKn/WRY7w1WZoyQD9VLD7QKDSBYpjh6voHD7xnkhgwkV
4xlUUpocfJcw3sF6heaJhUxWnmCnC1644GmOCRfF1EjmGECW5W1tBX1ZrrwcnOxt1/LafZXbnvtX
dUywQEtIXomygAiITZqfpt7329Ypl3ZNXf/x8XFh0dLZLDZv7WYHFIvV19chpdw5k9s30AvtMgFk
sAIQxp5hmJabz1PkwdJtl/Ka10T4DbFzzyaZIJKc1LaNgxAOsO5sUEnjgjajdORr1IPwdrSiTzk9
HGweafztzOdifUxIkfouDZQR63s5bo+G226nw+55Nh/KvR3dil5zm48OtjZwI7MzeV3bVUrQp8AR
XOE5tCD6iPKI8HJaqkckWkg2P9f2/eNtthFWqTJ4n2aATHBBs8gGoViBuTZTNF8Fd6AMkOyB18Yz
xyVWAniWZq5pwDqLLAixBqaMwhDnNZFSAh8y/ZD+8M6wm+nOpRDGNro2SgWzKzTMpxP7vf5IdiI9
rrOv7fGEPimUeuxx41FeYLl5JbkUy5iGqhZ6UE6z2G1jR6d58L/G1HPgN6S2FwCDchq6glF+3t+0
m1WSS7nM+aMW7ST0YzYHTQPr/QZL+vPwsHGeKb86eMsoL4WxB09hNs05KzV/aqlZgdNyNX1E6cKy
eYgUNz3tr6QfSWtTa10gy7M6j+iFVl6Tzap7/uKPZ94s010KYrLTLku0qJ0FJXgJsjvbRT3dxZDh
A6YYZFfjYxnNP/h/OwH6+PD3i3Q4Vs1GbecNS4ibzl3e9OuTj0LBVSBz+JytsktrXFgh5mwfzYWB
524DbVzlOnoEVY1t8xLW76HPewtjzqApDlsguUMiavXHrYZS9VHwRODsW7b+m9reS2lnZFzhn8UB
k7bPzytnoq95iqZsCngb3vfcPOovd5Y5jBSlGrpRwffg1cnNnGIxPHaOp/Tca8GtHVUxYA7qRhUY
6mzh4ww8uHbIeggScrK1QKJMajfE+8ATz9lvJX6XkphNVTvBtOIWkqYnpM9CSg1iuR0iDdpAEU7n
QjaBMXFCzC2vv5TKbKwlj5kxAFvSjy0yJna2EBuUzqYHvPfMaFgyqr+fvPeW+TdZY1J1tHyiqxz8
X2ynU9difvQ8app/PEqAWwI+eUUkErmaZZdedQbIH2ix6OpAWy8LbO+TB3Yq8T6AcdNODZAmyqrm
ox8z+MhKV/Y7T4xomH2oIkV/bYFJgrFaKKfFfXXfPMAul85scgxaH2FIsfS8BtA8XmjFN4tuNi1K
z0g1iLF4pSL6IqPDxOMUunnBvRTN7DQKsqGeRhBd/pad4eyr8lJHq3sboA+ut+U3882yqBisE3SL
p6vi6V+9pIImZ+5xQiusxLb6i1aOhU+RgUI0QL3225fiMTxEKXl+7l8jvGt+cnR9y6Eu5TELzjLM
c7QG5K3jEvl5JFHd7kiAQcDyFe3MqH+P7mbVE2ujPSTo1okWI0a/POVfTLaBLFeRgT+rgzMEWdj1
qQCI02QG7zP8FHNLokoi49C72qqZ31ZGr/91OKgTQeMOz89u+PaVXCZ9yM5GFGC6zcB1vKd4ddCO
FUZa/V8TfO1RXar+75w4zmp6XzVbT1h+GdxZMd4XMDlF1ciA95PxBaGnvWIM+RdmWg8vR3V1XNer
z9AdPc6m37LyeTIABIagwDUws3Ot67EErkaGNjG/Tx5OvmzjQWdcZ+5cxjnU62ihvd23sm+sDiaY
XQlkljgCeTxMOwFWht5uKaMR3Q/2yROBifqcLT9WT8HuaeWQ6OX7fQlNA2gZaOx4kWCGgPMp86HH
fIoqoxxhgWoNwxEsckNdGOZg9bXgm6GbDEBWNnzz11lYnE8PGuaUpHLVK2/FZBCt/8oKN2kPcW+f
rIGcxJKU8kdVbrX4TGKEwBRIoF4Sb4DXnuX7zqTdsBTSlsqmfxZ20QTweJL+yXj9ojdmAbB5f5fw
/S5ykUCNZTE2pX4WfOmp/lKapWxFJFu21jYABvFBWFYB7Vr/vt5upYlXQpk0cZx0CZi9leALon1G
7uTGn4LkaGtQ7IwuJeaeSlvRfxbRy3LgdWPeulZfCWfOojTKjCi1sOK8RbPxU5KKdvigK49jaRcV
6IWERznnlL1vDABca5k5hSrFrNTBLAVfk2lVu4FJJZlY7Z9u/UuPHeVPdV62vwPy29DIpCImVrHE
yzs4tqoywXlKBUy+ydC5AkB9mf553M9Pk6UzCA7GSHvy5HE2edbjlXPAKzCXBFYKGfxGP6DNzNYU
wcIzBH5oUndb7Mon1YldwyAp3gt3Du0cdPTQbM9xym+LvSeXMa5zacZaJENuLS2b1/M6nFtLHmuq
eCik2P5WxINa6pJF7S783HYX4SJG+hxHy6fUsXQ0b+aLlCoP97XxswD9rQ1M20ARAGdiw6QmFoOu
B3LgVy/WiZh1QrpfeHz6VWX22XoSxJboJSf3+WnpjEwmUppdE+SRqqDR2vitrK2DRlfPPMirn09K
10J+VDQLYIdi8i7wUSTLPBx6BjmuS7uLHP0hWWDYxnwwAkcbiQhYIBcnMB75vgAjIfOo435e0uYv
QWs9aHk1RcL/uT6JrGrsUjnXsVwlwIP//td+BpQGgU0eYMJmFfEYtX5W3xmBjH7FSjtHWacF/nD2
mgbN1t1nuzW2k3Pe7TIfIds9oTooexwL/9lxeS3XYKZu8q7MA2g88NfJ1/qY7AqwfkcAi38P3Nfk
NDfLoctgvr1YD4en9PB04NjyTc/+q2iD8TATNGWSUpuBX2hErEkjksYRDtkDshoE7PvCfs6PzIvF
vCqo4S1dMthGjjZsrUZUI8Ffq4vgED/km8AZSeygp4mqK8CEo890IJhHnjAP9JZ18/s8Zrmevu5/
x888h/kOJqcEq7FZFJIQAE5gkVSkMBx5Ayrhk31yv2KnqcjXWnfuy/w5SMvIZCzajASQvZuh4Ntp
AUTZYeOmv333lBB/uSX9u6qQD9315PVqfD14XuoYHx+j/fGMLJeX2c6mzAZV0FqhvViR5vsEc3pY
YRXWwYhMB7MjLyGKgJPf7aNjtgPn5spc9NteIqvUqXGVVD1r1bzHqzNdVRKxeVNtN6Pa5acwlYhR
Gc5C0OJT6tTTmtdBpJqy7p9CicRgCtoIy/ub8PPuCpo3QHPi7jKvHYMO12GlNPtG6U14OfKUdoc4
6gwruDWwHvBAxMmmf9ygZlk4LQ2w0UAom1BmopEVlg4j0xo6Ap8uXwsmZqF2FicD+1no/BaECUlF
1xTsKrOo5hS358qIkZAQO3ts37sE5VV9r319yHbqdM8eSv4GF0zgZxXpWizbNNglRoGSZyKgvmon
0KUak03l6i6Sdvpyf99uBQ4wUMi4kOFfoHFn8rwE/AlFXEBWN/d2HDrPVbz+OXn353gBVgNSgtjg
SX0t9nivQlvNL7hNv24pr7/41tF/9SFM8leYldEWOT6k0om6i62VHjgyHcxDa/xuaNaSsufwGvys
Hs56vlg7465JOYrDlEDky3o72OWn676/b9frtVcCza7e5/Bine7HP35dkfbZyXxprgpUbziec36R
dpbGBA/cwoGtoIHeRMKk0rUHgaw8wQOMJvhp6LQl8KvWYrgvG1DIuq21MFOqD7vTmzXQvlvUlnvf
Dn7m3rMucISgXIqmCcwfM9JLS43atkcQNUiwzTGjBNL52O5dGZi+nwWG/QgP4vzmgiFWxxQy6GO+
Q8rFpSqPhSQpWkPwC2nfQbVikfNygB/Pu/h50KtgTSAtn6lD2VUF4TC2bfQsgwHZUmkWL5XkUApH
XQX4be4KNHN0wAEE4UuuvJlrZaJQ8FiuNHmtxc5kBZxs86a/YZ4cTNOg/7HApXX9RbIlnYsTejqe
J+EQNcuhOqj98wBaZFT3SmoWVK5e5LEhSn3sZDueDKebyPQS9x+GQTvMKBthYSsTKAb/CD09WSBR
BE26vjUUu0OP4YnLQTm/XbFmOVOLK2iyN2SAN1x/cGiUgZqeuvBZcY0AXAjpUTWQMDY5mVqiFtRU
nPy8qEIKTnAle0hDTkrxnZCyHwBABU1XNRkAEWzPodH0WZ1WWvSc5XjDezCBwG8jj8uX/Uej2v3H
BORpu36Zyq1UvTUlgDJ0IMsbv4qConUlrkCx7WZAKXDNhrbKXNtUnUL4mB6r58yiUkhE/VG1yMnp
RkfUnMxwRYVKi2BjmdRyh2Spv5YTnXanZRsQTKBLll2sIt0NMKH+GaAQ4TfbgIZ4a8+IAp7Vkx19
9KEdB5/3XfRmuLIUSzXR0jRbNZNbRXUbaGKgR89CTKN9ReKjTM1VRFPbBSI8hQPZ4AUFHMPDXrVT
L7Gd8nGVuB/Gh2csNbtxLa8PueWdG4ekgbcyoJjMdzZgmTCBO5Mj1QhHFT42baWSnCZaPrSGSLRz
6FXVttv+F2ffteQ6cmz7RYiAN68oGIKuu2navSC6927Ce4+vPwutcyWyiEPckTRbo5iJYKKqsrLS
rFwZJISJ9eyoZkbKrCT3WPZ6e6hl0ohLt+vepOBbYMY0uMHI4tNu8IAqVzoOYXCu0ZmcOwNnxF84
4eJHCq0h6vU8OpUe4TmDkdaTH9TpVdjqA0oKXmDyscU4mkTSyOTat25pdtB93xtG/U7/wV2C34Jq
9O1NSvKwiLIuCc6+w7z7VuY+V+GKvVQIvfduoedoqs70iPkz/iTRZ8jutBDNAuyK/8d9sNN3YPQY
SERUFkEg5S9nfS+XdVcG53h41o64PtI2OaPM0AwvTBOAxccqf2Rk4EeDVe3iqLQL7+5MZAaiGVRY
uOmZE9lf/+fK8AdMMpacz4TnAgCDllQYA6tgYm/lvmUmM2y6Aowi21Yvmz3cVaY89JlVeGan6tm3
9xRJO5eB22dV4VN4qEsiLSQhJgt8a29uv27SsauvK3u/GoXp62q06/okDPAwwQSPOy07uKze1sbj
ez0TICt4EaaZ0xizNDG73AosyrEZ6tFPziG/zTEP44t1zSY0CnaT7VzXgokJTmy54gTdP2M43Vjo
3hKC4T7BiUF0rIA2HIlFBYyj3UA3LUO2FaL03Ngppt08ux+AeMG6Gt1b48Rndmme5MxFvZFH3wU5
r3s3hLyUvWh47oCcfLyrkxJTpwgBInx3eFKyRLeN9EnKKZ6WpmewV3p6jkT79/9Hd9p9jD9t23+k
ULrCueiqlL0yPbeq07z0G8GqN9oayWqvXGWGuGGahbsz6QK9LEFTFQxBAKKFp5MKwHvUjCD42dkt
L7Vv9fVrmy0MbpsJHcEleiWDcgWzQNAat4CM3HmveZ0NN/KJsdlNOaAq9c9PSURwBXONAXiYhXir
+q6WeHzd1tkZvkQzmMh2YTamWJncK7PYSTh3VteyqGuWt0UYS2OFgW1/uhJ2R2c3vr+NwlemfpLf
q4ZUrRVn5uMFzuRZ4XjCv8U8Qfh2aMi/XWHYFEKqBUp+9lvSjnAglPcodVrGylviC9u2MpLIZJ+F
SxGPOvLZdXTymhXz4mlbRvoMuFDnMdfOW6mAY3W6FBp8QuJ0pSjvNfPaVM5YmWrltAGyLesBngla
9Ab4iSHJmqO7lCu91z7kKPF4TQoPd5qOh/NUaP2g64qzHxiS9JmlO7FZCETurS9EIIeADIKMqfHa
5I5eWd84rVzG1cbiDLZvve+PJWAGwYHtpNXgpC/y4fHxzIQ9KgjeBBnsUvAbkLm4FQc0nDCwbFWc
kQxtG13hSOv4pe03e9mpjPLAHSQ0ZmtRBH/zr1zYzNJlmwzd7YXGB+A2a8jewV+haS/CMOkSLuix
3h5gO1CieUj/Aznc6e3OrYj23Kxy0Xi86ntOL+1WKOXTK33HAr0Jobv+xJ+/re/wGI9GvOHAOLOu
0dhhmUSxQXJylBwStqvH4ueOWJuiCdx7zB2jL31eta7AdXVxlkYjd/WuV+2oB6pY04z0K6iJVLHk
scRfJua7XZZ57DQIQDjwBt4ec6wJtVs0A2Y0GUJvZagrpimnc7ypXorXBlRFha6ZKUNc1ohTkwus
JtM7kYwH4Gz0YDPIBMNGpa8iRA6XHwx4ZjFajUoMDfJJGZPRI9Vz/5PmpAdkpMEg6281IM246/1V
mazkb74iLbMqcjNHbLLInHU/ewCB5EQ6h4UpIGmjlYjr+UAdW6k8+4LO1jGJy7cwIV5hldFAhO4z
wGBR91XzrehjkA69aIjdUfhBkUmSQNpPUg0MbpagmlqyClHeqQC4Lp0WMCreYBGKohSmrLTe8JVN
wxmZZuEfSshnPz4k9f7Jvl0FpZVcEecyK8nlGS3tgWYoABwpOwGsXOO2uozfQEugBOTa6U8W697H
qDphaHGK7Q5EUVcVpvaOa561B2OQjbBedamtjc8xuxUZM8ut0iX+QRKesmflMzgIuRkIb16HiZIo
LA+m9yT+qV1TybaYkei+9cymtAV5LWsvCoK6nyK0y8RggtdIs6voKeKskVm5kcVLpNxniLnz/RDm
ZtQWRPT10UajhI9f8deMpIcyESB+WxUmW1pcS4bu2f9ufKPQeKRy8NdzB+yrLy1s531vJ6UU03t4
ZUmDuhLkUhXLM78OnR3z/tTYSaHHyKXZrAHyTl+X4drq409OYhPRq5napR1YS+V/aTo26u5xMpoG
4F2CCIX7jQauvqNoGR/EZGp5Fp66i/In2xf72vEtDiQQ3inZWilmzTwNZLSivacrO8kO96y+QXr+
HOtvBGyXGEnEYgYZeg1Z8hoBxbeSbN7CYPiF6HEmBanefCkVGA1lJkQVo5RnVqlIWl2mdm35mB4k
G6caWf6SvDmFv94ZKhdU5L0glB52hnsqrQr1GkFHZRu0IKrhW67jWtxefIpXsd0sWOCZMs3NSuly
pJCycgKbAd14iV69TSsdxg9x16mkqnS5+RgHB35HZoTROpOgGvzx8VXnZ169650WqKveRbIL9cdO
ayueBB7pkXQGGujdw03QAws1OUNwsk1KpA+XVOvMzDaCM4FTHn/H/6GbMshk0QwGYj7qBCRUQrsk
mb5jU3zJLxXpN6lRjhYvI/rc4Lqw07zH2MlTvbmwb/lzXxgFEi37+i8bEu2PskqSRJfWhZ21Zhjp
rs5UulYQBsxGjTVpTfTUnRjO7satS2ojMdq9x+vNd/jSwoisI8NVFtY0477jbDEiW8DLymNWNnXv
uW6ItUQJqvPQGX4P5/EiZxpR03jV8FuWLUhYMPtS+cdRM6TCh0JOQdWQfKFOVGXbRAokF7osmm6s
N6997+vKp7/x2qO8xOg6U22apGG4OXw2FIF+bd+1TRF5QHKYsDr7yO5UP37NW3K9K7M3AIPEfDWG
f6Q20GvBDjCxoCFpzC94FLNX9+oDqFxc6Dd+x2ZRdRYjJwZIFG63U0eOWm36BSsxk/a7XStlleQx
LX1BxVrZ9Y55Ck+jxX49gTpIJsmqnlrZkPGrp7Z98taAyidxEKvpMUlJbX7lemFdYmeFyQl4qohn
LUVVMxHBzUFQFwgdg8KQiNPHRQ6Xr5JQ1OX+8PiWziTO4LMhvYiAAL0pd7dUTmWkPWvvV6PD6qOQ
TrG0kp6SCPyrylkeNkVjM7mlgEmIAWJiV9TI05p1/9GDF3Gw2eDp8QfNZGymD1IQ0+FzULGhoAWF
6sVDK+P0FTzhjb/vrQ5+H7ymGjNAme2IET4SS1QNIB6dcZ9jIv2N1+kSgHNOBxFagpURrJvwpKnQ
EmhlOS+kGjoIzv6msFz/dcz+uBUABm6/EKfMyUIfraIo07hgkc5dFnkUdZ3s12fgses/cGQYZLiR
LET9AZnvhe2dLBTtMagTMhUgFQVOLRUD+krV9tlY1Geh26jcu3phwDmsKCD/0SPPFqSKqJ5ZVNGa
jxbSK3PxIHctmrrXnJwneZDm9bn8w31HgkCEwRAlktUqyKMCUumNaGRHWbL7fSUGJAXKICs36lKg
PVMCBiLsaguoS5+lXYahxlV9xmRh5xQeJZi5D8U+qkgWPykGv3DFZg3qtTzqHrdi7uUsB3kuu8aw
wYjfFZgxm4eouLzUnaM2hIt0liNKu1JOWrtgTWc9L40TJtz97wNCnbgmjG7G1E19bhIUVPJNLppi
Qdx+l9eSWWohqTi0ARS6K58WdG36ZVrXriVTBz6kjcxVaDE6h1WnNymcYiUhyWh6LCqBP1FljPVX
WvxJhmPVbHjN8Ya3pCb9x+PPuGeAmUqB8JAF2BSWFX4dpqsHLeL8XooVbMAAJ/gZLOiiwaek2A2h
rp3zz4u6f5FQwwksjpwlJ9moZmg2erWSHH7pCkwrvtsRlNlEZIIn1srpdl59ih8FjVBkMOlt9Dns
2sJEmlGdMiNDh2Ga4xeTbSLRUXwSvHNPamdk+erxZvx6f3dfANZRJAhUvO4KdSb8NHadr5LqzL1n
pvTcISFY87EusiYbbBCnAOJU2cALV701bMAtYrsxSvLhT41oa12WqIMF7xi4u/M9IvVECWzAB9vu
5fFXzllE5PT+/ZHUDc3dgtdCCdtUZvpQkACva7IpcpRpPQKv8bGwGdQe9AMFejSnsFBXOu8rcQnm
m1YlnkACgixZd0b0CyDQNIb36DQ4vonU3wKaafZmXImk9KBR0gjsVVV1riNkExG4+u4+DY1QWQgG
ZgqIt2ubgoUrhSubMMPs8d+1aaAaybcN2uIEA1l7E30RDphLtwKIzmIzBaX0432dPcQJ0fvb0g5i
yFvRcRq3St601Vldc0+dF5NyhJSweYqVhQd0eozvdPpKEuUfc2OXa7EPSXUKIvkuZSTLq4q3x8uZ
KeNMW/mf9VBn5gkh14ogUzsjpXZmvuVLWKxSYDiErZzqbOb4u8pdSCbOeIDgqhc5TuY0icdcjtst
bLrAE5VWAj117ZshbGOUf0jCgo78BqTU9t1IoUxC4/ZqAJKs6tytByKazU8xcWHnRrMqzNqIn72N
8N0jKccR1mpJgP8VSOe0Juv06IPt99FxCSE/ozrQGhD6TtUyFT14t+vWSgmZ25CpznH3FigYtd2+
tGhLDSwBMXTX9v/NNl+Jo/SnC/y4GBm3OhfpT5NhuIr6nUfBwnWYPUsRDUHTccqYs3K7Jnjg4Vhj
NO+50UjkXhIB3RTREiB4TginqnhZWA4JfnpMWM71DTOEYXP2XNMTMTG3Btn5UlvZrMIA9oN2LpRf
eJV+Q5hSFhl4is25NGKnNzhD/PHBQTqiLbVEm6SpOgFJHPUpchAy+gewjIPekAhPgFaY4oo3Sv3y
+G7OIH8A8Ueen0WqAVVeOg+mda6qFVnWnLlUL+zizH2zjeGZGqmsGjkuhSApjYZjkQWNhyFtN2i8
UiyRbFo0hvV6sYmXHvo5Db7+IOq0lWjUmlRMm7PCHQKZZPGG6dZBFBhqqHuipwOOhnSGlag6L3Tr
8Z23ZQzbeJWHBdM49wBggJGmTbhlINDoQKbn+lJt27I5bxIU2sEd5rRP40o5DE8DuqGRXI/NRG+3
Rr7mduXCMz5jl29kT9p69fi4QqG2EYtT6VFUH7ld3WcLb/eMP8VjZNIEdMP0EkWhbPIwilWejE1z
FhIAzfpdnW/cZhVXz6JrLajYZASuraQ24XDQw4gaB1B8+D+3iwlaTlUa0evOXmfU74AzAZJlA1iR
gvxxh0bOYeuBjUYlnbFCYfGx8Lu8E+oPIvo2gEyaxhkpNGp17DNxzOOiPWWh8z7iitXf7hPIvrtt
tvAa0Ir7K0lGlRBDWZADoqd8tnHjZnHIN6cm1vkuWecdu/NDTBLz65dwcICcXdhYWkn+JRAEjRNs
Bs171OsjBywf1qXanBge+WD0DbZitWDfZ0VMuHGU3oHJoUE5GCUep5EWtKc4QaWX99H88g+N++8i
0HwI+JGkoRBOhXiy5jNpEpTtiRtli9GeCyHSPa9YWMdd2WESAwgJjmbqc2Q14VYHG7nh2nESUxqy
XW5VW12r6+5VXXsrzkgNxlTMADNtCocjmp05+b5x/BWvd7B3CwpJPzTTlwAtJ7IiymJg/aYWzI1q
NcJZak8otAQrRFQq6Aj0hMG4pI3PrtgtnznNd7apUP3456JVDXkZDLFAYgbfQW0CG4dqqUX9SUYl
ITCHXYbp8OG+OUTiUapOYuO0/E7mn6XUDPdg2luQT5scrFwFtgrpUQGPOGYXUeK13C/CrOhPQeCT
ggHuUT2jGlWJTqUsRK7CdJ63NmeSJaCxAzgO4EOp81Y7kek8r4EshdXxtGrhi9juRBTrGPQ0w56j
+qW0iREigpMVOxF90tZ/3cqUhVIfyje/Wkf5a1dtYvS6C5uIs7PUdEM9r4nMrQHDPXL1Ws5MLgLa
sRCX3p57k3n7+dRJSaXbMaWCraoVh0cPLKej4ucdIu0SR7om6LFG4s//Rjs4gGpFgCmgoJRiBr7o
Rr7f9qdINepqVZlCs8k37ZoXzfwt444DeJI0p4320kcDdOB/Ix1TZhBcwxPRaMcVvf61wo51f2rK
g9g3pET/8eDquM66C9ijwOl8vkrVEnkYhwlNLiNZ98qp/cJ3TBt7qzcaeqHxJMJKwNsUKR2VgZhB
YNmzJzaPGJLzYgJfc0gXjMAUfdxIAYIDQGsw/rPoE0EV8vYmMF4k5AqjsqdwtEQz8XMj6CvdZw6P
N/WuVxe37UYO9fJCjdwoQIn+1D9px6zUq3XvVATl4JO7VRm99PR2nWy3H50zbPx1wC3Y9rsL/yte
wcMLINWUMr1dZqu0mKyXQby09fpdWQFgy6GYyE1w3NF8vNa74uHvWkX4sLCukgj85q2woZF7xCIQ
xuWnglspxapKzUTAFKZQDyqF1GO+8jFCuUryXdg0X0FRfWH6FQkHu1gy8rPnC9SkLEONEMZTV0kY
ozTjpm/pS1AX97E9hruSeY6ExVXfOR3YYoAjBZlHlx2MO7XFo1SIKJsG3Km7wEUUh5f0JKZEZQ7J
gZ/q+z5imHIwvOYJjAoi91p5IGnNus34T5GN0/ajGwkAGh4JC3AK3G5/G0dxM0YxdxqSjdYwoP9v
FeDc6z9h+cx3S3isu8zkJA67q6IxBLMG5LunLBvSqHcVFmSD4ETRXzfvE9Pbk3NyWtBTb98aA4Bv
/eijkXL18vpY1eZO91o2teeJUPGa5+P2xv2+qV7LTQHgfz3aj6XcYfR+l6hKgLbBwZvqTLc72oRJ
0NVKyp12WNs7cK82Yh2MuNOtjNgg/LftCCzRzonTI3PUwWh3Fkz89TV13g/6ZZFG6C54/dcHwY8C
sw9OmkZItYobxoXssiejBa1yRk6fu8/3911ERtJYnV0Y8b60N6vjcb9/AePW2+P9uCs+TOJhLzGZ
VFMx/vCuc7YDILmPKu6kVGZ1TnpYZrkkAnLwYVpg5KGg8/AiX9rxI1HStfa8IH46VdpmK0Dl4WEE
YdsdD1cytB7cy5I7CUhrxoB4l6vSj4FZetHaz75L0Kx87nnJrCUMLIwMoTsVyTQN7fFnTJbj7ivQ
CsXDxgkiwAG3SqGgNSnyxZ478bKVxWbRobL9lb/ykdV25wAOzWNxv2V5Wh7g+DBlaKNERY+yZGUj
qVUecdxJzvYRh0mo9threJH3mBFfd+gCGKWVEBu9a2muUeXn8FXE1Ds5snv5JCS67G1lifQYQBSO
JtsSzIhLym/gu2In63djlepDYuZLw//u6kaTqsDBxGHBICGG5293aehrsHuUuDrwF/z3cROgMCau
OLBsHS9gQ3y8RzOKoaAaCGzyNAH4jkQF2LcoZjCX9iS8A50OHuqfx78/c+Q3v08dwSh7RSoENXjU
/yIFIqFf12k3qmSvHouZeayvxdA+iYbyStgOWMYn4hBjMJqF+7uwTTS4JlEGrygY/D5nuIa24z4e
f/5dsQ5nfvP91JnX0tCycovfnzgiFfzp9uK6dXQ/INmCrJkH4EYUFVxoQpcruQZR7u47MKVd+PJ4
LUtbNTmpV9mfPHAlYZh+n7/4Fur1i702SwKmf38lIBiippEmlYp09KTp41ZFy5HRbNF7f5m4B5aZ
4RaU+Je29Uri6PppB/yaiBFEFSa9afoTpyMKA0DkD/B05mD1+9VlCUg14xzdnNOk8ldC0aYolEmC
ZWKAhUyYr5V6+Pv4pOYeJdgYpJiQIkTURMeZESNXUT8N0Nqxu/TIkWzd6s1ziEFym26h8jVzQW9E
UVoRBkGviOmAcW4f0UYxxUDnN0tkq0syKMXQWmQsfAEy2IJURPf3zdKGTQ8U9aCoiLAQFKD7BXE5
dXf8WGFrJuYm1QOqjgA4YIOmdtCX5NxF0FMb2ZUcarcwDYIXGTyjJw+la/HL8RzBjp4Bo90vMT1M
v/RoRdSeMVHulmmAFYGR310IR2fP42oVlA+IMEnKohC/nVQ68LHddjEntLRP1B0RM6nMq2mm0gmz
XQ+Aj4uWgN6C9LB0GWcswM2BTJf16jLKgLaXow9BG+9gfUdEMDtjwTmaue83IqZPuBLhSehYCBnw
+8vrnbdxjdbsHHbhmZyx/dcyaJBVCIZUOQQd4ik4NHb8qhlLozlnBcDFBt0QfGyFdnOV0ONdgKvg
Tuic4QH8/NhiLf08FSZjblGeiQl+vrqEz5k9DhiP/ljCnPcF/Nl/VkC9xKrL8bULAzA17Wc6tOrQ
6z9rzT6u4oUDX1oMZUyUIUvbHtnOkyENVteQ7LSwlNnbgSGzqD6iJ+QuURNHid82HDjtweOa6YH+
Uxn84my3mdd4SoD/Wwh1JHU6FG3cQYhv5Kb2j1OJkyG8+nXqNFilkIqhwa9niJR5YoFyR8KgqiUv
+K7ID//rRg51Fl4YtFGVguPdwGTgl9fUkSxuxXWLhMizduRqPZRh70ahg9HCeibfJcFU+FNuGwvH
Pmt2r2RQJh3nwWZBiLW8viI1D/QH/BXM8649nd++vLwswVXv8H303k16fmW4NDmo3R6v+ylYOTvl
QM5HzEnavO+N7fnyeGmzJvJqZZS5z8a87IJIg2v5Eluisx3B47a0nKXdoyy96EdZqNZYTehUerBd
X14er2HO1b9RNcrOD2hNxihdHM9u4+1T53Q61OB80BfEzCuaBgI00EPywOLfHsoYqWlZS9I0nTRF
h+QPmmPO2RLT3pwQTkLmDI88mOVohF0LppFQzXyQ6xLVHkwOkRGYAPRywY+YM5TXYuhLk6PLbGgw
FUG1gxViddtbAB/P6dW1AOrGuJWnMPUIAUDCXIoz//4nXA9L13LOGl8Loa6Jm3X10LMQwsaYyVjp
wkvmyE/c2jOqVfZfvPPXsqiLEhbgO5J7yOJtbuuuMmfJnZ8/EtQBFdTDgL6grD64j8Ds3GPGx6ih
l1QXnXCET7RwU+bUC+QXEjKIyOBovy16V4alltswKl1BQAT0LhjlW7pBNobkBDlRWLENRqO+/jcS
kXNRgT9HEp7O+Y+sN9QZRiucAj3b6d466+1+3e7JCujDF8n4y1gN6Z+WTutuDsZkQcHW82+xlGoM
mRu6TKgKmEdhSKweHlO0v4Hhzri8gOPtckH3If5brVTgUyXwmi15t7/ZWDoKuP4ASl9YzEVtlQwf
gJ0eLTyBr6+1Ee0UU39+Phy4/fHim755Wf19vN/89HzfyZ1gKmjXnTpPqJudtm6XsHk4PYeQjP7K
5CyDNzcHPfN6T0wOx+2eQtTsgCPWF1c9F839AlX+Vzp17aWWD8Kah/TXV0jfWFxEXEd2PPtjjVa5
I3hvAyO1l0Bus77GtVjqtDHZgqvlCmJdUIOpf9M1hpZOU1we7+3s5bnaWupI+yAXWa+EFFY2niYm
0l5HGMn5C07sbA7hejXUe6lUdcPELeRUa/AiZvquOzQ7KTaAr3r5u2BDxbnH+VoY9apFdVQzUgxh
4m5KlHWxLqzcZ+3wDZaxz84M31wD7vrU9d1jxe0mkZ8zbuJhzkmQY5BTrTPP6Q9oQD3jeFmfv84o
NSw8vNLkKt7pNGqwKAWjwCPJlGms3U6WIrX7l4v3/h47CpJUiq7aEydov5qO4uQ44vPAAYbOkigx
9T9/IhCWYxRwucrNGpDLyghNFeq/Xv29TAktz0rJJbcvl7+LNm/e+CD5D1iDBFQHDcQReC/OhgRJ
oMrkX/Jtj4E4p8z2Lf+tdKzKrnTPcf+ktkDWwRM4Fo3MQNu281hZ77DYvxbw6iMoLQr7JIvGGB8h
PMVbAQ2t8THZRWdtV0CaZ/mb4nmJXnGyLXfnBKACKo/oeEOIdOshFZ1SCnkxIqWbtzmZyKEIHKl8
4RrOunsCJ7DwwTCSCpSAt2LyTs3QyFdgetQ7GmCd0elEQDQMAKzMBc2bdcSvRVGGhe8YQU6UTDwB
pjY60lvq+IQrbO3zooQAYvI6qHYuquUZ8gL90Zz/dC2YsjWtClJWYczFU7kNTNw+IqNpYMmg3YPh
OHANcAIPgJrGAg9FxWhlFQbAHynjKa8KXRrewvo4hHYhSvZbHwOezJW6mC6VrGaWhpYhVMEBwsPf
afhu2otD2NYte9poklnZ7h9QB2VPSyzdMy/RjRTKrsVinbc84rZTKF28L6YhLSa9jFbc/x3+1qCs
UPzFKtP904vbPvWjgLlYkniFunFR0saKgHD0lGPkiBsLlja+Vj7q7Wi581KSt+URgOtKJK509nlr
4b7fL/hWOrXgvC6avmi57sS2xogOiKIWLDcL9Fx08loksrIqI34DWqYFufcPCOSqEujMBDAysiLl
cHTx0KiDmgGaNFhxu2aUSh+zEcjN3BSjvT9cSs0KPVCI9RtJwtwOTTkAzmvXGXHbv3Wz8J7NuAL4
HBABTl3FwLL+viVXHq7oebwSaWV/Uv5U4stYvhTjKmM+24vcgnrhiDe0WS1RRM6YiVuh1B4EIvxe
TgQ8i2FrU+Uqs2z0tt8WCgZUhqtheGdqUAU5atZ9Z8YQPnUcqAmZQB/Tr0Hc1el54UymB/HWEN9+
D2Uh2aLtAmh/fxoLY0g3SoSHMTPlFA2fLx73POh8mBmLWKlf3/JeLIhqQKGAFBPdfjnGXVZwbdef
2DXvEUU8KFVve7xkV/lnqH4IilXIyT6Mwct/1NCT2Ge7vHKi0RHanRCTpHjuuU6v/ZMw2LL4pAbF
gms1rfvRB1Ln1Ppoa6tYoADDTnjPNca3g8bfMCk/LtzGu2ZgoGOhhv/ZCuoElGjwGVB69ievfI3c
owLOZ2RB0Ysf5RYjnxQ0EA6GAPATtiBZlwXh3R1THULupYyPHG+x3seCTsxZJwVQPjRNoBiOprXb
V1MKxlwVPK4/aXGg9maa5BHxxEj80gZ1tFKp+KmBD38qpcI1Wa7fMCGQkihjf3WxmiwkIad9ps9B
EaeeOagJQH6UpQw1pk/DauxPcZTitKVUdFTM11mwBfcPjSReS6EsIhrD4kCIsWLpPezs1t10nM4K
ALd+Md37wu7OadaVLLoMIIelkDAVZEXMlkk+1ORndD/lTz7dBgLx0HDtR6twn/VHftgDayUtLHUm
ZsBakTCCW4QJJujQvD1dP1ALYUyl/mSAioobjaQ1da3UJSfcDbqoWq+P1zsTZt7Ko25SKqdKgCvQ
n0Q7ro+gSGph5iz406kNGL/drYZv/FkFGFIzYDpObBtLZbYZKMrtJ1AK3WI/5Eri+5PKfsTqU80W
OtL/ZhauMJChCzcKBkN2XPDURLVRZh9y/TVgTNGYOsiPgMIWo5p+ssKUE0vsN3WOZvzxMKZ2VEl7
lXFXldqRnHmu6sKpgfDtxI4MCwXcGf3Eo4k0DACKqI789u9fPVVlkxTiwBQdEESMKcWJ3kup5T6L
hWs3QbRXUnFBS2eU9Ebg9EFXAlVUacJQbrpTOHD7nqucIsH4pmbJd53u1dXtRjZZAlGJJqKjCd1T
aKG6FVNyUutVddlvh2ITuKWetuBzLT7KQhfcvyrSzM1S1ZLyQSaJCgt/EkUyMHXJLOUtj0UJtGHa
9dvaKHa5/rVeKixRButOALVz4ChqGSbo+20n7CaumdJdPb5QM3t2swLKVgmZGrNigxXIUW9iqDBp
ct31zEgCtpvH4AtQv+YLNoPSBnpNv8HBlTb0XTFGDQORXCEgWENvCkkTeck9nA6bUobrhf0Gc1dS
Bi92tVyEM1SClVl4B/Xk91ZaD+9TM5lLsrfH20iH3v+7KFkQBQC+AE6g9rEuxToRuwYHRfxnGP2p
6qSLQElVFviRjMD0NpVdmtl2PyLvuWU2aFM3Muvv48+gAyvqM9DwdHsFQuAc1LyBvkSh0w4e2gtk
UpSV2aIpOgoN1gOJH9K7rLxglyc9vN/t/7d87Q70HLNl5LVYPsiATp3pYqpxflgqedMF3bvVTa7G
1ZmivTYcE63qt2q1jSuDa9DfFBhR1H4WzbsQZCbbS3qmfYuRpA+tqqtonIly8/Eez6vvf5ZKWRkX
naGFBA9re3pezPQtqBFi49sVullaIuDBj3u8qDOduhMj3pD9XY2lhgypENKNiuEmh8I3BbjZqVVh
CBh4yzAEMDZA9NIWVta6jhjlZBxtOFi1tod7sHC75u0eQAFwN5EMoSHBaChqh1rDFW5Yu+qNzFtX
ID5BYwq3sNlLgigDW8poFMq7AbfY6hjdWTegdHh8nP+HUv1nLZSJZXq+7SIfV6Y2wOSHW8tZADeD
pbyNMZ3DAGkCWZBIRcz/UmNkP1DWgdckaZRElfMa0Q3Zfhug17WPc72sSz1uf5pEIgp6EzBpqLYa
zEZ+LFeeu6NXYikTBfzmICU+9rJnjxqoxOI3TwQjl7fwotAJQGp5CM1vddhHoydbipAjaF9qbMfP
TGsP56j61WD/o/U+KyNvBX2sefw9IEusudM67mwRAkHwTykg5aFZC/hc8sJYxvaqAbsVAsbs8osg
SCAlrAgftBbTnxl3SYtmn5sroVSqOG662u9iCE355EVlMiJhVFSYrdE5LUlg+SIq/yoqscPivvop
3MElPgo68vvXtk+FJxZVLWDjKdOBfFrR8SMH0y8lyPHWp0aITGScPrnCEjHYsFEGpwARkycYflST
tMzRTXZsfXBC+ZkTeZty/FS0XRO768RbeB7o1Ondx01G9cpyd2XoMZhxAbsmS5bkJkatPbuNLfSG
W+46bMmBG5zcbRdUfvZZAl85MrYgz0GX063YNMkSd+wmsa6HTmm7FkiceGiB0b7GXjJVlVlIn84v
9EoipQcYRc8DFQCJ0pFZndxnbv0/pH1Zb9u4+/UnEqB9uaUky3bsOHvS3Aht05KSKFKiqPXT/487
F79ECWK8eNHBYDBBQ3F7+GznnGlv37RJtCsuuBxfG653Q61fw7rgrAU6/NDVqbV5yBM/8bLr1AfD
Jr+GwNX31uNr1+LdcKt3T7SFKBHhTwfDSuYlRqznH4y/Rp00tyK+SP74pbF6N9rqNLMwqgrAgadD
I7zdsvRb2sYg4wEZv19mDEQdroUfPTmmBPcskLoAkVW7YcFzpJzk+5l/+eCfmd/PQrDohVttqb8E
hmyojU/pM3s4evZD41w4Np/P6RkTDF5x1E2RxQpXpll24Lqk0poPLxxsB7CIlzLun23iOTuM3+6D
iCR0/sW07+7fMndOMTcYIKDiwVAxuIEo2AQKN22BQRfuD7sZ3r5fti/nhPQj+PJNEB6uESL5bA56
oc58cF5GFBJKSGEbN/0JNJDfj7Nmy4RtwZTeDbTaH9vUrjnPGAi32471L1BFO9v5yUksUuyDdAKg
utv8UWngE0gnqCS6GX/dX4o9v54tyl6uieX1/qWH3y0wimL+BFDOfLD9mIJLEOT2ySU6ns93AhNF
ZQ/kBeDC8tdpzihvO+FzEEzUIXLYPQDbqVUm3XRpRb+cy7txVnevcsZlUa43H0pUnAnka8DXqZ6V
eYue0wu+0D+0xcfH+uOcVg+DYfGi0WYwH6YNtHVTvdGJCyLTcR/G8zVZYi+Nzn9ilQpwgFRZA/u2
FwTCcCWBI3zRA/982T9+z3kP3u1jW0WysuoQ34NQiZeb3O9IcGnWXw8ShiAAQM8+UjGrQaaBO3TE
IL670SChnKHQM+kLZusLg32eyv9GWfnO0SLbxjcwils+i+BuzARSTvCBuPM6glgFRG7OdIl08bO/
Dp4jpAHRioqrgHvwcWYuC+fBphgzqDZl9Hsss0BfN1EMBqsL1/6LQwpdBFw2xEM20MUrkzlbteug
ejgd8oqoByDi+VV+Uhfhdl9sFdBmqKvhXoNwf03boa1wjqquWg5NaWLN+lMTHZaiTb+3YV+4DUha
nfvr8cZgkPUD0DdaT+NSLodAnuSdOjSYVd1snR4qzyfwy2ljwL5dehXWTJ0wnRgWAHMwdUIw8BMN
UACHMagEZhceDXISO70xU5kuCIKM9E+/cVg8H6z0UlLr89Z9HPX883d3zK8l6L48jNqBO9IGj3FJ
3AkCjA+0LGNdbC+s7WfX/ONwq5MCrg/0VWoMt1QgAT26ipNRPQzjPr+rQB4dGKnrpIaLhDEDWezw
6/9v+PUJopVvjELXy0H/Dh9BblbKrRFstjpWGd1oyHifSVkvXI7P1/DDlMPVNdTtwhopxHIQRRO7
5kvrP88vYFeMx/Hv99P7eiSgDgEBRVo8XJkyt+s5XgsDx6S/L41HM39l6q+T/5GX+O/XlYb/zuoZ
jOCjwcXCgB9PTRgNfdHMbDmUfQBt6yKt2oLgwTWQSIQ2SQseqJwng3GYLeO2eR10d6F4ZJ3n8vGt
wqriO/614SLRvJrrwhe7mTVfDmwnU80SybaNhZcpv2d30T6P7/t7ccv+XAIcf/bdzsOiZxIYbBN9
SKth7drUZkRxfmcAWn3SoxEUbA0u0ZAyaIO9fff9jn7xbnwcb/Vu2HWvaxXCFs3m0Vjuu58yRv7U
TPwiJM2yQ77kghPw9cJiQcG74zpQ71kZhCZwahk0cjkMm2Hjp0d1gpLo+c/OBZLprYxNQi+8jl/a
oHdDroxC2DtTR8dmOZixdeUmwd5Dc9elTMS6WvXfmf3fKGssqwpoNbAFo/SpONkx6KhZvGxPd78G
8oMmFgpWCEgzCQFgJ377fhu/PKzvhl6ZgGA2ua5MmAC9gH7TbaFhocBUdmLz7vuBvsj34Ly8G8n+
eDHB6aYtT2Ik18xcGy1J9ZJ40CswHyRHx/pDw0BSO2S2SeOmsXaIFOK52+n+gqE93/9Pt/PdZ6zi
U9WJsJsiHKIo/1FEv6pLPNtfWrp3v39tfxYHFI6sPe9l3dyF+RN3TnabVO6l2PeLTE6AxCCuAtx8
VKr91YIK5eUdVzg104bF7tOCDshmq7c8CTYnQZy9haYsfyP2IBTpni+O/tVz+X701TqOtO8Go8To
/t6DwGsb1zHbFEe1BTMVmnjxAeAZVYl7LI/Gzr1Cip1cqE+uGe/+XRv0aZ39SASt/lrKsRa5JWmH
pdbQfTBO0yZE46CXdGlzJiGyEn+MNfhtASPim5EIdPRc8se+Mg/QD0M/oQX9Mjw4H880yl9zN7Bh
Ocgn3cfVnXoQN/bPYEjE9fhsX+nYiQdEJOJqPOn4+/v0TxFyfZDfj706aIHHQ+Ga/XJo05bMmZ2p
nbqZdvnf4dDdIu3iJg1xMhr//NHET4BNJ338dhYzf8yuHx9DCNNG8R0nP2n8I3voyK4gHTFIF6c/
D1CSSA/X6treeLHO7h/HK//ukk/5ld15//Vnh/qdc9cvPLBljZWD8MNBX9UH7pLvF2jdavXf8TjT
cUMVCmRt/yRR3w3RdILPvFtguyk/epIBEAUl+a1hmjxt7MU41mMPUIbohlj6TcoD2e5q8OiiPESd
zfcf85XVAXMSIhDo9IL6bvU4a3Ow5rawl0PR/g7YSfAL1vWz1cEkIwvwDFAXQZZq9fs5JGNyl3nh
Aa10N9WhP4j9RabLL8aANMVZcTcEiyzcwI9bVtidy4OxBBXTY/tkgtBaAnPNNxNoYu3dnPgEDHA8
HZ+/X7kvzBy6ntAwh345tAaByuTjsB4zB9HZKj9sGpYuz5AT2Q2/3Ae4VLyLs4bMO/cZ2odmniyQ
+ry51Dz3xeOM8SGagC6IM9OWu5q2UVNn7Gudg0sU6tF7+8m4rl7F20TsXfQaHUHd/dDe6AxtHVsv
dm7M60v6y5+NDAhkIhscZyYgExCO+7gAIbPyvLH9/EDrKgENVjvfeMYNEmRIaI72BZP2L0350ax8
HG3lZFm6sSLgFXNUqCUxTsVPg0yb6GRnY+ptiruO8E2V+ckEMoSCPNz5CZjWr5998nxtxfXNuJtS
M7E3QwZQC1lSKA4k35+Hzzfp3GSPHK4dBeB3WefqI7ZA2L2i+YGBRcfVu36++36ALxyVjyOsDlxh
NjzXkxEd3MzYeC9dBg1HMPgMz9EjdKruRWbdsEu5tC+86Y+Drh7zvK7RDDthWt2dvloynHRQaEMv
L77UVvHFLUY6BMKxUI4D8dX60QzHhtVTiPgHcmekb6/rFFreLoAwOvt+Hb+6uGfmJVwa8BAFEFT7
eG5zqUcdMMs41DPE0NnNsHOu+D0aCk2gx8xdvmXX88F7dK/oKb82Du0F92A9UVQUHbSNn3FkIB6y
1zSuVu0PU9s46HdDio4Wb6KBrIiciXK6WLYXJvvVYHACkKXDXJHKXp2Z3JxtXy4lPepuJ27wumxr
upBQtAlbLrSOr83BeV7vh1qdFD0rZTe8okcnz3fFFPbEaI1N2yFRRylonZAlMOmlEGUdXK4HXTk6
00wbJWrMTz2cwjIpjv6ugrXFEf31/an55NT9N5J7NveoUYI07eOpQSrSEQ0zcB442IrtuNnwpEzU
FVK6HE6LT6ZUEbmpT9FNt70w9rrivh77vMvvPAa/611Q7WHsyEEfNn3wl2wct/RY7KbmL10s0hRv
3w/55brCfYduFuo5IJP8OOIs7TzoDKyrpTPbS9rJJOZLKSHhlt/Nu6C4cCe+Xl0YTVS8YUPxrHwc
T1ajzZcKh2cp+D2fZNIOglgdJB6cnfPI6nu7AKM4mcKrVp5KfsuDJu6GbICkBwP1QvPHBvbz+yX4
lF38t+r/+6Z1byo6YBXoGbAGEfh6Ic6U73sAgeYRVqI6yEN5zcFu2xwLk1wSE183xuMBMR00QaNc
d9bUQ07143IwPYqeVQ09esRSx/J385z/aCDxF8T0MO0XZ9NB2/DgPM7QNL8klLdmu/w0+GrvrRFa
mmGDwVswDNUpujxP9U8wiMfVsTh4UKQnP+crkO/fXxs3g0HGS3IY55v0/qXH5F1A685KsWBRBRbh
4+SlC/PYjy49UpHV/aljt1N+Y1vzhf29NMzqQjtinK0WfNrH7u+whzLq96dn7Q78m4TvBpBo+yef
sDJMpmcVAg4SDG84/MgLtaN9dSGhtyYSPG8UahSBi/Q3cvvOGt/HXNtCnD2wY7kLs2YT7tG/vO+O
3vZopP5bdwSKhe+jZDk2tyXJTzmyNFvQGSoUqfgxQk3/+yl/dWE+fM/qBeAibKG306O6rZ6G8BV1
QCL7RM+/1Y+wfZy7BIdHjamh3rpDBaRHS4r60UNu5/vv+OIh+vAZq6UPIchsFDaWhecgLM4XEP3e
ukZS9Xunykrvwmif6rfYBQ8FljNtnXXmSF6dI1WzoKVyKo4MMNC4iq1nDTq+mSwA7bpkgcQgpE7c
05Qi4fB3vjIT1hJ5BSjVpVfi/Jav7g0+BOld959s+T+/590rMQZ8dpg/FscI7fIeEc71SBUEcibC
ttUJyc+jdykE+MpQeXChPARgCPGQ8/l4V60pcvwpmotj3R0AU5lAGbdRwb50N8XtJLZOtHHbxM8f
ePFGgeZm4QHxEGSsv9/xT8n18x68/4zzbXw3dYPX1Uj9pTg69OdodXGDftG8O9U3eY3q/VXfPNhN
0ojUd3tgeZ6/H/2Lt9JHXh891KA6Ro1tZS8nxShMdVAeK/85ZOBZ9mLPykn1KgF2LKw8Fc0lCod/
D8CHvUZfAkwLaNnOPJ5gUf04YcuzIdrG2+kf+LhDesSPoe0Z2+lw48fLC/7366+bH3NS4UAu5FmR
KmEEylZpgz6GBd7KHyMeyPMCzlE0FG97SHKOCIziBDBgckWTBomyEqmxS/HE2XZ/+m5kAyDGjZKL
tyZSWJoIlHlogT0OzUNhQARIodPswkX4ZHrPawMP30MTvW1Dae3j2nCQb9NcDtOxDxoyghuzKi9l
iaw1ZitAzH/O7QEHakLrBMWNj4P02hh5xNh8nOPX49WQbOMXlSy/+5RukfW0418TeS7Ia40VfHFT
0N6IJPN36OuNTw+niFiE7F4fdr8BcEmeB6LS+9tbhyT7wxD/+FuT/biB1CK5QWoIASyPt+emmmsr
w3+q5O8Q//zbp2feHh6P8V//5BJ7c1aXfRs2Hv5urDb3IbCvIYF8JblGks07IUWfHZzseUx+CPJ4
4CTt4//Ha7BakZULFyoTnagzxYpkS/fgGYn5exI4mpCrDHaRuJAP+Id1Wp+kdxuwrksagxx7N8Bw
V8dXSAeDieJJkt3x7XWX3R2T42mnUvxzSPf7n9nhj8petsn383XPW/zdF6xiq7qYIO9u4Qv8VyBl
Dn68ez1t/mw2N2kC6DxYk9OBZD7JSLpNrw/x0/aQEnJD9iT7mYTxpSN5vvHffc3q8fVn16XBgq+p
SJu+BHF3YbqfXfSP+xuuTP3A/KKMRgyg1Q7oXI5H7m//x/jt96msicCh3y1pdwVN4+LWaEAZIl5c
esnQX5rlytB3YVhYdYuPkM2NieZc9DrbFeixCXx0fwa1q5FfSQ85Y+OKovcHpeMK4r7NJefu0mes
XFSwheRUuPiMzZmgixxfThLsVlcVOUa44Q8Ely/GGXjZbECppMkhS2/22eH+2Ynjq8db3MC3S9v/
+SW20E7inssNSCwDw7Xa/3wYorkpBn6sbfTH7KDs1kmRtK+FeAadruzKpDYPFDQi83HMYxOIYiSZ
NdJmHQTv+YV9+kc/uTqNkXWmOgZQERCtNaAiMIJy9IyFH18MMiSJ3lFILxvX/DQlIiTetsTLBEKF
TG3DHRZIZyElOYxlolAqhaptedSP4lLb/xdrZCOqgJ9mo1sRzJWrNUI+QnSWYN2xEJChYLKlRzxG
kGlucjOL7FyntkfbzALxcarVon+7AqKQIpL1dRVwnvBZsI0I7SIV0VxnYyeNI3RSaLoU5iW0yOeX
Et8KtqHwnF5Ftmp10ifbXQJpl92xkT96p0uG+r6cLqnGfDZh50GwU+D8RYpozSIKoDVrhwiD+Oes
7UMEKlkZo07uywvWA/oTZ/vw8UigvoAz4UN28lxtWL0Pk7Rl6yhjeoBXw1yI57reQvq8sG/dnlo/
qTuUvxc2cTP2TWiM5Iah/8xz6PMM0KQcDPRzLQ5qBKNZUqjaelWita7n2Sj+Sl75kIuTY4TQ2Jn6
DW/gjo+RzE8LUn1PSowNBK9Gr7LJoAZ0UQ7KGOjWQVElGw2bTpnVL+KB9U7pxaXPJoe0OUejjWdW
fTaD/xaF/Eka1o57A38GTDwUCXcURLDL0dVv7VSGT0q2zIGWuOFATlUPRZnYAV+ezLbruioO2lrO
zcFruqmlBDynZvmXOUFOgfEL8ygY0GLajctGup6Qu6KP6nlTgLzFLgnr+/IXWMc8OHOQlNdJ6Q0L
PIlihvaLT/UyQ2qlcgqFPEjldsTymQ8S+a4ovWtXhrLedZEAIM5qigaZW2QlURtAV5+F6L332zjA
SoK+pq3COrMXvy+2+Ag03hhU6jdNcW7Qn+xK6BznnYUGexPNcGGAX0mG0tfPMswnXGdPF/6VOxrL
UdSdxXbMEtNdyytVk156zYFxXw/J0Fjd7VSb9HmBmuAv5dY2tHNG5R3tsoo0+peW8L4N7KjNStOU
BuGzq8fEmgewTclqAPa66coum5qwopByHNWfyfIiK/ECqXgCqGaLp8mBAt1mLpwqR9RneiByqO0/
rRflRgYOBQOVZ2FUaSHDCQju4LzRk9MHHgl5rVncgRWPZtC2qx+gjAAkUq89DXmbyvSzQCgrSgBE
6RbSofrSA6EVlGLTAiJ+5F0EMzaqqjkJwfg9/pbkEFsrnGJTqybXZJm5upV5YZVXC3MVJtYwnRVj
k4Py2DDtGXobkb4aJ3MG4xSQNn8qXxbGzpF5jaSq0na3kQCelGSWpvdWShVIokfJo9Q2HO4QNZnO
rXLGHEp3g5dP2171QU9U25ngxHMr9lvWYf87cgbgkaBvqFvSexPQNFKE4FrorKEkk79g0yjVvRlT
31YF0m7LUKe8YT265t0hQqLardRjVUHSm7So/M2JUXcFmNEin4K4eShyIIPGvr0dJ8d+8brWzUpm
sr8ekJIQUFWzlzUls6zYk5149mbV4RoU2JZN42rJEidwDZs4i9XP+7FQvXEMAI8Nj50B6FpqiUIi
ieEtrh2jGDP8nEYVPUy56d+OWMrb3tRRxrFTkFMth+ltoHNXErtAljy2zAXluEJq52lxi/KxNhgy
i57PcmJPEdJZ/UCxBjLHWSPB1PvPZj0G2FUraP8AHiEQJiln2YOnE7df4wGsiKMBW0IDv+54DKlj
qQkyWBEnQcclYEPTWD1ZQFNXMdLV6tckpmlnGfVcEFp77EoELGrTJhxoFJ/hatuxFCUGBCKHxlGR
IyILPAbyo9nI7Wtbjw0ntRChkS55zVKzVef3XXoG5IQtpB6qqm4fm8ar+8MQ2hwLVRUGDFpk129c
j20R932PbywWn4ex9mqriI2mAPOEK81oRq9mmD+gr6NFOSQHdICA4xyRWuDW3ttZUKlLxMgizNf3
a7Qi5sp6DABenBMkIPxfKtDw+pYOJEoxM4vqQRT19LMZ24rFYTE73tady7A98qhARTIom47Uo2LO
+YzBKES2VnsjBwaFVMKHuYI0MGS0lmAxnW0JlOavfmqiALCv3PRSx2ppcUD7a7c3qzlH5QbR4EhG
06ms2HVn7MEwRqOfWlY5ewkaSUdEye6im9jMa+fFt7R0Y+X0cgDqfzajVEzUVqQouvC2LwU8zLKi
/U74rHxidRsYWdCL+jkSjqF2YdSB+Nec+iarvRbsXmW+GNWGyzoKj4xFBbSyTI/aidHVdg+cfDle
TT0tz9khALmI4j4/dksrfYhBGPo+glTSNRLCFb8fbaMrD4bZSwt9gq6TATdFAbKDzX9BOXqciWMt
+lfXB5FOkSAofkJSfbyfIex8lu8Ivdu+D3QbhyJQD4vmqIk4zeR5MTDFDtBLQW0OGVQZoyXlUY98
ckGnvt65bt5BsjOkjciMgvsDKWkrH1SFsvvW8nvDzzpvzk+ThXcm9qsBkzbcOvg1daKtTlDRGXRc
cyAM7k1PoVbhOnnbHKeuCY+N35Tow28DXG9ToWUO0lS5VSX26NH5ytAjYwkzrcEn3ewIkQqqI5TS
c3x9bOF8NrGP/iUsY1ny/KaHaM0D/AxQU4CWw1uuatbOGE+54Qzkt6ZNbNnIIccM0sM/0AYd3Mli
ZD8QsY0lnmfLKYgXFZM6dGPe9tuqNqbbCi2a5aYtTHhA3IskajrLbKSm2etq05wHSxQLbVzvKoQ0
N9XNGDt2aUZPAIqAnSKk9kATT6h+ICFoPF8pVGkmkmOhA2Iao/vTGRrDiQWw/0c2NLW9YQJZXJJb
Zj7tvFZBex3FwQIUUl0/03sk4aMqqfuOjfHAHBPdMpP0+Z7OFQ1uhwKKgqSpzUDHQ2MOMBHn3uwE
5txDi5MZQE6HCRzuOI+65glMIWYTV91koEGaU11m4HpyRQpuPvp38qqpSevSC05oJzrnTZxgrBI+
GpCv6/yxxQUt0CuW5EiFqsQYpQ15xiYAcU9MHYyS9bRFt4NtwKGZlGJ6j70wT4ZfzvlVZ/U123o9
fppNeTT42WBJ/RAUoSjjIW8688xwU7VXtCiMKyOnzZsoPX43e8M8JZpxNBUsDBigtFuk4yCnKN1u
Fy2uWx+kMZ+5EagIIpxIKMcQ6diDtaGTNdyCzmqg99KpWnUKm47RB09r+7HWEnIQHSpn3ZWv7XlY
IO4EsVlg7FqzeBJ6MpHLdXMUmeB9wNzoqZ3HxDXgo8azXjTaOnTTP8vRMv8uA29EPAP3Mm4b6ld4
yRRr7E2uWw5PDx4o+nhqZ2CIkaU/bPrKKvbaM0WUyqANGwCP9ehtqW23FEwakc2SsGkFIrWqt/h9
PuUWTcw5Lx8BNJFjQs2cu4dgCJYyWbq+odnClET/p4tfuUM4gxDYmqpB/DRoFND7HHeoJoaBprBk
7MPRhJdVwYeCsxAG43wvKznY1wJfJZMhmJxnjdPxaue+1WzyBf8amab1rSwQYJIIzbwvjmVMLHYA
p7nrDLr89rQZstTKw/q2Rt1wL4cQkcpQ8Oqe5l7Z7kDZYd45U4gS8Pm9hWvJ7fAN6QT2ijLXPN/V
eRWCWbCm7UDGXnlsYzKxNDHrLeiOeI2kZVyIATyY0ujMY0TN6bfLhzAkY9FBdqzSBTQHDR92BQc/
mh0C3T8XP7Vp/cZyC7DyWvbqb81l/tgGA6imWphGHjuFF2rihEDrodakaJHmdQBh5GGpUeSdxVBv
YMhMyDyWAb0u0WtkgX6gtW/whvicVOEsfsh5nge08w0IKeZixD2aqgWE8DXFKpMQ4s4Rog8+zH8s
HZS3VpUvgPrp+ncEq5anbTfAMBZlizceXkb0bAvPx/tv+KIHsMCZj1HRMUQuprPUKUhCnazRLLrt
p6B+aiYrzypho55jRF5WLWb4TI2qPgyGGG5NZeZ5zN3cclNnUNZrxEzkbVjfltgOHbqJWXputQ0d
FmBDZe+zLKBmq1MGVjSxt3uzGdLCG0HXN5kL+EdQ5XfdpHO1Gq+xRPDBi1Ahqc4jZaDW1DbGnnoI
i1Nvqtqn3AYtM5L+cPXJwqEwTgw2AU3XaRtUSnqqoiCtlGQI7tp6APjNy90i8XppygShzCLgvi8o
EyGdDgwXD1jDYvArRe2feQyw5k5HGSQOS4iHZ0MZdRpmC8/PEcGXVJkqvXrnUVVUW8cYXDuxTWg0
3AbozKxxMfFm8cylxlAmQHsPmy7gINMSZl+e5OAikWLSs6dhOxzumTk5AdDtCmE0kZBLLAjeTv+l
F8J7dnSJoKNxR7slRli2iLH0MF4bvYpqMvpV5aECgEY7dPsPk4pnSUNOJG2W1IOltmJbodxOfOYJ
uHpjC1cYYnj9FfWAt64RaSC55Y7yYPdFHcGzssJ9W/QT+iR9tNmSJTSahVRmBO3hsAheqF04knRi
7tF2O801fGxXRKfJkW5DeEt9lKV6r/KJ29WQ1Qp5YU/wifr5d04DbhJniHiZMO1DmbqUjbiVVWW8
mWEfIMMWDfWcDFpxEfd+KCIcSo7+1QhKpPfAD7q3HR91mLqdCjrSGnSiRNV2cDRY5BXx7KJMQgDZ
RnWk1QU80RFN7H8VCjdggXAHFwpwhrXE5uDxExBmCNprp6r/DPZYXVsVoyING4UrWfoiLGIOrwnq
0UXlBAnY6zwgKEqBb/LcYb4xTVaqjWnD0MCitMEDTh67H0YWIlNnMmokVsQlGgOFrU7TJKlK+QI8
cjJJLAB+hxxvaupCY5m2VYEIagjLvbPYFY9NvxFj7I+9uO59lBaoVXojfikcWISy0+ARNowmI/DA
9bN2eHkXQO8KWaYC7rApoUed1Sgl2oQ1ZgtOOdyGguSuhcWq7ab6U9bKMjeuR2EG2RBGcxr5C/s9
991yp4vRBQFajgQH/kpZXmFlFYU3CF2x2kPgilUPjPvZ5u5PSzrSTE1V+kBZWpXjJzY6DiixBro8
wVpPdVLRstLbPGCzn4QI7H6EPHfNdCz9+lQXy+SnkcHZjxnBKpJCvac90jZwhwhnoI4CLFeAj4DP
sLq2MorobvR6R2ZuAQqxBEAYs09HCCSlrg0TvK1RR0VfvZIcIqRuSH9YrjuIPYIJaSUwPshaFqGB
aBVtldAJlzlvZRrMFgXvquNX22Ys5yAdR85+t3yobySy0RAXbiun3bZ11zb3TUQ5GqvnqqjiaGgi
eMxtXdMHaQlVbEK2aMgESxBO7rRVq5epkiFexs6LnmhdNwuo90wREHcBETTsXYOQhdZuY23BB9tW
mcw9cENaDP5uWEwWjyUoYxY8Ho7lxZ1hWSeflrDckzC7k7ItCee6Mmzce1DKSpJLw2YHqSzVX3mq
R6wIgCCqI2iPjeDrI32/9Uedz/FYqelsKW1gZBvmCjixunYa4uMIItE+lTmWy3abIenY5IaxKhAH
JMgMP+HXgTiwWpBvYtTrn5dQyinWrZIIxgwUKk+1YXbIwmgko0g0AduxdzxrKuBRQQE7sZwoAKIL
J8GOLeVSi3QVUAkkCMpOEorIuYWF6mxx5ZdQV0mkOfJrJ6qjhiA4grVbTOE68ehQt4ydgKLbveqo
DNJcLhUYVmrRojszn3vw9tICyjVWCW5JMUr4kuIMaSGzkxuQTOI+KgjIr6NsHyI8+WMu0vixtJ62
Nj68a41Hs3IdkuOsA/7t9zo6NYxGOVL9VXBqFB0jJAknS8C7rDAN6TDwkUhF7XDLHa9+jax2ebIN
ewbeYzCmv3a9TIhlnB4RietOYRzmc34XQV3ZgxNR4f0LHIpnvEc/wTMI0sHTa3kVUmAR0lYtbrIA
i1sIE00i0N/A6i1AWW4QTzdoDeNu5x970HuBoGzmASeGXcDG9hV2NOWlUaJCPwd9F49QzA3jMgf7
R8wmX/9wOjGBfK2kyiUIr5HsYWO//AzH3nkTs+MjeyM8+35o524krINvFIP+DJdZgqfVIbMvK7yh
kVP/Hio/ErF/9vCRGlQ1DHhHnXMzhuxFrLUFLACPOOzYWCB4yuvZMBB3DQHwPXYlT/kIusM0NKeG
JrysHedkTfmk4wrm4A9vqsgkg2vKo1TCQXqwkN2zbXncyQTUiI9h2MoiAbs8ANkF60xxjKrKZ1s/
GDprY8+jY29KY0A1mFW1wCWzcmfYoNIzgonEczRYQWxl/h9F57EkKQ6E4SciAm+uBWXa2+me7gsx
brESIIwknn6/Om1sjKsuhDLzd1kVDotv28vG3f6cRW3vFH7Dzo9D4CRJk08seWqeIuu0zZ0OWlkd
Zs8jP0XpYfQPnU2bMLfTuvwJ6sUbi2h0RXrMfOSg+eiJJj2Sjez/TrG58mz2btryhm7HP+5BNat8
U77+TNnF+yjssFEF/HFYc7+a1LezOhnd67xGa7HJnsWVsm7JAdbeGP/U0RWGNOggb4bMGfTNOLj1
lI/WC4ajI9fokrEQ1BYCU4B3kJVg5+7KAHLMsl40Z2mFSA8QPxl3aeWkj9PiZOthqumqBsJSuRqK
BD8O7lBLwXYs+Mxaqf51El0PYKwH1nK3S1CzoZfGKj1sNjUKsH8IzMm6bjMc7M4rkXuicoGWBbzq
KZsUrvyJuawu+irDzzZFTlcg5RQ2t6oO7+ZwStSlqq6jxdQZXrGSEoHUHTwTtVwi1ELgs0mmYpW+
+W45ZUO+9X1H0zumDbhnxrZmvfntLRi0cJDKOAEgDF9idzt3VEDarHC8G7YOKMeAlT6yJ0GrPGNq
u6g48OeiG4yrQb7FcL/Uq8tHiFbkBERIEM6zD82ftE65AyvrfgDqdLbwBhvQMEksn7Qy09AeMsyW
CxmidG0gRUv6n9dksTo4wza7Z39MKK2tRehfEOHhyguNiBhyjzP6Z+Nx0RXYsE7OiQ3a+ucaqPIX
HZmt87o1TS0O4zT6bNQwXtOA67rCuW09OenTvvGfAzwSDFwarJNPtg/Y1DXtJgUWsqtN2Hu6puoU
yTl+6yavu9VVH2MyHsMpIqEfh+xHtZlufCHxvvLcg97dxj+kbdYhkuyQT0/GWAthtZZ37Q6qkoOv
BCxy6IdtL1RXmrFIQIh/2sbQIQ1Dq1+rWJQ/o3qP/kxlu8ufnaTNfJ4pIdG7T9G2N3vZefUzn9LU
xe7OEaWNlDr/zo1Kv/zWg9p5YHIa771Riy2XWV+xX3zRG9FmQTJ1RUVOyJfCNsVhCGX6PukUs0Dp
boLmxDWlfLNjp7nWhJiBV/3ZVuRJ9ssgiE5I5xgYvmSz7PCkQzMPN5W/DB4xV0M8ybfeOh7PYtzi
5qlr29YpItpcnrQamte+Hxo0WExL299etksKPg5hwJiPxEPE9yogBBR79e6KU1nWTpZT9zTZIusW
Vevt0jqJz4Uta6dw6Fb1LeEg3g/A8eVhShjgrvmXWX2s1NZGD3bX6nfVp8piB5fh8hj0LhkJQW0F
4DXTIqN3NqRw9PxN4kZ02zZdltiYvljnxGy3G1wV1/Q1XYLOzVsfxKzs+DHbuG9AHoYY8y4APL7P
eQwvvVldcVm2AXXywVll7RNmqsHhReA4/M5xTRkkCUyob8du56Gtm+N+0fGy4KJNO5e0j1REuiDn
fL9+spCHVnU1wxAMR5zcgdjN87Fc250F2F3q4MUEVJ0vWbpLL++WLR5fFUNSf2xSLtIiqLpyOkWt
V5Vn7CHBjzChTeF7SxunaJbeftfsnKWJXMey3I47ErLl7Omtb28WtnXKO+Ola1zUbdK2RdwtovnU
O3fiTVvS3xD8D1ZTe2DgwRL9CwjXRlS3e/HNUoVLTGBzkH5h8vV+Eiw72r/NUiXlH6A6k7xQXwOm
ECuvwkQl6JJqb7rdw2FIILCanjZWAtXQ29fOZQ7DAaRL1cO915ZgWzACaBWtAR1TYbZfuKqUm++Z
HAjr3oZd3DlRLfSpHhP5NDfe1DyUsdUuLUwHYxNWqwe/USu/z5tplPtrRzvy4bT0ebmN4/4dJh1C
J++cwTq3WZNt6efY+8QhTTstxU46Vn9jd55PPqauGItqdofkHAs9RE8Zka0Eiozd/NtrghhZrtV9
dxhZiR1f0rVfnhI9t/HBzot3jNtwfyj9RvrHsaTzOzKdiTs1xRNUX5m1EfH1qv3r152bPGzDtPIz
jOBh9KqxiXPunbm+DYJNqddo8A1MxyBcXJZtR89bdSIEmTapAOhc0pqJxMdasUmx3/hT2r7XDcf2
2DsxGtB165fXaR3s60aT3dygawBlkJTI+DCOA4NRXbr+B19p+sygYR66RcffW8YjOwxhvZ2TZi/T
QxKL+WuPsiU4iKin86qnOKg4C8mEUn9sCBIetYpfPOBMAWwQJ1g/pokob7AAS8a0jp33DuTdOSDl
LLn1ZUlJ0ID/5pCNNhFg003IFuRywJKSUKp5jSbfHhMu7XdtR/lLgeI9t9tCO+a4ashDlk7eND0Q
1HG0DHy51y18pibs1VSIcHP/k8IL2Lg1Tt7PvnaGX5XfOeth3Ix4DemzwmJl9jbH2VfqRRNBUh7I
U90/117SsY2pjI57bSeTD9c+Exoj7j7qeGc2F3EN4xP7dfnR9XOE3OGK1y/M30eD8qGhpZ1aXdRm
a3SxdX2c8VaE6i2DiAaqWhqLnBA8ReZzPWY/bY288qZnBnjccRK+Vc0Gi1d6k0Nev97sU+8okGjP
1tuvqkzo+uumR73hAaDdzrLt4pP2ZHtTztpCqkENEVQBoslzZJ7njDphdoEJiuhrWhal6Gkpf2/9
un4i9oEgSqHEYdlKNmQ4LUWewWkdPwK+yP7gCkr7wVHCsSDvjf8rXuf0ce6nESLDm6Yud9Jl46oN
fPWxZG754oWEMKTLnr3btOxcGJ7NOgevUeD9/doD3JnGUy942yJWn3SUbZC8KvpcfV035ykx9blm
y2FzUNBR90bLnX+/s81tYLIFkmYI203lMY3gjclCMRx2SJq/VQIVcgADZa9Q5bFVib1o9pU8CKmP
6P/nLO8G65Jt54Fz51FPL80osZU86doGtwm5b+1hMs32p3YlZkpqM3itF+mJvGgv2EKweljtHMu8
gDsbQ9Oexrl0n6dycpODNsBdpDcbnu8auno5q3EAqVgajEFG+wJGeevNj24r2//0mE0yr+SSQCa1
S/wuHTkE5LQFwwfE/y4PmWYUzuXcp8OZn9p/rOqwgRHXTXZuAxoHqIgS97Nomlc17T6Ryd3CoQpZ
mTwwKxL9xktuh8s4tT0Mhy27t3qad1F4dWbkMVpJisrdwKZ/9jbAfbaKUr+iFeie2RZhntYq0pyI
+UpuMBsvPwdnGe7BB6q/dqtnJkiat18L2d4PovNBclIb3wrvamDZlix6C+o6wrYh+/g/aXY/O27t
Gss3E8C4cQbteLMuHCvlhv4nI8YVOd8ShGZbJYe7aa17ljWk/kxb5Po3dW/L5DgHkUWOFnf1r6w3
y0s3Ai8cFoZmewKmNGVudGB+OaGU8mRXNf5EMEHzk7JuNS7oLp0IkcA632rfkqupKeATaGQzTTed
sHo8tXS+b0kd7NMXutPVwTEGey7OgYOQNheJM50cU6npbp0zuOY4sNdTxgK2HVzBr8MLtIVfQ5i7
Qtys42blycQmCM714uz+pe0z8dnyqoUAtioKfgPJLt4PnLWB+qLFrBBaaKJ8gJj5k3vbtSbn4va+
wOFlfF7M3LjHntVyfIHKxA7TFP80mH6CwmxdPeIb0EEv0bO7JQ1dYVOO022009AW/jq2X7GEHC9K
7ij3KPsuRDgBwY+enCGkuTCelTpPjS6z074vxDOFHSjVOWu9fsJkZiewikQP/9IMHgoArl0+Emaz
lNMe80VuqBe7nBdi+dOnqRAoxHc8TdmqHe92osVXp0CsYOEH0U7yh6zgav6k/HJyNzau0+RqDDIK
JxqCFVaiEkGxq2ZkF4WFAUkKtfMX3nOnhdndWM7tj34FRuc+KZPnyMbhf+tk3fK4pN7oweQ3yXcq
PRIABnd1IYUh5E9x1Dr60taYRdBEM5eiaHLJQbZzuHUwp8sAcpDWnTMfI224ZI0DSnnCoxzPR44d
4ACUdYiYbrcSV/3m8KJK64jnYOia5mmOBiDSGBAFLUSI0OaW9jUkJawZSlJbmxAZUUnJFXkfhY3M
A+VbGtgpjd5cL9s3uGPLRImYo3MeepFMmpkvq0HUArfrT0GnscrbEN0R5GciO/DC1PvR+d6V7ugJ
2rkxVpessk232OPezqIl7+uMGWilsU8PTgJSqjOo3hxUPv3Ne2yWQzuuC8SkWeaqIMUjtT98NvGR
jSz04hzRT43trWrcNj3Uew07tiGkiI9bzPCac6EmK1apygYF4emMuqttxVB0wg/MU6VnD6JXQdPt
R8ef2/24jsLWz0ZVMdFGM0TUcxSg/qu5T7dkfdaAarqQ0bDXt8O4ie5JxW7tnrew9/VNpjSovZhb
13neW2PqSxP3WcLUaeRDOg/VQqK2k23tD3C8bmPeGdXwGijbuNfA/XBs3r0y6jLWnSRwL2vvRBHf
MGjzZ1WPbE+SngCqz3b3mny/R/Gh9pS9JvDWc18Ym2l7zsohAcZrHSzogzOavwjGQMXcoE22E5B+
or46dyf4eAucdT15TimHQg6pNbmzq7LOrzth94Plc1Blp366QLjSJWG8ZzTYyG6lKkldmjs0d4vI
kecBFtXRBhbhgj8BWwots3wNkjjN6To0FiThY5ETy46jL13UOL5Wogamp7zq/eh1EZaJqcmuoiJX
x/bcTenyxYhTvSSmggzxk2b28xkRwwTsQfLWcenk9qAg+VkQ6ExVRX4C7cRP2bHZ8uDGtXBOPFo0
cLKH+j0I3BlLMepxyJBU+Ht2QptWTvdZW7NMJUwD3R4bw65VPmRgYBQ2ekUGYZHwTSCNWz94t8fp
ZbsysaTwh8H0Y80a25yR4Tb7ea2ZogrTZv5ecLUE001qerE9KXwDD5MjmuXT8/dtJHApnnjTNgpv
Xk4N6bGVN5NlO1aEk2aH0o5t8yYEJE1ehvgLyMuG3wXXqvfywcohhDFKkg7Lo6ljFniR+hzeyhmd
7RHMujGncc0wgwJ8G+9Ed5rGR3AceV2i0e3ljW0q9eTAYw0Xi5+lfVsz8KwPNx1r/1ZSduq/q0zS
5c6z+JYP7DGJzMXqLr73hmSpz1VpxJ7L2nrElMZoUR5K02PSRlZJWNW6s7OyqJ10Z+SGV2h+OG4S
zPc+ErXsccmcdP0Kx4Cq4YSV9m93ehwSX8tQqVzxw4piX3QLI4lmZCUYit32l70rk/QerUiSnVcD
xXjp+yXrgEtZm13my8y7c4YMntdDIPzQO5Fj2drjFERlxllbEjQZ0RzWtzLVnE2NxMqcp8GN5T9v
cvcGtVaA1G0Zs0xAi82DcX6kYSeiY7s6ZXtGqGG6wok2b3ziRu6fR+FRAgcvGfVzz4+XXaQyffkh
V8dsry4B73x0SlX50OmS1taIrfrjORiz770u4VaOgamdOwhE9hT0QL4oMcfaa/9qE/tsfZiHQB0r
M4QQqEDx5Q3boKle3bwbSCkubdMfd6N77+RyLy/vDqzOcmVuoPzoNVNUieDUZX2zVn71BzBCS+eA
7iawhVS2jA8bNF5/s0IGQChnQvknR2aOPkVuRAa79du0uo2dYfHP0e7t74ksG/J7Oj72OTK1j2GH
o/NJGt1sjiu28x6ihJLNevKZr/WqemHQYEJe8VklzrgWkOPI8Z1tiSkdGYUafZryr2qSOVkuzrA6
6o6XHS1Duouw+y17ZrGD9ScvOups8+Mi3NYIpMjzx5jcNBbg3MVDst1lU8v4ZxeHXKYl3ENzs5mW
NUiuCJ3m5NgOzUgQDWGY+3OE5JcKSUl1R8tIoEr66KmDiD0PiI/NQdDwqIO7pYtToK0j9XotfeR3
DbgPTAYaLSw2GeznsZVT3H51w+J+y3DaJlAHVe4F0gvYJqWT5AuSOEzOUTp4b8xGhBzZqQ25ANt5
ah7hTYQ+Gwnbc9PK4PouL67h3W+FiQ/LGhtKtApR5U6dUtGds7usxjISC/itUzk+h2CPwLf9qGv3
wxheZyu1+oElUVXa+MZHoeJenH1oYWVFRTPmhFFw7R5m5lD811FWyBLlBCNgn5JHtO5VeGjGef5P
DP7+X3XddHIU0Csv+xCD12SrdPEBl8n+wc2B1WhiBn0JMvjQ81TO5od2ahz+2SDnVzD98SlLp6Zk
/JntW0Oihz43k1QskGOw3xEUTsE/2fp1dADooatpvMCGsKZ7DL8Yaw+BUZYu/0XObMNLFa8ePzyh
Hx34kG0I7kgi5xc8ytIgvBvj19lCtuVr1iqRl3LxebSVuz0QkrERv0J3wup0m2WEFS7WTofOLPWn
22T+F5PZ+LgJRN6HVWdul2+Ijr2L8tbor+OH7YhyPBYqd23UVQXU64ypMGmnB1KOK5OnddtUnNJh
+ZGgBRwuiUUm9FuBeK+oAxOOLQJy0dwCUYQT0Zdicw+rGVKEZRVn/ohsjBWgTA8cuE5NLsjCHJt/
ydbvE6a4eXROS7UhrDD17O1nxGTu/cbb0xUyizTtK88C8ikKaFzV3PhnEkAz1AEyFf5RBqBrxYpo
lzoTBpZV1e6gBqCHbmHP0NAQ/sfrirU6iZcWOCet3Zs9SB2s7UnQb+Q1pNGd62ZIFdXIJhJqAUUL
kYGpq1O8tqmfbz4NBy/YLNkT6vooEk0Mh8t4dZUQxv5q8KYNFEyIBe1ZVneUHPBysww79EWuucyi
3R5rBOMSMI4+gjSsligMBbqsj7TF7cVh2/P4AIuevWdIAPpjEq4OQvlZxFHOrtc9uGlRpJpbyAPe
BmdHWH0UjaYj0MEkkbK2QEJ53FQTasMxMT/SmNkoB+L0qrOOe2j8bs5Uc1SxCL3c3TcXok+s06tq
XdqNKEnll46jEVWt3cr44q8pn1mZ+TFYuvRfNLTOG6qc5HkrFXKDcUbwd8uHAfsyrd/3+RjrDdH5
lBLmxAhg/yzJFMmfRo3ueEik9edDF7dV9AxfEdQk6QlH+DAtVej5Nz00HccOftlDjI/S+KjcOdp/
1CnY7QH0qSGTegmIOe3Cce1Pc7xHjx5PJ8sZP6r1SA5b8tDO6WIOV2XNLwBywb64fWrmPJBD9Vq2
isZecMhuoU14DYKI0fIkm3l+q1nYwwYYC7V4XpYK2NfObvkzruSenuhE97IQ5QhCp2Ze9jzZZec+
yCSwl2CfK5S3dpF03M0CzMyX0Dk/k2RXDKBdg4Fm00FYfi/wQpfrQokI2Qan2Z4jV8yo/lVn3hwn
XCz7J0E+vuUSKMaWcSKMj0xbxyOJn0sZRKOzL6K0EsVXrNhFkYx4TE6B5ytzK7jt3mFl0j8qQut4
06fz+j2hqKiLKQp50XzUxvrSqERgl05mu70MrCwy935t5/ozCXWtT3zNkhtxCZyPbZ6S+NhWXMn5
1C+RudVDVaoEpUcY3GucHRvSLBVgd2widhgCJuzbKenKLD5tTTdc0Zku+05GL/0tV9+MaIJl8O4I
Nf8MJ8fFrgVN1R5lXK42X5s9fZnHrq1RSzIbn/q49RzM7BV5U8g5RshamXZB+Yg8s5mLZUuJLaMD
iaY3uBXWwiUD9po80THx8u44Am8vVrjfa7jVz+1cB95hCiyIY98ztT362T6qYqwagzZGOxNJ43JJ
/eLq/ZgAMoz68LX08YvUtnzXuoRDVXXTVFQH7rQjA7K4E8mSUt/CCjCaFgtLhhnc/lO64/IX209n
HoZOAd0kelvTo6P8ob5peAr/lmjsuu/QxSACNMUlVGyrBrQIlKKaZqOzswI0qurlGNdz1f3iAdYI
tRlU18IQpUESLoVZFHEQdr9GKuWTq13zjSK3Y2vZHqFmmrwtmvN9duNfqwmm6LRwiTbMh/Hk/PC6
q2MOIpqCLYcys78DDA1P3Yjy7LdSrXFuZjTSboF6r5nuWjIG97e9gtjMm7gFXIDzBRY+tqYT/Q2g
cjn/pSMK3dOSxsa/7YyR45PjKcUVZ3Z9naY0ZEmkVOChe/DKLrhbbDSXBXLBNSYrZ9nC12g0IREf
LffBBQUsyzjTSjco80Z/q89qn3V3qsN56i/RXInkdqNaOzdAxdCh3jDBysdeuHgFhbJ2T5UfwZZX
TGdAH2m1vDZzxtDuRuH0oeuRxW9jnML/eiio3uJsabyCutgToOpjcUdoUUOOLiKduOf3eHwcrYOy
PIaJ2k4Isj0+dWkRybORwyC32wMuDajxTZ4n5QzhPccxqY5mYZzPKw88/DBhuQjPXIn7mgu8tM4l
cz00fQsaMb7eblzzytXON4EO01uvFrW+ZHMfhMdBu+XveEZ/0vRRXxZalvXfyoRlcKiWoGkeTGId
cBnsWfW9TzzybwCO7Pc2JEzCnXGj9LVn6HcRnqBv684d5BmCY3jD9a3c8BAe+1rMdKJRZHgX96R0
T3Oz2PpGR4iBuafcWiNkDybWt+o5Le9dt6Q/9nXqj8+sSqmbYlXzVc3XxsmcfocOYwOHtLefelg6
7+x5ijWuaTlm3v0W75BARu42eChD5DAnL/F3eg5C+7ZkPEosF9OK3qdH7gYYJs21IW9sNCJvGLwR
WCCMEpIe4ej4lxwkx1JkofPgeaCzFW+vF2FJhpYe3wUEpDwJcIE9n+bS527IRPe34bzVeQr3PH6o
KGkIE8AWwQTitjr4FbXb1r/LCVYzr9nUApke0YppvanfI0TYv8yGEhOhT7Dhq2OsrGq2laY9CMZo
1XvXLm5GD+74znC3uF3HtdRX46fC9AZvtLnD1z6a7V25dg1eM1OxCgreUv70lVjDfBOLZqmmlF78
k80CI9rRBj3vwa+N4NDtegJFbOml/FybyKanICUIA6NOsg8nY2dz54eK6Qeh2l4/aUAq75hmhmCj
VTi6+ROOO5jxkg5Lzy4qGEBxnHW6f1gWnz4LnEqKdtlvkwcXpFLclmG5VPebz9x/RMfVdA+hq2T1
YgK5B4ruKWsEWga6K4uEcjDpi0XkvP2AGve+Zhdy6EiGh9Mf6wW1C1dznVBc95h0rEqu5IZIL6rf
SZvrtsvmobOG4TFGPAWlf3Xc4LzTzH/syjiWvUOlKPu6/QO17oLsIRtYs+dYERb31qcERrLBeKam
ILBOv5a5Fe9dAr2Dl0YIEFnGV+80d1nMCSrrxc+Rwi73g04YXuchFI8ooK/WajP7+uB7NvpSibuL
ZwhQmidD0HJVJN4svoGsAioXNCTqnzUa8E54YO5b3GbtIdqbGNeEvEqc3cbT6T2KBFi2fk1m9FHM
YD2Mc9Nl1OIR9r+M+NX/QH6r6iYGShpOTYxYiU4DqT031+Kxn9eBHHoovb72jg0NLzKYtN+QRfZu
IPRTRcPY3Oik3dez60r13Y6M8UW8B3Zj7Pe25pC09fTPRCb+rt1p5GqQXpu3W9o9D6VOf3qYQb4T
p1VIESsPi6GXpHNUyHXAHqq8oftWenW8uybycEogZm+2o19lLObVS5QeStRy0X2w6Gb92apoLQ+8
tgk7PeBRVZHEDRrnNXTQ/45ZQCJ/K/sAMnwy6Sdd9aAOMbYEUp7KClMamn8UkVlpDU8oWUtzdW3Y
+sBXT4+1dUs05di/F5cePVK2GGfh6a91DkAGezGY6pKGY4hnNLva7uCR6OdzB/aoxgVphY85LlUv
kdqCB8CKZQVe7Zc/0qQJjpsIEBS0CSPN/o8eyXwYeLb1VI0j3eipSlDQygOjlC78uO5JeWO8Y/YO
O7Ni+SpZPzFPg/SLslYYLWRYi7chi+sR8YiIVb5s7URsv7c5A4qNUr7g3uSwZf7m3tKnl2nhOlP9
xoaD0LnbfeGpojVraR9nkD5aXzVmYZGB71e0XfEsWCGOCjtXyls+WaU1x/maQPaVRNVskHOp+SzZ
Xqw/d7ODQys/blhyrq7HVFdd+A+0hufQYsAsL+66TrTevNY8JbMHfg5vGPEkw42tIiHarCKZQoes
DX3FN8r92h5NVYBTd84gNJHUN+6dbTKs7b5owvepmib2N6Y+Upy4qmbgtMpxVhYSres7nK9EldPj
QgD6b8qySHyl71gP04KN8k0+MZx3T/FSYioCiBpEHqGaXY/p3rq4LuerSzpyXNjcBr9neIDR9O+A
RtbvrfM2fTBbax8EM19D0StLc5bbVbQJAe2+GJcv5XFbICtuYNS2kZDAWf5BPj8ypUeRfOQLbA0g
HepWGJAmUCcv6wYohi30sBghbMQlMezqeXbWsS+qfmDgdzI+xDEKVforCFYMByCh6NBF6K+03xXh
s2zu3PF88zoItsq2V3GndgTTo5tKFxMvMsEcVDP7jJMs/i3dduD/AbQ/l95175limz0fIJw+qpI2
OQ/1PmAeWMvuZcbG5h1Ysk6mdgs2d0BQDrxCUUL1O4I1/+H2naoTWnpMgzwSE5xMUxrvEAW95X2v
MqLA6ZDW5KHZ3eW5ahz7XPuedAsUTGI6xyIz/4kJT8qhjRaow5QJ9QcUxvgDExJlKg36Lrp4Mzr8
OwVp+Ud0Jb6FvQu26FjHdfdKrOrGxD8F62M0wtBflQArfMc8ibfQqN4/kpKGdrLaTXtbsqcNT550
yXWJxyhh9veCUkqu4GbMHriDHeRfJUvnkRF4TjN+hyiSSMDB5zO3vxo0kUgWORHi1gvZoFuoKMqw
jlTsW3hxXcbw53CSqbrl7tr+I3UgnO4Zrtb6PIlIfhq2oEUovNphfm/HcHBOjezTxwZ4ktrauDxY
fhBkdZsLMkKUQIAKYWxDuDym1CW883BFThieehPqo5AAmR+7iKpnbeD07kE63dfOTXt112YxoPYS
jEHzqJM5UnelDK7S7DXz6mNv6NixInX7HzzEUEfMNjQzjH5wznDE1Vc60y/xO8rovyAB1j04bo/d
IOXP9GBhyA4vatdplsveL58Il2rW42ay+UU7xgtuIohi72epyuA9XNr51x56ekKotI71IexHxlS0
CtmSoJ0QnVMf1i5jD2GSIPe5UW7v7nf4YYb0BYO1fQtkhxbCtNOqi2szttzOY1IbHmOP0Q+/B0Sa
6dvUKdpRTUgoGx2UR98VFAuUVOUFpmD7sfgy+AR5adkbtC4twepznKZ5VVfqe0/TAJn35lr3gO2j
+aX2bPnKZOfwApoQQ4pBfvrXp0OCQZyBcXIE0mb71E63wuKt3IonSKAgvJ89wyyMq2i577G/YpLL
Kq4jBveuyOxgwkOVCkTTGzjEQE3YYQfXIHTxTZCOGZ9Cl97+JdM6y54TfEPo/BJdvTqAhtuTiXVG
OEPAOCMB3R0kt1g6S2KpHImeRmBTXXJ3GlRwCYMaFVrHHJEUFk4vy6ewmt9lF2046FaMQpC+SXnc
wsANb6Z5GEkDqKG3RuXM83kTPW7Wel37wlNNHHN7l3JCn88+Qdot92vcdhcqWo4DeGsbiIsH3Hs1
silxBI2IZt4fs4t8a31mtzX064vuuSxuMcSXKNybztE/6XYEsUswXs1jh3Zm+cfoJgnR6EvCgQ5A
pH1CXa/t44iP4EP7C/JZudBLHAL/f9LOazl25OjWT4QIeHPbQFu2JbntDWJbeO/x9P8HKkIiwT7E
0ehGmhiFmF2oqqw0a62Uu+JpQM0NRN8IqpSfa2rx58AymmCPtlf7O/KhKK3AKhX4h9xQvmmpMJwj
ceAQZkGWR5u2aPJPfdgnT0YQj5QhumL43vBY/25BqOgTVaq5pn4g5A4a3YMMvl8E12uYvfakuQMo
Qq00lS+xn0+uYDDcxIZ2l8bsB6Ge3eWgK1dBUaOkU6sgwhyL32msBnzRZw2tCcBWZeB9rl0/Cp4U
oFy0/vGr8VMh9/6nKDH7AbRi3VwpDpc5R3GETtN4otnu6AdRh9e8OtE2ogRhd5VTf/xjDMSZTqWM
4bkeXDi6Y+NXgF0gxz3HaNC5oHRlpFsYNTpAsxmC+Hs95qa3yjoBwCpP4w+R6106wEjT7wbld9Sn
YCO2DnQOhAzSTjRsutPdFxTiBhU2Yhhe0Ou3GL5nioK4rQkxT8Ai/C8AkcDUa/kYIq+KdMcXSF5t
uUGi2Cu2LoAnD6h4FRU/Rt5xYjAxUp7ILU3fTpQUdL8YVOUN2EkfHIAsefxrvevTvY64THYc46TZ
FWNZckroKAWcXVUHCk1f4AvK/WyBUdXtORoz9XspAztdGdTzENEtOyrdggWlByyRDmCKynD1rJKY
/4LrkdTbxC2lv6h3FPK6Z/bTsBtozzM1s/Wm3WjkAIw9omZjQ4NPHDXoInlOr7fI5UyxjSgfkE9n
AcLZKMfsM0UxeWr8dekXnG567okJRJsyrUm0VAVNuTJUP/iFB2ikFbSw3joOyFbAyZND60C5GL4/
YNgkelTRBWhZZkYFsGxqkzDRirqToQLMwuXlqIgGBSHVKohiHE4ba5X+qUWXzf8BccXzt6nehkeQ
U4pFTRFlIw4tsIycImW/o6BS0Kr2GzQVtBD8pK3LITO1BlU0ZHvMjQ52gJZavydw1amliSBuRybV
awTsxVA+TKXkH4HM0EbQCYbyKdJki9J5D1vskkldVTzSrIJllpiTuIEQRFJ5jpW0jtaNkWpf69Ab
EB0mOru4NJ6I5cE8fc2lAVpLK6ejt2uFYEgZcTyQIltt1NIAyLw4pVo0wTYownMQuAoFJEexLYn3
jYJR82k1eheUe8JjI+kwsVc4uDJ6SiDuWWfd6FKJKK0O4X7boioKknhGioU0YpOFheaaNlgVrfo5
JszjKx0qtuBlV4mpGl2/Yd4r4i83APlSIV3NoYFhtZV8OUhg9cAITLxHa0BjoXgwFVDBZIrkW4q3
1uHUawYUFfjhwZ5pfqbA3GZNigXi1NIvfui5PopkgACenChoc6jpqW64m8BlfE7qZKUsI0samkTf
KEC1Yvo3r7wCUCZN6647CZmlWk+g1EdzLWddR+QlBggpKFltuKtGkYY/Cgou2WF0CTjoMKh5+twF
bpIffDwhCT3TJ75biDeJ14qm/sTXxsmbv4U26byrbAwWjRtTjiwUKvsgbvaRQJ9/myod858nMRGK
LZ2XeD/GQS+T/ZB3vrKrqXN6J6uTRf2A6h8+U65GP3E6MTT6p5o7zSDi1NB12BloInwuGjkcHyoz
0twTHCMYVzIJKjwuWqIgIiRufy2vwOJBzFql3C6NuBUSyZrKRyk8UjyBvNNH9G8PAhKb/UpEBIbb
M6JSgI5RDC7Hq62BP0snvV2ReXdTca9gHmaXpKDhLEm6IuIbga1vemmETGzRJQB8EX7S2lL/IUOj
4b3IO+tRyseUgcYyZc6B/iJ0oTgJiWx4d1ISccvVVpHhDlfV1dT2Qn+KN4wbqX6qFJMRnB53/NwK
bYvkAdttHQSttH71fuH9jPgA49oHGS5SaKCys25KvfqV+B3hY6cGFD+NhCaSq3T8zcAdO7hzqjx+
y0dPcHdylAvljh5e/7lNjW6T6rpcbevK7dtz2pforpiACp5ai+Ie2Am4wLvezeGdogHUcVaMCPXT
lhN4HjNe2AffAPsDbhLvgGxQ6K7pdpe7MRnrYp3VRfY4DC/vnSL1nwqFThwoep9WJhSaVLd97Bq2
31lST3Vci2CbFI3a79ws8r8gOxKQNTSJdYTQiuZJp8bZOlYlzVgBtwCmGmig0VcUbZtsh3vP8Vlq
i/zP6Ps3il1SuSJtp0RXiWRgU+FKUtYVXMwn+vj0p5UiFi6D71OsLb0E8rrbWs3frtNr0lMuUL4O
AVWQqlMjzigMwkw7e5BEXaQfMqnZ99RQHsyxBjXdM6OdAaqI+MgPjZKb4Ky9CgCFSH+24EIlfbj2
lbxiaZ5bj0fZoAAKPb10W7urqEev5FYaSUgq5Ievcan0wdasTH8iahWFeJRbmAU0DQTqdnnZt70j
JmRcNvmvCIBiCAFjGVkFpcRrkVqgLReuvEpWMkeOvO4PsBtyPxfEKSKZvtGo26wyPKgkvNfbjCkg
4xp1MO3RL1BNcNDuaG9iZ9LnblyXxAmAHucsBvD2qXYLlY6xVVWOoVJlBjsnljckYALqWag1lEcD
obHPQ9b17jlj6uwXUxxKJ5Llpv02KPS9qaAPVkjcS9Oe+02zFsIsgqAAHMvWWtHQEVMbmVAkXqSQ
UuQa4AkgVwWRAVAXpGYSnM1S+5JPaY/jaugE84v1PNlb6uh+KkUD3jPdW+3JyMXBgVzeXoq2jDcj
SFcPIL1e/4bGD4AHhgiVd3T6SDZGCr7imixevCA4Y02MZZqlKyqQEZx1SNzSWoDnhHgHQGRAhAAn
oJfmI912OSnjL1HSxe6DGcdCD8g7Fp0k1BEMsCSTf7ZyDZWzTuvGU0HS/iuDZwBZXejCR38sNRky
HfSYFRDkRqFZCbh4E0q0+TlnVvWQiZIrM/nEKtPHXPWoo6RiWv1NpTb/mVEa5heUqUmSTsVg+Nlq
SWlQhy36S0Jpq1sFqatYf3RRoHmk0KDfelJkMb5pkOonZCT0fNX6ZkJWVOdpAlygUA69WtI9qVLN
9/aZXpmjY9F8ytdmIzNXxwR2/yBNUkPrIfPbC461jda0mACkSbgDYTtNblPOedIM3QNUABgTHRok
0r4I4IhZJNUAAcWq+tng+5tjQ0/UvWaVEGjkKaPsiLQB4hXQTpTjYBv6QrjTkwYyWKAa/g8oAyGQ
4Mrq6ovv9XrF9vTgvcKq0Td1Di33gtC73J3E1u1plcBoCaINYAaTg9tFUAMlWMC/AmrAP9DRaX4i
CVhFawKK1kAoyILzyD/L2cmA2yDsyVpaGX5wncXrgv5ThiYETBqKEkEL3MgllhJsixlj0aaMSZy4
WQH9QDsoFUF29Ng13QNeDiVPTREmJBHieujRtGPXXCHnI2TOwc9NRE28EfBfbWuB2igXrxJScCww
ioOOR82HnFHaEs46eaQGNMLRZPSYtulqy8t2lhZBUKTN1iibEW1O9WHoaLdNlWCZr8Pz65Cajr4d
xFL9u2sK5Zqo6FrHttVQ5TkNDBpEjCrVRReX6Q118QDSJlG/SkhK0P7VBKG7UaLyy8/AJX0PbjtQ
AtUJwbwAiZFpDFIbRFkl/RwYrf4rxtEAAVHoURhjq9Lp6XTEH8G1GbHTleDQgYPTct0keVS7+7gD
Q7lFraestlZHwMKDCJDDssWwjHLAzrqFomZfhs0hSxNYyX5bKqe+90TPokrtS8rPMVXLo5xS3f9q
gOqSrjUoRNEux6E2H8O8LtyjBVmS6kUuCOikg9bstgXEW+GrpFZtxjxf/tpTbFDv31lFSRsf+osM
Bg+aeKQmjux6xa0W6lTeN9QWTESYZPkplAMPKXhRJrguog54jzBRIgvJq8WDANAm2vewtr0NDhlI
QF1KpJlWWaM2kBim/50Ms6+26GY211Y2imoddHrTAlSuBW8PudgT7bzNBlhd0BAk4cGkeo9ul2v5
7s2NcvlXmAtesc/NIjfBplukIXB89e/4lBqJoZo+HYJOntlGVBsMxaRvVgGMKb5mIy9gDpEu8aOD
74di/d0UCbgpDkCFX2fBUChnDX06f5eFgBCYUIGA1EqjkseE4Dj0oi9otXTehNLVxMesqPLswhBg
ZkyUilpV18oqAL2N7Jm4hynkEbTLgqYUz2qT63Snm4qqR9uFQe8kla8mV+rmfX9QdMA/QqvocAEM
NXOhszWtSqjYa90J1enxt2q2WgAwtw5/fqw8LE3an3MpTXDdDEgQZd5feaY8HLWJZIJ/qk8gh5vg
SY6TdQISD4NAnMTVKHjP3hhvmkzam7vattmpBfll6Z48qSkDMhKZDsKYkNlPKPTUyHuLn8BYuwG9
a2+NlogDJOSU7JlYYXubxfECkzrru1UrMhOWGBICX3GmiCqwrDY2vObUxcWwbktGoJQAsWgFd8wX
hEkAnoIRnduoL5qNoBvfUkhre7H15YsHScFd0Lh9Nz9Cki0wpQy8N0Q0VOdS5lqDoI6fZc2J/se6
HXZh8sfyvqLUtbDZ77WGJzuovfOxkf8xZ1967KRGhp3UnMxbXz9n9tDvjZMmrGvbkJ6D9FQ6irdN
UGSwM8Y5XpKl0Sx3dvqN/ZloLhUQX0ZmARLqD1LqvGakqbaG0Df81k7dBnD5jtaJL218a+EDS3dX
ThXTYjy2zNrnKzcCZvGJdcMAltwem/OIcAbZjiduESGweCm1HE7BX/JO6s7rfAIe1/tB+St3wibP
ooUj//47UIETxWm7p1HTL6PgX80YKGuIni3iZSfaOxev2NBDO4XF48e7fdeIxPBMzrehS/NDRZNW
6WMoDCdJTW4g+h6U5jFUn/6BEXJV+gCEZvJ89niUekqtq257Qs32s6VLf6Cv30xfWVDJnq+Fa0EM
AiHQsCgsaubsvuqCVYmmliOnFHwppUfZ+GQWCybmJwQTkgiuRJckjaBRmgYnvdoTKW8tRovL4QU0
al6vSwil+q6MdwArPv5k88s+NzQ7isTQWm0Sll3C/FZHj5H7V7Z+ls3lYyt3vtib5cyuWsDQgjEu
pfBSlT/l4LdpXcalKV1LX2ym4q75UUyzki8Wq3bVXBQer2ENDFwvF/zG0lpmu58Lvev3gRJejOCT
q51d9bea7T7+XEubMv2EV7uPGluvWi2fq3OvmndmU8Twcaj+y9sy3/rZfBe/VaBZiVhBTNCOpQzB
n6+qfvt4KUtfa9q2V0sJYAsQfGnhRYGGEgl/TEDzbNLHRqZP/voB/ddKiCwVSZS5ObOVABDIhVzU
w8skR7aic3YQa6i4Hxu5uykm3XiNR1EH4PZ2JWRyoJqZiHLx84uJqGyI6qgU/C67fMHQu+dhWo6s
4WAUg0qKosxui9GmkugPUXwJ6iPljaA6QrRfB0AHx/zboFG2o9GFUOZmlC+u8TVC4VtJTLunNeMD
u7TQA/t46XM19fkPmt2tvh5VNHr5Qf4or2N00AJNptfrOaWQQ6pjmsqXjw3e+9avv8DsjjEDw9Ur
qkKX1trKP1IkJhOTxubil57Pn5svbHbRRqOgagr26xIhZJqAXIZrBzwI3Tdri66eBfky6jcGDIiP
1/dyIucn1lQMXj1FAuw9P7GNGUki7JD4YqXCBeokYLorKnvwAVDwE56iR+MnqWJ7TA76MUG3iTr4
0qCRe9/YVE2aclOwp+qzbxwqvtYMwPYuueM3a19gmArcfi1dWur0grxbqibpMjwDTTaU2TceJNMF
b1jHl6J+pOa7QjYtJkuTvrkr46ZuUNYCxRfbCx94PrvIkBndRDijiwRYuqzPXEIExqukwjRcZaY1
iSSyFboQTGgO20e9e5ayByqDIRWbxtia8s++iK/TXoCAGdAJy3dUGjdamyz8qndv1OxHzZxhHQRD
j/bbcG2gXg79c4AUgoXGWEP5Qso2H3+Cd05xMkZsraCwY8kMz3jrr3JkQLXE5QsY3iOln1VZ/vnv
Dej8/Wk2FEpM80yJmiUYIy0frh1tPEVBq1v49rGFlzDnzdlhDa9NzNYgtL1mkpoPV+KhlW4effU3
az6r0bpDv5u++B4RkLawFvbp/2GXTMwwNAIwa3Y3KPoigpi2wzVKz23+DV1ER5jIe9ZFMNFD+tk3
6E4ujXd7dyFZLJ/RYEQgk04IYd9uWAWhpaCpP14FVKXrBIIEdxLoykn1F+7kPUvMxpbINpmRweSQ
t5bMwnXLzivEq+rJZPel7YZ7BMRBSp0+3sAlQ/PvaKV9pHqxeG3QFzhDMxWoVyKhy8WN9/Vgmc4/
sGfIFOhfkhlz9kYPjEkgI+7Fq1xFq7h+soifUMgvkv3Hdt49iLI+1QhUWdY5+rI82yrNA5wE8EWE
Am9cai3a1sWzV5RoK6n0Z+Rrm4lPH1uU3/sOTBrENlQlSDrmDi2B3V6p3SBejQyB1VgVflaubn5K
Rno9CcJfD5qqZIeKvt1BrUbpt9z2w0avLRO94rA6JyE9rVGCK7xyvTB56GsA7si4aQe0RFZNnX+v
IbtAztbqXYs0xaqm92ELnXBOTC3cI+7pf4Nk7i/ctHsfUoEAgzIWJ17WZicRNE0G90QWr1L3lH4L
UbeU7LF16vKcLxzFO3ea3BaxSOosuENpPomV8p+QVbnF9UI+PMqlTa7r62A8KGZv5+jr9NBzuhF9
p3FYf7x377duciMMNTdxkgaB3dvrllWRzPSOfrwaurBB/wD9D2HTJgcfAFulfP/Y2Ms0xLc+8621
2SeF6C/x8rXjtfwFMr3+Nv6WnsSDtQk3rqPu5X3rIYW4sn4kR++5ec4P5cK78zLv5t0PkEm/yVs1
TX+ZMPcq5FcFxHtAo47X7uA9qjZAYnUlnLVH3Rm3+edzcE0Y7mrtq114ApL18eqld9GGzOpVxdQs
S+M/5MkjvTIeIYwERNgYr16FfBO0qgdfZzRDmHyVEpq/CD4jElf/zOBLQxdzamX8+k9+gUWhlXMt
KxQJ3v6CXtaAw6M8cq0qgctVfqZuu3d7pwu1PXT175ClAePrZrRqiGs/Nn7vpBHxMHtbkyZ51plf
agJvDCva/lclrZ7NQ2XYVpo+JeNfM9/+T5ZeTuGr7+zTdoezor+c6WylwpynIX9IxngvdJCbzPTz
x/bevyRT2YicgEKnxvM429dUAfdkRZ54ZYWHRnc3qEGjCpE/mu2CpbuOgvIvrF8eYx7/mSmKzv6o
igk+6VLoGcyPX2H1zGC4EJ6b4OarIhbXRWYs+ae7K3xldnZuEBlUkqjErGBUm7LdBnVpC3p+ikP3
2XVlQOVr36tOzAVHLNpB56sRukNgReuc6ny5NH98isrnl5jXhgqloSHPps9OUi9nbYZQq3hNuzjY
Wm3/l6lDHYx5ZAI+3tl7Z5YMSBMtiXlG2vwkJXKqAWdl3SoNuGhEqXkHcjLvPmlwmD829VLKnK/q
ta1ZtWss+7xQ40i8dloD1YvhMjb9550qpJ9AVZw7WRHsUO2PY1He6Go9JKP6lMTjMUTPykZqOlxX
CWhoDZ39lWGhJJJKCjwu8eKhF+2P9c0LJIQMhXJ0MiqIKFzQmHGl376pbWXwjXYhu2u97UBly9WC
43/XPGEks8EjqgP2lal+WrPFGUUYgD8tCUpkDWljpT43UfNF1MbQTuKUaU9K+hNN5H1WqN9pDp4C
0z/EZSbDI1Z2ALPHhbf9fQLC71F4ASiWMkXYmgVjhJ5UwN1GvNbEEqtOk0MbcK26YOXOdTUJEDQT
IAPpHrXKt/42byzGbkWCdM1WSLseum3WrcMLgOCw2CB79/EJen9J3xqbJbMlTH5BUTz5apYQKHL5
mBjnkRlrQLfF3cem7i+M2QE6fSFFlK2ZQ1AQg1RyGD1XiCGdvgkd47t/RooLwvyn/h8tTFMsWRYJ
ni1xtjAQ0WPQUJHmZpCPoqfoI6EK0gAuzsfLeu9Y+IKEsHhyi47XPOJDVige9QFDY1Oh2iIX47Zm
ttXWyxRvIUq/a0oXOYQWsim6PAWfr94oQRqSvCEBupY0wP/CGQtsL+jSX3qg//p4Ue99GIua0gGw
frIlmvOtQplaszwspSAywGwgtXPQrwh8Ms4sXmgNSFMA99aJYcwyNdPSTYlEZOaao1iNKiaXyNec
7hFEXxAfn5gvtVON59r4noAiCILPUB/RXN1FkDsVf2E++/uLDVZUJwvBXZu0CGdnJfWhEBYds0LM
ASw7IU7ipGKi/4ODQhZnqIQyEuDNmRXkzSRa0518JagXgcaoAArl1JYfP966ezf6tZnZa6+WsPCZ
3SxfsxgneBCCG7qugME+tnInLuWbTSEMK+Lcz3u8eTXmgosc3TVU/gyAI4XouUZSNU12UfwHxNJK
TRivDsj79rHhe3fgtd3ZVxxy6u+KMchXjwaumqgPRreT8nrzsRVJvnMmX5uZfUVFz5VuTCT5mmbI
GZiuwiBGEG1VSfV/goUy1KNu92RB5Rk97+CA+GRyiowoOA7oEiz8msnY7IIws95SVd4enoX5DHG1
TuH6d55xHYDuUGsg80VlZ+WVhrJGhbhZf7z46b7NzFkGubnF88POzs25tFH0SEUAsA2/KwiLUyuz
vf4m55zYGmqP1zz4RbVwB98btURY9ppq6pT3SDP4Ua98G1yaFh5bZFyDQtoJ6Wp8ipVrN0jHKHw0
9YOlL9i7s8PIVKgWoaBCIsu7/tag4oY9oMrOuspSsy5QAKmCWxHt0XJHjq5cFS2wk+aTqki2AekX
57Hwle/ktaCUTTiZk+cjLp2O4KsVW3BozFAd/FvS/NCsC5zVlRpuJTBxUW837c7vUWDkkzPoQEhu
ABjH4WRAm0IQqkA8rNETRlP+trRioeZ078sYJlmJpSimTs47O/sZ1GmgPJJ7jeDcgKUSK+LHA8j0
FmS8z2hVCkOwjb/qm2BpXvM7tMr0EKALLk2ZNvHUfFp7Oyo10FvPu3WN/Dkv93lk182GAiNC+Cej
6dcW4qylgAiVNW6z5KQFV0nYeUG1cOXuPEoAOAjiSc4IWYhE3+4O9BtYUlLk3SBNOor2WRypqpRP
2S8Z7MYJBK+YeTZaO06XfzO8hef3fRXprfHZQ5+nWt0imOHdotTcFANK5ygtWOp3dN/tHNif5C6N
/Z1O+9s7z8dGb1/hfRItVZ/dhmAQgcVqindDwgnmYQCsDSlJa4dSylKf5s5Nn4ILrh3QQtWY92kY
4TUOxmB4N/2EsKQa7NP+bHTWKtajdVZ8E8yFi7Zkb7Y0NWScCtPavFveTM0oJGXSY8OsPuj8DjKi
H/vO92VNBeAJWCOKNeTbRLlvzw1gPllH/CS8jcPZ28XqfvBOavi3ZQOj8LlR6bIjjZ9vBt07xx0l
ZFvqf4UO2kyCLQtbS3ioEER20VAtcsEuui1UQR9N8zgMlhKNd3v+9qcqs3yGqYpI9EdNeMs++9/Y
cPNa/Ck+IRe3jw+g0T65YNUXPs+7SGtmcublO0bHMsCwC29V901hpnfz5+PP/+6lnP39mU9FXM6o
dJe/r7YojZiFDVO4CH60zbf/3o4p61R5dd5HZR6ymm1Zp8M4hLe6+6KW1dnMcUmJPtwCrxMW9uld
LM6aTJX7QuDIuyzOtikttK4WIpc1GUm6FfssRn60IAce82xXDU27h/i5EGW9z9UU4EBEG7gDvDEl
+rfHWBxITBGQG0+NzTiTdbfldO4hPwSLsLV31xNLFFeVKaGmQDMPixMNpmLQeuKJirXT74Uz7N+N
uAsWXrX3J+OtmdmjNliGn4QCQ6+bQ+9EO8Cr8lJ++/5wTyYsmhqgKqb46e03swIjEQU1EE/1nuq0
A3tpVTm/vKt9QGfq+Pu/PYFvjM07Q9QrGZ038tmine9YtnyU9h8beH/s3hqYXdV4io8G8WVfujV6
M0fgAwt7Ir/3QG9tzK5rIVroInW+eDKeIIYksFog4Dz2Rz7fF/cS2C4r65zgStH73P2ybu6q20NC
2RjHZuGSvXtxX07hv/fOVN7uXc303yLpQvFUrS36CpZtHQLHWFjv+6RpZmU6Qa9Cvg56TYXQKCfE
6dao1m1MR/21klfUshbWc/9W/Wc9s0cPtbOkaUPWAwHtIXQE27jJO8FZMnPXT7w68+bsWiFfDN04
ZQerNWgeh4IgfiL90W6XjqO0tEMzj4QwBorCLZbcm7Vr1tMlhmByiz7lD9ZZ3it2sZG/MP7LcpSF
R2vpJsyiMebYI54mY1m2fTt/UNbe8ndcWt3Md4xFGxUQusTTuLE2Sb9TfhJ+2+mDupJs5Ept/Wxd
EWy1GsdbXN/9Y0lFk4AMMCtRy9tjWaShGmh+PB1LpAgPsSPvCwccyYbxTwte5X1yMV2BV7ZmbkWW
XWYRMqzhNG3isI52xs510p2/U9aZE68/9mF3/csrYzP/kmqmMk7MqdP+cbf0Qk7/3zcR82whM49R
UrQqFKAAp5aTGKwTzn3n9GubvNwJvny8jvvXTNcN0CMUAeiEvd0hBHESQUgLEQx5tEOyZZ0/RNf8
5Nrhgt9YtDRzUaqAGr2vYGm6YNXKdRAAO6QH1166VYuWZi5KQuxYLKY1det2X62CNfGgox7LbbYA
cL3rC199vJmPyplLE3tDPvmo3lHt6bk0DpC7/tdPN/dQaTNkpsaCkETc9/vQqVfSXxtFr8f/8TTM
HBKCIJYUKiyo3CDksKpW1jmyJZsBUwtLWvpyM6/UMPc+dSNW1PAqxpBGiAHt+iYuLOiu8/vPBs0b
K24uNIpusZ7emR5feU8T317yPHe8OKhAAnYJJ0cve7Y7QPVpj8JwxohvhxgZjsk/uKZvbMw2ZgyZ
BduYL0caoSFnVa9W2V7YL726d77XGzOzbcktRmBBNJm2heG9tsjjxzyKhb1/334DaPfqg+mzV8FD
BCEYA4Z4Fyv4+3Z9ZNSoE+KrA+THIZPEtrlkUnnvU9+YnD0OjOlSVblhYcpFv01+VbBTlORXjSM6
h79LfuHeu0c72CK7oeYBamz2HSXEAcOsNaZ3r9/n3/KHnltk/AgcBvctLO19tW/6mv+xNUdbd4wf
NfL6xVZyblFufuzwRhXlCOaIHeUn9yLZ2W95FR/EB/dx0dlObnv2Wr0xP/uyTOkrIUe+mJ/ceuwA
H325zcWGCQ22T5634KSmv/jOImBHkJp8X6DB/O+vYl1Z0qUYjT4+brCCYP6Qr9VVbzP13UbYeMHD
3z2rZKvgQikgaqo2e+jrivJ7XUXSKUlgWfuTEP5NIwX7OnY3zTtUyU0GoaQ8MyV31cH5NgR9ab13
EswpYf73T5jO9qv1Sn4RRAjMSjxnsh071jn9CcO6++bu6Kva5lk4unb2UxQX7L5QCOff+bXd2YM9
9pqAJgZ2q7VwQVm8dALHtMdjd+ZdPcqfAztBQpvBdY57qX8gSuVUSw28O88EjTNLJ++lFfquGoL4
C98erCe5tcZ4X8d/Dh6Dx8nLMm1pkxyZ28bUMf8xPZeryFlyVHev1ivz8+dDqGIKbkwfPflH7VI7
p/KoHupjsNtspPOW+bw/mOj2d+TopduFM37vVmmWrkLxhNzAf8/2XOsyWRwq9vzWrLVddfJ5893d
5EbklfywnCe81OTe7fYrizOXJert4ClBLZ0Q12NU8bqzjaduO4U06a6yhzWJJQUbZKse+n23nRJZ
dzfaFoLuv5itCAN+s5wfyXdCYaAu//4M2uylCIUAcvHIZ7B22sW80d2/NYdxwywYgi0m1ac/q19M
o9/mNnMtSOgLEouFnbgT6b/5CTP/1rlBiDgaP6F3YofZBE52cq/yfrTDXXpiNrUtPC8FFPdSmTc2
Z06HdK3SBUZksw15vop2ykuiDWneAa7SPVm7hTVOn/GDvZ8jDYxS0TrFLKXTd+XBJy7vOWS5bTmL
hpb2c+ZSasbFJ7HIwhSuU3aubMFGFNZGHaVzGKe9X1jXwi3SZolAiRqLO07r6tZTXu8SZCSHluUl
Vxd/4f2jJPTNzs0yAvIso0zCaee4LFMa2h8r23hMd4MDNn0pil48KLPQc5oPowouh9M/tk5yZqzR
y+51DmJEh3zpQVj6nDOn1NeTVLyBi2h4iNo9NDUmsTm1g1jVWt67OxcnINw0QuzcNjg8jAmn1rW4
q3cfhVdOYeapTA8dg1JnVxnK+1IXQmbKbi+Ts1Id9K7t6jr5AcsRFot5yvTWfnBT5qGrztRCK5lu
pnlzD8UZV7hmyubZ+1I7wKT56hfKfBcgbzuLybKr9hB/1ktntBlX366MQ+PE5/jM8NZ/WAN8ffb0
madiUrppaS2HIVt/rtYVNc7rVruJq6Vn8W50C2rYknT4HoTVs0MOyz4Km6iTTvpp/GW8eAwGFq+Z
EbJbLOTeC/Ze25qd8FJoOr1C/uSlDCg99Ztu2+5bZ/L/6c671itjG5+nZzHkQqMZs/rYhUxH+v1+
/2epsyOPeHjDeAPMNweEMG0Kxzx64RKgdWmRsxMd6ooboO+On7KJ3O30Etwmt8jsgss/yoRefdD5
k4qvlxCZxxZdd+qq7bPrtNPryfbJK/WfJXvALKEsAJEFXDY7lbESU2AapH/d1vBonkaH6uqazdu3
3Adz468/3rK7URsho44eg4qopT7bs6QzvCRlqOOJwYl/e0f+rNT758KRtsVRGNboLe3yU7bxTxmJ
prDVlmLWe5uJd0IawpBR5pt/4GZABylhntrJ4maYnFBwrzZiWQ5R+lJ2cu/hfm1r9nGLxhTjGvGp
07AlYz9Zdv9Yr9LD/0ceNN2z+UV4bWkWkqAK2FdqyKqMC2rxP9pnYxfyoJrH+m/5Iz0XG5UmgGsP
jx9v5nvYxkTKe/U1Z8kPfgbV3JYVMhj0lp1bYlLtwXXKv8bBs5U/4qpGaWTB5t0dBEc3oaIY6Tl3
8q7rSlGpNTLvnLBqL9nBW7OLW3jS4sM/cTDWK1uzHZSQkAmKsea07KZmaPCn2gNoXwhi772Yr43M
Nq/VtFKKUCR8ufOT6ySs32oEeB9/uCUzs73SyqqbxsBM3y2i9t4ekINfgeJeuOB335/Xy5nilFcJ
cTnkMg3rVqax216qm/LgrTMqVe1W/RIs8OWXljSLIGu5k42RAd4vPWTGalcOs5I57Us7tLim2Zsa
8MaZtONl3tQp3vfWk1vubXclnYovH2/Tvfo4HKv/nO/ZmxoxMTOTPBZVOpBtzsHap73g7wje/scD
MfPEWTqitDQdbvT6j1NNavL7LGrJDU678M45vVrQ7P3MMqnSp4mSvNLTmxbt1B/DeUpSUVN0kNZ3
xmxr/f7fvqIxy02V1pXqysfo1HIVKcwk9nhAws92F/zRCw1stjykWkSFUrXJXIA5ZtpIkECO1UGm
Tdidox1ghqPi/KpBAXQO3PAfn7ho6+LpyXNut6VPeycAemN7toUVypoJxAj59PA1v8rr6GFcIcpt
tzaGNRv52nWyibdL33byFB+teLahtVEoudyz4vFI2xfBXIr3zL45Jtf+rBNkKs8Lm3mnxvZ6mfNK
T4WynazFLNNYnSTHe8g3l/11nZ+r66fd74VvesenvLE1c/nhCP5ZDVlcs1apZAVUacNVs9MWLt+9
OOiNnZnXt/o+QJCXNX1FPfybaAvAAsb9/g9A39W3b/IGuU2G+3Fcl6Bq6p3dk15AProB0n8O86yC
qJatvuBjqs05KcpPURxtFzbszhstS6CXVNgKsN3U6Te8egMCcD+SMlTTlf9X2yU6/R9p39XkNrI0
+4sQAaBhX2HpyeGAY/SCGCPBe49f/yVGJ86STVwi9tzVSnpQxBTaVVdXZWXm2/owVekXwRXz4/nH
FnUJgOKbgGd5sqX/pGB9DdzXU2Q3pZ5QkzVUZvGRNbchgVWdgNIq8H4sNb4mGMqm4Up+H0oVWiBN
hn2Xkz+SvEg6MWeIZwGNBWqSTLRqtxPZJE2UcKHA7wW7xUseVUwk19ZnoGNN3kKu0WBxhS8s3pxT
ubZJDU6MBEjAxLDJHd2n5Ny8pGvWJIYDxSS9NNOX+JA49YGY3eqx4bmFvLZLLSSeIhkDqSF+D5pR
KDZYlfj7sYG5cBV9Qf/MJnWNQzLGk4UIFhiQMU6EyLLh5lvWhTZLZqbtoWrtMv9sUmadi69KYZSQ
AF7Cn8/5l+tvoK53MGhyaY0Ogz2ru5to+xmZnsnup/sJ7J1wo52BMgZkN4E2WTr5c1iam/FT10XL
N1CSawm/h2CsGR3aNdlxaGlutVaLNZAID4ZkEbPU4e6chalf2lTUnSFwOY8mgumm+tx/gplWc862
fUJhoLefO22pCjVXHbke6Y/3vXJASYaNBHEZPL10yR6Nz0I7/oqNNThRcDlKuJnL6T297bTv/99J
/vm0K9N+DWpqbsAkQ80JdVpGG9dHxz5NWZAPCCghefu0lDZY2FM/ifork0LJyz3Kp5O77WAytMAs
imz70gvintAJRKRg25g4ANBqRGimQ7lkAghFidP+gZREuGuto3UMtN+/S7M0odX04el/FvbNdA3S
sca1SeqaJDWI0AMPs4laLeAV2aZAmqfelGdpleuLFa1ZF3Q1QMrdQhGtbvwCA/R9ZKStveP9HA3+
jf0SN4yRG49Ht2Ru+verdeMFRg6SAObEKNNG9iBk4YKFn9v80fxRTlVtQ8hOuP/ZjYIumIGZ6Viv
6QTEq1L/AyGiBZuzRx1drCr01gQ0F1AejkGKBbwBEr9P37wEwhZG/grYbUFMSAg/nr/ZfX9lifJn
UZN1KilgiUCcZtQlETmPAHfiV/MdLF3FszfxlS3KgbFSWZZgBcbtBPr33bkDX/PCa3Zh3ugnS1V5
o4CWTn4PTU00+wyRBpYgVfPA6bnkpBYmjibuFAMvFmVfnt6zQaJVeyhC5INGPH1YQYzy8SLNPWjh
NhRJVUHMyd01NpMYxMSZGJJ9ErpW6+/QUaS2qeWOGVThvtXgoLC1QfLEWrA790y5tkttfanqUjVR
YLcqUBeXQN/t6QW62i0Fv5CyPkJkZmHrz5V8eOBiWbSXoYMOTH63J1qEuE7ORT7Zd4OZrDrcNAKi
puoL+tYCqA/26vuiyWkYVycc5KsimkoBPgfbKMrwdMezW0tS0/hy7/C+jpjCnn6Va2JNf/t6D0Uc
3vY3CwOdzvCdUWkqf6syGDEJ9UrKB/CEizzTO9Bpl0BHlhWhqXiDEGgQJULqUR6AuB/B1v94TemS
89/BXtmlroO+8ECMGkm9U/EgAGqNIO0sMSe64J7kGCrbkdUxrxyI6dt9o66hEwINCi3gNakTDV96
S+BnPbGDlsWeSbdLzVR0mujv1+FRhZI4iBWxFrerHytiJYwtlqJEt6gUfMf5QYS+owKmyDVY8eSO
0UpoxBX6wqxQz62/dlUBrFAymrhA9kXZZYROhPRb74h+a/08SSRlK7lQC1ZSA1LJmufFBolNxt2W
ucZy+zx3wsrg4CTHJoDrJFvZg34HGk03OTzb48+bmxYFHZ4cSB2gagUo1+3ntVIHwexcaZyyPyTQ
EcqDM/ZqL+BtjdZCMjgeADPDTlw/tjuzR9GQQUCii0YWCALTsyIXEL+rmNYZ2ZeKy+xRsqsMtMBp
YpIlEmjKoU4rAFvSlAtHJwhKG7dDRE1B6TzQe0Mj8pijltx2LxFjSfyuVbZgXxbOj4dG+9S/9qZ6
taoqcDg0MLgF04c4cqR1BlyCz+Cv54FFEHxQPAo6iz5Jk8Ry8QTVpvwZEjTyJk7TbGHXUdfV309A
/p2APljlWPqNnwtxzJeB2jpnxZ/Y1yBTndkZ8x2PgHqF9uMBk2kCKYejoO8KFAio2yDvT01wDG0/
Buz9nRNJQ3oYBZE5x3LNgBMt8iS9I3W2mTRHNZJDXdWD4hkEkabfamMGw8jvmFEpfjMSGfTBbZJN
lGe51cihojd10WybQLlEvA/hEx76IKMcgY3PzVMQ5cGZgR2kNgkEMqFkkdtMAyptBmQypjCgl79B
ThCieoMIPG5D4G9ATD8upKTmNjJ8Hoh8JKhEo3fydnNBGLzwgiTqnDZOX0HH/wTSNLl7aotDRS6P
55m+wH5WFUQdIv6TCHo1qQssVupuiEEb6AiuqQrrMHPXoHTUU6jB5t0fKMgZVZJAAq3TE5mBJnK8
5CyoOOs/H4AaKBhjwVv484FXMXGOLuBRhvSlUwiW2ysQ5PYhGYkcWWagNX9bjus02CSQWZGEL7Z5
zprUUgqIGQ9vaeidHs/G3BaXeFBhoDmCQ6mLiiAgei62AkSYHMb9VTRfgwq5ea2UNDk7QFf1sa05
DzKleNDvp4Crka7EDjJkCv206RwecgSjHEPUSdKg43OUvtqJndbTG34h4Jxf7CublGP2yp7PM77t
HOIyX0SxQ9eeZAs7b5PFlc2MgwG1Sivges1NR4MHovPxmOmEzN/FJphi7Gu0AdK5yDGH+CB0RDoH
hA5CuC6anRjvo+bI7rnaDHo9A81fmW85iGoKo5Hux6UC3+zdhI3+3y+YluVquzEdtMrUEF8wMNUK
ZTiDhcZbLq0DUFmkMtG5YdSU1rdCKLOJC07t/zH//zVOZyncnofuq4A1r2NrP4lgmio67t7M8fJc
rRZCp9m9DO8JFgesOEZMDdQtFaatYEtO3gt2VUfPkGtlhjNxXxbzBDPxCBDAYFQhkzWZfskE0NLh
A7bsnC793QV7yZd1aHKCfDSJdlDjyFzrT1b/y0zB370EagfQ5EwMjHdRRgZVmbrFZobg+qAA+WOJ
gg3FmbbRGVVrxZXS1OumXvm/H29iftY9XxmmXGZeqEqciR028bjm/DMEii8jxM9qgAOhOaP5EsRR
oLnLBi8Z423jdA0ZvbxWViqCoK4OdYgrrkPB8YtTwT7zbqMhYOcgCev2kIOEYIiwWuSGm3WyV59M
3aZQnan7JsNcSa0Rr5Wx0bxuVTPVQogwNzWgYAKrFRiFkPOXp++4Ol1+30FjmlS9E6p7EViStNFJ
BXXpF1e0kQ2IARP1cNqSp/izuqilw6SpSUYXMiFAcTL7rH+Wsj3LkU15kJpTP9odWfV1u+CGZo7G
xBcFjnKWAzUfS30lGBJ8Lmem2QCX4qZ3n0QCfanYGIRjAQXPx9tl3hjIP9B6gFuFnf79akrcYOyh
aCjiHEKZGzgb0mkcq0nRF5t0Wgo5xMfmZlYaY/vHHOXfJA4qS1kjdA4Q4jvXtsC399jAwnh+ItWr
8UDSEQIkBds5eVzpBSuZQ/oBFV5bhNJP3LXWY2szYeD1cH7c+ZW1AvKMQjVgOFsRkOLHP5tOb04e
5OaHUy5SyEkdQSwdV3D47LKVycuVHdfCOvVQChBqo6qPDCBt9VrBSXF7ltMKIdHk8li65YYP6n2E
nM3CN1EYov98kzylT4B1B/XA7XYRAaTw0MCEvclmJ1V284M/xCn0jmoeQrndEL23nPgbQbC8EcOq
TDUoYvkLYdCMg8ObBscDrfoS0P7U+WgFcNNBKBZLXDz5/BldQS5Q6J6HlMZ6YbjTFFNh/o0pKtQN
iz5TSyLhdBTysUhX9VvRAiIA6QCW2QRfpWiEe0i0IR5ZuB5nNxYi7J9XtISr63aeCXS8y5JjYLjJ
FI1Rp7xND7XrhfHNJGum5+F/zVARZQUR7nBQ3M5hh5USDFYLTT69z6Fw9u41NvRKGqhAQqBMi4fG
KNOPJXjuD1fc/QT/8wHUWtY5F5YxJHmdeN1brdNEWqBBJdeu9Pp0FC1i/ULBwtiHkA8yDi2EWvTe
hnCZJmWLnbSz20oQQHGhTE90uqrvuQNU/eQIiStgRKHcUYka5LKY0ojLtzC0odarVcK5eKsr4LtG
3R0PanOu9cZ9f7woNILj7xm7+hAqmVWA72hMggzpkyP0GN8w/9y5Sla1vB85O8m1NMaKnOVQb/G+
47vdGJ250qrBpBk1Rl1YowhZJ5+DCGZ6efxps9sF6T08hMDfijTG7a6swhCgkyDoHdJmb4FafA/1
1k8+HhuZXQcRCFBoLU9kI9SWUEg9iFyIdUh7jtGyFEQcLhsYUpmaUE3bqWG/cApmzxriQzCpyLhw
6bMGLvW2gwhj7xRdGm5INUYfgx+mC1DP2bm7skLNXa8SN5a5AnMHefidC13kbU58qGeLtfr8eAYF
Mue2ZNBOsmDPQpKCsqU0bFoGNaYQ8VRr1daw4W3eBpfwhbF8O3/DbrH6LyNcsxuosQ3HzPZ2r9F6
sNRfjeWtc7OxOBssen/8D4g3V80af7bmc2DFy+3KM8E52uX++VZquYnQE0HK4QFCHjr1g9ZzeD27
4ON9grKqphSQlT3X+/8lY3VjlvLsYK4hgVRjKzM5JKN/Ze5zS9ZKehQhwZ2ccg5e5vGizK7/1Tip
QCuLFCTilbh35DYYNlnfl2YGSbi1BDKipVt6mrM7rwoVFOhESNC6okteKAzViReUvZOZ3QZcbXZ6
4gzmS3qeVjf9k+0kK7Wr1eMBzp7bK6PUAFumB8CHpPCfTOduQ5dAbb3M0Elf+aIGgWqwEE9yMI+N
zr1ZsY7/DJUKKJMsrZTUx1D5LjP7lViDA7I/lqsus8p0L8Ym7yL7aTLJkteYX8//GqYflVyDSNMl
8NKsWB/R2Q9KUlNhugVnOJcQuB4fXRqDjrMYQ0agdxQV6fBTNAkPsJsA+Hv523tvU1+TuWfIrj6e
1h9UwN0OQioXtP4QLERX3a2nT1w+4hoPZgN25SVgKkBusQ5sSIYbcMZrsUeXims1LIKE1DNATmUI
3KlK39Xqo5DXzIfH/OH7rQBqb0lYerLMpWkmVYP/fhx1drmSadOI4CglrumFdtU81aGjCJCJXSem
3OhKBLiaGG3DRoFQKOSF/30C9MY+tdOZQE3BhYWlz1OA9c0k20WyWUOhVM6X0nCzJxkRARRFUE5B
9uJ2HRgCyQGhxK3hCm/8sJKad4mJNd/+n5b7HzNUuOlKXjqywvQwZixBeFVRMhCU5zo5ViJI2UND
RMjDa0GvGDH2mogNoQieliH+SOQVmx17JtfiYMtFLUj7uIUzvjQH1G0WMEKh8G3dOy0yFELk66lr
iUz21CDwfjwPNDzhb+h1Nd3Utu/dDGAZtsGtEGVWGOwi9VAU4XuunlR0cHr5dmTfyXhO2E1Yr9ym
MUKm2jDKrgCo7/GnzA1aQLLqR3wNlRX+duFBIl73YgYxI1Yu+g8haCc7AtC8ucTt2iQRl2Z52rT0
ib82SO20qlbRsVGIveMdKulE2FoDA2MTWEG2SfiltPrcXYESHOrv4FyDzhHltZWhJnyfuTjBH172
WflrFrrDTSHb3efjaZwzhFo0kj3QNgCLHLWgLiN2Cp93g9MXBWTe4MSY5pKX3WrMgqMiLHnrueex
DEQukjYQVIAK6+2qQVyuhk4mSohjJttRc+n6xEogj6w0G6Ju1ZzbkOCPmlbm41HO3UXXZqnp9Lia
RKIvD07AP8nVJijeosh6bGJue1yZoGvJo9gPWcpIg9NWb117LMve4HwriAVNiZwSVLGPzc2tG7Km
HKr10B0FC+vtRDKBWxAmYwan9pHGgQZ6D+awZqV0zcpHRe3fGoO4B8R/4P9QFJZpSS9PKfvQ99ne
EYbVUFot/0F+ZbwmRwv3xv2ZvrVDHzElCuPAgx1G3YBSfJTfcsjznh8P5v41c2uEcuV1G4vxEPKI
/QUecHjBhVx3NrAL22Hm4Q4zIl5LqJIgm0qnt9WIG9g2JHik9pzeK5+IfgAS6noTAu4eYIYjwHFv
0CRlhpdE3MrD94AMQu4zhojqeiGEK7/+8oPfAiAAwwbCyyseIjqZ4eGm6Rqwji5Ny/3+vf1eau6z
LghEuRvhcbLTMD7Vq8poJS2Djr13eLwAS5aoBUgA6Ki6ApZKee0r60gszMh7ZdVJ9J0FqmEBwTuD
QcHIcEEgHTYJ5yrUTYFBMX7UqxhZFO9J66+q3Czb5570WtE1zylrg723q1iti0YN4ItQYHXPQ6LF
tWt2DU12Lv0I0w8fmd9EXPP+QlXv3jehuxKYIDBTgDwcqoi3J7lrwffWV/yAOgikVqDvMEAlikHy
Igp/P574HxGi2yts8haggp84bkAhTLlBknFKNfUYOEKJKxoI197yMlMenlXxPEpmXhxbyYda6nPp
oRslgDDjU8481YDjBH9CcRv64VeifMv8k5C+S82bRHSm8aysXtggM27g+jNpzkyPy+HCXIF3WiHi
LU4aTbSwBBskXKMTOHaXusXoNnSEM7j/AASBThZKYMht3a5AiVspidC/6GwzDek0YI8l/fPzU9A/
T7vX19f39/fD4WNzQYpN+9OBduD7Xy8L7COPg95IbFLou93aB4G11KncKDr+DngETbJ7S7QqPdl7
dmDXW2K7Fjkn9riS1pyZHSWTteUQDEThpVk9/pQZnAqUQQWwyiMcwLuGJrENVE+RYjWWHBEFfM2q
C9NFl5nJvFerxcbD+1gAZU3cJ+Ae4hVQO01X3FVtgPNDGSrssuSwG/8d3AerWssPqQm96YW7klYG
+1ngqbGFyBx4cu/ScgNLQjI0quRk2hHSm1qnvx097bcAAP9p977xtU57eTyRPxiP26OGwYGmG1oV
U/xGa4DIjdzlOZ9JjrHdlyfnaP2y9uCrGiDxqn1aa6CwAam3NLiVc3VarVb6amOaNnr+S9142i7c
qzMPwtuvoQ6+P6Jszma55Mjg7wMZenUB4C1wwpWuF7t+EyObtFmCAC0ZpXmrsaM5dE1hCvDgfNF/
DZ9FbJJXshsPKWDaL3WkZc/e88K8T9fUg3mngY5sEOIJ7heYd2Nv/NoD735MDevoo1/rV6F9TpNu
JbpCQPhWHgzM+3Oo6R+8lh1XT+Kp0VYLG4HuG/u798CaDN+CkJej4Z5lGkve0FeS4+6b894qd3Fg
7V55SzXtsTN07vcTcJB/ho28BOOb1vR+Jv4xTHkVvx6QHuZheOQMXs/26jPEvYoI73+rJm+Pp30m
y4QNJk0C1ZOsL0s/I3q1KbKArXHCEm3cteqlGzVXOvXe3n2VAz08+9toWJja+xAYEFpIbqK/QcT/
P8XsK/8h9yHTBb2nODlWVDQvub2khz63hW9MTKHMlYk0UPu0c13ZYW0BlBWBGVqByeit9vqKatpK
WGToWLRInVQAERoSe4zsoHsCHFHeijmU2+jCnXkjs7BBQZO01BH7U5WgdoqgipNsIYskCqA9t6OU
uGLgvbjCKHUAL7a+rpqF/jn1tTM6tAy1xMqsVDsXdrEp7GoPNIQ1zUFiQ9HROsdGAPKCXjuJdqmF
Zvjka2AP0aavh9SxlqP/PtYY/RUwP73biut4z6xr3bNc3V8XZqc9M9ZSf83szrgaELX1paRMAkYu
ZcfILe/pkh2XqIJ+CgTUlAG5DTkSpJBxuOk+Pxll+jppZdmpwVRKtu6JOedQusSMmeMq+uUb4wp0
djb3Ckk9TdmCIGPra7Vd25B3PrlnHvPA2s3KPXTL9+qMC0StBq8XYBAByPspm19t2lBpg1SJA8Uh
aGhqzF/lGortO97UPCcG5crr46M/kwkFNuLKHHVGYA5KdWmoOA147CpA2C0ZtLeIpE20TwVWaPsm
Ymrw2T22S3MJTo71xi51Ujy38oWSYJiSrWzqdXYItF5rtdJ8LUD60B6W+ixn/OkPKhltMiKPBAZV
2R/LQAFHca84rh0aZFVvsbAgwC8WQrAlM1QwSpSCQ9YUZhAGrvq196TaIVqn5PeF6Zs5IzfDoZ4d
MQhY5aLrFOctXYP0z4qegBw9e3tpN9qNkUJJR8uQ1HznlgxPP5g+OgTqckDxgfUIy0h5G4TyWSwO
ilPvio30IYHHujQF8FgPz9GXuACFmDYfbUxAFIZCKbCxUEC6NcaGbsF1ra86pDAhBwsPhSKaBxj9
km7lXOSM7PM/lqj59Grig+c/VB3VB9uf6AP/uauIETXPktmBZ3AhpJtc2P3AwGOJRcS9SytbVGjx
qMckVZ10Fz5Lz7wx/k8z918DdLW/zgZucCcD0p5ZAUF99nYsaGkWduHMG0AU8NBAezn4vyU6fQ9Q
iiq3UqE6wp79KDb8d/knPKcmf+YX3pSz64MoAYChSTQJSazbndAkrgC2tU51SnAxn8MvGQyQFoqZ
na+NH/LC5M06p2trVI6jjqQ2EN1GRXpugouhmSR78p5AE7WVD2ykl79IqPGJtvTCnzvU12apmzxs
GMWFThY24bE+hs/CN/e7YbXHazbnoK5tUJermuUyF0StioDWb7XuQzwox/JPZtVLPF5zW1ycemTw
GkWDDg074AIX8pRJ6jpGBCbcU3dZ86fB0EW92nHmJjjGl8cDm0kUQeYLoDJofEFKEW/x2y0Ss23K
KDUMshtZK2wfT1Jx2+D+9FEV9k1f460EGACiJ0coQWy7T8Z6/AVzD9WbL6DmNq1rrx9yfEFpoPHp
SZNN3yKflS2tXw+8kRjqe3wJ7eJf+xLgIKbi2cQqJkMU6Xbcg1Im3CiLriOzo+VCVKDkNuMfpu4W
hne/oMCjgY4fcmHg/0XN5tZOKRVV1eQV47BqvkEc+lWMnrxK0qQ1wU/CLgQI00+78ZAQaoQctoBk
F5gfwB12a20gkRSwecQ7MQMnHHVlamSuWJo8aYj+eN2EuzOBNLwER0bw0EcUTRejeB/wmGEkosOM
B67YsPlWCde5qsno2HKZV9f9DoKVGu5ZwEy857E/iRDz5S+I0nSZ2P036300K9l9zmN9vHCoYOPv
3+VHlq1U5bkrdRa9Qd526AOtcS0XfLWVUQPkL4VaWZlxojWvUazVrSkVCMxBrZxf+mhLvAWEzt1l
ilHiCkVcCWFTHMlpFq4CS6Ep6ySdXpSpr7hmUQ2tUchII4Z5w5hxEBYrn889swBp28LOmbMMbSUA
cBUk1O8Qv4LYE9FlSsmReoaz+T5yNfSY5+uqxyQHoprYchWlT6I6LBX655Z26uRBYhbJY6RPqXuj
Y8rCC5EVA/wGOAnQL7iuxkYbMb2giTnfJ77VgNIs0qVwP3qbUDlCLlwHxzLb6Sy38hl99DXxUx22
42hVpeZJJ64BGjP/xXurSDFJG2iVxWQv8Z+g2Ce1i15Hu4nfPfBLiGDV0JUt/5ZuROGJVUYrCDW3
s0plB1WhBbd+H8f/7GBuypRPXUt0J5EkBCJCCqTjQpY/4f1UAnscE6Mpcm+VVzW4mNqYN6KStOtC
rJ7qWGINsEk/e1LSGDznKrqoQswrSf8k0wgFb1IlJBCN0niSEK0AH7jWpnK/fnz27gEgE9ZOBTIN
3bsYAh1PEp/vpNFT4guplHit8lxy4Blp7cdQuw8AYG97sAwTt7fUHGcNOfjcEpOwWpi++/gCTb2i
LE+PwSmTTDu3NgNQPixH18nDJNNqLnsCD8JWKDstQ2NBgZWMpPrkyy8Bt+B97pMvMK3g5S4ABivB
vdLn0pVIwZasd0kyG4J0ZNVxVsvaXW0El67eAI4pur+FxW6kaeffOliYxZi5SQhUAbf5rTuQooyw
UZV6l7BRFZNlUC7qXNY1h6z17SrgEohzVtVq9F1hw/tMa6GvBBLPY24oxEe3WlfUS+HkFGRTn4R3
rwrCC0gWIptOHVahrVNwu1fepYwEZNrCSpfYSNTRlilaJckGqwGk0IjqQrFVjwX3aFilVh2E4VoZ
+CWEwn2SAKqJKvYk7h4ZsS2d+vNCNsgbwH8u3LPi60m0H/6wFaTmdTRehnhnCUbXmWlgEogKCGYF
vaxGz4RCY5NjDAHLHY8+6XyVhCakFUJUx76H1hbDTSaaMrcViaGqL/LFE3SZWZrHKTyl53Eio5XR
vQkNDnpHJaLYelnSYUe9uJDkhpbRiuySp0Y+FAKYW+u3rPs9bMPRTqRx4SD9ZGjvbOP1iQoV/lTp
KGwgHd96Y+5deOUA5+Ea3nlgAI3T/HzTKDrfriLhVIsWC2EEo/yIIXPSvQjm0BtiuIUuhInGfXIS
nUQxOtD+MaYqLXNh31/4WNqrj6QCNaEpwMdQZN6lh185MpXdE5OARBPMIFpQHzlT2Cav4xvxVvIT
A69fGpzOigvL9FMYoqZq0jSf8lCYKOA3bk8gQQdl14iKd6k6aHI+DcVLWpi9Z7uZLrm/a2bX5nbR
vKdjqBFh5w9fJWtInC0DF9SLGpfayDG0ZhfuCjxH2NyMW0Ng7HFAa8Ihjs3QPWWRLpQmE60aFXLK
pvhEvlEhdZ/Vcx2uywpdU0juMr8F6clHq/7E1L0Z63dZ1XoPmufr4DkaIOCZbmpxCcP5oz/6aPDU
015gklZIAsG7SPtKsgYGDb39OfD2aqtHmyB8LQotXSXRK1qacGmjif09PYXZKhKN0d95tSWJr3xv
DN+St/aYswBkeLaRB6OBx1aro+TGGgFrDTZT2l/Qrj1M3SN60J1kcC4JmvzLFdZye4mjdZEegTL0
4e6GnSRbwrhP820MXGmgtczaU/QchePsJS2NXDaLflvagfyUv6FJ5fFNOHODo9AkAaCPEA25FZGO
eOWq9lhG8i51ZEkFVG+1wluHmgqFlsyKNT6wlVof9lmNdjUT7W/gRkY/10ZSdGnYC9XC58xdSzef
Q90PcapmXle53mXYJwLaY60qMjoU0X1Wy/yXetAFwRTYyFD4JdqJmdN5Y5m6EJuY78dEYLwLBKqT
BCoxJfj3K1kTJasCSV+aaOjMXhrujM+con84ew5YBZlOmKANmghl6fmXmj0wuHnCsd/7HrQlc+Ap
Uq0nEIyuBg2iaxsOQXOr4Dj6w1pVFglc7t5ZiNLB5jPlOqb8Gt2anIQ5XwgN8S+Queo0HlWMg9jw
vV20UAjvoOu2q+RYcTKuO3k1W28hutsbWTL0muRz/FsmNao+sHFk8AWXfUM/fgnqfQ8jxBeKyPiw
eA1CTpwWnUE/EoiUINd3aVyyKoPQUOVSB5S9ku28svymNStmnYat4WfnkHmJy51aWpEMuPLn4zNz
X29BsZsQqMGgmwLwLYly5BJU6gcpyaKLZEeANHGvsjXs4awiQefdNS+ukDF8j47iOlzKNkzbn/Jf
4FyCcdywBHVBKlZpgcXgK9WPL1JxSFWr9LaytMqik+xeiPQVyvsEsm5ot2APtWRWSmWkLvuW806P
zno/hdwgyQA0fetYIKtjV1fyYANTqcbUOhG/fQWcKv7CA/AuvTRN1tUnT0fg6gHICbHAIO6KLryU
kEsPN2SFXVUBxRPzZlKGqS5A1Wf9eIlmdjPqfIhERIAECILcW6NMCoxvwJbxpQQkYlctkcDMLcP1
j6eukYDvSuDU8eO54SAPL923TDb5oVX0pcT+T03odsGRhUC/DsBIyH0jx3Q7EEhZuBnxo/gyxOPG
C/fCsOFKee82u+JSjILZZe/5sGp1xBYGI7jO42mceaDg7Tz1bUlQJwTVF5V9SXhGaFzf9S8lZ5S8
FnZaNKDj02rjfVqGWlLa7FIz6/1+uTVJHa54UBiXa1X/Mvq5HvGNFhMODVjv4yj+ZpBkejzC+4QP
IO/wK8JEqgOJI+pA9UnWozotBxfidxCXacZKYzMQtXZypD+2dF/UR6oMvhXIPtDiI1VIzWVWVF7P
yWF4ydLtID157Qh6HPSa8b+R0RE/2taMU7OwuFDrdpJyVGtr3IPHRmsqLeW30VIF9z5viO8h4Iid
3D0ncyr1PXKdhyHPxOGlZvbdRMPA6wlzFp9cixm1PF0nRwUlyUGrTuSiSqeyX3k50ny9JqcLU3Pf
lDt9ioD0AeCiWAz6OZ6zfVJm4JS6lMJ3njtt+VQxJ5KI+uCbXqBJLpr6w4vYGwS1YmHjqojOohXf
8BqfmY+XaW77TQ4D+EvUfnDZ3B64KCv6jmM7wKQIQTikNqldkhDaIqjUrEK5AImngPn590ZBYjRp
jgNsSFTKqBhVPpf4QXSJfUVZCW3FrrvmnavbLVBII554obpgcSYD8sOfgJUHV+rEFXE7zqFwg8od
MKuj8CUM60HmtDHBe0OotOS5RzBeBSbXmMoSLHjuwIngt0ELPgTBkWu9tct3TR7iER5eZKkd9xyY
QKIEvS51OS74rvvQCgljEDVxSLDw+JsaIGk6dpAVP0KCw9dYEsB5LVwyc875xgQVO7vwzejyD6OL
X3Eap0RaMyJu/yaALryw6ftAJl6/CtzSvdYvlKbmtun16Kg4WfKIinCoiC5KLsoHOe0ZPYw5QJJy
Gc9dOVNAz5Qk9r/fpjJe+OhdkoB4pCOw0fe5kVWr6FIPIRpmHZcUhg9CwbDPcR6TpS16f8tiBdGi
g8IvcEK4yW+3ipu1kT9mGCPaVTkr6xReq9O+2IzceGaCkgEflQwJKcSqK64BfWIWolVX8JvAqJkS
VAjKmJoRMPZWU0nfcjgQUEAxwTYZ+cWW9unCp65plAiRtOHAgohnFBXk1CDGyJORw3Ik2waKPwpa
9TSFHKoMXc0btKaylR0t8tpMboG2iikiLK8ieYh02u0EsZk4EGEQo4uaVIY3VCu1eGZGPUkd5LpJ
aTV4offKtmIN9Pyy3lIUNB3VO/PT9YlQC6QaNNtMzbp8PvJ5fGGzNtgzmYIWaiWOT6HgXyI3YI/p
mI22qLiJPuTd+7/ei8hfoO4GhCZEIX9i9KuwUiRelPd5HV+aIEK37ZaIRleYQgpKll+PLd23jmML
XpuiPAnTp6obkSq+THS//vpNjq3aNV+bt0AHgYAZW2jC/D/SvmvHcWSJ8osI0JvXpJMpUSqjqup+
IbpM03ub/Po9rF3ckVKEuHcuBoPBQEAF00VGRpw4Z1cmpgYy/uwYJ4RugqO6Wo2ezTDTDZwxnJmE
AyijPHW92r2fSVMSpdkZ6enGKkQBzFwJyKv/+wvwygzjoCu9SLN4SLJzNsXoUt6BkykU92CPGddy
nQvvKGCY/xkRG9yKVRDynQ5T0rPoTgXR3vRfSkB0i9PAfY4UWOSMA0Ht63llRcWlqUTUg0ZuEHiK
P0mRi80TSlzc11GZnWdBRSTc/9Bzc4id7xi6YU5s6QCXDFZzUvcBch973B9rwdfC5QSw9D8fMH/g
xQcoVI2AIcyzc83nBqGqkdpBQnPn/jgXsimY4AszTFwRyAWQ+2WRnUtL9U8d1BlJKdp6Ds5IhxM3
zYtY79R8s2J14W66sso4Q1VvakU2MDjt+FV/ZgS1qcSS30cTmeBtbUo706Yfj/eNLtwVsAmdX1C4
4cH3g624mFA+EANwGLTZmUvwogSF6Acujdz1uz4xoz7i3G4QR1POizVA6U+gxB5L7GJgIXngIPHS
vV5KVHACFIq69JyCxe4Yt2MJJbQ0kDuTV5MKTJx8i2Ti0NFENLs+louXOQ/3GvAJhcJYWtTKQ1kU
bWFGNMlewyDuvxLOaPqvPhzBXEbqAOJZgZKWUDntOw5MHYZeh+gqqUDEapTodjBjKRxjM84FNXcC
ZQLJSFQ3pWqGRqF8jXIaSs6YFHKBfKOh2EI6hh/SGAWR1Y1xnRz6Jh1zs8hVXBey0uaDdX9tFs/5
zBCGKxy3IypO11MkFpA/qsoqPSPN0HK9pTdECMCd4D9qhjk8KKhm6yboo9NwMNH8i7bX+x8gLtxU
0uUHMO91gInyOAUnypnGm04BD7LbRSrJkl0TEEkyE9C2foLicXSgKlGibuKEDVH2XOeULsS1uPfw
FXOdtk9tgHnHrGfPFYT35JV5WvxM4KDBMargFXBDGzWgK5aW8ZSCWuw7+sNv4gculMFsWztRZ/WD
o9akh+KjpplV0Jm18s75XgaYdm8adWqOiNyTre/bqGFiU9TJth+3NSSCc1JphI9fViZ16ZhDcx2x
hwwoJ55t16vaIXvOTaOQngu6qdR9VyUkCR0kDyU0OsfSdzdEdovEfx8LpE/eaU4SfxeJIz6OqKhu
VltdejXA3Q/JPf2Nxk8U2IfMqiuODGsV+SX3gAcWXvl47M/vuutv5cI6GmhspGeU/Hsr6NTSqjLq
EwNTbqPWqpIUyhSbuubWqLMW3jszjBAglrlbx/gJLi4cU1oXfpWoMmZJ5YNNM0qQYJLo5ClZVa7c
3EsBAqqSGorJmg5CMyZeLrUqUOopgreXBBmk0B21Y6N4RQ1oxyfVWi1l8XJBxCsC7of8EJhrmDlF
8Bl1IHk58xl6oATDiTvSgjOrfVGpg2JB9JZMFg3X7rTZWbD+9tIsc3X6ehj5cdVl50olanXSlEPH
73UHB5RL9uXo0tpd2ehL0QIYcJF2RogPhDhzn41K1QhhOGVn2iNBAdgR8ZsPEUj2hnTiGyol+ilE
qBTbHNRooDXrzEymQPwbIISe/gp058srn7TkzwCmAVesBlyN9lPmuthUfCVwUcdxCJxCAxpvFDgG
oVWeRa5RDhJvhHuhqAKT57LI7MCZvPL2XModSHBRBl5lqJuDSOt65RPND0EMnuRnrqmIGr9rFKU/
qA9qO0ly87F10+Cx1hs7atcc+TzVN4uP1IwMYUD4RzYGloUMEKMelgeFjNVjw+eWMQFBENtJn5k1
X5iN+ta3D2j0J0HmKGoD14iHYmmjB38SUOULndQA6Zg3Rq96avG+CYq++/tl4RjK2C5zKgdPM2Qf
rmeHo60SC5mQn1sf6pbSNmh6EGYcjDXwzS1eVAa8Cc9xUO6DgB0IkmtDVdWpeglhpHP6UD9zW3D8
mwHg7E9PwtNnTcQ1oselhOGVPeYcDFPet3UIewU5hI78d+7oePqevFPyoJK3Eiqb5yb+/7i9F078
lV3moslzodGnWMzP/SceCYm8z8M/ueYqRQk+jciVa534ygEEXvz43HB7H59TWmlij+gr6vZFaRfp
Csx04fxdfdG8BS7OHwcNBx9v0vyMCvrcQlBaPZ9h149ECL+bcZVJZNEecGw8yCvR8clSD1GaRlpT
wh4d0Vu5QSaWbAs3fB6x5oDdmzwxy8PcQmP3lWluBmJ9ZXu/WWtQ/IFRMMdvjk3+8x1MrJv16EcO
DeyAPThKiEEkVIsJuF6x7767X25jPeTAu5Zkd34ePh4f13KzS3niK/vMNd7kvVQJ1TzvBFhXEBTW
D3jSFLE77gpoH5MQL8bIegw+7p/opTLIpV2WliiiHSgoIoy7M6lC0IGPF7iZ+nY4uZa0vW9sdg93
5pjtPgDNf5TqIcaoa/seFLFxe/Lp6xh8r6JmlvKXV8OaL76LbZzpiVxQCcOSjhl6b5CmQdtwv28G
vHtJLXvx7wH4xYO/lu5e9lz/7CO26qIEAYKKECeaCpuigjCXyR/4V37aJd+A7UyJxYGTpbCrZ1Fd
SeYsOucLy4wPw/YZhnTC7PLSoyoAZxc742iKq8Hxos+a89xggAWqgqXaqAeVk9UAgE+F28+ASMXJ
BHRCgEZ+yxU10ebCT+LUf8Q3XsFLUXeM2EPyMkMF0ahXyAKW7mus8z8fw7irvBPScBSwznF56CF6
hHcNZ0K6AD3ykART9pnFrSXNlnfxPyaZS3B+EYN5BvMsKQ9C7LSz0M07QMfCKs/IQmh/NTjGJ4ni
VMdGjr3k5BZ6HqGOcjQnf3P/UC4V78BhCVT4XLwDzoyZwoGfJV9KOT+/OhDFOoZWc4hG0mbE3M1u
BxQnm2HzbILnd604toDQwTV/YZqZSoPToOyhzU7XcrpvlOTQUpo7M2P5Nt/kk2n+TQ/Fx1DagZM0
pnV/4MuX/oV1ZnrVbhiSvMXA68/GLiMSKrhUX0zplbd20F2onceBPCILb61xmS87CRTwARJFaueG
zDySuDCLBjxnUukT1NqjVFhqhUtuQhv8k66/NiBdbFN0TW3hpeoU9KrxysG55WNBhKWh0QjwKBHV
dxYrp8npQHO+zs5jT2LdBRKnbQ6BDWAXjq9Jv7PEobHFJ+4kbw03OYAluDJzV3ZUfZs/CN9TZiPL
1u7jaJOvdakteTJQEyDpBHeGigOzLYY46MUh4bOzIbRoIS2Qv6hoDtNxCRqQdo1UduEdK0OVAyda
Bk0bKIKv7wpaC3IF+mKkhUe6mbI0JwAuPaKD3b2/4ZhQByAkVFBkYBMV5AhRlGav+Liq5S5OpINR
WSgo8LKVKyT6oi/xeVyNoJmyzf81hiZwlA8gVgp9gOtBFRHQ311eSofub/CUbXo0Tkve+Jq8JI68
Rqq4OLD/2ELT37Wtoe8mZTByqEYBRYn38ouK8uBL8FVY+kq4Mq/8RQTBjAol/mtLXICmCG2AJR3w
+t5pPse/ZUVS0bm/Umxa78YOEz4ALa2KyWwHxaVD9Bu5M/SWlMDJmcmJbupz86FtB42o5/t21yaS
efY0Ne/rE7oDDnjxxREgE9J3Nlmtvq3CBy7eV8Xb/2aPCRlC3PGln2KYuLf9GpBXR6tJcoqf6h13
+t9MMS8dPjLSaoyxH7nn5CmB6L2fk+KFAvto/2+GmNPscz0vBG3xMyb9VXjzORIhgfIIfmNhrUzJ
XNDYJqAoNaCii4o/EA4syVk4TEk6g1AOY6ubccIj1VbaYnlMo4pw1VcUVGsbc94B1wcAOGtwPSPj
hjwFeg2uD0BSxaUu9IV/UEIARerWrnz4Y0EjA+iykOYGgmWX1D3hUKsT6lMXcBblkEC6P8eMx5zH
ffUVzPEAHVMXgHPaP2jiN03cIj+Ciu9/M8EcBU7Ukp4DkO/QyaITo5Fl2A0oPPwLIzPPENYPACnW
86ORg6JdrvcPDRJefXlqq4dujfzz9kz/VM5nXQa8m4HvvF4xWaGckE5T6OnoknoXjqVk8/FXYxzT
XCVNvcLuNZ/Y6/1xbY3ZH7SoJ5QGhdALpMAwuyxHh1YjrzII3W58qBDPeQLIxmNILLg3HEKgarUo
9toJaKriGb3kwFwWKaEVteLyNasDgGcTGxksKB4NUkVCrSRRkh7jvrRjtbd9usZyMR/s66FffxMz
9EosuTYZgtiLZWNX5c/SYGyD9LEHcdf9XcM+LrH9dR5gYrQXIWuKrgzGxaQdWkflIYk9PWrR8vdW
QpwMhdRjEFrGI09CT0Ti5NtYC4t+GIKYEYKwCclaESyfgI4wI5SmqGn5oku9zqYuNTObaE+5FTuB
G9jga7YblHdHsya1ixjOQsbAVZ3Eap2z8KWvJErZ2uA8B1ffwriACaJDoLroUy/FOzo8IXsV4cWl
Sj3JOzzuP4QkN/MvSXFjHUIPUKZGSZBLN01jitx7C9L+31Fm6d2e4+yhIkr8lubPWWjNUkkBQk0r
ro7IR6S/pXqboOuPfzPStbf67VnRkehFe6rEgzbnRpsinhIqVrWaelVafOlCgcBofL6/VW4d5bUJ
ZsXCEunNNtVSL+Bx3fXbUbVovYLzXNqOV+NglkLW+kAFXU3q8a7y2blTi4qYPeYb6TDZhgKFOCKW
Nl0L+taGxjhoNGoqVKSwqnBWwu+BqRNXW+rm6WE2PPLNaLrCWwVQHNZ38kMQKH7TFB66Tp1GOwn1
swyW2SFKII1npcrWiGsyNIkbdivvo9tAE+7twjKzcP4wdtKE0rWX6c+/paK2dSS8sX3xHru/Q9gE
3HyQriwxq9eAEC4vg67woFymCVaggz+ZRCgU6m57oOBjWAkhFkcGejkwkQPXdNPVX0pZFhttgZHJ
v7gWZVfo4InlrwpgjUhcC5AWfLKMEOk/xhhPyQMFjMbHEoMDb2QcH6Xuj1a49bBah59n6WanoFAL
3kKo16LfB79f5Pu0uJrqpMN6hUNlNsJWDXcI2jVUtbn4IPjPI1C+aJmbD+GKJ1xeQPTwg5gYqBdR
Z9IIxoQkVMFVhedP2xqEpXjV86Qu3LY5a/yp9h/GeCWWZpPF855RJCTLoTGIxzu6fZnRNkk56KFa
etGfyclPH5w5nGSJKDakWi1xb3YblIOttcj6pwTFTPKV2XlrXUwy30R6R2Ot9Gj3R/5GytwM0RbG
NehOeZiKjTrY/qcYu7J+GI40Mc7oGhjHXxr68NVgJcpnkWs3U8DMejsGrVyqUulxG96UwDWFLoxt
5I57w05SE7JkkQnNFRLaIOECnyEFNxdv6nbxJq+2Ot9GeNerMf9+MS0TLQPKl1iNeDs5lVdMBHLe
Zo7WBf7dOFQP8ebvJje5k26vZS4WwjDsAJTegQxS5oTJtWVw+6HFIs9LD0KDSN/jdUoDMxmdWIQO
djlX41e81aJBsB4gLYN4GRmsa4MDbYMQr/LSa5R3UO6Y/HCIwb8Qq4CDoqtvjVtlwX0oIKyYaZ1n
/SgWzFZpEwcgt1h6GQ29xM9dzq9IgbcxOrL+ezcMiV8gGZCUQ46GbfGdQK0iRHVUeb/RZmQlLpIz
5BwcxZXy2lIMd2mHjZwDVQLSOIad3klf2pfpvcJuiY+cXVn9XkYQh2AOJUjd8p3R/APp4+fQ1jcZ
9De6j+DZ2NbO/YEvBEH4HoAcZDAnod+LPdNqHsN5ZZVXl7FZFLE5rBVXlyzg4YNMNlykBOzf9Z4R
S0jlKFIOtdcoE/YjgOt2rHVr15q4cAOgcG7MYCgdrzmWtQ88PL1QV23llVvRrIjkJBvelm1lP5KH
wFQ3k50+leZ5ALPWOTXXZMyXB/mPdcYjFwZXlLnYwToggnaWl8JJDCO64vUW8lJgGLgYJLNasjJk
NWhHKk/c5S/cO9DhhONJbLmCKT/oMx9G8WuFDWdxZHMj0awtABQgs3x1Dj67BsQWXgKmgjrbG8m4
4lTYdPiPL1cuTMyh5oUDVQKl0qE+VHnGRtzFn7Qi/i8VQNWZ2Mjfqx+BlX3c3/WLN+ilSWa9pkaQ
o6LBqMKt8im9Y0JfY6v+yPfRlgIFt4ufdOg9GpbxsmJ4fu6zdyiI0TCTEElBqMKsYBTEURMaOP9K
DgB9YyJZ5Ft86xpuHhwEvBL0eE1ffSlCQcoZaGCwUwBZwlIIKHkT6kkTV97Mzijazin1arJblVmZ
P/1maDMGEuNDBynP3IMpBKw5iQ6VJ4GzOdmkDlhw8Br2QVAlmTHwCtIXup3J33gVbT2/Ne5Y/pmA
iw1UZzkFZRMsK8fRqrcjUZ7SvXyczD+G1e21lTW8efkAyAiKbEDu5ggM+T9mu5YFWJtyuEy0nhVm
rYXdRlVoatd4iVn3t8sPQ8fVyBhbzIUb+oIR50FSeRn42uOvb/o77M3W4to9NQAnl49NFpjlI/QE
M9CagOTsN/5LP+px15+DbUOdNBDXrsq18TPrPNRdIFQ6vkmV3sfAEkBbLzxz4a9qCk0efOnbPnFj
zQJlD0fdaTA1YeXOYqu+0JO7XAEk765XAF1mI3oJ8AXt8Nff+P7fjJp5dZwkQNsnR9Fei+lVqIwV
73uzv+esC+rdMvJMIiIgZt2lkm+jXu06Tx8yu1Qfe2EnomEwHcFvE3zdX/ibOZ7VbWfaFjgJaJ2x
7EORJnVVpaq1V2Xpe5kETo4exqbrXu+bmd3c1faCmbk5HwBSDY/Bn/vm4uDkozIo6QQzDQ3sQnqO
lNIdisNAi5VNszSeS0OMv00aTG3WwdCgiC9xUZp6ZgBmXKxM28J4cD/OyTFgeZCjZp7tmtyUSlZH
GE/plWNI9PCslU5hrAHhFrYCNgLiDAS5SB+zXlyI5CSWB1p79FVOiWzWp0q2O8O5vzoLk3ZlhTn8
pTr0eiFPtafxOUCYp8iekDO+b+P2LIF4AEEvGI/RiY0k2BxXXWyBNk5LCfqJjSeoHMgw+koCHahQ
9+iPLa0iVlQzafzELPukMg0xqMjYcIndt0m2MtqlOUXrP+ol0MMBmQzjVvisr4dSkSqP13qSQvya
jz4TOTd9LbJk0MTfH/etZ8W4cVmhCI4iPDj3ma0S5/EgpnpQe1P5awo+i0q0jNCSRBTazOlBGooN
V57SIjyPJWQOhzZw28yighfyG0XsTdQiVK1DUyJJ+6MxatXa990ECj/fh/Qk+gNRZGK3clInfc4P
euV1tbFp89xUP0O0X0rSb2EHOo3kpdRIKG04fpcmkaNL23I8NKHmgoqOygc0CYbp6/0pk2+dhQJW
P1GQAcVGPy+zU7puStpR1xDj0uqtMiKzBWDxvomFHa9BBWmulUhg8GFL5OgcCMEwXrVeKUyWGO3G
QCWJuuIkFjYaaIJQv5clqAHfHN6oa7RqSprWK5KdMP2tDMOKwSclhhNYftOV7OyCR7oyxpzhtAjQ
uqLWrafU6F7tjmH52Zff0Rr4a/4zjCPHmuBamnWO0e7P3IiosIx9HRadp7YfnJQQ3ajRiCKCVfEg
8mcFpZj7C3X73MJjAPz2yOyhBwCkS8xplYagBNXX0Hlg1pDaGPWHILOU5r1tQTdleM0WoNVIs+ln
8cLvk23xYvRnA0REju6p+2aNOPd236BrEKQhEBSQBB1tJtdOLM1SyqVy1HlZfmrVbz17iLVi5UQu
2UB6EdjsH1w6S2oZykXKZVLeeXWMYkdwzAvkmfr/Nu+MIcz5DiwiynRInV4PpMx5tYm7svMmp8X7
ICeBbM/ijWvP5dv9cm1nHuyF1xd0QWnkFnZ0iuwZb+uxG2duD+hVvXKkb73GbAlnGs9WwFB+NtKF
JcgEySWKRZ3XSWpotsJ4FPNizZsvDAepbHDWAJSIRxXLstBUQTCJgtJ7ELdITKSaibyS5p338/UB
A0PJhQXW+amVEYfggfMAcXEqEz1tW915XMuXs5JEyGDLaDqeOazRfIRriTlWkWYUNXqbezQdZIfh
RR0QwbdbA9grsANl4ePUle+glNjSxt+lk019yInLTqPKZifZwUtY2gP4AICay02pei4iSLdOqWMU
oPx6uu8BFtYVX6ohQEXfG8JhxuPotBPwOKlALK+DnKhN+8juG/p93wjLjPT/5uMfK8wtXUI3ri5p
03vZdOigUC2bKRpSJvlPeJIh0aocgyGviFGcRj5/Lf+qoRNPdiCmm/vfsTBY4NNx7ueCN9qymc/o
C9Uv9byhXiyqIBDriLIyUBYKOQ8UFuBTEVHyAKIxC9/n0sCXWU+RkMjhQd+Tp/ilex0f2hNoflzV
Sklwik6gLQknu9mK5GtNf2jBvUHCAcEseu6hQcS6N2iCDQkH3S0PFJZEzUJTKPZp01r3J/L2OsQw
Vbw6QD2Dq5dlpFTTIium0aeekI8bNUbNYkBvef4mriXkbosVmFCQwIBDAAhT5B3nJb3wO0Obq3zb
1JNHzckat9K+fAa8cTuag5XbdE9JdArMv7G71oG9NI+XduffL+xGWdTlPFdN3rt1WnlELcTq12Oa
Z/fib8ti3Ipxjb9tENn96PctSYliPibOmrDpQnR8bYl569Ja49ASDEvU/Mgg8FAc9K0MUO7kNu+N
9afZUJdzVA9ZaahH1ZZvr2nNLBwIhOWgu0S1AcQxcDDXY530ScuroRC9kQ6Jmc/Ul9wbKESJ/A2N
2awzUbw0NR8CZE+F+Fo3TlFDtSEfjhG6QzQkKUt12vTFw0RtUV8JBW6vG2CweLgDVCfwzPxZp4t1
qIHeVcVAkL2JSyezmATZmkQ13KRjCcUNOVMdTuVB9BhLqnv//CxbRoys4eGOZk9mXTS9QIYWyUuv
BsZkAPYi1zM0B7nBtmjeI32NS/fW7wHgMou6AOuD2J/1SqB6irkpjmUvqtWDwpVOy0UrEc9CJDmT
wSKdhoAc2W2JGZJAtQw1RUP22tAuTyAX0drtpBPdzb5TL3soQV8899UOD3VmSbLTgvpUOAlohhHM
fjWTeOufrj+G2XWxj+b+xNdljz7ylYneX7Sboo0uiMxo3DYQFHWy6mV6HYF0atHyYHTb++t7m5gG
GxlgVahC8RoPIVrGbRV6NVBQdshgluUA+DQl4THa+1p+LkG4rXa7NDyI3S7Rd4pAtEk39dSJlY+4
e1pTwr2tVP18Ca5eESqA+g3xLKdUWqVOseKhgTy1JHSktU9JcOTM6KREx0yxO87NqkO1F3fhDh01
j+qx3qVP0zdkG0UivgnaBtArYyOB8RNnZOUiuY3HfhpWUQQHRb8Erchr95DUjViA5UvxaPvZQUa7
NR4z6e9fuf/psi7Kt5V1WToJyJP8xx5zP3MynJGawd7Yu9puePCMnU/Of7znr5WB/ajHXkeaGJmq
YEi4IlEmYGKNIEsHMU8SxZOOQ0pAKNCexskJniI7UeY++dSF9vEwPgHfB+2OYF+9GoIjHvpf02+t
P6D1RbZFEKxpj4q6ybnRLIMJ3GucG8n1ihu8vequv5SJidukbntNzRSAZHo0LA9kmsDMflqZ+Xm8
N/OB2hMKGHATECu5XmkxFMZAawbF86mZ1GjmkvGKeIpEtMmGNZmVx+WWGBAwXouI2DZwxGQYH2Jc
HYxQMirsjGVDaQqacb3iRdUnOBN8KxesHDqwGZHopo2OFKDwjn+aopUhL87rhV3GByjUFzqlaRV4
vtc6esmx4uW/WruZHwbDm4NOJnyv24GjSTEpXhe13qQlm15vXUkZV15/s/O+WbwLM8xmRrEwVKF6
qHhKqrjKkKqmRsvPGknZ1OgzO0q7ciVIWrgh54sKOXOsHQhTmPhLyCo/BUZI8dLyV1LvoxY8u8pT
jXtl4KINiEfs+/tzaYRQrBWRR0Q+RFCYmKxQE02aAlXxhhGNI8GbIg5u7D/nBUil62xlcEteaAbc
IgWH4BmiUddnIYvqMUIjCzRmkAGHaLKh2UWeaysuaCH6A6h1lhHADQSRB1ZKMOw4pctBKe+paYQI
A/pNyVOWvsogCOFlW8VGGW2DJ6M99HauTSg4JblTGdsW0paRY0i/wL1CWh6CDRkUfFe21GLAoKJB
fkavzd00zCQoXTR1IognPDCf7MBdT/wMbX5YXzRohCp0uEM8DH3O9H0Qf09/UjSAdo0LBkBJegmM
Tam8GfLM2R2TvoP85FpqbOH0zqSbGgjeAI7GN16vUVyDbhTAT9XTgUGun2Jxm0YryYhFEwoqD8j2
zShkZo8P+ZipHNJHnjwdB5BIATEI5bL7+3phq0HB4R8bzCwbQVNzUSurXjkNn6PQfnLFmgz9LZwB
DlYFSwPqNeDQAT3M9VTVdGqlAco3nkBrokim2JChbja+1ZXkj28BRN4pT9Fp4HSL8mcw2twf4uLR
vTDPDHGUkdqEY0AYP2YVaUM62FBtqawmiNDOqahAkRhUsu8bXZhXiHMgdYKcKW4zlmmQL1tt0Ciu
d19sGhepwNiSqZE6961o87ezjhfKMIhY8N4GdR/jeLUSrSvJICGqfsFbyLZl8mSYD08BcX4bxPl0
I3LgzS3+V/M4y7Tth92b/U3+PPw5P3d7k5KvkOw2z7b78Guzedxs3l/+Pj6/FsTaW4H3vt/55v5x
DVy2tByXn8wcnFIf+rahONft1JojaDTpftAqpxeOAoAt9+fnFnOCrXdpjLnb/SyYGp3KsiehGaGs
d4CGitpZzh3hg6scULGDgWSnP8Tl3tfXkBILx/fK9rxFLp6PqIFJTZxjbaT0l4w071Bb3Vp8zDZ4
/gQvlwNkzlbg82XZjprs7d8LMjpoFyA8MiEFEd10Cz0vItrgkQAjnWaeAiJCF+UBiQTNUqy1ZMJS
qA7KHmz6uWYgsac8Afe6lCa4kQP6uxg3/RzRBKSdjlGz5yFEAiLg+4u7dMRQPRJR1AOZClogr+e3
avWKA4u66lU+TxQ0m4UrrfY/rzD2dCGdDd8FtRe8jpjJBfYiB+AtVT1nu+XM7ctEvlVLJp+arZnf
vvV9iszKUok9N1A/b7Rt+v46S5nTp6+1lsGlc375JYwP0+koi1M/j1XZU8+XQCoY/QZkxFqZ0qU9
e2lnPrwXe7ZRg5DmGkacEbrLyPu7QT6OHw2YMuqH9w/nZatb3xnIMnzLME+fwzuEviCVi1Q8KAic
PxB7NRPncV/Y3f61M5WVr1v8ODTgzfzKPJpdmUmYqlDPoS2jer0vkY7uemlTZP3Krlqc6QsjzAxw
SluD2KFRvRG+QgcWVdBJFxGt+LMy1QueG9ol/xkM87JtNOTV2xaD6QJw13Vag5aaKqErkeTylGlz
CxN4fJDOul5PvtZzY+pH1ZMUEU+qh55uBGktnbIUi0MpDDUZRJNQ4mA8+pAVfRDmuepRHeDSV3Rv
lGcNZJs80jjFx/1pW1yeC1uMQxd5X5HrOFO9wNhPn3xslVVtCs3a82LJmaEl/ac4j9ubZb8Q+m6o
VQiqe2VJhljaNg0PKu/KGsdHhJ0jyq6G8XR/ZAv3ItYJiQBc4waQGszu1kvo2pSppHqGAjZYXQgr
u40Edyqh9IJ8mllN0YrFBQeKhvhZoH3mBQPy+npzGFTWsoCDU5Fq4U2IkQvrm5f7g1pYrisTTD5F
iwox5zv4EyGRiQQAtIwE0+Rk2RqV78JGB0k2wmQMCP+y8ON0ioI2EWCoqr6AoQmriNBxpetyzcb8
+4VznFpeC7QaNtoESqbHTtsI4wpwfHG+kPaVoW6ERWVx2oZK+7Sl2N5jClGLfqLg2kQyROaalCRo
eLm/OktbDm1xeMaAh43HI+t6QGKQZ0UzDarHiUVo92EhEWECCzhEptFklkWh2xXhygH+Ua5gLtWr
hxOTkuhKP+yEDA+n0cnIQSMaeY3d19oa7JmLKSKVeQQZk2a7T6fTr5NuPREKHfYHiAlbJnRdyOYv
NBzIv5iIi8ccMxEZB/hlmsJNVkb70kYzmafe5VaFkpU8E0Aqpbxi8Ydb+mYaLh5ezD3TSnzdIZOP
lood3b02Nt7UZosZwWsa/ySkft/rZrd7l0jtILR7+S5Mbp6uBBOG5oUCxGXbJ2yKrYqGoJnHGaKa
ph8ScMRCDTzZxq8qbua33mwcwpONYj3+m0lTJSREQD8BMAq7V/tGpiMtNLyAlUB2xCBV3SAr3kuq
bsVOzI4qeqZWIoCl44Gc6czeAfwfxNKuNyyiz0QYtFTzFA16IlvE9UUcmyL0uu7vh6WTjrwSJHrm
vn6NLYhktKNDLUQaLme0MPA5mFvSHtX3odGHlY2wdAb/MYVi6fWQ0lypK0Xh8Mhv6udY7l/lUXzT
IqElakAVM+zG3rk/uJ+8Drv1UN4WZoTXT87z2mSQ6rAZZZr33lozkBonEOkcKzVjvB7Q7WWmYJHm
SO+0lm4P5rtoCwQp6Q2KAfe/ZHGaNZSD0BuJPmO2sSkHqe6YyrXmGdyOUx95/tvAjX7fxuL8ApYC
5XXQfAJsez1YTksUClk/MDeHoANHDezUgM24UxTklKXTFLv3zS0OSZ+BHRIkBJFxvTYHcMEkRn6r
eXIWEwX9aIX+p53O942Ii+cAFRuou0uAUbLMpRoNZQ6cbppX+5SEw35o0eC5EejfsT3xKTh2HUNH
cyR/qlRk6GS36kD2ts8nCLFsIu5p7BOCOgcI0aGi5A+HICyJn1pNd+LXoMe3XQngTAZEFyHbLBN2
w+UyjG3d1C3VPD/MABWXnLDdD3i+BFuxtRTBVNGeYTai8S/WAVy5KCfMGECFzR7Wg6SDtUPSPGGA
1qymtY8cl2euj0TeSmXzpzLBHqdLU/MOvAgLagiCNFwMU6C1BwPz6CgollOzIHiEo0UJKLKnfDta
M91gRY643EAgbAYPvT2hdzElp8D9DmzyEGEWSGiY4e7xsTONfxG7aIB9ANEJ7BHUhK8/Egn0XEnB
IOJFk/qCq/1FrbXK9EdxTYCaVbKcMxLIis6AITzSUHQQry2FU1qmNDPgo3FTpduE9JbgULshR5Sx
NoJ1jMh3Tz5T8lBsS6ITkESg6ivY8HUEA79/Un6i5pvFufga9jxWeRmWAb4mVSmB3KHxTosvbnCV
1vXzvZp5cdiYkopMlIH+nA9OAPy+gL70lha2PIhmP40OSJaIUAGWze0NaQvcslWqe4hVSDEEr/FI
TMy2TYgE2o9wl81q1cmx6ZyGg5QK3nSmqhPei1RUsCByMagQtgi2Sgna6DWO6KV4/nLm598vNiIH
+vhxGjV4hR7NhtH/Ie08dyPHli39RATozV+S6WQyJZXKqP4Q5Zreez79fKwZnJuiOEmcvmhT6Bag
4HaxY0esWAteoS2gwJrfoVRMvXp+qZB1fG+hjuOCM+4jUTo8NZNsJ+GrqcC83m5cUX+TRR+WDZE4
0sUyLk5bnCmKFn4YZCxbxbnJ7W9wMrkoGcLZqdjcStBiwN251x0204v34O/+/DLtX79UW7dLDlaz
c8Rfc/gz2uYObjfe17YbOVsFlJV3rwFqhauL8iHiZov3U1fKjaEEkXlW/B/i+COb+cv9H2X2w9IQ
8jDT3e29/JGMYz5ZV/YWV1lUDqWC5hWzb/4U/UdP2ZfJUa/7sxFwaxelLZZO2ttq4lr3YdQ71rD3
shPiZ7Y+PjdyDA/N4CTSThkVNuA9L07HIxeYfqpLN5HeRgnaQR8JLbsoX5Lui9l9QoVFm+JjjKLk
7bGs3WBz2QlcDR3uVHsX/shsk07Iu8aERAUcXCXv23T6pPIKaZJPkXKRvUfZ3/nRryb9R1NeUT4a
f02w92jcUtGbGI4Oij2SUtuVrHGVQccv/27eZt2njUlfvb/mBZ67TQCvLDGnQ9vnfqml5jk5mcOb
hx5SQFXspB67+H5Sz8NGUXgtYw3/+f/YW7pPI9atoMRe1zTOlKdfNeurOGunXzRYaq3nwuRKgcVh
Cnd6/Iwau6dtMaYsKRP/uvDrb1g6zQBGhblt4jx4FzFwvOyTIYOkg/VTQn75QJuKrD4TajmKsZ9S
J+iHnSH+EMPqpQqOReDZ0mZ78by3lw6BAjMcTlRrQEzPnunKtzViIFZhzN7v2ahnpSQBk/8qCkfX
7xL/WG5p+K1g8GZAALVenhnGnGx8b6+si0zI/cI8pxr9mzvtSQMkd/aHt9JpkKicICrJTxtnYl7a
j2P8j81lsZ4kd+Hpfs60A9WGa2gfOMNR2MEyZD+Z9ldET2x421yUiM90jLvpRsX1I8MM/uVqzMt0
wKiXdVDP9lGcamr9vivQRk07h347vT4EY+009QUBuzS7V2W3zrc6WGenfmv8i63fDn7UaD32S6u4
U4RvpuIY4klUaPQMgg0HtLqfCNHhgqQ8R3L//fqi8KSNpldxrJE4huYKpVw3IXSOjHtBf5JRzoP7
//b6rruSK5uL+zlRCqVSQBifFWWnHnojdQwml4o1EA1bb74WnyXvn9s2Zzf6YUopu5oUSaCPWGJb
TC0qFcHszXOoiW6TfROBDeXx620jq+tGqhShHpE3s7wY11i1kppXsPRHUeqE8tFDiNLwdo1aO4K/
0Wjz94n/YUScEXDaJMh4nr9fOF3oANbXOALa1N3oFJ1Eh5ZJe7J9G2ZiShOvFgFDAF0VRbDJFeyf
FKGO+sNT/tC7bzOYy7PT08Pn3v6dOBkxJywuFDHk/efft2dldYfx6CRDwsR8eNgHgi7XWY8j14Ls
bHrs4DG+R9+N59I+HofvcVXafvbtttG1kISK5yypNiO8l3GTKOUt5WiMmrViZyjadQ/pobXgiMsJ
nqTPt62t7q4ra4u1KJsqjkqNDa3jEgv5pyr/HnlW3jayFiqAkuJZARsbcOW/buvK9Y9WGmeyEOD6
hS8pWqKJ/rOrT23/6vvfkuaYNHYLAlEMuY0eo+ycSsdBM2ApyQGt/Iysx3FmNGjhyxqLXaUUXxu/
OVThoTAPRX+8/a2rR3zG88EzJpEYW0qk+tLUlIXQmWfJ3wXaLs8P6UtboVhM2ACcWXpBX+C2ybUV
v7a4uBiNVPWjKJhPeMj72p+ENz+D1N9r6Mv6VcX9t57b+X9nchGct17eRsmIyTGOd5NKLN68Dskl
p7PYT/qdKmgbh35rjIt9ljK8qe6G2eCdd5fW4UPs/S79FyPU3SzsNhZx7eBS++GJQxV7JsB872G0
VlbqiqzLOdVJWFT3knnsBVsHeQjprfmtFTZWcDUfR9f0zHw2N9r9DQmvNnhf9Rl1fLBlMmAN827g
peMfiydlD9uf/V3dIVFyN2fHJfsVLTCns19rZzJ4ru6yZGNp592y8K6IF8PrQEhOZ9JS+kPyuxHR
cHK6bOSd4f+Ui/rYGKadE2Lf3kQrl8Y7S4s1TYQigR8DS4n3vREre36/SGaL7AUZLWFjSVeHpaLW
Sscd9+ByhtEE98uoC4wzZRCCiWivyr5d67kjiVv53L+Qmw9T+LetAiQExbXZaV6tZlx0k1+WoTHj
IMLoBHh/Mk56/mtyO+EtHnZxUEDz3gp283OUHsJ6dOBuAJjRnpThddQPcrxVG1vzSib9trpO/ocX
zBIlVMZWlQkpCd+0Tym/oYX9opq7QP9eCOnJyJ8UP/+iKF//xQJfGV1EczH1AB31Z+PcxRDVDn9A
G7pN/qelt4NK2sZums/kh0nnbqD0x+VHtvf9pIuComdhizExRE8sSUD9CUm5xdOxuo2urCwd3xQm
YjcVJNGkuzGlJkQFp6NzvY/tcNwq3a89QeByofwANxbUlctUcq9A4MctRurqWyO6PyeU3jyIcqIH
88X/kmxgXVaHxtRxRnh8wmH+fgInqYySLKpJxUdvZoMTV3/W9VdZ2IJXrC2UTnAChGPuX/4QKxph
onTpaJwH8zWczmazEXWtuZUZFfs3NDRR5X4/jsrovIaOBuMMf7KtlW+IB9pW9qVUfbvXNiAcs4ta
bjp6Y+bpon3mQxt7qfRRFNGaRhfnbpIrO5c/JRN1k+ealPOWZ15LiQFi/I81fVEoooaRyGCejXNW
myclfxRz2KCit0o4SdkPBBLRV680PFuQ3EdJ4BaVBC/PdDck1c6SDTRJvg5174j1yQy+GAOiltbF
65+DfNd5jgBD/UBiOryPyztJPM2tu1N9B1fECX5ys+PgvtDWC6OHnQl0e2QPEE+3oy2kLwby5vKW
xvbKFfxurIs8I3TNXghhhXGu5eClbw6mjtxHPtH9dE+bTn9qpK0y0dq+NDlpM6sIQIJlGa63kkqJ
qXSeU2MWohQfTaE43XaIa0fM5F7lJcZDW1xWoiyvbUeoJY0zSpaq3SWy5RgKzftiSnKl8H1j49JT
5jfsh/2JpCi1UjrYzCUuxxCDOG0bzzg/ftNsF9QFoMAvc1b+2/fHn5H7Myeh+o1/+zZlZGfOxav8
ddATp/t8e+grbZr0uNDnxLuEYjFc3O+PZQCVtNLLfIo67JTWTg031e/j4Ki3J3FC5jF2+nNTw859
JwK7mgJC+H0FYgS9ii3KjTUPgY/jKUFqGTGIxTmKVWUK+pEnkl+Ptj68qd4LNCR23D9V0RZ77t9x
LZfAwj3Q6UN8Zy3LLrFljDlbizQDVQNyh+UxCA6TcRwZXDQENDxyGcZuTMW/s4eJ/ykjuf6q9a8b
CzBHHbc+ZLEAlhkqvmSW5lkoj3oTHoVypzPw8QVhktA6kO/Ion88xal4X/2B9WTcKqmvZZe4y/5n
KhaXZykNQ6KMTEWQfM+NfV23py6E2E7bG5rd9c9zk8r0p0hiO81PwxaWfm0lqH1R8qYYJILLnV3O
VVjWqoLf+WVtnj3rG89DP/XcjlZDM6setTF1TDW2reg+bZzgSbEyp/CO4+TSP+NKW5+y4mosOAYQ
PsQT0N+wSD11vpSGRS/xnp2gIsnuki29h7XIAQv8ZsgQLBiAF4sd+Epe6LVmnhvz0BqudRSaZ0l7
nPlkyudCV+2yvg+3GjZWdtg7o4v17duwLr1MNc9W9qpZP+dCV6PsN7bxikuz5hwTRFbWTOwzz+3V
KpLt7wozFzi8YoS8it5ONgzVsi0UYnDI8HUOosPRfgLjaitxQ/OylRr3YtSaz7oh6LZUWP8ia4ln
A8jJihqQYCweMrVcZqnUsJyN8CiVB+9J0O4TUuPpy+2xr0Qb5NdA6qHeBJ5zSUZVN2WkljHzG5Ns
EXlEyPF9Wx8pBfiEhsGWx1hbzmtzi2GNUj56daWQSQofG/lHET5q8HH/74a0OJOWEBftNDKkqCWr
nttmsZcqxZbLnfEQ/YvgnQ5zlklSZqIlcbF1TLlJ4lbNrXNKP3EsvSotFULhWytvbYi1hsJ3luap
vdqkKvxWeZxl0OPIxdeE1pYxsbNKPdTe3ujr+xyV4PJH3fIudJstLO6qn0N6yKCuRlqIzqH3xqVc
qa02LK2zfFCnQxw/JagHeK2jyJdYsijtnbT2pbHuCuVVgNI3+qzQad1uhB6zg1ncNn/TBOSDZXHW
FH//EeqoKmGt1da5o6m/gdFj0qiTV75TmxupoZXbHKQBGEaNEBxK34WlLJfDJpoEiz6bzNX8hzFF
wzc6SeGz2X+5vVvXTsT/mPpAR5ghhTBYnY9itXhXezAU0DMOMuC2kZVICccmEynQsElz+BJVl3th
NAoRmydMPpWam6EP1n6Tal4X4aPfnxKgCOGpT78biIx75c6CGLE9AIBrhKOxgRn5uIrkS2YJWP7g
JllmTRKQdk2nc2KSQnzLpfIbKBfkaIx+nyj11gt+JUlBizcNwGRO4bqmder9nhFLiT60XmIlJc2B
Xqqo5kBJI943w8IZk71oq1uC0x+XFJt0kPAcRf5Z/gvSvDqpfUwOfWgi79wQZvrNvpUDp9/AB60P
7MrI4r6vG3kUQzPwznXyTxS9WPsss2HM1E/V9EtQRDebth7ZH68KxBSQtYE6gmKAuZxKOulH0aM0
cQ4UGhO9tzzUz5WvHrrgd5I9AEy5vWfXZnFeNfifwBN+4GDp1CKA9SGyziKNmuN0V57EMtoqTs5h
+XuXwpiujCycaq1Ag1Ch3XpWtXYnKQ85Mg2GRUeTfMii58H6qnu/R6HYOPMroRRmuS909PvIVy6L
Dxn3cR1PnIE+O+dydOeh6oYohl2d2hknZOz7oDtUfuhudmautE2+N724sKw0byxTqKxzRXlwiD8/
D7JNbcNFEsqLDplr/rYamAO6vZHvBO319pr+fwZOTpqCO+Ne+iFDRQUgCeb5lrLWzvo/EZCmR0VG
sJHbbCJz6ii+/7me1I3dtMKMQMpLAhOqQg3ITb1I4eha0VRhxuWBfszLKwxFgJ1/GY6O7I3gDFT6
ULnb+fb3yeY/yYcfqhd3vLdcwFbOeAS5vb89FWun6fp7Fuc3KlOl8+fv0T9rPfyfviPrO2TjwZy8
qZuEOPPolvtchSUbknqADgS6792gH4I/082Gw2QitBCCbAm1Qyl+6z1rX1WBY1Z7T8VZSaZToRg8
jOhKPhrDxLNJq50xdMX2t1jtjYREFHyX9cHY4i2Y993HL4QTmXZTVCnE+dq4cpqmpMS+HkzWOdP1
p0AIfLuq/Jfbc/7xWmcPKHhfyPrBBi8V63Mpaep+5DKw4JauS4GBvtR5Z5e8GTeZjlcXmGzAXPCh
yc9YhEx0/OcmEjQctFpxYunEk9AHUWuauV3LmR3RpqwIF0QyQ2GwBXlwTP2QFxOdQPGuNg1bNV/9
catNduXypZlKQRZz7nEEx/p+ltWkClQj9LgOwblp9x5ZOgnpi7rZOG5bdhbXbitX9VSKBFBCqz7W
YXak++1O5e0WbXSzbxmaV+Fq24RVAP9shSEkwDUL5dlDEDhbGJbVvXk1a4twMJTytLBq7lq9i3+Y
QQx2BoGW23tz9UK/WhptkUFSebLAks9IJs/xgNmpB5998/mXEbl++zQa+9v2VngaOAwmXQj8QUi4
xOVoRiQm0ph659gWPokgH4PXwZ1BD69woDe2ahsHHYqwB+Pu3MFUc9v62kmEsm5mOVChR/lL03C1
bIk6qDP+zTsbWmBnxH40QyrZV7EGrNxtdD+tBRLXthaelrZwSejSjHCsPxjq9zJ9LrUNE2tnfSbA
M4j3yAEukfNh7SUeZRXvHAyA2lwrkux2uPeUk6Tc6VsrN++2paekWwVLlHFE+kjeb3m9zKCImGrg
Wqn4QHDi0LriCoHwRyerXpnyg9z/qvqNF9GG0SVjYxM2YaGPhXduxwzYMjlW674SeflBj91MKFiP
BiBzOdgKOlftonxIshk+cxqC3g/W40jkcVV5AHPUu6aYpaWn0fEkt77Ttt6XqxvlytbikmzVrEgj
kYn1s3+K+NVUf5fCvwk4KRb/ZzwLB5x6tS+oEePRdHC9d/Kp2iG+NIzfo/gR9snc17aefmtX/7XF
hStWlAZeUBmLujdcuuZRJR8tmj6lmUc/fynI1cKxq0sPQ5/uKzk43j7oKwlaXp0Q3ssQgc/YlcVu
zVO9mMYU8yZlLVvS0Yj+WUg/FP/ZKj5J6dFqFFtU7CS+i0fFzf7FjX9l/a/TvfIz0zRDSorGA+Uj
2SXgHW0wjkbvpogA6xt33totAd0+f8PBQJy12KpRpWax5PPso06GhEFwuD2TqyeB1u5Zw0WHUW9x
P4w4Aq3VcGMh0ZxjNLU7hJrh5J136Lrd8K3JHXSeNoyuJH5YvvlX0+PBlCwDhrovLbNIJXZP2Dg5
ZKLUNITjMLkJqlFq+a0x90XghP73kNayfZQ7Zfm1lTY1Q1fn9uozFptYpGAd6z2fEbcKIk52q3+a
UHbfjXvtMLhQ3XkAWeD6K5kVYWMPrTl3A7kOkhWqOUdy711QbYb+kIc49zE6NvEb4lZgd+0CZfVa
cnJ032+v8+qJ+StDZMyxMDm/9/aiwIBeXmShwYE4g55+7tRTaTmqpzt59tA0oSNC01uJ8a6gxiHC
rNn+i+ts7t2W6b+EdXkJGc6KMRKFCWdP16QjRXurONCb4pWuLD+YxcbNsuZ1r40t4mRT7tpek2Zj
0+e5hat6RCdsa05l5mx5Z14bmX9+5QfMZBr9VMC1E254VeXG8vdEgY1b+hp6qSP1/jGFdslu+2lf
ZG42JFvnaF605QeweZhPEQUSyDfff4DXKnUSpIZ3jshdJqoDmselCQIIFAm39L7p9m3y0ywesxAd
o3BvCF9u76o173Flf3l/QyZKq2Sie6hh7pKax+aQvJTOKO4Lrfsk8vgPt5oxVnoOZvQZGEv2EDxM
ywBzFKNI6GSLc9PrhzQ+a/Kvqfpaefdinhw8tcd1GS56e1Lzs/SjHdycj7q1mbmet89y4olxCR1g
XCADsLhw5UZsCkivBdwmHRbjp6A9mSWsY7AO+g3ckkNnG7TBl0p0znPp0+1ZX+l5mGsC8Lygtgh/
jb64E2SzL2t8unCOHma5xWEPmTbpFhYAQYxzfDBP4U5Id3K/z5zyuPVuWXtTmIQaJLCB+fPuXZyt
oO3rKpZVYd72ehK7QbhP1ZduF18sOuh2nvy0Md6VfBoGYZelHdBCeW/hKwfPSJM4kYVzbYhOUwo7
8DLtiCR9bZvewSj+Ea3eUTZP18oivzO7eAVKqaQWrJ5wzpNPg/Qkt7AaGyYwSxvyhj08lsSttVsF
W9Tx6xMMCo6avwS9xjKZLQVhoExFy50Ppa4U2jRKpdOuMUFl2819q0K7ukXjN2/YxYZGQwjVFbBO
1L2XT6eQozaYFSZHAfJyxLEChD187R5ShdPt1Vy5+ExiNngcYJPXoWt/77OavO31SODS7XLzZJKl
MMP7NDWPph46kvLVgEr0tsHV4zIzvkC5ARBfWVY9i2ioy1GVcdMCZRAKS7Cq0fgz6KfQTOkje0Zw
3UGtYSfl0LsZcDgDklPJ4BBVu5H8LfM/yf5nZSsCWKm9oaEC2AVdJSbjQ4di4GuhrGSRcO4SpKqE
nZbxz0Ok4Lh480mZXY/twa8Pctrvyvy/x5a8t75YB03y/bZuA+FseFNq1zVYJe2sF3bZafB/beE6
V1cdCgmVegkIk2WZP0wqGeWYAmtogQYR2zptj6MSEmaA/E8KhJGkzTz8SnxHaxjMAVQW5oTZ4umV
Na3Qsp4CjXtI6Mly62YXq9nn3iXzCpv2A7hsyZsFUKjm93J5ydL7fNi4IlcHrs/smDqNFUhavd/u
StwnrRBmwnnQD2bZ7I0ydA1KxpzmSvmNWtfGbl8JfGDiQNcSLk5UetRFSFDrEIAPZHwQb9ZF1yoo
4ISClLmdkW/xgqz6KYnJRa2cc0ya6f3YmkH0/NivsUWuwmEvH4VAHE4dWC7XTPJH36JpP05y7a7P
g9EJwOhtjHZ1dql18HQBaUCB7P0XCGOQjG0gCmePnWslZA0CSlb3LUQoUfMWJF83XMnaTYQ1Cakh
2lspe763N1n9OHgpq1mn914Uu/U/qu5ojXZB8sHQYpvnt7hVbZxvt6Vrvra5WNEYVqRWkbCZVrY+
FXaxa8FfJT895/bg1uYSreiZUZqCsbocW191XSNolnCudO8tK/N9kcAECaNP8p1OELXxN0q2a/Yo
hgMR4e3JZbd4euaxJLdpzNq1hhM14UG41AeplR2xfB3S4+2xrXmCa1uLfRKHoejl8z7ph8kOW+D7
W+507QK9trA452XWGFlTjML5S9DIO92pQ2EngDy9PY6VgJumC97NiPIQfC1F+PRKb6TUIvTSS/1x
MI/+8Gp6p6KEgF4quUB2wfNtg6vDAoY2E8BTYPuL27x64mhqHtUzaOGcTWhSCZbTeCjBKOJB3NL/
WXNcFNTp4yDNoSCB9v5ola1UyFlKkFdoX3r9ITO+BVsdhqs37rWNxVEqE3ZjReL27EFg7e3qL5N5
NGKHKcxsww2VP9Yfc6sktzEuY7HNB7NJvKnDpiX/k7T/mNal6N5uL9KqI74a19IN6opAIkVneyv4
IDG5l2BAVs6idyRfXP3xv07VFmHo2oGiFRUUMngyejUXIblV9k3YmqJ/MZJedCdFG+0py7YoMdbq
ysS/AOQ1EgaIxS5u8DT0ZL8qCsA5bmkHDhVGWLeMXbF7+1xA3ygetyyu7fdrg/PPr/Z7WXuFJylA
WsrMgqB511k/u0qC3t3aOFirQ4PwBZAxWXcwQYsZNIugMc1Qp1RrtW5My1Y4/SjvaKHIehD5xV1c
PQbWfuKSGSUy8N6DHr2l08vGzlm7XK6/YnHqtDywJiEwgGClf1p4Gu6ab5X1mecHAPrBhg9dRDjE
HfLzEDqe/MCXCO3DFG9RF6xN+8zth8yPLgNQXBzMRIRYvJcH7wyNkF3E4ECjx3Ky7C5uNjzoWiKM
JNR/TC2vHd2fzDQxJyAuCIyacJGBS7jL9OhIe+iltzrSUS9xBpW4KT1q6kvVbmBs1k4OChEz2c8s
3LR8zNZRUWtZxvunFh9HIYCiYcMbrCwpB3NGmc0YMy7Y91u4043cMKfMv9QWfGOhj0Pgzou/ByVP
unozCFxZOotnHAB1SOAJ7BfmkkKq/VZJgkv6j3pHE/MF8om7dBc/Di90ZniffHhYIzpu97d37rwj
3kVFaJzOQhsAh0S4spYVAH9MIqXsjOACH/yguDPqQK0RBLG18KEw9mW/Ea1s2Pvrgq8dwzhlfZNj
TwoztCy/B3JiC+PFqr8ggehW2V0VPd0e4Yd1nFVcSe4xPkuDd2RxNFup8fPeU/1LVye7MlOPVX9I
4ufSUj97gnvb1odFnG2BG5oVpP+2GrzfM2lZ/D9boLCAyhxKeMcaQzhsYka2DC0cujmkrR/Fpn9p
vaeyV6BvRKo4le1yq9F/1RDPLTbkjENe8iGbZKgqXgz+ZegUN6LhyFSfosk65fLP21P30aHMc8cR
ULmf0PnT5gN/tTOSSIRRtg+CCwxNVY/uZDS6JDlcNc3vBiW8TxKwbfT40xfEHhHz75tjXdub11+w
mNS5uz5vhzi4gL8YvPgkdHe1jhqgmrpxjfhgkrqS/+f2sNfmd5adlHhiUr1YFo4MpagTxUqDi8jj
ErYGtYc9yjtt1jbX7RhwxgPY4yzMP7+a3a6mg1sbiuCiJkfR/zMTmkAKEfzXjLYsIs/z/5hZeLGo
pO9WbzDT+eOuCJHTi6FGi2unLuE32dqcHwO22dwMNwaqQCp72VpYlIhC8wrDXDM6Ej7sLQp72wvO
vtnttM+j8C2OpI0z/hEmNxtFRm/WJF1BkGbjWDbJiKeGLuwgHPvn6CE4BfVZOehbpbXZNy29s6mb
pOhnZRAy5O9XrSyabgikPoBEly6VB5+D8OiFnwX5EGxtROtDEWQe1rw34A6ZIbmLpfMFzezGpgsu
99++G3a9u1wk+2LZv/f7y2lPI9llf7Ffdi8oC9gvL5G7//MK0yFkd4H7+mf39Pr96fz1D5yE9gNM
NXdn5+28e5qcc7D7/c/zF+v0fD86R8Nu7TtoXd+On55/Q57+7Hx6dnZ3Gwu05vCvB7Jw+ElOF6Ex
D8Q/q0+NXR1Ve9pKmMwT/2FhriZrdiVXxylWplDp8gEbfkTso7c6gZ6/FRT8DaI+muFqJm4HIL7s
B4YjUa9i+EgvkhbZev6jU0M7iEHfjb+Qh57U0JHT4dAVO/JyZX9spsqBQtQR49dKf8lQ4OmFnEYr
xQXzdbjtuGZneOvTFluTFhjwVkKF47pDO+nHBhRjdX4h7+S5rOIZl+k+XRiSMJKm4BLD2BcnUAVs
ROxrBuiBRVV2DvC4sd8vYNvHatfnFicr0XDtJa4qGKvSvT1JK1531vzkzYXqDjHq4tGq5zHwds8k
qHuxnzRH3gjC1/bHu9+/zMd4Ifm8Zv79tLBOQQp7vbQzmgsFA9s4/imMV1Ny9fCLkCYwWNuD6haj
HRcnUfonSBKihn8BFaVidj1k+f3Edk2rlebIxHZdql7MQpNOitdvtK6vOX5qEFQiGB+EA9bCStBl
XUiRi6s6DmgegiPwiHpspDyjkB3bvLq2WvM/QpTncV1ZXCRpe0MxEsnD4vQLOLL9arqvPy9PsRM7
tfNNoKGWZ57d3H19eNsNzu636dzZP47KsHHqPjLjLD5jcexgRWniQPGCixI/iCYSDHDpTSQy53pT
mehgwx/VMXITo7WN1ryXlOAwoNAg3Qvm70bKHW38Wchvgf/aDzDuHbrIbTUosILQwUvggTaC75UL
7N2sLY5ZlPZ95+sCG7SEfFB0I6CELdQfVvI1T0oa0vPd7RO34vzfGVzEOXHq12KqMj+U+J4Cy3Nr
8d7yAlfIN7bgSrCIIQTJqThBs7Fki1P6Wg6DNkYrTnwrOyCZmatI8LTVbqqghaa9adO320P7WLOf
1579PsutzK1PC2+i6lUWVXkSXpTqm2Ti2aUGQexAPsgCTOGedYL2a2cJw0kPP6uC4LTN0yQDDOq3
OI9WnCdtXhKNXnNRCODR+zNeh5VY5z5jHwwpgEdyhDMyLf5ruph5uFdWFnunycQxa1BsunTRd/UQ
aYc2+NJkOzizb8/r2krCS4E1+ljgwFnEC2HLm6Rpx+jSTHR5nXP/zusymDO7n1ka2FZqTQ7vnts2
187Ftc1F/ODpXiikAjYt4ke6Xnfqzm8f80Bz0Br4702BsKX7GEVAeqHnE3MVqujlGPJCzKOL1Djd
LDq+A6lZqk9e8yhspoVW3aQmk8eg852qrL4YWNd1EqwHDdZScSeg4dhFc22wfxWKg+dLj2GH+CpS
uvqzEOxLMBYVnVFW+DpETHnfn8vuTy8ov9Kf6kNdO9XwA4nfMvzaUmgcCH6i+hToRwMSneYUyd8j
dYvLZ81/ABJkvoi6eTos/EeoT+0kRGV0CafmQCEMIJuePqQSHJBbFfy1UwQ/j8SWg94S5NH7hfGa
ME4EK4kucvibBHO0laZf29c6JVsQgn/TZIvfX5fhqFkxS2ERmArddIqmxzJ5QFLHBpPYNygrNP+1
+CSniHQS3fbUpwl4FvdyZNRQhaFadMl0WoaUzo6iOxKjG6dndeaurCzuYpUXETWhnpnTI8tOG/M3
mfottb/V6bsysnByTFqmS1YbXcT8nyF91CxXyr6I5jHQY9vM36Kt7uu1WBHu479wDmD/f99nV+dU
6pWRcI6pk3w3iB8SMbINFRqlbIvrdW2LXxtaDKwZtBqlSQzJxidRq3eSwf1/CY16n6nubd+zaooy
FHHTnEJdYhXpEh5CYao5TU3lyt2L1VLoFRyr+hIJf26bWnuWQ2MGeE+ZRcVJf78/TiLEG0h28laS
fe0pHbOjWYn2LHHjxeMu9iZX0WA2dkzhcxhu4bhX1g7bMxE3MQGOb3FVqYnaJ4KM7U55KYpjhtIA
Ln1LInxlNt9ZWfgm3R8Ei0x+cGlNKbcLkKd69KCgWD1M+kusnjYmdM3cPJxZrIHmtKX2FpSGqoQA
c3jR+n46DFJZ2L7QeScJKiFHlkbVTca42Qe64e3ppcqoa+b5l7HnqTmIIymErAVKGCelKyYG5PhF
1u58MdliSVo5p6gAUQbAW88vrYXLQb9M8giKCcQs/1DDeUGC/XejpvaQ0hSueK5UN99RVv9xe3rm
JV28f6Epn5seSN+ReVouhoC0uTpwrfZD8RrH6acMnjlF2Ypn1146cKLPRHYzyEtZJsw1ufabyIiT
C5w/4wGW/dJupwhRTf8sACeQG5/QL7eR9WmJQYstEdyVYaLrx2n6vwxey/uwU2QlLdMuuVTQ3seD
o79NaFffnsqP9WR9Fg/8HyPzTrxyffFkGEJjtcmlH+1yhPFdFWxYPUs7+pG7UJLtg91tiytbG4P0
2tJ1CR3QMq8SiVnoeXTGXKrKjHdsFvGxNiUL8FwWfDOkunzy1XSLGWhplEQlOMSZzBoYCtfkwkEF
uuilIQQYl17uQPQeDP+sAUcrdeMQKRv5kw/Z9NkYjSzwQNFWP4NM30+pIgT61CgY88W3ooVdWhJs
uUDcHqIb82IZbie9tSgwpaLtGZIT6xvlueW+me1riIDo8LyrELguBjvonjVklZdcFC+xyWsPAEZi
7d8YmXlYWEbo05cwjpQyiBWDHb9UWm3r2tehamxhU1F0dShXVhb3pT+hbCHGYXoZqeT0zF8+s3hA
jX17T3543s1Txj+A0OdnCMv3fskGta+jvpGSSxxL+9pETS/IPtPqpHpH6c6QDqKWnaTU3KtCg2hI
DZEeqtRbR3H5MPn7EZApgjCciUmXuHBJqoSuNZlSsIym23gu5F1O44CDt4W7T79//5NeejAet4e+
djJmkQMC1Zl8YllLpsDqp2bCZsmb4AUCO1Ke7E9vLyW7XNzC/qwejVlIhxc0aXwutvfzbMRyICrV
PMQJ0Y7C7Qi0SP/N5fKE9EQdD6fQGuyS18mE2kIR/JPCJPwvRizzgJ45TABtLb4BXRavrJDHuYjc
IY7Zy+K9T6C0Gw26kL2i9uwkH8LjbaMf+oVYXIQ1eAKS36fHeFkugRNi8noTqxq8LIL3PZ+O8pC/
JbJj9bB8wKvfuxCFKtZPUUtde2wQ0KDYrWgbuZMP6z0X1IFBzZqHJq+t+edX/l5scy8JQK0+a6Iv
7iu0WlAXcKdx8slUadBr5ml9uD32+ZBeX9cwsRGbAWPlsiZn87fh9sqkoAXCECtW+Jw3Y+DWgSwB
sJenjXvl496azcDox3WpwP+xxPOo1UzNpWIGBpem/9MUpaOM0j5rwr1ewFfQfy2b+yDs4Nw8h+W5
SZoNl/ghJfx3oFdfsHS8QNu0vjHDZz2BsiZxhfG+ix80tXijLNZ2kk2dMSGAq+VfA90NNPjetQW0
Z7rdyI+Cd6TPRtn6pvk99m7y/+YfuGgJzwxg2ovdXkwwuKct692nUn4K8//D2XntuI10XfuKCDCH
U5KSOlhsd9ttj31CODLnzKv/HvYP/GhRhAi/J4OZMeBSFXft2mHtteLhlKSS9KD4TGpXQa3Yc9xI
oFulFlI+TT8nZdG6bRPJRxHlz49qaC5Du207PMytNNtW4qeOUCL6KPJ2u2XWfgk19afQoRNfWVF8
CEOqYrcNaB3iL0w1/H4ajfgMTV5/WcROq3TS0/bcSX53yFVRd3seoFM8xugyoJF6f3u9q8v6tiDI
MLwwM0nYzeUl0eYwFIS2as8hfaw8ezHbF5ngqK9f+nq0jf57PUj3Qj6c/K/N/RA+dtpPvNccGjvv
0luB6P3XW34IhCCwckh0B3Edlz8ksPrcHIqmPaOdcR9ID+3wFQEglK2r0AmC6KBWiLT4j1aP9rSA
gEn/MQgP/se0+xlo/bEMzrmq3xX1N4YQQ/5HwEBP3zxNX3RBOg17NKJXk/NvvxZtS34MKQukQpe/
dowo3rXp2J6p7TyMhW11KoTMhj2lyC22n4OkQzv2j870CXXiByWfD02ruYhbZPr9UD5k9ULd7oWN
5uRw1WrWJ20aF6bUHRzMW+q7PlWGFt6QWsT1a5EZsa5beGTT7pwaWTnb9aCVz7m0iM7Kc9gBpgrE
iAyr1lPL7gIjfJSnNPLtakS0XIxoeZvMzkJgqNZy9LkqwVPbeqeaD3Hlj/mhy2rJi5OOYc/Kj3Pg
UYKZ/ZrjABx7GXTxr6rShgD27bo8j+QT38OkFqniynU8umremvMxVxIFqMCc7bGyreMpPCRs+Vg2
1Kt07tfAqiHxk943rdJLEgtKrTTTbf2Ln2r68fYNWocyiyWoFNgIKhgCYmjz0hJUNYLnSqPM2cC9
WvqRq/V/c+l7G06wl3ww90Yz1o/a23KQt6gMhTII/PY0vHthpHnq9MBgOfBhfsWNcI82NvWPe4Kh
nfeWeUBgxDikVSyqSyNE2mEhnIPIP2epj5XXD4Y2PybCWU1aUjRf+np7ySvHx5K0MCWCXHgoyHkv
jzGcA6WmhSyc9fiB5vL90J5HMtFIfb29zvqFJiRQ+CDLzgygFWv5PqkL+j7BQr3Esc0dH3a9BwpQ
DKER9uG8KRRc7qEbLWjnJxIuYa7t1Kzv6uoBgadDX047MdaGcV+stOrIZuWQ102qB95szo4szKIt
DO1voTV3GmtX1kaY8X5HKzeXNlUf0JpiHbX7QDzrlnnwqAUZs8fxr7Te61csL/SFt8KREqsu7IIE
kdBjXR7gVKqJEZQcYPmBoOk8+i5kLtorKUgv/eu1XS21CmB6pVC6sGOpMPUfhhelOvjdOcm+E0gS
pewY95WPWC22ikwEqTBU+qQcYx49mKiGwORvl5nGFDfgs2a2oU29beYbH+79Sa5LonrQzbC/saKa
fYoSWjKm787wLTDtGwZ/b6+1YfYXa62Msdc7QU1KK/BEkCDR4Kj9h5yEZtJ38rcNo79YZ2WMY9QY
vZqyzlx8A44Ab7d8lModu7iqEvFuXKyyckTE7CMkDqwyCF8j3fza+9mX3Jcf5c/pc6W6QhC9yDlD
d9rcobm4Mwh/7Z0uF1853rkoLaWWfKzSeLWGP1P2jynR2+YWpDGTjETIbxyR714PvfD9IZuFwEst
uCJGSYs+dbo8OIFUl8e+Kguv6sa9svXWd4PFABgF+E6IUldusc+EeRqiNvSGVBzsGCj9Q2ZMOU+/
uLfUlgOhSrMEkRRqaK9dOhAkzSOSjyb0WrWKhQNkGETNRZMBNCZp+5g2WVBDaFkV46maq+7gi0G/
R1q4cR2WrAzJaCbtVGb9L39DluJagilKvGAYov+UiOgj7fzhII2t4Exl3ex0Xq9qt3xUBIEtgHWM
GdHsWG26MFJrHq028cYe/TzZh2ySCiqKjEE9HJI5OcW+73R65MmwvN2++ttrg+JjrIRIAZjT5War
ZlK1WZMSD0bl9EtsFeJpUipk3CwlcUbg5pBTSMKhsoT/WmkY3Koqgp23cMO5ki5Q9KQ4jw7LuhnY
GmUsC6OSeIXVV9lxnGftU9PXAI9MKywqOgeqmDpKXuWR60dJuDcytLU+zyQKKPwMRjlX37s1/FzQ
8zn2xElBfC2u0pPWNf2rKAdMvVAHeBRDoT0ZeibvzfVsmBrTNjSRl8geBq/VzapmcZKSrstguJeC
pwLKuJPV1r6bF+axryv1dPtrby1Hds3lgkwByvOVoU1xJzdGXeVeMOfQn5E2F1nnVLhiBpr2FGGv
CpWYNUObqJ/yfZb5zeXc3/mqvBfNegjnwpNb0zWCzh5S/d6PortEPmfB7MBjNAim3Um6k0nCk0pz
u8mUx87YexI2PjDCH4wzLQIt5GKrU06asA1VvSq9ikJWacBiEBYnKzEfynrsnDjuXmQhOtw+6qs+
I7t/o82AbmYhlV8XK+OlAtHIXeXVhXnXBz+E6rnKvhr+k4WQMBAFLW7voulTIO/R6W94awD4BmV1
mS8N7erlsZtTwZy7lFeepOZ/WyM4xNrAKGuc7jy0GxEK1YaFHATTVZjRvVwnpvOM6mxReVMTHbKa
kXLqctoQHdX0s6LtxLEb76pJhYOhZ9SFQQ4slv3OloKo8wUGqymFBVnxLAl5fgqgwtwJULa2RPnP
Wm4ko5Hr3KIA7u4bVlR7peJAxXxnTtKpioNz37wO4h5UcON+YBmL4DbP3PK8rvaEAQnWYKFLhyJ7
19gC8/EPU0du1j5pp+ygl9/9+UOOtmpmfI+tPTO53itZGmwIdJgWE13PUYjiUEy6Epde2jNMHXwX
lYAa5D1O2rUixb59G64/3+Viq1emSwphSsqk9PIWPZkarP8eA9HVgB+TSQspKi8ZbLx8wdUSQh21
mdGbiYfo3LF4kB4hXPqj3TVOAfYSCHpvo8Fd7TXrrj3qsirtCJVROnLSlUdNTH1AophVJTE9jHBJ
JUx/xY3/ITPK59tneH2vL5daxbUdqpGLjEgCi14TR65pvCTpHqxpb41V+CrUsVDDLZoyFZkzXN+X
UQq5f2a6etG2X27vZ8MAL45u9cHo5AxZKVqJlwWVPRf3VYoBmo+iUjizuUOGtbfW6qpRbtfyyOAz
ic+FftTGL+1P1GydNNubrNzIPi6/0vJL3jkqDYxFGWesxIhjMTsjxC5WSn1xUsJPYVi7pfApiz8M
9LADsGqDtBfMbO6U1w6sKahLRVl9Qav1u5DmAwY55E4e1F/jZjiKU2inAcl48Xr7G16H65SZeGWw
O9J+pkUvd9sa06yPYpJ6aYXA5rkrT2rittqdkJz95lkVf99ebvN036+3ysONVC6mTGM9+E5t8ZC7
Ty+/Sns+ZFAv7Sy1JL2XpYyLramroEGem9SqE6bJ2uAgFo9Z+Hds0UudHNiuGZJmtrO1LcrD5djv
LL31CSneAZBbPiBjbpeHmtSTqcwKUPx6FNzIDlTPNKlF5r+SPRKATaf5fqnVvQiTylDrgqXG+evM
aICE3K3cH/0Clfi7IplOiuEG8wC1cQlFT+VE/lFvRrtBDvn2cV9pIy7u+/0vWd2b0FfnTtMLPM99
5Q2H3oXrsXWHQ/eSP4HV+hach4/tAYJxRAKT0nby0QHOf/tHbFrzu4NfWTNCP1WARG7qqcF/vB/z
f1C9wTvVfc5+iflOoWBvrZUl+ylV7cEsU88ITnlYMlUCmuVYVXb2G7JZrd+jNbnuEy0HvMwHAfRg
SGxNI7ZwrPiS0aXeLBznY8MggvAzAzSYzXfS/CJ0v5WHfj5HOkK6mTvXh6k76nvlwY1sE49EjgcW
SluKxatKU4NS+xTrnHBWQWBzGh+z/5hGzehX/J5HO9irtW+vh3uSEDxCMXFdlK4FIcmMNs3QqagV
ySYJHwM7j9GTcIK4l5YCkFG1dMm64m9G1wOJK1EEzlvVRvU/PHeMoBA2Lqnu1WRlE49jK1YYuKY2
RzG7k7nTU/qYFU9jOu4Y8tYz/n6t1WWqxJgWA97Oo1kUNK+p8FGwdhpTy11Yu0dqAIADlqiDT7py
Uopedl2DJ7aSwUXcm7KAG5pwpkHRNn4z473C0NZ6sKZyfnDxwWe5CrT0VlTnvK9Sz5/PwSLm+UfX
74P+cdK/D9bdbT+w+cyg+2HAsa6AUV8njFEYmcUkCizWfJliO0MsGx6zuB/ht5ZsEdRZoDtCpR3k
+de0V0Lc2ilsiwo9P4i9KVdfnmyh1HkU9knmCSIs6Fl4FoJjZiBS2SWOYB6Qqr692631liYbkAfC
Bm0N5akDRYlGaWSaOhIfNOERaI/j+y+B6ho5BDQd9D23F9xyfdAQLfeAo0WI5HKDatqLVZepGY94
qcd26z//mUL+/UvQfA6UPQjN1vbMRaED2yF/XM/GjkY3Q5xiZfg93w5g7tED+D5yR4uoQOSfitDf
SVWvoBV8O+qSiLtDVslM5nqaz0gD4FGNkHvzDLyCwmFXKN5UvSrdY6t87q3hOTX986DYpaYcGF5x
5A8BzXDAheXcMwGtuXP0S4geuq+3z/0NsbS6swx2MIgEAHYhc1jdWSsoZz/w08Iz8/g+6rXHuq1+
Klb5WwMFDbvkgMFpDLWrjXiqBNmpSURDOwgJXyW1OPq17oj1/FGIT9Sed37bRtCjGkCtKNBAhsVF
vzQKRa8HRR+FwjP0P6M/Pc1ybJsIVRSzGwgvObws9bM+J27Xh/bo36lm5whUhYX+fvZR/qAuffsH
LeutzwqJJbqZGkBMzuvy98RZrfrCEGSeb/qOpjIjqxr5ORpi2S2DT7fX2tz7u7VW7rruc1H3Z3WJ
BVyhO9GgdCoOvkndzNgjuN7b1+ryZUGUmpQZeRqU8KAwESx/EsT2mA872erW04v5M/kGOpDi5nrC
J6ZmZBYWbqwe0OFJ1BIgRYGgJAQ7ieh0ieiGqXKcmbkzsr2B/433j7XRFQUfSRl/XcGHRmGKsz7K
vKCrnSIy7pOpfrV26cGuYFzLTTdFusXUbyzItFauWkp6wWj8JvOUKD7XzXgQo+FDF3zqjJ9pYLmt
bs+66g5+dBc0ww9VfU13NQaXO7u2UyjkxAX6zXyysUoWqq5W5tnPMy8XpcjpxrB1pjb5H1w2Dd2F
Shpsjw4c5fI29FEDwLJlo+Gs/xal6lMztShifp7Q940m8awF8jcl146378WWrfIK8hICAVSviGjl
stfUKq0yZu1yx2gB6CCvFDAx1ATTjtPeshgMFbKGZVSYvs/lBuVc4QsN7YLoESXb7CwBhmVLPkj+
tFcX31zq7WlAipqa0ToGZjZFZyR0WSo/jIFCGNg0HyIqBTs+dXuh5bOhTgzH7GpPpK9VGxlD5kWK
Ck/yazSAR052mldbizCyA0iT8XuIMFdpssLsXlZYRA8CjKOH3pB/D3Uh2nqr70G2tiyd1q4MJgjc
M4j1y0/kZ0Uplj5hQy0MVIiei2jcObCNwERbrjJj+CJKaGtVZK3vTWusityr577wH7KxpSni00k5
lcLU+vehoJAgC/5kxa5AO+/E6yRmh9tGv3GglJ/pHSBztXTkVlcNDuupDts+B5b1opqUMjvbQvX4
9iJboQA0kPSQJQB7FvWiy8PMijQ0dXp5XpS5X61Db/+BQtv56L1+PTD5b3/pbIgkdp7UrYL3+0XX
JRWrNDM1zlg0aWoXNnwUSEbUkaaiOdTxfWs5Yw8T2cFX78rkSx09CNAV3973RjAIIYtM6gmkWBbX
h9sXKYM6SpJ7wNj0oxGF/qFmPAfKZ+awTKU81jrCbbNS7lXbt54K0EqMcC5DQECrV5cxi8ZCDvmH
x3NV/qjEdrjXi1F1UEUY7qPWXCxKik/lFI0MSVe6M1i09SMpzp6ZLxScVMmbHfe6dRg0PeF3R9oc
wNbift+VKkc0G9MSXRGvEhLzsS4s6dAQDD3IZSU+BJUVHOqhnFxNDcWX259hy8YZFFIW3SKavvLy
5+9WFsOph4M6Lz1Bm49+2d/lsTNV4un2KhthFa2iBQDFgZMyrlyTaIXz2M5F4XX+oap+yP3d10H7
u1sD3VqG6QAgfThaKiurL0sLdeR1rDnGMuErpjHx4ijeD7PyVPSz5lJ52Bt533BUNI4IbZacBlex
ur1zFo5ZnhQlakjKg5QzRA2tV2qcC0VytfSuP4ko+tw+zK3L+37NNUwyL5UWmiGaqO3wyQzOkfi9
N1+6VLzPKMWlypOKhnQjf5xBo2b55zooTuVecX3jBVj6ZcusEOzpPAGXZmNJvlAzNVySTM2OMH5v
ir2gVeZvWEVTSIRAJ0C3mHhj/caI4FuSvBroFCd3UnwQgeKXZIqHvv8ypF+kqbOD9HOaHPaUQDci
HfDixAKUqvD96xnKftJH31dIGbtUbg6Z2v5QEElxEiMS7aw0S/f2x9yyHzhtljEzystEPZcHKQpJ
0WXTVBBYdXNl65HIzCaMvc9ST9Ont+6rREfVqI8r5JAFcSfW2vA7RKrEdYDf4Qlfz5wVVLONOBLo
PFogwpvQQTUpSY+1cjcI+eKKd+YKNsyGOWbiIKZIUBtdgywUf0p6paxpPnZfpa614z1drY0NUVKV
lhl9JjpAZV0eZ5yCDOmBfnmxotZ3wQS9eqGN08dGSRPPKmQgTIIcwEceGDt9rQ1HupSnkEE0aT9e
gf8HZRwas55LD6I8ilRW+6Hvprt4/h/6t/gaJi8BjwAAW081AKHvpGFK6PXPoxMGuh0oh9smuVVz
A7MAdpQ+0tKSXr1GUGlkhWyBlwhy4cHEyfRz61SGa/q1HfTFS2g0cPYYvTtUpu236bHN9nTqtwxF
JqVDB1wCBrSe1Z10NUAgG+SEn0T0zj433Z/bm9xbYJXo9405M3eVVl6TP47i17Hw97z0YmorBwb6
esHbcI4EOauMVCuFUMl8PlSeHnPkZ++htlHdormTj4xqSZVt7jVNNp4/g1CKcIqqFzCm1Yp5WGVx
NAWVly1U1aF4NuBqVw+FAo3tTsCydXzMSi2TWRgKWcflPcvmUjTLoqm8wqilQ9HMohOk0U5jZms/
xCYSSAKVnH5tBLqYyEVTqpWnlrXTzbIrIlOhN7ENPdUzrI87OceG5ydvB6OtygbYszXkHAbL0Zz6
okYCmo5XMD4YnXpS8NB2uLOxLV/B2ZE4LbXlq94LlWSRrCapvSQ2q4NqVU9D0hV3ebRj5FsHuGiN
LVCdZR5oeWPfBXczEgFj06k1wV16HITQk8oT84r09suXXRrzDZNA84gUBrgTaAJpdaP0sg6TWE8b
hPGKL7M1Onlc7XQ6tpYgygKnA6MSBfJVsJVkwzTQGATI1fSQlRh+fOi7dK+/sWEHJmENu6CaROSx
cn+Wj/9LJdBUcm0+9kZsCzMETXrm9tHpthPaWIlgFYgMM3ZvHY7L7yPQZE0VBuc8CFFcNfrdFl9E
yAl3qUSvz43BnUUHBHwYtak1PkwWsjJXexDJ+iyaT6NmDt+Diprm7d1chzKsQk8TEA6VOPzC5W7E
SI4HKSCUycP+gzrkOfwhKEsqQWvd+zGsB+NolmgEN8LBbCfrcHv167PE1RKTghbGYYCQvlydQfKy
4MUsvGYoEZBJY+1Z9Y3U9YtxfECmMNzZ7QaqcPHt1FSBd1DGXAeKoww1eqiWpacMAdjcWWilD40Y
m3YqCcaHscnjp7khFDDrDMyw3vj6f3pfIuCUMzh2vL3564vOx8Xj84swJD7D5eYjPRtC3SeLi6Tp
C+yJHxTxG0pNXVM5hrHnljcSaFaDpwh6YVoXhMmXq7VNEg6o2izjYHKRuU1TVt/wMNpgq30qP49F
QUFbyCsIeHIhUv+D5EqVPwzMTIfOkNTwWyq9UKEVNhvlzqu7ZQXLlDIYU1w4NefLn9ZYfWZElVh6
UP5MwXMbP9eRUw87sd7WcSN9BtYMsDTZ7Oq44zrQ4j7zifWaRr+bgsI/aX4kHdIk1lzBjz7BRyXv
rLm5M+qhXGFw8OY66esnMY/VmHCircOjKAjZopX4YFRx6VR68+O2PV2H0UvxlTY98ReBurL6wlLW
akUus1hTTPbSBLGgZ0QodvITu0usA2Xuncd3y3kQrsOYQuaF4119uILwmRgAp9skn2TxeykdQuNB
CeBnbNTfsb7n469fYDb4brnVFxy6xhLhvQLfErcfEUq6G/VvQIn2BM22DAXKqYWh12SEYV3LVuOg
rIycfIc/Pg1pcGzG6Tz25AdyCsY93rH+zeV47xeiY0YN1zW1bhSirpywfjORTlEIsHu2uj+zYv4U
p18hXCK3rWTTBZJu4QWAs1ArXwWcC91grapS6dUfkuRv58rH2nSTX02HppUjvb7eXm7rm9HJXXor
dHKZRr2820nSCU3fqCUAT6apG6DqkGlY0x6F79ZFg34NQi1eMT7dyvbDwK8so5tIPdCVzBuxdCct
+DbO6idB1b/c3tIGFIiJYqbUmTdgxoU5m8s9SY3hh0Iisxh1WDSx7sKhOI6ywxRipDizRopXHuXp
i2F9EhMVoTKCt+FJNM5TdLz9U7ZsB6/CHPYiL3lV7M7bsVDSyqy8ajrIutdEj0392QjuNHFnoc3n
4/1KK6tJtNQv/NCoqPzauuF0h8JOf2mRzczzfQEXOOKZjTvvcahtdEE5aigsqHWSl6GhcHnUUTsn
JeFD5c3owEoUfeFzvE/r4V70NTu1JBqg42tcpq9zuVeV2AD3LczjBJNL147qx8rd1BnMdGk8V14P
qo/kgvGZujq39bfMUO0iPqfSiyb/EJkqb/3HpIDiNRM+ou+1k3dsfONldIz4jMI3wcLqZ8hRWtEj
4uQzBgqlI5xgAzdVcXdCo42LihMHPrDwCS7Ai8uTRoVjTkNfqLxONrwWlGAkP6LW+vm2wS7f6zK/
xsm9W2XlDqaimuWIGTQvTtMHXXfgC7WpvRzafMdgN7dDGYIDo49NwHO5nSEoIk2Lqtoz++4gmins
G/J9q4y/b+9ncxlDF3Vm4GFoXacdQhdUoz+zn1RQLOZmZRDsVdqeQmoLO45747Fd8oD/v9RiJ+/y
QkFEpRYy2NoLewwgOWtx4ISx8ClqoaitrNhOKjiT/L2m3vYO6U4a0D9RI1sdZNQbfq1oce1ZBKnp
XfTL30PRbtoEIEM6KFCBgna43JjmF4TdVbgkvLHNWMWhIPpVY+uQFDtXaWsl+rgoxpHB4zSXvb47
wq5qmmmK69oLgFNEqe4qyQMTyceq/XPbLLb8lsSsJ+ScJFW8savIyGoQ4h6DofakQuqek2Kqj1I5
zT9zTW5PdVkgMSOpj31kzMdZlB/aqNjTT9hyGwtm8w3VACZoOYt3e41hWK0ZOKw9SO1cPUNlefwc
CMdIUI9V9z9ctvdrrUxTFzK/y9qey3bq9T/mk9H/vH2eWx+OfhfCe2SpDPutnnehKA3fT+bay5PX
IEXn5TuATF96vb3K4nzWzuntkWGGkgB6zZgRpFo5NIpUe3DSFuVJUb7d/vs3AnQGVYFpyfDMwCu9
8uS61Qh6mxCkQBuXPYXs81smFA9izH9VZmQe0jYVbbRT/31wnBYl7RHwBQy1sbdLWwj6Rhj1gemv
tDuU1jctfDabnabElnd6v8TqatV92uWhJhIfpHQ9cvisRLqx+fSiWu1BFD+m4kGuTrfPc8vEl1Ic
uZxBEX9dvOoaKu78WeVxg3qtd3v1e2XZc985ah3s8Als3mhYuAliSXeAg6zuk9gHkdSbeu3VpfxD
iETp2Btm4NSqVrmMMUlHSYFmoMiC3G0CUG5dOlg//n2/KB4D4CBPpvG8+glW1gewIFEZbJuHMrI+
kMB8CqLoJAXSU6vvlO2WD7a+DIxBUu9EJQjTWV25mGZJ3UdRi7RvijyWBoVV6ks7b9rWvX6/yMr1
B00OWlYOW69Fen2IT7P1URjscv4f/D6y87Q+6S6BUFktI0CDE/pdScBujeJZljInm4yHJrZUNyyU
2L39mbY2ZQGX1ReFHmTuV97Qb3NGPRBx9jCDCp4QWOtbqR7cVKvufL1td5bb+FB0PZe+3BveZV3V
F2ODXnbqN17dttieblYOraAE2Fy4p7u1lQXQpLcYSMYo0N1eZz6Kn1hh3bWeEZYl0xZ/8xg0dxSo
ijuNs+W1jDMdzVlQ79JOVI6NnOVPQ2jkxzALTcCvZb/zZTc2T6MBtpmFzAYo9MrtVJE5NcYYN7xy
wM4C01b6ztWVHUezdflp0DCKvVRWyETWz7k8Vl1Yh52nn6zqwTcPUfXYGg2NtfuiKI6yEXHz7//Z
jFgThmrydDKvNetmYxgx08Fp58E2ZtJj9tLix7+bDnVFkTQWSUfSrJVDyf1sxM00/VtI2WkvpaTY
cSc6/76R96us7kOTBpVSz3XvDbNdTl+61i2kjwOd8tvLbJiCRvy44EnJyvlKl4+cPMZ+2ubR4OnF
7yF8CCVHaX/dXmLjZr9R6EK8D2LPXPtEiEkKkd7C4GXzOY5eS7DUfiIfLBiXby+kLh5p5X0ph4O+
oTS/JGSrqLuZxBHy9WbwFp6yh0hUfk9h+aGuvlIch1hRGTLGIpm2oVSdukV210mxo6vjnRJ/KuOP
qvWtD5xORpvoJ35bG54z5OJLt8jh4AQY7TtZ8l+temXsiuIhQgy1Pen9qx7pTmBRNflP+ahq5yFM
D6Y4P7bT59u72zpG4IG0m5AKRGJjtbkog8Zi9qXBM6LYzS0XIRu70V4jPdqx761a11J9xfPjtQgF
VhHXNKVlqhvdQHqWUuIfEAV97CvlJYiKj235F6KZ86gYx8JUbDNKdrzGYnBX35BMGppKir9QfF8a
5DiL45gkyuBNpyC+H3TtRAE21ge73p0Pv44sEfPjCmuwjNALXUdCUZ+OoxjD9ab3QGx4atrH2I3C
X5X0txT+3v566tW2IIJAtWH5ejSt11GygjT7TNuIFF4b7RH3P+6RFVzfZAR0gWaZVEWpwK7to54r
PWiypZCd1rJL/c0eVHRPJfVfVTIxPyb60KWC+RFkxvqljptZJ26MKa2kemuLYQNy2TyJETyKSebM
qegNT32S7oSSGwdIQUlb+h3MEhJSXtqFPxppM0/ku5JanWEe/C5Z+Y7/2DB8kCCLrqqynOIVJ8so
NqaeRESrHXQwbjpLhlMY2ZPehqlrVRDOInFWu0lNk0sOzcYd58zxob7YuYBbW33D4jI2w+tprW56
V6alWYhUYZBPPyRCflD9n7etcfkbLi8ZLV9m6KifY/sACC8Pk56L34cN1bGyLO0sUjJaHT01sto/
l6rUuoGp/vVl4KBitfOsXV9vsgB6asvGqIus1XmEXtMoERq1FwXpnUZNRg/PwYJ7S4IPivrp9jav
XSawPbhX4CilU0ot5nKbsgqYmtHa3pvARd6XChISshnGbti2072hFOLOh9vYHMcJOhJ4JFGPtgr0
0FgopKwvWK9o74CbfS19yHsEJIlsdeof1EQ93t7gtQdjg+8WXFlKnUxZUMpV7+WWcScz4xVWrgEw
a8ZCE18+MX12ur3i6kiJE4DPkQuTi0N5cZXgSGqgDKPZFOcqluAt1cf8XhtS01GleH5MW22v173y
am/rUURmnkYicmAO5PIToi9par5YlGeDiUCVvmtEb6Ayvt/e1RoH9rYMLJzMei7VYmCCl8sYamOm
9BxZJi44Qm7OA0y6kMPHZenMxqD8aqc0eekHOCalaTIefUkdXTkfhocp8rOdLHJlR8uvAWcEIBOV
IgKmdVXZKml1RrLcnAV1ao7SHL3mRvxZ1yBrsYJMvRd8KLpun8DGOfPcAiigmcY5r4sdedYEqEYq
zVnBghlWFkKodMMBRq453DGh9RjA2/Z4ASkwozfAO7I6bLXIFFidZSSeQikxjggB+cB2OwZerSQS
yA8inVkiranrr2GR9OZBkJDnsAtFCH75aLb+1zW98Jx0U23aWTfXkMuiha1AlJ4W9aGGw4up7jwX
Q5uJ5HKnZLPuY739ekS3lEVGlvf2KpwdeDeMymzOtZSWg50EcXUXGHPmFoWBjGHTDwKtjSA/Np1e
nBJhFH+AlmxlO+wq4ShUMRR2otA9xBG60qoPvXVf+vXO51znXm+/cmnBLOxmFHvW3zNJ5nAKc6M5
G/CAQJQR18+NEIArG9PZCcy0OgpNlzqaHlp0iHQ0AlFn3PnQb7fm3TPDj1jya0ohb1O3ZGWXt6qY
fFg5qaOdZz9B6zGTfS1w5XFeBop9YyRFK6LmC/fb744hOMXuWAMrbe18GoOfQ+8rYNOGtiIyk/rq
ycwmzak1LX6AxCUPaLWYU0n6OkIbbIahnv+MprFvnRz+elKMPlA+w4dLqCUq/jwf0rHzG3i/RvHz
v14dCcgRXHoKxc8F2Xy5yzqaJz0ZpvZcyFJxyOtGYoyZjKPXrN0K+RJ6r0+Ud4X4GA9M42R1ol21
5LeiyFqwlrt+kMoIIDQxEoKWb7pF4Puvo1GAvhTC6a5WOi6CPH9DxDneMbBlofUPwVtA+LIQjkNb
dbnpoKijUtCwr8IYrQMEXJ99PU3u8iGiShQjOhs3//a4vhkTtWxmYxdNZQSVL1c0GlWrE3Vuz/pc
wpxtEHa1s4oIAMzGB+xsOIGia+9vf9tVoPT/FgUiSXKgwxyxLmFEfYBcaCy1ZyQ962c6jhE0SHnh
GlU3HYgGm1MnheopnKbQ8Wc9/1+WJ9zmHi/zrGtQhQjlUtZ1fG69RL5Z1bLhG9oMEgob6u8ka7J7
XRUaJ+lr2aGsuwdUWfdyl93TiSFW40VcgOyrRFAT6ZSbvtCfdbGJPqV6U9q1KsI7a476KYIZ8aCM
0XQYu6JzAqL3Y9NWgkOY86KAGXLaSq7Inofgq9G3e429Vejz9ttI8gGwgvaTKe1emoPYjUx1SUN5
DgKKFmbLAEivGg7ZiWRX1PyeTXpwH8vUUnYi2OuXkjeSWjJjuIzMXTGE04Yqe7qK9blHFXC066Bh
TtQS9E48+SoXf8cErgMuRokgiKSGRj2cT3G5z9nowiFmBOVcgJ14TlXGxVS9mRxTKxkMSUot+nrb
5Je/cHWzmdDAM76pcUAMerlgFMRhPEdWfRbkeD4Ki+FRNt9rtG1ua6k7Uaah5LselqbfM4BgC5pz
N/p65rRSr9SJQ8WrFD5GfjoT6Qm+Msw7WeTGsvTRoV1fiKpgn1mdph7NwAeXzcnTd0kDwQZuPBPg
/QnanRRrwz4Jo7TFOkEqXqkrG6Vk1WSTzblCXa5NNcfQ24OO+m0H1Ks0ilOT77EHbESxBCVUGOjf
MN9G8eTy05VDnSd91/VnPJP1NdDSr6OeFocyzTQ31FCas0YldXrCVjtBD82hlEZPNVI19Ct7f4/i
fsOQkE9hvplUGn+9Hrwc46L0G+ikz0wCqy/hGMzHtG/2CvkbHpqqIhybSC0DrlwPiZf0Jv6Ps/Pa
bRxb1vATEWAOtyRFyUGy3e2ON0TPtJs5Zz79+eiNg21Rgojeg8FMAwNMaS2uUKvqD1UUyf0xUbOn
zvK9xBDdSUDNaL4raiTIDOV1UMONDP3KOqJqBMkZcCizvT6YR2nOc2Oo+2MddL0dguWR2uyn2ISH
Sj3c3o9X0mVYFYvOGTZS3LVrzcSs4BXe+Fp/FKU2+qz4QqcfMiHuLSdu/fhJj7v8U+KbpWWHCue0
K5YNkNO2rrLfSqAm3iAWhp1wjT0FZTQ+Uzf/USWNdCDHbe7qRJCeewVv19u/+toEYe5JNRYvn4XZ
cL4UA6Bl3VgGw7GFUDNoVg9gpf+ljFXplHW6vx3syl6j+Ln4aZCTL+W882ClPihZnS/31Fj3zlTP
hp2m6e82kH+Gfes2JXhOtd3K+65FRVIKJisUFI0X/3nUuNM7oyuj4Vjr2ucme5yrf/t0n/jkIe1O
wwTj9iCvLHTOrKXk9k4WXD8KzSEuhbEthmPT64cxMJAi/Zqjr1omO0vJ9/lvH4O62yHXnavlkqXH
8X7f0b+l7Hc+RHOCLJSI6XA0ZhOtnGwy7/pUxyYF0dt9q4r9HlHZ4hBEU+JmmvmdPLPdSdQ67cwK
99pkblHIryyr5RLkmFv+vgDeS3hYBHHWDEecouIH9FTb/UStei9zMNwJ6bxF/rkWDwFY8CDsP+7E
ZQ18wIPM3SgJHdf8UVJntwBgb7PzfgVK8Z1ctP37PQMwkmyGktyCWVstqKy1Wh33xPHYBfGPihKO
Nf8ptelLoFcbCOt34arVJU/tDTgr/Ste/GvBxphLKBatqDtOujy9or/5pWviH2LVl64Yz/NDIKeW
G9aK8QrFpXDSoamf8ABLdoYYRfhOR1qc2VOZv+mdPlXQHazyc8PAPJ8Krh3GvmzHRTLuUVuRvYGq
w8aOf++Zng+AO47+3kJK4BWyzh+aQjDMukmGY6waMWIFQpfe8XQwPweB4iV9Hx+CrK1f0sgMDqGB
0LIkA1gf9JyXbpQZXhkqI/KYuuK2NFL2dRVbXmdp7aHo8wm7NanFyk73bTE1P4VZLLih1fHOgQTn
ZJxCblKm91HfA1zt2y0JjStfB/Nyui8m2RdQjTX8d4QKZtVZOxyrBAs4MEnR57hvgteIdt1uGPo6
s8NG+QIreXLaWRm83JjGnTzVsdt3w7zrJpClY9O390hh+/cmB5RT0xvbW1qg7/NJ8+1cjPCvUypx
F3eFurGQL29+fv8iwL3oc3BmLSn0h11Ti3LS+Zo2HP259GG+CiWqTjiQ3j6dLvcmUUggufQ5FlGz
P49iQkcXk5yzQG2F1s0TaX4M5GLwUkPsXWPs5I1RXZ73lOPBxiw1QtKZNbVI0hulmedwPOpZLzuJ
aQyPCF7Nthoq/c5IitBtW7PArkDbkm28Fhl1KqooINCBpq3yuqRHU9kvOYWasfT3kRx8iWckXode
QzFalKfHtlX2ZTNu1bMvrxwaLsrCLaZ2I8MVP59hPet0wRzq+di3ezIwF0Wh8UXTm3tJ2E+l02yp
pi1Fg9WmJh7SJu+FSM1c/vuHdWPQVJryOJqPQzns5SiyFQmHv+ClklRnzreUQa6Ojg4IdkikKNxy
59GmbplwrZuPCEN0bm1VQEAsQWGna5YtTcZJAHvpTtVSddL1eWM1XVm9FNLhMC2va8qIq7GO1GbA
MTK3g+xN410cHvv6p/k/BeGVBUscQao1ArAtlbTIJxQ2a6n92UiZG6U/B/0txA3t9l688uUYjYVk
GUL3QCJWiQKcN0MaxGY+whQK6ycxPmndFzGZHBTFbke68shZIKIMhtlfoL3y+WcLR1/QxdSajkHN
20UBqryLQjdOnIYihOq039o2tWsZTKXmboRe9tlqfS5+4aDJWTULxfA8tO8XfSsH83yk09o7lOna
weEOMj1Wi/ZgjWFlC1pEcU4LM3cy0FYKqz7aeHqsu5QkZWSA4PppD6CgcqH/lapdPTYGvyKXXeWb
/0rlw9Vt2TVtB3Dz7SFf+64fY60y66DpQrNSidVFs6um9kxVR7rX0tDhjtn4sldOOZ7JlImobbIf
1pKQszTK41io4pG6yyMNAHMgr9P4t4JIYPtdLuuNjPqykkNdhbNtQYczpWtcFrX3sUiqSTpGWnon
8Gp4xac6sstc2MJ5Xk4jkbCKwdMVBAef7nzh6GVYNs3gS8cG6Vv5xax+9/q92NLNmoKNWbw2KA5r
aoZkdbRyVhmrXCu1YaWRfMQXsX3IaxMkiykoXle2wo/bi+Pymsc15j9XIW2GCxvntpJqI9Am5Rj3
ebmj29M542xuDejyoASiRm0dJMqy6deEktHI80wcRPnY9epnGQ8NsbbsSJudOt1yKlk+w/n+JhRH
ChQvXlkgic8/Ey8LXZ8iQz4iwPasiK4kPmKW4gWTuEejYV9TtYEov1GSuvxgC9qRpx1FRQC55uoa
QjJqSKy2V5C895FApZkhYGfRo5u5sTKuvOaItKjnchGQCq+hNXk9B2mcMbxSb6Wj1rc/+xYeYJfr
pZcVwbOk4gJbCeg+9QYOSIlUzTbHT2jPc/VURe1faqtxkNHEAH5Dj5PMhkrg+XRT6usHxReVY5nk
dp29Kf7X2wv0SgH7vU2y5NBM8YUdiqkFtTk3koLLohjHttQpDYIoPirj6sT5JTZy/TWqoiF3eWfw
rlG0OgWEDPiudZpI6Mbd0LWj4ISyVoROKoZIRlldm21spCvdOqRwec8s/lMwfdYUC6sawzIedeVo
lI1qp0lq7Luk7h+KwKrcCQ6Io82sekXxMQitzH86oZs2luGVbYY+GUuQ9tLS0lkdUYOWGN1Qd+ox
Nn8p3aLEdcitzMt8eePUvbLJkFLCA5VNje7Aupw1+dhcxV2jots/AW3pcVxNDUG36zIt9ppYxruy
GlNPSNtw34/Kphr45anFa4GyLBI2S961FugKhDKupX5Uj3CdHtQismMxfp7a5jCK0UOQoH2g3KnR
r0iK6COg2K1JePg+9/i23V6cV/Y9sDPSMtIZWEJrcIrha2NH5UE9clxDLpEyGxOYBzjor7fjXPuw
i5/Y8nhYoJ6rfMlCQrOO5VI7WghmW828nzANGfoATfuNSFdH9CHS6viUo9osArPQjkldA6b7FmXR
fSP+uj2cy6uU9yRcbTow9GDIbM8PjbosaSK3o3ZE0RzX1GEcHBw/v6DRgxxBBzlukrr6f/hUqL+A
mNbAFV+AZNXcb7hHTO04DpR3h8kA+mGmqle21Za/0ZWvRe+FTiMPW/ib65ZbGip6wz/UY1CWz7oF
ni4UH7X6d4UW9+2JvEy31CVHQFuE8vzCNT6fyKmMQqvAafeIue29YNyXSuSGIir00j9K/ZbL3u1w
V4oaxKPohHwkfVJCn8cDcteXXTtpx0ybxc7tyRxklrw07aVuHmtnrELrIUC897uZ5QiftzQl94aQ
w/qf1AoxoUGatFMlWZFo9zpurE6qKYsBFExCBLy0NvytylkIhN9Ih8IWgll8nAyj1G0lNqJ/bo/m
yiuE0ZCBMyRycIrPq9H4ko5nuKwdcWiSq8g2/MlOhWRfwp82RSeWMF0Rnzrw9dMw2ox84+tdeQUs
ZzX1QqLzh3WxUFXIvpbCztEIYkct/E9DCj2u+aaE8an9Zoj3WTfYbeulobyF4bt2XVER5TuSM3OC
r5v/Y5UAuENU6iiPv6JZc8AN/kyaZ4R8aRVCWFeAVctjCXN9f3var9wdvKooAINVJ59eo8GyZKEt
aJV+9HugNv4Y9Lswa4VD3lsYSshisTNrU8KmpRzRW6fbtbsd/8oJp1MyJTVcMNhAW86/eoXqMflV
Ty6KArIbjEXqagCInSpSmo2X1/tYVskodwNKkqhTwENbFwj8cNaUKSRbi+d4h+KtG1s/qsh/SoBs
+oozhQ1UT+ztgt7T69dAXWTJD1N+KLVTGbyl094KI1tCpryhiILwKsUUz2iRt1Dubk/KteWwVDGo
UwKjRuxpObI/lG18g+qRoqfKUZV++FXkVo31m06ka8qPS82hK3uvHpVDk2xpiV7BYi0dxneuMhYC
TNUq8lwIZkziREYbHGQl2Pv+ga/23SxHx0+BhT2KVXpQE21vKK3rd4cwag9+Pnq1Fh7SUP90eyYu
76bl55Bpcqvzo97T0Q8TEUFszcJ00qE57AbTFU4nefpWbFknXI3CXqL+QbPrsrpqJLMWoiR7xGG5
cMoZ0f4krtUdj1feKqB+qYSYf321L2LLgDAXizrO8NUjZVJis/T9CLHPZh72fuOXbizLmZ31U3y4
PYmXe3yRvCJXF1Fc4wm7yiJqsdT1ulV1sgjLKVMFWZvGGbLiNI+KZwYd7z6d7KJ9vh328uIlrAIh
YMl+2eGrrV2GWgiSTdePQv461c/h+G8aUG/dunWvju5DmNW9IQt5OomBqR+VuPCo879J4FWUvHuK
B/Xkk4mic+gOwgbha2twqx3Kxs2zjhTgyL2aHEbjaNybWy3xK8uSCUT9npwVmsO6pdSHXV0ZOnqw
Vb0UbkI9eAjHsrpL0zxzTaFsd2aJ7Obtr3Z5IC9f7b9BV1+tRRneCBMULnuIjC5tIsrxffE9qPx2
dzvSlVOOUFA3eDdTA7woF+etP2lDwrrMrV8RViWGdeBkcuRUPOTyQ1Lf9+EhLLfWy9UBfogqn59w
VdlrgNiJymEOaJhct7eDLVTMckyeXzXL0BaqM1+OM3w1i6WkC2GQaTqdDVeaD5sWV9cH8d///2rR
66UKYqnn/88Tz07b10D6qvtbikBbQVZrXE7rJhe6ZWeNklsbuu3H2mOp/vVTgKkCj0ePVgICv67k
BVaso2VncfhaQbBrqB46XZb/pvrXe7cX3NWPQrZBgsmy48l6/uWDvhwrWQiNY6wBrNSluHJKwBr/
QxRkGZduI8UH+PvnUcxKrJNFhOg45FJxZw7w3ajWxBvb9PKtgQouDXsy/wXGqKwWWKLPAI391jzm
YobselaJTmqlJm5gVnOPSs9sD0X1T4pSzkaafC0wkFG6qMuFbK2rGjiZTJMgjubRH2a8zvRM96Aj
ZhgDR/NujI30ILVys9eSvNjd/nxrbzmqWwu7DB4dKQGp0VrvSFEGEOjCYB618nUWv+IG7GXRcJgz
5ByjnyOI3EQ6qJqw67X7fqnr0CCFKW/H6mRbTXGAYHRvoqUVidG90Sygxs0+83Jrr/Y9njfvKRu1
VUT1zj9+kKVxaUQC+75N4zfUX8rXThB9Eje/elIFtXDMSklcyijqvtRniqEYi6DjGTqoHQquGSqd
V0mD9kQfVHTqWDW/xNYAHVLXK7eThH/GbE4+RaIwbKzaK7conBCkN3n88Axam3eXXama6cSpaMyS
E0+aK+Zu0X8Lxbu5+LetniXtx+2veWUzkpGQAtGsg5yxxgFP0WSVk58jRqUJ3U5KjZ9+C6judpAr
oAbe4mz1xTOafbJWIzaqvkBo1teP6VQdC2uXGQ8U8tsszOxktgMr9ObpH91/y+PQzsKnAKKR3z4E
+kmh7SblgxeZw0PDc6i2k2FXm6+deajkx6KBL7pLQhqqvV5v5E3vxlmrRcSkgCIBeggrcK2PLqi0
NnxOxaM4SwVrO639z5JeW69Rq7eZMyaKuJc7o88wbFPZ4KocWgHY4Hz606kRzMuKPt/soXQWAWsI
q+KHX1tRYBuyL6ISbqQ5KOcBJanQSOTWlTPUlkIta/8dZ23GFG1IIsWVkln9NwbAEbqyEuWi05CH
N8iY+j2EvaLt0p2gIarqlmHcZeBM48UKKJ+sn1rVGKatCVl1RPCgTAD0+ggQyKmG7EdbynNKQ3hq
7skZ/U9YJ0rf1TDxKUE0MvWLQkukjrPMFwy7S6UkdlBUtfapOajfglmpB9satfpLG2ZibNd9k39L
sZRp7aApAh4tmtVBsA3KxAW7CaDDl4XAEayIy7HJpqZzpwEpvXu9N3hf1jVF2p3WFXq0RwxKL++a
tul+ir0gyTsBMRx1r2tT9bOgFv5DD/osx9Ve8wPH6PJ5OGA9ayh2OstauUOKNf8sdrSKNs7bdRII
EwJDFtQOuCIX0t3qpo8aw2rnRqBSFonlvpDQQ5XKMXatovcfokFud34o/m3m+Z+gIE2pxmDBbKxe
DGItRWLRR/pxSg7dV7NQ3bnYSY3XRn/7/l8iIS/MbcnZDrFmNbxaDKGoKSWPBEux/VD/alXdHYWW
v0zXaS9z1vAQgYy6EJRXl3IWlWopZiL1FYEdoLmyj+bXsFeULU7FRRVpicSe5XzmcQe1dpVepnnp
z33fascp/j02zZMSV/uhf4zyzG577Wk0lb2Yv7SJ9SsZthQj14c4sRfVYZjerBVGuoqtVdYszD6p
lD8t0l+xR+vSznPt3ohrW4IzKSGa121kIssX+nharYOu1ooCACpJYd4dlfBXmH4R8J6L/vZRssRg
9TOt6Hjyh1WM1NKbBHSdfuyq2A7b2K0haQQYvmxcF+vrmzhILoHPpK7Ao3yNhOi60JfkWjKPUpGb
+7QxYV4Dx3bgeUme3LWyG6R64CDD0YAvMefvjd6Untlb3xND7h6mbJCOk0/qkdbI9E5aqxwFHW9E
oU3iO7VH6d7Xct3zpXBLUXjtVgitEU0qWqwozaFlwNo7zzyiGXdCtYn9Y5QGtpLMuR0K2Zc+ED3R
f/TNfaU+WLXhiItaiC88DlO9y8sJ1FrnlJmrCZ+NIdjVgWTXgCxic+v3XZR3qadSd0MjkZ8GCEhe
/b62TgKRArV/lKS3kI8YV57UvCQ7tQrcXJzxqKG6pHBZSM1jUW992XW2sUQHPYcpz1IJ0daYdrnF
fEdpUv+YwSGzi0gQ7dDXN1Kaq2NEAJNi/LIHL1T7BSk0SuR9ubiH6o9i0MGP5YP/JviOIhwjv3nV
gsHTAslDABjj2i349Pq9xiCxAlGwCaPUgzD46k0QFjLdFHLDo6nmdiBmnggzu4EEcnuXbIVZHdmK
7oeB2U/CUUaxo9X2QvlbioyNIBfFgWUwCxkARwKeh2Rx5+u5SXFxSHxLONZmspeH3kb4Vh/o52s/
6h6R7hT1ELNsnXRKt+BAl8coymj0cXhZgbOHxHweOotbAUZHHJx8CY08wxVU40B0TX/2JWz5MLKY
Fe2fVOk/C137jAXqvwNaw61KzjPey7lORfg5Sh1z+nR74i+y2WVO+MRky/yL9/JqTkJqzoleZcGp
b3boeeCk4SgI8lSFl2p3BuRxeDdB/inD5RvN/hYtRrn4tBj64IjmStlBAubaxV/iYmdZn7rak+N8
V46HOO4p7NZOVN6bjbphLHdtMrlyaRUsc3khCQK+K1Z8ueQ3C94EQJpI9JK6CHnF2HBMkakrTZhJ
MI9vz9blvUTiLy7SNaQV9IPXkxXGqgYlOjhZkXwajMGeUGfAFXGXZOHd34Z6b5wiiCZTMwfJer5g
UskIpBSv31Plm6bbGrHXqNK8C/KfMCe827HeNVTO79slGLBAEg3gLWvWAqgqRRB4aGIrH8+trSdB
ndp+A3vNkeVYGu2ko7OuoMY52oJArqOGVvpsCDJ8g3C2poeiQv9FnE3ZU3ooELbUS8Nvq06Dr1lW
NBub6fIroGyCaSEZCQpuVCxWU0PlQsrUOcVVC1gC/b1DkPv39PoW7uXG/rhcauexViV1Q07LClIT
1uhTujDY/cEtpsm1kCLw8tD8Hgvq7IViEt0FYtwcbn+XqwO1yC3BE9OeWefplc/qp3KRnoT4UQw8
vXhM68i1uq0u1pUEE0TvUiyTIG2A6lt+yIeWCNXsOrOyODvxNnO6AAng+kup/qHwsJvp9Ka9PYT7
KhdcrTA2sujLW1TDbuKdLrO8qdcS4Yo5pr7VYqbLL2s/owcsPWRaorzcnsl1hQmFIgT4WeMwZdAb
XrOAKqQ2TGPEcVbr/eh+pEPnAK8tARSNcsTgROVLRh0R5/u69jd217XYi9QyxwXWQXQkzycXcWkx
HwUMUn30qgacw9QqcUIBnRqUrhJZeSmV8vvfDxcwMWUt1s7iPXUespI6WbA6BZNb3JijmTWr7I34
O/PsJU0LFfnr7XiXD0owK3RcIfBwXKHPfx7PlKciV0YNp9ke4jtljyEMBLcsxiF/rscilvdWYs71
AbRRYv6+HfvaAloEsLCeZfVSQTyP3U5FWjXNjIl3Bo9wnlq6p4qau38fZQGhQjHiQIAycR5FxhYN
TJKIMXmbZxzFovRkldK0UY68ku2BXQFYC1cR0DlX23mYIBvELGn97ERn0Ta00GkHqFP9QYRDEIaj
J2jBrtXtMDM/C353TM2tROxKzg/3B3AvOfUiWbxeraJBi8HSJpxhoWnYoh63XmVkJ9HIfsla53uI
LoV2UhgcR2PrO7k6/zKq9hDX4uT5uE/s8zZ9RRwscxLejvaCUXSCVu52hpKpXkTr9e8vStAxlOCp
K4D2XnMYq7nOowSJnVNrCR7CUE8jCUlTP9ebYs7X7gK08dnGUNqAZq7WQCVaiVWpy9TUni7dN/tg
Fw33May+Hba2t9fbtUMDvM/CD0ZfBhzD+UKIG5/3b4JBr1p0safJFcZn8GZdXErH56AfpKfSGJGA
StKN7XRtK/PKZzOjISSj0Hge2OgUK9cztpOYvllWYgMCykhChvs82HI7fncRXaUdlgWOl2cmb/AL
4QQd9Uxg6wITiuXfS9KjZCMHknjQAit7DCHuu30Lr03MhHpnZQLHNUq8LsCzeB/rdeEpSmY98kKJ
HZDHimMMUe+mQS28ZEEA615qzMNktYbbNKH2EGhVsqeP+xRUpbBT47zcD7ES3IvKAC6/rfo31Qwn
ntVF6uDZWSHVqtR3k9zwQC8M06O858OhTNrD//ClgctAQ0eBhazmfML7FGArtUX8HYX5jUfLayj6
tiQlHpvJUZvAmUTAvbdjXkssULhD9lOjL3vhSpMJpi/XY52fkAx4qCVEEoVHNcyPRvvjdqDL1cRR
xsHMGxmWKgv5fHBJ20YC9kLYdJM94SWfSanbcooks/GU9fPr7WiXG5TbHblYyEKUqpD/OY/mz7yF
Lb3MT4r+b28cFqpQVtv18EcN0gdA65+wWb8d8QIvB8qJ7hHcxsUTlBRtNcBgbKNBlDBU0UIc1MAu
T21hJ0Jk/W5RRZrtAp4tD0zFqguHWglkggE3tyclHItvYlJoX2RUiibb6Mu5s41CVzq7FBPlbm5z
+UfR+eVnK9SqXwFwkt6NUyVq7SzXwz+oPqCTc3sw1z4W/ACgN++glfUd1wd5BThuyE9CC5GrFG2K
4oDVptfEHByti7fiXftcvDxp+DF9/LU6asYwaBKeiwWICv1ugqB9DPLJS/GnDX3xYCkJXM8tr9rL
cxUGFOBQ9NjwnGC/nS+RqdfxIp+C/KSjG1ZaXq7/rMziHmxCE4Y7iwLA7Tm9kloTcKGeQ2BZEJyr
1NrM5MgApo2luyi0NCQQCfiegdK/D4bS/wLpxeydTEnMzyGQc51ELaWEO/YFGnGhNgJ8vv17ro4f
RQ82B/wvOAbn45/n1OJxV+UnuUsSR41pFYZ5jyFjn+T0Ea3iJVCR+MJO19qIvJxj54c9E7FY5XDs
UDRbR+5olYhiwuY0R9XtdcFJkr0Sin9dGmCayfbpRjF13Cnn4/OlEYdBf8pPg3RAUsFO4089/Z6h
mB1DHCCHJDtKMRuo/OVcWQ+N3B5CD3yNZSmfB5WtpE/FaebcGRArUZ940bu3P9u1yUOvcCFBQm+n
HnseocoDyw+sxX4epYiCBDA5ppv9/2v7X1kg26AMwAeu39Wh4UsKiVt+CvBQTiBaVMKn0f/sA0cK
5k+3B3R5Ay0yCQgXLUwK3vGrRLcNxkqZRoUpU9Ld3KtkuZ2j5PNO7pst2cDlm68/D6AwpLh4Qy77
cDV50VS34WJonwjFgx98FssvomqrAT4wpDW/JvNnY21Ju11bEkDUlusBoRfAsOcx4R43QCIxGKed
6XuNoc1ujEKId3sWr1Q0KWaiiMiWQvuAxP08zNTDMVTkpjhJYYk7C63j5zCvHH96zQ+YybulqdnJ
VvZwbTFC7mQLw0Dhql0dab3SJsYsQ6JWjYcye021+1rcKklcO6c+xljdDRRz8j7sMaBv4gn12ru5
hBGPJjkacgqsxo3VeG3lf4y2/JoP9Q+0cmtDqQNs0bR01yWykxulrZRf46Y9aMqWVcu1tQHGBsQQ
KvPcDavNLA5dHAs9jzxNAzESt+R4yLtvdQ2v7DBIcigIWyQoYOpWY0pHqWrnPClPgZ7nu2Y2lAr8
eyfvpzGLDjkaVRuTeGVYjIknMixDCCxrXt5sxWmZp115wtIk9AKa3zaSP39pN01Pih4aGOLlzWAC
ZVhtrNE0o3gy8WNRR9l/6jv0msxSMNyNjXVlRSyEepj8yOMQaRVGANme4HSwuLJQSR5eyzF8TMRX
tR545ZbPKd3yVpnuln8jxLVTkDgJsb/BwcIust6j/eD6obpRK3tHk52dZJQaKelQ9ONHwYdffVMe
n73WMOZTb3Tjj3RKotgpY+jO7jCpxaGtlEh0OloZsatEieD2sabvVQUenSt1WaXZWMkbvxIAEr/a
ycdZJKha2WYV1o0zxZP6gqZYDVGhtsKdj12RsVPbcBidqobKbE9a1cKSQDn4t9DJauAJMMp1h2bt
8BZ35jh6qe4P3aci19vhUJd1otgVIkaNbQyWHO0Co1/Kl7mf8Mdg0gFVlCjvbny55ci7mCPqbJTo
WfQXZl9yYpWDVYY6WWyl3OlZeeeLGZX6ZhDvcqCNjjG3xmRHYdjIdlMjRNJb4mJMOESPJqYEGyIu
lwkgt/ZCSQJ3A7qO2sn52YL7E+9QoDcnPlNrF6lyV2Stq1h7KVXQsA3uUbD2ZhhfQRK/zIO/kRBd
HNbv4al48bQEFrtWO47yVDI7I9VPQxN4eaVLvFEiJ/SLaCPTvTixl0BUDBY/ULqFa3GBqoq7uJ9L
/VSYOYgYhGfSmhdEZtctzPv2cfA39uhGQGO1Ra3KUsB6FfoJuofdIeppIQzclK6kqbaRvAnW142V
teQkq5XFhQ4MG9w5l+26VRaZRtgOIrsPdHi/46QqHpRI/TN3kDtgFGD+GBWz+tpU0Bb6XCm8chj0
vbA4B93+Jde+KdBtPipnIXFWSwq7brXHdwtEWS25nbVXpR0Vu43veT0IcB0+KkntOrUgQct0lCX1
Uwu6saErSx+fc39ju25FWb1HMotyTeDnRGnuWyqbRr5XtY0E8HKhsPSphtPcpNbBH893ICqvCDwU
qnLy4Y1CCJSlg5/cIXDmKOlXKTI31uV7W+Z8nbDT4JjQSll2w7roEYo4/tRarJ5IoTIHMPCMPPWk
ibssepGT50n9IcpfRerUopo7LTWrup88nLCPgQqHKN26Ma8N/8PPWT+JWj0YlaDh5yjKo+qj9ak/
ttbXVvbG+GHINxotlxkp0CqSDqAPiw0Gs30+2az9JDY0wcBCXNQfxyQ37KAEE+mTzXlATuuTnAXc
BVwpL71WTk6Fa7p3e39cZCL8BjycEDqhFYiq3aooIythAjzUME4p9yPtLjfJvv99BNoA3MHg59AB
W+b8Q8JoLnpW1tyYp1IUVCdhs7tiWm65y1z5cpQowJhSj0GoaX2kNkXTFZjlcqR2gycob6CAH4Xo
qN5hnOnyTP/rY4WKCG0UwCbA85S1sE8fYfzaCwnTZor3mkwdPcfvVS30LUfby01Pq4+HC/8EPguQ
9nz2MHIuJRlnAxyH+4e8aSMwBdGL5FsbO/EiBYYA8DHOeuPLDd0KkTjJMNsmcihJ9BVE8q7c8t++
cskvkYDJ0IHgT+99nQ/rIWKJm/2iRpRzKHhm1yi2GASp3QFIdv3UF+76dvYPKBMjb+aPgtd1ucbx
k5u72wvzQkyB57SKDR/vC01ZkvDVrSiiNikYgY9h7iTYA7ZtWfY1lHd5pr76cE6rvTG7VTk+xVr+
uRzHV5qEC+o1TaqNX3JR3VvoYVyWS+rBIbhmRuhBBSy2ka0TbxSaylLe3FWpMRwmJU92JN49DFRf
8qo2MO78SZbubk/EtfCwwZH/5YsolBnO11ioV2Vs5YQXBgtd1aBxS4M0MI8NvOituxnFcT3H+1bb
GPbFw+EdC8YRSGFzQc2tzr+mLkQtRrrk1P2qEhvUjP8wqna2UXG6Ojrm9P+jrK7NiM0fBUsU8UV0
+ufuSx879Ejeqq0ezbIVV3cZ0Lb/BlqO2g8LG7WfVs1mAimFTanwa/p2+zNdTheNAZ7BFDCABaPv
c/7/j7mY4Xxo3Umdnvzou0ZRMprfzPzO1zYeT5dTplKfQ98GuB6KTGuwoD8JCTJi9XiaLTR1hQ4z
ldER/G+UWKtBpfYpOAhob6Q3lycQQRe0GX55mMivmS3ToISDFsjjSdI+gXEj+0Dq/znXp41k7co0
8hZeYtHWQahx+e8fPlPTidhqhcZ4qqBgIvljd2YOVx98vvRZiqqNhOr9EDlfFSq1LQqdFDxpUq97
7mho+QltiunUu5ymP8zKHk3OcKdS7U61E91BnMbe//jyuftW74X79CdQ/HYfeeFol2/jW/lS3ufO
1svvcqnyo1hIaKNQ57soq5SB2DX+EE8nWEqPA7COUsCdKt/SW7821dQuIfWodEou3nOjGdcCbcnp
1DRQ2IfnMATAn9stAtx/rx+wvPc/BlvdYJ0JCwP3lulkzCHL0xGL2rXE4Kik2Z9c/VU3j71QPhbl
IRI2VtS12STpWIQ0FsjimkssCqLa+0k7nUL9LjKEuzyxdWBIf737AVT8N8hq9895AZFYrKYT1du9
oUZ2OkwP3WMQ7mZh67td2YogxvmbethC/l6lbCPkRstI6vmkxAB1ox9KIzui+I+hbCQdVzJgxDPI
AjAeAbIFVuR8L9YG+y7Xu/kk1GDijL35XWwhtbkFOT4a47s83cjbLlEjqGp/jLi665JBThAKIaLR
zZ6pFp+65xlFNod6FN7LY/E4muUhH22534j8/ghcHQSLxD6wQfR3Lx+JEHK6SJSH+fT9+zGyvePL
Q2H/fIrsJ8vO7MqO7OPokuLboVM5we4u2SXLH+zQ++efym5syYYwtXv+9O3xtfjumHa/++HbX0J7
smW73vOA3oc76tp25Mr2y4Ht5hru5539af/4eP/n5SG0//z+c3tFvpMcb41odbPWljkazcCINLuw
n7yHh96Td9MO0LNj/R9p59UbORJs6V9EgN68kmVlitUttX0hWm3oveev34+6wF4Vq1DE7E4/9GCE
UTAzIzMjI06cs0Mj5RGsi2ttvSd9Y/2sn6Dc1JzQbT45h95+AK5vHxR75bK/vb4fZnlxCUdxNei6
P3+T62Xptir2KamsHbl9Pf5VfQKbV0+f10KM+ZcuJgJ5I3XubIVM4Cp+g3q+H0sJnbgoIiceCtu4
iFeu5Pc9t7QBJQXNzGDzaG1ZDIxeUzH2tFw8SXbuvKEsxB/E/ZzE/vblV2CL9kn9vLK+N44B2gP/
1+R87n24KdNQ7abewqSq/NCd+JBsBIeauvP6fXbYn5Bx2PUu/a4wxSfnn3lSjoD2bH3bwt0o7iDp
0HObu0Xe/ejXiFWvlHg47S++bXHaS2MUh4bEt4mJstWE4iSm5qdx7sbuv0ILt5GF1vGMftMGvywo
0qxDXYKY0R4rWNOmftcaAqDnkOAaCK91gqDIBtJiU/J2ZM7WMNS3RdetRDjXbjILfnEZ8mwEvvf+
Mvown5UHu29cltNJF6Z0Z4ZwMZiDEh7uL9v1ql1aWVwUeWrplDHYAR1ykE8G8hdbFL1YN9kUjpan
9iuvh+uXNysBuBwBLIXmnSWojOSO2gFYFE959GB07bnLD1l6rM23sn5WR28laXIdmr4rXNIoO18b
iCRc+iSY1GqsIl86QYlcN09W0dlpgZL6ZpQ7J5OUrVH/uT+fN3JUNHoryIdCKQAUYMnfkU5q0kix
jsn9YNnqlNpRLTlx/q3+GzS+DWFR9qi3D+a0UzxkE8j/aUQ3XpqvLOyNl/PccU4DFun6mVB0cQQo
WmuSYNCkU/YkmIdJlahcIFYz/kaLgH7hJnsp9WwrGdv7E3Adxc1mCRSB11HFXNYwo6TlUmtN6RTV
PNHix1j42SBmHbqh8P2+pWtXurS0CM27Qm6kaDCY6Say21+i/yqLX7My3gQPHjym943dCD5ma2B4
IFIkASfOX/NhO4qd0cD6zrjqcTu5Ftsehh1PQ5g1kuBM9SAO++NzPtw3e2uMzBeVfGrsKvmHS6uh
BVOdpmbyyTTogLV2QXM20Cj2nDb8JYgrE3prjPgsIIVZPwVGocURXolhPEVmLp9S+hP6fhPWtkrL
QWluU0KO8lnoYjtBdOz+GK+PoJkdYeZ4IoOsEOtcjrFoAn2cokQ+leIzqNw2rrfZ+Oq3/UrgfWMu
sTMPj9CR8vriEig9QF6lXsmnoagdM/8VoOAYhQUQRW5GS3tApOb+wG5cO/PI/tfiYvWSbOgmzahZ
vTy24wShlNzOuu8gkATFKYdy3wkbtbZQUzVsUqK2EFg0Am1y/rUZftda+ehZ+ya1+xKVK9ysDo19
5uv7RDYcTaGDKdjd/+KbHgAmluNipuHE6y7XIo9SudXbUj4Vwi7ySLNE1SbbAd+XSnhgS9szIEVY
Yz6+dVQR0qOWR9ZlLr8sjqpglArgPx1+F2h/UHVzBivcisqmIJkg/uGVj+JCZbcGhP6pdbg/5Otr
duapwNupI9IOsmw2lrSqn9qqlXm9mBqES3W+m7wkXpnYGxcRAnlE8jDGwQ5kLS6ivionMw08PCHK
XrxhOpWT4uRhuxH0DCIJkeVUKBvUK4fxrZmd+brJXYITZTkX66kHVV8JlBROefcbItceC6OwSTRb
4flg2mFmK39rQd7cn9ObZmd2rvdtBrRqEVUEXSkXdSVQqKGDaax2tTBuBj0lgDnq0vciLr7owk4O
nyDnXAnpby3nR8uLV0ZOw0lsxL52yoeygi2hrx3QgdPKkXVrObkG4FVBEw8l4cW0KkmoZJEXaKfI
A6oQQ3PQ/BvLo4CUhN912/5TGRn7lTmdX7eXIT0hE7gT3tnEssCfLremOGmU09myJ7+2xW0zvsiw
9JbRvs+/iImx66fYls73bV5PJq9sk7uOnPfMzruYzBHOCAHlm+mUyJGybdtQP9aCUa2EhLesANoh
VpqpMa924Biok5IHxXSSJx5CY4iQHhT7a3Jc17cM9RDAmbMqGZ2ZSwzuYE1y4sWxdPIiRf+Za9a4
kzqTi1TzgsoGqBStbIL5srxcL0LAd8bU/wkGF1t+lhateOkRnoC8oXnDawL6TuGHFPKyWXsszA53
aQwlAJPQms5yHHJZYQqyAfApmpinKhVtYyQRMPDUjz5r/t/JfFSiFWe8nsxLcwv/H0qhTy2g5qAm
I0dLRgfXdGrtS/XfMR6XhuaN+CHqkilmqY0vGiDi8t9JkTwFYTTZrWzLRmALxqMgaDMldeuq3o8e
cbf7/j/fz1ezOpdYYPTgrbIkCDLMQrdiIsJTCo3An9E/6j+K5G8MGeV9O9c7gGTd3FRGFzo9Xkvf
TOowKAU0Yk9T5b+l9N1wJXjpyl1w7Y8YoeMVeAUJAZLal1MpoVQ6mHlqnqwkDR2wwoyJ8jUtR03/
/zKeD6YWcY+eZqZeQHBFRdrMbEMtsm04wHH9/zBrH6wsnLD3p6jLRwZkeumuaSbkdNfo5245wMc5
W7gf8gF11vksTGpsMqHInBRwQWu8mnoC31P05f6Abu2qD9aWFcaZZijXaU+ippHUO6v12o0/NS+j
5T/F1Tit+MONWgMOQRkcug4yjVc0tupUV2GnlOZpHLONDO+i19TPtSVtxcjcTN2D1bR7tFWPqtw6
4kM8JnbYSnspb39akfe9+Bx3xl8r9mxl2isSzwSqj0Esuami26O3MaBSwwv2I709uWp3cUfw9vn+
hN0IV2dHlklxcQdzeSzijKkKIbIHoXcacm2Th8oxrNNdHHAbyptm2Kjesa1f4kZIVlzvHXJ5eTKY
BnkZKqAEc7xyFx5eJZE+Qr2knJqxgovqW2Qd6MtP85e0+CVCK+Rrn9Tgj1z8y5rmuVc+d9ZLF38z
zOSxE7Rd/WeKH2SU3NuDb9KqGom/70/M9YECPg96YgIFrm+qSZd7vRZmvLtQKKcOvtsNBXoSVpG4
Bky7Mf20e5j0UHMfz/z9i/jALwWBLsFQP5VKYWc1sstb3lHGV5Rwq9fezYJq5UC+3iEU4eCzM6F9
gdD9ve/tw3Vg5bSa+V4FPqtDnEIwy29FSmZHjH8IpdWthJLXzfv0BBCuQ9NB2Z9ZXBwwahtD6RXq
AB5jeVtmE7ACOduDOuPNaMlvIDcjRNdNcoJdckw9dlDTxHuNQpwXHhW5UGCWSaoHVerGh7HS3u6v
8Y1MEy0LyPGQHAS6S4x2uchmK9HN5wXGyTelx17Qn6rGe4Fyws6trzJPC1ThN3rdHrw62cGUnKpP
mvJQS+ZW6lx5Dbr+Hgte7oj5a+ZWZeD3M0Tp8mt6YegtzwPjIn8dCEFMuCN+WNC3OzS7au1b+Fvq
HetstIf7s3B1QkPeCCaM+eYehlNncUK3eizXsJlZp6nLtmPwPU8hAMrPxvQKAfd9U9fufmlreT6X
YEipBWFLgd7vq/evcod8U28CeV+a9lp/0+xcF/M5G6NnDKwBsBcgJ5fzSQeHmmZRgzFF39b5Czoc
toDse0JhJ/++lr2/2lgLa4vgQJE6v+Cct06Z/q8Za5vWUjgZfsw6xPcn8SoKwRASqzQVz8wB+O3l
sKRKH4XECrxToo92yYUtBz+tdo2H7dZw5kwSFpg5zFxa0Xs/Qv0i9E6GvImtDX0AafBoFithzk2H
AJoLpOudhXvZb1AxvD4xMDMBdfg0HZrK9lMnop7WJY7/8t9njiwZ6C7g6UA6Fp4uRq0aFULk8YCp
4CPaSNmbkq6cKVf3Bmmxuf0ExlPCUF5kl/Mm03yii4UvnDQ9rTe9lgu20svp8f5I3lkSFr5NLzzI
FBl2KUBEi+VpokSN2yARTt6X6iy9qhIVN6f9O/n2OO4e9M9at6UTGWb9FbtXT2gZlgryPNI7lBqK
k8vh0ZlVCZkiCiexeoqAF4yaZtfxTwS4uyazVW8jF6D/pBWXvz6ieG2aHNQ8WuniWPLDo6wnhFqh
+C599nY3/bGa2u7aN0P6jljaiq3rU4MiB3lUDgwmF1+5HGEZdVEsZFPg9tnfIZRezfZZjNsNUEAI
JdVNv6bOfN2mO9siw8T/DQqf9sNLg20V1NWEbJircj6l9a/WiUUX1Tc6wKB2mZ4a7XcPLWbbfqZV
C1lcWleE5hFytn0412K+I/xkFBCpW2yYisrEGqPRjckHc0nSZA7WeBkvXG0aJ92zwj50Te8pLnyS
TtpOqP8W3nckU1fOgyvOWyIusqb4FdwCbJ9l712nUd/2EBJxs+4lyn54/ZdpfBqhrPb0ettLePSf
UrBDXip0wme/s8qVIQRVv3WFAjfXJNoKMjjN3Nzhr8HBr3c20SB+P5MBc2OoC8cQG9q9xlSJXCkE
q11nZKOTwbNWdtiVagMzgItziFA9AN++zB9Po0fyFBoWV5PZzE2zScT4OL83C9gMfeHc5OWxLcSN
8c0bcpucixwAfwHkm/oIACXfxBRcNy+RsdiO0a55R5IPEFBpmzRc25fzgXl5CgFmnlVE6B2eSboW
8ROQUc8IRjF228Cpsxc1r3blrCihv7Vyf/BSBKdWDr4bzgj4lycrxRxKn8vGiiCTpWQyzNitrIeg
epXac+g/NPUTHQEr58A1soFayvwPSElkdAkkLvclfOYlNNNe5gZ5twOzbYfxaFeMtJc1u/Arl3QD
buht4vGr5GXP5dD958Eyt7AuUNYBMk4Ly+UXtGFsFL1XaidBsJxwBOlRw/9GJUFO9uYKXOZ6YiEO
nmtINHHN74LFUvr6GFeyGXJvZVqzC1MBpMugyU9eLtFGptaqq7arEiW3jUJTSgQwUzkungdTEkxp
aMbCKSwkBEnUoDedzPKl7ZTQdiCOde009FJ9vX+JXZ/wIPCAA4DrYDtf7TAp1zupkAeBXJFZTU5W
hJru8NA3K074vPbsevQsKpKhWItbwGbpmg7wDdeiYkLDFelGIMhIGl0uLJmsVJX6iS/w/CC3hwQO
GlDHwVNGut3pMjZql6TZRoBQ2M7SGKYyvToQysp7rYE+7v58XAeUJuhPxBsAS1LaWz7S+iDMMsMU
EzcQB2mbCfLgYJOqe9GuxQ83TJFepTeXyj6wjGXDWdYDwqgCK3brQVE28QxsHSr67MphXGNUvGYL
YkzwaoHyRpGAQ3V2vg8v3VwA4Rq2UeoWAE0aGtrMsoZyt3K6R51YhXNDHr6wj584RLpxk1XGoUnS
fVHvDC23q2rYjWn5VtOyLK/steuX3qzKQ2wBTSCh79WMS0qXBEGTpq7oWchxc9VL+25MN15BE85P
qWodQ9spaCc2+8Z4TFLhP684NIHm3AuLBhXny2Kzc7qqjZwbqeuJD2qmsueSTbpWbrna3HS3wC4L
eY4566y/h/4f5t9XW/YA8lvENepDoMpOW3+y4MNpNZeq7u6+D18/JBbWFkPSVKFt/dHP3cnsjmbZ
26J3LIbNlwiCWJhztJOsrEWK10H4bJMwfH4gsYjGwibhWN1ZQ5W7NTQ5diB1+TaSs080uf6q1LHe
cVmFj1EXwnHfpuNGGWsQO4YBhbVo5ZvCi4RfQSas1YJvzTv5dnjAYOADtbW4t/xOGZuxG3OXahRe
FBp0qDedQcNF9DPok3I7qescojKb6SISYCp4jsA6S8KMIH1htDIjve5rPXezHokorVblo6/SqF72
qU8qq/YPpu9zewmCsNHj1HvUM+FHLhnlsS8b89+KM8wh6dXXkEaZ8VFw4C4fr6LZ93RbyrmrvRgH
5TEqSCvZnT38U2CTt8Nj3tg0fq6heK9rtvMkMHiddB7lvvds2AePL0So6o1Szd1hyg+lpNv+p2os
NnVX2xZikLH+0FrIqW2QzLs/4JtLPr+PIKsR0fxa3CdWOMKqMvmFK7bNl7odo61XQsEha5O6jzLR
gEl2yt7u27w6yhks/I/scBKh5lXzriZQaxWmKXdDUsh0gEWInBat4FS0n23vm7qKvGdTFG1BvBH7
8Qi5PMn1aayJtaTCNbyfivxFt77c//1XAcHi9y/2sSQEmp5FauHKxsb7GjUoadhV6WTJHke5b2re
BwvPpDVv7j7ilUlhbrFSCXrtkZcYhRv/K47FOY5tc1O2TvsaqP+flub1++CMvYRCWWIphatZrmEe
827TxM5Qfx5fBG0jNSvn7w0PvBjXvCM/WAvlSe+TeVxq8qKFW0n7FPzy09fVBMSNpZq7DomQuNHn
vy/tlEjZxZo5slT6ZoSkuP9XEjGJ/gtkqE48lJv7y3XD8y7MzcP+MCzTEkaCQMxNaNpGr+0aPOCW
O4CEA5oCZwJBmHL5+y3BNLOQ1L+byJUt1K/6+BB7/7zyKJWOjkJ1BxHM/RFdxx6kNXjO88IkvQfH
/MIkXJFd48c4O7jJqXgOEQWC1OmJZPMf7xUek9w8RtAfrHUb3ZpJ9Jvg/CTVByPnwqxM0pJuRxzE
zB4Dwd+qyOndH9mahfnnH9aqDkSY6kws0M4obNPYh+xsJIl/38otB/wfFiKAxURvi7OCaAmoiIIV
2C6l10Q9KjUNiodo3Lftyp6afXl5VlA012G4J34iJXU5ID1KRisO89L19V0AR3/ySU4zezBWGl1u
zdtHM4uV6aDby+t6NoMjNNlDIB/uT9ktA/R90dYCgRNK2vOUfliYodHHggdP6Zpm7Ujpc7Ye689T
sZgqdhC4DZNXJAiexbGQIPeqkaeqXKN9QIyFRi/92G9iQnzF2InhWZIP3egM2+Fg1V/CQN3KdhTb
vVO1G03aUVZJ1zq+bizexRctT44sKtN6MChwCM1BjMXZF+0s+NeJ/7keQJ4MzgeGD7EFTaULv/eF
nEBPMmp32EXml6R/KtZqhjcO9wsLi6skStsG4mwsKP3oiN0/3XwMiWelyEc859N9Z5l/12Il6Yzl
WU6JElLGpejVIOpJWaRF47ZQejvkGgPeDVFySCLQFv/dFE5JCylMR5RDF2FFr3dEjkHduFMvOar8
LEUkHsb9fSM3/AAejDkSBx/AJl44P3ZHczKaxk2h545TqHji+JeRjw9lX6xEgddphTljas1CSmSr
yKMuzqaorzlike1wkQp7lOr9aOD86otivBj0PaZqtIshIvcE9VAL+j5I1tikr8cKuQHZeToQAUpC
rnm50VXIsVFfKWuXDwHj+jeRXz1hMyhrIr7XPsK7GbTrOxcsLr/wR2RLwgjN6dqVBLQ7shxKcHkv
5GsZwOujnuYRBkT2b9Z6X9INN0hbyFk3NW6mRnYvvebRUZ+cUUFQY8zoJz3e95Qb5siA0bMKRp1/
lnXYoVGUBjxEQ0CtfxXaHX0kXe2I7WvlTKW4Voq93tOQAv6vtatK7ACENoikxi3/+Z9QQTCC3Zcu
WUN53HiWX5pZuKQEBTYiK2Pj6tnvMaIl13isyh8ScpveJgwJNTzVbqI/92fyhh8q6JKQy+Iv9sTi
7O3zerCEVG1cdQ+N0ef2aQ1mdB22MaoPBhabGrpQq40jDMBY5uiOZOsbZZ9vwt39cdzw8wsz82d8
uDi9OKnSCl1mN0SmV+0e51yUV6wcUDccYcY181KGDYYW9MVYpCQtijH3Gjcp4O6A6aYnAeplIOY/
eUaxcrrfWJlZlQbVSzAopH8WxpqOPK8Z9q07RtmfCbKnCPhcNUkbrV97E98IdGFie+/8AmA0Zycu
Z68ZRb1Xfbl1g6N/Ko7db/EBlet98xA/Nf+8793KPN5y9Qt7i1NJTD1hiESpdZtdcyTyeFWPxZZe
uSPEuv/ZLy4szbP8wS+kXoyKRhGxpH6x/PJtsuKfg//f8ShkjwCEkSMnwUWudmGm1fQkJ4xp3T56
9iJXU/yXStsKwoNe/dN7eIN8So6WdIimFFr7/HPmH+6P871b5jIY4AvgDYAVF94ScAKXA51ED/Lt
Nm9dy0xgILZ7UbED/1HOd552nqbNlGROZdhjAPv2uSEHV1hPawjW2SXvfcPiMJHl3BunoWu5BUjV
Nk+tkjyZTX2oq5KOk+nHJK4J8tzY9tBA6CTTQOVwESzOzLyV656GwtaVx0Mw/s2KwC7y3crUznfx
1bA+GFk8LroMBn8zHlo36R87Ayym5AwaTDTiZ2XYJ/6x0r+FL/dtzqt1ZRJ4Lj4FIOwqSM/lKNVT
SHBx29BR0AdFXjD75mlr5ZWbdiD0hcSSbCSgYL7jw/aYdCtIE11p3TCyfvWIOJqB8JZG30Z1jb7q
5hkDIOL/mlqcMe1kJD346tYtdoQFzaYx7aLa5fmu7e0g2dByUzWb4cea+MqNSI+NoStzGwyQVjRl
FkPsImkSC4ZoRflTGD83bbYtYQuhlLMBT7PtJ8rhfIPUeTC9DV/ErHbvL+Y8sqvF/PAFC/8R6qHS
Q+Rb3aSrzpHcfNGCtXW8uQ8+mFisYxuZVp8BqXJRe9jWUmBb3ZOqr4zjPQC/N5DFEqZtOUJHiRXl
EP6sodb/8xZINp3KMNyXdgoQ6bE7JKSPyaJ+pyRfH4q/+Vs2ODotvqhsUgMenOjvKg5lbYIX14ni
BWHut7jWKGebTtoa/dr83vZeODtpGwP5i3LEpRdJkBMaqOghHS/bakx/+xBsquNvedi1nR39io/y
5/tOc3NnfjA4//zDzgwVqJZCfR7TQ3IcdqLTKytvuuuq33xpfTCxOK7bPhRRZbbmK0N9Tcrn0Idv
xkGhsWgeSN0ftUR/yEJHpdeI/qNTbGpPvk5T8VAfxYK6vtrZqkBHMUqZZr+SabkRNl582yL6SUri
ud5k+OW2aErSE5/0T1L8hZ5Ee9DPYyWvvChuHhOgfUm5GABWJHHh20Edt7Ui+J3bNp/FEWCMFT57
4YzQkp+n4XNG4n4iB5iK9b7SxMMQFGuMI7dWnPgBWCsdIAQtiyehDvHcqMtT7wp9ZSv+vpZ7W6l+
q2vaMLfOilkcDIEaWpO0JY4wq+Efii2pJ0ohzUJq/W0qx5Ww61YkgPoltDPQNM0kgpfeq6DkUslG
NLjlVG4j8cmQt0NzHgZvUwzbNSnnW75C4yutnDzSKKktztfUagVP1tPBFeLO6YNor9HzyoleNtlj
Fxl2CUW9OG7u789bb4GPRhcnbiVQhk/SeOC19jeId4YBpuq7nh95uN039F7nWJy6BJXIpM1oQqCf
C8/sO+j8cx1LRu47VVg7mVkdWrF5pSV948VvavYja+wyrN2QdlJ0wfe69KMIf+VC91MPzf0Eg5xe
ZdtBSpxC8XYlkm7tS1Mi7SOma5H9DScGI04yACSOYVy9JCQtCFAVYi1S8dDmG/07mpr+sLXGxEmT
t2ab/g7pK/8LYd7g/Q5Ku1tJ7MyTsZysj/YX5zQE3EMN6AxfiORjaQgv5vDfuQ5ASMMFxkOJc4LE
9uJoNqpQSrSyHNyJSwBJ15+mctK15jnN3WAy7ZrOsLz9B1x+a0za2gTPzrwcIIz0c8EauDbZuMud
lbRaq8LlMLpJa/WObI4HEclZurMV71UIuzdRgTnLb4R9WMrlNhBR5G6NaDNMUr/y5LixxzUYpZgM
su7k+RfT0Am8epo04ktU8UeZ/xWt9oyUs9ML9Mj9FK21Bokb5xZoR6r01EZI+yxf37Ava2rfdCOl
x8KR/OGgFtvO6J0hSOwpgJXVfwDaNxa/UvVbVVpu9av1vYckWqNNu26FYMjAvdFWmKuSV4InZlab
iV9Po9tkbgQRXRvYsvJodHvT2I7NrjOsfQEBFvTnx7lPVgx3IsS40t9M81e8/datRZspuBFq6Ghn
iYujrzNlw2/FcXTr/LEtiK2KjdXZE8DLk9xtjefJ/G74a3Q/t1yQug3VA+J5IAOLPeYJ0wgjZTqh
XVVsB6SWgxaRHiSmJkoFgCtNEoyyHfuTXSBH7xnWWkLuxgrQgDGTxCF5ygos8/h6mA+VoSmTW0bf
IFV9qn8xRY9lZJVO2UNT5RWOIDrFaNMuUwkHv4Wjyv/TZdmfIH67fzxfHzhQHpI/hnKVdaC59nI/
msqIpqYsTm47AKfVy+kIW8daRfD6VL00sojUpDjTArQnJjdpHnJoowoqXNtVJu5bVsCqQ8YAfwuX
9uJKC7peU6qmEl0t8p3ckO0ktf8l3et/nzCaolk3MMLc14vIzowQXNWEUnT1cXzsZSO0FeiR7tu4
kWCilZxbk/cmfVvWcl8IFRBKuidFN2gfvOGAzFsoPDfRKUFtaSJyUyzfCdS1BuJbvoCiHxVqgHRz
PvzSF+QiQiXIwypCnKPdT2O8NQCKr8Ttt5YJhloIJOgWm8kiL60EsaElnEyim/P7q9jbA997QQH9
VxGE2/vzeHNAH0wtBjRZWSI2iSa6kjptu/EZLYWVwaxZmH/+4ZljIhitlKWKBXEEWljmtqUkK7H9
9cVBDuUdKE/lCp9bBNZBFMpGpaXijImJkRMUy+dcmlYGcgPRNFv5n4ZnuiGXUUGYd2lbGOyerIMn
z+JN1NrKg7zJHprn7GexYu563sh7qaQ0IH4C8bPE+RhB3UkMSnZ9RCGaap8g43x/7a9njV9NnEFG
E7QFMNTLlbFqQaijOlFccQKrl1Tbng6/FHzWfTPX3kwkxYNrLnhzgy0LEENFijZvJtUdC1hrxGND
d9OkPYTxGp72hiHOAvqNZoozniWLM9QQUrnrY0l1s6bcRXp4Ljzzn1LTS9Kk3+6P6cbi8IhDiQ5+
WhpVltVS3m9ZimaL4XJT2oH4s+AgvW/hhrcBYAMTTfmQ2i9KBper04yqlk1NbroGOL30qSnHT7Un
cWr3ll1HbUYTiPBLC3sQF8OzhXjRygdczyboFE4g2l3ms2hZgQtpgxwmNbTcoH5uWxFpkWe9IoUX
ruB/V+wsa2/D2Pl10AWWKwSR44WR3YH1la1jl7zdn9HraHYeEOqjzCbl9GV0OYyiXI1dbLmF9TzK
DyQKbA+23zb7JfnSkdb1z/ftXff7zu4xP8Bp0qBHzFisYK5rWQxpjeBqQQPZrnyopQcx78+VKdpt
2jmQy8DBRVf5szV9Av5v18KfolcIZGBkAUIb/vew7vKD5qX4cBRbZiMbiWgKrvypTGzhu9bYR69x
/NfsoXuunoXd/Qm4MeGguWC1oQqPHsdywhXIzefieHA2cmEzCb/iVjlUQrkNvZF2LiB4q1DuK1/C
EB2Nszg6pWPK1JcDNLXe92S/nJVGXqwR9RbBJ+XcGcK/Hqn5+6O7bWs+03ga4VDypa2maqs0MHv9
1Jra+BDW9RezRqqwKitjF2lKsjKZ8+F18SqcyV9oEgArT1zMa+DSXFWgyttUGlT83aZo0TPQ913V
vai691Xv4jVrVwmXuVd47gmhNAmcVVwcpX5RqE0Nn82pNb7rxreu9B+1ym6MEl52Uleq6ajt2oRe
jxCbxFbsUOprrOPlCJPKy0nHQI5RdRMkvGVzJrbcV51H4jkZNUezaDK7v4bXW3QeJ5tibjCjtrQ8
x/s4k4o2bsxTWcE/jc1Dbuj1PvdF6QC241FpvegpiIVmH+fZj5yUgwO1W2FrwaS/5FaJJmV9Bo3k
uZ4+JZuyW6XcurqkVUp93GXzusMVuITMGL1ghfD0mKdIaOgGhubLb1NoCtKXlalQrhwMQ1CgE9ly
XFnLqUgFqUN91UcG4Jnxfp2aPWTZHVK+zRdaYuzwRfk3Hskpqs1axuPqMmWIM5cZD1w6hWFkuFz4
urLUoGsLFACipN9JFY2LdP2ZKzHidYMCZnhKEx7ybmA6F+GOZvmFVyWqdTLESv85+i13jRSo1ndD
nuq3skk5pMfet75PMFSUduuFsW8LnDXFbhh7OEzaMDCSQzDl3T6tzH5NROTWNKDeg6A4QiWkA+ef
fzidTb8W03bWlYJBdnpCeCu3A3ns9yvrfMOMzg1IXwKgYQodi2nQc3goatmjydxoiseJ4N+ypSoG
V4OIra1Per6PjdHcqnGvnSQFqHSmF77T9Gm7FczI2BatnKDyHK/xKV6dOQA7ZxbuObs4c6AtTri6
HIpYjOLUTWU5+aSGgbT3vaT55PlS7QQhvY50BsGLaZYjfVkwY9yfmKuN9m4eqdVZ5BL48XL6Awiy
2yKgDclIrU3WieE2nryQpGb5n+GQOqeNSeSoUfyV0aW5XOmxDBNIw8zgjDJN/ydJCfC7UKoOY52I
tM8E7a/7Q7t+LGNwnty5bWB+ti5e5LGeaW0S+uFZr3+rw2uPuDOklbvwSyGjFheUO09wBHWNsezq
hkRrmSMLJ6MbgxN24Wl+gIpcGZvhOVPU6iCXsr+rpkbdxnpd2OGYrUlgXMUbC3uLG7lHzq7g2c4o
jcey/4woakwTiEaO1klRdLs/p9eUPVgjqgH0TG8H7AbLU6tpgqQmE33uHZTpDtY22XQbSHE35ibZ
wL0Jg7rg7HqKoj/k3+m5lRwtc/o1WPRs5SIsIPqY4x3CWbpykaG/dCVBQvmypUH6nGok5TK0gaMO
mhRVe4Of9C0OfHMlDrmxqIR0xtzZMzcSLreJ3KqqULZJclbCJ2lCK3w6fxnrYWV2b3nshZnFYSCV
tYrMUZqg2uDv6QozMv9R8sN9Hm9z33MSqt+tYh4KyVx5dl+dQkzox/EtohBkyZLBiIX4LKJqrw2P
UeKWA5x7Z2pQNooAelRs73vSrSX8aHHhSL0QNyqbMzlX40mwqg1Kpv6zUOwqRO7vW7qxdmS0kbAn
pW/weF1MqiEgQSmHcnpWKxLqXbhPw69K2p8mud7ct3Rj/bhkoOuciYSIsZYkFWYVWc0kx/l5zA1Y
zjSHeQwHB32xKI2QV3Iyuom0iKa4FcOzw19uCFDM4LTeiUeImxbr11d5KPfGBGVP3fwsB2ecbBjY
DWsnB9smPUpJaVfiXgqTg77Ku3c9v5e2FytpJc2AjJWE7eElgFAwyQ5p6zvjt5UxXsGV6PjhATs7
qkbFcMkdnUV5Y0ZxmZ8F6VxrEL/W/n7wniLrkYwxOVGYEs6a8Pu+1feH+PXM/q/Veed8iE/GMRyM
LM/zc8cBF3+pXrS3+FPkdo/qBuZXJ9+Dqn7Kd+Ijrbvu+FScom2yn87iZ/nzuG922nFtq16f9xfT
8O6DHz4onVMHTVvnZ6kRNgK8PNqgOml1lERUXqbKQeL0x/05uD4cLi0ubrQqGCJfnJj4rv7kixzz
03NW78pwE/YnxBFptdjfN3gVlBClgUVhE80Je2hALue8SYusI2LJz3ADOZ0kbHxTPqTZikzQLStc
HvzhTiMTOD8NPkykVZemVeZTcVY8myhL+LmK37nOZs3hJv6KQiXpLCCMlyY8f8h4rgflWfBgT6II
0W161FxtRamVbVPy3+ohFjf5gO5rogzpN/p9Uqf2jeJ4f0Zv7FEqmpBY0Ov9/qi6/JBs9EKiFq04
h2rPe22WWn2glwTa9TXCihuzSnaA+rFG0MFberF2eUGhlrRccc7b0c7E4VyBQ4toHLk/oHnmFtuS
txNIYe5jUh7LHhFLTWNt6tLybGZJtysDEfLndloTML/h+TScUpSFt46c4NJKHUxlXIVjeaZsvdO8
/gGqik/RoxCOPyTB/DUm0770V3bbde2TIOOj0fmjPvhl0Ptjm5t1eR6F/Bj/H9K+azdyZNn2iwjQ
m9dMmrJSlSRKar0Qkrqb3nt+/VnUwd1TlcVbxOwzPYMZTKMVTBcZGbFirei1rJAVq3Yp15GsGoim
tACCb4eCZhzn+lV4uj+zSwuIJltsWdQUgHFnjkUnakOQdkJ58hrFboeGdl1rNVy+clcumplzLEiN
o2jF3ljehJyWUcjlKeBQ0C2Bs+Ma3R4L9ff94Sy4SyCX/7HD3E56ECo98A7lSdG2YlmhGf5FyECD
fsiTR/Tlr8C75p/Gbkt9ppqbm1PR78asnd+2aRwoVXUa6qw5y3mkvrZ5bFBUDaGFlYuFFQnRGsnd
kpsBaAIPjrlT8JY+SkuQai3ltDopUbDhGxzukijCN3KrsfQEdi68r9opc7hkjbtyYXLBoY2yKgBK
qHwqzOQKgCjoBViRTpOSQ8RRf+lKPTeHLD4raGgNG12jBodK6P0lvT37c3FAhFG8Q5BDmbfWxQGJ
AUJIE66uT6NWATEhJMFrrarR+b6VhWBu1mhFQKcgO4FULuPJsjLluTCVMbh0jDd1MKo7pTRCU+IU
H1Q8fP2Ul/3wGnEt+rfVlrNjvH83Kx8x363XGwofgfwQVPPAq4/K2PVY1Vhv4kQw6pNUlSKB8Dpy
bpXxKYB4eDuNQDZq3cwf4ikpzZM2txK/MpCNjf51A+ecQkJ2Eq9p1GYA2br+jrwG/TuSJvWpRSbC
Anik2UxRWq5c/Esre2mFiTQ6vULRKkRyEVy1vYU3C0jXxrqx7k/q7SGdx4KLdxZcA1EDY8VDN3cd
pphToS33UuNFoHJSvyMxcHzfV2igtisQn1tfB4MgxIBJILZxXq4nTyzDVOIMGFT4EcLqgfAtCl6O
lvVKW/Gqt/c8HsQqioEigEszGuHaEjKcGloYq+ZUV7+74VWCymfqVt6KT12YwCsr82vk4gBmyPwO
Upk3J6TuoPoBhkISQCcZLIepSDI5RltIBrGn+6vG7g2EIygKo7SE+xjc82wGb6zQ8We0SnUCbqaH
mGEJyuAkkFcewje+lDXDjE1simwaSh2Adr0GFxTIkCDK3f/xoGAq1mct+DOO9RadLvm/3COsXeba
nfpiSJAqrk6G+tpHTjO6Q/R6fwZnX3HpS35MzHOISBSlBtah+TIqw0nt1yct/hBrKN8DTgoheAvt
LGD9RneNrBCIRq+s24+cNWsWngNglZnjACnv691STmlVFN4Idy3b0WPoir/Ul/DY7bxD9lej/i5H
xkgmGq23ib+LhhWXwu5VEY0ZcFuokCNZNJd1rq2PkDr0PA9llTAhynfWB9tIV81SUExVNlZCpxvk
OWuM8dZFEohB6gvNyUiQRLJ5MAVARzAb0XbWQdGKTFw87oYB3mkjZ4OmWpyY1QFt2gocoYqmeKHj
CUY3d68XYrLxylrTaRKH6I5TQ6iFm0VX89NGVBPgfKRCrRNaTt309/4+YZ0IRgEAKFYKqEZURVjW
LLwrfbVJpu4kjV3kcCj/OPEY7NGEFG28scrW7riFJZoPNq5aJPOAYGCOXFjkvZQmSX9CZ6B4DNOG
c+sx1bZq2AeWx3U13EsxIbHI1x2V4oIzi0ICj68adRTPO5Hmk7iJigK5Ro4TtxGMIfRKVztu2AQE
5mUmZFTRZY8oC678eiv53CgPoC7uT1HrGUQV871iVPWvZBKqQyJFEhmQJrRKNQ+3aNoRdhVEP1aA
kbdHeEZ/zeV1wL9wyzL+PeszqchzsT+FvdzvkPZ54ECl8C5XRWOF3JA/tqHnar70IKxL6f2UIq8P
8lxCgudHNh2vWhb8nohjgjq6NJwiXywfq8QbbEWURpSPgokiRuHtWEJLYCtw3cGYoPSrpl2wAcy7
sFK/6D+jJMoe4kYSadRzoOdMlB4JDKioSUOtkbiHdmQSlPCzRaXtoERXgrWpix9Af9jTxpA9ggcR
SGZzT6EqPz6p4WTYHd/5G65Tn6u87CgaPi0O8SHp0wbKTlmWrzw7F64HVGNB3wvq5jnGZwF4mR9X
ScCHwykwvtpcNP0RSrDBK6SpNnosngYPaCzRRiD4jC+8fywXjsmVaeaGQJEYGi8jJH0zUXlQYu+5
UoX3wYgf6m4Xc0i53zd3E//O2x2l97nvHRVxcNNfb/e6APfdwCfDSYgiKH3JZgRSXyBkaSJKJOca
KjX5lisAW/Fle8X27WV/bZvZ53LWtVqlZcOp00YodpVozJlEs0uclvtMPY2KhmeOGfg75Dp2+tDW
eJ0CMi0la9DHpUn/ed2AjRadJWzoZkT81JVDhfWOWoIuVB5xQIeevrH+C8TFSvCxNGpcUfhYZABQ
lGZmXBuNWqq7CQcs4lB79BRho1RG9e/3EWge5xyNhPcTemWu11WXgtTQI304qaly7gLI/spoEPwt
G6B+cVfWcWH6UISTAeqEv4LvnH//IlLMNb9BEUkdT2FTbsJAIZX+Wo5bGY05Y88RwZh2Sm08ZtDl
C1B3xlhHIyC5tqm17wzA76xKnPufxMbi8N14qCLpgCIWEnPsHI9D5SlFGU4n35PxOm2HGqy5gB+H
Iy7i+6Zul3PGS6KfAoPH5c2+jg1oZkrZlE4niMj2JETwb3m5lJn3rSwEHbiK4I7AfQOgPJIAzBx3
Ssb5YSWcYr9rrCQJm23ByzkpdLl3+pETzyMK9yCF9n3bLyXNRE+8ZoJdVzeVbuocIfG0Q5Qava17
lXBIIb7paHyv0aBqocgYCK10NkDkuxLwLsSFSJTAtShI9aLLguXW6Ipk1Ds9kk6jn5rIWMhWYLbG
X7klamEroF8baUSg2wcajNAEwWL2Ps3nriLFWjJxwdVdf8q8khfbFHVxjVNSfIq6U2lmB+ap+oxI
aJdroc4cylxfodD6QBwNUAZIP2/oUSSjj3tByqQTrj+SWuVOMCP7W9p5+4zGz/c3xsJOhy28+OBK
QXXLtjNMbc77qgBbDeL7rHiFSGllrMGXbmPFH/GSGVKL7Qdw0PXMgSK1C+oolU5V7IK/z47G2kp6
iDQGa1M3u6WbqUM4p0C4fC4KMJZCSSr1Rs2lU/JL5TaaVTpj5GSVjZwat5ty2m8UgaRrZNMLZxh5
UFBco0AA9AxLahn1ITZpOCmnSlF3YznKVFFiw/rXKwU/PCtqzigdnWU8l8Q+lIe40k+N0FWmFjcJ
GavqMDXhmqL9wp7AvvtRtAHlESLZ6+WSxS4RB1/UT5HChaaihY0pt3JqGjlobe4PamHm0HHKA7AP
qje0kzGXGS/VTRpEmn7iSlmFlImoQwFzWNNQWxzQ7MtBQQkEHWtF42qpKQZOP6W1VG07RKEhbpE2
emsgaXK+P6IbW4h7Z20W4A2QRkF543ryNM4vkiJMjFMt8vk59vxcsjkRguykQnPeKpXorTmAZVDT
lUBfPG8KJgYK0f6mF5rGIdZPiAG5HMP70KQecrlO36ZEiqfTWNoy+rTVqiR+5Tn4X1bHoSzpr6CV
b9YS+x/nDvclOoKAImbWUugNJay7xD+POWgvIHn1N578NZGBBSNgHQcpMV6A6Ddg03J6CUl3ztCD
86O14jvWfjKz63nOEHDt4ycj4qBr19iNB5xhMBefPfuti7tDa9o8RV9jcB7DN3iSrSI/cu8x+LNr
cMolEKiWt0r8UgQPmT9SsTr6Ir8fVFrpxkrQvPQhaDXAdsHLBOhjZnvyQlrXEZzxuZGjTRAmaKKp
mgKtsVpG4nCty37BGvJw+BsPQZTj2aYqzhO4BMwM0bnsJoKDCVBhZ/IBaNut+6du0RCkWhCF4wIB
Ru16fuFzi7itvOis69x+mvqNkU5fkR5TzV9lQ5in6OqOkX7EblBXkMBghpfutS0lTWQdTbbROYyC
01D8SieH757bxOmGLwWBIq+SSIDsE1o5JuTMgBZFiYBUUF+P/qhccro/8htyBngbJGCwlrjFUQw3
mKFnaSuMNd/F5xHBnxPWUSYRw+gLUvTBzoiM7GkYoNwtGshaR0KO3mMlDrZ9p/R7TGVAfaVebYS+
uYZxbQjAK8/tiTP37+y1Lre7UUBoeJDjs9cnLxAAfYz11hr5jogveSVRKXcylJURPXY6H4BrfSLJ
2jPpBpMBd6jMeimYGKBsdJk5cgny6fnQeJOrPE5QffcsHQEASZ6TQ7eZ3rnSqV/1rWoK+1Sn6rE+
RrIzDKamEM93dNBbgXG3sF4DO1VIdF7T0prD7cs99PNxM+AIDx7ttuHCzwdeS8KOd71SrSi63Aua
Q8qeFEXAEXEA2jSeWp5AyrFcOSnCkmkRZX7kx4E7QB/i9doYqFZnvdDzbhAR8TzpTwNSZ5/jl7ar
YscQ7FCmw9/B6QsqIen4EL4Ea20t7J01Dx58ReBHAPcfsiTMAZJRYY3jUOPdREl6yB+m0E8tBY0W
XhdsV04H69VnWxJiTvwLIRpKZNej5ZWyDYY6510zJx8l+XhvrY/6vSC7NXq0G34Y1hKz5+sWZ1Pi
U95NSWcqJCY5mf+rtQbT36iOQWSKTiEimTbkeHYZOSlOG5L2ZTT/rox5aYUvx8zMb5homdqg5c99
B+MhPuIokK1zIhOtzcMuotnq7cYmHNmhM5dK0fhgm5D+12BjasTsOmKWdB5fZ/mU0t5coza7ofxi
bc6TcOFiotqHpCpeL+7+aH99GQ/OzjcpT543a1c368tYQ0y6Puy1th3K2VBnm9O+sOUtTc3uaK4E
jjcg/NkQkDc/OCCIqbHMx0qUFnqHR5qbEz+kH0FlVW/TUwztHo9QtNK15u/oz/2tsrRT/hfRDWI/
PF2YhUsiLxereuBdW+Go8MRNdHcG7Pn/ZoRZKVXscAoTGEm2YA46GDgVFDA0w7xv5qZhZZ6/y8Ew
C5UgzB9EAT61lO38Lfklb/XXyDgHjyUpNSvZ5zkkJGkSWY1uBRqR/5uNAjZaMMvM7ADowL7ekX1u
VFI69oJrgkDHI9AcLdE1kdj6+4NL43/75pxHO9el8eycn+0G49jUstT13pNHl8uFbV7vhZS370+o
uOSnL00wAyo15P4mThrd6dmLyWv8+WELxN5We5AsPDUE740j8jAZebA2mzO68n6v2J9vIvaSvLTP
+LE8Buu5FmGIuqtUVkrMj5fQyh3dDJ2436mwDOey4eBbPEv5vdaJME/gPevM2eCFoU8T9K+5RTI8
6Gq+abl6rclqHsE9G8zRgPSEKvaVNrrA/4Ng2OL5rV6Udu2VL/fnctEQ+FKAjgXA4AYholSBAun3
aHKFwEUNymj+5pMtrzHTSksrhlQPCrjAFoCakFkxVB+HNNe90X2VCO4B4X2k79W7+f4okJeBpCAu
IU/9r5BaVkEohKP2z259omsue2nfXn4Fs3JlrKVRFXGjC1rSQDly6r6P6L+fz0sTzMIloQDRrwwL
J/Ngj9dGCsZraH4dJnHtCXVTTJoPuqGA2AmAcRU8SIxba0JJzIcsnNxoq7ynG2FfNST6SrdpQRKZ
hF/3B7YYNl+YY3vrlbLXwTyNyeta0tL9ESw/g2ln5janjkYPVm9a7i/v8e0bAZtlfT6fW2KsbNab
TCszZPaR34PNJpWnYHLF8VhqYBQozrxu+vlE+lYgSv0Zot8qXsOpLYUUc0eOMd/BAKayD7tI5cM2
aLjJbXe19T7YZj46CWchwUyfza4nuXV/rm8UHTHOK4PMRp1GoEh0xefdoQSjnOSTpqd5lxM9Nocv
SCITHXybGZBH3bfvO0XxwAmPnGSqiChVp5edKrSMlsiDQf21ssRsmvFM6DgEtxFKWkC3sfA5NUcb
GZc2+DSBfIBUVf2s438Jg/wZPRJk8ySg7ZxtuYCEcmRUXTsHzJxBpo3hDq+JuzLFCxEOunH+McJ4
pDgJ2kYVYQRVJRMgABruUgdbWaWmPdnFIdsqB7tXqS+aEq5tB42O5XOw4/fZMbTXXn03qN2fIYNV
AuRVEBS4IV6HdnsnArfNu74mf0ctyCPrbdXHFpf8lb0Xtbcj7k+LQqXQk2yNKO4mUTAbnwGY6MdG
Hh7qmVjyi4hZy7MhksAQ7vbQDx3a9xCkRTxFtiJOdu2A/EwCLtJMsHM8x7niNYnWMhVLewqkripq
aqgBQFvk+gPaZEr1LMBaeNFzq74XxVl12lcdZDSBLb/Iz9IwolTL07F26oBMmdmAbJNbK0YsPFZQ
CEOQhq6BuUI/32EX04BZKgCTUXkXyHaJP5Wv4BkIt3VgypVZjSu8AgtX0ay0hPQMGPpuuws1vZ6g
W+wLrqBDTwrnSIISfb0SeS5c7ldGmBtiLEtxiDoYMWpnUF/RhY5OhbR7v3+UlrzypRmWjSLuylqU
OQ77B7ocmvGr6V7TaB8EZ105JoPV9TkRtvdtLk4f2tBncCtmkCXayJG44pIpEFxJtIyHzl/58fLi
zP3z89khNXHZDS2fi67kQ9iS1LwcnpHOKkTbh77ErP03Qekmi7LpU+ir9JmDWo5M/M7PSjNCcD4Q
2eh4jsh+CGa/fiwSK1K8ISG9gRePFUM3GO2WOtJ/PCSWajJGQg2JWnTmIDGIdJ1CeL1Evq7wmpnE
Df1uv4c0aT8C5Dh7MlQT7gU85aHWrPdJJ1GwnhgiRY44RuGx7oXMEZSub2iB6C4HcAwvEMhUpgoQ
CHUKvkEpkV9zIdNlc0ShvyYpZJBzpxgn9Jqpk5KgTFBy71VfDYN9f+WWd8vF1DKFibrLU4ilYOnM
psa7T9ukaKmDJjMdA5I5940tvVSQ3fnPPvmJSy/ONN9LY8mB69iFSKNp1xRtWNvJDjf6H1uk0O14
EknzMB50mzeDffsSkWQFcnVTX5+d6+UXMNnGlpdHVSnnncqfdM7ieNLV4Bg9lIlVAEbAW0Ox0TP0
v1ZgYHqHOofZqRn4Tc5jYMdNB1j8yUhicn9eli6/y4+anzgX0xLkiljmKhxDUlvwP/xEE+9NJGsF
6yW/fmmGuViAvZ6KsYAZfySRdNACqzMcCU/8tF45sD8ttGxYogB5iAgN8GVUFK5HZExqlyUAL+M6
VzoaIp22D1+7beuk8KsRKQ/8Qd6AkXCT7KJz/1VQ9DQi1beafZp3773vYGY2LoIs571UcFNwtZya
whz2+iGbiEX16u3+Ii6GpYAUzvsLcBzUta/HzAfJ0I55JriAhqiOn2wE8OMIpnH233fed/1YoIf7
ebNidOElB7DFP0aZNfWmMh1HNRfcYIvgrCaZOk8xmoxA7fXYuVVho3R03+aiM55Fm+fqIf6Zf/9i
t4p+4Cl6UwhIN4i7PDPb2hLXtAoWT8SFDSYE8f2iTgsBNjiJ8mc1s/jMzc1cJ+O4Et0uXl0zYAVQ
IsBAWc4QrFmm1EBcuHrioN1cUfd8vhJczPf6zSZEuweYguB9QHJ3PWFNPvXSAE4nN88tkBYhnx/5
h0Il/EkZtqGycvbWrDFTNwZ+m0g5rKGGjGq2+OjN78+4oc9r9G6L/uRiXPMiXmwE9JDEvtjBkp6Y
0MTIglMJiZvuKyr/C/8IeIOGqBgdZsC5XRsSq9FHT1QpuuFf4MpstQmJEP3K+YEI6n9zH17aYgaV
IyXRZ20lutMjj5gCODpO+JZQAjNymj9Wu2LtObu0AS8Nzut5MYsqlNyBFYTBGFTlUbaRlPfkz/0T
u7QlLkywuQJ9gpKt5MEEmg1Tazp8dPvsVRfMYKUJd/HddGmICSaKfuhGxYchBRSjnK/TYHr1wBBe
fQL+Qkr/YZCf2+cyaMkQqiv7fjGSuTTOPBjAoex3EDgR3cDYTR56jQDWxwYh2TmjYbFypleHytxw
njHUdSdiqHVlJw36tbZ+ceLqXXEI86eJH2gC1fV2U69RLSxeM0hfA68MPOKMrrjeL3Itl6mY1KKb
BnTi7AFsHZrpy5uqeBxeElvJtkPjW3qBRpedak+9eX8vLZU/ADQFOBH0LgKATswBEeuc83BGebdr
aNU8ZwUdzYEqlpTvhMjh1UMtbwfZNE5GuPJ+WkpbXplmjgonjlXT4N3qKt92vFFs0NiiYH/gyGQm
ts1RDypeFA1L3lY7y5sc7AU7cS/yRMQvzuEc+TBR8CA3zv0pWboQ/5kRiK5fr0iEwnyPrCDvImFL
kPc6rzWCLZ1f9NUCBYK27rkee23A58pi8PpKcMG5PzpFYAI1MAAR8AJA50qAvJh9mKlgjDkZA0wI
s7xjrjSJLw+IRU3hyzMfGrpD6v7s0bVG16VB4fJAWWTuQQQg+3pQw1glsd8LgouSfx93Gw8S2oNY
W30XmxUwUGFzSoo1fs3F3QtBNnAJAZktQNbu2mrhaXw3Fjre4JsUhNwPxmihk+/VI+nJip/3+X4t
tl/KC6MxEYTFiJgMpNoZi50kdeDYNQQ3JvvqcOydBGT/NvVN+en+Nlz0DDOgzQCA7qfJ/XpsQLbH
QVB6ghuOHz33h9O2vf9brbeZVTgVOjECk+cBI6Lhr6jfl8LKJb24nhfWmXFycj0aXj5bV/dt7sif
pf8W69vKh2AxBNJXrC29MNBFi+wQ2NaRBGah30NY47fGUHRHJ56oOBbUIOX0LmWW4LWkjpEusqpj
Fm/S77q0nuXEypE3y4uNsgUHxeD/zXxU2Kdf99dgPolMqAesBMj/4B81MCwzF2A9odEm14XRnbMI
UxnaRrJW71o6oVc2mHuuHdNOFTPY4GrZ7rnUljn5oNZu326G6hj5x4Ezg0qn6MSyoQIrVP/nL2CO
blaNYjvFKDjmowUooQMNbAgMy9aA6Ezg9o3n77sSbSVeQ+p+sGUj3Zb1v0Qx4iEPhTskZlANl/EW
YbYbKHvqoR340R2l7mNAFwkXRSuLecOPxdpg4k5dywutnDDTozM6IFHcBtva+nj0CX45DRmekGPa
yo8q+bV7bslaInip7IAhgk8OVeOfc319nqNWEYZkQGXz/fjx5ZO5tTJ1mk1MHVRUXdy7pId6UeCc
11hp5rm72cX/GGabhcYGBXLoko5uOzm1+qC1n332nqgrL681K8xZ0fMp77sKuwhd4hCcK9tTnepo
REfOjUcD/v2D+f+ZzJnEGbjXufHtejKL4P9NZksb83h8zOzaCa2JPBHM5i80aW5L+/n8u1gJl5Yc
Ah5+c98Vrm+QrF6bjQZeGTtIGbuCuov9J1HNVhzhj6NjF+vCAhvcC9IQVchqTSjPQM1XP4JUFRiq
xxdszoREr8bROA60Id8pHbBvIaZjQuZmG9AXVFf+vBFu1zgKFSiS7BR9fKscsz+533vfxywzlzSK
n4X4PqCckF9E1i+xIzt38qN38rYpdawHN7Jiu3JSO7GQxaU94eyMIui4vwWWbmK8Hv+zFixePtV7
A/XmaXIB9JIpdIU+MjM/Tg9j9N9stktLjINUtUqoS2OY12ROymDSMWR9G5gdARril49S5TOixH6f
OWvyhj/B4L35ZoLFGN4kNdQf2x8vE2yjN4UE25Qg7CBY9IGcvlsbqiSk2fw5vBWkIs9I9dLk6Jv1
fhWesXhdzXBzcKiBbRzcOtcnQJZrCdpn04i5qF7QWZmfdbOvHmTpORUESKxmrQ4tbaptV1Z7jrrZ
ebi0y7yTMlVpdTQ+A7PhpEA41H/Q5ktTe7NywJeenXMby3/GN7u5i/d7F/ZS78ewE5PG5ncmRBep
25PfK8NZ8pbaTN01o/bx7mKG03lSKJZqz8OM8v34+FI6W5/wkTm95tB2JRvvYeW1tXhcLi0yA5t8
lHuEHhbL4pSBZ7uUaZ8gnbhVzO4QHA3lwVuDayxOJiI64IDRPG7cdCBx0MMu5QEYtGNnIvX3EcaO
vzVU0sZUt1ZmdGmDXNpiXjoh8sK6GI94trXk+N7rZk616WhaSrdi6aeXmt2K6IlBYRG7BLJAjDvQ
g9Ezyl4AuBWdra1TagcDp1DYpVuHPPlkInZt07/ZUfdJ4pz30sur/PBqmHkNV7i2qvNxu/2WnxLz
zKDA3u1RPU2ZIGPUx+jdP2tU2FFomGMH/cXhX9m0P+QC94wxvr/XEq/3q3k595P99WF/tE7v6Dsb
W/fpyaAdSfanlz/Wm/VZ0rfKGdyEbkDMa/rP6+/NmxbFOZpDAhZCFHj9gQGMOUH9oMcJZKQFt+nk
bD/GqVkZCTqNp0m1akCad4rYBqYxofGe58BcbHgQt44zNX8N1YzfKijNOegg1h66PEzwx4rekSZZ
e6zxFwlb31jxYIshi44uKLyNwZuOz772LNwUgimB8+a8gumhi5PIPfV4M9qYuBuN7Tn/+suZm72y
bYlO10AvC8ld9GgA/YAKDkAfLMq1zAo96HNk4OvJmoQvSXgZORvCtcpI75/DNUPzhr3wnzr6DQMP
yX6309wPGW3CYXcuMKFggLhvaDGcvxwSM5+RKuUYEtIo6KEx3/eIR0B231vVr0AnioWcCti14pO+
hy4TR35vXu+bX0o96OBNmTmKICFys5xp1Rl+ksJ8Ufk00Y6K9EdG03sbQr2S++txFeXBndKBxkUl
dbETfCuWp5f7H7G4p5AfAGkMytZALTJOvckK0JLHjeBmvhPvJ2J8vtW20/jk5FiW/+thtztrv+B1
hFVW04ULDLRmaBBGpzqSL2wkrKecpE2VPqO2YnJE2qW3IDwSnyokmM7SqSUr4d7ScoP/H2oZkIZR
wWnGLPcQ64kczvO9l9CFPpC36m8GcH1BHghKIRk1zBKNutL2dbO5P8lzTM94PRBQzg8N9NAa6Ga4
3tHlAP8jVSLvZr1tZB+l/930hwSCGQA2S5HZiWv1kXkk9wwyR0gRM0UfkGhzo28hP2pCZar6GmPT
wjHFQxu9mTMbrgqHdD2oVOQ5NS9hI+2OY2dNNJzMrFlj5FizwmxPWc1rCETBylSDTOgxPMcb3oKc
yDfaoohsqhvciZu0f+ULa2W7LB3POZOAFB0kCtC3yNxVoRpAKaaDt9WzkPj6syEc8tRKYwv4knJo
Tch+kOGPpoK4hCa1m3/d3zQLsHg4ByjkzY0FiCZZxdOwkIW0mxrRlY/iWfueoRix5QhQy3j3QrIB
CqG2PGtaAXstACKuzTLrOskBl+k5zGbVWR19U8yArTsatt5vqo7oIFoqNNsw8Qlp8Kk88chzKKZ8
6F6N2Cyrlejk1kfgY9AnC/pDEOSBSfJ6k3V+X8d4y4oI/7YQv96vFW3mP399UK5/PnNQkEKX+gQK
gC5Qk0TVtmDop0gtUmXaZxWESDjK10cjMsFqkU/HplvbY7cH9do+M9lIQgwdqPJFAGZJ/jaA+fjF
i00vfYq9z+kzVh9Be6L9zslIAGNd2V+34e61beZoFdrYSaWCsScJRc2qqwvC5afhraw3VUY0S67X
Sgm3hxkW53ZnVC4AZWS7VlqxGWOlRK5dQhM8QJt8l2pEA4u/DHoXVX7mYilNCVpOJ+hxZoEikaSK
VZXIJQ90YRwkXeAABhAdpzQuCpD898NXPPXjZ86n02/QkZSpdX+S1r6YeRKAgzFBuz3QQZUcEL5W
N9L0lMfBHmrSNNLXmmEXdsPMVgzc4Qz3lH4eQxeRjyA0hZ6jQ8UNlTe53OrRS7rGrX97FYFeAZQR
gEurCu5cZsO3id5L2djN+Bdwb4BhbCzrLRfEpla8Sgmk5cE0ma+lP+YfypwyMLIATzEzFAMixcwi
xLqNFuRZAIjEVeQEafIJXgluJZoTFnwFZAVRTwGzkaDzLLFZ1sup74WB6Kp1uCmTXV2RUD62AUQ9
E8/uuhKyBdUEgTs7TN/BPNOm5zQDlWr0vYarWii8ILcH6lJp1rjBk3lehYuF9CHLrcZdKrresXiB
uqepWNtwV+xr04KavJXJRHq5v1EXys8wOYO+0SqCC4NNB3CBPra8gjLdeM5JjbxwSmVTeBjoAyj/
/4vYDRnomXYfRJvgSvjpVb0YIB5MmgbiAgAIEtxCgDAWv/lPkaY0pLqAvmDSQlWaFE/92xolxMKr
DZVIzCzQRmAtQG/m9dyGo8p5HAIPN8gJaliQ3dp422avPTRI3O4ba/en3AJ57+LZuL0/x/M2Zbfx
hWWWjQK9cGnii4XkCh3o6gqH70naA7aJrnjTC1Y8z9o4RSb84KCpnnMcxsn/LczyQTK3/i6laMHz
HitLRk+Oh+QhNJwCUq7V0haP0uVImdx4o09y6sWwXZyGhrROZvp7CY1OFBQAlOtJu8f8UhCar53h
hTvpcnHZSLlB9N7GGgxrhRl/yjR5VIaDQvkXBBdJtBJcLCSXsJXQwwCPO3foaMxWyhok1nRjADpl
2A8d7Qzy21fswjABj+6Dz6leg8MsOfgLg6ympziBEivoOly5ABaPZBCJiBj2gL5iZdcfPr23XYL3
x9rLfc0qs5OQ5B6acoBVSC7yGa1bp1X/q5GhV1/FUw7su6yL53qxbeJIAtZGfG04eSsJk9kIEVFE
t5SIzm1TXv8Qsr+1ZyeiLUYbztv09cr2mdeLOaBgypphprhFBYFdzwQi7gUfZpILee1t8tVufRvz
uRY3zZv/jhV2EQvw+aPpC1bkY0rkj8FsHeGjfM+3KOGvJe8Xmv5x3+PR+qMxYNy0NnkBF6SBCmMK
Gez3JrTVfjeMaD+hZ24joMJtxaQwoTtivKgrHmjB3V2ZnmOjCx8/1JMS5wpMx2i8MWgYnsBklZP+
K8hX1m3p8royxQQIUSXwCQfiLHcPuMf5rD2D8Cmj8jcqmqvwi4XTgN4RPKxAGwv04A+O4GJYraj6
uSHlklvZ2YtI7XTzFDq1ydtW/gvrZ96/M5ZecVfm5s+5MDdKo6eNHoZmmpV51N59q86odwBn+/NG
MZWXzfS8YnFxf0JwTUPGXOGBY7222LZFWKZFiwH6ELuTLFE/Rl/hGYQWRD511RM/HeosN+vVW2Nx
wxg8UjmgqptJ+BjDEZJcYEATXfNd3EFoT4voQ0AGt39GQue8tpAL4K85dwQPDQJCHlEIE8o2etyO
QVMA8JFaBW+Ch99rQzPhE0uUYstPdDPzEtdLD0URkr6A8px0FjQER0EPVWhXSPbBtEtykdb5ppkF
tg+xaGrBcy9QuaLqhxTg2Wfy3e8E9Y01osLFgw2hOsROKD8j+8xMVgBC26JXWtF9NSFA323+h7ov
W24cx7b9lYx6Zx3Ow4nTHXE5SJQteZaHfGF45AiAIAmS4NffRXd1pc2UrXv67UY/VWRbIKaNPay9
1qYM+liF4ULkxZuQXumnYesgjwuGke8PyAHCCyzch6GXt23gVklSvAfyUr9EES7swuSyDz3fgqr5
ndpE0QNyYoGZ+w8P67N+F9Ojnb4HbzycdKgogCRQh9v++azMLGXIe+DphXwIsissSDS/C9CueTn8
BzH2HA/8PdRipe0kB353wlC3YXhvnvDUL8EUtVPhPMWxeQSF8i4asnwd0KoNQmoIJyDWWYyGrJiT
NiWePeu+fVRvndMx7G+MszK6cYL1VgOnRuZnl83++trY7xvfj+5ovPWRZ72+TFdHjM+BiGjW/fr7
WxYb7YwSNlVxAZNGHyg4alaWie02j2USDt170NKj1RmYNpArzU7dBxPXW9wppTsZ+866Kjyf0HUa
jXDbaJSX++/P7iGvGDzpv8Za+DJSGfVEMhXGDeS8vndtBtNTvlciudrSR9c/OYnr4C04MuqhnNin
URcmtUcVoi0G3djPqXnpa9vkxD7pb3w7vIi228bXV4/TFGSxFbQv30/40GsFgg9E7FAYQJp4sbZ5
0tFJlDaiADfo+9Qfrovh4fshDp2SmfAJeTZAUqz3YPbD9jVTruV6i8lVEmBZD1K4AoShJ9kRb/tA
r9ccUoBd4F09DdRXn4+J3qWuQxRMZUCbl7xN79DZe9GiQ72PfZ9sn3FAEa4+9/6rEj0ZrZ/JtXZk
Ne1Dy/nxGxYef2uZWarlrrFnFlPQblS2lbWmxuTdeTzj+65k8iaFOOKrnXi2CJlI0MxtKpmzG9MJ
PXoe7zsSdQOEHtG5wSVoqEt4GeA0LdUnnZgAzLAexR6fc6W1AiNVMlz3IqFoi9UKSLaoqUWfK9sk
1cpOCDg7FfE0oRXkTGai7v2hmcQDcPJiM2mj4CHxFGvv6K19w2paXeis6ZFO6PSaB1SC3CYwqG3A
pQDSCJTxNJMPBXMa5DC1uo4Vk7RoTXc8AMGzwt1BwaSK68qZ4qy20xcdkkdpIEwL6lS0o5o/kb47
camubKqaQtel0mqnD0BVLyi62St1iGiDLkm/7zVAmmnWPKrV0Ki+PQwiCdBHWz4RLBWEFVRN7f3v
T+nBF+PX1tlLUPWQ9+i4hDLnvrjhLsDHFtSwwT/FfGWTnSaRB/rbbHVkzNmFWBrzj2MurY1rt5Ki
FLrPtnaQXZ8XYXqprbVA9yvowFlHLuKBWhxuCCq76G/Gbf8NyY9WUeoVNMHpjLJt2K92uzLmAAwx
/946ByXUI6sDk4d2FQQKW4dHXosDBQ8MbyPviFoHOCuWTbuWCRFzeyTm3uzDXrmcwIJ5a6KBp/HV
Dc6UY4DBpd2J8Uwew6wdCtw+jLx8QVKmk3qycnPv3et1UPpGs9bZlvXrtr844g4ctADwLSCXBpsK
nt7PVgi9mqSBcJuJYPjekzvRo5h/pKpw2NJ9GGM+Vh8sKqmlDj5ojNGsdqegLwOJShZevSardNsH
fnQSX7/FzubWPRqbHpwcoIwmuLgBE303fx8GVoxJkVo6mfvTHMN8fxlmx+W3u/Dhtxcem0Ba1zHm
35b76GSfAZj3/e8fvuAfBlh4To41FrZXYwAXQhTrDIC/e9aj1AbxsNGp/cm4ZML2PbYduiNO27u3
+d3cFk8TdwgOIMfQLNrtfp6vgKLyBw4cDujXtlu+OTs70f3w2in8NDz2LB7ynmb46b/3bPEkjWlR
F2mmmnM7wE6+/UQ8ArJsNO5srqrTdf1290Buzk72QHZcxkbt/0eX/tfwS7SootWqMRSYen+vbc/n
ACAJr5xAnl93QCWuiyOn6KCRQcAGvx/xKcDvi6UeJ9ZqWg6TWs4EdzIgVthF8ubkOg1fkmMEd4fW
9uNgi7X1xqFIJ2kZ+x0Umk+coLqKtSNG+wAqDt4osBOeYYEmEPRvny877cu0S0Rl7ndIHZ6qqyC+
fInFsZhtNkvLE4qYHikL652Me+mB4l64IHQ29zk0QN9WT9wHeTvzn7zT881DH2VXbhOeQT7F3/f7
Mrz+/moe8hABwEOnkepZHr7g8xQrRxCD97q5L+wnLh8luyHKo9Sj70c5AFTFSn4YZjFHxTBoZbcG
rNf9bDWzoIcWi+9y/+kGGom4D6bvb5VL1x+2QRfYJdj88pX0ldALQWYkUA34/oMOnh5gNoDm1IB0
WL6HdaZzVZeOuVd/KufVsLbFBpog6GywL/6TgcC6Ckw4tAKXgteOzjWPuZm170LXXhlPahJTGvVl
XHtv34/0Ttz72zlCTQpUwuAEAXX3561U0lSpCcFQLGojx1eup9VkBNXm526V+/U1mmlf07mOUvna
ZfUWgVv4BtyC5ALdwnkIrrP9999zqNKAOjBoikBcPmOg5nP/4cVKCNib0wxHK9wNwa7ZMh/l9qC5
q07J1jrJ7EAEx26sfugl+zjm4nl2LWRVuwpjwtFA9sOBIQLD6Hi9wjHz18/+Nup4EMUzJ+VleHtk
wocu8qziODOjgMXVXZiLtjNnBgLYW+W6rryVUd272ZUBFp+RRjwJCyh/unwN90vB6T6WID/4xn4c
ffHGmnk/MdOV89R3IdTI7hwVLbm+WwRvoAOLj8x1PkzLwwavwJ7xu8hdLzN0k5uMmpLb5p6gTaXb
8HXaBDRzwrLo0a/thmMRdtnz94MefMs/Djr7SB9OlMglbWu4t/DZb++THSBW/u689Tevw8XFxR3b
bo3gLIjj4PaYuThwrNDLj9o9/HcL/LgL81XyIinsllh7/Q3kIcOwFiGoZEZl/f0ED/h4n4ZZ3Bhm
plXZjTWMhTXV66lwsaZKXgQyMbtjzsEBvxyQa3iyYGwHN/cyZE/tsoYOL7f2yEX6M4Xk1fpiHTR+
5l8DZ3rkaszX7tNpweOG0XAv1Bn39P7Qfti4clL5UFnpsKdulYaZwMTEkIkjr8zvidd5GAfKBbA7
cwVgcQEHy6VWk7r9fjwvz7TQiMkOmfFXsGmt88Da3XWRGbah118emd47n/dv8/sw8OLuWblVUDDN
DPvUPkuaU+W62xhkk2croE377tHRX4gMssDeohmGrcps9eQ9VmZEEJ57D3rb+l1IrniY7/heik2Z
34E3otKDaputm8RvoStXtiGKC0qU3rBzVgXQ6dprxZ1LggwqOH5TnY/12uIBRBTMNq6vbX7RaJ0P
lVWp+EVMHzm4SVpvleqIc824RvvtSQ5wZrElWjjoIQlK1A99CuSd5UaDAaiI3vnl2Th31e+4RXw0
7KAQ3il3YBlBXgCaLzvzqWiPtpzPV+m7pVw4kV6So1DsOv3eQqP9bcshVgV+2K0Grj18jHNpKVGb
Re7V9zfvN3/g/eSYOkCrM2ORu3w3ykz2zryB2io7d5CrSlL/GNPcsTEW1qtnKLw3NcY4NdfoSqtP
9WN3+jejvJjF4vyPYy1dnuKagb07pOcdYAS3JY6Iz0+Tx+8X7HcczGKsxZEfJKdWr81j+Wjis1hs
VJF1eZb4ta8FfDWcasG1R460ER5cQsBTEAPDeQOJ+OcHgEibQ8+2xKBdK1YiqaC3opVjxIZNQ4AG
GrvxlmbqMSap3yt982RRzEAPMswYcE6LcVlBHNpj64ripzqhj0xHl8oZzbUZ54tqmwFCyHFtv+T6
tn5Vzxs3BM+6b4qL7xf9N5u9+IzFmgPPKKlKi2GuxNOVghJ1gyknUY56Dj8njrH6frz3gulvl/HD
vBeXsbDYZI4d1tvkqy7zLQ8127zYNGbYPTPLdyYwqjMwsgX2hZtHZFM6MXvWXvshzBBiR+qLBoQf
u/v+q47uxiL0a7NcMCev5qPHqrgUV5YWZE9pfeMFhPnmRtwP+bbEklC/tcNSOc3lEXPxe50NO+GA
NQGuHpQMUF/9fCCoTlpBamvYt/ZpbiNHfEEvPCPoGEzug5VQf4wt6lcbboFsHq0che9dafndaKyk
C8sejWhKsZDLHXyjWBvDzobWyFEMzCFTOr+DM78knPBl9l+iOmbq1MZHNr4NgVZsoH1JzY3drdNx
XeUnpfWz9S4s4/rIBh167kFNMDNYQI4Dkc/n1TEQVbaK3Y2QM9hq+VU7jcE0go+X5xeF8XO0VVDt
nDT6SkuKSIEmn+39bMQRROoyFEDzIQjbXfTQvUsPQ5rv80eUSuK0lkDz0725vscJcQvffUBguWZr
ss5FABSZjMsV2jN2yRVQT6G9o4B5oHCP/32/ILN5+HCNfvuUxXoogHsBZT+pexVwc6Mc/FI9A8g6
IUfmvIwBlgNpC/togBqhLxUM1IB5MNdexuTC5bUPzrnIaqxVRwJyaogOJDY/paBHrMXCOv02+CKV
kOZTb7JWVfcdu2GPCbme1JO8j3Mt1LqVrRxJri2egt9Gmw//B5dSUxW3UyS2t0QxB7rEwwAdERGS
5pyUx3oujq7r4ronlaeOzEJ7JN2oUdquuBpTEYwgwimCDtY/tiIIiPrfn5r33VoeG+AtQHgA8XEX
asiLKeaNdCYdu4lyaO+uoVexKlyQ9F9mQEZqT8eYZw7OcqYagqmAEgkgmJ/HE4UKzlJA5PeFGVlV
AKX4YuMZMZcXcCKz6q311g1eXC15PjLRQycHzyu0xkywxABb+3ngqeROkUi0hRkiS25tIYf1qKOi
xmiq+wbJ5E+Z9+RWcY1io6mOjJleQEm85yx0m6pBL/y0KzUyrFvHZJcV0GrnE9NZBAPxWMuCxd9/
76HrjHI4+owgNGR6SzTySNSMVQk+N29XAm9ipq1ZaLjHdMSWSbP3Iz77G8CR2CoaRRZOad8n7YCi
Bug6mxDVoqC4AIfmBbm0o+JlWHdg/1YiK9o6q3wDZbGQbNQVR8EM1KOXZehtwOUOrz1fKUes2TIt
+tt3Lc8J0/TEMPBdjv5qkyruV12bRyOSO2n60xkQzBg0+MuG/tfz+N/pK7v417lv//k/+O9nVssm
B83b4j//uX5FS9Bjlz9WP8LH7vFH9JJ3/zP/wt9/8fnv//l/RNs1j1X+SH/4onl9FD/Y24/rDj/R
dvlzu/zbTz+Fwf/6uHmsT/8R0S7v5KV4beTVayuq7n1YTGP+f/6//uOP1/dfuZH16z/+eGaCdvOv
pTmjf/z1T5uXf/wxx7D/9fHn//q3s0eCP1uLR/lIH3+smkf6/NrCh//Xj/77L18f2+4ffyiW9iek
nxCfzvqLM6cUTtLw+q9/Mv/E2UKfomvMEmRIdP/xg7Kmy/7xh/WnA1YoA53Zs4IixN3gbrZMzP+k
/wkFZajJqUjyAxVme9of//7GTzv5a2d/UEEuWE67Fn/9nkj/ZemgEOKA3wcpUlBpzqKXS4eBd5pe
cjpYoI1L+nIjlEnvAmm6dRF4bdlDskNv1DbQK2usgiHnw4PRZCYajFHVD92kT6aAjXLIw26CKgzY
cFQCAgwQCK8tV2rmCl5cucqLbi7wW1AiQw8UN6O2ka7n56WtwJiI1H6EQFaGzv4mS8+bVmH5CoFi
CoW+ulNEkOh1Bk9fm6DpLuSkbNjQtG+e25LbviY5EOtJ3Vnx5CTmGPQNYTwiRCTq2pQtEOVNARqd
oE2yZLwWIxhChrZvxwCL3zzgtGVdgLSZfcnZaFzaKToMYiJZ8QLWf35Vql75gGRqP4DnOOP3qd45
4D0a+0I5c+gwxoNq8MYvMi5fic5UPUSbl/MMmevsvhOQkwI6gMiQMDwnWxMCcAY6+uiUBAyoiT2v
PIDezVIpoDU7KOQF19smt2ra2e5tC5F0HiaKaSPo1nrjpqdktIIU8oYdyGstQeHG9JUWdDYk1n0h
FbvxITVl5xcqSdPSL72SDL4khsAuZv0IxHAhFL4r2wwNQV1TTs1a0Cb3fC9L+Qn66vkLWHLUPFCl
UfAVlDjcxu+KykDCGryGMqq9iZ0RAQ11ZBrbVpyAp3qGstfgMj/JNSAffHsSHHaI2Iq1TjyrPKd1
32I7dZsAcE9oATq9jHYvGRDizVaUqZJsdGI09xJuxSPVB/PFzmhL0DdmSxTKlfQOGAk08JYuJTzS
a9MGrWHHwYFkEE84aVAPbQvJPqS/dqbDzVewUVNyXvLWREYhVyAR5/dkLPYdhKIRPY0UD6xCjGn0
dYG1BZdrXu60zC5AcA3H2li1VS3sK8epm9pHO6a6QeI/1UI6Okit2pldk7ByeJrdNKxwkXTNNTmM
Pq9xz4LeEvV9Q1Www6aoiD/pLHMhwt6DSAvNfbK5hz64Fo686Ua/IbZ7ybKcKSuQl1XkEp1KaeML
jw3KxqzM4Q2iAHDXK0gUZo+wYZ2LS5AYzilp1Sb1idSQZ4A/0Rb+VFE7WVFC0D7ZtH0Nb3saoSoH
mjlUe7Qq6zy/d2jSBbzlFdAARZoW6yll+b1K7ewVIBCnDKjt1JoPPkQL0ZRhDAR7ZbB4BLXMZTc1
5ojMOq9xmkqc9zB3zKkLa2aaboQMkWuEeTH0Waj0nvmmlCmaybSiU+zQK1y93dp9Rh8dreWgQTCN
5rocDBPODVp4gb9QKncKqPBMjt4i1o0RSseJFiqpmkEgieniZGhGVvuE2OlK0wFIj0eFkvVYWHUT
ZpXaA1nBk/s6SxslaKrOPSNqmzQhLF93UyFFAcFWIFhv0tQrS7/XR+cuJap3VaNmcaFKBZRexlyz
SW3BQnwO9KUQhTIeNoRAEAFkmkzg0nL7Jyxkfud17fiYWNJ1N64n0iqApeYQGB3hOQZJmdBz8Jz3
WWQPOu5miszBhaxqzfCJJhIzILIsqa82ILMAu6TlAf5DBlCFgilDjEFeUCdOJ7uEzJWEjNNJlYix
D10AgnDqe/CtRE0Olfd/eb3/q3d+lz83rGVv3z/u5/Urve6a19du91j///CU42n9+inftNVj+2P3
WPU5fWw/PeT4u38/5M6fDtxzYLBRiZgf618Pua39iZY0xNrQ09NQkZnhlX895PP7j6o8JJjBswIv
AK/23y+5Yul/wr9EAQBewczEAuTS/+IpXxT9FB1uxnuHxsKFb3JRJT0pkY4ZLUDSJu7XHdRgcis3
ViM4xn6qbansHaMa7/MShoHl07ACE4SN4gZSA0olvbU61XnUq4l2WwILd8xrxfw/BOG/vmwRKGZK
AeJ91yzjysjIqW5KgMHHBt40iP12Oi2TQG08K+IpSDe0XlbXnTHteyXTVrqagsJZJmA1NyfULVQV
/S2JnvPQANJh7TB3jCpQAlx92Pe/3KOP7tAi7vv1pYsAWgUGBhayLGORaAAQNaLxK5R0feaU2bNa
mdmpbY4s6qesRMY1MeHu8JYdSbF+Ofoyd+C2iddnDZrwuW6tYIOHUMlTK3I5XpQm60jcsroKsmGo
w1ob+lObJ8f4kT8H9X/PXJ337kMwz6iRTxD/KeOJpngBa7vPL9OUoX3VAtTSGjz1Kjdy6QHx6BzT
HpmjlV++568xF/mh3oOfpGhoV4JKLVkNBAAk5tJqxxL15ciGfjWtRb4WvUwKUaehjJEoz06nmmeg
TaSAWNj5EBcT6imFWfaBl0o1cGpCYzL13cpNp7MSIpyepYyhZ9Jx55XtE+U2JPRyHUVzRUuObPp7
x+GhRZhD3Q8LryggUW7toYj1spiVj/Misl3WrirX8NAQrdKTwarKE9BDkcBJ7OzG1gEbTDXuRUyo
KS5vCgWNpnIgYT1ComfQ9LN6EuOpwWu5UVtPBAjuIXIxymPIrq/2bRF9knbIO2jA0XhKRhIUnsXD
EVIra1o719/v27tG/KFVgZX9uCoiK9PKLAYWV71anWSOwSHC4yqxVdXjaQ/nydebnK2VFjS2ECNp
NqLh5KQnWu+ro9Au3SaXUQZ9t3NW4j1Wsr686yjqbmmdidgpZBf0OnTHkynla8OCntU4AhFpZVoW
aK3QorKSATf1MSJJoq/6bqKnZi/4Zqzh/NUWpty02nhqpgDQteiMC0WKeA/A052eCncFHibjCFvH
V6u9sOuFtKYC9RAIJSeTGrA6d0JpT4CN1tI5kj/8yvKoCwvNGwAePTliuZ2iXeUVV8MetjroqDir
U3I3JM2D2WU0HAyH+y4x5JGNXmS+ftmAhcWtlUQ4ZmOyuMxtMfq2VZh2MIDWC9FP1r+S3gV9kFtU
jg3ibVmagag1b916EFf1uT1aajx1GpL+35+7Lz9nYYLr0a1BlIlaGvRijO0wlT30HNucxFJaDrJh
5gl10yrilmEgbGBDpGhlCYISPsa9SbpjnzHP/vfjbyyj8Z4CMkBUjcWpl+Yx1Qu01fSyCZo0Qcfn
AA97DoKk2sFxHrgbTY3nrl13OoaM+5xn+/euoIno8/UDAMOEcIxSxe7Qg7QMIRl05ioQ+KgQHwDN
cxp9v96HzzY0qT+Pk0gXN6t3kcAqRrJuJfpoZvK2UNX4zfcjzL90aCUX5rWpPG9Kaq+My04UYQJo
RFiUiocd1MBBahRaVOhSu/t+MOOL84Omks8TQnwpqOG4NAYVnHwB4TdNfe448sSGZqi3aq2RtkAS
2GClFsjknlap6gKnI5JR+LXpgdreRRgflXbd2BulLXeFPWB18i6xg6p3y91YNXaJeEqqz5beJY+c
JJqAeLxRPJSyFQ+Z2qchyTq2soStNgFsIJrYAYsvBn/oHFAySJp55RqNW86F6gowVTMv0XgwV/xV
X476rhW9PDOSShfovRfeppKtC/8j15QpqkjiuL5Ky3oMbbhoa5ui7zrMDUNcKGicQCbYoc55arko
gBtDVpzmnkBuYrQJtXza6sqdNJsSSRuFjFHnOYxsJR/TBwt+xWkuitE96z30f1j2aBpBYZHU82vE
hh6EbIbCDrzM4XaU1TRdGZAg6NZ6xuwbQxQsx8zY9KYkhfI8FLkX6YniWsidU+OSuwhx/doDdXMD
HPSNbNHEF2lmktcYVNIkTEEoAQpXJpp7hGGDglwIpueDV3SCyCoIpqytnNAFoqAI2yKaj4VRnVTq
pFQ+HaF76Xc2NBkDTRfFY4FsyI2Rk/K8RAi+4bQC6WuqI13TNRZ2HppVNVApFeTgEWSbQx63ss2V
kOpeM2Che2s9lVS7t9W+B0dsXbplMGh2eW4XjqecZJ3VvjLbqt6GovZOG+7UAg2WLY3gJLBIc62+
DVDUA86O0y4Bp4ElSBlozejeEHfCLmvlUF1RQinxrVp3oaWcE/seDHisRNbARHmMG15Z+06vkXvo
TgINK6fc1CKzLmntZ3qqkNgbM+O+kHYfG27Z7AtaFI8Qa7ef0ahTtL5ImaR73qn2s2f1kE5A1DJ2
YYGQO720c4PyQKsVliEF4cLh1EudXZmEkNtUR9EhmCq9VOOSC3RoGlqnrjIQxVgbWvTeplRSBTwj
aOeJQGHD73NoB163lvQM31D6Eswkdd4nYOUasDBjpopLs6NwGagACCpw81a/Fqaip2HeAVrna5KC
m6W2bDQEZZpvN553ajVMhMgEJJGGdFbnuw1QOm6B4MlP0mJ68KTFeZBBeYkGejJ217y2KPUtUyrF
ShV1Fwyuma3NcRA8MDOvu0w1HOtAJC7OetWlb1ZG6843rWHO5WmFFTWsTFHQFxOPAdskq7HldXE+
QIHhustGcd+oSt1FoAXDMcTJQZ10NPBYQ82vuGyzDF2ILWiknxiuGvedqnGuE1HTN8Vo7Wc37bUu
BMLGekVblZ0HGhcNslRc9PtCafUCaTbHe+r6tssCqzXoK0vNYp+ztgIqH2lAoO1AFGr6mmFKzeea
AJ5JTcWZQOn3To5CrHSlETd2k9et3yapselcltRRYimJFiSZfua2bpSONRJttRD525hadVQQ1/IB
za1P0kqON51GkPcaC8IfHZym0s+I2vBYh0rMqhwyMOhUzDUe+laMWURTdjKgDrThXdIg+VloHFpi
Y8XQBSaLMe7MytHRtKxNT2i7q7tYtoWcIj0tlG3STkPrwyaQqwSKdDCaXf0AuIEkJ2qdqLtcGNOG
Q/XU8Y3aYbdmW2DjhSfdrcansovKhq9MVxmQpQMrzpnGcXuxkTy2+DDa/mAxlLe9EkTtGjrCQkly
VO1oJ/O4l2aHNtHR814tpuZJRKpBfSYp8mk+4kmr3FBvFE8cHitduTVsJxjBtJQENpJRO+mxbgJE
urFRwe7qwm+ok62TOnU7f1Bq80H1OvLYVwOMLURLoN3pEZ7Xvl2WOM8t6lkJTDhMJkTCvAYNc1lm
gR3VxDX8/gX84kF3F45DJzXmjA3KsVNS6CuelhRHoOzDEnysR5yjOQQ48KK7C5+hlt6EroCUIRYA
xYeRt+i2B8XikVaKLzyfJYLYTYZsIo5NY86tBnqO3g1riHfaVgP432U6HFmnwykRdEt99hNoP7iU
axqNs7EGSqdTh7MqVXYpRAi3RLHgAksNbfLCwsb3iX5k6YyvZrcIq+hIRi0DP0FMEpXflm6OCdmg
8m99pTKn+xwMJJmvqUUKT2BIwZzSVAkzfKckEzojuFJuu6pppZ8kefmGCge7ZaituAD59I2yLliP
wj+IX+BlKBJv5ESrsT81LM7WsibDRU3G/r7xRgvOs47kQpg4Zpb4RoL7t1ZL0MIGjsI9mFRXNpca
aMiQ3TabzgrGru0v80SUt1API1Ba50K3j+zFV2fW+LwXfDAEsvUNfP5OtlD0MdJNldigjJuMJPz+
Wnx1ZvXPQ4yCtFDGZixGLrdBzUwacVpIGX//64vWuL/ddXcRROWTzrzJ0WkMnfEq0miJkpeH/Lyw
UomyEmuvK8jYribdZD5SOWYwJoZ9Ihq42x4DRrbUrCR0LaH5hQlQWQbHbWVORX5b9462VvSOhGMF
3q/CQpMWzA4cw6GcTrjptmdqU5hHjucXp3NJn9aMudNwty3gs+nBWCig2aK4BZmSv4yGdI6M8sV2
L5siUmfKlZTXZZz3hrlNUcNDbh+O92DDvfx+QxZ1+r83xFvsN6WTrVTGWMXAHGWrZshAtpRDZdiX
THNCBy8PoCuFvKAUHeG1YN5mcCfIOaV68nrkE+bTe8BMoj78KYPi1Ern9UiexIro2KZOpFzrHkTj
tLLLL3naoVyHXOOealQg6jasXcGJdTnxkkNpGEcTzLVk/f23fBWDLYJq2qR5YgHEGCtwmKHeraIq
pVqQh6mYEmiEFZHjyf4/SpcY7iKRiUSNUxYdngfhGjBuNmTRmMGUyGgSdvX9fL7a3iVvwIjyVpJ3
UxUXYii2qMG2ILpT8rDQzX6VT1KL2pTNnozXbjhC0HWV8HE7y1xH33/BF8/HkovJyayGlC7PY0sW
6nnRm8luHOriXuHKBMtN2jBH7R1bT7N1MaVy9f2w781ZBw6Vs3jepSPBEilMkMIVBX8pjKGzVjmF
snLmDPVWQMcECqSpSLjfczKgicJsHzukKlCLELJX1+jkN2C8vdYB4eo0kmjUBrA+wHEFy11mqANe
QAWc1BOF/C84FnsZjW2V3igVKFV8FASnnWkM2iu6fEpg8Tu8LtXgMAQ6ppHATTPpsc74r1Z44WVQ
sy4YXNgszsSoI7TM5nRxXXWRGIcWdFEcJ9q39To1faom9CVrC5YeeS2+sFDLJoqpYbSzjSmNPWqT
BzsFJRUKk2OIXtb6GF5xvnuHdnIe+0PaWVAKP4djDCQkAIkt7fKyKh0FKXLkR0vNbkPdNaByatZv
YJcExfFY0Osjp2g+LYfGXnghSIe4UvJOWed5Rk/aGmCIWqnKHaIeuR8LFzk92xFr1CCMxE9qPR2R
EOoJGiGqflaRVlPYrA45ojQ0htw7ozJJjLCxpIhzayArBVmX2CC5Vgcj3sGnUnXJPchn67UnVMA8
FJ2gqsQREjZhbsoRxdShlue8s71jYnVfmLzfGuG7ASWtqkSvNcPPV+VUr2oIAm+NygW3aV4W9zyr
0iM+61fruXhtIIpt1Myt87jUp1fD6C4BkGkRIxZnldJr6xbUBz/N1DnGEfWV+XMWT4tqF0D0uahT
UZFtNVeIS5URYH5miIOj5/VKtJm3qrzyMZn+L3tntls5jm7pV2mcq26gVZCokbca9uB5CjvCN0LY
jqBIzaJISnr6s+SsqnTsyO2NSqDRNwfIi0Q6bU0URf7/Wt8Kra9Qf4DGjZf15vPxc+z1OPiclE5e
dcskyp0n6ZII1oYZR1NxQ+qKn+jKHDnEIT19QN8lmnRT7NCPU/ucEztBbFJ7XgX1cuIlPzJCgoOp
dImaEhwxi+1Gt3ZjZnqdYctRXnSD0+2nXivssj3r9W/dssNI1wbiMpRHIrbDBl0mkbEDyEopTcxk
h9nnhziyeDsM3ivCZkK0A1qnNYp6N87SWXHUwDI9juWyzUd9avS9RyP+xexxiGGgY+9P1oCZy8mD
5lx0s5vIoM1TBwKUTWO51qWKZHkmbXXtYDNxEwZ1nYVO2z2qhjjfW1Mj8apwfjRYE8dN67RxNNoP
zCAMVsfAn3a7qugByGHl08I5Mj2R0LhWIpCUZFlTPCtWbqwBKR7tqp5CrHymoatFcUmX17PjvwrM
bigjcGh3fYvudMvc2A7hxlAtlppTUNS3DR5vlgPXm4XClOelkkMiJQnSJcifw5H3mxAb/RMD7djr
GhxMt2MFMR4IXlgORB1qKqJpRYzQsSAJqjZIoT2LtgX4+bvBMiD59pX1jcleJW5d2bvPx8axsb6u
UT98bFod1HRxHbaTdcieSbg09wvpq4Qo20m0VaL2MbSe/vH50d55pn81Qg7mw7DXVgsYNttVY2hf
hoFsMzdvll0nh2FvJlJsx0ASrDckSb0QqGY+oe5aE6gccx4AtjO1X2hhUaxLStgk/cHeeGaCWrH2
lucA/Za1TyhSn1Qkxb4RwqQZWdOfn/yxW3Uwt1JNpRVyxXbhNMnMJY0dYyKar5bafxp5yW+XClWk
z491dGQczKTzzEoBNAfbkRqbR8+d5dauxvkl1LM+55rrMx2U8ryoCoD7Sngll0LItOf81NWuQ/Av
ntQqff04MERJObfsEVe76sNmDs1WzZmdnLi+I4sc/2CO7eVANWFYDDCHoUROHL5DOviQhQu+wnSa
wvMOyDNozBY4qgBaix1E7Z5YYR35hBwiCG1n4Z3uUBWx/Qq6BjU1qV0KnpqGDCeu78iUewjHQGVP
eMtsFbtwnslXNyfTJbRurzJaGp1gs3+qqHdg+/r3dtZfr/HD+xvNDTRFQVjsSmRnx4ham29ds9Tn
ZhjHlLQ52UZ+ZW9MBXnkIiZ+2xBlZTzgqCAFnUCrCP0TqGWtOdMsdM9mZGiAvxjkf/NeH8xwUBm7
4xzhc10NjbjNCWruzkIqtKV85/HzsXTscR5MYXyOWiDEFN+NRUm3UCPrpLAj/9pTnh9/foh1VP7V
y3AwbUlT2VPochxCCnkWGgdiHKukG+LXdOt1nCQlc1SGvlx34ojHLupgsoH6tV+6aOQ7PD4wPyZS
nmHIysSDtvXESurAGf7n2DmYY6ALZtqrKLaqoVU8oM5dbzXy12+qYbVGM8tN577V9zhuv0envdiR
qegTn0ULhMeNSifPKTM/nMAipFOVek2gEpRrRqQWT6eqsUdeJO9gGlK0Hw0acBzVWB8lc+OXySzC
edMG6KSFfOm3nz/hY8c5mI/yoLdIyDB/D87so6Nez+dLSyFPxr46Keq5OvHJP/JcD1mxtG4gFOt9
jnKjWvbYNInYyqmVDWsCweeXcmTmPvTjtui4js4ChYLWBjkpI/Uux76Zs8//+rELWP/7hwnHCTTk
2TVtdkMAb6cHiEyWE3whohmt+793iIM5o+zb0VUVREyiAckX2OvwSnbLNfS75sTn9dhFHEwZjM4q
GuYKF1HQ6LorW+jM2mG50bo+9RSODaiDKcMq+ALqJK13rM/HxzxHUE83lc4+sJE3Aj3ouP/8Zh1Z
lRwGLePUh0mVrthBbHkfyO6KCRnETmtVqe7y2EaM0YlxdeymHUwXS4APi4Eqeuc1KGCThi+xCHsH
TYmCnjjEMZHGu+jsw+gaGWnGqNNiJwTEfMaa8jN74lYidEO2xkiI49e+GEG3ApDVFeKAtM2zoY7C
rAqjk+vyIw/vHXb74TSiwkdZoME2umiROB8bGo0yWdEdz3nfQjRPZjHsNckVhYpDfa9l6zz7SnZt
opXnvo6zZc5oCZOzV2LPAX1chW1ExBz0Yz5/6gfY3X/P3Yc2u9biPrb3EO66qo9Lsdj3s6egjxDT
hgzlkI0TCtvQH0LZG7RRIt2ZJujVqw1lysRehewi6LfmK17hMZrKa9BSD/snxZxoO/qkgNo9nzII
MJe0hmkkE0wgJQ4JMIORF72uZdzCuRwrD9mbaMle6JkFT0ER6W3N3HKj2HCOJwigz2jR1OOMXE22
TB1kkX9+A458kd/baB+eUNX1gnQOBgo0FmQvnAn7FCogvrUHbBYX8tNaOuzdh4H+vYn7MDRRlY5F
p9xjOx/SiKStCmCj3XncOGo6VXc44GH++VAPJj4F2W3hFku5g7MDqZdTNW86hi8eXJbsNR/Q4WnF
YqB47ZesbXL2TQXoWSFaWaBpt8xnFcmrOI8Gtl0MDBq1pPllzhTf1NUMpSSjN61XVbfl2L4OPuWb
zx/FsZflYDKN2LR4C8VZ51EX3gIfi/ICZoeE0AWyriH0TkzaR2a6Q757yey6ZAEJtwWdb0ARbbcl
lSoG8CaPcZdglYFY4vNLQlTxX6/4VlPAx88ctLlFGYEeuzMLtSFxV210zvvabuMKK+4lnWy1+ueq
gCZdbtWXDm+1Qj8MveHM9TlPUSuAxiuCCGNAkCMdnDicOiyfwBxs4sF36RlagzohvrXRA2MoPTZ4
kRKLVeYZj8sN4amx8u1YRnJPODaBMRxq01uh88HAbzwMN35v6WuUh937ynWmG9UH/lvRN4UDxL2u
ZALfaXBpIOzgMbwwqkgQU5Ffr2TdNtUWNXcMYgWdsi5o1cZir9AdNC18Lzm5akaHQ0xVl2jtERjH
ADHrBBJBR0DEfRdF33C24UngaG5OmcNLBjttFFY74MbRs7RCC8kwFPCRMMslDGjIwYjqHwGqdukU
+laY8smV3wZt8+8RMlfsxOoHijYfnG0zTm3Jv9t4rR5hVLwbg8Kc+TO6v9Kh1x0DlDVaZoIMvAHg
4EQjFQcNOxmSi9Y0th1XduHpOKcSChdcH39TVQVstWC5nwSuylUK1dmwCfq2+E7CQaLrmguIM31e
V0XmNp7z1R97clYVTZ8VRST7rV03qEs5BJGFcWkQnZZEXd7vXAuXww1oG0mEdUpxU2Pqd5ImV8JN
oLOYfrR2N+o7aGX7OxEKDfFJRKt8VY3R1z6XlZssPq12zPbcNm2cIIcNqZtrC0VvNpirkVrVW9MN
/tdqRskhtoIyzBG36onHSHAbbH9SlE+GF36YTCaa8lQtJgJgYJxEohfWvQg1Y15cymppoU+d9d6Z
hKtiG/qUBCqfnmygeQOkpVpIgOYUdC1VjAFpvs6O0zLYBXX0pSM5/2lBS8i38PzVCMyqZb6bxkYA
+j00ELp4M4RNsWdcAQERIHNgrrNReduqnM0DtpcNRIGK92KD7ae/QBNee9O2NMCyuK52SQYMqOcl
fhHySxPwxcG23Ni3hhVLmLQBHHWc0OILQ44nv4ycBoYYu5tsd4+4NNtBYjarmqyF0ZDue2k1L3z0
gj6Z1EifTUg3eQTNRALz23wTAZwMl2JFw61GNqebML7SRwKpkQ7uVPLCVN1cblDC7L/NmrPv0l7g
ENeVWEuWBUKXAmnTM40udZv0yC7JOlNU0Dpxh+jERVnrFm7HLtphLY+GcjRYYZWpocMDxafae6Gi
UF+sXMJ+i7ciPBPEmaakbBpbxkCFiOug9dXXXPX6HO0lsK1INPgiQZOW3jMurRIKa/S+0NCkg7hD
W6HdNsLyX3UwdynGApg3Kq+BnRnLnn9RTY4EPeWXWKGJesItoVKyjI9NC118D5XJZgR2luETnXeX
zEy83LhWJW9B6rbnJEKRy0+WkoLXMkSDQlsH5hYWt8XiQ52kTPlgwSgJQ50k9ReI4C0vnsoieomc
FmWFMvD6BeaUVfEGH61/vSB02KRtqYMqFeGYb6E+HYrMorm/bHpUjq+qeip1PGEG4TDGLg6mmk5b
8BNVEvpMVc2g3btW56SVC59I1i7RuPHsvHuASQoCf22HF6VrymhT0Hp8W2HdFPDxcNnMnCJ0yDgG
AhrPA5Bp8UgVxURgNNBRoynijuZSezJCOlHeRQmZcrYbcinImVJL5wF8bqDD7YqheqNUG5A0jKM2
EhXmb9QbbExd5TjjDvVaR3vXg+IwrqWPK8Dw1efTUrIohtzNv7YRI8RiOoxmX7sTEiAiyv1bvPU9
NLkF7UVSYyTP6cwik7RLo4YtQ8vmxff1ZVT3j8wO+JA6yCI6n4jFftT4fYwEyOPiwGn4tQfO0Wte
MJhjtOg62J4D4u+ReeGEG7fAPJXRhUPY0Nh+eNtNsuSb1l5L3FMVenHQY/UUF53SOda1I5pEsinn
lFLB0GetHQepcX2IGM7ZkGo31vl1z93wuna188BbNPGXEvSHuCddgKEoYJ2ObVT6cqgZG++iglIL
A70z+c1kV74Xe2PnfAtbqtrMlxDvQZ3YX8ucjJcTn79AAbw2ywEGf7DKxRIQKhfyrZqCdk4kpJIt
VP5l/VzRCifX8nJ2EpF7wxnKyfWSOBiy6dy1CO2aeGRbKRnBQoLG09wVgk7PrPXkvI1G1yJZUPoD
OGo9NzM2GhWdY3zSbeibWgaUCW5BrGnVvMA4qh+WtqmvOrca4R622dLFTWN6nk7IZtNJgIGzs1sJ
PH5btoDM2+FUKCQIKe5uO1gQXwu8u9+wMBhIXKNv20G4KvPVfcyGZW17onVu05yO6LCH+d5TDSq7
EEqoC8hF/BjSSBd+cGLFkIAiPWvowFLyibz7v1RjYGDVEG11I+onqIlwagg07Z4+XxAdYIz/vTQl
6+Lvw3rbhkw4sFBi3GrHPDDk0ySzLmC3gUU4IczWKdE+z4BZ5THBLLKvemOfm97Ad+yVTerKytqU
tv7++ekcWf0fwlimhXR1p02AKLoW0yTTwWZYGnlFedFuIV2tEA/O1Ybho3riiEcWuYfpSZjmxzIg
JawcligfCZxMqVtP+EbiBdujWz+dKMod2WS/N04+3GenBa2AEBNu/dFrsqIi1SXWQjrtCC9vP795
xw5xUJlYQGcphy6MtssyozREg+tqmiFyzpdTIqtjRzhcPIvacS10trZIX/4yCte9EZXTQMs02yeq
Hscex0EtApSCCg097MZC3pPMgDNx3k6tAwQQbbeOiqYTG4Eje47D0MV8cD3ZFWCZsrL4ih323nIM
1OZ18dbzdt6XwRieEEe9VwD/osZ8CAgPwOqx4coodrmCp7RvK3YT0kFfow0WxMu4ZrAGCvpkKZpL
uOTcpB2Yk5GimFKnH6wdVufY8pkBH1k+lhcaDNpHURsXNiTXpARL+Sxi0Gt6rTWnTIH2AVl8kJGK
BzcuwKobHqITHKBqDjlNE+6NJYZknL060zosNr3T9ykynaprtjh864ZdeZkjlgKxerO50FY3ZQX0
n/u6QiCVqYD8wJyPyE8j6qyEWSENFTzE2DqNkD3J+VTBaB1Sf3XX1gf34X3pWSWg76msbR80cu9g
YZRh31yk8FnK1Ms9AdrHDC9wWVpnko/2XeE4WEFEiCf5/G1y1m3uX53BwcyYi8rH97LJt37u5zAq
tJpdoYfpDvEAP80W+KqepAACUJAfPSm/B7mDUJRoMm/ACcyAgOViRqJdQ090XI64zd1Dsh2aTaUK
a/RDJo/ZmYGAMKl1aTZ/eJWXMbwZ3OB1inr3opo9f0c5WheE217aYTlx4zp0uoKWDA8/9+h9ZS3l
t89v1ZE99fu35cOzcgsGCrRlit1Q9c624VZ3CxncKdDnkSnhN/xlpJUztCTf2sOkL2aIoRMscs0G
CeewyMH38R8x1v78Eh50JN5hx8oO6BZqKMCBufPqmUpeUyzj9wji9SDqwaZLl4r+zU/C+hH8cNuw
i5iA7cQBsTUDvAoms5+o7wf7sOKvnz+YIyZT9x0X+OEQxvZk4fk+3YYa3cDGde20rYtyE3BHvoxB
CB3/qCuMDznsOCSB6Vi108v7wf+HbfFfzqr6Pg63uFcDqBb1R6rF+2/8C2vh/oNGNmKdgwj5xuAu
4HX6F58q+oeNqFbkL6DsRRHIjbH4T6xFAKjFyrpAUrEPFpX/gU/l/COCKxL+CNAw/JAg1eA/YFpg
H/rLvAc8VeCDwIeQa8cF740cpgUwQoZAOAHynTvuRHFHlhA2fSKgsq2qICo2kVN12NraOYpLkGg+
1UEznfssNwT2bCHynScc9ohyG8KiJJfNEpdeVZLEwe5yA9vZ+q8k6JtM+MgBFbqooYM3WE82Q+9w
BGkY8SysBUqVGtUMhPWEEs1tL6ztKc2NX5/PIH1/9yYFBapP51rF7hIWKi7J0IYplt+ErJv3tQck
YIeKG666axiK7DaZO+wTMtFOw7ZRq6eo5ZKJWBBUwlK8FxrNfKsOEbARDd5LpDVsdKZdgMdQARji
eyZDVEO1PVc9DNvNUt5iV7OA1MB8hDdGkaxo7LYCpNPIDbABQlk5fDVRVDw2ljHLxh7GekqcYqK3
Hpvyn55S7EvuG/llcFtcDnRj7tOgWHGHSMEJ7q9R1ZlySQ0P/Tvcxlo5N6JBswvFGnC3IKiqC6h7
Jp5H+46F03dUzcUT9FnBM+dNpxItiilILBp0fdo6gqu0o0S3abmyd5yVwkMXQ26wPMnvzMroaZmq
Vu1SWT3U7xAfW3L1gJoG0D4ucaOr/h34444R/cpXClAFvtiQUqbrbdfZEH40KzGIYTeExtjKERp0
xesYknjLSZHGrKYMhZ6gv4StCwgi/o4jkpQBTQQj6nAfvQOLUAxtvufvGCMiVskKq1a8EYOn4qd4
hx717wCk/h2GJN7BSKgXAZIUgkAGQ8Y7PGleOUogOK3NUw2CAlw3AC0JbdDngqELAKbI7fgPe6Uy
Ve+ApnnmdZcsAbNGINhWiFPwDnTKq6YNYvkOelpcD9An+x0AhTBzwKDyAZChtHmHRC3j4ofnBWyN
UTzBb1h8bxxl8TPQ8KafdeRN1r6zEK4YC6hH6ltWdR1qxkFFb+d3SBVxCaBrnjV8nSoI4s4cr7LF
PsiH/H7Uqs2xDppsxEAC1+b3L8AyBOJ8Jou+RxCnjp4acGpR0OXYZqLFhXXcDqvJ/B6+VDYmympc
aPJg2APJuAKW6s4KYMISsLQ1UZ9g07mYXeETdqVzdOpjxIkwWCdlBe9b4whXXBhizKXTklClxrZB
kJNsxL4eDn2IB2jHlvEmh30yALmBwPkgbIkCMGQOE+BJQVt4ZcKlEM1m7AWa/c0sHHWmmQ/mlW2h
OhiXdeNNKN/5jCUwn+kL2YILk3TGB/HdgriogU6dlDYeEehi0IP5+haiZHUvqF0W2WopG/dmqOSD
7CaABMZ6pG+NCTw3FbS0vsOwV15TbosxblG4tHAzhfvdQz332XTwdsZsYuYqxPYXFYq8mB66hfI6
sXtYI1FNChcr7pjQVloAjoV/J333bQAor4eTSgbfIEJGYbH3/fk79nr5V5u47Afkpe1PVDqUG3fC
XzwUHruZZ+2I3SEWurCvxJKGxQWQG8NwHrl5+ebbboO7h/bQNbAtqNZNLKiDq95DbRJwhAUsIVTl
oxe/QbMA+XxhNINoUlVizyJX3fY0gBaUCgdiYbQv+gZirwJ+6nYcSJRY6Hk+dBN2jlntueflaJBy
jV0BMgJRfvD9rVw4iP0jZ+Gqxw/lni60Uhl6pfWVT9pueIG4BKWleY08QWRdFI5xEYZ5nfVeGZ6Z
Ug0hqu2tBrMT6dgcUyB62MswPGPvgv838obeSmZ7sng2++YSXmbg24REfWaCkwrOtghFr0RNefeM
hol+Vm0zAcS/YCkYI66Qv+SaKpjxhU+nuDWQkWZTVOs6oQ1BuNQs+rnfRsOAiiCQcf0TkW37QwfN
8tbMln0NHTAQaFIMAUpzSFDByJ+kJWAxrfISbh0uZUxRpAeFz+mgWai4dH76xkfTRdUYiWmOx3U7
wpr8zKt8RjSxe1aFTYRcxRJ13kLU88bMU6BjCX3fgzfymcdKBt49wR9EPu4Ekw509a164SogcGYj
P+aFmxEFoNwrCEiQHLv5GK56vJtLUOdWPPM+2hOdO16sof591GPoQzoKszhLsfsPL/O6YHBXD7W6
JxbWhHEuPKa2sGvUX4Mc17eHFZ/CcTCPxRamV46Cv2VATRhDLXxUqHTxYME68qThUxwRf4plAPwh
aALfekLZsVXP3R1r4CeC0dQpUDDTgb8y0ZETB8UQSst/bMH+ZwX5XwSLruMLyD/oaPEPPKm3X+lo
6+/9cxkZgGXqhS4wppGHlijKvv9eRuJHQEggOAArTEz2zvqjfy4jXfIPpOjaQejbkPIQAMP/DUfD
jwh4ZiHKlij3AfT+H7HR3nXuf26ffcQVIB0TQF8HKx0sKd974h+2IL1CRGoHGNpmcso99Beol6rY
5JD8YllITDr5dwSkGV3OVyyClF2PW5xUDEYJwBPOpQjL7dqC6OdHDZQolgRJM0GdgWIE4hB2uYzS
yLLOOox46r554zMNK1iF1C4q2BPqYV8UkN95HyBMU+ycwU4ak4Si3cADjIUeT1DfjZmAtHwsnpgn
IRYfUuAM11cXyuQKzTkXjXj3otwLwKFgAsdSKzB4LWe0Meq1KtqIB6zHv4IjdrcUxdZwKyvpeB74
oEO5+OyUqcLfccyQfhgLWGfNrG0+EtN+3Q//fmMP2/N2AI13Lgd8Qdsz9LdiE9x4CvGWvb/5/Ei/
7ut/P9L68w+PsINzE55pPEJKQBz5pp0TO+535dqvYwSNDTtAhQZECgzIgwP0oQVMiTADKGCX+CIn
dXS/lLDI5rDgxyWcAqRNaIfFdF9edcW529abEtJ9Ia5HqIqxls5cyOyHqjiTlp8G+km5Ev6lxwkD
p0AhWY5QEuD3xdgm698a+/mC+msXh8Whe2vNMMu0IhEjZt25zdBeyKAHXUUwGRq+MSShO7jfYhcd
g9Y/62Gh/PwGH1Tf1zuMG4DAArwj0HyQ36rwa1cAi7ZhMwQwPrR8O73CEJ5Q9aRajZm6gRcGOx+A
S9FnbnBToAjZQLSSfX4evw+pX0/joOhWI8U1gOF+2AhgMQNK49kFqyPE9sonJ8bUryXk36/4oPjR
dp4G+nbCtOAuKQGpIPcFNlSnrmidGD9U7/51nAA7ZjDF/d9SdmkxwEFY4s5K8lB0/l7YeVwZiDPr
Dt++p4FeBM6SjN7ZYKu7xbpqW53J5YlQniwe7nVnx22e5TkWGvJEZXEtKP026hHc9a9TO6ime2Bq
aCnUsLFDPykmxIgVABXhA9v0DLx9aKwCK7M0u/s7D/nPw2Lm//g2U2ua807jIWPBmfpIMgFXPpGd
RtTRqXi23yeOdTz9eaiDKaqBXqaDLG3YzFhBQVQQs/r584s5dYSDmaNQgw3UCI5g5uchfJDqxNT0
128ErFo+rsKlh3p/kF6A4w4xySrnepxfVYjRAWQMPZUG8Jevw8o2XROL8c09eB14ONKpljhOjwQA
qrederSX+xP36l1U/duIg3IXOQeoREFY8eujlz6zbbvGiKuHEjOc2aA/HRccy8nFRindRk09hwxn
ibG43fDgXPp2vDB0s0P3cWI15tDwJ/H5NdQxUEFAIqKs6YselQTNaFhrpmvjm5ukzDWM5/5FPX0R
QAp5VbMpHDCOi+IaQoS0VmVWdf7W7t7YaDa2qgB6Wa7G8NXu3yxIN8qwO7M6+8wprkAqi+EJBk3Z
JB6MqEtmuW/S++LAGTPsgWUCP6FM+4XudYPzD/F293hr4CQCl33DlnxjarCOlm6fQ5NR2CFY0BCy
L4+95Zy50BlWttqNZq1YZEDvXJHmBwI8nPaFD+FP39OPoIjdI/fvbgy3I7kyfLpVVfhTKJoWIKhr
yMJyYd9DvgVkHmIIcONkEUJjPqQeehFc0dir7QwKujQwNwN8bZZ5Hko/tjx3i53Etu2WuAMrqmRX
BIBJDJGbeiyvSkkuyv4NCuB42YW3Y/+6evrwbVwvAayZTe5A2WPdqfZ7E7yy5Vl5T0NJ8XH6DsnT
TQ7TbjArbGopQDAQ5wDV3BoB/BfNsB/ZGCkulyk6h9N6a4ovpu83fdmercXoGrAxuDnsRVyKGWX2
sb1YhwuIED0HIskWWxBE7vB40gjfTIUvRf2urAetqyBvkZqA6cnvzQQyM7dDGTOnvEDr83KtRcUW
9tSuNvddb3YqlNupv88L8P7m85rItOt5pohJkAR9XkNP4VklVls7G4VBs34eOJ72NMRh6ycu8SGK
GaDXszA2XqxapHOBedwCZudtwv/EYV4emjmNXqC3ygJmMk6dfT96+5Cdox4X+2GxBz/LhfrLMfYG
97xhWIeOl579x4qgChJhgVzJkN9ZdgnhUA50LvLr6nTU9KHW19JHAw6Q7Rk5dVj2jeqFFNkghpiS
K2jvjH1je+gJYYsrZHHX1hpMfi+dQDG3XP0V8ih8/by4xY52Keu0Vci0Y82GCAjdFNy8ObkEEg12
Qei52uoKisvvpS2eubdcN0F7BV/VnTTRBaLGU9t7dXJ2FvrAWWEROqpXBcxW3QyPaNqD+fJF91i7
FF3C2pdx/mFgVLI7yB8nCG1DdHBH0IgHeU8W9KbtBQF9IHvfKKQUSfHm5F7sjvgeOg5Ct6D0g29l
ZFvPoF2gu60TYCVN+dVkgSxRQr0xJ8Eyp8KxsqpYLroKslcyntd9mxSku5xY89zhrylCsgixfsTC
GcTCQVARG4EOlbgPJosghwoCkB2sIp3FYwVIU9HXO2XVGJD+puyeEZ1ykys3K1ZCrJnTgXXJOIrL
KLo3SEHJbT+xbAjCJqgwkAQkLSQuYTFJZBKw6nao/b0xkHDM7r5kU8aHZlMFVuLb+aPrDTuASeB8
AL8FopGmyGpUaTzwJFALuK4sbOxbGyKmuos78KYgmganfgF/p94tbQAE+pKsV1hGI4T701aTZ70q
rZt7uF9LPJzOXMm2ueE13xdN/Qw92S0fh7NJ5hcAI8JebbaTdWEF6BZDeieXZ0HK1MVT8DFdj/OQ
aR9MNVQBu3bj4EBO12282uy9vNqAJbdzc7WfOMUrrDeeopmWYFm2NIvsGyw0UziQsFeANM4iyVyL
HbPShZkLN+ozsLS3ebkWLdkTxQRlleNFTX7aE0Xg201B1TnUIYkVgKrCLnzOblEfu3L7ZxQK7wY1
7bW+7CKZQpSeWcA1z6TZrOE5drNvCBKZqnLrYrozYroCAelxyJtEOJCeB/raCevLZaVAo0eeQ3FC
oDXh8n5gevf5V/DAFYUVITa1If5BhRcNFCTa/PoRtOblPUtt2Pi8hVQPuwBIYn2UgdqIxjapNnWD
LSEiI6fZiy1VpkgvzbyoOC+1fTlhrTRE+sYqHksTnji13xaEB2d28HkO0SmpsCCDirVGlt6QX9s5
aIViiX35WOFZUllvxvE/cyz9fj8Olh6rq2iYZTdsrAmKdO8R0M4tdHSnFrvrWu+Xtcd6cY6HjhKM
PchOOWivonjowBFd4uJCwNFUsPMtrLbVeKPsIWuhHW4nmjnGXK8LAPT+sxlwSLqoc91HXxkeReVm
KLJCGVwmoTonkLr6ECyue/TC+LGHcQWJwxevd7FphH/En1MXf7W33/zCx1sT7E3wON6N/GF03Hii
LCmlg1CHDDBFbAk1dHn5ALVqGdttmTne1y7PXA+rEyYzhT5CF5nNXKAkGsxXgzveeBAgRu4PaKRv
CkverO9c4OhHn9VfARFN/YXdVJJmFa0vc3DlKDOPReBkETW3siPPBtmoYXEfsKWOp2Ha1PNyLy07
LbTaAa7xOJvgK5iFdwu2JjYZQIRCMip2Y10ofk5AaSiF5neN7lNbprLGQgMfElfghS7cU5vTE0/u
fYv1YfuPKTAfZrtah+WVjTmxGO49a7OWcaIlutC4x8ujOlOy3WLuzenr5+/rOuh/HTfgcb4Xo9CP
9PxD9oDso8kfPBy9bbdoQG26fXHFa/8CnOQ/huj/gzLjQ1vjn8P0hV8imY6mOayn8/oh6+mfp/f/
M25p5TycqkIm7Wsr/9f/Pv/xo+IN+z8fm9rrr/9RjKTBP9CtBgBq3cXAAbH2x/9oaeMnKENSH/uo
AIbuD5VIy0HfmhD8ToSwBgR+4Xf+Gbj03+x913LjSLbtr0ycd0zAm4fzcDITjk6kKFHmhSEL7wkQ
wNfflayZ2ypUjRA9XT3dHVPNllQSDRJptl17bRDR/x2ZcbwBnZo1A/2SjF+T0r5QiPyylUwEAGS0
e5DgyqFNuYhN9bXkB8AenJKWIrs6CAi0bhkHXoQ0i3yVZf4JfDsZy/J9ivL/EtVPKlIQJ09XlvrY
geZWIVW4yEcYYzQC1B9ApAhYfE88I5W4qE3oWRvtgU0VnjSrmn2HBpeCKxw9WM65QbUKahR2pslC
3THiRZ37ynl1hEwK7SOKFFKG9pRZvyxHPyoceE/RgKQruh2tw6VxaG6y1/5Je++fcldQN0O2i+KH
QfWz44y3OwnEfTtDEyENXtqgPoYqisvRcPhxeEMW+LF6BO2fdie+dSExnqWSGc/FY/HYviF+i34u
4zMyGOE+o8HRaYc3YLIKGVlvlN8juOCd42Ubv+jci6mAD1s3Csp8naHwT4kLcgqtfUiF9wFQ9gwg
7j7ewpD7sFe3X1b3Y5T0Uj30yaJPicOMtGwUkKPCzTHuy3oH4mvRXGoC6h+28Ec2YC/emfftKrsZ
D8mDYoNcOEFrKlp1FIAFC34QckkpKa/PsCNh+IEQHFhnvPE3DnMSDPqDhjm3QcxJ8OgvsEHmpILJ
1d9H9fZfJxW+joFdhAKASCZSRZZuiuiS+fUEmSJyvMg5K2hPedYYUAoxyTr0iz1qkGaj+ati0N9e
bSKkf+PVJj1AvlxOU0G3r+kKgu/f0E6pI2iXu0h1W6q7Az3bKo1ZjNbwFrVsiHg64qHRiAHJwnij
3M/PvaTzgz2RT9aHAVxgWB+2H2C1Y4mMreqq7tkWbZh2qFpDi2uUsyAupt0P9LQSU3JSaXdjPvWv
IPqTb2VQG6EfBzhfT0QA+nZR7i0RfQRpMLo1WpU9Rwvgi8ClisB6dZu9BbuTRDMd3j9NboUNihBP
y+hWPKM8ieB78tYhDvaPX9SS9CBhzuCmAWyAcg9i2HDr66OdNDbywSdkZW6C1ekdfb2EW2EdX58j
gno7ZRFsg4fxCTT1rUrzzZl11wFqlVO6OpJ2VR/0lJYpWRlwxO+lQ/PauWBvujsvQZ5/XRE9JdE1
mDBVjYgauUEDpYIEFUjJKehRUT8DftTxAZ1Q0eQM1u47ylGC9/IlfylfaqBWAv4/Ev765lUEkb5X
dzYoIZOGKuUtj+Og4THPI9JaA7sFASAnf5SXEUPd9hnohZC0+xM4nVkETogl+HjTORt6dpkn8v3n
Mv8Vl3lOmhgT9Vj/YGnyta/0D2GmiTzAb8qAgU5CG1XXS2Y4pKoLAse3s6xuh76KAOtoRs+qFZkK
ijrHCTd3yYly+BGXnHBn/eM2kS3WNU2Ukc6YqIhEk5PKQkmviyAB7VlDb+5GO9zQfziEcMC+36J1
9kITc/jfvtAlvztVArrFnRJ4uChWn8wi6q1DoMYq1QVb/JEqZnEmOVAKFH2nPDnqe5Qk9qiJsRqd
KuhJ5KBvBHgRUN9GAG0ybQ2se0zOh8wflLBchIIqUhWAJAClwsrRB0jeelOBG4vqJkRyfETl1jG5
6WU1dVA0PBfrucDKP7udyQLlTYJ8EJiyXEuhGZqnEbGnI7wmlMKBYd1EWxUa5CyNGGetRaNPIt73
Ee2rLRTHERDfHDX16/wpzQjCQsk/uyr/y3X97jH9ON2TdQ1As2fFGcY3wLL3hQjfUN2cIhq5r6/M
e90zPfm+hG9gXp2fu3Xv1utophxobsk1nrj+oPf/4ksO8PlXt/OfXnK+4z7ZkdpEMBdhlqPxHcy8
6glUB+jQWz6BYiJcz7Uvn9ta2sSb+D221ty9TnLi//a9TlArX+SwgdIwGUX1/L+J1Gq6MAUuNVHd
+3uRXl0BQEgeHm73+5moxGVxpov38ToTcRKYud5Z/DrDIrg++SGtiLg4uuBx9Z9Lv/ZVmO06hYHs
N6QnruAq9EhKAttuVW5y8vS0YLbg2gsdfwSRw6Ykd6iJJjnZoMCbWLNG/YTn5duJmcoXtP2JqgLy
pUDNwzXk3xEY1p3lgAo+tBPUAFLRr9F0N6L5rlxUV4CliSo1KnK8NfzPHYy5sVxKgz7ImeB3HMvc
hrno2w9j+Xc3zHf19ocNc2Gh+nAdLQwQisywYToHyC990Tz6UDIFOjSQMrVnOexm53hy6M9x1Ygi
mjK4J9a/ZOhfeZXeVBHVZKaELIwY9B1Ii9DaJvaUCKw/N+h/2Y20YhXgCnCX5nA3cyfmshAfJuAP
PzGzK8bxMR8G/FtX7LIDPhEplxrLD9dr9Bbt3yPskDyjhYuKoISiXkll0rsCbCkB5TTAHb/xJE7E
5e++S2YnYSJXf8QkfC+AaBmyhRwg1IalT4nglDiRxnNTqi5jjwV5LJ2zu34EqTO7d2JG3gKbAEvB
zKsHugMXL/H2+41CTTIwbznQe495tzHxPl8YxeQz/81u+GVQ6sQWS1vASEGsoLqiaxAAdxAI0nfo
OOCg9avbDqRDWg6/NYti2SxwkO/1NVB7O/TyfsErSyp4A47+yVHIQXBeQSH0oDE0o/KOtPISgrT6
7RHOye5o7w4plba6PSwQL/F8gQrUZLqvs4T2nski90QMii/7RNxtQGKnX4bO20g7e6SAx9hv9VJV
iHqzRWhKsGE7vxXrI1O3J/ImUNdPXMNGqQHTCbUfUEKDj0dh06vJ3kC7TWxakwUaADnhM1T1c+Ci
7Sg+FQUZbkRfttqaZKutyQxbs32AB3yDlhiHzlJiN86JiD5aBeHPKl7ROBaN3OMqv4twSZ1p18aG
h8vA8ePfxe+nRevcdbRf4H5eEvqis9XDmd1tTHKH8Ba9215n1FVxuZwU/pkBf0LcOzy1aiKiLRa2
SfByVFLw2JvoFH5OFpv9bpcRUOA4GtHtZWPzxz2gYmT52l8B/Ou0tGaNfWLLlr4eZIh+UJVAucf0
VcP7wKNi1yxfgTnauV+2ZJ36yAozKAh2pvfrJdiIWWUjOnQVrpb5in9YyWon9M+L7r56H9AzpiBn
OiziVeyjR/WZIvND2kVMBaffyggfxqthoVzxy/IRHilQo/QA0DAeCXndPGju8cokT957Sw4HcYfW
JT0RCalW6IuAOS5tQJbv7YfEP9k66ezCf2gYaqvYuDg7xhrTLNCe+AFxBzIQL6feGfc3cxK4afjZ
QZhY8WU7IkfNTyeog+0Ud4obWDt+4Ubkat2z0clXZ5ttDReA9sVD49vSAkN0BsembMbqm5MU6sRk
/49Iirn5mSh69HesTn19mR++qY5r4+psrwXSkIo+goiZAXNFF0/DitogdHHuciI6wXa1WOx3M9Mz
L7QmZv5PofVTaP13Cq2J7fh7Hso5+TAJwP6e8lPmmIpvhDnSWrpmXSBX07ydoJ6OY4hCC+immtVM
dLl+bOzO6ZzWRj85Z8TP7NA7QOy6Z8qfGxYVtOTp8jqekeLPoabPAcjYlxzJMRco1qAS0xzZDikI
YOzIjpkADJVx3XkAfVPAJhkQsfgZwaLWdsj4gPDXqJ38AGJxqpNVy+zO1had/RQwi5k216S6G/to
7L0HT9eqY5Jzxl9LmjHkaeCzw2JAp1UGabqJSUhunxT6BOjlxcWH0eC+ZdTcFtCO14m7vVbZCYZR
R64LupLBBrCyNtWL4o50BU2bk9V2dfegIygQEi+F+XAoCOjkLlobavp1eQDFG0E8wyCwAAeqkV1L
XvncvPMB7d+hvvE8isguRsXr62tK4wWN7cQJnNTNYLyqZHCAU7L5tISsua3Y4OhOxkqXGwUmNVjq
fq63sZ4zaz0x5SNQmuYBGnq4JVavxey11MQXX3kFqpyv5LJjPMPJl1FdnO3Sz33TRd8bNtiKIyL1
CMI0WsIKj2zNS53ADh1QOzJ0DcBChyzBgivMcEIsP/9b5YIQFMGM2InshqZ4Hq920OXUHr3MTfBs
7yVr+LylxcSrrIBJIzojTNDEqVbDPeC4+F+9ktzaBmTeH+2BwdI/2jKRnd5Gg15Y06D95TeDB/pd
Y6sdcRs6vgYb1hszYHFXNqjpl5WtXOmu5IgIBKV+55TsSPFOBI5rbLDEKRzU8HslpTnwNHbokepG
9MeNsitWlS+vTi4N7YDlFAFgMmI40iL3IkJgntsoTXcy2zn7p81pIzooMVjgk9Y7BvQbDRcZ3lUs
TWxhbnqemEhTGJIwDGl06PB7ahesxyeimBG2dERV7OOTfcJULBF3ggEqu4Vt2jq+0KSQwWjnhweB
Ac9YWavI8SyKfg43w1XrkMgPfBqS2A3nts+sqJgErH6Kir+sqJBELgqmNv4HtTB1do9glEgiE6Ki
cxoIisbW3Q4Cv3eOu/4fiuGIsyRDRvBnUNnqcvkgMdEecALBw0QHoCRALO5krkBfOjis2LS2H4G6
7L6BO9Cy0c4YqJLxaGlKU3fB8vVpffb1+x77GT1/EIcdF8MVYAcMpyKwc0eB9Qz/Aqd3oEj+4yPV
K5Fs5PvwGhyOC8s/uScXh89RXKCvAAItfCT1qXk5OZB2czAUY0Z9Tgn46y4Gcc25Vl0FIQF+olsK
T359plw9trb2Mjqg74NaHB0w+fqgI8WsKExhXE7yh07R2Zy2bsoyzB5afNgpa9zYCTFvAf4dQFIG
9pEdWY+fgV24oB20U6dxK1d65rIXRVo0h3yNWeGGe/6+DOgU/tpoF0H5AlLHqjXeB9krPfNPkLzY
qfD+kGFt7IwemYAJ75aZy1/15ZXNG39FgUfo8O/BInWiheRVLn7iipFd0cbNMO4I65I6FU3xHSVb
+Mrs0sGYcI85tEDqtBgBl/pHFuI+Mhdf68zl98MjF8EiZqNX8PE4/CfGiTsp8Cp+5cvXFdcT/H0Q
tpvOyyByudg1YECgxxyN6DbxM9gMq5Fy+wGlQjtt0fjpdXyt3hc+xDd062nT3EgL1JI7oCZ024uR
08Oz58YMgEoMNCpujlVQKRgWoOXAYIHYkkl1O3WLi4wu2GmDptCQ5ly7yFivwOP7EYS30IyAhtuo
LqE1FdmRxNcalZBQSBhobreRkzigG7FZvAthnAhMgHrnqquCQqidoz14qRtApQ3OwDI8d3IQSeAG
hYqxdg5X1aHL4xQm9pfBYju/HphEV6ZTvmswLEDZugY9NBuItkVudxGwfQHUj4sWRzR3zevYjRjU
/BF67UhhlAw4Wza4yamGmURKxkIUqKDCGtST1HIrv1k1K8PdryuoyhpqbH2GDpUx8Jom7F5yNNx0
gwlq7BLbnp+vox0B/AQWYRoACLX0luidSw78Dk1MDIaM4TMPnSChdnng64Rzj4Icu2UFQlulbexQ
jYdrWzaB6usIMRA1GOmtd4Seh13mIRTuN76yaFaSK9+rL/pLw4aXADuzYckKGHPPh1+Nij/uaBOZ
wvzKyBKhHLYenXuns4U1lhaWZ+AqbrQVFr2b2vQ9h3x4f0/p7hXpdLq/3TzF5Pb2TF5h9R2xYLT1
4lt9w5bc2pPISK55iKUhN/wqoDcmKGaiFsxDA+GeDMbhAQwADGEQxrdZZZ89axtghcGFirngAgAN
3rCkGjPxchRzs9w9e8WywMJwWchn64ilqbAPBoK+VAS7g60AvEJ47+woi9BbYCW5OY4CdOw6vpmQ
LccWOlJQgeDfMd6QQriOdgU7kxpu4RuuhIlTFvq9gNBQ7uK26EZmGh0wMSsaejy8R2zLtVG7dhVc
vRd2AiMCXendHA/g2nALXFAr+KuFJUSloo0etlSYCVmAg2xG9UxCOmppokFX3yBPconWVbZ88Un4
geUWKj8UyKBc/JP+nvse/EAXGygfBw3TbM0ZWX2jORJTqbSSIGDbTbA08PvJF20FlD0eKHVwdnW6
5maqtiqdZ4m0t5BiDHRZXLpBqnE5BovVyZ1k0boV5B2s191w27r1PmXtunHBPo6/cWkISbwsXMhp
SOYYEhj8AZDYwKDZCWKbqJe5POBmWCVVr/qdvJf30ap9kDbaOlkFvrbp7goXHO94l2XzECkiq1tU
R0GGQ3ZzSU8wNi5loRkSF6xIkHwCVCr/bBQz0mClElR82SpsWGwbL3BMHDK+SjzACNt6KdkobD2c
HbwK4dwO7zlvwVns90tIZjfdgxsan3XyELBlCNydbFiw+W3AUtjYiEvfne9qF/T5sDsjyLcEn49d
YMeuCfES4xAPUNojdtNTTSnM6hrbE+uEFQzd5jmFUwOS8h38OJx/7gLFruQjGopdiHApt27xs3P4
StcItXLVyUUzj67zfyHMCJVfAchTIxgL7xQbETaDG10NiHEK+MTcBesvPuXysGMI7QobmCvlFpMB
bn8bDQ0xTG5Ug9PaPcPdKt83wEI6xooHaVHxBjEWwHbHUwysSfgOd8PhlniLEGuPWeNvBx0ZfAUL
PodC+BHmx9WCwLbgpgaYkRRznlJlm91BzPlHmsGdwVphJ2QQbdzhheMJxChPYJzw+dzdaX2RUEhw
HCfjooouM+MJ+Ejj4bwUfNQWQhrg4aSLzj1Ry883IsCS+aFbaGssFw+6k/BJ2EGR28e9juQAttIG
zeN9fF22ogm46heF2pPyLsEQuBOhbUym4Isr1+T26AvXUMzL7Lbz+iVXzHzD8U8Q4JocL0YFjBIn
Z5HHncERh+gZnnfjNyh/iAj0EB58NWIIbdlZyY5hv/CNHMEoOLshXEAYHZiCbDWu26vS9SInpzR9
axGoNrG66K6KleNiLMJWBuMKeA4IfcU+xgTx2VavQ5fvau4hV3d8tqEV4exgr99wNSTc8Nfyv6Lv
jcf/DToHV77mmpN7g6ELNwreIF5Nse1mDMJZH1udBH9/+tg/few224JW4NT87/9Ic+7EJFxv6Aa6
158RjYth/HLhjq5J9ImLSXk9B8oEs8mMpuXPf8hv/3RefjovP52Xn87LT+flX2HBeQT0s6jZJLMj
CVkWWFx8A2qAmLTvGrCJZ4oA564xAQj9W9eYd8ImqYKfTthPJ+ynEwa766cT9sc7YbNW9CRR9Zus
aGNGHk9LNESxSjKrR6YE1GOXvEfp88R5vlKueGKVI8eQfyQIViC7Cwo/5BDR+AkeKlLrTLXBPo9g
amKPiMPw+PaXqBFweiZ7eeNx2YS+FaCceb0bFwhvo17S1lwQjiB/AuwcQI8FQ6cphJd5oPoSGkYo
Ysn94znc1+ydTnBff907nU1/XTLpHzyj/9L0l2R9d/PrCqcNFtFmYgohP9foLSd3J775Ea1DvI7H
3A6H18NAnxFULYCCOOAPJUM0fQmY4BnfFR5a5/E+xKH8kT1fj+SqwksbiqD6jUCuACVY5Ff5VeOa
29OdvFU2yrrfqTfooY2AdgXkiIF0VYPQEtluty8pUoVbRDVTskUoalyMC9EHJnUxuhUDvS4QdgWi
o6Ej0cIfAGatGK/66OFchw7BuzsyLh5SYuze3/ch2SMNgLEK7DViu3fkABTcA1i+Easf6IHDNgVn
eVgi8L1qyZG+vsYU2A9k/hD9P9TsgNQG4oIav2FAOIEKaflP/gy/+90Bc3GZI3zyycE3vIKDCnav
n4M9vh9F/7AyE98+jRIrMZNWBVaZP5ZI+dDHs92zgtwbxLlBIc5dRwJy3ZObSy27C/AysVcE+JcV
EDS3qJGxA3JkEVIePG3XIbnioD8ggnwREhO4lxgx18MroDbDZdbegX2J7feBfH4nlxTqN0b1hzuZ
GNW9MghaLyMfoD+W98c3wKzd88LYR0/6TtzJu37b2CCn60OGzngofRQt0ktUGImxNvcoDlRlUIbw
apr+uXjRkeRjaBCAhoIN2H4TisJBeafb3Zl0D5+PW+GRvs/GPTHUrbYx0IMdZ2PYSOhcwt54CjSj
LxJyRiwg0ToK6G3mIKZrCyzZJ/twLROeuYuQEeIxbY4P/nxMlwK7z8Y0MetPdaAqSclzK8hQqRSZ
KKRCFOe0MoHj4vk8AGJI412wJiDKIyfJRl81Vbo7Owtgl1AxhcwmsoDNJSmjYM/HGCowMcgRnZHC
TNfIGcFqyl3tASWqM1sBXEAzc8qf/yCXY7RCMiIB4+fZAhPj5Ula5A3WHPIzIGXLswM8PwQuOWDF
gmsOX+qQiTsekPsBHu10xdFozW2Knzy9zZPMR6SfeTqdw5l4+puD7Pl+R3cZZN/dGr2EVabsgpva
WlYqqxSSI/A8eGg25jfIYKJP5apHlO5Jvxptj0N+TFpC3SPxi1U0kThtkPfrnEs6DUFoPuLU7y+w
JBBvAr+mXnG8QmcrCxEmAtgVgSNzz8vX16P9/n67esvc6y1opfOc4PxBRkUM30Kcwf27xRog1Hh0
nMe8ud7n38+IfCNvjURB6/HfeRaIx8qRXkRwHUS4iCgiZfsbt5c8KZFo1Tw6Dgq2fEbECwYB9boe
n97zreKBDhDZs4iENIIogeBdLCAx9iUdSElvRXKbsdvbfYEkx+UOIRN3r685au+4jPz8HHzfQvxF
plwKND/sI7HPo05pMdDqOr1SdVhdQJq5nVtwFJgLhjc2ruS7mYvOactLhdiHq/7Ulv8pbTm7HyZZ
mx+yH+aEsTwJ9v9xp2VO7F6QgR827k+x++cSuxML6U+m1ecMpQtRxIfd9Z8wlOaMzinV+p/F6Jwz
+6f9+P68Zr/BownfmKqGIXNGMc3UlYl01IoqAOkITD1z99gBuXNV9J5/le+bteQB5M3egKSwU/KW
rANYcsAesPYWMHoaLWBeeNkC2B4CsA/cu5eegpEVWDJwVrm6M64LRGJiAqBet04uuIqc8iqD8NaC
5R0lNNyVbpGTeFdXZJfC00Ox5owpO3t7E//sL3Z7F8LVb1bP5P0p0ZvUQB3v14a6mTVZdOIGlohO
YzctIDLqncHuuWnOsbA9gzFO6xu4H3BAEi9Z6hesaEXbNceBxg4vE+nAXgNSXtIaAFoBt8eLB1h8
BZCVk63BWI34F8AzyJBzwCWgPFTBmga0dwNUEBQS+KtdTXKs1v7ckJu9uYm18Je6OeW7yO8PKzc5
d4OYBLmsduDrMBDsWO4OiGsc7uFHA3snIgriulsVEZeOXqKTW3e7K1EuI1H4IzPuBFdbn+2hyRGp
jmAySjWM5MrxF/vP13D2Nic683e8TY3P6Gf3OQkUoJthpLc1QjWVzbGkyWZEkMaJIL2eefDl2d/I
5Olh5QaoH40W/gYhG7DT4JmrZ4Ad8bKCIobGwwqD/ai4ja862VZe6Z6+NL1sH6B3off57PERfTbi
SRhhREO7wuwxYnDbOksE9D7/+EkLki/UKOaHPThx809JoaJnJKRHbYEMiiQDTQ7PvJhMWqlUxM8c
CEzN4whNjkRPmeQ50pLDxrkHHzohu27QvvO9RlU+Ihagradoe4johULT69GuCcBppDvbx+vPBz4z
L9bU/+11UQhHzEu2e0Dp2G7Owf6+1vhlYqxJCL6s+vCkVLjA8oQq4hGoULBl0QKxPYRQBXLDd8YI
3/sZcVXHJy4q2dDWhGjOM5o1kjf8/7YF181tTR5K2LQ1wShR0MYjhCG88EVNrqELUeC0RxzvXSQi
YHnvM6ur8Fn4ZPdYE90glKMQiyFuAlJlwODvLXJfIQDMo8WPa/4XtLPgcFYo+JO9euCLJ7g1YZ8v
1ty5syZi/M9/7iwuST5Yyr/23M1t34nAbX/49p0I3b/m9p2I699r+85oR2sig3+VdpwTwJdI1oeN
9qcRwN8lzDNNJKIMUVXA/DiRwHkiSI2mn1X3OUR5UuMWIO5BsPEOso7uYaLcQt4x1FLwJNVM5YIk
coHxrWD75eIT6ZyOJ7kQlB71tRmtNjEqikbUwg72+sLsdYUGhF4OsD2H81sopkIvWo7z3GsohHpe
1vugRu9C9JSEIgfwGjVdXMKDU0PxOnZ8ACTd2WxE3IfM3mPcReeaS/SdgyeToSqnYArdi/jn4Pcu
LzWKEbCPHNFDH2ISoIoESRoeaI1t2Uvg/2RObKNRCMWTqP6QYUDLTGQye+J2dIUnPhe24N2cmZyJ
1B+qCCyUR6wMM1BJjb4WF4m/LKB6BpiV/FcRon/9iI6GqKbhtTWoNsZfDHL/zywWr8LuUVuuOFxH
FITXBjxaeGeFP3OriVfi8HpE/mmPFcFzXx7hlr8G/MFwCm9QAgYQP4f5l0hmIGVoy0gOmqiIGmmP
8i6eZQflFv8dcH9UJKEs3EDFQHcpsDjjXaidyonlfkHvSwsJCqoHH83nU/Yv9NMv22min7JAytoi
wXYS4SVV5DkgfkWvbwKYejANG5Izh/+B75HMzv3Hx7uB3SkUzHUljJ6np1cw2ECHx+R1976IsOtL
GmIzZGxubWc3/kQv/Tdt/O/SRn2USBOlWqF/UVdmWMWLOc8jFfzBF42bb7Fz49+ghgi1RCggvxj9
Edb35vm5gmG2ez8cQD3w9maC+ymBP3z0uYWHetrV4v39HbWEe4++C0jH8sVdyISfZ7pHiV6EEp0S
dXi5iwI3nq+NF/vQHsiMzJu9u4lG/2vd3bzQmuj6n0JrVmhNzJI/TGjNWgoTH/OHWgrfNbTRWVtC
QxtJVi7BiQ/m1fGoR+nQQxdCS6EjJo50AQEPqruRLJ50RyTpYkZGf5dyFm1W//8lJ7cbycJJj2Vc
MjSk1140wUph1mjAcnpWQ5SfdlLnZrFUsyTJMicfwZGqSqAaVRNiier9+Qyi/SrLG7TLK7dZJz+X
Ibps5UPtakbSEOvciXMj/q7B8MuI1Ykpl8VJoh0bCE4wkXSowwUkJ6Slr5BhjfggWh13XgkakNsn
DkpYbALw889o4EuU/xuD7sMQJgZdhmaKg65iCHCsuYi+DmxeKMfp7FLCaWF43WAAnNAO1tX+PQUW
4nMbQOZW0WcjmFhNWd82SVhhBGvuHb/u1pwQ8coBp98JFsrqdhGT3cwl5+Z9anb8+Hm/MJl/dtcT
e6Ip29NZEHDXklPBkgMurKKIfSHUUQFWULkjzgsnRgCTT0fObIM6Pm4aZmSXA00QMQAkBg9Lwq1f
DWF/RDkAUno/fD5T35d1H7bHRLX3ZicIco5hHqCtn7mFCasMZidCGtykvWduR8FHVJItJ1l8UUEs
xGkb3U3N/RBe2O15N9wS4EM/83gMRSH64fC+f/98pLMbma/5B4Hz4zfy7JJONOkftKRzYpJ3Lfs4
UX+8mJw7rRO5ngWJck5K7MGMrLcr7/N9M/PhU2zzr/vwS6OJT075BR/xYVPGvYJGqmeoJJyWBgdY
Ak0JiEloso7vTmTFq+Ajmm4KQKpaUI6BXwN0XyXZgJyBI55eecbhwf78jufO9BT5+8edaWnGiJiS
yP8II2JGG10m78OK/QBtNLtJJjI2GyO0Aq35JhEpqMQCAHlhLUEDNJRT33KdIJDHnsHndzWA6AYE
QBLnuAEW0QWWcY/afDpjmcyOaSpN/wxjmsjXH3mYfodemf/XNqf6KY2e8r+Rtn57av9WvP9tf3o6
Rc0pemmmTTT/hO0xeZ/If90e04mG6GM3TP7qL90wBckw/y4rosp7p/2zEaZkqH/XFTRRMyVDMdEh
EwcxL+pT+L//w9tdqrpkmZYqymhRbFnYff9shSlLfzcUXUdvH1GTVUuUlV/TClPilt4vAlpDP1UR
0H5VMVRJlmVrCoKpzDQ6aUBeHwalGhZWgO5hSo5sJXrI9qCgaGrtKlTy8SrRswHtw812IwBW6Sd9
2NP+JIwv6RBnNx/mbfvl6h9bNUrc5p4MSpN1XRJVtC5CkHey0YU4CAPxLBgHVY4V/6SC5qhJ42Kp
joZFOssE65FQ5M4Yy6adRmkQEaFEt+hTks00Z+FG6GQgpilrBlZIES10Lf7aVDiOsnLMrVY6HPM6
tcMgBA0R2kbPqOAL+unry0hYTEVSsZ5AwUx18ICG48eT3B0PwjEN0PhMAWA4Q/f1MTR0khxPptvr
p6UqWyOVm/H81pc14PpHzfD1OImpktRoVi1VrdtnaKej52Pgm+fj0cs7S3ZPTYTG71nXL/VU6NEx
vVIdSQyb2+xUZjlpstiy1byubPTGDNzPV3LCJ8i3FwpvJE0WZd2UVUBFvp5AbTjJWaeqxkHI82XZ
CkyL6k0hRasqR8siI/ck9PjRB42VBdzjMKLK0DG1hYHfV14YtLYqHh1ZAddTbiyyrHDi2PD6otuf
0OC+FI5ohwzidWH9+bC/XXY+agCSTB3dAPHPr0ctH4NCOZ9O5iGU9coTzMQiQ1k1M5Pz3aug362q
Y4OZsjhVe/2x0M0oNw+D1mrUiOWRDI3RO5/fywT3elkC3pgFTQ0lCQ231cllAqVCT6lUDu+6dIh2
rZTqAfDufdfRJEibHfrEV6KjmHF0GOqyLZgln+t1aIo1qNcSNQd7WS2fR/uYKinKaMZWyuxCR6/M
mXF+ZzZkVbRUS9VU2UAHrK/nPEnrtFGM7HiIy1KwLQGVCfLQaOTz2fjeUcM+VDHhIu8hPT3R57IW
g/AkHA+mqUheV0TlspLFkoq5dkIPek2iZROjvWFcNu6Y9yYdTpW8t6okf9DkaGBCroFctA4j9K7N
X6Owsbxzn4/b+KQnRA+7Ex1aXVlZZSM47diNLC51yRnaLEcDq5O4Q3vvfiHHcrH6/MYuA5/IEFlF
DzRZsnDm5On85Vkky+2I+ROP6XlRD7gTvR6eoYYS19TznLZFCr7fvgS7V5XU69woKlIUqXotxJK+
aMVAoFqURDMTDqX3tQQ1cPo1HX2dNQky9JJW+GBOan2gmmgsH9wFshos+0gCP5AgKkvzWBXLoVYK
CrFWr5usadnnM8IttK8mhF9Zt4BMUyVFR2fNrzfUSRlbPQrj4C4z0V9AsvS9IcRvdX4U/FOsz3Va
4SppejUdwTcdahQK/YIn+3if5yJRlA6nzEqTmlqFMbL2rKCapsgaVlYlmnRGlTKjOLjjN7moLpmG
YhgqNyAuRuyHiwYFLA6rsMzDES3yNmFUGjRX1Bzd4vLi3ggtwx7U/E5px9HVunM3c2K54JheHfIE
XdllQwG19ERLx9KYwLIrIb+CTkP36/QxFAtQ7Q3JXMeUSWQBMsxAnZAsg94G7QwlVZ9cqlItSUu1
yDoIXd2iVq1qdDfIpfNzV7WhV6GFtnE2DU86V8+mNQ67Yyt5Y91rzAqM907MUFCo6MVWieTHtj+O
nlCpDzCuDGcU5JYMctKxIc0FJ1WT90S1oo2iouOzlCfgXdTRvaeIjvVSa5W7URxEu7TiExkGWbWl
VjCWUVNE9mDW5XKURPAWj7qtGu22Sq3aLzIBdXRFlD0NhQbuNVE7+UV9Bg1kU4L7q44bKqkj6JSl
QZw5ed/ZkYYG5aUqsCRl42L5fdgcjaH1Slf2xiHXasuRu7Sys+yIGsEqQwGlbiK9mmVzhEPf2ZGG
JQLXJSq8GdgUExprgVgqpW4dFKXQV32nK0wycsHLIEv9YhhA5zxWJZPQufLqWJ3bmQPxnTPPW8jD
hDKxZZRpEcNJE1GalCbYJ6EikjaTT9tO6TxFRD+RyGhb/3MRc+mZNTkCpsytBMVEe3pIuK9lTB0l
sW4NoXXQozHfmq3YMiVSRNboDRLVoXZ2EqMGr7k5KDTpiobop/Ow+H/UfcmO5Liy5a889J4PokSK
5KI3GtxjjsjJPbM2QlZlpkjN8/T1fRT10C9dHh1CNtCL3lQVcC+CLg5mx44dM9v5EVdoWcCyOphk
Ty3hWmLLsUx5O46El+SUlTkLmk6UD3lF62Pa5JMXCae5s5fMebBng6aBU6cOvS71TWvVeqdtyVu7
Ly3OAWkUXcduXe6GSQc28bISp6ml2ZEBn3oqKcunZOYfu8Wi4fsf/sYFR9IVmRXAS0fR7UD3ZB7Z
UBSOPDVmwkQ3zMM8JLK0Hogzu8csme2nUbk/3l/zCqXgsxjiMXg0C9ZoC6bGbGwWRkd5ai2N6T2m
+N5MqdzxXNdBmbAt+BJ08seZ4lptXZcYVJ52ozmXpBq8cqmHsEud+XYcXfdjJJr2hjpquovzGk6t
ac1RU5vcVUZ1TzmUg+FAxmonErqOyVY/yuEm2RqxIly8PNzMKgpIX1rgi74oQpfOw0MyjEtA0yi7
6fhsHbXjoC+0qU1QGznetSMdj3Wn551jf+uXcApPIBmGdVO2xc1lSbM8LktzFgWmqs2Z7m5UWQ3P
CGCjvwS3h9BMojiWnKkbrvP0rhgG6tWF7o7vX4ZrbGOjvlBIrhR+C8L1yy0BH2PZU1SbMydJjWaS
XUo/1zTWmIKdaSTTVtTXeU0e63Mn+9LZ4aheCz0urQ9DVMpW1MewDWACLohsNqF+YlDDcI7SevHL
ynbCsSxjX7K29gFRx5uRRMO5Nhk6WKZLcYSgrP4kaSHPScSmh34a2r+4q6rnlNnxp362Bk92WXPX
LnCIQ9HmL6aVbVC4mni9GwlvmKfmps7sxU9zTo+J6guvSC20Z8yaIZho6u44sWuTwpgNiwLAbq1P
YvOJtMz0XFIrP9dlNAVVk9lHmdhuUNZqOLaTPe3s6fX7RnQNtIpmBwKR+FW82mRLWwmNI80H4zVI
kh4dotmOm7qOyQSQmc0V3vcaXr5qgH/zzW6dFdminPI8u7PEdHN+Z+fKBlBYptBJZieol6kPLbsg
zzkf42Nt2h+jsa1/kjQzt7LL0Z9TtuZkc4w4f/9SX6M6hOkYzAYjjhDoCmqVeUa63C7Ss21iJyji
Mg3KpnQ+WBVq6t9f6vr9MOEALAMsYDWx9ReN01eTXdrFeZmL4mVsyurvfk5qT+YV+oi20nygdtcf
jFrEnoW99plMrKGxg4ezus0NoBwxS7pd7DY7g3q2P8UcBsIREwmtzp3RTGAs/04i6viAj+WPDjR8
ICRB3UlL6R9f8DVis/H5sCXKstYL+dtNqEeuUYjBizOhJPXpEGE+mVsGolCV11rV7lja6+NdwzGQ
fjZbWUdrE2ZzO8+Sws4xr81ZpnPHl+TY5lZ33zkt8qhSDB9qOuKh5w2K6Zt2fOot/TLMjbkVU4ZS
gIgjutGIkAudkztTTQA2yYg+uZmJH1uJES8Gg2iOPJdzkOSR5am5n+4dt2o+VPVodm7QNQSAEcfO
QQSqhJTbaD4uMyuieavP7TRmn9sE42UsFstgqBt1HOy2CRaeyD3Ate7Rpd0Fc4B5Og62Ef/clgDk
pZRGR1lyhq9MX6KMirsyGqxjwv+S7t+NVTRhTpL5Plny4SkpRL1zZ66NFBfABXg0/5LAm8vbdrY1
Ymx1doZ77AI2V6036mrY2ds3bgoiaLxKMDIoR9jGz3NuicWtRXpmVpuBm5uG+zSpxNFmbrPj0t9c
CsDVUo6N07Q2wLHRrpjGPsvOWVnmXiuiOnAS50vCXbGz0hvQykV8junqFOYXoN25fG/KEJfwOc3P
YxyjYTj4gQPpa3QRHh10J04Jpga0/VciKnmYu7l76dMJffT7UYeNy0yoCjXuhNHXp+naDkgDJakD
bOWuVvI3C2DSiTQsyfGLolYdc/B4/qLIXrB+/VJc8F6uRBzN8fmvIpTfVhE0onNFx/w8yMo8DGLA
iB85FYcWU6JvFOt5AC3GuHNRr7y3dFDcKZQL/pyB5NyeKy5Vtmg5n4lwfva80YdeLiysksUJ06bP
dlzXdTiG9ZBQBnCWDqfuNplhWbHsrLRczn2emXBy1RCCVgUPHtfFXbzE1CNLh/5bztQ/FP0Sg6Jh
+U5MeHWc8tWZ4WW6oCyufoO9YlMZMfs8ChtDk8QweWmRuDuP88p1Im+Dtktgjy0kbpAnubw04IPq
wiJOdR5smGbSUv5gTfMYlBHrQyJ61D3xNrqxzfTpfZ99eaRAmkg9YW8tIVYy2dpucUrZ2PRStV9i
7j7QPvnQjsno5ZqeTJH/en+tTfbg38WkRSGhEzhU51Vv/tulndnc5bSK+y/5whu0b+p45RG3SY+u
cjAetVTzMZOdG9QShkI1lD3HeVuEqSD8tuzs6MCWpjhaSeR6fdFh5JUe2mOad42fS5Mit1DQB6C7
CKh3LgIEUuh1X8zyWPOW+3XbTjue41XP9t+eAx8kHcAquHlwJAz/3FgfgwdIlmjpT3NF8rucpMh2
47I8RlmdozDA2KGax8F3SA2SPQZv4thOezMYJEkYz8SpE7YJLcaqsJDJEEoXHjXNi/Rkiaw49vXY
POFuy7ts4jLs2jH9RIBmQ1nX6EXHosZL0FrnHlmNX1OipmNdRM7ZTkTtgy1P/pFKs8TrJjRSooVI
7xgGx93LuEG9meY0NJlVHaZ6RNsZCqbx/bO+fDb/7gxqOdb7tULi7ZDPrBvpXEvRn8Y2QWGD22Fy
yoil3l9lA7zXZQD5cHMRXFtI7bzWrf12o+xI56pjkXWaB2nj+2fM9JgKFvRDOXxd5hQdsBbDD3VD
+E1kZLbeDHMkU2Y8G8HIQ5s3+aHp3S6YHVHt/LrrPWAgjoEqcHsZGICNJ5ARaebcHfHjFDoBMYoe
V0iBqT0XePWEsQfIRAtXISEEELyxykWiW2p6bp3kGGOoA6BpwIa+8fqMZc/IYONbaaRl6Dhd5WNf
6r8sm0hvITPmMXALClbeu35USZp5PU+fkHgYd3ZiNV+X7wRc2so3cMpBbLubd8K0GSwjCT2lCecB
wjTpEzPa2BM++Lwv0HGo5vrYk/iHbPFM3r8ll3BkvSTgOXATGQYmIrTeNquoolKT0o3tUyan5K4X
Ewa2xWAtc710O4dxfRZrEh+0HayqhYqmjR2PumppqqxwTogs8gPrKQYwlFnhO5UdP+bA6Dsbu6oK
tjuLeBqQDpVTCmzOZkEHeeAJft8BaR+xb3POnFurcapnRVs0vgOlECQzhp4j0+/cErJgjEqTR4el
T9OXNG2mPwIIrzuNaATfTxkgJjzmpRvTVkoMNsc5mbGaA1DimAaCaMhz0o4FRY+eb398srjxIMQF
sowIHdYX+PvzL9BHJa2Fc4KBj+6BEnGHyok+odQs39vpSxf977ch/Q1uEvknYLvNM+NRL/Ohxx3u
21I8L2CJg2EkH9wxdsOFjeJJW5V1tkQiDk6WYeqWamwfIesM1qb5bJc4heRvlHqXEmONOMVkj4nu
OaQ3fyPeGKUOVCBQo1zuh5vluloiRk/jYLOPzCmmx7EtMWeo6tHVDNnfQ56UIiiHJXl5/yTWnd68
cFhhF8oYhRnwyCFdrkwQP8WsUBS2zrYPY2pjbI1cmts/XgVshgVUSCX+JdeX/tt5c7GwdDGEnWSn
qZdIsKmtztKdo37jW3B9V/kGMssuUm6Xq4hJJ0rHGT+1NtwkK4vPDRv2SOE3jBIDepcgZUCFgRK7
XISSpqRynPmJutq9jS2CGUd9Wdy7SWF9+PNdkwyyG5fCMIltW5Y5hVLIWbBUV2jMOyuQvCycvN/x
+G/cPRC4OBfcPqQvt2kLBGIaLREmdjIAOsclFuKYlwn/MM5jej+X1fRQWshdO42yds6LvtqVze1z
XSYBz8EuQuuxufdJ6XbJ4LjsRPtJ6dCKyIxBR3kXf88y3HpPw6k4PqFVcm/MkHxpOiI/gsaq79zc
yH+Ai+vHKnPVmeq4KfxloNF3UrTkQ+zw6rmrMtl6pBCHjlnIsie1MJFfZMnydz7rhPsWt9LvCzAn
Dd3Z5NK3UxcsAfK31YNabEw8rYcETmCkKcoXK9l8p9wBH0kMl/fFIHkohSo82CAEp3MfVTrolmpq
PNV0/J/IROJvVQ8o/WgXB7WmMe9m50Frg6rKArxmkPG+KkMqWre+bzLw6b6RjfWdOYP4gRGgFQ+n
ZcIYpyQnnZ/SssaMQp22n2bWmU8O6yuGrF4ZvURO+6jLtMz8zpkL67bpmPhHuRLZGFO1YwjAOJpj
ssTgjxPapuiLGpXJveLpqLxImQFzkwraPaR1VBVeDea88SerEN/mEdcSKkJbHnRhKORAswOsHGVD
u4RtNjltUJdO9lQDiR1X6SgGBbVs6dBGhjfnLpVgpGrkxPVhrEe4Uz5Fxfclh16oQ64svi1GG/sX
ObPzY5g6MF+AdTC+beE+1cjnmUNW9UXj9/k4pV6pksQBrVU28JCLtsyNbfXRpwHbn3luWgyneCDu
L9Vn5MY4Sfm8xim3sKo0vx3iovnhRLmMPSev0Il0IoNtoYdp1H+xs2TC8MzI7b5U9TJijhjt+q9y
kvwmsSdOPe404keqs+XBmdoaeedKdMBmZTKgpLUrUsB2M+unmtZZ7fWE15lfsWi5ZcNSIUHNivml
ybujmCdm38xJmwJA9ZGTe/nUzF+HmtjCt1DNdZfFTjl5U8k7yBSSeBq8zI7qbzbuI4Jl2qFIOae8
9gVpGhSiQhvzaywnsGvUZHbnWdbinGXVpB8jvSzKaxLDHrrYslDAPCciDZg7yWe7qyLfokJ/pXnu
dB5k2O4h7oqk98Flt4jYlqXciSAvWY9XHwxPD3EAUmnWmkW4NJpkGcgAThPCOviWL1M5Q/Cm6olE
3oTL76VQeoV9wczhfQO6LYReESRy7yD2kS6TSJxtPEIm2mrSEY9Orhz5Y22i+qwKYqfewJtfdcPR
y7PskzBGVi+oxr4OhoxFN3Fusw+SmyK0ZQVZQo3YD09S3qWlY3Y843ZnkFiEFRdIYzIX3ncba/RN
ZDtlkXanlA/mKY3bLJRDIny2tLGvUkY/Ao7ssc9vLcrhkMEhgFUE13d5HBZwmbT6fADaFYmf2ALV
4LGNcZsoW1UHMRQ/3j+HLbpePxIcIRKW6yHwrfhoqOx+nkg9nKKlPjYSkf2UzDGUULS5gThox6HZ
l7ywXBPwa+C2JiZBgoJmvPy8mhXu7Ax8OI3LMB6Yu2DsM/Stz7o0w00Cz+C3vEWHAGXQMz5PohuN
GM+PGsf2kyqpgw55bF/oTIX44XVYIO/okzJPQm2S9lFFAuPq+nne8YZvHAoUDCt6ec2wbTUMLGtb
pbkZT6k9u4chZ/KFapvisRf0xq57zBMdnT213xsn46xIBhwsYi1Ioy+3CvTLmHV1MZ5U3dQ3syTk
ZoDmz4MOdQySbsh3gP8b662qQiBOBL9UvM5C/g0IDmnWtY5up1Mcux9NYtdIiMbcTyt1F7O52Vlt
/fW/wwtcBLk2tAOdjSge+oTN13WLHkFTTae2IX2otY59VzV7EcYb34TvAZkE9A4WcFs8OTgxGdOp
nk5FV6NXMp/zu250P8IddPcI0fce75vLCZyVsnBkdJsyA1yzRGzs6bQkTe5DdILh7JBF386k+gHi
qdx5TW/sIUgyiGuA0sD+bfWM5TSMY7QU82mUTB8gWkbfXhHTL39sIeAdhIKhhq4M33Z5UoVLZFTk
fD5ZHf/Os/5F2cPPeJ5+imkodmL9jUTz1T5A7OvAHCHFrK4Ev7GWYqogIDnlYu4DO01Q3yrIEg4J
WiDOotI3IxCXR+RgbofBoOa1cKZA6CL22wxDtSuL66AARnh/D7aRBQg3BWsFKhFN/OApNylBZTLS
FDPtTyQehkMlEyfoiCVvrBIu//2lruiHdS0BKwl1lmUhDbmJYpCg48ZEsj/1gOAexNvkc62j5GGs
3Cp02hK6BWeCJlQNmHih6Hw3sbY6RkuV3XZA4sf/m58DuwDKHkkhJEQvjz+jJSSLTA/gA0h9u9hw
vVBrjE+5ZpM3L+Ce2qF0IMaHds+OJhbk/VIHPS3aG9MX445+yr6+89gdzp31xq/gYbM71VDmsegI
6GEoru+tASUXfAKUVdAkBK69GI/pHIT2nEmvys3wNJkIk5xlAiw7j5bfVE0olg5TSJHO9SVJ7ed2
yWTIK06e+rbI7pbMRjN6G3wapIBT0Gudel1WjjtqoW1stx4zDDsohfV7UD5xua+9yoeBQBZ6srMl
8ctSOU8pQ4ildWd5Uit0Kkce4Z4l7PT+iTpvXWYUaqx2Cr4FfODlytbgNPDQ5XCC6agCxHXLZ8hU
AY8nYX1yhgS91BvGDyOv52NrT+lxztU3k0T2h36pqnPJExESQEKfxZY5ggsmnkopD5sRiW/pEILq
BIWbyxlmxTaaHdx6iPzS5bm3KF1+kVkvvRyPDekn03hUN/09rRzAf6GXsHIZpmg0c/ZCbBv96Nt5
3sF111eIQZ1lI7uPRJjjbJUlqe4goB3NfOJyTg6LU44IPA3fOd/rXWYwGCBI19IFYKyNGGxuSmvM
jbucYl72PmkG4UGJVNzWqOneMRlvfBAmsEIegXzeCuE31gmtRxExd5Z16qHsPLbLUB8ymUfB+/fm
rQ/iQMOrfBvmma/O7zd8ECNFi0g8pSeoX6THUQzlLZV6kTnd7SyKv3SJDaCYhh5XuDgopNE2bzx1
RIP8Rw32faA3Vkpr36X5h2rmdy7Iv53Nu36HSHRTqMOgyQTBd2XawezSJmqdU+qmwiPxjO6es9s8
WhT8XtQl1s1cWuU5s5Y9juUaLWBlODsXWkmk2bcbupCmRwyvnZMaY/G5jdl3qi3rBzGqD5QQ444l
f+P8AEogPUbKFcT9aw+b386vZYXsqnh2TlZu0cBqjDgaif6QNnH7L+9fFdyI6yME7ELpHcOtAEu2
OULqTnEzJ5E4aRnft3VVyNA0XfzQlSCrUCHCxOcp6drUZymRnyjTFoRUbldLfxnd4k7ZEVTm5QwQ
iu65AL2IgbgDfkBm6Is1lYVGXG8l30DXxl8agZKNm5bRhgYOQ/zqJ6qqwI3neeLVjRwqrysm7fix
KUcXLEUxJiEjgBVwosyZPYmuo3diTMVHaCHhu+xKeS0yjaeuM9AsznEJthdQFSJ1clO1ovwoorzr
Ua6gOYpX6uFjNWal68cjNt6zwUu1gbto+6tbUmeCKmimXzWrP458StF00+4SjNvJSfYtYWnSHyWK
DzovhivNgrKdoaqvDH5bPLXk1laW03g660wgKoFwuLe6DzyBOB+cyzzYNwwu7HMPoP4DOWnyMk75
gpkWooq+zHOqFOJ3a9B+DfXWnVWXgFNaDxGgsJWjr23TQKXfQO6PIUDgtChcTtYxry5VhSyD4T2o
lBSUq5+64/Rhri0Qc3wx1crhxOl9n3UU2sYy/Ub7mfwN6wACDoVhFexp5t7QdIHdtyt3bD1epnry
lJ3kf0EtBC5m5T25X84L+VZAD/q5qVmKMjfX2IWXwXNCH9Qs7RfQtyO08BBSfbKsKb7vSJwdmznu
PrWWXP6igozNsdUFRR/PjDUg3di4uEcJ3WfiZ1CnTKHbDpp9KRZTR8+Rigc0Qq2MfobqwvxZJc+K
XhmqaSCsUNA+IV+wwUoU3HOFmprlVJjW74Rb3RRpKg+ddshhxjvzkLiigbCSnad97QAwegpZAjDS
wIyI5C9Nc214mU2aqFM9QXyKpr4uMOJutcS1vVqrYEG8rhlR6Nw2b7piS0SGsiMnwLPujim3Pdpj
SXzJa0xm52wPCV8bLKwH/IvCzzWAYxuHM5aRFgbNRU6VhIg5Ks3kDa3z1KLs8LBnr67MFZZCugsl
UGp1BZulaIRy0akR5GRaoe+1oktIwWgGluiQ2qkdTLBJVPwx6Uz33LGu+BVXcR4oPjpB4lZkr1Dt
Unq53qP15wiFxw2BDAqILs8Tmb4eMMEmp2Zx56DTtXlpm2i+Q4GA8Gonqg94+tpbWMzvGrcCyYnb
7XeL2eME3rpYUIHCCyPKRN5mA2JoQVIT23F8Rh+aNOjZAqIy6iPv/e1/46DhCRH0QAqEsohtYRhY
6saMonNPttao+HEyHbazbR/dqptu3l/qjQ9yXcEs1IShDOOqBDDi7kzKqFenJOvZrR0XaVBpKNDf
X2Wjsno9QHelUVzo55DdXEvaf8dKuRpTOaSo8WG2jjyrN+39lOftASZ4Dm2FxIVbaDtc4hH9qsuF
B66eyU76cFME8PojoKXhbFWGA7G5G2uU1E2aOnGjz5EeIOxvRRE9IMqZMWzLsDKGeGF1k3aUE2RF
+urLgtLa6g6vQH6xFUG9yPubshqhS1S3Vr2gBgV1++iEv4XddVpbcaRLlDmKZrF9VFzF9cFeKl4G
mkTGCaus76y7to5V/MdLI0kHXy5BJSLy2RbLx7acpgJ280So2wcGOSsfunXlt2n+LW2dn5hbScL3
v3ZlRS6/Fv0H1No1AOUUcAWb8C4hveUua716Pc3OzwzC4LXMoa1PmmUECoaoHhykEFRX+i43Nkaw
FZCK7WDb69uOgmYoGaGDhZwRgo3La+iWvTIGIq9TYjEdsC5p7xhBKcL7n/oGaXO5zIYhWlwIT5Ic
y9SqQqYKnUo8AdNxL2qbvgiSY8rYJJsveQZVLMYkLgEiFuFlqdFPVeOiFLCf6+e5TuROCLZRsq4v
AJYUrhFJZxv+ansIfRvRpTcWORHbLQ/4v2WPzEL2Jde6esjcRYUp6pMCY/LGL+Ieo8HIMv1F7HpC
dXKCzrXxGO8En29tFmjv1c5B82khJ355Jk2toiUeprXexRmPKepTwmjFuQRdIvx2HpByKdCFrpPj
T+iJ1XPFRjcAToTNn5jjM9lmXqfk+MeGEfHbaxYIPlfBeF3+rDKKbRcZJqSBBmf0QJfmQYW6vJ1X
se3Ws54IIscVrCAwgMhk41B0jnrHyVQoKiB58pnUC/llG7uaQ1PTzIJinia+Rio5iHtnweyRqOiP
jpX0sVdpJ1GezVr1opDu/UCgFhFBWxnu0WSyTNhFk9hhm976uWg9gI1BsQvYar6x41RHwi1SmZyd
OZVPy4L0HJnT+AnWHb0VFghkHEHaj62OzB2fARj0POR3zBKpl7qsPZS1VR0tF1XNvG8SXy1m6L0J
QoWdh/7WrQLnjD4gyKZZLgShl8c3C1Bd2p7kqZoXzHDLchd8qF0/MRTZ/x1P0fBDTw37VsZZF7S0
A3bn7QQVKEof1+4ZKN/lJXgc8EV7wvVr1AiDCyEV0lagu8RVBdaS9IShUQpKL1OC3MnyDUIax4sZ
QR+rUumde3wliIVehgLIvbK1LsPpXe6EIU6tVb9Ep8qS+W1qNzEyvi2mD48Gk4H7LveTMo+8Rs/L
sY15fuyzKH6GdgBDHPEsjo4oMJOVNsSzBpQNtoVGj0gwEh/r3p69DCjmy1DL7sjVaEEVYeEvxzIJ
leiJH8d5dnrfuF6bcKTLHAmFF6TvyNBubGs16NJCU5X0nEJAcTMKLe9oWX5/f5F1Ty6d1Sr2At4U
UKJDXrrZM8YiOpHRSs96spWn45wH4D77oKFy3oPa144RAiCkRnAVYAggxL08HzsxxUziKD1XVLte
3Vt2QJKieWjysgstvI8bAlz1UFZNE6CLuHUnomkArdhTT8OEhfGSu8+ovaShzN02EHESh62joiNH
iuxTbC27lfVv3GBw/pCoKYhvIdPfvC3Qt1lcFUtyBnR0IXqOTPY1n6baXvt9jukqOamfoa+ozryH
O/YslWa3Q9NOEMmwuUe5D6sO1VTqhzGao898FJH2Cp7kH2FLJrCgfElPg47UhzGv0kcywRZ5ywzi
IizsSn9EpYWFgv60JlDY9k70kKiozn1aduiEE7et+Q6OM9cQYBpckw7EO8Ueu4HKzeQL/Ik7mRZ5
h5B7yD81TNbo6d3NtPHdbuozMOc2CqnwgCmB6mHongua9d+sOi4gt8m6Ya+k7a3tBAyDD4BwdAXj
lxeg5ZxkcI3JmRdUHxTPm6ACM/X3mJY6xNpJ+P7lfms9qOPRKArsyyotv1yPRDZyYowkKAVy3cCp
KxNI9EvyGWtUaM/TtBOMvwH+kdZck4Aos4AF2irYy4mIpaJJh34erQ3yZpbqrHsxfx7GQWM2OZL+
jyjzRyVwnmUEsh/LoKPPUGQR2cG99PqxKRDcaHWC1D6yDGrzsPEXuepqMpxBrjS3BbPY51KO6lCN
1Z2LcqI7YBD+gvoBdNCX8T+1hn7bKGjYrb5pbhfK49Ca8dTUREfg5rI9ghpNwmRc/kLkk+/0FLoy
QxA5wkVAkYD4jPK1pdfvUZOEuHzKkg6dEXIgSAOKK128Mf8vVPz/oB/bc/Wz+NQ1P392j9+r/w+6
r631/f/n7mth233/Ubb/cfj542fz+l8/fv7Ho/mnKYufMBK/N2Zb/9C/jdmA1/4TzCGqMoAKV9U9
Dm382Xb/838gjPpPuCaI49fGCg4izP/dnY1a/7mGvc7aBUDiP9Yc5381Z6P4X1z4MZRxghWGYXL/
pDfbJqbE+wJUxa2FUAfVwvi7lzdmlZLlqirSR3Sv8Knswjgl3mCBQsxtL1aff9uul38d4u9N1za+
+N/V0Bhp7TsHh2Bt7udiZkrmZEgfSzLcNL2D6pgd5udqBeRwgF5QbIt6TQTLG1s1DXUNVV3OHp3I
sn2dj7mP3PPu/CTsym/uHiQRCvtwppCVwixe9d3OpSADl1n3WPGs8tKes7Bu8v449pUO6wX8rawp
28PSq5vcrAoQAx0BYDT4ra2yqTOFqUqURT22gEoPNCp+VWLOghTNeW6bYpyBNlh8i1rfJJiXCoKT
SsvJLwb3T/tZr9+Plnm4l6DXkC3bjnVRtjMSpH+bx64w8lAumJEXOQ39SlIR30RjF4cqs9mBGQdD
mxXBFA1QJ2E7tINfWwO9naY0DefMSe8FXyv+DWBJMdcVWocMX8uClUFfjugJUPfySHOIxzzjsuHe
RZ7pY0R0opGjLjs/yyf6IYMz37lEW6v/X9+3OldARhvB7+WrWHqibHSiaB9l2QVOhO4qgMvgMeMu
PiTobvUhtybMhOmTMUQRMgSOw0qNQ30VUPTvCoU9f4Yyv/wKTn5+idBmI3AnF0mEcuhus1G6Ow5z
46DxcxG2IPTEtV9blPDNpc+LGV0g4Boe0dHCPY6iF4cJgihQ2KMKeYM84/vP+Ho9FOYh9oRpgp9G
dnazPXUu8oU45pEkf9WJAzBkkP4IkAzfWWgbPuLLLlfaBNWjNYtpcrESu4NWep3Y5vqlD9CDoV4S
7drjxGvuyqDyf/z5FyLLh+zb2nVDbiFWZRE3nhZuHk13EIt+MAWSPXK+n9mejOs1pXH5qtHuBSk+
B5ko2Kwtb2B3Om3S2TaPHUbPm4/JZ/VcPLh3uPP0a/KAAejH4mF6to/iUB1QEflTPaoPT9VTeWs/
Y6Ql633+a8RAj2cTvL8FG+TzuvW//67NpUqhNDQ1ChsenfF+pikk+m5Imu4YjcshMZjzBkl5oncA
zJX5RrsAVKcp9JRCngS1epc3iy2ktqPeTI/Q7f1i6XzkqJPauVRXt/d1DYQhULXh3TibaIT2bWUV
TjY9unXiUYkh7T1MEHuZ0p/v7+CWPwYfun7Nf68EJ/47HEsSDeF1g5UcD0OF7iC5Dv7hGC3aPu+F
BFeHhZWAUlFuCG+O8vYNJxajkD5zI6yUIInkRCMk6ahEnb8Py9m0Q5jhkdZihxxc397FxX1dEwVO
KzuKsvoNdGDZ4kQD6jYeVQaeCbpj1HOFQj9K9anNqM/rHau8t94WPJDOUQPFejpCRiArH4elOMT0
l9tFt7GqHu10Z8G3LiO67DHEIIBc+Nfl8Vn2IKbaLadHOurpdsRp+yKTy851vDo6hXwtruKqeATb
ojbGNM7KPht5Wz+JAUO7NIoOjAwUrB2K5r24R6edUt+iic4O4XW1m6/LAv29qoitbdn8gnpANiV1
/USU+WCR9NBFxl9EG9Z2+Rf6C3pxZ//5l0L+izZaa14HyrzNc6gFoejXhS+tUZMCCukWObxDy9Eg
739R923LjetYlr/S0e+sIAleJ6bngaQky05Ldqad6fQLI2+HBAkSvIPE18+CT3elBWnEyKqnqapT
l6g4uQUC2NiXtdcyuzi1q8fRrW/7cH/9Fp5dd6TCAN1gBgyAQBQitSekol04APm3HKiTJpj23qTd
zi8soKHrH9ct6Yh83D816AOiBQsPLf6pbWXAWefkRJJ75944OrfiUN6i3GE/pTUwWrG1w0T1xvGj
0YyJu7Kd6o9+fxn/Nq2MWk6I0UvNW8+cLHbYu+ReAt7tIRZ0UetdkAH2lQOAwpqoykVzqpwD+mS0
hfRQNJwEJXNmkPssMONCPICHaMfEcocmVGm3yJT+mWQ9/L2Ka1nD29reGdN20KPg4aPNm7G7wHi1
1tRW9XuO8QSEeOofuOSA9WjbZvvNQKgJgt9WpONm5BLs7wuGka+vQrnD0x1CWxxBO/4CB/bZAJ8C
11C74tmhBq3Utm77V85KdlMslGyvW7qwHlhBEI4EEn7F1x5RDkhAJXNJDxg6ovc5YEvJlJO1qp5+
r+D1ATAmoBOx1ajFW+j2Dg2VWYsCLi71MTcIqPDygDzJqbG+03wGXNRkr9cXpfsrmEOqizFOhLcY
eNUjMqebilyC7fKISjjgLPlRVCRCaSVZevuTaKxonFau84UFIlV92y7UvRChnbr/ps1lW7RTfySE
8WiwxN7NJGTvMv+unfyP15d3djqwPMSZaOsSkEGhyHZqrOe8RpOh648D3LFDBITWHJBRh+6K0NrZ
2cBjA0yXC3Qg/oWn+9ROWjZAapK+P46M39HxrjLD3fWVrFnQbhMI6opyTmGh9YFFM49BXa74ugvf
Sg094BjbqHHha52uoeGTb0/Z0B99BG+GeWv3e4Ou8STorU+8+PhSv63oLA6V1UMmt4QV57k5+mYk
v5Q8NiBR9UjBkBaxXyJN+Fq/+cyvaka12BT0VwtHGb8/AtaLMTzD2qRoiQHytvZeXLhOuLtgXAIQ
Ff+mv4p9aLR9oM4bnxskp/zBSQ0RFSXkhMAsZQzQ7BLTz+snQ4901BdFPyyEu0bUYb+14N55jDyz
GNiHZHcMlthuI/9AipseFBxZNEJkdVzxgmdJvDIHrARYOBRFMygWTo+JJ1Pg91y3wwa6N81DJiGW
Su7kXXmf7eSu3JPb8Fa+Gj8FcO6/+Jfra710C94b15yH01WYwZhg3MTMJ+EPoGhNrlu4tIMAygGR
odiKQ137rUq5mKYKFvCeJLkLRhoQs5LMpfAc8pAu9Suv6YoTvnApXOWiMDcAjhmUwLTziaJeYE/E
EMfZshImpwegrz70Vp9Y3IknW6B86Gy78nU2y43Hw0gIFwMmKxHd+f13UZJHZQbkRyCb0ue6MEgy
LX5H5dGy6tjv0mSY9264clgvLRUvDmYIgR4D/eVZtNoFM8WnX46WHaVo8lixQyL7R/AyH0TUfp8+
d8/1Wrvh/MnByt7Z1E5Nb5VgyxEZVoZxnA7ECBXmaOsJ1//h+uFR9ePTaETRCQNChHcbGRwQC6eX
o5UUVc3GkscKjmaKvDaqgsT+6b9OLKqrpP9AnuUaL9r5nTi1qfb13f1PwYSSleYiIfYB+PT8pRnW
mKHf8tyTIEtblva8EQtNfAaEypFs+5jctfdzZKBUhHzxztgbCYXsKd0tIqI8ovtuV/2V78KnoF65
mmsL1Z7Avm8yJAmzPIY5vbXnG+BYV1LTtwD7bKGqRKKQaRiP0C6itP1yxMC2PC63JgbEd/xz/nPq
9jkHFjsSO/Yp+HSwNsaj+SMdI+PReCwO3efyqU3CjReld+NKWHFW6kDfCQUViCuA+RE4Ib2PIFOw
Y7VuZR7Lz6g6WOCW2Sjmnk/EiPyvayndxbv53pq2zWUD0m2wqcDaX9NPl+zddhf2wAFGDrScygg4
jOWG0226kojozE6ICU5XqW0syQNnJAJ2q7/oR3ebb52k3HsP/l3+iX7I72QbmV/mlat67ueVzRDD
HAh9MWCuRTuAmedLZsCm+Zfjfyinm2rPyCc81mTF0FmxVa0OoHGAO3Gq1DDH6f0cW5fj1fKW4/wy
bOk3/0n+CO/4xzKL6J35vHQJZh3AkOYBHv+yRqp+6cqoaS60bVAGASXsqW3XSMOQLulylLYXzUZs
y7Wo8UI8oJb324S2eb7DGh/YteVo3rqQ+Zq3y1/Nh/qDvetv632xd3blTetsyKEu9rSJ1phI1hao
BfiLyCu76nIJ2DwzomY2tu3I1hj7LhoBq64KW1H10NUSAgb60hriBUfDwXUQZdy3K3HNpbdXsVD/
jwVtGUYFRoeGwe/03WdJyzu2+DdtZd5cf54uvIOoFIGUB9ENqow6DzilI4hLlBsfw0O4bEfxpas3
mFC4bkVtuOZDFZIZzyDSIQDXtfMug7bgxZLKQ5Y5hyXbjsUz+LsfF/khNJzNdVvnsa+KlgDhQr8Q
Qw563hXIYrGKsHYPdhGCgTd/hvCVSe/CNEWTco66oU7ktFZyuOAnARQCilMxLRO0s7Tdapdy6Ip2
HMFhYt00Uu4XyFGkgfHXaOwXf9hUg7dhdb2duu+THSQgs0Gms8YKer6ZaKMBwwuBCMBSz6YlvZwA
bVia8wEzucudvfhb1P6hwtr2T31grLUtziMbpVSARorSK1AtMe1lbMAhY4jZzo4pUtFoHpwNBxnL
wOp9wNJdjnrVkhZgm8v3QfZx6kYobayhpc8uCTo6AGgC96gI08/I79KpQEs0c8IDbQPcQadB58Rt
s61TZnSlKXzRFKAyAWDyQOzpjE2kbmdBEawfUle6G8bAk2n2aRAVvC//9Agj036b9oRYHNJGvcfA
5sGkY2YuRyFlZKITNOe/6PwM8uMPZjXFnXXMh5UWw9mtUSZVnq+AQOiQaS7baYndAUywHPsWtDtu
fTOHVkId8oAKSrzYw37p5U6KNVUfdS1OHIOq+quhRlXZwtS+ljlCr8lncyi642S3drwY03QXslRu
5jy3o6IwD+DQsPaTt/DtdS9x4fDCMsoOmDVQGlU6QAIdL2AhWdvDcrnj1L9xIWFmWEjLMzf/jsbO
JivM7ZQlOHi7KQ2syAPe+fqPuLB6fFM8HyHODRgfNLfI+m5ecr/tjqU0TLD0VE65YX3YANMZ9j89
083grhrrYbK6taqELptrQuQHtQFcX7gtpHb6TLc75eZYsrE7dq5B8yj0DLbjfhkeXZ/X9xYApHd+
mEuIOi1V3AARHIlBYmgxtLoNZiQhF1gsX0wKNR3ZQQ4FygRODMpXuaW8yGKJSb192Xlz5DdVu7v+
2c7eXvXTlYsD67mtyuKnEQxoJGTesbQ7UhGOG4CuaDIbXrhyI3Rs3NsXQuEOaS+aDLCi7Y7TNnKu
Q1SIiiJEmDRYzcZzx5eyLKy7KRA0caR8zGrWxaIgwaYIuvYPe7Rqj8A8DCwt8Ez4Dy1Uk7QGwWlq
9kdvasa97Fi9nUXAVj7n+dVHQVRdAsyYq0Klvs4QsIUA3F/HvvecDUYVq28ircPYWxbxqWTlCBKb
kd4EExMH3jrs4/XdvHQJcA9B5gK3o5oCp7vZOaIdRsBjj6JwnJ1Xt5hT4xPZNWjGWY0ott4EMKnh
GEt83bD6gzXfA3euxk1gGrutHaPASEHqVArvUA7o4IwhaXd2L8Y4xbmPjcIkN10Z/vhDmxiiAAUK
AKp4MD3cv9PFVuhqWbmfEdy674ZxT0UaY0oysdhnka3RdZ89WJotbX2zqCtjbFL7GNIqLgPnLpT9
HffXmvxnn/HNjOo0gi8JdObaIeUyC6wRiiNHx428XxmqjUtk3Y9frn+4y4v5bUU7JeD+HgazQNQ0
tfMN535Mp9s8kyvJ9dlZxFpCeETgQ8CfghLq6fYgNypTU4JnQ3RbT94s5HbucPM3Fn8Y1rRJzoI1
FC0BlEfKickfB6/fqS1jWJjJ/BkresEEhMs2YDMi++tf7exqKxtgoUdDNgTMV+9VWiDm6wd8uGPu
hEuU9uVzOcgoAKZEOn2cWhzcdYu9r7ssuW74/Hk9tazDS1AcGi0ZtibyIwzEjJzeIE6KITDbVfQj
N31QP/SJ7RmbAfDc0UwwkLLCzq2+38n1Vr8AOGkgaxRrqx7R4HUPymxurGPos61vZJs8/LJgmn6s
HoeMrLzk5/G/sqa8tGJJwXSutpsdglPozLTWkc1WInxv1xRs0+d2IobiszO/pMx+yfknFxPiwigj
OYJpibOVoObSkUIAB2YNtJ2sN53h92W/urJ4WYDs6+hKI+n7V1LRyO9/mv0ai8elcwWcBiIoOCxM
bWphmyzDoOi6zjqSTwVUKLvXlt7xnyz92DpHQHyun6VLqwJc1kI+g1dYoXBPipnUtJa+LC1yBFXm
R1+ad2BxvB+66qUr/ZX7csHLgOnttyltF+eCzjScbYJejf0RLCLbcZjv5nmND/vS0VRJC4DKiGTw
DU9X1FYgcYDeIjwzWBVijGu/pBP4CwZn/ExKcdNCfm7lG56XZJCbIsoz8fnU7Lien0IaeAQfSjsc
TRCUvrDFGqKpg3IgsfMlzqqq28Md/mJm6W/80uEbUY+bKZ8+gGuIR6mJpyqlVSI5be8X0BHcN2X/
A0yjdEfdfvpyfcPPi39gWQO4w4S7fwMlajsOPlHbSgc24JWc1Bhh/bUNh2bDBwhTZhh+jx2EoncT
Jn+j3BzMDfObabO0cgRtDeg2RjDcRdUI7i3OQnt7/ced750iBMQzAb4qRA06kVmH50E0FUO0NAWY
yRiKDwV4g5LJneWGeAaUUItmc93kGwj21JWhmqYkEDEsB1i7PmwQ5jbU4xTwFUM5/msWjPlPUQ7s
0yJAmR6hEi9e54qEPJayqr7ykRIvGgqjRFkY/ZtPcxvQQ2A4dR9xF439aAFH13PJCuO1aU2rQtrj
AxtsLCF9JdSSTSRwSMIoS237scgHE9DI3Ja3ohjcR6exjT7uoDUcgCOD5QWIvcr0KQA5Cv7g2Zag
Z/Xc/lAbDcqZlkXLr6ieL0VUBob/6hS2eCytpQRPVTOK70vvobM7VRAdN1HWBnCXedNngEeq70KM
3RTVbZUdZ4F2xsqN0L0KWrIAVOABVlrdmBnQoiOzyXogR7z2CNedZPNmsUHqlA8xVO6u757uU3RD
2mUXhil60sLQGJhgYgOalh3DdF5Zjvq574+IbkW7MjXqPHyqYcU1gaEFyQXv+cqbrn8xFAhQu8Mb
h7FFcI3qpUKwt1hDbRXTkVXFIcvBhkvDAhzFUEOpSlTXrn82fUFotQLpiFsGiQKwuem0BEUNCFvD
pulIc1R2FrPp4z4A5v+6lbOHDOVVFFiQX2GYECwu2mebPG+eLIMCpJFPm64XeTQN/sehFWAnJNEy
SbQjgzoGl9QfngrkWTAMLnyQtqo5WC0RCIQ3D7ytkFw6XsS7OvJbGk3ByvL0s/dmBd15lDfwOfF8
nj40yOcAYiM1ihzGlNjjMbBoxIHguf4Rz7cKa3lnRTvhBU0xoudxpKkFA+NemH5B72FNV0kfG0Z7
GFZUighLSKH0GvLoSmHmQYE8cUgTVvjHlstoGH6hjxuXsoHIiHPThAK+S+Z4sZaIkHnG/yNuGmPt
KpwfG8Q+6B6j/YbfhXbR6XddKgadASfNH2aDxXXogdK3SWQJiJQ9xKnrbNvhEaOKK1fi7OnBAAyY
iMGVjYkAEDvap1YdaHssaB3RB2iTu+GWzrcuqJecffXlT/cTTxtKDwoVrgq82n46Vddbdm3QB2YN
xtaUHlrjrr1W+jurryDDQvqjZKxQw1UAx9PlZB7zKcPc4REjsXPklLYFlI9YtpOaSxUgE8a75aC8
03/rF2QslDdrwDr94OIXvDU+EPGZqIDp8q+1oC3UT63hOAF6DYKnSoCIu+IrQeWaFc3HQAgQ+GZu
Dsc5xPB2BYA/Ji3Wem6XjLhQplDfFDVjXRBsFpjPnFHDPZLMw7NZmnXzbEDAenv9aOhvgPpieCzB
RQh2Yczua0fQR9ATcNAX4xL69RZz6h1kVIwuwTg/3bZ92644sLNlIcQCWxpCHjBjqK7O6RkhjVO4
NbHaY+ZNcM1/te7z9QWps6y9mzAAtDIOguKd0W4yYnOPmxOGopmfRSFFHIMWUf753zOinfS5q3EC
wLh+pJjXL9ovQn5q/TVehcuf6vdKtK2BuHkHjktEABZ/BcVbROWy4ud1r4cY4+RbaW9W1eYeeNBJ
ewSv67yv+sjBRS3QpY7SYfOHevQoxGjW1HrfYVggEBswgKzaY0WelHACF3coYPyhS9WNaK7OaiB0
UKjtb35gPXLfOqCSR4a+YmZtbzQXoJRjBowkgTlm+k4AOKRrKcLaMVZPx7uPRWgYOlD8a4+QsoyM
6sF3n6zgr3/vFGt3EfPfFS0YbGQL8MDBN1J9dseVivfaOtQRfLcOyj3pywlHrKgg+G4BmgUVydV2
9Mp26IBTIfuib0KsZAooZuvzqHXW2OPPHOXp6dXhe6zHIprWbo++Vdy0vsBYwlHYIEVuvl/fFT0o
eDvBeD2V+CtmRHWopzmAMcvtcO2RWmwC9Gpc8eovZOOHH9M/5In9+0q+s6XdloBWqV9zlcp0YTz6
H6zp2avy5PqCLh6Bd0a0u9IZJmXCVn4MZJiM3JiBEVv/SvqH2YDfn027MIMow65/s2LncQNm7N6w
I5iOx/rPjzQAlGhvoBCJZjnR1uMZdhf2hgnn7zWxAyEI5MsRlJmuf7ULvhnFJKCJkNAqymDtHWvH
vkibrm+PJETHGMk1GKWhcRcJgq5qHKylmxc2CeYQkQMTh6LEWQsOxH7oxwsc7/YraKuikpQQa9le
X9NZURVn+8SKft5mlzEUg9oj9BNV5nJoHsrHYolMiClPUftD3ueP9lrieXFpIA9SkRQ6GvpEcjlQ
27DzEfsVsiRNxS9vnBKH1Svl6Ytm3tUftOfaD1AhRycCgUfxbQbWixmHcvx5/QNecEInNQ7twbYd
qxxcAzaKlEFJ+bGznvsBNNgVW4kMLu/Uu9Vo1wlq02Iaerg7AXIDG+28SAbzfSfsF86yhPAAXbxx
h4b0RxciNCwsbief7CY7W3lo11asvVE+L1FWFcpDFQN0RO2EDJhgNyEzv6q9fZaQvp3Od2vW3ior
KLmFEZX22OdgCEzqNBqe+o/+TfmcsphUCfpgvIr5Nv1Dpkvlht9vqy5YXVoGK0HDDA9ZsGRgaTQt
j9cPznluppnQI9YRaiWoW7RHEB6EL6OMrO9lG5UDZs6SMNtW7soBWtk3XTs+syy+hIBCHMnsJuVy
b9MS8NJ6Oxj/kuf6vWs69JK6JbwnhSVqtxuH3rbltLXKz9e/38rlDlUA8i6Mqaox6/q3HYK2pTve
Qatkb66Jrlx4+U+OgeYdU6O3HU6wR2YldtbURdLLNvYoIqM8dFa2u76kiw/Mu++mdvDdkqymo4ar
vtsEjvO5TIEB3jWSJ6HzDBkryCmkgA2t5TRrx0JzK5P8H6PAscOtHHPxHMxfZL8ybKG3ff++UOiZ
Kfoh1Y89XRt0cut6HBCeDzXflq4ZoRQdeQA5+yEkcgd+GOWX61/zskUo/yGPxl/6eefo07UVk3g/
mzBJi+JDUy9xXYNu0g0+ggs7boc1sNEZcPzvVf62qb0GQ0ZD4eXIpWvHiAV5AYlwEpAJLOZ0yzmI
F+y9FUK145b88RArCMmUUgo4c9F5QmlJe+yKApoRDTHcg/CdSPRjRNDpWpwkMH+aubUSQJ6dVM2Y
ts4py6ygZpl3MIfvPuTCQZ8QAWoVoQx4yFJMXHRB4g9r2pTnLlMzq9956hgWSWF2/CsA+Z4Te0Fc
Lonokjl7CX/lf3oflTngdTAxA8EgMIadnlnTCIiAtqB3CLNdKTY+yN95ZEPNd0zSHlRqKw764kd9
Z057EKTtVigKwhzrkumJgPky3M7f6jnidTT/un45zk+qWpvC0yqNTxuopNO1laQiAVSsvMMMY1MU
5skyJJ2xocMmHSI3se+9zXWTypGclIE0i9pbbrIFioQcFtslfLTrJ0tCcD6bki79LKGpct3Y2etw
akxvIZphnbd5j28JEQAGEktP9Q+7+ubfs6LtGDNknXYllsT7bVaAaBPtOG79uG7kzI9pS9EutgDa
mFQelkLzameDIHiswxvSzRsoFSZe20UQ6lvB5Z29CW8mQcyEFgCaRPoDHrSyQ68rdQ8sSKOKzbFb
Jga7zdcGty7v0m872n2mjNmTlIF7oBlGmcihMXd2u5IErK1F/YZ3j6rgTFo9D93DwJ9YNSZgaI0C
DE3V7vb6Pp0Hq9pX0544mZqE9+iBHaDqYD6GP4ZPtRnRD/aefR9/CKhHRkEVjWuR6to31N5viEjM
Zofe9qHuN3knIqgsQMPj+fra1oxo3oK0VlaAK9w9OEa4CSjdFtWvvrA31638P5zS7/OguQjDBLQG
Wh/uoa83k3M0mjj8FvxENuN9McxkpFuvWXHx10+HbWounvdAZSO8dw8t35HwjkF4BUME4Bm8vrI1
M5qjkEvj5CzDJrlZE4OAMhbLSz0ndrhGr3vxDcH8x98396x/ZWK0qiALNgq0ljSL4I/UsPcOPCSm
Eef8T1PBkxMPSNTp3RpMw+RlgK83OD9Sz7lt2u/I6GPRkT+PN6CJAwQtlGrAKKBX4Cp/MgTvZzik
MS6muPo4g34soj/DKVkneD1/p5RoEvjR8erbmDM5XZSzABTeodN7CAl0XsD7i1t7/TRcuE2woLp+
eHtBoqgd8xDIb8hiwYKZtynqb6zfLhw0e37prj26K6b0EMaovMnJMTJ0qLwirttNYXcxoX/9W+vR
UQsBVHhoC0TKwURwVELk1uubuPLXzvbaWrSH0C6AUiIT1uL7InbQRjDpNz6tjbuc11kAggMoSmGP
1NigXpzyQlmB79x0D9an6qAI+8H7gNzcSVyIKjdR10YQ8AXxzb/yDX9b1Twsl4vJQW/sHrgCGj0N
7os37K+bUK+pFoCdLEw7dlBib/IG6hIHu/pc0W/N2mu+8ufreFRRD3XVQJbrYBYQQwGCAHCDFYdz
+Qj88yvpKmqynTkYDrEEz/7KwifPuzGXNdUefRkuLmaAfBHwZMXJr7NfQ5ciHWjWjg99IVmCwb5f
xmyuzQTqilimuvoKIwjeNkAGz2AjAcB9Fuut6aE0anNOgjk1XoOgm17KRY5fc/CcAkDsWQNoLFiF
2mXljD0EkuZMfM7HsY0lgMdVRIUFNPjCbPFqeY07x0BNZAxpWBp+IQ2F6NGM+vISVeDEqqPK6AcD
A/LtsBKi6qG9WgzAubaPOwOshs6/EY6kGTJoRT3kUC98mup2ioqurVB89PO4hqi3Yt9cuTB6WPxm
E1wfeA+UJo7+chM2VrwNyfAAhz39skQhYoBWaVQLcEW60F36WprT80zclVukH0HYVaq4ShsBIjU4
bafPA0y6Vmua4oGHVnmXVwWwyCNaAGAcW8s/L3xW9UVxCEGkiERNixoWBvijkK54SAOQhObp9MsY
wwSaTE8DkffpyKaV66WHKWpt7w1qHrZwwZvbEl88oNWRbwQznsLKE5G9YHKq79M/zDJgDYsCJanS
NzLBTXT6Ja2g8YrMnMVDmOY28viu+Oil4jNnfvqz76Y1ipELiwPSxgeYGvYAeNA8LF4P22NZLR5c
HyQ+ZBmHJANnW1zxMk0M3gYroeVZNIuJN6DeACoFAA09Fh0Zlrlu3+SoITww/y9Kso8u6DbLxrkp
TYRkqZ3MbnBni+q+aJsPDjSArnv7s/sBwBt6VCD8AJwEVM3qHL/Le8IucI0CQ3EPZCleZ6fP9ouZ
DTG89GfUiSDv2eR+VDRrhElnUwlY9YldLXwSqSfYMhOsurC+zIuzzV1yJwwb46NNJPkQ9UDOdn26
L4QFxOpMMDezVkk5c+GK4gQD4wCPKbpTHdLSscA0qPS9B7c0g4QTt0ZFbFnrYl20gkOD6qKDsPTt
S7z7whZ2t1MTZQ9Q8Gl3dUUgGFNi3OL6Pp4htRUPLtqAGNy0QU8L/cvTjfQDTkY+GvQR3LHjs10F
QYFd9MNjyGdZRiYmZEEjCwzxHDE2QJ2vcQl7kamz7EOM6d8Vy7DPel5uZWa2t7Iwir+9/x8RqP9/
R40O1/ZP1r7k2/DtP37VUGtbDt+qX//1nw+c0TcS9P/Ydt/qH7/6byds6Ph7/2ZDR7XR+QcEtRQh
k1Joe3PRf9OhI3x3/oFCMFyOhWo30KH4u2reDfl//afh/wMcVaAaxNCQjyIc9KD+SYhu2P4/lEA5
pomQGeA/UZn7P//7x/y/sl8cPwviknWv/e/3bINvIzi/gz6Ft0UKA2Dq2zEFYEIL+oZiBp8xIH/3
go7ptkXYcTeIAjDVCbeu7MR0P86D2FgWRFxBdyVvx5rXG9ssGcqqQRsVbjMnyFBAOgNVzq3hOTQa
JatuW89sozmn4xOtPCMpavm5m8fndqHfRDGPTxAMcXamizTNMDAw8G47/nuZ75elVYKxLFxvPL8Y
ZVTCini2Ti+FgCoYb3y0+Fkjgz04CM3XBgUW0FQZu7cfaiJHyHqaPzgeXZCY8rXZMnJ6/fET8AsQ
M6ONrURSQFp9+hM86oUFaSzzXubT9iVol/oB8+sFv5lKY1MH3by15tTMk8yxsxdoVCMBC5rFeykH
aO6EKT+YFn8S+QLmP+4tjogGHsqbqgSgOQL5Z/0yQlr5B+hyqmNByvFWkN6HvqbpFvuZCCApclns
MQbgfOi6lvOIcUh3RMNYzH3U9gxswDYLoYY0GIUPH7tW0tAc/dv64WQx8AbeYUWEpkUnXZuPi9V2
833lhuQjy4ZWQucrNMaIO337l0VzkJ94/big85F5N24akh9T7adb2rOUK9lLMkUrx0J985PTjuMA
nCtIQ1G5BIxe+02IE7MGPKH2ferYbVLmdf2zZjljGNEqIQnTLs5XTP+4y6bsSHYssma+ZRPY42LH
RhcUaSuU1A3ks3zlh52fFR+6azgjmBRExKqnRj3tQ6/senHf0eJ1UM2nKVjHp6pi1enqoQuEWfu3
wANTzfA475/8KXUzTJq38t5EShF3nUCEA12lyHTzT2XbDreIFeQvK7eNTS5NoD0r6Nhvq2aonirG
Mxp70JBRezYVkTSXdErAQwcm5IoYOzLICWFn3WKEI/SLgwc2zoRYywCS5Dp4rCBiVccgOPy2uBwU
FHO+ALbYW9T55MxB9epX3St1J4kRQQoGecxJKgG6uksEpLbLCPD2wk56X8Bw6bU/cdzKBG8rW4uK
tCKtOrVwGnC8GEFDDI+mzuk36qSw8VbO5j0e1eHFLhdHiVfXbocfS4zY4LTfpt60dfqi8WJfjv4n
L28rEF9AUytMxFMdk65gP1cOrjqYp1sH5nmcDszcI+XEXNbpz+r7fihFEy73dQNyZCOV9n25eFWS
2mTcV8KUsWEIsZd8Ep+l5FB/K1z/ZmFl9bLyS86vEMbxXeh6Q3AUQ0D6UIgFFdGibgwTwkO8TYaU
uRmm8Ak2qegdKFEjfNsWGS8gsMHN5RVXrrMj3uMDlrPLm03p4RpF4zJ7yfVfdhq/oy+Go42YDoxO
AFoCr6z524GwAXJl6fTol/W3xsZnCty8jMEijhBytlfSPC3sejMHykzFQPzGRK6TVxhj0GUQCZ8e
K7t9wRtg7rruPi86MJHXU5kUbUiTHHAic3SaG2K+tOF3lKfQOiMIyuauh6ygEaxhb3Q/ojhnUP5E
WSpUE0J6UG/MLmTbhGc+9jNpvzozy7dVsdrWOntdURNAsRW0D8hdEHDq0DPDsN1ybDPrcTFBaTn1
zNj0bQVKsBTh9DIVfWRW5LXx0zLqwXT1WlSiXsueTvNs9f2x0YoWzQpcTPvq6ZoMEQv19bg8jnM4
7/y+brbCMfuNb+Nu5H5wmEL/Pui94sbHDB2GNab03g/KQ4U/N+JpCHiBSSYZp066RrWkZXbqtyGr
eNM8xnaAQEpLJWXRu6PNUvYY1paIyyENYhrMGAlwehqJnKpqgA+RgXxwP5YQjo9B6ul+6BFFrSUH
ust/+yU4CwHCSNB/6mOuTlbPc2US9mhVFtu5GejzMApoJUFymFx0JCu3Ke7cykELDxoya3ukey3d
upbrOXY9Ersw2SNmI7qINL25mU0ClfWqbp/TFry/tMYoFOhKQP1qCNAkkXobQDr55rpr0LjKsSFg
8cRBBf8VImbw3GjJ7lxazlzPRv7oNx0mkxCqJ81cDzfpSPhjXdQ8yXIA22sjreN6/Mrd4WuPBuDc
ecOz6KX/UGCg896Ts9yKHO33lZ93tkuKZFSdZnQT8C6/nad3mSIEWAgOREEfSTbmyZz63aMg8sad
vezOKgTens4cD0UxhHfA8LlbC3rSK7/htBzw9xfCkBoKID5SC6QDpw9MQOsiJ1yAHd9J0YF3zY9O
tvANcvl03w+WFfExzQ9B6zcP1xd/5raxduBSUOlRrFkQJD81jKF9N6tkCsOt22/JiOORVyWNIaST
b1GQYStnQaus/vdKQaqNMARMuYDCnBpcWFENTlcUj27I+nhKC7FvvdSNsrby9nRol6jpOxsqq+m0
62RAd8KsZWRXHtk23CJxWxTjdunaeuNOoo4dVFgTs+BOIpp0ee3zykvcefjsdY21zTySrXBgXfxe
iGCROCqN3rMgjmI6uKMjfbTHkW6MksiEsuKlgIJuZFWOE1/fHvU13gce6uZAx9LH0wrJBwwAn36t
YDbT0ZCseGxz/wnDH9OuqYIcE2n5d16EH3hI1tCB5y8riDVNFMCVDnKIGVctJXVLKllughm8cDvU
LFL7xVT1IIGxCmCsQdxA/QG0u/yjIW08tgXB+L7pYTR93HUoJm7sqDfw7a9/h/PPjhQd6YkJeBr+
mz7/XWf+lBscHsTq5yB2uP/ZtqdHOQA6JVO+ppNzwWGBOAPtBQyHInNChHH62cEtXw7jMtDH2pAu
izsQ84Dgyc1sM+pm2f10ausBZeitNBRKk9mYXqWoJfax2edyN1HDHCLbvZmyxX1GA5Z9wwd319h7
3n7F6eFQ5PSYhFSUgiA/1kIuZANVS4UsgACvyHGaLfk8TCLf5yFDC6JGkb2KHMYZiUb0AHGx07Ta
jLNno/nM0uo1LMb5gxUy9iNAQwVFOAtCQGXvjU5i9zW5rwEI/JB5xvJYM9d+ub6jb5TY2q/HOECA
zUSpBX0cteXvvK4fpBwJSJ09snqRUdoG7YahP3FThzhXdLRIgvzCjquR2klWlrt0EeRu6ZflxUut
8GYRtgNWlfKma2f0/MYiT0xrwCQD2jVe7vuRHZTi1lbP2mwMcd9bMqbwpuGcponTeWHEJ9eJkYX/
QtX5/3J2XrttM+G6viIC5LCfqkuWLdnpOSFS2clhL1e/H3ptYEWUYeJfQJACBxiS077yFuVkli8O
7sEfUA6WG8OI+02R4FCaZfXjUMa0ZeNeHroidXZFZiXroXbFUeB/uHca0qKFb3O362EWYOWDRhJk
X9Wc4sx/Pg1Go6pv96NyHaTfcPZVcpOZY7gAvXm9VOYzQJZFewuWOWH7LB13/UrLtT71nyu7GDaG
Ke2jyHJM3riJNiXco5WMi3pbKdr4ATEoHYXPsLlAQv0YeNn4CJ8wPyVuAjTakD+EnX5qYkyeuWU/
WkP/zevSYDv66Vatim5fiNrbe4J6k9EyJTjYFQtX6PRRZm/DwTUl8FiV2rR5bj+aozZDyYpSrnqF
reBYiuTqjsH/r6beVPDeLW1xhKEgQtEeJQC6avPj0VMkhS/VSq9hyMbyWpuY1u9J2fXsYlQ1RIPA
3qEeJjdOqj6apZku3EDa/Z3AE/CCuC8BtiDAvX1RtQYS2Q9mei1a+2Mo97TcFW9Y2T8jA0PA2t5W
dvygjVsXJnE59Ge9cPdd3zzK4K8vQlTr3AXmjXYfvfBEdBhREpscYebJ2FhgXUqrKL2Ofq0fdI9C
mDaEYjdGBnAT7GwfoMyqH9uiSD90ZpXts9oa16rX5hvVqYdt15UVwhCm/D02TXfN4lzdSjBNRFqx
85+XyXSPkLbAbgF3PD80AScYhRYb6bUFdrkdOsymQxdI2Ps7+C49YpUItHpcBqDALKYv9s8OTlRU
WTCNTa9O0Fb7uOn8daLp1cYbGmdhqPurEV+8Ka6GjqDz19lyCNrQUvPOja5jmPobMQCbBuNL89kW
0TrW1aXJfuPV/nc8Suizu1EYUVS2Vhhfo8Q5hk7L9tfrhyp2D4GhbaUePGaOPCW6XANvWYXKoWiz
facPK6ctTn6/EBhMb3e76ynrTxcIxX38z+Z0bD+tayQky+QqY3yapUmVy4iCfZe3wUFYMQFi6NQr
4ntzHSn9YoL31vB0x+lZTtVD8uDbeTZLjIALs4+uoWGMe8suyw/eUNiPtt6dAhT0kO0T+mNnKI1Y
GVoDMnTontJM8c9ZW4FjU/B+Pg1xqR18lZpE5qHgrsjBf3TrKDzXmvfx/XV5v1MRQEI7AmERuHJ0
MG6fN5eWp+sU9a7VCIWVGUzXVhuZmwx5trWfZOOuspVL7uRLNOP7ooWgaEHJZlLvoWrwWq//Z0fY
SdaxPhCMoKA47Do00FrHGD+1rfitOv74pdbwtdZLVV9HbujhgmCmC7H0/cLlCaaVgmkxHbt5wCGK
HupDOwZXt6peMlmKK/xHlH6yLFv4yjOQ0pTkMBRfmB05WZBbsz05RFFXyCZnqD4/RDayDYoT64+N
klcPdlo9SRQznoK22UiEHVEo3PglwDzaBk/NgLLff55zTZ0ke4knSLpeM7J/vrxAi21s9CG86tij
QlSPqyfHis1n4Yxfw7I6lFaWflDTJFrglNxfyMQv/wNiJ7oDzn671tAzKApbVNFV80xzr1j4kLmi
dRfO8/vjj9mc6grUw8AGvaYz/7wdEFFvjPUsuEZl3x7dyMc/NYjldrSMD5U2LHghvLGGONkNOvbU
XyktTT//ZzSjsOIOikx0VQr3Y5KV8W4YqadSQeiO78/a/S1PfuzQKAeDiG7NvCdRiqLrKxSqrm2n
/c5r+MyaJ8rPKPb+SoZa/Q16ackz462XY1DkNjUkh9DSuH25vAhT0UWonmiRrpwtvfrsI4p7SCz1
z/vv9sacUeGnvYrcBLnLnG0U5H07VtzNlyIU7U4mtXWwwv5PIzr5MICFWtgAbyRKU7GctUF0MkEP
ZttRk4lHkUlolzHI7EdTaOXOCcLxaazgarpmCE8yag9BbI9nenXOqaB39dVt5KYMC/tYBp44lL45
0lspbf9XU9f9vpH9Xz3o4xfgIdU6HeNwAX7zxvxzVE2LjBDCZVZuJ0MEKNJasNsuZWkbG9nK6FnJ
jXNtE2dmpVJtehc5yffn5c0PBZ6BljnFSgqnsy07eKHM6qYQFzPO9gBSTnX1MW7+6or4Q0B1qAMk
mgdvZaQpNsRuvYp85BXzk+HtqyxdxWb7yRkVlzPGWhuedoi6ZuFMuf8qJIyUQyaYkA2nfPZVUg99
JISx/KvI1WvTuC9Vp+pPhXDOhlqmL11WBAvh1f0pNqWobIcpr6CUO1s7Ulb4xBaef6WCFq1yN3NQ
Ptea/ftf/r5mjXrBP8PMKw4ZwX6XW7Z/tYqdKOtN7Can1nSjNT2zr1Yyfh2dep/6yrk0+p/Ydyy1
bxYfYPZlzSH09bB1/SurY6d0oIDM0FVX5IO7Ropd68aPSuJ+Tb2TB8kydccl04r7Q4GwhNWOigNn
F+WX2wXfeUVstHrO6VPoaFghCZkOzV/Nx6A7rb68/7lfq4y3YSN3NNUdynh0a+4aekmtR2EoVP+q
F9GLqhGEJRKt8SFLBfwMPd8ZQ1T+JWnxH6Yq9DdNLZyH2rCyg1FxFMeYAq4Ic9xzNfjq36iWFlZG
CSCClXSKP7LyKK43Y/GZ0kJXoSvo7xU7RmHQMPr0QXGDIN54aDZuUB2MtqEvEJDrk+ExciCVCXOI
n4STyJ3XptZPXSmSdS0H7ysaY97ZYZIWjpq35p4dhXUDjUUExefhiqcXjRvLMLw2YJxOVjr+AZ1W
nDyh7PRWNCfTbqm8jyFFLdvPtzSytU9Sl4f3J+U+NqW7SkZNdo0DDfaitwugVg3KvaUWXE2WIYri
8V93LMJ9W3bxmSyn2Gh18ztNavXvfx6XAAJIsT05THL13Y4r0K30s6r1rz7OrauIQP85b/Br8AZx
VQnijj3a3Icsqu0FreU3Sq008Kg0krcRUtDTvR05V4AKFzQTrqqgaQdU8W/tpdEm1UUi14UPkUcm
nXdypfJZ7Wv3eRCD2GscRpeoDoKtWYWggqRxiRz7+f1v8kYES0mR85UqKIqzaEPdPlqooIhMeci9
RK74ISmDrOUXASwA3Dtuz3Eff7Dq+NxYZJudSE+NHf+pUFd9HGJ/ibb7xgk8FVuocmIgBu57lkvn
8MhLC4tZfArj/oebT6g6e4wXVsF98EPHkKuF4IfCtzZvAgE5o96LtdQlzZtLmwT9uYrcct+1pbUE
YX/jEsNKkmyV6i0H3RxZK7JRDy3ReZeUSts2dtto5xd+tipsq90Uet6uEymWJArfKBuxwfl6k+kb
dg/zGc0KEVolBC7I8mj1rYzSMNdVjpBeboTfgPfaq7S1gn3SDBy/USa8TTd6z/roBAeEggrkSkvb
XVe1VE6aauPLJB31b9UYnxdW3nTOz45mAHvUZtiJyOKpswt37JSiHdXUufidlR5yUViAj8doXZei
+cIB8iPTdHnu60E98VTO0SlwdI6a4NfCc0zj3D7HZEhh0AkhdqQLMN1X/4T6bgwHqC48eW3GTH6x
EGI5kkBGhGJltxno7G4skrWDsLxPijF025Y4ftMO/VoqfbZJ5bAVfWSeOwXl13pMwl0vcUzLhl55
SJJgSV9repqbp6X6QLQICBVJZQe90Nun1UwK5jmHyVUt+mat9iVF/zr65I6ju+5H9z8vYYZD6Z5z
mmCMwHr2cWJSBa/zdJ8UuokAL47prlecYuOUWbKzgqzacOkmC+fl3UEwDQpWmkMAYoE9jxBKlrAN
otO/dlRi1pSlE8xB0mHhGnptys8+5bQrp0IBMvjYs9x+SvJWBPFU6V7iKtpTJqGina2QK1g1zdEN
UQzw9U3q77vmT9I+5Mqxj9VL234SeR6tevmg9PHGR5qnD7t9XkQ7U37C23VlhC1/GgsPeweYInRh
TxP1cnhBOpkzqcsMm7EizZVLTc9ga6ct+uBltJ/yoI9A5+JDEjbKZijdF3uozFObIomcJR5tK7VX
M6r8qn0IQakfF3bP3RmHTRDTxWyRLyPwPSs0kZHHXT8M/rWhjb7zSy88+CRJR4gDSClb8cGQtIFJ
GfwnR42iPaYq3cbogmZfg5/yV7XjNCjr8tHqIfzj04p8BgY27t9/zLtdg7cQ80wFkc4iBZtpxf2z
x73MbxFzVsVLV4fuzmyvY3rSYgpRaaylm/fHur9SyakINNig9L0mBtvtYEY8xkSL5HFScaxLmRsX
O+yx94xawkZf2qfAqsTDFO8auRM9IFShQklWf+pNiEA1rcbd+w90n+2hY8lFJ8iLBUDZee/fGRuX
EES418ao3H3fVCMyA6pPkRLU0EuDKsZj2brf8FsX+w72ExILhVA28CaZw6JP9yixeoi9FtVHByzQ
L1koVIPhZ5XFVm98bzW4zl+wyiitv//kd9PGg1NCpP1CFK/dpalGjL2YpnrGdQy67diH9loR+TO9
Oa4Lej//fTAgm9SyCEKmAW+nDSAW3KnSNK5pHA9ny8yytZfRaKwxtDig0SAWxrs75Xg5ii8GdmLs
UtbK7Xh1VtG37RpeDoO4lRRocNmtunTKvTkKqxCvcVYieL3bUdLUkoVTWsYVdbN+3coC5I2rFwsF
hdcq1c1ZygmAjAXXqIoZIpWl22FAR0eoJvb2NdVEe1aVuvmUx363aarOfHH0TJ10osgwIntU4DDF
3boGa2lvOwVIzLbRGg0RdsNqrznBib8ag8H7a9eD/dUZKu9D15Qor/mZatWrKWBdJwHlG7I4tctW
bV86W2Hn/pMdp/En1+sAcVt24zxkmRGlK9Tiql3mZfBC1CGP8aV1zfQYYcW78hX+vQbCKX+4QXuQ
KmXcteuVsHNHXwRyVVhoZkN1TsSGBonHBQj2MsZ6zc41pd7KuNd2npEAeZd+2Pur1k4gMXFt+Qt7
+G4ncFNB6QMKSFqOF+osNiZrGYNGuurVCLNwWwEARviuMniqJN7oNBoWFucr+flmQoHT4xg24S4J
lhGMvZ3QOjXjtk6wm9Va9eTY37RW/143zjkMEvDJ5cqPToXzPQ+Gly6JVxrY7iJKDnofrjx3TcF0
K/T6IPAYUuw/VfM3Mf7QD6ZNLGgJhytZJLuahnLoKZtEPOv0KNAceJA0kjKKdqnyyWmHGnl97RkB
xl2uZVs1UTZ1t9Aav0sGprecZFfAqFM4nNMyGoL3Tu0knpBDS6Yvyurc+0XyOwRl/f7p8uZIMCT+
pzFCV/f2e3a+HrROYIyXNrJxE1ONB1Z2dhzrOtm+P9J9tslLUVCeTKZgRtwRooACap7lFuMlN/uX
sDJ+VUny7FggAPO2OoRtrq+Mof4bljgXmtUqiZJrx6UcB91GOhTw1WJhMd3DbKYn4lIkjkQXiZTo
9uVjIUJ1UPEpDSq7XseNMI65aIOVXRuevwInJ7el6K19mmjOOWpTejXWqUpNDZE0JdvYGtWS1pLO
k61Lscm7pFzotd+dkpO0I9RHQmuekXP59gFzleTPzm3tooxudDSdgggwrq4LEzO95u2eAn7HRmZm
6JNAdLwdpe3cWhQoTV5i8r6dJrou5upMzGNHLLqqA8/51uTuVc9dcbCSsF97o+qvOvgoeysM4J7W
srEf28D73QUTGCoMA6Yy1uJVqxjpwjJ6BZ/MnpbOIcQnrkSAyM4sjIkjQ2pGoDQX2+IWbN0o3NtG
aO5SdAcLMo8qObmmMjyGGGSspFGpezJ4dOIzRKU9Xy+vCVJO+1QvLU4pgHRan6GDUZa4cmhlM6wD
iRzGqDXpuqXBvsKY0N+3ja3YK93PeKXcoGymJojjGnm6d/Vx52Zp9SsWFYbMoEC8Y2F6/iarh3qf
uUlG37WDBTTY4Y4ygjiyzrttUEeoUg0iPNF8/JMOYbNvpV5/CIfO2eEG+OwMmstClFr4vetV91LL
PN/R0O+3Xms+cWufKz1y942CYvr7y+GVojz7wLBREGR4TT6J0G6Xg4zLUI31ur9YueB6c83af/ax
F+18bwTxX6gb3EQ+V1rkPdF9ty+hYWB1qlrhtRwL56JLss4mtcN9EfTVfsQV5aFuArgcld8/SaAl
D4MX239wGNE3FPzVFS671cGl+rqwsO8yaHxipuCfX4B+KHfcvkhr9bE5BEGHiU2nbQOsWjYsX2Cd
mab+YXX9KuoQach6aOtd3JfaElJh2jfzDwkcH21WrOYmGdXb8dOCHkeFXehFRJH9WVMqAM9275z6
joiUAGTYa1FYfGpMv/peKWQpDWpbleZ1K79xlrxiX1vrs6eBhwXaCoHyCXE7O+wGXxdtI2v7Ankv
OqpWkbBcR9M+W/3wMjqN2vJ0dbiJo1an1B5VP1KIpb+0JhleaDhUH/XWs1YpweFjVKrucxEX+cOg
Z/aTUqXp5G8W7yCEpStHqik0dCva1WPUbq3eF7vUHXDCklVAVz01SvMowtr6PuA38yGTUroLa/gu
LJmAmsDPic6ppd21fnPdp+RZOs1FRzURNaIquoC5ifZAf7V1WXTlQmXgPg12EQ/nsnaBy4K7mVtj
dCDrJY4NzkVDFHJny2z8TgLhP4auxNkkLtVNVGrNjtXf7o1+LFDVNtrfTWDnPwDglVtOVLEWGCgt
fIi7C4QCAipu9KXBAd1nKkOrR0aGvdVFImcI9TC3jlJ0S6Io0zV0s7TomkzJNr1i0hRjjmnSQeGq
IhzhHIv6sc2F8rkW3SnD5+Tn+2fT2wORKVJABEkxb6RGaWAmbYDRKHLu2SMakfna9oJqLysRLaTm
99npZLZD9YVu+2uRfPq0/+Tm2LnogyMS56K0Q/o7A2j8TA6qfrNKPGPcaAzOyRB+1ZWk2PRFPgWI
qfvBVwdzhURM9V1RlAhQrrQOQzqkXC1K9NXKlfbQkYS3K52SIhQg0/3z/he6u8tfecG0toXLwucA
vH3qoUkcvDtr54L9BLqAqlatrBCLsVXftd05dgb3UTGz4dNYxEtOPnclF4ae8NoTpQpO8VwWrs3N
gEQP/1qnGaOt2r3Yva1uOjTiytoKVvHgLVWf3npZm60+FXkci7e9fdnS9EM9jhXnwu6MN2OrWJtW
Zv4T04rlIbS84OzQW6pXVtAvVZjuU0telxo6/H5QNipPcTt4X0ZuEOeVc6nDQfugZoir6QGqEWPp
5I9x22gwWT13NzglUuC+44wbM9HydaZXPsYxBWGDX7Tnzixp1RWD+h3aEPyY0BpRbBkbFDOHIuDT
jVAhm7hWz6OJvZcZBS1epdxagTfg+mEGaEKNMDgPdR3Yr3QEf8siqOEZDcmurcrhomCc6VPMwb4p
UuoW+yEM5ttUMVYS04JxBUAyPJRqGJ6CcZRrc4QsbDje0csKeYz8tn6M8Bdb50VnwEUWkDNSpx/W
VqPqH99fvPdATrY2cHdojnitQYWZVQXwcdPCpIlx/1N0Ex+hFhIjFk2PYTpiBmXWIl7XfNoHYvpP
RZ1o66i2wg3KNu2RWPFDWItoG0DAg8DagBPw0q56tD0j3KqaWAIr3J9FPCsYBbCPFNa0uRCU1lqN
UoUJ3S+Een54TrbVR6jc/hi+vP9V7i8zmhCoAE12L4S8c/mcfgwluJ9av2jjlWDVOw2dbR9qIT8O
lrYQMt3fFwwwAUe5MwGrzQ9YO+/zQE9MnB67oH3Sqtpcp22vbP7zG3E5M0mU0oHgzIE+Vi8MugiK
fikGQfzVNhgIpsHPwMBvwPZAHrw/3BsvBYyd1j5HOQicudRvoaUNPkb0KUelo89pNx4tNa9rFubp
HmIIcYr3QhQMf0LQIbN4c8jLrrHIDy6q7383mwDs/OChml+pdbRSLfkQDn20G/uk3EZVajyLIP7w
/pu+xhm3NzE9vQkmQgQPrmluaYtv/dhpxahf6jGOt3qadIcxC51rbXrPwCmGb1DxuBLMMk8+a9Iq
1hZV+96F8t1Eg/5YiuBLaA7dI+SF5qEYun6n1Kqz11Fa37nSq66+lvurYDTao5d0FO7a6mFIjFXt
lxC0KyHXTps+RLGZPyVgtfOtDY5mVUJd3pR+GJyiTMuXYq/poJ29Mwor9CG4p8mW50lyGQxF6bqN
cQnTBtV72+7PSU6IpceJuPi2U3wpFfdKRYoTj04BsAbNbr+9/+HvUg2iAYh7hFok0dBSZweXGaAV
VKa6fnFgJh0b08TEGl7lQ546zQbBuB+1WWc70MoXqxj0hVDljZMIF6+p70YeD3Bldg3mmojCzpb6
JQnMs2hrkaAJjAG0UQJJfv8939hKZN7Ii0Fphiw/L0ZrdjgMSpQ7l7wbwp++m30vsLFfWMVvbSSm
kThykidiEU8n4j+hl2JJVVGwLLjogwW3JukUEI7cfpMqIi2kKjrbSpsjOpXZezP1/hQxlJ33X/Q+
tJjUu6BSoEBFqGnOcrc4UnSn0VP3gsz/WRjDkxjS9Nmiar0eijw9uxFXYorp6fvDvvF94S9M9R7i
adiQsyNkrKvQoNroXnI6QDvp+trWlziM/h9GwdqCs57FCkb49vumWtoGZeO5FwXG6TUJ1bOu9cnz
+4O8kRPBDGN/T7z8qV8y+4Rm47sVbC/nIhP9SpcQL1K4Oyc9kPIsLaN40XNjeDTs9nPk9+qzGaTm
zqvsapcYWXeMbb8+NWa9cMHdb1RBSXWygcFFzbbncN1CG+gZgcvCcG74rrRV/RAVMAc9N2+jdaTW
SH9ZHbzwiCPopHiGs3AX3a8rbleX4XV483z/2dIuHdXXYo2swsCy8dRlXb6paown9fi5qFDYzrIN
RcslaNM0obdHJBwBAqup34I6wvxmSoJQdYZCsy/2mH9N4ha4GUIWeRe90Lr9oSttu3Ak3cm/IN6o
kQvTeEWfjr7AbPLjNtb8qlTGC7FZsx9KM9xLdwwn+Gb5qFn+znZK7cGIQqRe9C7dOlixbDpwDGsa
90ueVvfYkwmYQKQORWWSVJ1nRaoiOxJUjudGZuYWF3tquU4Ypd9jOisPVTZIjAcc7bfq+jjyAi4Z
xnjj9j1QI5jj+mdDRVFHeGO6LQw1uEpdp5Skc6//540pYKnzfAQqHHxzdm8UpqVaCGJKzQitq+Vm
j0nTBAtb4B5uhyIiS3wieusm+OfZ3AA6biKNbtnFz1PsVYMA+5QorPtdOtQPQZxmG7Meh23WqGLn
6s2HasQzSRqe+3fhhHhjWXJd4uTMwpzCQf32HPIUVPaEVLRLN2jx0Y/G/CgNkwSIElKE6rwije9e
MLQbK2vifVLZwzXUi2MDc/Bb5Uvn0ZUo2JDzlaQ1A0bFR1+k6cltlrLq+1OD0AIpfAo7QOHvRV9p
+FZKpFmXUSjjH79CLilvNQxnjNWg24egjz4lWjV+z1G8WlgSr8WT273L2JMWMHoeNJznyBqlGfWo
c3vr4k5ev7Z9rgtdrmIXIS3lNI6/yvR30fa/8shZAVA7ZlZzcihIrLKROA86C/4xffRo19WqdR4i
CzUBDHkqE7VI97+JX0I7gd6C9MUEoUV6i7rJ7XwGQQ420A+Mp8Ax/mZtKJ/SxJcb12iD4/tL5z4n
mrIH6O9TuAPlUtyOpPpRpaSyQxNeQ0OwwK5g1yV2vq0AXGynxH0hHLhvXjEWQlZgb4gyXZgDtwOa
ak1DpE70p7LzHMr8qbFXkhA6b5hYv0TmmieryIJVN8X7ZuzwmxdsKYkYHxMrUHAMj+xd2RYhUnzW
UtDwat4xXyIU2CnZTyButDJvH07hdM8HvbYuvvcEKECWOLUPwa/A+Kqk2iZEcKmNrYc2y864j/dr
hHhWsfhZm+Oz5VcPlXKwHLSOPirwjRXZr1z1qRSPofNstSBug4REXN+ULr1x5J96ULh9dajzfavY
S4v9jcgP2gVRNN63gpBhLp9Kcj9mFr8osAWfg3IyFhhLzNSiRj77nhNvKkQ6vjaWVq1RpJL7SioL
DJv7M4lMAj9SGgavueJsZSH8JVw/ssTF6kLtLBPlGV/3bdMZj1pbgPYLu0/vL+XX3GA+e6wqgM+A
/ZAWmIUEvlZbZdD7ZMNmejLMctvSqAjMfBNX1TZuXhzQ/oYCJF0Nd+OQrZsAaKSVH9Mi/+yr1roY
X3pHrlXzFHjn3PBWkSIvQ7+t42Dt1OKQ6LgFYaue1S/vP/kbFwnfCt4Ux4gAKzm3wSrU3M6CWBcX
0ur+KUAq9cVv+whLnUpbc5dxwdutvzUNRd1XlWFuvRDufzUCRH//SYw3DmgKPNTh2KDkvvMrrRdh
hp1balwCMYI7MB4iPAtlKq5x2G3d+EWLntMm2jhKcCgQvGQTgRQYtopZbKkZXd1gJwLl2srPvXIC
OWmWnyNlX5oWZ+avUH0yUdGTV/xJPlp+cSjc7NDZ4nOYHS1V4b/4Fzuqtp335LVoqiEPvfIDgBB1
/MsT5r4Q4zN0+g9JhhuHWdMHGRX7c9a4j5NoAKnLEn3/Vfl3tqLIg1/FXKiwQDa+PQ8sdEpMTbbq
pUSVyVA49kdvZcVflL5bN4Q+oX0doo8U/CqajbhQ6CGeUueg/zvqX3p8nvz2QjWt74Kd9CHMQ6LO
M/XYOPr3cQAKYWfJcxfGlxF3sPpTjqiQah7en9A3kgd0JWBGkGIif6HP3RQRjEFNrmzGixGY4zlQ
BGoHZIvXVHrpLhxFso+qvHtsci/aq0rpAUaP02EFn7rZKKaaPNht0hwDv3WWyAr3KRoABiJJTlq0
v6y5Zn7XxvogQQRf+jo8Rbj5rUKrMw+akzirEfsQirtp/Z1AdNgRxLW/6mwMd+YYqSvXzT/mXtp/
bctq4RB56+Ck6Qu3FhQDjYvXDfJPytz1wjOiBEobsZB2qgzxjfA2QEU3d5/bNAj3loV9j14KMGpU
mk92oC/JK063zGzVwTVFQAgmMp/Gmt3+reJGZq6D7/D1+KChEABGAMbWwxgES4HGa+54NxZFPXIa
9JPvGCOmZ+ZuW3vDpXKG9oTO1nk0iuRkQlt79GOU8YoOmgyuz8E3HzBtDQooZcG2wfjALZxusijh
VpR62Dy6rdB+uIpvH0TpW8/qMNqPeuipC/fKfVudUgJLGuwSx7xAxO92UzZaHDpF4faXRk1P0Cr6
S1jT+F4FqqAeGJqrhBN6ZfW28VypQ/CghjTOPReP+bqN/RPCiOFKOMHwVJVpf9HSyHnqTHvbSLs+
4zJUbMmg9r5fpQDSivja1MpP30KTZeGofSvyMoAjIiZGkAdg5PY10mY0wr5q9KeoTDeIJHgbYDyX
dtSbtSuNhcHu9xpRF3kyfSwgT/Y8sAG65wRmUehPvdJo60LR7U1RlX/eP2vu1y2sH9rFnClkPVxo
t28UR0MkgaImF88IskvhVC9D6JqPYyz/c+4/DUSLlLoW6v7qrE4H891rDVElF9tXsoNbtL/LxD1F
XYhisxafM2L/VRmn/1nDCbi6STMQ8gpQWVbf7fu1uRe7kZrml9B2/c/6aH4TQ/DRkDFgFtdpDnGQ
e7v3P+n9vE1DwgPQJ0uWOy6dByvbTsc6vyi+Y51tvxDn2lwCR91HahMCkPyVbAO+qC1u30vt9DZF
4INYB+jHNqoHh5prHm1tKxWrXoh+pSRtvLCN7wONSWsfcRzoaiSDc8Cj7WS+h3a4vGSD2e25gpWX
ShrNUxk5P9zSONMe16hB68M59yhxLOyHe24Ac/nv8NPj/XPMh3akjFFcycuolqs2ffaSRwVUVtdi
G9jhXqWaH720PRjA3fPmZ+60FNOQDSqzDwV2rNL8VBC7x/V+LM4tTleU1b87sry6fohxmPYSuEtC
jW+tBPItZNxo2kOgmn7+zwO7apZJZwhxrO8Qjq49V2wdN1/yc3trKdBxIf/hCuRwne0sVYUibQaq
RAEn9o9JGPBx4uzz4KTZaoia8mqPxlIc8MaYqBbBHuc4d3i52VSIYrCq0TLTy9Tet0C/Gmb1Yirp
JtSHbVR46zKQRFs/EZd4iuSH1HVe8lZZc3mfkPW/Gnqwz7qlPXF/OoNLmNBGLE2AfPPKbj/mQyNj
LbtEefeltuyciohqHUcjRVWjkItp8f1HAIHH6Uw4RA+Gg+12eqUoi5B3bi5Ja2Rf4iTxd2XhjJ/D
QQC5EiHc9MSIuqe4Et6xNtyXjA39KQsLoiEbgcHSA2O2ci1ff0nrLDxG0h5/pK4ZfHz/QHojVZkA
9By8xEfoJk1y6/+uwzw0AYKVEmVzgpdDhSvlue50q1obVvy1d+url1W7MqfEt9IUK/tUjDiS5+Qb
C3fA/QSR2HJzEtGCSaMWefsckaP5XVKBXlRLZEl1pVN2TeUW+1yadAu1fEmk7b7ezHgEHdNRSY96
3pgCcVhEOZSsS9ji4C7SQm7N2oke09LY1U6vnfMOXYEm7KPNwhef4pnbEA0MCg1RMHhTB8WY7Ulh
j7ritHZziUPV3IZZJfbtYConr4Lhkdad8hz4PZQhWaOOBqX3W8hPwUiE5mUEGr/pUndJLueN1Up+
CBAKUBSLYO6YEmOLqKY0bS5pLawDkax3Ms0i29Cly78BtnW3bdJ/e/873B+A3BVgYqbCs4la1uz2
rQe/K/KwbymEk5I6WmxjzoPc2fuj3McwIJVeSSLonNJ/nH7+zzEbFbh5lElZXBDLqMAPptXe0aT6
PAZuuNBvfeuFJv4Q7FwAAszx7VCyTorBcTx56UPiBg9MCzWhcly4Z187ibfLZ6L+Aq/gcOW7zRWs
4IOSzmSq9xRVdKGtIcmOBFDnLDWttcCHZitz86dSxdlz7Lv1S9arx7IpIR3YZNnJ/+PuPJrjxtY0
/Vcqao9qeNPR9y6ARGbSJsmkJEobBCVR8N7j188Dqm43E6khWt2rmUVVhYIlHuDgmM+8pophb9BJ
cIUkrR1dm54HoqNtL3uhDY1eQU8gQaK60FN3FDr12+9+DdYWqQmkYfCf1A1Pp6jSG2MEROHd4jBP
rSaGu5frWb3rK0q47w/1i8SPQGQOKkW+P8f+4nPUKXq+QGLKA3SP54ZM7yGsOs/tYx+T8NC07ITT
e6+IAg18c5qlGJt6ZfHNQ7z9VAo+eIRfOpW72d5o+brN0BpVpjXNLTVPYduboe+G1mh+7Mwk3Pdx
Hu47ra4PXaBc5x0+h2tTsNzWCmpO8ymDwjH7S10iscIxNMLC7I3bFsHnq96Uy4uw9LeDNyu9iZGb
RezsQFEn8vP4c9jq3oXQQQFsyDkeCqHDXSgpg+0YyE+Dl/X7PJRa9/3PdPaITA3JHyVxljIX87yp
3uxPy/fhjYxqeNdZ5feg7zXqLmZ1IWpxflAqQLNKmLVP74951oObHcoophKnEnTyn8WgfoYQO7zy
6C5VVP/Y+xYcIy1CRSah7WkO8K/RUw32giI3zlAL2TX66akT61Oh2YFWrCUFy6vv9XHw0PwZoZBx
nc5BC5wAWJ4Z3vWC9TWSm6dU0XZYyGLKVebdypqc3+1kTc7v/mawxRYkbw4p2RvhndqG5pWHCDdo
AcRy35/i81eCvDi3cwlwCczPblep8+Vx6MI7ubHSRzPxyEP4yk6FGc9eIqtcWerLY55ShwR4kVCG
nYY6z+KYl6nphF7GW/W+9nXS1PhCi5vCCUZh7ar85UhzD4c0ldtrecrnqkAO1w7hHX4hpmZn6HfZ
ydApk00CGTnvT+Nr//n0a/FeRL7A/+ZrRVy8Vx/D5uSYh0EgNU6hRFvFnDtYITKC/TBMzuS1D0UM
8oiSOGwcw9X8cS+m07ZI45txGuFYUBhPSGIIbmykVba+4l+jKHMZ+vFK4L+MqOZvMJPO1RmUx52+
eFak9Awv0q3wLihGGRJIZj5MjZy5RYcWRS6G/SYfNc9Vi2Et9/zVN6HZpSHnSEZLL/B0A2WxWVX4
14V3YaqpttRGyhU6up7ti2r2m8Sj+SXpDs/vCRqFa/50KGHSR60KkeIKQiPFjnbQHcHq+5Xvfr5J
510KLI9lRqS4bG16QSw0UedHdwXcRhoGMaEYbMLt+6vrV5uUq4EUjaWFiMn88zdnr47QITTFPrzz
LO828b3uUFGXvSyFfrgN0VK7+J8MN3N1UbvA1WVxIQPewfGkYI9C9UCHVP9BmFm6lmB+lRN5cN8f
7PxeYQapkdMr00DMLmsgqK3KRTSIHHNDp9lDFLyUYolcVxv1uyQ17yK5/vb+iOeLUEFugYl8rTKD
fD2dzW6Si6BVe1rhqg62OBmqLfKfrd0pZb9yup5VOwjQJMg7FDw4YGeo9elYcadBqspkDdiGspVr
bztQCd0MZg0luW8uhb4RNmZgftXyo+zL+yG8SdS7fPgQpHd1BexQvZTAMcsBJdFk2obCIDuVkX3A
csGzpb7ZmomCmlS+8thnuSaPTY2PeuUs1QfIZ172bxZcX4T6YJFiHmJccuwoVfqNpeXEr0FkbuJS
Kz5FqAbaetPot5LYdZedhNJLZFjNysr/xbci0YGaS/qhEQosvpVWNZUexWhz420mXc3t+f0ghPBa
AXCvvPT8TqcnuDHbBwBV4HAiFVm0nNDw10orFYZDFvioNqEcuB3EKvv0/uI738qnoyxeKPeLQq88
f6SUaYJPV2TcG0xpFys0tjx/zf37tWu4fKnZgQ16OjaBINNPP6QkIL5jVvV48DNpK9TeY2HKnhPX
EAsDXAEuy/6zEPnXrXSdRXd6fxmVD2H0cYwOmnctD99886BFd/JsrTo6bdk5hX4HVO6QFM91/LWu
LtP+u9/4GAgjwrOV5e/m9HVqr/PmSxnho26adut97lEXH61Ly0TTpUH7+6kp7vzhOrS+9pZi93oF
63qPa59jSUdFuxemR1F0yW6F/r6x0AyLdlr5w+oueukjuvkdJUmcN2wj+CFYTq6ldhft9Vlr6Gvm
f+qF2M6ib/TU4wAaS/1shC9Z9iOFJW96KmHG5VhfSvKnwro1W1BQ8iZDTlgAw20kF5ierEQ7Z7nN
7IwJ2BQlY2rzlBCW829q4RCQS4EgbGlTtpb0ERV+7VtjDf5VKQc+6vCpdAFlQr3OgfbZaO8aa3Yu
Z05uPAVpxYwYJHJH4HveZW+2cxoPJoQurz80FRaVoXgZFftRa57xj6BYFCQvNAKTzZRo3yS8F0Xp
ORqp9mV2CxinxEVPuezC6Tqpn8zh+yS9WNI+MeF0CLet+iyArsin4ibOr4ZmG+XGJzWX77X02Rjo
IKOO4VC6WzkVzgMYYMLkpjQ8uHLP6L6aGARGryfKQQ7hYCvBo0D11Akh6mzVTMuukOy3FavUVoY9
a+kqr606MKGzHxxAh0VILpUZMmfaMB5alY8UGXW5GyYEMBPNa3ZqBCoP/eFOegoVb9ekWXKMW0W7
CfOkuIvzTr1p2tZzdOCxv31hU5rBKRDNUXDNZ+DIPI61IMFq9lAjSpsjYL1Vu8zE6CO3yxmM9v4R
dn5Q4vDCWULpT7FmFOjpasIu3seUOmc0ZG+3Y9FmkGCHNUDEWYOUyeaW5uifZTQRPV5sHQOKriwV
MtT2VLjwOJGbC+DMWIAeuzRlDXYB7TTN8SXBdyIfhOYkfY287JueF4qdVfURvdFdFSdON8C7V6ZV
u/bzo3xm13GrU7cgcVpmg2HEj5sRiYOi0HpkvhThUbOE0PFwMzrSZlF+vD/v53chv5CpR84UNDLQ
7tN5x1mn1CmPiwdZgJ3dWEG97fx8cBV9LXb+xf6Cqc9FpdFMnCkupyNNqToFgg90wUDybOOHQBuh
/ra2F0zXfrCjsOZ967X2w/vvd4Zxnb84MQdIIgDXgMDmCX9zTClpDr4oSKZDD0P8YwpQ8Yr2V47e
vjQeMorahyArexxvyPFVQfiWNwL6VeFYOI3iA6cgz9t1sFIvdFjwtphUHYZRffzl/cc8D1hN7lNO
AmohM7Z/ESeEmHtEY62j36F4OeSuWrrPylq/LdQpdPpQi1yla9c6oL/49hRBQCGDvSabWepLZsi5
VV4v8UXImKdBMql4YwcBHKBbWWVnOEG+AmxzUJDQb0iflmKOozAC1TItcCtypG+kTsT/t5o+JEU8
gbq0GvVlrNHpsorkni6AreOQ+bmwtGGnoq34uRriR8Xvqm3XKMpvR2hwU3RyOR6PasWSRibjEx/U
Q1EdaG/46CNpgl0MRbpyvP1qGc7dvte7Zf7Oi2WYlAXgGa2sDmE9gSxKgvHKRMTPlqAP3jSKoG6j
oXRFuQm3BCL6JjR65MCz6oBehOICzMq2eSt+hno2OclswDLGw7D2kPNVcxrYoYJF7k7HkJmgLne6
V8ym5c7X2/zQtE8hol+XsldVl2qi9U9ZBmwm8y2IkN6oXU948dw1mK+4YloET63YX/bpb9tOKrNs
HvgGqgp00cjuT5/HaGTkwrWqOARQ0z6oWl/cTmb0lA6h9STUkXHsRrD7QmheC1WQHEw90J9lNENx
H+w/RWFF36QUk9+/qmZRH2CJ9EzIz5dXVdvgfdPWdFUTPygewzoPtl0WT+77J8L5hUhrhOsXTDra
D2A+T9+9BcfdlEDtD4aZBtftFKL8q4/myuqfl93yi2P+CliACgDyIYtzJ0lAOohlXkLGJx+CUFm6
palNG10IANoP0W82SeYPyljUogkcFcCspy/Va2YxDYWcH7AWa67EViQA7I2VXuL5scY5Q6OXuGV2
YlluNbkRfTJvvUCow/chl9f3+SAl3yxUGN//RGfScbwOZae5jcWVPUufnb6OLE2BkQhWfeAiQ8ij
lby9bEQ7ParHXY4uxPeikvdh04xfumEMHaCurdPKSoxatPIYGdmaRtkZZnZ+oLk4NYc3iEGZi/Cm
aMBhRJjKHuqg37eqZptRgVQX9sIehOY0Fp087ZVjwEbe5Jboik1vbSaxbT/hujizP1Urp2Gf97YV
oF1jocB7zd817ThtOjfqEcXlbtS6L2YatTbykuNj11jiRZ2HlSMmTTXZgRICoUtS5ev7kz2HBycr
lW4O4QkhG/kGfeLFWVC0w4Ti5ygexBoIixpMYTabN1+2ElohaWqGFx2IzMdcKsKLUBQm5/3hz781
LVIk02iWqzP5bVmUM5OgsqYokQ7JkMaPnmnti2ga9l6ibEFbgnjvam+H5NeXrIhiR8s7fWNg6SBP
QwNtps9WGoFni5zHmVlLtNqxIzhzsvElvaG5lEoHGvjJZSL7wfUIBfC5TL21fPPsJJqHoucI8Y71
hQTO6Sr32qAZNSuXqC7k052gGbUzyPTJ35/gs/CQUUw8WqnJwJaATXI6CvSCJEDiXjzMBGEnkZt0
r+RSj+bYOBzYWtWx1LTOLRFdX7n2zngCNIIo6pLBUleDKrAsXQMYLzvTauoDds64yqVx/STgFLIZ
0l6+Khtp3BuB9ikTASNGuQ9+Eq+/w9gG5nE0MJSlodxhH+J7xwTB8X3R4fWbV+UXcOt3ZOmijXRl
czlaQ3oQgpp7nLLMDzWZOSeIJMr7AumsrTLgydoXwrYAJbFJMk34TNtE3o6dtWY8chZr8rpUYSGs
8g/NkkUgnuSh1eF4TeexrJBGpX61MSbMPqNRwixAsVq0rYx4t/J556P9dP8y6tyiAU6IM9CZlaYx
mXHaqfWhrqsdyA6j/qhRARSKDpi02xJbl2rsyPkurR7RxrH7/rKBkCFkT34EPjy99+t6Mx+zhapS
67z3ekQj5GLWQNsLEVZW1nPRy9u4iTZJftsEAi4IWyScg5buh5TuC0/BxxKxnbBxTDV2fZnpD9A+
vIF37seaIzT5Juj6bWREW9h4eyPpXbi4GxTxUiAKQYXsZxbsBzVz6yjZzIFigjBiwl/zNDce9o3q
A/oEsgLG2HQVrdpmJmbY/NfvRSygza2ahBtPuADBvUsMyYn9ryJPM6i7VpZ3tTfuUmokiEhVXRBx
MUKPf/8jnKe/FDjojxnklXPdeNmSzvRapFdViQevnexCmDDfxWMQ/TbrWlBG/zAyW7uBWGwj60kF
/6WeEKGMy8tRN34ISplfJFpmbDxaFA5m1b4rwDrY1JWp3JC+rQkLn+legChH+otSF2uGo39ptmHF
picJiUyJSWvyfVaE5TVKrRJFw164Uidfug3EJLQDYN1Sb6quWDWeWyeKdIXv9WcgDofMoEU+C8qU
zhRH/dZTrOxOSae1m/f8jARjQIufMi9dB/qQp6eXPqmNUo/gpQqqBZsxHfztKBvl/fvf71ejzMQF
mjUEnrSuT0exClHrIAe20P1M7MTyPt3oIipt74/yi6uOaAbUGvJIc0lsGRRWbRZ4olK3d1ghGZd0
wj7L+CHYVSq/DCKcPkVNsX3sdtTlnLiqEbExognnbj8Or5hfaSVGPW8ckJyCEKClTPoEP3sR1eRp
pVW+EBd3lZUpjpLH/cHMUO7OQl/bhmXwjEFx5/aA/JwsJ/QSkF92wrg5vj8v57M/wzhey55QxCGC
ns6+FvpDhPdLdjdZxrOl4s5c+GK+cg2eDaICh8cBAyknesxnTZLMqn0MPyLhMCG8eQ0nkepfPeQr
p/FZMDWPgrQhix+SEgnA6atEIctUkUbhIKj55DZJV7itnnd7qwAHYZpBtG3DXr8QRtPYgREUViL0
MxQToEjQzxxCc80DvvliISvylCmR1mu3Wh8iyI47qy0NONaUeeBvyDxVWFrUCW0rpIJvjiiohen3
0eoUO4yTO6VGrqyW49FBFOdT1HUAiXyhw12xMuS7wYqMvUnb+Squu94esXt3318IZxco2R+8LsS9
8J2ZtYBPZy8f0rRpGi0+xGkpbag+ZXCqIgpGfbOrpPBCD1txbU+eXZ+IznBXz3qyfDK+3OmYlTpU
TCMtnhQnJafB0uSuj5APMYZc/WaESngx5NSmpWnSbvDEwObS04uLegrN3YjEo/P+DJxFn9QmOY55
GKJC+seLaoaFzr5XhFMB38LEcUULlU8losI/hFFQV3b/+YagcQZtHjY0d8lZhhoMmurFAnCFUsji
rdHNcCWkFFdGOYs+mTUWJUyU+avSVjmd3haOw0itIDp4RpttowAb1BgJsy1S5/7HMu3DT3HuBduK
ttfKyOenG6Jg+IbivAXXcc4iT4eOh95TW70pDm3faJshENsbXBgiPAijba4O8daH22lXSZBfGPgc
dAg2OlGmdl/f/6TnR8IscMSFC4CGIvwSLeYZvUqvpk4PmgZOBFmRZtdohiNFY39fROOIFDoNnlzt
kVn2anllFs63FEkVMvkAKF+FPhYxaS/jFDGJfXqAXhPYGaSpndpq3YYd+BB1selmUrTmq3ZekwP8
wPljimQ11FiWFWkkUSeEvkz5lotLdQlQC5dIr0g3Taz6n31BTPeBOEHyz5E9tSn7BHY+tEiy+3p8
kxWx7OTNVNB8VMQvWtGy6eMiVq6URLR+d7/N7GpkMWBY03AFWn66RqIp68xiGMRbVZA/0CXvqDip
6Pd43cr1c/YdwGeQBAFvoUwLr3vejW+q5UIKXqLIGWgSDkaafjawnsxy5CeqKv7opd5aL3n+fSdZ
wTwenYe5ADUr8C8W/1SpWUWrX7yFftrYgTGEju4nycpbnR1X8yjIRpPrUH6m+nr6VlmceAjG9eKt
IKRoYeMPdyFzYtuU2aeVCtd58MRYKnSWVz4bB8niaCyGUErTqRZvA10+KjOwFoOX2FFBRL2o7dDt
ulq88Qr5GOq1LYO1L+248q2dn9ItzQbz+/vb+lWpejnDKjgHQgqaC4SOp++utGYVDlYp3pp+MW4y
PfBc5ECiSylXWjsRPWsXiUG8nzwx+lHouGPa8JKDL5Y8Kai3N6nlYqpV7yrfaGycx7OtR6tip5tJ
uUdt8vugJ8Ee+KSwE2PtxYvjYlNW8sgxJShXWh+nt+GUB8+l7o1PFfrt+ySXtas2VPVDmTWSw3mO
BavalddcZNajlLWrDjvz2X06AzQxAecQb8Biwz7+dAYMI4+iVi5gGEqtvtF76ON9J93HkexYea9t
GFPf1H2Fdp9i+k5ZCeVKwHDeK6esgF8TURfIoLncevoInm5Esp/BB5Ez4VLRhOtW8Wu3rIzhKkWv
77IOkud+6qKrTERHEJPJAu5BpOC3EafhdZIwoYo/STvcabsfepOoG6+uXGVIoOBHhb+vCHJ2EVe2
WxL9uL00iNe1mRaXZag0jiggv+9MI6zKaVT0m8wLVdvMU+FaUqQSz8WMs95AtynM7t5ffb84YhEH
oU4+a/og3L48T8pBKKK2jGHZjIqwVVGj93SlRmwjlEqOy7Bpr1PBqjZVPO2Tfjo2ZbJJFOxvxa7W
LtKIHixBYOMd6X9aG4oah9bslZXT9fzQ4yHhgZBWEWNwEZx+HdMHR1WZtQBWXC0v6zFANjGBvRSZ
YFTCKhrsulPElRvv/OSjUkvTiZKXxcW3VN+LsCMqZk7GofT96YhuWHUjBtFai29e2ydrfyYgKWAy
Z00QRNAW9yoaziUvgYiCyPqXR7V386GP3aaPSgClqz4E56cfRQVEugijqO8DaZjf+s39YeqctFoy
SocoLtD4Lmqdmkg71E95rwpu6VW4Eyjh7VhL8kWkBJoT52jHy8JQb+QoGY7A3tZCu7OvOz8Sgl7E
FhxsNFROHymr0QExRtR0kKB74p/USdIi/ZbmwFR8VQw/jN6aGPvZt30dEkQ7Aj7kOa8aum9mAZPo
QR9zTzqMoeY7DdKnm2jI+98tAaOERM9yFnqlSURR/PTFRBHp6piG6EGtJH9rTon51CLfvk+FXDm+
v4/PgkMiM4ahE8UEwhZb7JCo6COkh5HSE6u4vQ3jq9aqMAO0LCFxEBhSRIcWuyuj+H4JUXhl8HOE
DEZfrwKSVINotywxEVOMp1moN+mhRwJvh/yit481o6IgIUmQN7G4Et2+FB9FMyjcrk4knAryzk0p
ittFr3mO7+vjypF+HrbPDwXsmHmZaYVL3roZdwIXe5AeQkWtLyhqi5s8z61d7FeaHdM0uuhE+SHQ
BicWI5SbwnjvyclaWfUcC8ZjUB2ZJW5II0gkTheBAqQSk58+OWSldDOKoX+D3qbiEmUDZJLKfJPA
6dhYrRhvhgyD7yTOVoKr8/1FVEHqQPJANeHMKiOd/JirpYMn3qpHVRX8iyZCOUsIimaDnpebKOXa
lv7FW4PTAiANR0fEKEedA743GyxBsrOp0zw5jEVWIcVaWF+qQMCRrokpXfamCLyDykFExYxFWpdu
PVgUCd7fFOe7/PQhFnFFSo0orqo2OQhxKGxLXYjcJI/8D789CgR/ejw0aCHiL+FhaWNJQpxGwUHu
AzB2oiRs+gwS0/ujvDJSTy8KyjC0DKFuIwRIzfV0RsNRVMtmzIKDb/UbLnOstj4mSriBq7QdtCdL
vou0y0b5qPaZY0SqDYjWtpJ2MwrYDbe3hjeiyRziVSjaTfgsT/Gtkl1q6kvrq5jGH+XggzfgLBED
vWx7x6yBmpTJnsh8a2b9B4hQ16bffSyqLzk+aW5VfEXx+Pe/FyRA7kCwDVwES2YypJ/Wb0PZP+Cr
cmWmgoxfRL0a8cwZy3IiTUCEyAnOJIFlvI3O7ECEUgaHGPH6faGNhuPB0tuPVr4NBMN3semonN6M
LMcAS7fPElmywV3UK1/0F6tzZn2BbwY7SzK3uB1qhD2sFo2RQ99FCs0NDAfFuUL6/ro53/xwy1g3
8wmAZO3yFCxaq/NDI/MP2VQ99uJkHcvaaB4FDiqcUEKDFIcF/PDbgxJOg1Ihrge8tQzogxoQVWAi
LzSJdXIxYRZxBbAcDxZv2Cax0G2IRNfcTs9flJSYiSRVxVIbgvvp/qjVIaAr3GQoq4AP1PRI+yia
U7Mxs0HasIz8q7BMk937L/pqxXG6mBgVcBJAExBzKFWcjmql9NHKscoOjXWYcs+RAjwOtQTVsdTO
YRhM/baFp509DmBwxf4xEcjmVNfrLwpvX1Cr0uPbpr1AvMU2zPsu/KKWlqOP4z4e95KCQw30L7hZ
ab5V+sCOlKOU3ijBrWFRBva1+l6fpO0oglmvE3QeazvkWrXCdOs16a5GLrOTmk2DZKZRx88pwGd3
TMDMmhWAxaDBMaiv+v37UzJnSm9nhJIEFTocZ40ZeQNA8nRGjIm9LfZh/5BxOexLEW+0EkPIvZCL
Cr05dBQaozPctFXXjsjXqO1kaPRuASMRtM+eDpQSToc2rTSYuJSSB8QyZbtBhPbYJtpdJTf+BR4u
tNB85tozU89VIra33vbqPmpAkqf6iGRWl8o48+rhZQ5owMni1NqWHJkGBq7HKcV6a/A+vj9ZZ/0+
5CXI/M1ZepBVdGb3OAx+HKiVLtyTeu8RUikuc+BShyJIalcotGovtPUm0cRiI/QEMOMgmq6nCtJd
ZIbWfmhwOW4pqeujjOV4JynH0eyqTZP78V0qR/LKcj9DCc6IHUj5GJRwgtL8WGyyEpxenraVcj9O
4TFrsAbKBBmKAYTNJ1DmXwSvRY0MMQNHlL38xp9MzS51q3VQIfa2JXZVDtZKnTN7yty/P5XL4xTo
Ht29OZWdWRxUi08/fpxPQm7lg3zv5X7gRrpQb1o/8FaqR78cBZoMNmdw8enUno4yFEmQ9dNsqTGG
xRYbPrZeWTYXK++i8GvermQKbYCvgHcrr9nD8m7oUimRmkTQ7gNDIisz9Y8JJglZUKfOYBj0tE3x
GaWAS3pC39re3+QdxuixVmqOGkcv+izgMdatm3VR4Y4DisCW2VRung7x3sos6RIllk8VFj92GxyD
IAzQUTY/RJo4bDolyy8pwOscG6RGyK6UjuxLgZupRnlteam2D4Iic6RJiLdUbRlRTA1kPRsk4TCx
drJSVR/NWE94FKN0I9FMVq60s33O7DA1tBo4dQlQX9ORN8FlWPST1eAheE8Q5GpbxOCd0ekuQpf6
/9Xg5DfBBu7fofjSvIRHb+Vum9fR4tPMsHsQPXOdkvTxdAWgwtzIQdXI9yBB99A71crY6OpOIo94
fxGcscheXxM4BmpVMNSBgJ+OhC+jmXIsyPfFtbnTd/HtsC0upC0UbNt3JVvcpo6yKz52rnGv7YxL
cZPt/E1gC9v3n2N5sS4fQz59jEFv27ATS/keCWFbQycu0b4oxa6SdeCmawuf33UyuTNv15iDMkIW
dEYWr6wqc5klQIptkDLtxjD9j3VmWStp+XIPE6kzCKBq6n3c2EsDDCKtsvKSFFR1iNViHkahC7w1
XHmV+eY/fRVgfnOICecQzwh9cVJofYDO61RkB731sXaGhI1WdO7PlH1vg5LGF3oG6V0JmM4R4mlt
8Zy/4wwy/Fnmod69pPJRNR4hqDJ6KcY6tMoxn1OvNVfLxSigwGb4Aea8c9+d2t58jL3ZiGlCSShF
keJAaTdt7Qn87z4h01452l81M97M5c9xKI4jEEKRjD1/Oo5RoZsB6C9FuRFgUtKY7a7Pi3s5076L
kyYhWamHox2MKElBsvM2Y693N1oRFi5OS/oeIcN6U0pBb4udFLqx2WzQFwTp2SvBVhWTHVnhNo3C
jYj5smP5xqNkxDeRGFsbq2y2o0INPrcEbSXdWURKP9+KphENrhm1vdRWGKGUe03GW5WWfz+q1IIr
vpUGS9RG5ie0VR8Ry0ISzd/b0K/jqrSPOMUJt+jdns6mZfpDW1pVevCp7X2wij679Nr0RU9Sz+6F
gUZa2K5shl8sFOAqwJeptvG6SzhDrHKZ9GWYHBpDDfbeOJlOosCbej2p/u3b8O/+S373c0XU//wP
/vwtL0Y6u0Gz+OM/D8VLdmyql5fm5rn4j/mv/uf/+s/TP/I3//7Nm+fm+eQPbgaxdLxvX6rx4aXG
deh1TJ5h/j//uz/84+X1tzyOxcs//vyWt1kz/zYEybI///7Rxfd//GlxLvzb21//989un1P+2q59
Tpf/98tz3fzjT1rtfxHtckby75kQwPnTv/zrJ6RAhJTsFVBZf/6R5VUT8FeUv4gxldnMFJcc+hwM
Xeft3z+SZ/4NQC5kCzkZ5T//9Uwn0/5fn+GPrE3v8jBr6n/8+YpS+6/9iq4ddIeZoMDDcTvzm09X
mP8KLel96oFa0TyaadvuvUqJvkpdVZm2r3TZp1A3AmvPXZBc9FNfYgA8KL5rRZGGBVQzVvsQJecx
gOhUNrH/kFLJfFAgoB2i1JI/jdCBHyWt9r6AsVJc7Bnsgi7GrZSLY7cd/MzRxlj94AtDe9UInfAg
yKWyCQdv+CB5TTTZ5gDIO6iM8psnDltqhc19OMQxph2VSnYiq10eOL02mZcpjSksBxrMLMK+L681
HXzZ/2Dh3oTfqrzOfzSnq/R0tf8/t7zp37+3vi/q5Ln+Y//yXH3/Y/zj5tsmz56T729X/Osv+Lnk
DeUvqrlzrwRUJ8fIzLj4ueQN+S+wsnQPqLXSQUTD9T8XvaDJf5GYz5VgUnTKA3N74e9VL2jKX2Be
uZ5ZpJSdWPu/s+xPb/wZZ0Oyj8IiCR0RBhHM6aqf1LqpvQzaoiJ65jazpumSY39vBVO1y6SgtSUv
DredVH3OrTWduOWW404E7kOBY+4lIUizNBOyGsARueVFl11cV3eFWFvokPRe/okzJH1OskB4AHmf
u53hNQ2KdsPYOcynFDsoCrlBlnfwCgrpKmp1wv65gX4VBlkibatEzJ9QfAUyoeQwD21t9MxvSZeM
l76lTw9T1E+PSlTL37rMCj6MU1D+ECKUv5NpwExIahEVlGIgM1PaP5MSPA5g4WsnnUwB3eFQFp5G
IQsxtw13WdZCGdAVQolO7oEbaGJJby8QPPFgoAf0s3D7W9fF/6e7bs5K/u+3ym370j3/4TwnL9/z
LHw+2W7z3/z7hmFXsSnoDhObcJbP0I+/bxjN/AvWDmE6u4am02xm/vcdI0jmX2gpgGSAgIGq8iuP
7l/bTZb/muHl1CNfOSL0VH9nu81B35tLhs7C7N8OxhbSKrttGT7lptH4ql94D2nxtY/A2X4K8pVM
4TT1meUhGYL35ImB854BEwR6B2OgDt6DEopuVDw1FmqZ1rPkPzbdmmTwol/1czDSvBmCgG7N68X9
Npj2QqsHgCMJD/gqBs54a5XuUO6QYjEwLlT32U5eI1v/6vVg7HBkEkQAKF6ksmLUSIWKYtJD+yP/
kn9Qj4Fvrw4yn3rLz2Sp2FxKmJwRDSwG0YqoN5VM8x4K4r3O8EEhV46q4Sfnr7kw/OJ9kA6da7+A
HznXFkN59E58wLTeQyNmjqB+KJInvShszIzxEl1DrZyGtK+fi9YWdFSohrBTlqJGRjXkRY4R8zEw
8QquUEPLVwoAywUOipTVzZUGEZ5/vbrAv8muenwQsiEY/WOBqDcgONHXNkLbu2+2/t/B29tg7TQL
gVO4GGWe1DejqKVsdqM/+Uevcz3B1pVP3kHfznobVJzeH2o5ZfNQpBxAxNlWAB4WF6RU+zDVLD84
1kVXOXG8LTWMMd8f43VW3q6310FmdNxsZwdJn+v+7fsMvaJkUZEGx+o7thvj4IzFtsouhq/5hfwV
bYogd4LBlj9RTgfI2P+eaNPP6aSHxWsSbxBiz3PwZjplMBtZI+fBsUs+jGp5DPp8n0vxtx4B05U3
nZfz2Zu+GWpeP2+GQsE/MqQeJ2r08SBpGw9UhA7lVr4ebtLfKnuev9Xiy9VVpxkpQP6jpHcXVTA5
frNG0FhuXr4buFbCMxAkVGaWdFpRB/xlJRVvI4JwH7UrLaSMC9CokaR9kK2dfeeba/4+lGY4aGcY
5RzMvZ28WlOKUZH94xDIqNhwuDYba426/qtB2LeAQGbBEpiop4OAmKUDWHFG5EH8Q5D3KNB9IIlY
WfLn24qYc+aVMnFg9pfEx8jMKB8GcnAsGy16VCWoP4HhCcHPJOUkuX57UPxyGGhpRARE2meXoTiM
lQKXKziaCPqPU2k6Eknbyrv8asZIG+fQAiw57e7TGautBLaA7nOq9pXbJrdBgvRksOaR/YtXIYCF
z49BNkDQJZQ6LSd90mA2HKXEkXB8cypVWGu8vvLlTrcn5cU3gyxepSnTAugHg2xuDo/KXlZt61N3
UDaq4++/PtxNzrgBkbIpLtWrarBRArsa7fv3j4hfvids3NlATiYLWjxCXOl5EGD2e1R80tcmzm/9
rHH/d2MsztugTkLLE0u+mJrsTex7qn6FjLL2Fv+HvfNYjhtL0/a9zB4dsAfAFkAakqIRM1NugxBl
4L3H1f8P2F3/KJEcZmjWs+moLlXVSRz7mddo53tiioEwhG0ZHYbWqjeh0XltXV+TfX57ELSV0fcB
67xO3oamLwYKFXS1knofR+4c5vv/zUT99wirh7YdY/ovU88IXHCNHLhhfmWiVh2D5ZpedAj+e4hV
A9Q0OxtXhjE61Ft1h/jwbvYi55i5lhf98rEofo5OTz/M3eA94DjzMsiO/2y5+l9JMP7nR0DCAgRP
Qg3q6Xy5jHDo21qmP9gl3U2AH2EgFX9/FS1U53+GWOubBVFVSCHyuQc8261oh7fW9v21WlWc//MR
FBNehRcwP1nuqT+eB70qzdgfNA7vC0zSHezUbbPDHv3eePCP5ubH19u96bGO4jm9T7bqvtjWu3Az
OT/f/x1v7so/fsbq3Q2zuAmiRIkOljjk3RLGXkNqrSRML790tS1TRYH7npjRYXL9HR7dv5oEDrc7
tzSZTFc4QNI36abcASVaBOEsp3gMtteEVN/8TnokuCC8Rm6r75zbWIrGwYgOgah2Q1dl3ynY+b/e
n8zlP3JxIcPBQmoIfQLaEOdr2pZdSBwvokNUPPha7KbS3dRpbgGX+f2B3vyaPwZabR4lR3K06JlS
msSuZpUObNMrQ7y5QVW6IQtmgHLYuvUyUpuZNV7Gw/0Lrjxb5U75HIxOvzc3lTe7motVkIv63aa7
C7zU7ZzO+Tjsw1v5bv+/eGMI6BFGAhjAr1l9bIdLtxHOWXzQi+ZBi7OHUSk278/nK7//fOUWRMkC
ayVoo1a3utdE0UVzjFjDIch781czS/1Bice2dgoAYoNr6MP4tUfz7Hc5DumXaUbkrkm09FTqfXwv
tFF9Rk43uq1hUCOPMUla7hRx7//Ab7LidpyLDApy3Fb3nR/Lv8dAmX70IpMjR9Dvvx9kA8kGhMa0
2a0t7gUnrHsJTTJEPo9ppeIKguFP/lHkhnyvCp//b9SzZrtonBeQR9LSSpxKnvRxgTqODXh5JX/w
oQTQatFm/XmusvAeeLvAgWWkMr0Z4S4WjpXWUDrUofdxPqvVIfJ07JJSx+5Gw0cNfvF8gI1bfJks
eSz4S4CYqHZKE2hWRLF+v78IF/UJqqcotvLALCJkizfC+fGZTBFVfj/Yx66xUSdpRVw0940NzdBp
0q4/dlMyRR4YjzJ25o7cFRZ4Y+m7eQCSDMTO7z69/4suMgYIMxSnLEo04DwBQJ//oCzXyzyK4v6g
Gv7DVD4XuvF7hoiR6weejr991RSU7xZ4GbVVooM1wHqOoiQcxkBmMNkxFZg31+ycXr0/z3Y5mucL
xQr+CZqRwHXPv0cudTXICj1Cjxvfemdq0/KrAKr4s5j8tnEtPZefJa2WescYtVpxRGqYt3Ucxr+z
KAmeOrsiyFPbBN2EXJrS+tQFfRO70aibn/zWJ/elFVn89C01e5LGsfzddkL+qTZz921Cj8l2fL/X
sBkwxmZ0s84qkbuau7xEWtNInkVlG5UDKQm5ykZBxzIw1OyjhRHxCSlbLQR0WqH4YoRanm7ge6s5
nlBlfh/UeZsiN6Mkxm6MSMydjpDxL+m3PGPchbBD2KSQpZca4/nkmVLVhG3VR0fJKqd72cLSS1a6
2qX5XhR0blKs7cxGurX8QnZbH9+WIA9+BEM1bEJbXKNvv8qMn68l2QUAN1Klhdh18XOoxXdVVSTH
RE4gIGYK8r++b+2lScbjtFWCO7rpibvwTg91WZpON2nFSZPjSnFGvWs2TWX1D7Xhj/iOgJGei1Q6
4Bocbm3oIhQGB/Pg++lWGqbiXvPVbiuPlbJNJ2O65Y7EnHvo5vs+NW0vHPTe0eNWu3YrX9QfSNXp
/pNEa2SdpO3nUz4g41TbrSIfbTNdrqVCb3/31mLXUhaKehcVkv4V05L5RlNqbECLtNU/Dhq4hH0t
g9MMSL+PuTXV3zsxT09zkoefeOmUYzOVKD5OKOhM7lQMyJhlGe/0RJCioUXbF8pxQv3loxElRJZm
1iX3QobW7cyV78suLsvWL0Uzxy9hvagpU5CJftHOC0pXWGEnu6FUVWDCRdJXLkJEI8jJZg5+lX5h
f5aS2H4Km04kDk7OaotXlZl8Ufuo+kHP0R8cpSzlTxU11cMgxe29mnSd7vTCljw/TUz9WklzBaRn
X3PrQk0gkKYOvXSwzicZzaIUXmlsHxOBwGdTVbDSOjnVHKmypfuuNvVHIiXpLgvj+b7ReAdQq7E/
v3/TXgQ0NIZB1sGMo4AH+3QVI0qTjTie1idHRHGCG54rwzPUKLgSSaxoJMsZBptA73kRH+N/1zkY
DvORZERZfvT9UnGqoRMf/Bi0MCoO+4SPduE6ZlMgdr66aMTMLbpDmZ+7UTMBlwgH46nh3G3/+tsX
m296imjxLPn8+QIUbRAaKGHnx3ywrG3dFsZmnrNrEkeX8RxdE9ry3F6UVnhqVqk6kkZKKGjQHZE7
bO5CgYGMJQViby1Jezklh7aosg9KYOqbIZV4YaVI22SBkbkdFPQNhuSjU2lz7tJeQy/GhxqtyJLm
zVnybDVYtXbDmO0Fsm77rkElp5f68q41qsq18GVzZ/xgIF36EZZG2jXA3rJHzy7D5dt4pelP0jXi
qjifwsAKjArV3OI4QKXzGmFKbqPLFJgRsN29v1qrHizHBbYPOHCU6xbaz5ol0c6d3uvVXBwt0cZ3
9EPFxiwhS4wxmk99iuxI1qfJ0VZ82y2BmNy8P/zFQVmGp59sqrD56EGsShVCpIU/IRVwJDCV3FGM
+FqHUXelLbVS51guBU4IEAtOIgIddOfOJ7QsI7kp7bY6lnMHTKHFLMlJ5nbeJJUId2oWIQVMseA5
yHzBq67cA76Ayavo0l5NadxmHeRJfB6U27QdVWdOIvN3hA2qm8zV6ORE0SEvdha5lhyo27HMr6mu
Lyu+2hGQbHEYWsic6LuvdgQs75ymb18d7bGbXcWoobvK8NWMxji0pRE6qtRembSLPgfJ/CJg9jos
AqerpQk1P+StnqtjAiwAyjdSgFY7axvoIMwR5hgOkSzpbpIqV2qab30s/AvwjCAbKcOtVqtVcWoN
KugXdpIpjuW3FqD+eU43ep2XXiLr3aGw1PLKqG9sReaWoh/NN752/XDIdabLjaLVR/yGEbgbI9/V
p/Aahu3yaJNOk34ihQliGbmY852II4He4nuiHJHeidE6CV/adon8h8T33j9al7OILC1raPEIkQca
y/f+UZHpgqYvRWhoxyDnaNl27G943+fdJGXCFTBfPEPCO+X9QVd02eWksUWRjaL7Da8ROsP5qGqA
+qYYCukYRyMACcm4aTDvdGwf5kaLABpK9SA7jhDCt61vVQ7qDM+tr5eOn1wTtblcULJriuLg7tnH
cBvPf0qtNXoEm1A6hi2NLdQ2fo9Rd80DYtmL5wcTAYJFfg6flkXBfjXLqSZnSBrBkQMaZW+EWqCt
oQaRpxVWtuljP9hdmeDlV58PaMCwZp8S3UB/vuAjT7olyUZrHptIfCsqbRf4deLEevhx9A/IEzg4
pQFkQcsyTxTcnRCQS6orR+Xyo5Ff4ICCVkdiFZGZ85ldZByJw4V51HLbQLNumm/hU5h0BYpp0dCS
r7wSb6bS0GCWLG8hlq+5ClnO88VraR3DSJ4UD9aK+jUHS/HUqHPcO3iy5s/6NCP0l2qjMbuSWuBp
7kep/rPl3f/rcuqiZ81rabLbATqsocpZhUGSaZT2UaDb68iBJLlzqvx+f6VfDVbOV5pmNmEi5Tc6
wBcOtFMt12nk69kp8st+coY+Y19ZcQsNalZm10j79gb/aEXftXqnD25SmVPiZE1e0EuNYgGb2Opf
5BLIoauH4Rh4lj7YqVuCISKptMpHOS0Ax2t18mXOEJVwjK6kxh0qRgBiXvjWEwlZjpBqPYxIeoja
9gYVXvtkjAl8mql+RPWqlr02xYuUFDrqb1Sc7htUBH3pE2mzmrtx1NhfM6VGtwoQLTCDwhDo0UhJ
JcEEmNVTYc8ZNSY7lyWnCf2cX+aXXeDh52Y02ybGZNUpE9t+nFSwTS5nEFZsWBbPqVzJP9+f8jf2
2SJozWZCvAhUp7Gqm2GVLpq+astTYBvdtrLl0rURrMf3npPo6rGdIRadFnszjm+NHuRkEJfJqfLb
a229y7sLiDOooKVPCZthTZrAwTUzS6WMT7CzgrtJBJDhdFFfu0wuMlLahmTbaBQB1mE9Vi+tbDSy
Uid+fBoCM95XkWzdBbgqU69ZFF+Rqdr7VtRsok4Kn5VuMB022jW5qMvLBGFf8IlIG1OJAFN4fplA
HRP6XKCGLcPAv6eZPZ6GsZYfssI+atNY11cqwW+MR80cAD6UFB6GdchZoncI92mMTlkC81gKg34/
q8tLBJtnawThtW7cJcCCdxjEJHTSRaSU1Oj8A0nrEYNAn+40Flm7n5q2d7tGDzbgi4Xb5BW2L/PA
4bML4YzCTreFbyHS6ffIyFigakczyg/D2DY3YRCEXkzScKUPdhnqLb/wVSwMvNHFlMBUCjuqYfHJ
UlgCo7aBUzG8S6in79uFbDH2XYWb79Wy/Bv7nC4rgg9LsrzoqpzPjVzhWotofHyiTBXuB4LMLdXE
aw3/VyzE+VVqoR1NHXyhu1IDXRUFRCiPem8JwAQmpSsht5BAUQDbGhRld1CotW3Zm5qTJKL+MBld
cmsEsenloax5A8gN7/1rZlnw9a+BwADnkioFbObVLVMpY1VLeZ6cosx+HJPpt7CKo/CDr2hSPjRF
//L+cJchJ3EgOgZoRVHSvmjeQy2bzKgoktMwG+WdkALjWbLmL5QtlSsfdplMAn8kdYWfAXyNx/p8
NdvAN7KsUfOTMdvfkkBun+zBTB/iQZ/cWmmGjeJrw03WKo0XoX+x+evvJGOgFoC7IPZvYrWXrM4q
ooRO58mcTfk2W5xhS1mAlF9M9N4fCp7kxRriLwKzBhjJghdY674LJN9RCPXrU8kRLfdyH2mebFW6
oxVxk21KHXVPt8i14dtsTJq886VFeqfq4uJ7XqRxd2f6aZrthqhXM6+csTd0VIxuD4qFqPukSHOw
EdqsbjVR4NKjRgNkdFUCjix3obaR9Dx9EBEr4am1gNrYD/rvOKVW0SslbmgCF5TvY+K3pYNUDDmt
CWEXtSukAH3OMhGBF9RW9NUuuqnbmQPYv4Gs+MVSkcJyLMSsnsZu0rGKSuwIsW8r3mRCq2u3Tc3h
g1bm9rAEGtOzH/LPOT0p/rOdx9oxJc1A3yj1q1OD/Y2Tcxy9cMGx3cpljrKCwac1CCMbfedokB2E
2w+peWgKo7o3jc6wtiFaGz3BguojwVsBD0cquU/3U8kygH9miZ2QCt6N2XXqbUB181hUkv+bBBgu
UjR2MuTKSuq/zEpHz2k2knTTYTQxg58zx8zFCJC/IwOZgQKB73DgyIgKyLtEKYfSDYo27FwZYhQO
UO0UEmAWg7mzJZpNrAItAbDZ0/xYB4n0tbJauXVzXek7AEQV6p40mjA0GIpYpbtiLDIh9NtC1SFi
hIxMCSrZCHQmP8+GL6CW9ySY6HqkvnhC0IoeSdnEqurkttz1DtxmbBKxbRK+l4QiHR2/x2eNmxp9
5k4dU9OxekVqNwW1KMtph2q685HBf4ko4r74vZ7dT1MQovFs14XYGFKQVzDqs1l3khy6lNfpBsLy
dgesvM/06MQbgcFXn1qLbYnZaw82wWWO41dBbsrGyL+mcxdvEaKZb+RxbDZcAcZtADX+ONvYeQaY
eHnqrAOHH0N/npAtGR84fDK+BU1Sa86iJpZ7UWEmtTtndfRs09I7qIhEtci4zcFtCMPvHqjT9D2e
Ex3753nMrH1sdBiMNJKJhGTQTcq2UfLsl2VkPlrf1NSPte3bLKMVhB9bDt7XLvHNr2VnVU9SO6W/
ui5N8Sd4ZbwFOv5bcDNtTxJN8FK1TfCZlqUkPKvM5acZUHPhNA3WHIOe7JS0KpAm0IDyueRd2Sez
0Lu7SkzhzqpKCAo6EiYWtQk5ytyqKadPxUQ2zxQls3DrUG8SJ1CRg5rsiT7OSFyDI2BZPReJKn+r
mtquefuj+rmqa4Ql6oYg3Zlx9bm326hu3diaw22pCynfxK2+qac2OU1QbR5KJRoklMQDRDYjZVZi
eKbFyAhiiL7lkiUegzkPXnJceDj7ktAQ1EfShYW2H7G8El98uuE1IY+kUISQ5vEbXVRy9tkaS2cQ
gRZ7dZoKm1KWUlQofCc96sxjMf2skJW/68dY3VvNwDRMVYhPHmaNQx/JH5JBFj/D2spzYKOd9lnW
5gEjDp+dF1B0Mzaj1DdoTgaF9inizxrPlgvbcqNUdMd5JMw/JsOsDG7T2vPPUUkU1NHs9Geg2gXi
5KIsD3aQmkfZb+YX0xh1umyoLLtt3qe7KUCLJNC1nBJtVc6/eyQzmkx66GP7xpYzJCJ0v/kp6FV4
eobGtAoa4HOgJ6Jy2dgqXmgtqt9SQGYDftyvbjNoeDLpXVTT5LOUCf/zoEd9TrUm+bfaV/4T0dpw
CHxp+pQp1XRr50TrjjT4SCCO1OcoI4XV9CvGJojpqzq8IEeDW78s1FFyFxIOS+anaNcFRYV6HPFL
HHj6zN7jjkPYxeGejD/mVhJ9kIe4UDzWLrecyGrRylTwrblSvrkMBNEqJVSwKbu9MhJWD3jcSkqV
TNXJF012GzQGgqCWlXosHf6WGIN43dBP+y4wrkXlr9WY86DIRtyFnJ2upECzbtU2qEehJcGUdqeE
5Dp2fZ7dfahjYJR0qjF4coFrDKXZFgbyOE08aSh4oeIpaVnppjmu440vJ/eqHqupMxiUmuTExAy+
t5ubyWzMfpsPCso91FbrAsdUo320uaZNjwlZpFCHOjqlQZtPrqoSfzYKXGf4RzYqhKE1CiSKkOFC
zX+kiozIiBJ87EQq+iuFlUsMJLNOeZqMCEAvCegqV9BRI1BtrCFOqlr6ThdP4uPQ6t8zW6sfDDQv
N0Vd5K5W5dEu1obWq7NsdIfMRKqsiDkHwmzdwlf9D37j9/cindI9f79y6DSHzhz4456aQrErQc/v
+i5WN2jkWjeT1I/PWa2JG50i85Wg8DL8XAo2kJFZX4R77CVo/KMOGfPUjZNt1Kd+ZkqTqbDdKMTv
sMuEcWX6lvhytYf+GOoi0rVVJFMCyaxPWFngfBUhhQmpzL4S/L3xQdpSTqTztsjtrtUURhll5Vw2
8pMvld+H3u4eA8uqXE2SjN/vh5lvfA8oIagMNPpAK6/7QCXY+C6IRHGq29F0Rmq8jpHo1zR53hiF
MHbJiohoKfyu0pHIj61KwH0/hSPvXJv6BFBC+Vsug/i3QQM6gmhxgbhcne9Jlnza1H31KeG5cIsO
8/SyBXnx/oytBFfQuyR9XRDXVM1oK9E8ON9tc9Ea7aT6/afC+eZVDvqgTuGabun8RpHDvYqiWO+F
9XCruROijFABYzjZNRzVJV5zo4204UJnrHhzKzvR9v0vXLKYP/f4MiJVfdASaLdyWa8aCEQDAGr0
YPgkSvux1QjPtTJ+SZPul9QUV+qu652xHks9n0w/xvlU1aX+U5990I0fUXx8/1teIVDvfcySZf1x
N6jKQClxZPrubKdybKf1uk3v3bzoburgJOc+h+6O+81Tt6GTeLJzhaWxrguQwiFKQ67IZYtA+AVI
CT5IIXJVG09JlcuK6yfFRK1vgpDvIoaNBS7y1wAEkJ/HubeIMGfRk8kMwRPJKeYc3YzHr9zM+ZVM
dmUTAsmC38X9QkBMtxLljVUqK9dR6EtFNZ38LBq/dErbOYlBPmtK4XzTVbqPLYTmP5tFpNHKseGn
Fir28FIzPE55KbaIWdaPVdV/HJQm/QA7vPWmSsaIQE+S5/fXcLVHXn/qQqGlzYQyw4Vc40ySSWgn
xpM9m5LXTRWwkpH88v1RVrueo4xtPI8ImT2UP7HWlm30XpMQZzZPEwH3xyiTZDcpm85NqL3tfTH8
xwv4/6iu//Xq8vEO1TXqfp3zW7lg/s1vlUDb/Ysq0qKvw0VLQY3b7t8E19c/4oU3EZ8HhsIYvPJ/
MFzR6kUCaNHOAPMqc438w3BV7H9RkQO7QoWFziFwyb9huK6w2cStJIfUnlDdIoBaIMvn98lspGaQ
2lJ5kqWlooJmAmJD0KGVjW+ExosqoSbaRmDtnEydqMd0vYgxwVWVHQ2BGWuNaERGOEIB9MOAHGzv
qHhAPlvx3BJpZu1TKFdDDaa1bO7LRg5fALYk9687/f92HjuPu+N/3nmfvufd97Y733z8G/+Qq2Uo
1BQy0DLgugYr+M/eU4T4F8JHCGEu9VT6zmyv/7/1tH9xkYJDguS1kAuXbuk/W0/lPwhJGRkcqI8A
3LlT/kLCYyVMB3PDguFFqAZsB1lTyLTnWy8eVDMpM6s+9MYoPuOiPuG7LOs7aYIY01pU4sJI0z40
TaLeRHUX39V5on6nLqe6I9XZjSQ11b0Rm/NjoNulpwXa/Ejwae6ABBebmS348sfsPv37lf2Tnra6
Ul9/MIAbwAE0kmHNrgKygKIFwBEw4iCNZy8d53nTFyUMK7Wxt0oaXiMMvSpn/vnYLzMEXm3RXaBU
d0EniBujQ9JZbg59ZMuf9Mp+FNk8OWMmDZtutD4nqV7ctnka720zgjzR0XXEFSSl9mFaTin190mL
EEKcDriDm3b3oR+QnK/btKJgZzVOgVD8Vp90cxcj/nCjheq0f3/Klmju/AsASaGzyiNEQZ3Cwvka
U1EUvP9Ze4gNyjl21nFjxEHk2lqTIhRpHuS4bvCA7g7vj3vRl6QX+Zps0OMG+0O/5HxgaYz7bM7H
9gBaqrud0GneqUEZ3WVd293iNVw7gyl1N0XgD/tykiQPtYjGs6z6mm3HW7+E8elNgtfiKVgnPykq
b6WfVt3ByI1mH6eF9sEK5/5D1FX0tgy9eaLupmzbRq5vTCMGV9UkvqMXVFWvzMkbi0HLCtkcmxry
4lB2PiclKD5Fzsv5QErZ0a9KJ9ceuuFUsYN25pSOx3psTCdCAdJViIoeOE3JJotIonxqNzed3Fsf
h2RIPwMiUe/Tpus/WVKaQhu3td2VH3t52AjWwf0Au+eyuVhALTOVNAVpfrCqIbo3w6r8EZYZ+K08
au5DbYCBMtZi1/lTfohLUd+KHntiioO5spWLZNxqhZi3/DGiH4BwHqWICOj937hs3vPNDV+Ec8mN
CLNYrHngUhdUekAN/6BHjbaLSwxyZpX4MraTa9Tli5YoEQRKERwhk7sSsO7qINElCG1acuqhr3Q7
dyx8GmYH7iWUjTZLI9WNQbwde9w58JoMZPmZEtBobqNuitONXdY1tHQlUhvEJZRu3JpBZYg7KbKV
z71WaT/fn5jl5j6fmOUXwrTWEWk10NM532iNURtzGyIVigRetKt7f96Gel/u5HZCqrWPcdRM5+mG
8mruUTe8ioa72OiL6PESWpP4IcS3ttro9LTsUlyGDprSG1/TCZDkLViQRnWKXJcPYPMnzWly1JjA
yukJsNaUaoxnxim0nVhujG+ZnU6512Kce6P4pZE6I8qsJ01PzR82MveOOTbGHVg7s3FFMqFyGwpr
zAEzhuaPqBY6bKgQUOqmyazunuE12D32EDc3NSiREn4NfqPOMCcKYhVjP8xe26nz7DZFnmWu6o/6
sbcro3QCcK0txk9d8pN2h/3TRNjGd/wJnz3XspLmaEKGnMGqKfOvBOhW4QSDUCuv1CcrwtqgTeQd
SPaZZnlZpv3WbstFHnfIyl3QW7QgrB4BQaxWFyjmnAJp3yj9UuiesJ5D26BTwmYbIMd9R49ZAlKB
yFbqZODHUK8rYtoSndloiRf5EYjtvCmPWJpGdEO6IPF0pdZoG9eq6u/6Fg8Nr0rmWLopjSG+GeS2
LraVmoWPZZNbrTuogyG7eTOk11KhC4Q7expQCJeegQcEl8rq4gtyvRnwfzEPIhvtDZ1C2ck6gVCS
VOrfCkgmT3LNN8+FYRzQIgx/jmH6dy4cRDuI1ZA6E2IjbMtpXp0JpSjCLCxa8yBlVbJT53J0cxo0
Th/kxT4z1cF7/wxeXE6MR9C3KCcisgRc+PwMmjgTT8iIWgdJioZ9GqaJZxSBuaWyfo0peHFVozxA
fYqLerFpJ6M5H4o7NpYMBFMPdRFChgiNYJtIcHjGRg22mQo+468/jWeMwJG4iLBxbe4NeLijLmvZ
h2SmczZXuuDQJr+QylWv3PBvfRl1PpNSH5cub+b5l1U6WDE/k/3DQFfnRh7swAtKyd/3PAjeUPvj
tfLKEpac3ZwLMF9fiisEfIgMr4pxWZnIZmTn0kFP1WKPzpa26ZEQpcnNKc0FLxp2OaZTjfm8qdJK
32NpUF7ZOesaz7JVwSoCM6csSKN+DaXybaVv6kIyDhNkidSpJJCVN0lVybUHvM7yPWPM8LuofZ3G
NFh+e3BbNmHg4rmpnebWiCCCl/TWr/2w5ZyuZgc10AUIzEOI3cZqo2laZiVx5dsHI+qEO9o+Eud2
fqNUQjloMIzvij4yHVvze0+WTFr/uJY99CIUVzbgZWBOPLfoHbDtSYbI68/3BbdfJYrISo5pm0k/
/KCJvhiFrT9Wodb+7JiMyVOmFgpahaHNd7XgmnPlLgoUz7RsSfliN3byKWxTfBM0I/gUS1EFXd4k
7b5HN1k+aSof6EWhacYuqRr1ZXnKmOYy1bXAjaAV5M77Z+pyp7PHkWmCgYh+I2Sc8y/q6rIdKQ/5
BylEE74UheZ0s6BzHObdFi7gtTP81njMG/scmgGGbKt4ptNSIWez8A+2WuMH1vheRKFtjrLHGu3V
KxvnjfVacIHchuwbhCvXpXSqpo0aotp/yC09PRRaGz2qfgCvAYNMN++m4CasGgmCgFp7KC8PnjaS
F2id+qPhZr4PWuCfEQCvXaoa6d6OhRU7oU1VPvMDo0EWtrFukJCdN2lZzYAPo+oLGK1r+PS35ozt
xr6n7gPWcX05EDrIHQUZwrwAUyrhf+vj+WfTqy9gJTbv74fL54MZww0TGDhZm/GK5vmjzhxruVoN
jSEdNOBcbp5p38KhhIFpaF/fH+gyP+KCXQrKbAWaRLTwznfe0DVthrd8cCzCqv1WTcX8XTOmIXAw
vhwkd6owlnPz2G8iEu2+n51AacW3Qcns2clAc5RXaLhvRAv8IIKEJVAgidRXh1vHki7Kyjw4pqI2
96ZUDE8thG93qEF8ynHTbtpKTj8A7yg3lu1bj6Ql5ZW2sn5x04FJBA+2WJQs8kHrSQnjGJHeMDzS
vMfIAQzRxoimv9VEoJKDaxClRqpE5C9renPeYNycVCNolARt9ZAAzIvAHlw5fW9s20WukkRuEc6n
b3a+wFldIHWv0gppm7kC9NwcwHdRf696T+mmX+9vp5Vy+xJnkXvyhFL1wqgKGvn5aFMuVMmqy/jI
i+3lgZxTmBw77HlBs9TKrg5b40FPe/rYfupn8UeA8bgE1aUyPQ2UKuUNwu/TKVVL+6m3pOJFzUv9
RvhuZVY7LRONRrAMcNuFUFDv3//ty/k9f95ojy7luNfeJRyJ858ulF6ygXLEx0ZubmNB7xdO26lI
9TvZSH+oCmZl7w94eciXAXEUZdJANK+fMSMOkzlstPg4WGNEUCEFWz/t5E3p9/aVTfDWUNQcKTZD
cVnS+vNvS3MjyLROSY5DOdlOOFrCG5TacCYlvUZLemsoOI42W0AgQrzm0ddqjDJxw+NM/Bt7c1UE
O1En0k2oKv2VCXwVi1ovGWNQEVS4j/FnOf+sMQT2reltcUz0qvtoiVr9giOF+SJojn3tlEn7qfWd
dB/wrTomYHlzCmsJrEqWILkCeyCSTn3BtCdxTZNsqIPiR5LMeuIGUgxOAYmYWqVFZFTEgfPQfvDL
pJ49tqQ2b4Ymap7yxCh0zpEewydI2/qrkErxUte+gP+gjX3u9nULUCxG/R8/YVkZHqW2Mm/icMrS
D4Hoxw9yEwARmQMxkNlNtdA8E+GPAEJjOCCiOqvCjexRne5kuvamy+NpfYTfAD6wV/283daxjNyx
Lsrqq5TpEM1VPwy/YTaowWuIizrdVKZa9A7yRMNvZQg0nq2q28YSFVOnL2w8UKWuTAM3m6bioZbK
Bu4R1AlC+6DvaycTiVR5UWw3H7SqlWZkC8bxIVGqUyv5PoZb5jTdpW0pf3v/dLx6eK8WF4AAhFzq
sIsd7qpArWpYQSZKXR6zIAsjR2GvDi6qHgjGjoZh+nhkzTEKR5MlYNSMVvLii3pS3Cqt649FXw/c
GFplfp6J2enT5q28BTYfh07vj80NLVPtJp+C8lMa9AZ6uHn0kNRhAYe809qHHnJyumktrf8Yidj+
0SAN0bhqNgxAPXUz+VUZchQ5BQr5ljuErTJuwl5Mv7JY9a+dqAvqMPcD6SRzQZeIEuaiuPxn1zmG
C9cCE6uPeqLaP4y85Rmumy7OHKUvy55fEYVsoRApBGeSy1LeCWlAXVejyG+7uoK5kF0AqSvtqm7Y
QZL2An8iLB3JpB/pFXWlCifS5K/tiGg7YDQ9v+e7yt7VSwJ5J55xCnESKaGQ3aaBojl6ZuQPLavg
VNC6xM37S395E0NOIwlaZGmRiVtnmDjgxqbf2eVRHlVpq9i5fxsq/Q9+d7kJrcm8MxMoOO+PeXlt
UR/XlrKVRb2Trsj5HCOA8//YO4/kypEsXe+l514GLaYArqa4JC9VTmAhoZUDcIg99Srext53M8u6
KpjZSese9zAzIggCcLifc34lB1/1zUVndB11rYy3RmW5G01Oy9PfX+q62f66sGntrqNEVFmg0B8l
zFJhe9LoeXdJdDSEjk6Oiz/P6yfN87VO+tNVrjNL/foQuc6vN8QU2R7stOsuM6YyUa959+lIrG4S
Q1ZLh+WRzEh4AaqYN39/d3/RvwJOmTTR2Fox7P64KS+61Waos/pLT+3xRXNX7dZttPR2cbGpIMRH
P7fFUG4cdsCocArvjoGp/yNPU3efySr+5FT/y1+H7wa09gqo/elYH9RACVk6wwVq6LyzsupiSAkz
zx6nr0ubssY1b3nwGr3eSts1d/O6qIcqLrSj0Wb1J9XtX7x6DACwdcLm6OqE8KHPc3IUwdas9Qjl
katU3ZQSSaE+I3z9Llr98O4pJ2EesJA9BkMfFnOXeIifMjVdcM/Rb7VELd/wBqRy9ktr2OSNs+Cs
JBLsXxqrP1b8rssGd6Y0CzttJGO91EpOI0cjPiL0xCi9A7r+oQrSOFu/jWXfj5HtCHMiKbxLnWhd
jB6WsliqyINHbURGqtpiLytpf4szIqaNQVR+uC4y/0zO+pF5AtMM+xWEb5qJGQso/4fydtQ9ZSXZ
Ml9gtsY7Q/UcnUVvdocuXbcDw5xdbfb9DW/kmQj3/LmqjXbXoH0KUqCxbZXkC3OLrjnOca22Tdrr
xymJmwhm8PxJV/EX9hcsoGs0Lx8+3JOPMlR/0Z0M8ft8STR3eSm7WYUQSMsyyApipGWfi6jwtP2a
Q9zUWSuPEJ3Focf3/di5iX9vpP7wDrt82P79J/tx77s+w+u3wScLoY7Ml1+3ilaNaW879XLp6jQJ
2i5Tp9FQMJrGJf1fXIr1iOIFNhjF6IfXlQji1rHPXS5jRg5eq9ldOJlxtRvNVH6yAX48Ra53BfiB
iyBf3NVE/Ne70gYYfDYyksv1eAyVm/YXcmu9MMk7dVuXhXerO1Q2f/8oP3Zb14uix8SiAtwDqc2H
i+p+N0LiUFy0s0q49LMZSGsWG5UwlNK69LM585+2Ny545bbQuuOPBCflQ6uKW2Q59OOgXareX7Ym
Fcoc2gmBX62SVmQUcbfTrojCSoSouSr9WclmfMZ/x78lxFR+ssT/4plfxUxXX/jrY/+oLh9bnzgr
ZrkXZpYED2Tj/NgweAimqdK3nTTmjT1PyyfP/K/2gKuNPSRKCBUorq+77r9NSzxpmYXReuvFjoU4
rb5dB4WVdRHGfwPwIzr3oolpSWVdEthYaJce/C1ioNSexmm4FWAeJ1ta2sPYiuEgtHa9odxvos75
NBLoLz410DGgCEgXOI19LGrxQAJfdpv1ItOsesmb0bhWV/5Wqr795FO7LrV/PwRYGVQZFNAmS4OZ
8oeV0egzG7BV6hfLHdcDUMVyKBfcPuwSaUuyKI1Gg/SVOS4+Tbf705X53HAxwK0UNvqfKnf4JBoD
aH+9OGrRjoM0ljM2P1/+/kv78+2hNmffIkwWqxPM53996QvmevS5pXap26KKFP/5WmtWFfhWU2zN
vp2PsqvUXZUM6pMK50NSLy+OrfvasF+rRYwjPjqNLCrp4DlibtWu1hINnrAeK1jjaEj80cAM0soK
Ga3rqn2p+4TKeWjGeYoGrDywySNMbwOQqWlh6ykkWOucts9Gn9r7Gfxfhk2y8pOQbt+ZboNYfa2X
9edsoCkLW2SQGIVm4xOGFe+2vZZnT0Jf2LIMEjTzyCp/WqvdnHwIJetxyNxkhtmQe28qm71d7aBA
Cs0qt16dNgdGTfpG3JW+i1TFhLfSfVJS/z4x+WUF4jBxVVfCsbPAij5Sf71SXeE4p3jOe607IeLS
xii3m/nGXbIywZYNb8V7AXRRofSzqofKrXMNOUCFQ4uJ59MYzmvV2IHVwZIP4kHUQ4j5zxdRjaSj
VjMqMlxWMhHMdV1Hea1mPwCTr5qTGAa4E8uc5DDnqk49rhhUJFvfGGy0TXEyBLothixk6NPvgVOw
YrPqLv9kuPqnxo3FCQOGcTHOC4wSP/rhN6KaSC8aumfXTNNT21bjXrfzJgvzxKkTdqCmIbA5Hbs7
2pp8n2BiN6G5dAgJtjohuqBBeJKGcknNIjDXUu0TNEebUnV+GuB0odsRKobl1utwyQ1cv2jayBNT
+tUCnBo2nizyrVoZoIRx7cr7YtIZNFbOag1borOtTzr2a0P+6+tm4gfOCyGDg4/v/9cvEhCjVUXi
Nc9KdXKL+x77DG8uPZJ8Ye1YJc2mIvxsryWpNQQwEbtP+sY/DbORbeLBjm74GqaI5OHD6WthSNyP
XqaefbuY9kVTdZvGHYo9skc7WhN7PIipwObXw0QSi7UmnBonJ4KzWnZ/vzn92VYGF6A/UCp4GFcO
1q/PQmlzhi1dMz8v1TS8u/rkQZsbUrtA1enlZZi0NiDSbLTG26qtNEaJWxDh7BqGwuOvHB4qU7mh
VizlHy/p/+ia/6F7HAH/PV3z7ssox1/Imte//0+yJpRMQBBoTj55kcD1HNv/TMK5/gnIFeU6Nd21
RP4XWVP7B8AM7TscQTwvXJP56r/YmvwhgdHXUbIFSG7//vH/D+iaH5jCkIT5pq6NDkwKKhxqrF8X
FBqVMkUrHp85DanrUlxk+v4rPJFl33rGngJIBJjKQmLJJwTarnaTedO7NSR4YNhr5JemDTlFpq/2
EmQrxZnTCpLfXesV1TEagmFY/tj+/2+l/Qc6+r9baZdRduP/+0/qmR+/BwReUwB//yd/LDZy/TwS
lzgQXHxSwBv+a7EZ9j8YVLisJmgVHuMvuot/MoMt4x9wIPgj1DKAYmz7/7XUTJufRyEE052oA97+
/yjj7NcGxr1O265AEVdngHClXfy6zqCp9k5LrY1cIX8f0+lGlf6p6q4W19MnFRwQFz/sXyfGHxdj
m77eD20xS/vXi7Fbk+fe2SocOCrXpyrHQubY13qGqQ4IVR0QzWfot6nt5z+hCNXeroJ7qDaMzLy9
hlaWkQSqPLzldEx4HoTXjfahSJK8Pxud7dX7OkMfv7Upu8Wh6ytnPqHEH7q9407urZkhl74v0sG4
sftsSO7qNM+WaELl3Z1Se0m67WoZZRqpyktQhw8rBj+60CoZ6Lm8evFhJxTNCBT5R7YBhmPFtlns
GDcP5wxpo75VZlGbx7GFdITos6uqPTrtGEsjQ90vychPGmamEnyMVfvuFx46XKTY2J91vYs3g1RE
Nwf52JvnvEm8HJHPhHeeI1e/DTp+ALStUlHXNKumR0rLNeb8sODE7TTP2oF9pBkjAPUJufeqWUVH
Ddjo1Y1qM7u2IsAmiMo5PIDhYGCHEIMBjLYfTC04ZOj1uo/n/dpkVEuT0OawT3iJwPS57wZ2PyYv
0zKu9WFtlPWai9wKLJWIr0lebXRdPLTomSP2sxZR87Agum7FZspiPTCuQGRpiT4wp+tPQm4dtYIr
Ks/dZdOIC1uth6XeM7W/CswdMEO/dR8TYq8j0h1ffEE5NMxOuhGp8ZaO7sVZ8sfWyG6txWkDMoe+
22B5wTIW6rCCQmUQ37as+EO3ePbBp1gPsqSyEcIDcxRcOsiz7oj4/OgvWhaqGR8LTysC3Rx2FBFV
iGtpmLviXs3THhB8ijKC5cu+llFRTA9zl59WrcqiNBfbvoJb2M91NJJGGbGpe1HHe56qHsl//0Of
jHwzafhjzXG/r9bKuDVm+9GqDQyhjeRL2hvHxU1uW6/EOrB3VNStzEf0ut9anX32VBnl89hGuY5Q
XB+3qycfFz25K1Yp9rCdj+uSBLE3cjG3R4WVy1vHyvcmpgXRXC94Zyz7danv9ZWrt41z0zjqbBvp
D0jUYZJKeZGjejKBIe16uVvMMoWsB/dyUCfNivfCytfN6FOm9mt8WM08P3glMUuGm0VYc2OqC0mK
3ykLm2HKGPwtgUzW5wp2Tllg05m4sxfUwypD3cOhwiqqGvS36iICDF8tSZkv0KcqjzhjdxAyuDK9
/DQFt/a/64LIw8THoyHr8l1q9z/6GfG0Fis3mJb0iT4YF4B1G6/6jAUXkhe9ujhFw5i780+Tsd6Q
E3zG7W4JYBWFatXuGPrRSCz2xIUKa1vVeR3GbTNvY7OpAobqLyDRJeYvmK/6a7/zyjGwneGNX/TG
8LgVf9C++YJABS1tzmuW/lyT8WmcxBLovtrJzjnV5fiGQ/1+MLMusOorlcXuv6bSV2GKZfrWHGsL
F+RYRMTv3ArfOLkLN722uBhVTLU3aZHntwPMlmhx8rPZNtbOb9vzKiDUVmn3HStGgaOcAs3r1v0o
Gg8SoItBsrOtGq85kdn+2Oo4fqWzM20wbgMt7BoZjFJ6OL6sN1ZiyrAyGjjdZvFTLbBwaTC+rgWZ
64PgXuPbYl7sQ+yreBPXdijL9kcDeZn5loDwJeytbY1MdnKBMUc2B9LzoaqB2UHfuVeryf8ZslOf
au0uE87WvM7jFtcDca3UFqVI6KXVMYWVkMTFScsrxjf+sNFU/NAXo4XrM5+q4VYPeZzLQGb2FCq7
HNDS2S9MujGicVUaDpPlhZTSS1TNzlPcuGfDLrxzjNxmM7S1wdjbvcCJ9feYmW9dMb/0HbOyIen2
eSo33tQdFsxlA1PiSm0wPwpFqq+PBcc06Gx/ixbE32VFm+ArUZW7aah/LmX90jju93payP/U0mjV
UjPEm8oMMSPFq8vOvuGzF7W1hzWWP0N2KsZhk3TG1uI/gX47O7SIMDjUShxnkK0NOTh9HyZdob2k
VZzuR3fcxkm7scw+w88tfkAwdudU8hthCNu4YUjbZKm98b1uU/U2PaCHQTYpupdK8yOjn9zAwScn
lLbs2XeTO1zHN8si3Y1Tpcx+Zq2+Y9E3G12bpH47l6sfwtYS95pZ4XUBizowy7wLzLbj3apiWzr9
0fUFIUBxbAe5r05NVx671uxD6bs/zalga9ALjGDmxCg3GSRnj8fSHbxaHLu81k62N2DXfrVqG3EA
2Rt19pCU8p3J9G1T6ZfBrFjWjbuT0OWmcF3dVyLBzR89uQd3NaSTYJ3KWyZXt3WK501jQg0q7WXr
9d1Xv00vxtRYP4CWNBCK7t51xuWh6JZyN5vZlsPv6+o27wO5fqhhuuWQC20fG+Uc2XG7T0d0dnnd
ehs5NYfaEYDLbvyVKcJ+6uyfOIyboaFaDF6stD3jEjqddKc1NwWQIkdkXV2SmBNzdC0rZKpv8qB4
SbU2P9durqPdSzc+OPLVFgR9wEJQVKbf4vv+s6rXfuuPJBnOi3mH6bnLDAmxqJ1hDSLWasAb0+aY
leP96PeJwfRO1lFS1a81tVrYtr13J/OCesEfX2Ifw2yncMugTm0R1FW8HF3JpDPx5UGTBeqfKjvl
rI0Afg7uiW7+Xg/1eGAY/+YtrQ8otP6WtNWDYJ+KaXogRvjy1qhsIzKzwrphtLtiLDFmAcMYpDsc
L2taHHGzerAbeeu59ZPtYV6t4+R9PQAhT6UGIRj+Egdmhcs3Uq6SOdb6buOaFOAqtIsbojIaU8v2
ImEmr6tqfOjImThZhkC52PoRQvp33I7ZPXVtvHH8fGFbd9yNP1Xi+2SW38Z5bu70OXu0s6HgxVHy
+J7QX2CoYKVhZzurbUTYrM47pj3tFgmDux1SXFR0ICFYtotJwuOw69cZ36m1mHCuig8FpvpelR4s
Y7xHLPZlsmZEXZN146hKRQ7+/GPJ9ErY/t1YLXwni9eEoJsjFBOdktl1CeWCtWytJ71AONLU6nuj
IQkx9VOZ2TIw/eKLU5j3q/Tv8yG7tAo6iVbeylTDPKgtvxV+F4gYYD9pHC3KVuChzD5D8XkY1mqH
uc7bvJbcLiUGhRzbILOgYC61L4OXNUEz2i/cLVEj3fxVTcaz5hKqkrnTqZL6xWchVoYmj9aIM4hX
TuihZZLdV1XFUvSlCpu+e29zMcNGjY27hl9mPuQyoSizWqCrnSfnNn3IvCtbJvWEO4fKmeof2VVc
eEjTK8jJCKN6TDSjILSQA0gPswIxWiTJZzsBFGvOTuhxLchrgd++x+pYq7/Asilep3wEmAsWNLqA
tGicbvsRUyrsxFC+o1vjh1huXff3mjTjzyDUX4GMa2dy9T7UuBoINuzID5BCUhs8vjJlGokSil1B
GU2EXm+5qVUaJ+EC4ihDrEL6+3/rFM9/9D7/LnK8Nn8fWiJEwf6V/w1ZFg7KB4CslQOqcdMZoW00
IqMBEkQOTETX4BqD5OT3WABoyRit6KiOnIr3XlM8Ii9f/D4CeCie4G+rnUBU81bERrqdLL0m0aQa
kgiiIeY43iIajcpwtU+pxnFdmYULOWmpTSPQpK3R3zYJ1mKYrJz//u7+/FTpbPHaRVRpIpH/CEl0
tZu6pXLHcKhk+dLbfvmitHIvKuyzSc4Q7pvTgYBu/v6qH8aCv79MKKXXMQxsC8Qf15733/ChQqwD
ubGTFjo5RrMRzFHz2ex0q9/Kea7iQBqKSJ3GzviS8Kehy5gXD+iH/aUMWfO++GQy/it28cfqAigE
dIX8h4noh18IMNBWwpBEWbCaT4y9vdNc9OKWqJfsLNpW3HaNG6tQEEHxyaX/1N//PnRAdwxycXWX
/DCY1FPhjb7ZDiGk1uSrSryW7aJeZRKaRs5bl+7qeJ8AdB/XNDGcSH9Q1DtkwjIL/XDNyZil68ZW
Eo3leqzcfR2PWNy9/f1bBjj4uLyuZpHgaj6QEBsg87cP7zmvsthNGkhKaXdiGH5JY2qfthhVBJYS
kwQ6oaEQ9nFOC2jD9gE7PxVWOMbul7JdA2qs66GY4ns4sMdAnO2Ps5v+dJCqxskIKl8NOdVLYxYP
hlzTCLOKnIIxfR1aFzFbZ7U7yykjFz/StXe2PR27vTRPTWkf3cw5k5QcObqMHNHcgYrtyf8h8U3I
A7bYuHbkA2P6agkG5XFYmiT15NRnNwAoxmYVuKVN1XQezfhNavHGt6unpm++rWZ18pSXRrQQd6Uz
vUp7PtqlZnBl9RqP07vRz++aal9j0zhCLD8JtrYoH3JyE2juZr07qAqoYRb+JZmMqEq6SIu1bZE5
OzjgB03v7n1luafe877l8LHWQZbhlDASWkmoxX8vf9LT6g6jl+2STbve9WCUeJED5IXD0m9T3D2l
g/OFbKmbqUj2y2Q+ZngqjSqTfGE9ZstUZqZ85alcGjWOATlAW0b8u3zJjpWw3yiPbnuR3KXVEi0G
f1kkiPLa8VW5dAo5ln90R9vEEjs7Fd8KDjcDCjknlPrRWA2SuMoPimHFu3I6xoQuhHwakWji59pL
zMBrhw003JCIhMfUNN7sAmHCWL2sfnMcK0B8aDBa0M791sU0KW1RO8XFoYEYqlr/vZ5tIhD5hvPu
zljy1ynJroXpvlDTNovVl2oiu3c0GwLGp6eSZLGuMjfY9v8mHBdHOpBpnReL5u++78tLmujHyurK
aFAkdlh4UPMkmwYJYE0jkdfvTiZmCAz0/yBXVehq6RPV3PM09F3EOAxjODK/QwAf/WEU9PbTgOVO
fUnGZdp2HclkWSzLb3ixuFup6YSvNLvVqE9ONW4abSL9D3t43POyG2t1j7O/qiCueMcMwBE8MTFY
U28nJMZydTHs2nLFfBbF7Wj2D+LKmqxnrKfrIb8zvf5EN3pPaBNLfqm8rUgtSNXtid7w6K98Z+Pi
5tsWTzNIjKu7G2WJTWhiZPu0KpZ7kKwblRe7OEYHAxqqhgBDuX2p0q07wsQWJgpWS4pni9HUwepG
8cCIBEtRBS92EK+Ie34jrsgNV7GsoVZVw2Hka9tkTfY++MMFKLQKZ6SpUc+zgKS2Yz/A/m4BbkzZ
NOqquRG1Q5BUcc9zjeqmQWji6H7orDM2GwuM2q6Z4eZKii7NWBAbLRJgF7F0HyOpWY2XZV5zfuJ4
8VuOl26Jo8pWzavXchJ1zLhu5OTHYUONhjx0KCPAP88M9GE89XP3MzbsI25aV8p+k246fS0CV1q3
fuo/Tv34inXO4wRnJukJa3avaYeuyaCq5WsPmth6s6TWHUWX7levnq6qQMir/m2bX4le3gUmyaZE
PRxBRRBEt2mBo+x7zVF39py89wioR73bwdfY65W9a1FADT16WEw6X9dmuctG/T727S3+JDeyyb40
7XAspdgYYowUAwLRzdsWT6J6Ke7HJfta1fombbQ9/vZnyAEYkqynfknsAJH5VvObXefB116/6Kn+
Oq5tfrwSXuXOqkqRvvZSU7thwm/SNanNJ0n2VT2KTTMBOHLDIBxD1m1G19/plfMD6qtf0m232rbU
F/T0ebYeYhsW2MaB3/HFrcnKiWUCeU3m9VPpZvbjOOWSeSwP3WdvTIz2pAtVPxD+jgqf4Mrd4q8F
M9nixaIxY/EvxYvvphiy9jNCUsPIL7pfdGcmuPj364dViZgZhh7Zk/gpRsdmIqdmO3LMbJgOWBDF
m0kOZ7dtkPrPJomEyICNYzqMjBnjkinY7Gm3TUGZTv4aLT4kAhvFcFAC/x592iaGnEp/1NDDxEGV
uc9Q2cdN3lt9WJaTca5zvfRDg7s8efB9Qviaw9cElvwxRyh/K2J0jkGZFPgyufD1Em+4n5hm7Lqy
Pzh+dqqVZoViiIeg8RBGrzG9zTI5txnQ7jWe6MabvPMwGVYY05xE8LD6MI1pyZIxP9aJTtqi2xBg
N1FYpoV8GXrzrZsJ4hokqm/b7Y1QOp04ml5318/Tw6KGG2upxRi47tB8M5bhu1kN006PHWJt8CWB
s9/BIQn0LB7efU014ezWpfhapticQklnBKnIxwmWpnvXprY91gNRMYGNyV2AY7xlbbu4N+E3qmG6
8Wn5+juZuP5v8ZS1jxnuBAlhryDkGrTnYIn9tQ1zzRlMZJbCgHWckSmwWTmKNzE0jnoTJ+DInVNU
t6tsOwZSVT8VIeJC1l5vYxIQXFn2PwCsa3OP6NckfWaq17tcQr8OyTtuM6b22XRI6G/uJQmKFUeD
yNYw7ppV36yqw+qx9vLvcsrjZ326CueWqT5Cr00I/RzrazIBHAeG8eXb6Elv07VWcZn71bjp85n5
MYvHkRSSrMWDv7hOurX0ljy2xLsxuLejKRrlMGWd9buy9vZNI4Ex6Iii2Cy8k9NRErYSh/lR3FNV
uzvkOC+KcfLsmWj1VgOPXa3ONjmjwVAt7c5LBT55mZheU1s+6v7YhOnExgcP1XkghrMMe+X6b2JI
oWiaBEX8rBlvXlCm28OmW6zd5Ii7am0oR5y7GS/znZpTSgRfO6F6h8E3180uZsR+6C3JkBOaRP8o
hLUXHZaQNXj6cxHbD46pGro0wx9eRrdomIMPHsZJrZD7q1WKFdoyPyvCxy1H3fYWzrGG6ghGSuY5
SEjmwule3tvsLdvJnTjSEF0vodtXlbdp9MJ8n8D09oa09fssW5gtI7rtj+20Tgd7EHAbKnU2DPsH
Pr8NZBdh3ZiKqYXHgDhwmxxbnbjnxKrw8A10AJXtvBA3V7bSYoTvLLtYaWSCaCfTHn6zluq3obPv
Rm/4JterZ8C0NciFiURt5lvhWCjpSzdVB92qre/KTuubOFm3uUukI3WONh/kKONdgvHL9cRUqwVB
UJUnaAeMIgWWsisQ1AlQBnuKHndisjabyJrwS4YE9RAXV23IWjqor+z23LjLzouz/qG25WZaK33v
Kn/TZGV7AIzQApZoA5+OUMI6xtpEH+VGdNMQ9LL4wolf7Udt2uAv622zpvgyJLhVwUe2o86Yzn3V
Rql3tWNgx06m8Ufi2I9IyXp6BXk06vxmMqZrDux4Ljz/W5f7ayTya2YrecnKHuD8rhJgO9H3eYcX
sMmsVRQsPpFMt1otyyCf/GMumN6KdLiFLnNOChFma1/sLbwe8Bifd7OVqQ0JoKhJypUTMJP7pEZM
LcZ1JWkgfu7KQoX5WPIX6ulS4hK8MdH/vGFuXusM/KkbEBXir9yPxm8ThReiDKpIc8rXfeMkIHJ5
pk+btrNWnrVvZ+dxAuTsV0wd7BbGdWF7Z1niI+6OAicmZWtvzAcHEiLL0KorN2iR86N/pGYNAATp
Wbuyxr5czF3ortJ2DzyFGgpctxDU4O6n2VvDEjfqb1KmqUoCkJvvWd6XO8F84H6ozYeytFDz1J75
pE2CFNvZO7d9WW3tyqp/c6b+Vs2Vwj0j3U2mWB+6muo0sYvnzs9fkJovgR3nI0NK696NNRnWejcF
hblgs83AFcLBb54z9JtKG0gwmz23v8fBXf2si66NFjW/57lyj6ThwGbQ1FtdxDQIpJXdVAkKbFLn
l71NA76F5tCGcU+ZinAli3r0jJEVN94WVRs6VIUFPXs2XHX3rtGa8nvfVvODYRRupLvtxvy9vY+b
w2p3uyKrHqiswX2rYVvn4mWt3atciMfdbhN/hNO+6Axcey/MJ53DoV9DAk43vTbDgI/jdNjNYvS+
DllDnyiImWPn5HtiIz+kpcoz9PlzmYWkhCRPpqnKp8WypxdHDTVfMIPv8awc0g2CdqhFNGNfullr
SvhxYTjnYCTJ6FpPYhBKzkdjiu+QJG5G5e+oqdv9ambkJlGKNv29s3b3s8w3hWgfUaBBD6yMndaY
41a6YBiy93/KwmvHYKiHV2sSKpxml8zilA11jsV20TNOuaYVIRLskugavPaNpoXGuBqbNpmqXUIY
0d4BoGFr+aL0Pg84IG8bwzrpY3NklPMN7MDaWFm2yRKCCz2HI3piGhg4bqswlu5WxIbybBrmiVBh
9FIqfyrr5sYEZ6w8YyVTlAQoadeh0QJguYm86zBZPc+Wf/JdWTxaZU96Z025ELvlQXXTuXSSnizn
7q5j9t8FYzGPYdVqr9kyrPi7mIdZadhUx7UeScP40pXGsw0R/BGomyLKGibYWIsRuJmceTBFwluu
XuPKsMEQh3di570ARMA6ZNl6IRezefCvnvQdZLPNZHtNMCx1vOXzOdi934QZtlZbM2cM4Pyev+vM
WsRgT7+DVDmHiFretIYS0Vc12Iyd35hLXG1Gm7p6Gm8XAhMw/O9A9OvYORmOMrcGKDT50cZD0vuP
seCxd+5PDP964nf9B3d2kk3W2ZQ/zZiElqAtR4nl14uxK72h2JTaFC41xn+rf7Kdpjpk1nAVy9ME
5WayHss2Wza5SogDytgpHERPP8xMnCuqb9xBZWjr9Rezd05dlctz0TAPUO4LTjwBbQTVEBjwoezN
o16D5+hm4vHxypdugfY6AJY8Wl5+LgB2blVSeUxtpyY0J5zPxGjvkoJsnOkqjyHCdXVPHdaETZ+2
x8WJi8Ba2hXJ1dKHPTztfTLihhar5Ak4QQTWwOCbAmQbt86QbLVcPGTSPoxCVW/YbSVUWw1iCmFy
v3UcyRTosJ1wQdfU09BJyAxJf1eWvXdRdg4sXaxJBBEi27SlpnM24NDTWf3L3I/zfvRG5+gXKX1U
v9R7aSMPTOt4bzTZVwtTs+/NZDXBVNv+cS7Wr5o0vKMPYxM95XuHZwlRm+17ZcrzSoLEZkgccXCr
qdwUU9pHVYGeMW9/xKRNQ4G06g3i/i8E3dbQgVHKzIDSfTq5Gy+HQjD3Xbi22THtOyMw5uRcZjX6
PHx/qDXEFpbynbugIrlOG7DZf/Lm8Z4nlEWEm+9nNe77EYAlxWsK5/aFKCi8b4gQ2DDpvScevaGo
xpSXyehv2nLVCFgeTtT6TwC+MRANliuGdU51Ze2NInsr4bfu6HkF8UqyA35C1T1Dld5NU3leEozg
k3L19n6FC02bgTyaWve17RlTDwMINdX9XW9ZZ0bDXQhn+74nM4ocOJ6/LeyvtptzCddKD/+fujPb
jVvJ1vSrHNQ9jeBMAl19kcw5U1JqtOwbQpZlzjODDPLp+6O9zylbVbV9NhoN9EENsPdWKjNJRsRa
//qHmWSFoKnru2wwF6d9DhxdilNZDLssJ8MgblV6jEe9/JrnpbHreQmumM8Sfimlg3uuWKpXZOre
ZzHgduPRqcuuvjaUxSeZiXyIjfoRO5XHyXcvUYGaNMFuI7UMtQ5trQ3wRHvQ7eRG1qRnaCK/Zc78
2e6phXw7PdWmmpCsYBjSyuSkqx6Fh5PlLQvGiANb6Td2nX0ltsFYJ7a2jjOz5ulhbl00ArZPQsCx
NvhqhdKXzsazaQbGwQrYkDfTzIkykbi8tvhnqxy3fJKSH0mEv59diAlNqj10Q/6xsuI9V9FeCZs/
TPmF/M7n0c4PfkNX62oLhNgq7KMgUPCM+Bg/mbIIgM4YKvTaxm7qewrgxxyPlBUujrdpkjOaqttT
2kRXphj3Mh3afYh6eBULeSFf9ATh98rzu7syzWu0p/aTBaknaLW4oE9amPc26Gp+k87xo2sxL6qT
YUu43oG0gBfLU49piijVhwWVmMWz0+bpE5Rxh4w4sY25MGfg+Q4Yr6hWDqc24QvpWckSFgXQInfc
Sg84p7w2ql7Ei+nW7MtLIl3ed3i2KVC7NKO9KJADR1kVGNjDEKlngZuBIil7x5z6xsFwZCJ3m/To
CPaRekEIs8dInsojravtmPsDfwWQxVPyfqjjJwRkbyxu62SRf7Nm7JMjnmw2WVdhAVZ4t1k+3Ls8
ub7OcHd09WHrDf1el+mNo6goNbsNV7bStqTtpSvqLwboNPPbuE0ujI7J4YUZQcXiXSaraICV8mrL
iHJT9E727KcGRHAzr9YjW5A1MdPLe6JuTQdK84TDwoqp/UsedWfYcsMOC7ptTS7JuihRFJZquDRO
U6zyzr4GNrgbPfu58SHP5WjfWV3rvvTXs1NsMdHs9lXCC9EYH7nHJqWz4+8rkq73o9W2n23Vvuak
KezosWZ2RWIgrDkChslNIzTWcWn3x5GteG2YiijHVly8QgdJD22dsWV4M9n5eRLDmRnTVdQASZmt
RLsrlHfn2tPjqGjEzFx+KohRZzBl7oQTHiHRpSsxcxBWOgV9iOWSKLz4Gt9GHzac8+JJfeLo4G2L
sA43nhxvcVExVr0L78nOmz6AIHDM/PFJVDibdDSsflOccbVK1onIHjDdDHkgyn1Oi7yWaWgHjDuB
QjGbEc11PXrXdWieREW+cpwnOSw45McdW0As8/u4FLvcYvA2Dx4FUzMcCCU4NllHDRUzdB3Czlph
qlOu50o89RaneuyRNJ4ahFqPUwM8buTrYUzcFSFLGp5WdDLw+gjsY7BKClIgfFQJGuQOaBe3xoxK
J2dkQ9JMeT81o81hGXn7SKchMBcjQjEb9ib01JOmEWCYqRc/maFkdaG6EfjXcVwV7GrmJfJjazV1
pbjrLI67VWYk2nFS4dehhXJgNHPxReHpcuX2dR5I4W/0MTxBhDNBPslO0sMZ/NqXp6r1HShCaOVV
J/xTXOXmrqy1Go+W5KZLBbhYaAM4Jmw2kysfupAgpTyXGuy9Wt9qrRYwVa1vQh7ZlYV+fD117kDd
6UGo62KtfoKf2pEwVnWXKRfhZdT0aoN8S6ozQR8QTPRMmhiceWoVD66KTl5vb1Lz2Wd6t60kWYA+
xT1ymLVjlDdpwai4EI171mKOd3pGzG0owIXe6tAls6ReF6T+nMw+vbNDAOSmsF5yUlX2Ay5Ce+q/
NSl0z6UKXzutcg6NbT8So5ys4EM1K93LvyJHT4KYlEuCCMZPcwbvYo6dS6YETlSGfIocqTP1iSBt
kiPAQ9SHGztzPgFVjpvGJ6Cm7rqVYJiwKbEvOltaaK0JDsWINC5fGRNlQVrU9xnnIwP2lDNe5Mce
l6itjI0tbKFy3bbdt9kemQksn7fNncvkDJval9Op7rR9WSGKUxWoXzpHyX62q4un9Keo8NsN6+SM
1L1ca2Hz1kC2oZpqh62oizcGPJ9s2DgbEg9Pgmt9IjrnkCKvhaf4qhfFeN1WKJOaGcCTLOoiyBSC
4NReaHXW9DKa3V1DqFEApaANhkqvAiRb3hatjn0uqF04S7JjreaTnPoLS/t2Lqv4zhhNfxeZ08BN
cgeGsFo+fCnxgltrunFjx0l6ZdsEWbMrQK8Ezrizqu4roR0JCGDWdORNNay4XaqqogocJ2G+o/e6
Uezsgfj5DW/KITAMeUuja8bJSUMtijkY1Mxwwa5jvaNvzep9Y9TX5UweMPIuTI2bFu5czsSjd8xL
UzOrYts5DKW7rWPKcJCeeQto14D+JXaxNXHjqHVwlUGnwXVpC9dSmzZoNLl5w8dBc74UtWSC6FZN
UFf+o9F0PE/+vQZunkePoBA3vizy6wl+Kz4kfrNnp8+gSFp7BeEMKhRWOEZsVT3begZYZswUg6ke
rtWsGat8bg69X4NpFJ/s0N8BgpNlZOdXJd4Lqzxx7ZWL4LGYIYf5oYJnPe5aUixbk24lmw2ez+HJ
H8urwaG1cGiWgC0mGQZTZ7s9LKToYxgPzxho0swBfBJ+Jbb67CN36u5HXcOGTk5roDdgW3+DSGvX
xxSVUfe5iAfBgKu0NuHIg9dD3UstYoyasHqCI7Lph/IwpeGVHMSrMo27Vunn2gwNgAa8yvypj4Lc
HK5LaD2+O69Hy9zIusVms8ru8qLjme4hN/KJv0FYvRZp3O3ycLjNxpHMCyeDXlmonLfEHMU393jG
nMIWTpidUqNl2fBi4l7M1qLjRFYewsZkWSngp3q4mPHnwiRDCoTmqJX+BgfeNZ/sI5Pmh7B7Gyfa
XjqnWCsCq32N0p6zywdB1JJ4X7nW88jjXbnokkTE7tQUpwj4tCO6gbZyL1X7WcfXusLLrJ4lQFLP
uNW7k4ttidv3V5lDsJgb3yjwAZ6aA43Lzq6Tz+7c1SsDCschV+6+t3XIkeoQ69ahcON458fuPQLg
dkU63KnHs3fbAIHTQ86wIZL0LQ+jb7VdfANJvYS2dUNV/jFL8pNeRyVxW+ZTJHIonZhyQN6yqN1n
Da6Im+njGWcryLM2JZ9ljI9pMd1ShfUrI9a3tBwnH5MHi+gx1nFVOdt0dDwuDLgvdjzzjWEl8krv
J0C2Yhg+NYZDWyBlc2dHdXhveSzGVTYmWTBZ+jGrW2byPdlhiUkir5VqxEUrr11j5IlXS671zrcu
N6JHP2qx9JkbCbGjxz1NimI8hET5suuZGwOc2EjmGaqqDjuNQW8roSOMwsXEvEgHIqt0qJNZXO4G
B3vxpYdPvDgMwtDFa3Bs7qsSmBSHWWypzBznzQC5BzEgs72Brs/XTWtCLsi96NthiUm1iUMNIKWo
wI2AZfKxHnamJT4Dl+LCQAlPRNZ0M7smW0Qt9B2V3WuXu/6NZ9bPs8UYR4TJdR93JSn2fQcjzEu3
opcbZHTiLokMQvsm5zxDMID/sJkY9/SWC8e5buv7pHFSaN0FK88aVyKDfmzW2lesLTwi7EJG9B3s
MGXX1XVc6w4Fib+DmrwTah42rjHHMFnt15aW6XqIrAc3jG9Dl1KunV+BMu0NaWvaZrZil28cAf8t
TZDpRl8lVPK11rnRYYqNGyeNntzJOuR+fd/V9nGsScLAspFtUhQvGEcHOBAEc2KYTE7xvGwjIk2L
tmawIaetUh1QAMDszkyl9iWd2cF9DPK2dWN6QJYNQc6B5xTdCuoyaJ/X3Vr5xNsTj3Uas3ifCy1b
M506ozcg2A0aslZBak1DJ9vHPaKOinYwkOhkNU17nB2CpicytZTBbK+QipEjyU/oVnUulLtxZ8au
6HM7Er3Q+doGPcbs31IarHstIsc8Nu+LxZVzUMM60sqPUdm9NllBwVYxEHTPS6IhxoVpoGesV6u/
EPdobNzcRTyQy01OPF4A9C5XEW6+yDwZcFKJntIaYYUZTS55bkW1EVZ7nHGiJ4Nwq/eh2vQGg956
9udt18jD5JnFhnt+TKemObQVEHkaatftkB41y/xYlHAzO80X26SLLrMphyttSj+1Sf9Yje506Dsv
BJFIoyCWKMZqu79zs3JLvFgV5F2sAllmrBJhbds6czc2eAmDPuTXM+ZKUF2bk9DlM9xuHjN+TbUK
+XprT8/bYLSKeVWGqXtKe21by9LB2ykK7/EykYu05RkKjQyoui9prm/HzAnh8ljqK+aLH6dO8oml
DWtTlw6DOuZqNFTxjqvREgTqpc/KEm8xU7Z7aygREZQdG3JmzAzi4YRMiuq+5PpS3JzsFDaxWWh+
MGXzJYkj886Af9/jH0KOnMbQOmihywdxjGcaW9wj8rmzPbsBpEMq78p7wuFGruqWhjXzM2bnDadi
A4ZB0OUk1wCeh7yKDfhVzdHRZueAoysqDFE80PfeZoVTrBM/N3YdkQsrtyTcMIBRJPHDk2VOe0+8
eAv0W6MVdzTd4gelZQyrmO8Unbj3s79NahcScQhhsvyElxtktrHRMeQaLDcCWSVKwT7l8YJ0CcSx
axN6OVKcrGiNGyMXdnY1ORVvUs6KQkqLLETmjRTJgzIAJzcqQ/dxZLrvuxsd36kgGYRvslxMZuIZ
2qN4TRE0vbiGO1WbvtJrZ6M7dEwbexxSnoPJkUxNoyq7GTKteBskFY3W1GzaTc8vPSe2O3Ubl3Jx
kbdkS4C6T3FBC5Wmbw7hJuVTqVjfCB3gEq2xhpTyrcjxx11h1GnvmYbO7ccWqDXvq/wJYJTrHsl+
+f+oh+VYmlM2gT0TjLYqG10zUXvjUYGVq/hqSdNggpPWCQeurNbhUBXFWcXe0B4ZCkEr0qPJ/xS1
JAdslTPM/FKI5V8avU+n19EYBu9VQTZ5isdQJBuLNcDHwlh4P0fNWN4No445nLFEruCE7k6BTvzA
TqFrmK6E9HNr7cGiLncOpmzNBvotwgvYV1A0PNokLGBaJDP3tj70OyN0ZbvFp8VL95yZius+izHc
Zq0zuRcko75/ymbhyU/UekkVdJApqyDMC+GtRt8bteeURG+xUg45pizU3hEADTEAnNbNtBHtTKLk
OoHOvrHgiWVLZExITdaa8y6aECTvmFouThKhn2xQU+jzbsiJx21WQyeTq9oh6OngSzzxwImTqvgK
HhOrXQwuA6sodSSFbUxGLbpTYoWH8Jj2yFoClY8Nw1bUSsV9pzkOJRVzYnVbFZmcjkxii3KNkt2w
jpEVJsbV6CJKAxdh2BHWKaBI1prkCmiToHNS+ji8gmCVI4WWV4sr2hVqeSGyFMxaZIa4053Jfu6j
dpw2ZiMhKJgdaQG3RqvlJeS5dNx6kbN49WMDBHui0XH/W4iaRyG7uGV0m08hHZ2sK7nyLFwsEVXQ
Wxg3OvTx4c7JZ8fadyT1htt0mFiMkrRl90zIJpwQqK9twKU0aPtVPQ0kumqVx3wrT7WbpKRiP2eY
qvC7WhdPIlHOxsHWnMq9np2c44MNHSayr1cD0va5g6sphg5gVYsHjOeTKmTjgDYY31vZDAQjMqd+
LNsothmX5XN11YjaO6Xweb5qUy05Me2o2jNUGM/Q469Sg+HjivMPlsmgDQjQ66KLg0qVNbNEe+of
Z62yrpUHQX6TCq9OdoSbzOgeKoO0VLgEdb0lYjln/LmMK7G05CgkV5n4y7hnJuvFZUkJRFB5goWe
oxdfIIfoX5KU42RlDt+pl1RT2toye9t6qu1BtNtFW11fGVmaKFQt9Gtw4rkyl4JtbIEf629mSZzZ
rkw8Nkksm6Cl4R03mAevc4yPGraXDNJmFzFFPCp61KjzZHqAQUqvnhq4962HtB/sfe0lSAiko6k7
gt0fskTBglUGQq4RQ8XRgFDiFOO3iPfNrkuQEmC2OKdTaa1qCA9FzJgKGaT10AFxNLCyMkgNBtEm
pAN4CUYIwJfxq6saz1mVaULycql7L0WW1xdF5OfFtjTQnNhImcaBXS1+PdH06KaKZYzTcW/cqJSP
EzDgyg92OmLgmaZW/1oZBuTuVsncuBqg9e0tQh/sYMYRDcmZXfRHioWMSUwn2DiFirKjjFuCp9Gz
Q9aiXNa6AEI6c1crMbi+plBsmzocKgQF3+nlOLeey6nQ053X4cSnsnZhj0+hkmvAqOYaETHbIyOV
x77vkJeYRudsuqrJmn0y4dsZ+LWC70fIgPZgo86J1qlpmvvQLOJzD9h7qQRaI4vGwA10yAfNtncL
/cGYfDnwYQVGPrqWH7oQIz4ZV/plMg2A8pqoY/YpUWI6lid1dKh0k2WJjUlvAU4Br+0cWbKrNUU0
3EDCqp4h1rJ9ACYRc+zPFlWlKea4X89jxN5I54R1Y1FM5hsyDzNem21iBX2S6cM6DSeyZM0I3rRM
GOMB8ZTtthZOdW6T2etXuHBUh0J3hmdnwGMcXEDnDGoVoHJVVRy2lcd9UpUzfm6dKi0Cxyq8iv7D
tseV1endVTw54guUJur9WqvAK6w4uoFTw8ssdghkJUpUEC/93I9XDTSRbwUc48BP0HAH4agjifXS
xCPJcQbL3LC1qHablOi0VhNCxnSVS39wNnVJDXIUHjHlps5qWGVxp73kczp8gjYEbdcb1QVNseet
qe3zJ0aF+bQZ9Q5mJ4ZaHMWjF8FVkQ77t04mSriuu8r7Jroa10wfbRZlb33d+x2HpokNe4l6ofA+
DZWqH2bbkVe40mhf2oYHIUAKwLNUYGG1cDc6574rHcidkP3Qy5Gh8RLOifUMm46fLQ2qh4tHh4Vn
Hps6E5dQi4nkritICJ2bP4Rxd7b6HIdoum9q9K5XDyWZ6Pi9Ny38UbewYJiodNY/u5mh3ypNiC82
OdPnfJDFl8TRm2GV2uijtUyngernGrwnl8UdUxOIdUKrzTVsJlGtstoaDp1snW9JXVNETYKKpC9G
YysIOn+Chhoj+LHjiDszQ8kpxCBMLHeVfS/zBjzOYsRyDe4ybIyxbvhGZjze0eE+9LltsFlZI6Tl
3p7Sh6kNyzc55C8Su+WNYxGsBDvsjmI/uhicRLce88LslLotRHCVECzuxD7S19Zpg4aJKMwSXFpN
t4kvDRnXZ7Oq/DVIYuqiytT6a0JucfwbYz1+TSI/hC9iddVjkie0lAQ75wEjvgzJ7eBxpuhzews9
wvvK145uLTOEWNRHlXa26048ttJNXiuYJhrgn/S97cA4mPGea/cWrLJKHhIPuJxKQEu2cQScC3NQ
8GinucVxZpiLCjZvJ2DEDknCdUoz0W5mOM9qlwNosKC+qxMwM7JRaqE+XWFuql8Mh6R6tFcZz72u
8KCGDFrgdOTljBqmzo+MY2mPQCiR0aU3epSnoPkC1fCPFxLvxdQW6UVDxHw6nwa/9j9LfAtfxYz4
aw0iV9+5qmLq0uGICG4C2eiQ4RNGWqoq2GLy0uQ5hhkY78zQhGfTubD3u7Th9Kk4niEb2fyYWBYU
RrMTXICGRKe+MUp2d+wNVjai0duwoYchW4NqO+4iyW8HHkCM2+NiB16SGV9a2DRrW0/tk2gctt3B
yv1pFYOFHcuGPJ9VD1XrVU2D2W17aeclDsJm8UZXEV5VaH3XbqKmrcBsZk2ILm5UMmUG6M6gjCsl
Mg/9i6a4lnreZfBc2xyHRN8YulWHDLbcoIDMv4wlDfuaWUL+ZEItc7cTxEosTBPf+QYr2XBWZqQ7
TyMrmb2MSPoRcaxr1cHsOcZwn5mez+wOO1u4o43erP1RDMbX/vvF6vs5np8AUPInVrDdQ3iaYAu6
ea/AW0PkT+Wsk+5TUjw7xLYjB8Tak74APIs/euEVxHBtLUYvCUrfV5dW4NueriBBIzngs6Hsz4oK
BVeRRqX/6HhRtEPYbd0bFRNTJZX9FDsmlWVByUUiLo3cs6WrEgmh5UFZcvr4Nu7UfA21yrgdZydq
14I0d7YXdJrJrQMnFtTeFo218bWI+gjzpvjWlRj8Hs2+IBOrAdfIGRY9xb6LhiBpH9sKSnLrNdlX
fW4ijmMo04C6ztWsV5TriehwBNNI8uHVDqLYBgl7vi2xMQAeEwOPSznlLKA5pLFbVRWjQIxWK3mn
Yyh9hFqYXDPefNXx2JCBiHTf20QD/hZPlZFNzgaFBjc0Jz0eFVnbGxZEyVhrNz+O/zGREKsRP7K2
Etjs69qa1GWWcVwHXohh62oAXhlOOJChLPeVTTvpfleY+ctZc1V2Wmduiyns2hUif5Dl778A8JsV
UaGDhWuQVp26OE1EzWX6S9vmSJtTajQq/omlFCs/y3yeS6TquggUyVtaH0DIEl+y5VmBUo+Y0BZi
2vbOnBpXDu7k2VU/eSrczsTnnGzZ+w66mIELhCcivwSBJSfU2E8q2xOwgUkgXh02fIxZ0hYb/Thk
+zpW/PyPXSDStdA5eoj3SVrxsgZ1fmsRtoswlR0MTYE74aduDokXhP0IVU7GVggyQjoYbwYvFiZM
VfGWeDxnRHe682DgB+eVsrLEHvIm5HmICgxLKFEA07LjjIlVuB3g1Qm0f04xWQE6WwD9wPteEXZs
PuKx6OesPoEMmMUFYpqfBr2EihigRDWybYQNjb/3Y6dvd7qzECFHFupuDks2r2lmXRwEdqNPWpE0
XQDc6zDFhdbDUw1B881vOVAZtOkGXhxD77gBAX5ORT5VOJMWFdNUBYmTcCfxnc7Lcz0pPd3LnPde
tVpWxmtNq9qPPEMOWGal7GijciUBpMIW+onpgCAFhuVH932HaXrg9310xHY3QQfhdAJFc5Ih3WgM
Y1p41R5y3XkGKNmRpobqewUj0Ogf7aGGnUtdxKRINg4UKeT9PDmpO+RPP+5hC/bebfMuyuR+KDPs
Xxt+ugpoVv1XJpODuQMAYhgscIu9GImdS3YVr8dSIBYC9opUqIDyOLQZXhGoAVMapfgtDUPo7hyV
CJQIY1G8mg64Jnv+NBEkNk+grPbYi4eobK3mXkHLCY+09Tx+VqsYvcCGyp460+eRT4BdyGNzs/DA
4TUaNxAswpwmMcYLA0wx79aU1yjmfalKf98p3fxMme89Z024ST1t3g66fT+XOQKYRNuFox89RYmh
VlmVXw+jhaLDpOcBg1j5BJjdYY3HxGMscAWO+m9G639CpMduaNuc1NteqI/f9Xl/yQ4Kq1X++7+W
17xW9dQmUdx/N8X6x9+uktcW3dq3/k9/avdWXb8wfnz/Q7/85u5/f//X0Vu1fulffvnL5rsx0618
a6e7t07mPz7FHz/53/2Xf9g7PUz129//9lrJsl9+WwTv82fnJ+K6fxIyLp/kj9ctX+Dvf7u85C9V
908v+MOXzLQ+YBJKyiEBHjjy2ag5R4auf/8b9+qDTmYLOQuujZZ2ST/8wyrK+4B+WLCJI4Qkjnux
2O0q2ceYUH0gbAJbWuYRJL3Y/MBfSZB9J2LFE81C+oyRFUFMZEK9j68YcFIqKkjhZz8p+jW0dCAe
ZngoChcORD1xeJsT3FBw6J8u0L/QSL+Tk/LGNm9tEZ2BgJUv8841yvczJ8VWrz2XBpAH83AnMDWj
3HcGuUB//laLzPsng6ofb+VbXGMHD37sHH9VlNJMxpMcy/ZchT5S4H5wtsp2kt98IeudD9byNgZm
6Y4DSUUQ+vVObU7rQ7VHSClaT1yRROvF247QkUeXGf6RIKtxC0qkkxzYKg+cP11AFceK84APPb4k
5GBsRquDRzEbDURmtBmIAPWKyY4xY8EC/UvQrFUq/Vqb5rYxYhdZWT9Nj/owdR8zaLVfhyTWPjHq
g4k+N75NYUuDAi8EAYWv4ukuLQzj0YKv/qmPdPcUxeqLDdXjti1L4u4HBfFmgq/NjMos1GfgFa36
6/cCg18Xb2E8yizyk3+9F0sAi6GPoj83CZl9VPzzJpSqCP78jr/TRy+3guEbC0Tnf1gAvLsVTiqs
qBu9DqA/fhqatSmv42asd6YTdr+RRbv/4umCdkMwD0lAhI17y4P+ky4dBy2V0J11Z2JSt80kAiMi
eiA0tyljQsnwGFKXvfIzDmZwlclut5zBTAvEyuvl2mvp/14ykR7wBXyLNJyCRjhe/o2JBHA0ruEn
Bxkhs/Foru3iybMLWBEFsZfwwM2z3l6G5Cj6oO7uQrwmYgaSycd0OHYMeErm7Ex+XLGJMoxzsAfy
UrnVYGin806PMYdwPnbhTVphrpL1gR+eUwaqKr2dnDf8uaY5RVRyx6aEBO8YIlSt9WvYHsGI+Q+x
nMYw8scX18xvvNrYl/KuTdvfXFzznRj8x40kuol8dwa26N1/vbgyKcuhAlg5V3Gi7/jr1gGC2aYZ
9hQZdN2JCJizE80vRVNpO1ogssf6IX7AvOY6oTra2ouFTxFDzK7aAiVuyATBh6FWUH0GxVC2t2kn
EpyN4UGZtI30TWgzYtNkiKOSwBv1rzlzs0Pm2sPJrwYXI65ukXM2MNPRbdybILSHDGyM24MzF1FH
8W8MUQ1Ogff7l2ktUTzeEsuEM/mvFyFLDQG5zOkxuIPb54ZJsmUTmo64S9koSszhmz8yr1tcGfC4
KMznqCuNQ2kqiJSj7wRDiCNdAsFxbbfwPjTM/FY6HUdQ2qg+QnaYPWoEfrPMio1lMQ7989X43cX5
3QZs2oYBoGPYHkfXO6cETcZ23Lt6fy6m0QpS3JpwofOdXV9P1qbzxhLa+5SdRg/1Vq3Lj25q/M7L
9V8cNybPkSk4aQRDyHcP0kikN613Js+ap9jefC09aURf7jw4Qb/ZfP7lW3GeGmw8Jl962TB+2hBK
K26abpbyTOu1MFyYoReNnkMYG+LfXdnld72/sq5h4Sjr6jYxk+/eS2DM1Nmy7s55LfrrwivovdLC
vB2HfjxxMUyQwdkLXKSJ51gX9aaWrbUiCdq+mSRUjqhLu+t5iovfWMh/N7/49YO51DWE3glqC1Lg
3jlQRkiSx87Tm3PUhsami+GX2M6S+pt2tYclhinXLvAkvYL5HDaJuUZfFe7tchy3zKWcnZOP817T
8hH+0yCuI3v6XS7pP1c+aPw4qJG1AkuLf4qoI7vQAZeoz5Xqq7uibCtM2lR+dLCo3LlTnB3SbnbO
Oizl3zwg/3TTLIoeHsSlRrA8/Ex+fUCaiKm6yyAFU7fOo83OaqadXvhXT1qLoo4ikv/ohDXY76qe
GgBsaFRqnQqBABRjQ649Koztn6/tfzpp8fz02ZuFoJpji363rpwIq8B8GuZTMek7yCrtHqEaOhPd
bdbaaP94t7/UftzUb+V937699Vcv9f+A1sFYnGz+vaPxoctf/uP+paSj2ORv5cvPTcT3l/5oIrTF
b9bGgdiz4dSbnrOEEf/oIiANfLAZzuP0iifEr22E5n5wmFUvpwdOKoZBmfJfjYRmYW/sYazqLhYy
WNL+lT7i3R7Po4YRkOVjg7NYKfO8vXvcZlWopKjio8jiAQo1YUHQo8s5bBDfwG4vHi0bftIiX1d1
uIo1sx2+mLo0qk1qwG4zf/P0v4vUcBx6Jr7S8qUtA6mW864sM1jbiExLKMuxq5hbNYhogyGtixZe
lzlVyas2dB6+spVdDPCQu9le+NrIOOECJhjNlNqGQTtAaIgn3u+2x2VZ/GN7JObewlV6SRfhQKf7
eR9FD+KKY/9gwo3vU4PUqLqQjXHMejfOd1M/obTC+K21YkbkdIHWHPR27jWXtMyVv7WZ+rm3ehR5
4nef69dNcdmvMR/2v29PQidw4t3WZJiNWWpOcoQtkVfTZhbSUgxSfOl0mwbLAI95g2PgQruSIiub
JzWazFAy3U9cTBAGyFgeUjHcOhiD+lA1mAhOXfpQ6Ln7UR+yHDJV1qZJjFZmsCXkq1Cf8JL7voD+
0i7x30Mg/m+gjP8PUQpjgRb+/Vbz8SXPk+4/pv/Ygu+922mWV/6x0+iu80F32Cp0fKrJflhQif/c
aVzvg+7py5bCdvGfWIWmmx8MHTG50LGj4lBdsoP/QCuWzQkAEEN2um9eaFPC/wUHdf3X4mqJ5SHj
iKScxSOKBtJ/X1eMrkwSXfSPqUxL8HYTYrUqE1eg2lJyxxiCibeKomxDhNXwJUsL983DGBemXPfS
kSNynSuTWeAk5h3znXbz0wW9/FjBPzu/cdV+WtffP5672Hejr1nsFBbU6Ofaj3mCQ+Pv9I9N2l9q
VANHZAzevM6KxvpNW/BrFfHHW7F1L5WEST7Yu5O3H9wR/uHcP04a2KIk93ITiTg9/vkXWm7ru2/k
U8bimIFijvv4PUblp2p2nMnPafuCNroaJegzhtZFPF5UU4Fnd12zFTCCxlWPx86Dnk/e9dxoV1mb
n5Bv2itHj8gWlxnTzjm27wuPK469BoOracq2SE0zt6lPGfvyHt8ykz42DnexJNjHJx9+9+ffRf+1
m1wumS94aAyPB9jG7P/dJZtCy2wnCDFPLkynr64szcsY11AnDIfGMql98Fv9qKzCZYaIGQaOTijC
IZoXvc0crZ53eYcCopQPtjWkG3Iykh839f/B1vU/rgxaCtB/vzfdvxTVr7XP8vP/tSPpH8CKwD0N
5iqUmT/vSMYHindaH5322FwyH/5AUJddiQqbwpdigDLHMFlBP+1KbCCUTECyKF6F/ZeKn++BZ/84
zvlEton1/RKUyIcgnfkdmBnhXIW1yAzf5f9wdzXLiSRJ+lXyNjNmq2p+BEiXMRMISdUSKo2gaqzr
IgsgC6JIMlH+SIXW1mwv+xB73lMf5jbHvdWb7JPs55lEdXqSAkT4dKlLbT3TCJmHh4eHh/874sIo
hfdDTAdp3T0txgt9N+0iPbmBJhbVCYrJHxcIWBxVEbtB/0kkzqBrcOUebcZQsk8FVcdRd/L4iNza
yGs2bw4bU8pURTgD02xnSwxchmUc9D8/HXzErCk4fHx0yh1W6ujy3EY/sOixewf95RYKO0rH7g6n
D/M2WssvF90EVabjeXNxhAJ5H297G92Sn9B4AVVJN7p+OD+7R6gMU9zIB9hdaGRj/3KAiPY7jeFb
KFOM7/DIo+djsz3xES27R1OsLU0l16QZZlvTBGB4ow/xiKTqZU7MhDhZ/XSPOVdeRd+hlCJBM+v5
4cNpjqd2Ec9YpYrkTYxggNSEdc7Fsxd6cXK/0NXBHBO8uv40CM++1CM4xWrTKRpMzLdZR6kexxkD
W2liY5iPcFSrk9Kefw+SGtre1cPGctCsLJaXEz94+OVL/eigfvZ4d3zfbC8SSMp2Es90Dz1b63cU
Y3+cI3a3uEfiOZoyoGAQlUdPuv54ica7fttDmP766N5DGQDKSVsXSNkOWp0YPW7mqOQJDvuHaOPq
IfnocPk+QSzzrvOlDmW3qxc+xjMtH0OUzs6PqTFpozELMN6qumy2Z+j3EnemixaSuNEa6/M7ONyO
75HCt0CLhcrd3TXa8FPp2+FicYkc1vvb5vTuy8fpxGvNOgdRQpXvzfDT4Xz2+R7VOIsWuvY9UE7J
C8+u2Wii/eTRYRV9XYmenJTwcKGp2pfml0E88T/doZJtcgAqPdWOLw5md/osXewPJIdXqFKoaS2U
hZgYgm+rQNdNoP14EOz3R5sB7RYbSwegMsmeopTG5TZB8FSMoc1jhM9QZ/QG43pgrFWhOXqBPzFf
NJpvKrCQGvUKkp/pB5IVS+WI89z2N+9sPV64DmcT7u63mTAkQ+w2X628qac/FYBim4daDZ8pudDS
/6PvX9fmoddb7h4+CChlVfiPsq0WaVDHBCaaZkN/kf5AZ3tdNKCYhBUDHCLUewzfzXGB91uI9FZo
gjn1kaafzLh7RbyPAW2Wez+o1d/U4ZxBq/RWtklQk90BGJygzCEcVa/t4Nf8ei8Xe4eI5cOIhY6Q
CjcaMJfffBPfw9EH99xKAIBDXhfzw49lyQFIdEjjMYYEazSAMwLf4WXISPT6XgBEkyxpcNB8g5bq
x004ArNLQDGjPCO0Gm+QPAIPK25K+oPvXxcj0BB0Kyl4gFwYDBuuQ0cmQ49+CjSoQlIcwc6rvzpJ
ULPefLX1BpkjYAJ0Vs9++OZJEhzDIUu+uNd18BRQsDt4nCtCSKhlKTL9MTyHTdyLNHKMi/GCp3+H
R/KbEt1BtcE4VZ+1G+Wyybb+gVEx1wGsVEeaGQjtplX55vJM/5RyzTLgmRpJn/86CqBS+vhFqtzm
viBVP/cxGLnK3/I3LI0tS6/LQTDacx6XFb3Wd1K6R/PLC+2GKhxNl91UHV7tOkuJO/kU6pHKR7MQ
qDAfaceUbbfaco6DNoJEkCwcxQWwUA/IU5RisCfcSDNEaxhiaAexi+EaC9fAIDaAc4imPdqgeR2E
8dQ5mbtFwqJG9sgS9kkSxaHyCnRoVShXzgbnPuUsluFM7zkkhw3sd3QTOMYIjB7Bz4J4GlyBcMoh
sdJujRuY35OguAqFMTDKCv/ChwjFtbG2SvJbGmm0I3eDZ1SBERHigDsRSWXweSCwSlH84nb2WKit
PNwhpx+r2AVy2REQjyIfApfpCEUM2B80O4SMzdfmYu2xXM+NkEEUqzk/KtQ5NZCLiZAV8vRadTx+
ayy8z2IKLSncoUE73RVUCvqHvL2IQiHfVmKhjgr1cAgGdK7deOqGnvLHjJhwRiNzF1Ssw0iu1JBA
DOU9o/WzxCyTwt+cHeuymTsxXv597ugzEWLkev5l4K8Pe1n+AK9QR/lqrAzhs/fYfCo5hh2v6jmy
T3w6cQOKAJP5/uz57gi4535BbZ2BQ1CrpF/Zgu0ruAidG7zWoesAbaen0bYeBoYBTSthTpb5uD9l
3vs6dsclsgXjju2hd0AIvFJl70kNb9WaepG8XAp/u9cG2/QQKkirOTpCrPnZk8Dd/00vZ1fx97nA
SGODP8L2AucFEDEBtNT8r7qkZBklma1lvjG/3KTGtdU0BEMaYqYE3vSA7nh3OstFmDARnEYQmV6Y
Y4gdoZ6rJ6RnxaFeMHzJTfksL+wI+m2oOBEoidIaaBQq1zNwUtqSj9YabKjuDZQUKI22twX6cxCO
CyQgS9oWLMYTKB0bOCm25DKwBXvlDpXPRWaaDWEL9x16YxnsUmSbApLyb9BbQwZ1XRNOfpOOO3Js
XyVj7ZyEash1udpGvXRX4KgkYy81shXNDqwfJMLZ6c51WNR5a1QbYnuEf0c1l9NW/syAonOEfms+
7o/+L+7cZdyR5vnY4nsdOGC6P0VOUYdpSMi18wBgnX4yHGsYlXrEriKi/BJieZD4Q4dSZwtaN4Lt
KPmhLGRbGp0ME6eXRIwjV9AF2PLfb7v97u2H7ul/OMQ8bgiCFfkfFhKcvnW00kd2F1zDmCa9bVtl
j/WGJ1zQgMj8G+b5/3EMiBMPUp/LJYG35MQfB2HIeAuBbWuWJScOx7UqIN3arjfRydzgl8o2gQuG
wQsgbGqOXLjhkzsJHnQxKdWsub8ABfKqoBauO/eSF7+EbUyEhgeAnWBdQN6fuv5chewdocROW854
G4IM3FxtCjBcN4qLvjH4uq2x7Ty5oymnLeX12RIBfZKKRKDyU2uwKgzcsrdoo0NrR6XoDDbCyDVI
0tU7ErjR53oIM7qgIVIqtS0tzlGL70fu0kAihKmGwBquG0Jh4WAl6AA/DqcuRZdtke2EATKbmGio
VgTgXiQ+ZA4jAgLj9vi+Ha0JB0TcBeDGyuPYUpG/LXV/dsMCgyGPUwAsVNaeWnJlu0rZ8LYIX6n4
ocAN1DrAGqyOp0lRNamux5iSF79tfS94ULMiygI0vtKQ67HrQ98tuH8ob9aaIMkXdz4MkCdrYJH0
QUKx+bi/EtHDsDnQxABK4VLVpi3KvcBXBXdvQ+CK9Ei2G+xSZJsCp/dMnAPVQmap/QmM0Oaj4rJC
4mlGRnhB60kLVG2P7QaB2GSiuJdNwv1/G+CV4xcPWZH25KUb7RYBUxGFLSVQtwqpGaJVh4FF7Iae
Mubj/izRXxR8xGmuqTXCDwoGXTg2+KXoUnG6NeBHd8wfj5qEi7T/qOOnLLpocMxQFrjQ72fkhmfK
JQLNZpn9T24VA7rU/mQccLNxPQMkefHz9AHK1Qh819Exkxi1jQHWHfVtSGQ8UO4k5AwtYdX03bDo
NqUCNFvGgxPMdYJPuIbMT4juShK+9CznpKdG7rho6aE6VEKfu0SfsAdGbSS6oSGDgGL79b9I/JeZ
Zq1DpBIioZQqJ+HzRIb11uW+n2stC23autby+NPd/teE9lxPPxUkij2LYwgcuiPcFvK+GgKPTNdD
6wXvQcEbZ9Ak8UplWrb38jxBqGGOvnAGFAFez1R7ufy7CPwxpQrl4cIxbT7uL7evQeBQTRKGcXVj
VH1HqXqDLIw5B7vdK5Bn2O4q8Px7+bJX4f4/xJ07CZMhp609K5yA3mCE1DnbVuEw4Tk0AtfjxJ8k
2uO3g4r9ba8dYYvrzG+HgE01mLqI8E3Bxgy0RIiyo5ZQ+8ueKQnbtVPgjrTRg2VSxGkwR/dWnt0r
YWIauL5z6y6SoadHhiFIeFILF1v2QOZWMSFMIlgIYT9GPlXCc37XE1z3kPZIZdBm30SFaqVuPu4v
6n8GHxfOD1W19nBhCyKJnZLLDKwU5YaAgUWaeYQENhVz0AJMcQOvdRyQgsH0UDRmNUvtT+ks9e5S
Y2pGKk2v3QfNJUhFwEGVrXKVjArOAwkFfQDzXo/VOEV/EAyRD23IQodbk/CRDpJwltGnA74MojJh
iG5EZl3b4/igEVRBRiRZB0jedTKpAFuYnwy1hLMVOOhtHeto6nzQ4USXCnlE+e2Xed/fuIIAI7fh
q9Qhu9c1CT25A112pDhLtQREXF9xrahG5UW2p9mnPNouwuzwQfBcw5pEhDK7xlBh4unXXz13vjQY
00XDcDPz0YL/aQM9hRW4swr92ppicih7BZw/Z8HLvxisaRNU5rvVVPl+mj+VKNkq/RsS5r9XKZY3
Qc0QsxEE7gI0eLjX84crIJ/R7y56hLWYB1uVgAv3N/OP1SRke4IRjmOdx5U6/9gKmc5UjQ0UujMS
PlmjT5OnkF68DnpsMJlLLY1sET9158EIChqKi7avJ8CBHfTeDzHwxmCeEkuAWTqYJ47xBXmwEm/0
t+qFtDKy3MaRyBntqIXrfHDDMXusN9ao7ejHOf2sEWDl9ghVJNsyTneyXMQGDJ2ixFvUvYcHLoDc
8xxqDO4ymdIUYJMuVLuQg5Vw6KO7OJp9cXEtoRCRB+NcYQIaIwS11bA9vnM15JeQGiJYA50WnoHt
LvqsJ9Km0pN1RkBbGXtcO1//GbvO+E9vH4KCioyRSvbgL11/yQ6tpD45eXEc7UoPi1oBpg/bY3uF
es94yh4XxHME4OphgQoS9lkP5YETFcHzbTAk+VPdnmq9ndmQThTEMRPCaGRlltlfh0d6h3pkWkc6
Usb2wgFsAajALe7hIR1xtwomvkjQICHDmttg6JIjBbmYhlGVeOZ6AeZQDNe8YxKZuNcaKr7ZfMrB
Ek9GCpW/F1UJOzcTwwdtHUUqYVhLuExvv/6aYOIXUwvRY9uss//Fu4VlUgiEUKMe24vXd5ejqet5
LtM40Q1TAHTWfmGtFQfmAggAp0QJngVVk/FRkJvXuXKDQnIKNQe0JjZSrIptLiTqLvsIkTGOQ8W/
PbaDgFtpacdSaxJ8/Z/AQefzr7+mDtCb8Os//JHmoYtaXYDWKNLShY4WaRNe2w0MlP9UFNA1akxt
C/j9ZO2CS6TqtuHdRmmLc6YiphbVJNJe0W1HF3T6mkhqBPwwFMsxVKVHpSbxwH5cs0FqErHDj3o+
VMNHpm7VJEppsxY26/dbIu+1rUNnAGWOpZKi5M8Qff+36mS4dNnZYUQQsp0wD+aohcQtCOrt9tT3
88OmPZ1+QEdsaQOrxmv2iKe9sH7Ak/g0gX8B9cn80RZ49E6QrjtU+jMH3BC40SFKwbkyLmCgoWp9
4iF5IZoaDFNBL0CI3lJRLSMDK4HwNCkemoAO3oYnn8tLGkVoq0/AQT0MxvzMJBSKfqidK7QbYE4h
Cd8N6rZ57EVCQ0HC4sS5pP/pn9waoqY2qoT19Bal1AjccyJXqTev7ekBchGqwLX4WS24aEBXT3tc
L5fhZPlUFGd47+1BZyngGI/JXd2YXWwPO9OtSmALXOlLdO6ZTddJInCvr4rDniXCfkiyV8HaFaHu
4raMjNQphGoLvCxhI8BlONYP3G+RTlqzxhguzmXxTksEha7dBfdYVFsCbpYb5E2jiLYsawljsewP
8AblmGuMLFGvfYPWt3qxWMt82tgiccdgIXJlJmoBsWH2nyoWEjm+g6nSxcI+DEA16+xvNA3UZ71O
aRhOEqA1vIcGTqZjSWAM1wKphUXuqElIpPdPQ7eEHBJZyR+0G6MmgNFDQtS9QweU4MF5GyM1Y+H8
5HQRAQ7iZHUz88thWLtE5uVqwUvM04umsOZ/csx/6rJFMRxOQIfoL5Bl4S3L5A06uEroPj09HqOu
rKsiFpfPugw+/yBFO8qGFdX6UwzphjYPqn37z6ypU/6k0N8ZDWIF3HsUOFsqHFCovf/7z/+OZvTp
PFwiBAgMLhDFRlZ0GVHRW5KGBBukLAQMRqCGB4iQ8rBgq3Z8XJfI6+67MApmht2jn061Cpawl7Tz
N2QqKeZ9xEBGtNoX4MbTYDYOQMCBmsGM1LzQB43d0UxY4PAuVaJDzTrjVCuoe8LINftzuVEHnj4Y
oenMQRTxiFS2hsDZo1Z6YjDNrJ8Ue4FH4Eot4mlBrcnQ3vpwfT8XH1U1Hv+IyZbUhKsYYpKotYcd
9inwZiWvShO1vmhPizmHqJw9woTU7fk33+/cs8bvP6BHMZyQ1cPdJxJPcRumW6GBjERldztUTzzu
QJPMbA23DgwKpvBLvJqdwAuKeWsSymJ3hLItXvkr0W37DDVmoyklHRYy2CQiRmfKmz1b1S7wzJ4n
cNsyvyJeWXu+6EPngr7PWAODpO0Bk+mNStWlgZS+rDSWzJaTb9yQKwLbher2lLD3YVJENp2eaIvs
B6RiPKGjOzu4dDbXZsjf7xkom9TxAz4K2bAWNHctjjeWSJRpoytesTJbwOHbJ3EblNaqSfiTOwEV
+P350kWvCH/ylzJ7SyKxM3VbU19dVCORIC5bR6KHVycIjE4G6ze7biSEJBp5nenPOg9Twld5hj5F
1AXbDGlIe8foUbgeRNk472BHQ3/1FtJo5rUgjURniRX8NI5Ah00VnWhekI2JohjZmB2KxMOAWm/m
t5JorH7hoifVikPTPfRGp6i39Mzv2CbQatkwxf6eiEsY00Mk+BhI6bspkfTVmYbwRqJNQomhUpVo
kXvtPjod5ZU0JJLo0nStC7XrEiUdH5SPWhSuTkiUo14ruDnZCUrcWSLwRxe+Mt4wGA2TzFL7s92N
jkcoIy59XDDgSmABtUDfEtpCSa2HjKvIK+YsC1xHPFIRXDjlISSJrkFZafGF66H/xb85JxHq3yPk
SKfCBhX+FD9w4AbtJP6UK5ESJuwgmEE3ZZxak1AlBghscmwlgtKDBE0CC8gKcObfcbw6a3JwlsSI
FxhmJ9GLMWjm4/6Xa03JrEk4XjsUIaQGGebSGkRTLQf13K0WBp1hLi3cmYcNibad7/NDpDCryg9C
512CgAf0xVI1rkVO5gpNyIUXjMaFbzWEv6PhUzI80Nbwye+G2Gdzb7f8X3dXjbVyY08ZMi/6Pqf9
lk0uZIBXaG4oll+bLpfHe/suM2Oc/FHfZrsaBDZWCLoBGnWwuykRwb9NokI6Q00i3jP4+r9ILV+6
+SuJUX7m43OiJE9Jc8K/T2u1shGT5ljSs/qX80XZ3qW5v2y25Q+4y5LBmj/eLsvmeL6yXW5h6dVr
MPJgZP71/wEAAP//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Ingresos por País de Origen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Aptos Narrow" panose="02110004020202020204"/>
            </a:rPr>
            <a:t>Ingresos por País de Origen</a:t>
          </a:r>
        </a:p>
      </cx:txPr>
    </cx:title>
    <cx:plotArea>
      <cx:plotAreaRegion>
        <cx:series layoutId="regionMap" uniqueId="{85F441C6-4366-43C2-A5A5-B5F7F6713E88}">
          <cx:tx>
            <cx:txData>
              <cx:f>_xlchart.v5.10</cx:f>
              <cx:v>Ingresos</cx:v>
            </cx:txData>
          </cx:tx>
          <cx:dataId val="0"/>
          <cx:layoutPr>
            <cx:geography cultureLanguage="es-ES" cultureRegion="ES" attribution="Con tecnología de Bing">
              <cx:geoCache provider="{E9337A44-BEBE-4D9F-B70C-5C5E7DAFC167}">
                <cx:binary>zHzJctxIsu2vyLS+YAExIIC2rja7AeRIJmepJG5glERhnmf80Vu8xdu+bf/YPSAlFROZlSj1LbNu
lZVEJhLw8NnjuAf+/rn72+fo6bF408VRUv7tc/frW6+qsr/98kv52XuKH8uz2P9cpGX6tTr7nMa/
pF+/+p+ffvlSPLZ+4v5CVI398tl7LKqn7u0//o6nuU/pRfr5sfLT5KZ+Kvrbp7KOqvLEtaOX3nxO
66Qab3fxpF/fLsrs8Z//7/Htm6ek8qv+vs+efn279523b36ZPumA6psIC6vqL7iXqWfUVDVNVYn6
/Ie8fROlifvtskLPOGdU18dvPP/RvtO+fIxx/59Y0PNyHr98KZ7K8s23f1/duLf6V5/7ZWq9MG+l
40oXd8+s/bIv3H/8ffIBmJ188kr+U8nMXZqK30qjNP7k/5XyP1NN09R0k+7LXZAzUzUMjTLjRe76
vtz/zEqOC/73OyeS//3CVPTW1b9f9LJ4LP3ouxD+94avaLD85z/qxOQ5PXvxBaG/iB7XX9ztxeTn
V3Jc8N/vm4j9+8dTocvbf7/Qr5+Kf/7/79z/BTLXzwzdNHXTYC+SVdnE6vmZyrjBic7hFfiD669F
P7ue45L/dttE8N8+ncr9evEfIPfH4tGtH/vv3P8Foif0jGoQK9XEi+wRyF8Hem6cjVEI0p9Emus/
sZY/EPuPO6eS/3HhQPgf//3Cf/+UPA31U/QXRnnjTFU1QyCJvpi1KfaFr+tn4zWq0W/Xje+afwk5
f2pJx5Xw6taJFl5dmarh/X+AD8g08pu/MtUqmjhTuY4IxL+rYaIFdoZUTIg+DfjzKzku+x8sTCT/
4/Op3OV/QKJ9V9R/ceih5MwQnHOY977AuX6GslPjVGUvdj8x+z+xlOOC/3HjRPA/Pp8K/t1/QNxZ
fK4fv6TFd8//C2K+hgrHFLoupmnWPENJj0xMvhX906J+fiXH5f6DhYncf3w+lfvC+vfHe8vzo6e/
UOpUOxO6Rqkg4ls037d6AbUgGQiNTjLt7EKOC/3bbRORf/t0KnDr4t8v8P8u3LGoS/7CBKvQMXbr
zDS+p9hphsV1XRCDa9+KeoSi15Xln1rTcfm/unWig1dXpnr477+kuv/jne6PPb/9WD0unsGCV5vd
01ef2QSAMbn1m7yOxqUXUW6+/PqWUEj2BwQxPmJPznePSZW+uU/jf/6fN/2b6+Kf/zf57Gc/3O/H
E54ey+rXt+KM6UQTpq6rwkT5ZCJQtU/jFR1X4EBwMI2qhJnjJi5Ji8r79a12ppuMajAHVLMcEQ6X
yrQeLynqGbAO+ry5MAyhM04Y/wHYXKdR76bJD+F8+/1NUsfXqZ9UJZ5tvn2TvXxtXKqgKjUZ07lB
DM0gjJgqrn9+vAUoNH77v5pMcYs8ryXvmais1o3NdUmDdOUXfdFYbRUMmRRR7WxEbHAm6eDRbeMp
TWTHoYjfqZ2bX3NHuJpVuf3w0OeNYrumkd4TanQbx/GVTFYRsV/J/Miy2bisvWUzTYOr6AT/qrrG
EYleLztkaR8V4mPDs5BIp9G0a893+8CqwjK4cWkYSM9okhtGHc2z4sJxryJDz78ahNAdjSjb0pJ0
79uCJc7CzQ3tvAvbwZdCadqPTZwlWD6S/iJWh35Rqb5+oUGAijT8SPlcOLx9Uv0mu22Trlvymjaf
Atb4O8V1xKLxGqbLokiCiz4ly6ipQ1+qQ6EklhjCcpCGO5RfeegYVuan/IJGCrfqrFTSl1TzAh8d
kRECxisRGSrCN5KnxhlHwWjoBt8XUUVMIxKjiERlU9W89Orct8IiZQsiql5qWkHk61j7jeSLdX1O
s77wXe8bIvjj13/svsOMzyjW75+PmOLvv11lT8ldVTw9VbvHbPrNMSj8+CrIfQsSoyvu/XIQFf7A
71+gyz+4+OeCAoUL/nFM+I6A/B5Exu+/RACFGGcGg6caOlF1lTMdHvgSAhRBz0xj9H4OPemIErj0
LQbwMwKtCRNOPsKbVId2v8cASs8E10ZAU+imCp8VPxMBRjP43ZO4rpkgQJhOuUoIZ2wMEK8CQMoy
NU/dvJcqcbNmGWq5KrZ1nbB0GyhqU69fSeaIVR6SY9QwdQM8E6qRsbJ7Tc7Jgk5EBe2kGha58+B2
fs8e9LzPqy+KXum592KTf+gF4/P22WNcZcIYPQFE+eglr9hT/SQs+ijvZK6oyW0lqH6f+3qwOs2V
NsabV2QE9lyqoECaNWh5DM/7ZJjaNE7gaTf2B/t+uZILa7GeCXkaUsUfkxiLgH0SjlblwQASO/vh
fgMC1t1pHuh+TOX7PIDAuIBXoirzMvMECCzlcvlhc3u73EjrwgIha32+s88t6/w0wdNCA0E4zWuC
VVlEpBoJ2jcfPl258kouPl5aqpyRHJnYwAFjSPCv6cRBUTI1gOSWVw+b5f1yCf08WuutdTdDiY34
30kljddfyXDsQygaWDrfXC2v1jZIyeX5brm07eXOwu87G3/btiXX+MnenUPGG3xnt8OvW9vGtbW9
xbXFFj/i28vN5spe4+oON2/wVcva4GkwMTwSjx+/skxx/+Z+ebXZ4GkSj5OL8fJys7Qe8BUsQVrj
J/gZvyyktNbWGnTxXTzxenWFx5/bNh71gE82C7lY4Ikf7J3cbO4lbA33LBajyVnW+LUF7sfzxodZ
F/hhB06wotuR/Gptbd8vtuNXF9sNBH1p2fgZXK9XKZi3sLrlYg27Wm52UMTz2la489Z6xFPX+Or2
8m69vhvFBEGNd9u7XSxHsncWPp4xwnHTclJlkzxZkkw4jQ/ruDlfno/CWu6e/8O/Vw9LyP0Kctg9
7JYPu6tcQim7hwcYkbxYYdGb29VmtVotVqsLeYnVb63zNUT18eLimdULaV2uYWjQKkRuWzfnloTu
F9sb6/wcnG3XM+EVVeIMO9PKqBGiSWHs51AUlHV1Ncp5I59jklzm8gpq+zRqGIzsxiv44m55u7wd
dQHbgn7w0y1u2MhLmMESP43xbLNZXeLf9R14tLfWzbM5X0FSoyNBUZfWcrl5NpL1druFGu1zSBDu
drUcGfXkGpKEDCDHpQ1JneNZkMqHHezbXl/ZuOe0ZmcVOwn9huukioAkQBI8YnVytbNhaRCFBAsv
tmXN2BOfJLiDYANI6HUEGNyiT/gYAZYPV+4CDgFHgw6ezeoWf0AfQhv9yZXQ//brOrNa+dVer9df
W3lzNxNksW+YMYhJahpE3/btGGU/QL27u7U1KgU/2Fe2db7ZwHnXDzBw+C4CAILGarHI4W3L5Roq
3tnrMSjYH5ar5fLB3lxdwTzAzNWtK+VvYG0JrcJuFls4zgc48VY+R/LNanO1uX3auPLpdnzop/ur
B1/eD/KTKzcI9UgvV7f49ekJIkJ4WluXd4jH+Pdmfbe4W3+FoSEIyHsElU5KV67gXb9dXF7+drld
L95ttusvdzfWYmXdIDpYi8WdLR8vRouC3d/Bq+Riu71AfN+uoX4bwQ3+B2/YLL/iX8RaUESoWe8Q
pnfn1npxCct8/uL7O3w8+vGdfX7z4YNt31lfTtslH9PNH9YKuqpNEnmYKh3VEHAQ03fyA6TTjCL9
uFrC60b3W0AjWOz56EE3iL1Y/ekVaM9Vz6klTFJ9XBk0iEebuNrAP62v640voeHRExESrsA1HB+/
wp/xl0RGgnfj6tXy3r7f3O7sDymWvJIfzj+NDg7zvlrJ1f11My4eceQWVmTdLRAGFplcXD4GcgvD
Q4Ij0r5BCH0w5bvF5Rh4bLm2F+BSbsdwNRMC2J6kdWoYAFSw/9Z1oguh6uP1V9m4GQbTVeuklAZR
GruvssYSlFWL0+LcTyDfqFDUf0wzgEhqkwSSOmXmGDQupZME5sKpFS6LpItQ2w657Yemcnma3iFX
HEajqgaGNgzsKyblTKQNgpudUci6MNnSN9pu6UWN9lOF88gVVykXQgAYwDZ7CgxoteEHheoUMmAe
+U3183hTZd0wY4qHsgMVE2U5NgUoz/WJ7Io8Ur1KmIXsQuYJyzO7tJZhwXktU7NPS6nlrXd/Wn77
EfqZM00FsGKoQPWByUzKTjOheRY3fSHTPCFbVcm53ZRhsFNrQ59h7wgp7PyAUZgccCpwin0DJFms
pnEdglTUZLIxk2GZ+XVmlUEcbU9zdUSSgA8Zw5aKA5xlE6vgmZ4YShIXsvHLYFP7gb7WeVBdsJSa
V22RiplK4xhrXOgGpjyoauCnfdZCp87URO9z2fJMUhJ6F6XiD5eZX7CZzdURewdARYVOYIzYsE4o
aXFDkrImuTQrEdpDWvS2KUJnJlYc5ecVlUm14MTG0AOPAZUo9xrL4arf2yFR+gfqNvmM8MaH/R5/
n00QkCCjAq4F8EpMioRmEFlRamCJD+mV5wl3ZYR9/r43tPCiixLtoTDqD6ft4xh/r0lOyoB4oFUK
sDGXpBTDwolb/VIvIi7brHb/d6SMSYLLeEDVimq51FM/sLqGFFYlSnfRd/TpNFPHTEPXGHqi2Hqr
GLzYN8LSzLxiULxCZr5ZX4dpFliKkdCXLuWfxBC+aQshcERKGULihB+HOyz3TJHLtIx9SbtUX/pN
qv8LZg4UBngQNfTRqfZ5Mf0YIEKDWKElVaTfJCXzyo1H67icMb6jQmNIiwzjQwKI1D6hvkqHVG8Q
KYpEG7J1rDmZsgga3Z+hcywioUmH5KsRSE4z9ukUpvALP9dzqRQm1S3DjMJtpMfO1zgrvXsTEbGa
oXjUxgF1MmyLqI6wu08xULyo8HWaywqI3ArQ60cAXp9ITsTi5+1OqEwlY24Ebj7Rlc5Vz205goXn
KMJq49KwWaRVMyl4AvmMhge8wGQGhRCfU9U+P55i+HXEk0LmtKCyTGhr8cELFlmWuaukTanMdL5y
nDBcUV61isybpJaDyryZ4Dg2uicBa+xWoMiBcXL0oCbZpStdw9O6tJCe74VbNSLNMs8zep82xc7V
lW5blFm6KMJUkxQma3V96FkQTaVV5qbulXymBjq0LXPsAFCmAtgTZJyzel3ZJSlxwlJUuQxdU79N
jT5fUED/K7WOgk+VXwzL0wo/DNigRwwkc8OkBH/v0+ubzBzcHNETO6nGrt2IWG3uKKuYubI3P6ZB
m9unKR566T7FSbzuCe3iWkN+7WhqWEUahNZA62RGsUepQK1jHSnQSZnodewvMVfpchkrdSq54LGl
mB2boTJKZz/dgRdmEp0BXx3/3pde24O80oBKphotla1rxrokVetSu1Vdksm48PyHNnOCm7Ku4m7G
j44p7zmoqhifUcnzlv3VNkCv3S7PU5bLKE6K86BN003m1cMuqJXivEZby1LDQJsJEXNEJ1E2KYZu
6E2keBTZems3uaGcE0d1LcOIyx1perOy06Fz/Blmj3nGWGuqaO0B0yUTu+kyI86jIoFn+Br/UCl1
Vy+I2QSrNjHVTHqJUv122lIPo645tiOQSxjqasMcr78Sb03dNuGlm8vGKRNbz/PCpnHQSCXp5orO
I+bKYUGIP1wFzj5NXSEbhrDVWSb7to4WajjUy67iP19Km5xpmG9AbUtUPhVh0pdpykifSUVk7YqG
LJZhIG7UPOQyKtSZ0HLEOYTgQh2Vhm2WOgktrEr8yPPQZo0atdx6hhKv0iRWt2nMjUUm9Oa+axUl
lDFQnPbnjQUU0UKCDY675IljirAzhrBCwhyUyrwjXhp/yQjPN2mhD4HMPIfPeMURWzHR0UbJRgSU
OM4RvrYVVBo6KsMWha/m1DKjZiQzLfCkrzbKTNA54oCYpngpsMeJ3YlZGlnZl8zNUH54aXOu13m9
iWnFtz4C1bpyROXJKC/rGYke0SYgB+AASNsY1phSLbycDDiYAbevdeLKyPcNu/XTcstTWl92LA1k
YpillWN2cIb0gXM89/EYJRqKOySpiWy50yZZnsPH3cDIJFETukQR2OxOe/tRKsBVns0V41lkX4Ot
S/Sy0xGzUTFWlaW7jRLbDinQKD9N6MBUwA5XAQvAC1EF6ZMaKx5Kregq+IWf6I6laXV4a5ZaaZPA
C29OkzrGE+IKikLMuILehFTIfObzrMpkaCZdJvNaGR4ahURixiSPsoSqG6YBRADevi87fwgyo1Xr
DNYf9naZ9excjep4k3d1ORNVjpES8DOVYsOMtDchVbVOkqZxDFK5W0rAHYqdDf1HL1X79c8LD0UR
XE3DXKqmT+JXHhue35EskwVT/QXmHGrptV4+Yw0HfmWqY4JBMobwVMEnKjLcOOxbxwOIohoXxtCh
X62Xnqy6ppFurq3DwVjHBduc5u2IFCn2fLAJ0DTIdJ/ea25GgtJJAXI0qF40lSzSzghunNwdPp4m
dcQGKdBKzpB70Ewep5BeR8Yk7XNn6INMmnrz3hAJXSTEyX7eKvaIjIt4laoFiXNPccNMsrx2llVY
lVZIm8AimjnTdzimL8CUYGicYKJ0shXTqi6PU01BTenzzsJ+s5AlC+sbUseDjGmbbkyXs0Gmbdet
TkvycLMCW+GYg8ZpAKaNu5V9Loc8CqI2B23mmuAy1zy7S5LQctKi/ozCr7KTrgEc4XNzhZSnXTHM
AUm/QfVS8iRberQNb0+v6Zh2oVcdM8SAbVHA7C/JU9ESMjoYUii8B1EryiL39GYGAjxGRHCAtQJw
GRDHiY/oOUaYyoynsvML4lt9G+iVXapmps/EsXG1e/U8BCxMdL8pMRFeprCLw8JEpT3MKAmSzgo8
qku1VZYab9ZJpfQz1I6xZaBzbhqC6YJOi5S6K/UublLMoVXcOQ+bPt9kCLL2z2vIwMArQxWGDGpO
wpiIREF7FwEzKOPiIq29eNFx6v+8iiA2bLYQMKGoqeTCJFVC00cY61vhXUatySzN597PAlYYC1IB
G6hIaigoycTajKFRKmV0gNCn8S7uO2JnTmLMhORDeGIkIwi2GWixjOawb9SxPqRcjUUqg9rxL9Iy
YEvdbbeUDolVpu11UycXmaI6sHXhnAMG3+pmlq1P6+2gzMMiNK5RFHiASIAP7y9iyNXarNwok4Pe
EG0ROllMN4Ebx+olr9uWWl1rRv6maEwyt6094gbYJmBEi1AA1HC5fdJK6nG1js1U9nFAQ8tT9d5u
M/+CMpdZdeng79O8HvEE5CICvH2ciz9ItTURXTyoiCLM83zZlrRYCgC7M55wmPQwYYpRY5gnReEw
3ZBoEfbLhYBadcxUWpEh0k2fDGLDHNObMaFDCYKUgXMVBDsgJL2J8hArdbXgkGAacl+x+zTKDQxL
eto7s6T8i9fGrTPD3aiU/dgFIIvgSDBjCF9MTJTmhTnHzCpNZZbEis3MnL/P63b4lNcisjUtIZ8A
l3TnmUdTFBSkfDitwkNz1SiAFqID+0exxCd5MU5y1W1aYC1qVLh2pIsvmGN94AkAkdxMYlmzuaLz
0GhGitjNosk2QqMTGZetH/hEy1OZKAS72byu13CVZEaTh/lew+wgTmVglHjMPRMqJKgwHZdWqSwC
pRgsI/H9D/nQx8wuModd52GD8drQ8KoE48RROZcjjtgsR38XaQnnjYGaTvY+xZCJMMHgi1QiJ19y
N+wry8Ts731aFjSYccMjgQ8tdZTvOCbBINaph1CihKytVDi+Xl4D+QrvNccM7YYVkWaz0uN3IY2x
We+ctqyWxHEcIZWyzN95KDSymW3fEcmjJ6EBQkP1PQLt+1GIRGVVDHmLYJ97cNemrj61Osr9RO1M
GfVOuCuN91ruej+dyiAEdNcBqWGOE6fs9+mqsRnxPBtRw55FKca/HTqszEbzyxlxH9Mt9mUMk/KU
INJPdpxxkgQOBlJT6Za1867pAyoWvWY655XPajFTPB4jZgLPQlvdBBw6TdAVI8RTqjCVA9PVbaal
9WWbCMVu9LS9Px0KRsVMIpEOEiYwM5Q1MNx9AXaBqIaAx7DZgPV3QaX174xKNKswiaI1dsbZl9P0
jrAGBB/DyOMBZXjJeP1V8R8xxY/rPkVcT4VhKx521UXhotGOe35eZQY60Sj+wRrMchLlfD3O3LIK
Umn2rHAl6+raQa8zoRsNvdzEPs3YkZhqoKZiY5QbXwVB9xkLukSP3FpJpBbHAap8rwykknctKn6j
JF8qnGRQVzlyzcwe5xhd4JDjiYxxxuR58uqVQOuq1SJCBei2aFDLrvbZJenV2CoS33vXpiy9MHBW
Yqa4O6JGzC2gBBAovgS2i/vcNqJhcaW4MJsKIIKTwMuzME8tIUp9JrQcsdDnQyZ4jQPgZFNMBDvQ
thZNCwt1ymGwonogq15vjHVdOIHdJq7ycljrDxutx1gzcC4BbRYVQ9RiwlreCjfvDDNBo5XpG6IM
xI5dnt4OOHcxY6FjdJo4Hyo2HOKADDGEzyfOx/Sc4MCKk0jV9aNLVgSDHTDuLU9b5lEqyLuccLTw
MMi/rys1zsJY54gmeRDli9xRjXNP8doZSO6o2HDCCICjAFw9Hv997dilh8ac3megEvFOWJhQj/o1
C9B1s3tuqPlMiDxmFQCwxn0Migp43T45VR30ovYRj5Wqumuq4SZO81bqqKekyIN8RlHHqKEGHSer
AFQzMrHBLCkDnWZw7qLP3W3iF3RZhq7YqF2XnQ/tUM9wd0RliMj6GJcFaE5bu6EgWdvhrIBsmyxD
M9VTSWO7qebMVRFHtAYSI24GqJihA7cvxi5jmlf58GNAWCK2Y0ww2CJMDV/6vlPcnTbEI1KEENHC
HI+PmygW9ok5ndYllWskUjc9nthoq+afk4JxRzoKdsPoPTDv56MjMraJWpchaSN775McUiPuvI4k
AIp9xwoV12YE3a6y5sqCOUUnu05r7dNsHpMpChLsXVCkAyicsKlnmOEqdLCZ1ZXfbBBAq2iR9GGT
WX6YQcD/AjmUvCPwPp7TmwAuXhUoWawAOxJltCVoSS+imLoyZGSurXAk1SD8Yi8/1ibYbo76fZVq
4qowIq/UEgCeQ7Uaeq5cD7pj2jkv84XSmf1W5L7z22n2jhLFcBI21TiKCGBkn2gRm63mGzSRZQuu
fMxvvIt7/Z2nJ8VS1XO6bEuPzdA8sj0z0axBxMS5evT5prHMGIAj0CKR2Clp0vWSrZl10W+94wV4
rxWNH3isFjZX1GJD2i6eCTaHtfTYnOLjbnQ8jjV1fpWloqORn8hadNpNTZJeRl7hPipOXu8GQ3EW
pZOXOyUrZzLfaJj76WhESeEp6AqMBzsnltQTM0wdgJSyRfvtRnFcIo0+rd+fVughe+PEmcFxHnDc
tkyF61Wx4qkF8nlc+XErcz/h12Y9hK4s0ANZcppwKRJXbaSDXvzcRMNhDAL1cd4IY3zA8qfZvRFJ
7fvoMUqU896DO3iNZ1d4ZVmyZE6XPlQ1dx9P83sYDgBTwpCQpbDXR0Wxb8B6ju4bIwgHpAvpBv8/
hhlrV8QzjOVpSscki/EwHItH5x314ER/jZKqvsZQ8KpZ5kW2UBBs0DRIvdYy28jX0MRyhtbOOjUL
18CmtafT9I9wimIb+UrHxhTdionbYO9AzCFClkwcUyR21+NlLShLy4ov9Ib33kzgO/RSCk2ivwmI
EWeVp9VTGShh0FUl0gmJ8i9IIHbYBqGthY62qKokXblxn3/MWpGtgp6yGTM+dBZQB5SOCWUVh6rH
s5Gvg2FV63pYl6COca/gXMt0VfIgIT/tkiMVAxMAaP6YOEW4TwU2amB4u0WF2CrmNujZZWN0yua0
3o6yYpDR6zHfCkBhn0iJ7byCUTIIsh2ya8yqOz164WozN8B1xPcAbhOYJ86hGwDu9+mYqBvjNqkT
6eL9VbaZ4wSkqcXuBkN63dYwKuWnS1IMr6ljs0PggCmOXu7TK13Sp/moIkUJ6CJqjOiSA/daxG7H
rk+L8JgtYv5TfQEsgYTsk4oDX8V+q0cSFm25UYOcWQATYpv0bbTJykLd5mj73/AiyD7ifGM24wqH
SXKsFLFfAZ6vE3jfPnkehQ1mQlB8O52rEJkDUbxmOHltyCwP886qmtgdLIbT6cUM48coaxAtRl+B
futTnabKkOFAb5RKbUjVj1CEr8uEwBGt2nOjErOJYXiL4S4+F+yOBBts6THiAAUDjJ7i/pXvl7nb
YAPQa3lpKVjhpjEG74Mm6nCmbp3wCIwFuYqjIYNcjGrgIC9qJfGVzh0beGk9LGkUBg/g0xCXSe9G
xrtSoW6wQVe9n0PBJ545Uh67dc/vGMAu+/lQ6auKy2m8JDZZ79tqW3JbM6JypaVNsDxtvJO88UIF
HII97ARw3HvfelimthVqS9/2iyKWHRfFqq7ybmXwhNleMniWXmKClmNMbnGa8hTEPCA9SY545Uas
+pT6doCeTGVGtd24g7JI1UCxcr1UL9FETbYhVa6dzumWOZq9N05dzbnvxJiel4HRQ4zqYCAZdfsk
MhWpjyFxUfu24br1lud6v1DdulmmfvOvqPQ1qVHlr1SqD1T0PG58uzZNf1HRyLBJV6YzKp2E2pEh
RFMdb6cAGMu16YgTT7Dr9w3dtX2BExLBMmNF73uWxyMa4WwLkkiEpJzkJZ8pXo9YrECqHWMhBvHQ
+9tnj/YsL3hqujbmJNxd1Snoc8OCZ6gcY29ETRBvsJU8OMCf8Zg6rCUo3apWsE8AfL1kVdFYkLWW
lslwnvWl0GeM9YA1dPPhBujKYtYf2XJiq0VTCaY4CbN4XrlrtXB6S8f87QxrB6YI+BzvVnt+g6M2
IgD7AvQGFhFHyYjVh6yRUTsYdhKQyOL1UNinve8IKQyHmQC0MQ2EDDnRVYZjT0VITM1yUAUvnDwZ
7A5Zyg7NvJjh6kBhGsFmCscjhIlhCFTe+1zVkY9h/5Roluv3bmP1NEqvgrwzF1rvoR9EBncmLx3j
Dad1EDnHt0gBJ9onaAap6oRBTC1NTT3tmvCsyd/7VUUUJktXlNVMS21SAOBkASwCr8ug+F8A2Z6U
g0Go51pXt1BbqabnnpNkK8UZYosowr1F+s2k09aBFcQdvWgpb2fYPSZfVN3YJI9zO2zKLlFMEyWv
RyyYprFShopIphfAoVWFohxI1ZvTpnNID0JFyxm5FxsOzG7uizfE+zyUPKSOhda6sFxDT62o01AF
eOZN01A+gwEfut4euenOJnO70Akc5lgkCtk6jJJmkfteNWOkx6hgZgebbxTcQLUnNtM2mOVPdU2x
etI5d4aG5hmpCfu5lhUsBUELsRHxa+ztTAuXCC8N8nR8bPWIxR9NNU1sNA+yGeDrkJcR6UUxP076
jfjXvoKCAa9LcjszsDPhxhgmdKuVgpGkmRMQR6mM0AxKTuAV09M1ZUpbLzOUwO7bQV25qVEtfbWc
0/6hLyPGY24JY9A4pImx3X1egJA7Pc2NwFaaPpWep+LAaasF685Bj/y0XR8lZcCPEOnHIx2TUqgY
wKubg6HA93I0TTHlXZJEyE7R2hlrO6gq8aZYoPIouVQB1O6AVDoer/X90M7Lyv08hHV8z7mbL/OA
d3ZppMrWBUw640jH+NMRDpmJbQLK9VGhr6oPtEtz1tRonJhDXvw2OBrfpAZXNqiynBlSh7aBdj8K
kfG8A9A0Oi7lFSl1yP0+q43QztohXZll9LWg+lzH/1CImEDByAbaNUgt+jQwlFQLK4ZzpnbGRP+u
TofBrrKku2gBMe1UL4t2yaAUcy2pY6yBHtjjhoYcMwkUjt6nON7k+DbVmmHdMkybeVls/LQtopeI
MRuMt+HsFXCOfQGmQo0TrfICW60Hp16lbVaS5RAUYbzOY1JVm9Omf7ALQOMSoNhYDuD8ucYm5HjX
+2GuoBRXjNq/jsN6kL3oEitmGTnXvMCJpd86dM28ynk8TfqYPOFz2L/i5DoORE8cvBvKTFG6DrsA
Xe9svSbhRVipc3jRUSqArhEONRyhnOLyPKgBnTnctwVpmiXN0nCp5docenuYGbGPwOwJOoc4To79
4r7WGjdheT6wwHaGnK3cMB9uEu5Htov9aitxTt6cySeHLo2hJbS3n+FqVHMTP6sUzGBqeRPYLoDB
JU+CYeP4NUDUFAdz5s6SH/G3PWIT7ryKMaURbWAbAiVGVWnoSwklNdbYj1TLBqPlF40oy3hx2kCO
CBUBWce7wcY3aGHMbV+oZqL2wnTzwC6ryk2tBuMF1ELT39AtXzdLb4138fnxTAA7xiuwcGBvI86A
SnmfaOoIx8OLwXw77tTAwZhpVvsD3p9Xtlohw050plUZXtOu3DrHYO9pjo9oVccxc0xIAHmAVif5
m4m2Lcu6ju3kfwj7jua4YS7bX4QqBjBtSXa3ohUsS5Y3KNmWCSIxASSAX/+Ovt3MvJrZeeFWN0nw
4t6TgP6rA57EXsrD5lcxn/Y///tX/X/eC7BH/5HQwh2X/Pe5JknnAfI6q3sO98aJmyTpzdHE/6Oa
/R/f8t/9y9ZVxlK+6x4C/qrb073oVGz+/u+X8j/uGp4VmEVMvCBqAc3+t7vmMbeBUBRTX0iyPCkA
4H2yrceFh7R8+9+/6n+USzDYX5KL/yTxf4Vo/tfVYVazDkbppRdTkb8wqLHY9RgDnNL9xNak6bGX
HzXv6AEI7pc4HLDw//0XgDb9H9eLMgZ5JJrjr58COuO//ghw1RL2TLmcQpFIONBJzFWmHncVt0F2
paYbhO7lqKNq2lCvm1BtUuuklF0Kuo4tp2ZMUp1+jzoP/GOU0F/Q60PVM3nllalm+8aCFEZcIZNy
I3+NFgSRkWRMGBHtKHcjxSk5hoTlHQ9mX5Le7qB4xcU2Ys1fdj83iJQsOT++/j+PS/6+VFzbf6lN
5uMtZrHMv626WvXfRVLrusyFMT0JMo2LaEVqhb5xsxhvkkqUAoSY2MNPz40FKY7pNZHVGZsvc11I
5X40LVi1Gvu+CpnsRc5V/QqAJaO3MAhtyd9mg+3qh8QHc9FOcGSlphvrPRtOm4EUS/Vzw3Rzy5cC
8zboU3N8TwMp4dmcrGAMYaNTLTsRbLP+8DRfxcM6FSS/Uk3DAM/hWqbifVHB5bEHTwJG/WoeDzi/
TyAwcg24ACEtS3K18o0cF6uFwMNR+AFVD8PKOFadbpZGtyHMLOknzvLwDMAxNX/VbMpsvFiEBr4t
G4b2vVfrNJNv0MhO7JsdmwiBs0u3ERDPvuGnllCT/EzdkMCeDCm0id/ncoaOtRloHU5+SxbbuapQ
4mn7iqTRPcmJa94KFqrt1+xWxV0HiMe479skALa2uxFq5ZhnWZNe8Tyz/rkcvZUYYYboEN2oREKo
aFW2uvhWImBx+DEW9b6QM7ILjl1dK7c7/lRxN8MuU3HALE/HUU3qQDbrcATRYdeu0OCPofTT21ph
ygViZebGvsaQH8zDHVFE8lRv+aD+UOzf2dBpQuph6+OxiqwGy58U7vtUwurwmcVIBwkwelt40vFh
rwT/etxrunXBLYjBRUbsdAz4erzIzYtgQUOn7uayjpcwFMa820ynUrYC6/bAfqpcdfxCFduzpLWO
yvi4uBrSxwvZmrDlbSbMWgydHGzu1nasY8Y+t9VkBZYyKzdYFUgIafKzpiFucLFTHxFvOwiyhPeZ
NzG9ObKZxh/UIF3+e94wa17gXvSqLxpGjg74SqzaOrHM9Ps0huReI18MznyA8PFVEShGYOd1Jb58
PZbqbuLTsr6irxuz81RzAPUdpHYbT3q4idKBXC1Bge9szUJDeDdU40U96ySUdd5WMomQhRhBzJrc
5mum56aLrLDquBhOikp1Ca8ZqduYSXAAt47AP9p06a5d/FtwAuaqZ3yD8qdNp5BM9AxZkKmndktJ
DGkrkmiOd6gqiRha+NqZucuygUCZisgfSJHbMNWD/CiW1c9jVw1JTJ5LdNlbDbtOYI1oo4UsxrUo
sIX7o0UQnLckG5rVdV9qi227qVKMO/abnJJCrderVXx2l9XDJ7x1OyaSquznvGTFnclFqR1ijEZu
+LVFtRbQRacN3Hg54myKLqOEzLIb3VHP2XXMNcrXD6aK4NyzkfkiG9SQpjrSHyubIFdCh14Xufji
IUl1Dweh97c1hEJbdpqHSI/2aIJLT9sWIJLsG3KI9VELJJBeLUgSGQVUhHZCgHBTZEfzt9YZuI6z
FaH8Z1FSqts0kVvyqxqzbXrRFTIBoPSDQAliQ3hYp79ZjprcZju6he7w477fJiUSBl8CpnP3mthp
VRelhjK7RRMCrWziOfldWY2so9GF+XplUV2OgiFteDmWIW1hqRjuS5bxhwZug3OmGvkALm0Gz6Or
Zite6rHQ8gTMafVZC/p54g/lvB+wDM/5QsnPLN/C/AfXNOY/bSk2KHZhQGou+FkgHlIuXeisNyq/
QGKdqNstGFb05YGmvZOiyZafuctqkrRE62W+I4Vs1HMmR7XcpdiB2eNCRx/uUO/mn5ECVXwdTLOw
P1Uca/0kJKmrJ7sksfkJ/c8ynbeJjFXP03kPF/Suwba7NxCKnhai2ecEk+f6CKnqqM9+GH3zG0t2
wppjKSQuT2uZGfO3YVSU8BquuA+nKe5r/jnSHb1iS6Y1w6rGGkn8k6S+MG9aCSm+mxCXeMOhtd0k
BKlMyVc21DYxV/TYyq06J8U6+PTKY9hjvotHLdZ/ex2O5HOXdDFHy21KHek2S2j2O1u9dzns9MaX
sYcrY99Uh2iVYfBt0/CxgD9j4l9K1JXni9+6MpjFfFZOJ4lqp3rZYNTlQ2abj4WKZH6tRqpHbEoT
FjpvoQaLZdbJKeQF1Cip09agkNZ+vdT1rmBIb9JmuR9JgTwFiGMcbevJo55D7rC5dw0tKAx3pR8d
SmMq005CfQFdZToR2xZ+GiElSuRI61c/gCx9ZQfRfwczixqQpdolMO85fU0J8LoOGdok76plWPWf
zcX6GaIuZ/pGJ9w/lebwVwPeL3Ynec5Nh+qz/KxTkL3tlu/yfYOQ51mFSfwtx8Lqq3ny+dN8HOUT
vKiD/c+28D7U8PrChbiVN+ZYuPuOTqEG8M6LRl+WiHiNC1JxmD0lFaO+y6dmLa7ilkBMAomvfp3S
Cg8rRHK9riFJeyCWPGn5jPiDDuI7ZBMUi1LiLMqC3SVFEnQ7axU/RoL9+3q22UJPM9+OKyGs1ad1
SeW5rENKzzQxwwWTD0Ip5iDnBEI2tvB+1mZKuh1C8X4FceEuB7a39xz6S9UtDHtMV8gdD2UMCplE
O5Sstgvr4eT1Nu5VaOleQ5mGnqQZkF3kj70fA9n8zYAAk9AKYaorqVfrkS1z1GmfEGxDLRK7ada5
KZPQeaSO0W5Np5L0uc98CmHdwJ9R7rK3LZ/M3mah2X5QUQ0/isGzfxym9ad0RboG7gghyZmPEwQ4
SbUmeB8m0RxtU29oVpE+NJd3M9NePk1TNNslo5uYr/0EX87Z5TbzPyRM7ktPl4qMrSi2A0PZhKVZ
bo2mJxbqZOoEPvPw9RwAhwc57Z1lLMs69ChT1dOIXgRaxKCxiYhK721pXPbRHIW+HXLEYvRQM4+4
hsTb/DKSuMDQHkfxa8KjGbvxUOScjxviqwziE87ALmcD7Z2WWYeJSp8FVfgnMGD04IOsDW9zkQ6v
qxSCXdGBHVlboVOB7ELUzdQ1qZofpCprfq4ygZSbZnOlPefTlsCO1ETZtFPcJkBNO9S8LSlSTvHq
66Q4RaeRA19tuviu5SDS7iiJsK321by1ki/e3xfVMMN9PeTN0JnhqNJ+wvOcvy0xya6mQWgAgbny
DB8iFN1l5dLY5nAD7a2tLIrZFkeqzkbv5CGDgGv6nU4ytKRGzWyX0ruh58OCP5vLqpGnHd2vui6r
sRigDjfVbaNERS+1Qg1H694Y+Slj7o/PEhE6P7WasZ8IPo55b7amWc82DgmuJd1Mh26JqtYcILBu
mF+L16wIW31jGLT/Hc/34TlWg0naGWr7W78zNJf7caDJ2+PcZH050cF3CPFpkMDI/fgYliz7tdGG
3404p5C2NskHi2LYiLEzbEdhPGJKf6xZEn6RSbKmJTsd0+fMWaQlFJA26J9yXXYgZXKzznzDaxki
chc9dr6SjQl55OhrX6IjdO6TKRtvp7RwTTchBDy2m5zk0A8Dr/MrPKpiP0fHjw1L1TTPOywm4sT8
aFk7gCXmV+NBlvIsIc+R7Q7rUnVmlgEgjoRp3vLJpz/pQb5EUHBwijMQ0O3U5Du0psxzdonZniDr
phgGfSHop+c3LvKjnetKjt02ONQucMKV1O0BW6S+WuFxfQQSl6keJNKeXi+VTeEKI5hZ8H6VI9kv
UCl5cWVovc636FUwtUk8FnEFkAF/JxGu2PrN0+hbmFb4G4h1/ZmlcfjL5+n4iywY/nEMUt2ZAgpA
qCnI/BiFky+GEeX7BAvqp8tNsl0SmZuXVZIENVOnMT9XvlRoChLWkL5AQ5FfytSn8jpXenthI5rv
2GHe17aL1uTPK3x14QTX0dxzJkrsBTgyQnfQ0iLIiilaj2gGDQbUXeXlYx4EcjEiDEzNGbr8ZD2T
aq38D2GaWl5bKtEO2z2pTlHt2IfabTS5Pc2NHsa2JIS/iwG+9hamv0S/CBeOrd/1wvILSvF0X4Gx
hq03j+XUVq4pWxoFogMgqWj+JWvm/yWWNP82WmCy3QVbQucSV4CarTfsZxDVqbGlqc5OrMB4Dr3L
V3akT/XycRwH3C0Dz7Vstybmf+D6wwxkm1SiRSbrj5pV029tAslvctjSL+BM67EDx70uiAEBJnyG
W0XOnSgY9BecL+nrPrEdr8sUh1+lmY9vZaTso7GBPLk8c08NaQ55mdHxQKRpCziJKw3G6zQKsZwP
qrfx1KS+Zi13Y7g/FuWTs6KH/10hnVS2BQn2j8iXSSNfxuRlz3xWXVQChwyAmyF+bAndFXbO2vir
XW757+OgroKPJ0wfM4pHPFWuFveZyJJ/8PIf33ayz1hKy1Z+7IMSL7xAcAZsjGq7ceWAFqkAvbK3
AWqJ/UpBeBv65Rj1P78k5LfZvMhQ30L4Pk4WiTDbFBV/EONCwZ3q3XymaltDd4RGylMgVAEp8Mrd
Eu3nFQNCWP4NJWW/Qj4PTw5b+GOpuH3ntqh1u+Ou/akWu956vaTo9Q2eeQutj087JQn6QKX4l1WX
bgARExqUB4vK3bdmxRjeCi8tpqrAv8aEuhgf00x7c56TsQA+nyLe6LxvYXetWMaiukDzkb6XVhZl
Cxs+QahAgdc9g9WyAlCFGb73sLKvLa18hakUxHsN/omE5nTkHrYN6f10E0H80vORYbA/ZYuFYMRS
ay+VwL1G/qW2ZTe5zA2t2yosMrZT+sCWmr8CB1UvR+aAA2Hwc1ubz82StAwhDGWry9o/SzUUn/vU
qPtjG7fhBnNHTk9NjSbmvHpd2066LzonYelwnS6Vsmfvm+YFe/o09nsxmltRJru9XidV/pr2nNx7
QWJxTmvO3wY0rO6mGtbmmTcsePgdJXwFW+4L1gW+LKc69ZW8WlJqRDfQmf6tl9xDhmOYuqVxja/0
cLPt1mIrTceyQI424MlcNNjW47zvPP4ErRr8HapFoc9NJrOTprU9ugUKA7Sz84DhjuHicXdCE34C
9stfCpkP3+UKc287WqBL7UDQA/SZDMk/NQp9C4vfVwkHelWe132cqw7OGftY2bAjxxcKMdyAeJQd
QneTBySw5R6EUyxNu9ekXE4D2vaiI4om18V+4DIbGB+QQqmPqmrxPtM/4DTZj2Sm2xuFhP4XOIpw
OygnIA3kqnmrj336CyRQPa5u1r9FEfPrCZe5diDfMP56cEaIyYDOHyq0o2HXudlUje91ASuKMHuc
WJLvWZtStuDOomYAB8mK7VkhSQTDfgZpBKpntTzisB95tMj0FSlUOqT4tYetuK9KsX6oUdK3vCKU
I6ZD2d9yGyvZegX8s9v0VCIWrhAqa1e31R9sONAkO94Md7FY/NoG3MR75mSCk24G7+4QKYomJUld
2gdWqQlWroWUbcDc8U4KPr7XY0nxu7MZNhCoN6YLnQWTbdhXjxEIVlIM/3GclgvT5LhndRoVWrXC
23bhWTV0G59qd0LXFExHtyh+QprPHjNXHnurMR/FDqJLdG1gXKcrUyKlsN3nspq6IYdJ/6bG4UYf
iGCjL2VsKGo3ieZpMrZ+K4Y8DdeNHOTLbMX0B6foxHs4I6ZwHsux8e2E5IufmNm1bTPswDD8j0v6
rHaDLYBxZFyixJbVkzdJ9ebyGaMclMP0le87to5jCnD6lKv06sYmIr9VyGLFFmbyyfW5ScnPsZ4Q
GYeZgWEgrSlypDZ0LXc64nSndqZq2Vu84uVvQg41nPhyqKtcYCLu1CDlg8kxTwAHAot+UQsTd2tE
OMKFkSa9rjdZfQ6amhto5tHFqB0tRmpr/wJkuVp6SI/Z0fma1LyvixlSdgVADLmW8MrfjyCf/hzK
NuXZWpxqVJQ7OnqD06HGLlvX7T1ZjuaxhLwOqnfzdZKSLLRauwaJkLcgNqeiBXk6fkeKj5272ZpM
ncdtR+9VI7Mqb20+6O+uIdXR6WPOY2dp6u9oPYQGW6Edn2sRlqrVsx2rc1679IxnPEd0brA362wj
75BQweIOo3u29YUqtjsFR9xxJUFRvVTkWPkNTubB5sjRVvMWtYhcNTzx+yUZ5qrq16KGM70YUGQo
wLIblqr4sFm1NKfoubwNJqwFBrAi5G1DwvYwHiV2NVMNIDWVW83VWIEoOkVZ8J8Fm+PH0vhk6fEM
5Z3zNkv75tiwuJVk+s0SOf9utKJDV6JD+QOSIdyL6rC8x8xsvlkfiHpMEL9gh+dmBgjc+ym3a2iZ
G9f3NA8abcfoqPtGWTaUfW3qJfyWkSRba6TFW0Bqi6eQoFXHZLjlMr/sY1PB1jyuzZ+yGFdzWtYt
Hu8Hc+n3GkTiVdgTjhcn7u7npI/mj3aT4uc6NeYVOer0zU1ErN2RE/2ejNh12wQT949IRMMxhjTT
OV1LrNKmdIc6kc019ck7No9XK7Durc0MTePdoBr0LBFj8feSboAXU58hDSAHgK36cZa1b5F5O/lT
XYtJAubI9XfpEZaAJPVoSOtX7t8tFWhDsyo11Ukr/Jh+2hd8ta+XauuTGPw9mucFs2xQYek0EL3x
BEe+hhwHnNAHCXtZD39U/IIUQrIsT7UgdX3KashduuNYwtHFsTBApipnk44EHydsKvM6dxMY7n9Z
qBKEDuM5jNlV0Rzzr4U5ZJ+yyi15B4wZY02ocgekh5TTfLPRjCgEheY4+AgmAJSjdZ257kyMxaMT
h7zbE3LAt2EPjEJDLEvMV35Fpjxf7Xycsww9BuQ3Q47RctYrgHEY+p7F6rIE/32fvqW5QN8WREz0
OQL1pV1pxvJJK2gIWh/cDMRN6uobEvHyqrVz6f5CU+Rx8FsSkrmHnNXMvV4JB2A1N8PjHhCG0wIo
kcllh2726AuPrNWu0E29Yulk9F4xtj03FNN7Z8Nk0q/yrT5GTx3KNPh5fHxEN90Slu4vWaTNw6y9
9RdI9MXjZoY06wvkQjzZBmmOiN22CIA35ZGBrkq5QyeQbFlKzq4BZPSquRhiH8Wwp900mTHeSyox
qhXYBnVbwzzkT3MkCNUkKh7qdlzr9GqdZ7u3MzQcLxyrykJLpGoOrIJOA4oxzrhrR/glhtZPm8Qg
WhbDxQ15HXukCM+gMpmwQ1sjG5x1pWP+gxplkwvHlHoNTDV/mKqj/MdxxJ5D3Rps6DYsoKotlIrJ
WcZBxn5l2f5yFEQTHLk2hg15GFRVIGHGSnezniH7DovwvoYEI48Q1j5ACiu/HYhVKzqQwceCbv+o
70ESrT8YxMUJBACAQtpxPSJQv9SCCBiPJUI7xzbILdMRe5NKqfpN+BgBStJGvjCoEuaTrkgTOoL5
4LHxAp1TmeUrb5Nki8CZg5LXLM8glbAetExbwFJl+gqd69o5cHwaTzJOGAA8LdauEDP93qwp5uoU
zsdnUD4pIIwldWiEnJOtlTU4qVDZ+dGNaHl7HC0mr7Xk6DH2gexLvx98/52xkCj0e8d8J6RW6XVm
GXlZI82fIPuNui0sa4CwJmZdTxps332cCgBgfCjsj/+QDG2zN/Nn5lb/QAyzr4RNizo16yI+i1xi
O513H38fgawPeTD8c5kQ24HhIGcPczAlShCbstddUaTr7kCfrqpsyv4wh5KHS8UaAy8aXe+8WX9V
hgCYj3FHyparuYINGfEtSFMTxQn7HH0Ag7Y9Y1SNc5cPRfgJyQL5ZcBMYCNruN9a5VIi7hFfCj5p
sMv+fQ41D5cqjzgFYc6q9XNNkNOCbr38JMiQTDoMo/W3LDsEkN7Vbz+I1+isuXXJvRJflcZzzp4M
tk8c4GjT/RbkCBy3UPtWpGXjlpb3voi0BDWj1ZNPA/pdfKV5yDwpkXa4Y7+rqx3FaoUx8XmpjVhu
N1ZlHgST3ot+qBRgSuRd19mVWyjisQqkqhS9TU34hzv0VazQaspuBpz6mh4cYKl0mLbaggL2GI4y
FFfYBFPg2pqBCM+inp7kV7rAuTFZuEPZyw3GD7T3bVmT6R8jmtLOeL5gFN7z6Vn4Zjs68OXjdm6o
QdBL5sf0aUULknQllFqPG9r/FeWg5iCfYN5wcMP7BMnzfPDFeWR63luJWgdL0j5W4ZrCm/dZF0LQ
VqeO6g6LJPzcnSAvQyrWEVTwun4YyYDW7ojwl63z+/xYIhn1z4qd5wFIc/qI4OApe1ygTGGA7LTE
SRxfDLEXJl3fGJC/5CLy4B51km76lpU2xnbB61WeYQsE/yfIV3y1B0d+0tuGXj6vx2aEugeHKXRQ
8/LfRgKbhVVzxUBLVilBE82SP2ZwwLrTavf1NLANFL+nMsf9DRmailUl5ZMEf4q0/zigV5iybPqd
SBDTJ7OhFHdBeKzYekqqfzZPwjMNbt9u57rElhPgeEm7ai/8B3DwinYblMiXEjm4/Hqk0JB/bXN+
BtU05Wj/pgG4HaJnMtYB1o0/hd/T9yBVnbZ7JsktjO7TZ1kdAJ4R2Y2sVwEK+M2paq8gJNDg8Iuh
Wq71RvCX9bovaGlppYpukXXxD7xHAbYDKoIvsljDZ2XohjELCe/JH2AngMUNitreSdCH2V1YdfJD
EQrinwyxGLtjBMsPHJmBjK848N8e+XHTszzy8NtDiPyOC8KBLRg2lDlVQTRlR5d9s5cDIfw3AHyS
o52whL6jWzKQkuWMJN1UR5JfQmrz96Qw4ysksvyXAzb7joTPlF/AU+vXRYzF5xon7ls0PQkwf3Bz
v+dpofe+qZdjPRV7k/6BenyObcYEjP9wdlJ5nUh1vBkcJFXcZNywtbdQg2AhI7n5H95HvwA9XMAT
j7sKaPGgvFlOpSR8Pm3rSG83JEyAbvKGfrJcAwlIp5r1fD3K41yNEdrC0RUJwcQwkW24Hwqhcc1g
BkjnsV7DeXIuV53Gs7sx6ZSAS4YJ81POh32aTURTS9jGii4Ars5PhSm86OZE5cltZGplLcKIineS
eTBCZqgzexYYYJ8rSdK5awpCwvW48uwFh8IgDSBJOXqDakJuy2RToDPDVx/QDozND8rks0JxP8x3
soIewy4tkEoc07l6SrZyH84HsfpXNaM76kYDsLpVZCiwn2VqfrGLL/5CPQ98xkg3Ve1q4YahPynS
C9P7PIQs3smVjqTNJQPatA9F9QBB9yz7Gvtw7LmtFxQlUjjY6nYkQpwHnOWiLkwtlbjNUD6APPPF
pifarOOLkEMA3FMcZDxN0CXBvsUzwMqzLWOXBQc9cSqjfM0TTA6tRobFgI+vsS9NFm2LLRIch8NO
87khv5f2YHzSm/LQTML71pQ3payJB6B/+O8ct/J1jhHGZi+aceqIRO3rdp5xpB2baZnPgISGx41/
ZXKoo0xfScLdG1wteP2MYxCgBD37ree03mg3kBlSDMrq7HoTeP8+oBNAgaSVAdGV5Si2Em0WXk6T
rXObjoAYEGgCezuyEjcMsWO5WBwTpNP8oizym7AbVOxEPYaIlsrQnM1uibgrEOBatrVP/NgOO9KI
OmUAqF7VoSw+52LhbwYlheMmVO56StES9TU0UPQ5SuXuAk2m8Q7dWXl3zEllLsVu9rErCg1RDToH
oDVpuqdrj+NiCACYOGDx8KKY3vfgcCFLPg5PGkPXm8dMAB8MmRBqEOuZ/ZD1MONA3BgryICwdYgT
qN71dp7Rppw1MHXZKRyH62CZzddvqTumPwSn9o63HnbsKziu3Z9yh6krybhbvgG6B+dlYYYMKEpL
+a/Z9fg3gFv9VEBfX+lcQjrBZqT4dLkc0L3ZBa15jwOF6YOF3AMKMXCwyE7agwflsFMJVwQyyRG0
eawflZhQBB0HWo6dxFZrJ+S44VEcFZa+rWdDW8M3+tpAevTBVepfk6WqXasz4z8M8qnTXvCdPKGf
iK9WLPjxVa1/UOrWV+mnpGlRq1MBoxB0J1CO0RVNSxjmEX7y0kTMbnGz7YjQF0ANiJMHzDVXa92m
ztOPIrX0B6xI7okSDKjtVu/bnywZDPoRDEFzz0BrXmtcIFo65vLbES1p2SmEr07QrCAyGwGfOVJw
9xkiC7z6er5gL+S/K3oUFsnWIebIdlrGsqdQwow9ww1MO2iCK7yrDOugG7N8hIgZOWHgz2cIttqv
mgx/DB4wbVecMHVnasCdYOTk/Ip4G/VX+n2d4DuI6sEodJ6nsA8zaC3Qu7pvxE792QvQ2osv9dKF
SlJcGYNT8hQZNhhw47X/NctEfmAggHd71CS+ZGlIXFuT5XihOJr6OQs7TgjJ0gMsHLaPae6g1wAz
rWo7PeyWLd80zfIfq8Gk/wTYKafdAuXVrwCd6/swBf19KyVabOjBBTRhI8tfeREmuO7DmH8joLn5
1WSG5YPv05cCETOIbI//x9l57EaOZGv4iQjQmy3JNPKmJJWkDSGVofeeT38/1tyFkplIQj0NDBqo
7o6MYJhjfoN0W7NrxSwW7K61eC+EsY1oJ9FMfNJ1QC1RAObX7sus+dPB9njXSUF94g2F86kQJPhU
IKVpxE97UMFeWXGrO3JQaw+hMWnkTykq1HbbytLDoPTDQ4o3WUG5Uo0+QNGReIxN93vAhia1g3re
uXWthvl+KuLsNacJzCa2kiF0BIoBok2/ILBsCk2UnyY9Dm4CKAWGU6lyxdvb8y9ty0BtA2wjAgri
iSiMyV5NPcBCtT80D37tAauIZqi9rap9MIJBa4VX8vHkTtEob7PakXBXVI1/D3EHkVxPytQLWWqo
+1YzLIlDpmkIQcZ5a7oGhbQXConFm+gjzLExxIRabFeF0i04yUx3YJdQrCJH0+lER5IxOtytADYI
t7KHscW/xRVKhY8cNLSPXbY9XBYflN6rECjF4CrBKO57gZY797Y/fJiF5j1pRC6sky60n5Iy0dlH
qTPEA0bSRpJzoQ9eJC/UvEukV/u7rEQZZsv25zIDjsf7mGsAuem6dqVPtK5U1JjSQud5GPPqWlC5
T2yj8ZvYbRK1nGxBH7072ZK7x042m89ObdRqL6HOcZUltN+J1nKPVqSqfVC767nyjMrf5wpMeuqv
Yb4T+xI0z6AKxRVTrYEzGHIQOFhZgcnReyAtgjeg2SSm+t9CDRJ9I1Rd9jFfCWRm9DkwPiB6uDC8
IUW+kB7pW2n2EoyHQPEzXiXBpCRDXeI2qaAXAInRvdvJSDD0myi+gT8IprxzLS/3C8IgNbyctIyq
deGBx6doAeJjWwpjfBtbOQ9mWqa9zPaplMtYo8+Eto2YJ+RNevwoNkP0q88n4z0AAw4IM1DEn/VU
kghpCeo66hCAsPFlEXKh34oeobjeKT/ZhdE1cPxfg1cnpaNkBRGeERKTG5Mpo/yYJeI+kgswTMNE
Y5NLOiqDTWQSptudQPZpR7ToABhZvXwBECcwNyjaQfvWM0H5yADAcUMpPL1R1on7oC45EhT7rfta
LpT7gqpz5nq90r+VMi8lm0/tP+UMLyAb4JN+1dXgvezMysOXfqRFRh2q125gPvfscACVwaYFzFeh
AVWoZPBGTOdCryTxkg9Xgc+IB+EptgYf8NoMOsw1rKp2XdmFXLJe9lZBj33tlTq/zcRwUPZRUojb
TBgadceFWsaO0eRNoIKUoAyIKRA1hKS7jDN6ntLcPQRHZ9ow8JVuP1haSo8hDfXaqQSZAi8OLZAd
kMynpd0pMeeJj+BVYJcaTafZ0Zk3cR+KCXVTSuI3sNioGGRDrBs4A1VgcilFUKHgrQiaTVcYibLF
gYYydtQq1Wseyf0f6FeBjvIWXWY3asbyBzxaIbkG3BteRdwWqWP0cyZFX5kfAUQm9G2DeOsVvVHh
Co43rWtj6qMPNVD7P/T1GLWK69hyqVUl5l2lphSBMTicyAHQuaXTmpla9RPiXaFdBVoePgM0aBqC
rK5ogcmEAjiRAQpS7FQFqKu9TxmtvoYoXN90gMtbx6TENe0xSCzC4I7+6iA/gaqYPgm2OjDwg6F6
9Uvjx9BBNhVSW8aFQPv+AzXv/nXwlaHd0Yc3c9ciEwZX0QqoQJJTU9D2jUl4s5A+Q57L1K3boI2t
AARYYBJQ5/mPmtY9YCoxFD8FIBGZO4Wx5m0AhFjAoUhHU1etwQXR3Z4PgNqOiBLKmdmVjlkJtU5U
bYAuo7tnPTV5aT5MrdKLNCgnpgn3utyBru1vpq6eKLlN3AwuzZD20Qco3dITkuKSOqYZv4Q5rSm3
zfMKzR2QfwSWcTpSH641rpxKikn0TcAgEjCxpmnAoghBTFtBYNvQs0WuMS4mw9uX1JND5I8Iap1c
lGkT0nbL9C16X4W/iZBMM7dU62PeJkWmHacCHUelqcKdwsmqTqZRpQj+DwLGvtsE0EIvEY2RqKqI
mSCQENds334Q0TIoo3T07Hjkeqd3SJHnAvVvEmhAJgZ4rimSPrRYjiEOZ8hloqraxYObKp36O5gy
7kAhxI7GFpSUuqwVgfu1Wy7rxyopk2fAiEqxIZMfXjo/SIMLgWCbfkZYKA+GL6OkNUgFO7LRs0ai
UyhJNz0BzUcZdeYPZIEtAEfYJHmbxJrgkE6K3NxWZii/B7lsaG4UDeLFpPl5cVdZefXQj5kmgtcw
Qa3nczifekpcOarYggQjChegXGd6/TMLEnLbCPlPLnmAm55LNVx94DqgbwTLDBiukiWCAOBNaO+5
pqbOUaIYXGMRCc22L/+9A2pjdXYu5s0NVyO9YbBD3ivsi2Q/qto4uIAcaAkC7SnfRhhytVsCcisv
EUkS//pDZio7UaCu51AakHhKRD0aXS4XwdxIvULKicB48zv15boniI79F7R0u4cxqDpemEL3P4Iy
nP5KHt2SbVxZ8afFI11tdA4W3YcyMkukZiIDLOhImOmw42lwq4HAuYG5QLBHuh3/oi6ffeSFEfa2
hAT8C51b6jJ93Yw3ed5bH3CvQPDQJdZKKv9TBExZEczfSZROnyH5FLOSEnBsbWp0qhOFkdbMLTyt
c8TQSN5DNFyxCJImhARUqnN0OsOZx1F3FgDRLJ9SACeiyMf3adVd1v0oN7ZoyGDrkcQSApBFkV9t
zMICas3bgqeS6auT79CELW/xOxNH1xB18VrzM0wFQqlP8h0xY/yzzLmVCeKAG7VywdUPyDH9BcQ0
uoe924AtDOVU2IAC9+4b7qfAIbSXSM3CvP0hgw9/LujXPGmYUX6ovI7XaZ4oj1GiqNlDGfUtkjpW
2I172eyGH3VQ18idTpWC3E+RNN5uzJXosS2UmmpTP0JUGcWJCiOxC+Kok2zG5obMSNA3oZqTIg51
qVeu3HBqNn4TDtyPVl9lF5k6yC2k4141LeqpGveDpjT8cQCF51cRToXgoGqWo9UQSWP0aeaAJXaQ
1DrvpiOvAcSFi/zjAFbuj0o6wKeWxB4jJ5/6uqcGQMhGUC9AGhox+eyrwXvyiO5/I/40l1bHoVe5
CIgBN9BvlDc4IKA7UihBb2U48JBXjWTtyqSP6azCCkr3A5jOR/KTAl/jSK6BzGsQgnppKiWnTqA+
2rEsJwmoEgojrudBjSGONIx76tFEmxpMgKuoAnLnhhhamjQMWp4nADXKizyW4edgguZ1ksQgyoXl
WJVOKZrefRapYIvyPibIpdUaxNtcSfUfQioD3mmh7d3XgtRMTml6LZRLUwfBVBhi/iSHRvUO1GwS
toMxVrsAavDkmn7pXbKl1GQTVymRaSIo2YNkNuYjzor5m6mUmrDtABL8aaVw+OwC2k0UWSL1tp6E
+LEee9apZz98FDTXB/LNvryoIF11Gwmd98bhd4lP6mQV+0GIPAAxFE9/13Hov42FH72nzag8pyS9
v9tySEPasew5W1ZSYbR9cNkUkzSUOuwaHPzPJKE7I8WpRw037SYa8oZZ7MDal7JDjuTnvIb04QiZ
AefbrYJK2savGuO2iTRh4AJPJI0qYBS9VkUcPllebN3TQKT20nveJMylriG3TV2A5DKEKknAyH33
QShBAiKDt7SxcOU7QrHyPvWAosW2tspIdUdQERaIr2a8VCc9RfpCnN+dSCyTcKN2AQXaBGyHspFS
07ibM1CNq6adLuq89ivHazHVcVFwkq/rblKf/Zi7zUZIM8SeiGRla1YFQQ7SzdXfHlWY67BMG9nt
KpHOeWjCL7CRMBo6R2tKP7G7aRRe0arjyw8jguhmOElPymCg11KCwJT5fgRudh/nMhScOLMemtib
NJu0PSCU8CSJYyLKwnMfKtOzF3atBDR8rjjjjdB+qFGtlM7UU5FxJvwnvFnHcKT1RvXoPuWrCgBp
SbDtUTGkG4hj1a1p+UCPDSkl3vdVZLddOkb9wP1Po16uR5q+0xD33hbIqOrvE6m2HoQsQOXCsujd
XyldT1+Dxnjtes041pAtiAAu5Ei1BLtuMFhuskogQ21owG9IYbMIQmKU5w/yKAEQAD1WQ6fx2E60
Sbp2Uw7BWLiVOEiqY05Qo51BbNuPTumFftO3lRRtrcCKOWmBpRN/AUWdANL5fuRKFAfD34NPiWbT
ToLUOWkOD59wbYwBX1ilHF6iPmalN30XmvdaGCelq3RTAmErB213B/mH9nYLY4HFKJX0txRnUr0d
g8kb3HGgeLX1A8JlV2IVK3fiaifiiOhXsbBJIUjUh2TvMSwNIowS4wsByGdHaDJyhP8k2YDLeggD
5DFvRhRtSkwAbrBDaF5Bz6q0I/Navyk1OtCOMo0FIGOziNBHVD0JDC73GSm7HD02UqQTNFNTBZPX
A9B2E5hEv3OvGJ/zRIruVPDp4gwdpIpMXdYgPc2Lv6bXkRJS4aVqSB2ROCzSaN00RiK+Ewf2jUPi
khGYdpV5JxVKKe081ZzefaEXb5AP6cQraGXK716TlLlMkwDURLvDv6BEHEx0SsXsDpqBIoHmV9qA
hjv2Bg5wIE6UMUTiQ4DlQezkqsgH60RRe2rrigZz2eo0emOxti5GwW/6Xc/3/jHxrg97lRrHRVQF
dMKVjmoSWmPtNdAI3s4cHMotMQOPSCLWeWdPNaWNnRmWFfALK8j9p7S1aDsBsJdBTmWx+aCnObBY
HiH/rkzAFNsdq/wTrHp3N6d/gHLEBGaYIOT1PYxJ71dcUEt2OmUg71AHMwEwgqHKmxWgsGb7RTAa
ILUSihhphM7tZpYX/JVQdkMXVi6Cp0DNGvJh0Srf4I/rCeW2LPnlS2UFHsKLKS5ZFgV50OlZ8STl
YAG4aUFiqBqKx3ZY41TucorHd2vUp47oXgEV0lO01cDjEEyCmFaTRzWE1eDQj9I/NbMyHniZamWb
ez4db7ZutREbvyLwrwqlcObbedzKESWfTTQ0FLQ1cwIiGZjp3YxGHd1gKIcb4pms1vc+ve1xE6BQ
UCLxVgo3dcdbuo/zXLkwqZQgxYq8PIl9PhTSXQ0t8HflidOdHppJY/dALNq9mk9meGUWYSZRnvcb
43pq9KR4IUMQXgSLsihNoEIEna9HxLtNX0hvSTZRUZOI66Nflh91gk0iBkLRk6BM7YoSzPhPA+NS
i4aLlWlcDApFMlC2PiV44D/h+Ay2tMNhw4K4tFUKmDx23o54xp5nOy8FliBzI/aJdANsLFlFi++Q
6pxIo2aVwH5oB6vyO0axnt3GZbsz4n64F4RktjDwfD5X07pJ3Eq788Mv6d7z8Ni2QsY3kY7Vl44t
MFirBtBKakO8IjFKADK3exGMoAK3s7ijQ2HZk6b6V9WQAAo+P7i05Hn/G10WRXqOMM11ccHzVqWC
6Ir2sR0nXYQob0Pvo6XTXMH12iRNr6ERZo67LCPXlnsf4PVIcg9aw7L9XOVupMHoxiBLHCqo5sqv
O/njcBKUkRCQUIVeaEKUAzdhq5KQZqlPsRO2mg+UIqEWGNe5nrsrayHzob+oFGNXRYSIDTIHA+FX
VZr//IuuTCZS56SJmdmxR8ixqSSPiyTFM3ETk2uFALyoLfpw1EEShOSZsGU3cQbuhtiO0n+pN6/n
f9FSnOJ/P8hiW6BqKstLI5aiV7OePnfGPayZn2poKEDkoEwZdjhow6dHiLEiDnFqMxo0BXRt1tlF
+WOxBGCe8rimFw8lUL7XgZoQ9krgcRtxuABBZ+2KDP52rugrtg/HA6s6aGN93of0tq3F2o+6AFmk
KCADZmI/i5uONyM9tCswEgr47bJxS7MsHy0t8bfnF/l4kx2OvJiymcN/BH1DsxEFPghfFKLD4jlV
K7m7oCZFY/38eEu5Cg66riFHo4mocCNYO/+eL7usHrVcClWuG5yRxEsffCtPbpGvaO4cbx1GwSGQ
bQMrg787HIWhQ8Uq2ctKLzWX2gx/M1PpksZ8/8MAc72yb04tIorbsyQYTUHknw6Hw1DVs1KBnVo1
vGMNpWKHCuRPCDbS/vvLx3WtiviYIvm7vC57bBJUWpuUzhGC6J2oHxvTKYy6y1b2xakVNHFgFyG/
w0pYCkDBG6uqIeQp8kq5vCBIgvgFVzl0QJNCga6oI69onq2NuNBJkkjty7TluisCof/ljVTYrCaa
S5hVEN+jCrmmA3VyQBUYCDOctaAXL19vgKKNA6bY0L8HwB7U0yXiFi1U/167BWnRrogJntr7eB2h
pyUhHqoai20StnpP8MKAU2mUAKwbC6DTUP6HL2ehrIsRBMglbpPDzajnleaPJqMonk8dr7OCiz5D
acEZfN8QNm1CTLNyqOdn8vDpAF8tc1Ej7TYfu3mlvxxqFE/8KJt3pSfH0gBwOq6jHRB0q9zCcEE+
AMIhtJpAaiNrc/5AnBxaMTgMOguqaouhc6tNiL5hP1P6kd7nNLShuu5E/NN7s85mR2ah6V6+PShi
VGwdto2GLORiq3oA1ocG6yoq/p34Ck0opgsRe+Ede0j6JN4BpNlDQfRWTv88mcU6IwJLvxsHBa62
pSRVJ4d5YJbcM7XXmm8y1O+IeEXq9liktVsfhvbK6p7YsXNQiCGMIvEgHt3WvdWA8kvorAFQdTUE
NretoHzTJJ3IQ+UlYCAc5rEmXO7YyTMnRQP3ayMTAUlXMrxdPVJOV9JoWyaeSZFJUXeqAoZ1ZeOe
uLgNZjYPz+UNSfpw41Zw3w2opswvLobLsmkNB+SeBixfbVd0mk5sVCwBFexEEDNFy3TxxJeJKE+9
lrJnIAG6QgXGbNAqGLghXaWHArzyayxZa9YTJyZozcLwmAdpeDgvTRJgTiOH3LG0ISfQFStwSXBc
vJ0vQlc4fyhO7BVr1qHFYgPPGwysDtcygn1OOYkJeigDuVYDoKkvtTUZuONRkO1CLgkRKot3cOmr
JnYmFh4lriwCSgJ3cR8D7AuibiUeOzHKLJnHX1yhFl/rcC4txJU00yyeWQOwaCFlGrCd4LvCxyaG
IMQLKGPzIOCzMH+8L9fmIAbdQKaBWyXokfSuQmUnd/NKaIKVe+PEdLjvJKTsRa5IHKsOB6LNpPqZ
hoHE1KOPGqZy5YBcXFHqPb6cZj1K1D0REjFMVVtcijKMjX7IqHHKohZfcoeF4yasAYUUA/T/DVTr
Ynz77pZDmhchZVwiIJwxt8N50d5uDYMCCB18oaZ9husmUMBk8oTtfxgIS0hA8Xwu9t7hQJjU4zWS
ECUrSkFqFJjFthiHwT0/yokVxMGFiEvkKcPvcjGdNofHmkclb1ln1A78HKSGjKEGYxnTtwH7/3p+
vBPbgvH02ViSxwSfg8NZ5brsdfFsxyMAQbPBcEjbmtt38+1RkOShGqYp3EOiuYhHKLnHQlMQHNBl
Mx8QoUAnAnLA7vwo8289fBo5P9zjvIxIbhP5HM7F0wPUpmYtTQU3O4DaiLJAmul/ELiW1xBOO0et
wplPE3X+ipfI8c2OPQQB+dxh4QVbuqHHNUQOcYAR0/Z1t48jbS5ugZl6TwT6hdeCTPp+T8hQJCv7
5cT3M9GlRlaX+1bWltrY+E5GgYzAoN0FjXAbaWpq10XRr0St895erixuSXRUOWfoHi/eyLwY4NWb
ALKsxMx2cAy9hmZ6q4sbFURQt3LSTn1HVGepx80rKi2rEK2CJRWYUfJDcwh31PNgSYaxPjq+Icv3
ZI/Cg67p5VYhyH06v4VOLeccv+L2YWJPpSyOgxFSPfZ1DSQ+IKN7Cf2lTY6+4UqueOKQ8x4TJBOe
a/z/4mlBf6lQEEsHJazHhl0DJHhXBlRFwcKWtLH0en9+Vqc+35zSIkHLTWkude8npE1y6HpQbdJA
A6eo+vQKddqmYLBQrVoJAk7OjpR7DgLmqHyReCMVBU4TyQQkVTxA/djz0reoc2tI9nGqifXjBBXH
+v6gs1sJw80reqQRP8nghosJ4suIbRqtIjhVI5dmjtAMVuErh+7EehK/4UPHe0NUvEyM0z6G9orO
DRylBraPE05DmbxCxjLKAcr22Mtr2dWRmQcbBQsRXZ5DY4k4fHECh9QKfJ0OgW1x9tJN2DXiTT8g
6WWFTbb3TDo4UljWtF1pSQOdpUtk+6NBXy5FtG5l/544JRZKJCbiySyBsax1BD2wSSyacoAvlb/B
zRZ8nS+vJR6n5/xlmPkzfImNIr1JOtHDhsabpkG3q3ZWu8KvUdWcVLGaO3azcCH2tLnMBP3aIkEM
CBlzE3ucSFy54E9saqY8Jwiz5ruoLkL3HHU3z1CZsg+Ym3fEqv/UwI/uWnqv+64m4z1/ZE8tMfVo
HhQ+tkaF+3Duqj7hrYBOom1oSokQGpQeY0z7lVmd2sgGbt6kBaCp0Kc9HAXYrpoMLfE6EV34Jwv0
YKOBs4F62Y8rUsqnFtAAJUZVmbbsUe7ThWJYlrh42bmu+q9wZLXXqbXUepvk6FrZegz+dvsf1pB0
a5ZIF+lqLL4ZiskABSSijgrzcNerQAjSrglWJnbyS0Es4a6DMUEweriGcJu8QsYuFXtgPzS3SBWp
rUuSBQv6/HROfSxeQ550WgHz43E4UEXsa0JsZSChEbcC6HTXyDvjoYA1/OO/DIVdA/kVr8ayCJ7W
Q91YAvuiGJrizvSagPaICawXdFEfPf+HwfARJQESqSEZi02IpE2APDURfEfrYdu2DYaXIMbdrknS
/7AjiAtZO3TY57U8XEIwTapepxRPFEVLH5CzMG91szNXrsf5v7KIlmahZGMu0PAomYtRsqTTx3Bi
32U1OEq7BTt6wX3cvwSUNLZFC+Pn+ytIsQ/IIt6SBL6LeEKhvOanOg00NLUyJ5qgyFURBmH4PwUr
H+t4bpT4VDYFby1FjOXcegLvpAZjPTOqAfl45UNuVpeo0ul7sQq7lYmdGM2cXaMU9rtM4rqYWN8q
Ai7jNNa1XtAv/dQSniILVgZVxOkemT5vJc49PsuoWEtYBBG6EEwvPTdCUQfAL+QQ2+muvxUzLSJV
5P7x/Oc6OQruhhxjqhiMdLgLBaHThwmFJhBuqLCqnV/dAulcUzk/sXZz+EWjhaRkLgYfjkIVHYaU
Cc4+68buXpK8GSwB8/dSTXv9p1x6yd9vT4stKNO5opBB7rqYlqInVegHpCKojJEkpPLvMDO+6U1N
nZA8BBMnLvS5J7p8F2UBwYls6sjxcgUl3Rr9GKq7auYAwoCkJvLNVk7z8deaa8qaQVkDPcGju7Ds
Clg4nQW+Lynba2OKvBux7VF+Or96x7c7FAuCZYxTud0plBx+LjMF6QP0I0Ydo8k3aZz+mWaQWaVH
ay5YRxPCpIQ03KB7JMl44C2ScdR+K6EVISNK5Ri+pblQbOImWKuPnxplPrS6yrOk4AlxOJ+E/Gam
3IIaqhIwKmGlBNdqqKUrr+9RrshkaNrjgEWMRMt6MQz4U0DmBsNUMH5LO85MVHf6sY+Vm64tQAlG
tQVKD0o+dwyimuX323E8JxgZsxm5FCmxzefwS5QqIhHfqnMFD2qY6VpK/ycDdLySwZ1YTZUug0h/
nroQQNTDQSLq+oMeMIjc9t4VjBhQM4LvrZh6zkHlwcPFhT7blBCfETMhRX04ShVmddXU+nsLG7mY
s+xwn4rGNpdkm4oiYRT0MtwwVnb+Ue1kHhWKE3VjFWmi5b0BVhFd4EF/H9pLKzCv024j556T6JE7
Ta/nD9nyTqQ4Lco6ivBkLqRvR66lSMSMejkB62Jn/kRXxXPaPu2uBJTdN77qBZvz4y0P9XK8RRRf
5TnuYdqMCgy83kb5yHzkeeH9Ghpv5SCcHAorIOxR6EITjR5+O1rdPsLDI7qVkKsYyxLmWi96TQ4M
9jWgyHI7/pvXl8HmP/+y5/1RMkzk8aCjYuR1HWQQaKdOSVZW78Qoc00cjt1c1zsy6dF0zzOmktWD
ANnDmki9HQou340JmQvpiIY1hgoGX1/2t9pWCoD6IwEJBkXb9fTd6adNxvb8TjieC/UCaBd0Yiij
Ec4crhgUhynSdNiQXlgUZOZ1sAHz+N2r/V9V4ssoi+9CxoPwwNChhACI2Uac602MpbfzMzneaJRY
0H810Y7hCOmLmGxIhEb2J/Ta8rrTf0sDohEJLOBZvMJYM4OS5rfo641EBMNglD3oxODDIS9exR4h
BnXs6JClkzleWr4IGZ63ur5G4z29x241cAjniisUZmVnCCP5Aine5JuXLzkrLzIuhCLVSFFeZslp
2WZ1GhivVgjloETL0Rl0qvHnl/Vog8yDqCR3/yLPo2VN0ZZBq9h/i8cytTZKqWiXWaaO1u78MP+K
p19WFMwN/2MtieJ1up3LPpA4aXJlRAL2l3IvueD+pGs019pbrfW1XUBqCSdq0KAwwnzqYyxHoBW3
/oXlI40l4v/9vXMxQ4DmYycT+Zgm5p/LGzIzs74oht6eACNfV0OMJlKtNCt1jsXi/m8UInp6RDJj
LJtEimeEcUYgT9Mcdpuud7rbJoK0cgWfGoXAjUSMaETl0jo842nadjQ1ApQWMrRyIF+MV+lYFY/n
v+Di/P2bC8cOqjg7hYh0EWaHZiYj0YcUBXQIWMXo8N7qZdy7ITy6lXhg/sGHe4VYgx4r2EwSZnHZ
8oIrAd/WRPBelCpL+ZOi5hpfZjWtyvu+xJdpG4dTKj+i8Bb+mkK0pVfgQEts5r+5gq4g6JEwdFSX
bRVVRdrfGPluQVQ9tRCZkAZTdpMX75Fk3mt59d6G/XsrYQ+kej8yrX0daKyPRLRlE1+gu79Wgznx
iQFh8sLKc9kXkOThJy6lUQ5GOK3wvXXhIuYrXRP/tj/Of+K1URa3Xtq1PYAFSHFl3hi2IuXKJkbq
/vtHj7lYczGTaIjb4HAuFexZL0vYru3kB1vZGoRtISNj9R/mMpffuMLVY2yxhYFDgqobnzCPonfI
1/Wt0An6yqE4sVN5uckK/5XlDXOxYkA4/KJLIW/HoQTsKC0CA4qJ5BPU+c21WCAYIbdFcal0Ufd8
foKnhqZoIILqmgvz6mJLwODOpD7lYynU/G4GSes/sFwQLmCUa/cpgnWosun6PcDjNcjh8TYBiU8a
hyoJ0TNKBIcfUOjpVAlVhDSIqZY3UZzl+8Cq15pHx/MzaWjSDqNtywSXt1oglp0uFulow/57FHXt
o1PNJ2/SLzvEYZCDbfaGWn0PKMO5n9t+iBJQvZ1LxosYA0JTTzafjRBc0UR4tQo0x/eFpIS6g3pt
EbiSGbbokvSeIfw5/zkXKcK/oSnwg5WhkaToy3QOOE5gWTFDmzoIZ2Xwok1eBOUGGyXYE021VtBY
ZD//P57K0pLbUXuaf8+XUBrVdDlsLaR2vJknISGs9zPxfW8LyDyCQ2kU+yw3w/35SR6/IXN3E5g3
zQyKrstuEkbYEfxrpBvRShKcWMwFF/X2ZutPfbtyy5waSgfdMmcl9I+XaFU04CaMIdGvQZSwl7m7
xVjceFaYpVspmiR9ZWZHZwIQJyh06g2z9yv9wMVyDlC0TQ1KhzYgESJUSGcVMZ5s31y/GZLPEHNn
gd25xDkpCfQ+E+cCB3pn4Upq/CcypMZNy6RbGeloPv/A/xrD4PfC9Tb/+ZftEUxjICJ9hGboWLYX
6JOkDsyfzD0/n6NNzyiKzu7DcxoQ3jKmtzwweRNyXWgKpma9GfsgytxED7TfkOdMZOOKSF3ZF8cT
o1yCwgCfiNeUvz2cGIKlXWSUkKGtuNY2ZdBBFvX0aSXcXZ4uwgZOFbAAldIJZ2xxuqB6SdhJgQhq
PU/E0whhTp0IAjs97mvLUh4F2ViJAo+GpK47v3VYZNIuVJZ4wgQvwUGpIQ6FdSW5A9LommPljXAv
Idp0Z5nNLIU3NpvzX1BeZEqcZp1okM73v0NNc+NwPQe9DmDfYTIl74AU2DhrbKRbBFhc3EgcbUMT
zL6q7EvE7O3x5/mxl43ao7EXISnRW6uX89iF+/6SuXh92L8v7z9WRpn/K1+j0eUMF8+dElaSGs2j
3JSbz9h5+qPtPl5+rDk/LmpgR3NZHLhk6NtOjBkFu227dfpNvlNuZHetMvSPU3VuNvO9+eVgN6ZS
WEHEOJ1LVMv3Cjc/J/vX821g39fuB1GZjZLiym3yD1lybtTFeUjrrDZQtKztcoOok0M5wsH6xjFd
3f3YvdXuM/I3K3eLNH+Xc2POB+bLTMEVJ6MU/hsT+KmDOIH9gvrmHX6vzwh6Xqxsk7XhFheLguCE
nMzDjc7ntBV3ODpt6m1wG154drJrV8LbZYXiaL8sEthYhQUIQW7+joGT8pdqo1jpIC62so4n7pWv
B9xavGymEdVmNm9/U3ttvX2IAm+Bl6aWxYhdrLUw17antbhOIlOQNSSt/jet5A71f9fY4izmPIdu
6P6FwM2FItp/V9dz+RQtTvmyOdb7KQr1JQMrP+TL+iW/LS+VT++e+lI12sXH+JRdhnfKvfa0sm3W
lndxu/jNEOr5/B1RinRh8bNruj0PouPZhlNsso3vmo7prOF/j1Lc5XwX980oZ3FSz9uVltY23Evu
U+pM9h/PLljefCvbazfPMiBbDri4eFQBS6aA7q0tZUicdx5MkLxqL7vYWP2WKzf2Mra1cJPl/WWo
3vlkJ9m/Mvvyr/Pj5fynmw/0mftlCdRG2CRKhHmUaYuzkoPsqpM5a6dvbZDFrTIkGSJBGYOoD96u
RGvlBVbJpbfyiq/dJsvAnIptolbzXIS96vQOfCv7l3FjXK4ldSfPN31GYIgzCU+XF5dyHZtpJs67
AH/jjcTVpbgWD57qWFepgzvgQ32PWPau2qnX1toNfWpbfB17sZbI1oyJ1jN24/Yb/SXZBtt+O7rx
tr6Q92sl8VPnmi6CQvZKy4fGz+HrE6GBHVGEq+0KYXnM3FGo7jCs+9NmlRtND+e34vJsESbPMHSZ
xj60AXCIh4PpTSh7QaJOjqA0yhYZJgSbpSrEvm2cVp6D+V74uusZCqAq+AGSHNMgfzwcKjFlfZA7
TLk8aO9XuZVlIKmUZOV5W67ePApFG5UEBBIu1enDUVQMsLGaRFWpgX58h56lcVl1Caamo5zeRUWa
PsNRku6/vYqggFRagRQeaIovppajvFDVBTaQeFkWGyRfuabUJn1ACT9Z24vL54YJksNJNAX/ZQjL
gh5GP9VkGcLoGFmXWQ5iGvUzGnNINVVarsRPidQ1aMmmBpK4FJFrwUaCMb1PotF70Zqsye0KHanu
okx1+QGQSol9URUWpl2IWDKdX5ejOJsmq0huK1FqosHH9ll8Dfw5ssYwMI2UjVgrXLkKrMipZhdQ
d6ixkEVhWuuGaIt5avdRIYD2y68t33Ql2oHTNioUfY0+v7wX55/EL9HI7Wdg0LJ7JqAFFeJyPzi4
N8RoGCuyjc9F+lYrIUoHfdGZl2MhExGF3bByWR4fNoWPBurNms8b/cHD1UAkVuhH+CZO1ZjvJZiQ
5waNozuEPdfwridGkmlC6tQxqCqQ+R+O5Nezm54lT6j2zaIlAewpNx8jREnpTv05/5GPzzXsb9ma
72SwBNjHLMYyxCHNUcxyDLR1Nk01/ObS8ldy1ONdD1iC+gWtCgqImrg41uPU9X5esrFNFJr1jZ97
wg81FkH5WQ26NheIEiPL8u2JzYRUuFTU82mFLgLlHCkbekz4yU89ksKlUIf7sGpG9/woRy8oGxIa
KJ1Cc/5WPDOL9aN/pkRT2zmeEHj2gA2rHaW+Yif+mF6G7ZRvjMRLNrIYqTcAE5I/WjpKKz/ixDe0
gGnPNS8KwlRWFr+h7+QsGKMO3RisQpFWQsAYn+6VUY53pSoqBm3xmfEConHxEeNRiY0GvIkT9kV2
k6i1hHO5pF+k7fDdLt1MsWKwudAMApoq8OGE5P8j7by23DiydP0qvXQfPenNWdN9ASSAcsgqkhLd
TS6KLKb3kfbpz5dsnelCAqtwqke6oKgygfA79v7NpLQZDreozs9xeJeUYr4NcHrZvj5352eJA44H
OgTFFRhkv6b2xUMRHi9clslpt7jOFp6ioKWTIRV0Q2FK7JzcHNCeHdv+NhDtXyCv//o+/p/wuXz6
18XZ/vO/+fv3EuGoBYi2+us/H6vn4oNsnp/l8Vv138uP/s+3nv7gP4/x96Zsy59y/V0nP8Tv/6t9
75v8dvKXXSFjOb3rnpvp/XPbZfJXA3zS5Tv/f7/4t+dfv+X3qXr+x2/fy66Qy28L47L47a8v3f74
x29wlF/MwvL7//qi/y3n556+Vd034XfP/be/HUApP387++Hnb63k95ju35HfhShGfhU+pMPsDc+/
vmIof6dyCzhNh/rEf/CVomxk9I/fBF8hkU6aFAkgfgryAnuhLbtfX1TVv3PLs1+p7nGQs7x++3/j
cDJj/57BvxVd/lTGeKH947fTTefYQAWoUrDl+IUUgNbvYzwWFYGdof3QkoVOcByT4mehGtrNi+H5
q9mXzSznx7/jrl/NkFqmOgGRlmrHmsOLNlwpsrZyHohNsj90JUGPEQKn31RF8SkUqvGJXJ92q5N3
/ARd1Lpycp/3EsQeeXTilYWrvA7IBMbYLZYM4bFQZnlQCeO9fByuBBqXGgFauVysVLTOUpiRYsus
VKlmUZsJMMeqm8XW+Voy6vT8WkaSkJJkPAANdflz+RQvtruYpzBAsDw6KiOXjSiKfDc7c+4JBwuk
1yftUofAO4B4XCiOjrLKnaRdzbJuuuiYTEn3HZ1osVfy5mq0fKkZAuVF24Gaubs+kWXkmJPb0aOx
z+UuGnJlg2rjNTDDKgz8NXBgopY7jkvOAs52OnCLlD5gUSU6hm5ZHZHNwj5SVzLEsrTnoR0zr2kt
Z6d3nbMfpqj0ML4pdw02m29fi2BVgQJx//DEWjMfMDdBvHtwEHFv7e4O7S3TAziVfX197k5jlX/1
FvEROrpAgYCSnvbWncB94ZEZHetU+YEHAl61VvXOrBAlnbTRevtKAYKzoFEQc1HBnp22BmWT9xqS
fMfFfO/QJTqJmXa8VvS7sPSBZFN4Azm6lAmWm/DF0g9Aylta3iRH5N+Dw+ii4Ffn0/Og4ND4+uid
LUlDgRKwMNV4TlEuXgUJedqomVUl+VHidNRvaLi9CdxWvXJinE0SrB4DlB7oOJNdtn74BtLJU8eu
ODHmPPYsbCB/WGElN1aXO+/KOblGDDjvFtzMRed+YRmipKKdDuCk6njSt1F8DNCn9sijS4STnXz3
1sHTLGvBLoCXZhzXwK8664baSYz8OGqmejsner8tq1S/0sr5fgaAAYNXgebAJWlaqzVXgtcyGjvI
j5WFqEEzGoqXaPUIfL5093CaF3mk/p3u1O3PCh+Lx0Dri205Y1n61u5CMlyKZZD3l9NrtVZiM5tK
DD+iI0Ln6OV14kcg4msE9/OZo4O/AEWkLujwauayVis73D2ioxvIbhcUZEcm26rfuo1RgXnZyqor
qJ4i1a9P0VFqqbuNNAOPpsFprrRyvup5oC2lU2rOyFGYq1YmATyjj8r8aA9mfSPw9d7jVh7fuqUg
nYW09xU81tmxwRXG9cL+cqAXkf45XfVK6QxOiW78ccpV64OuR32wwc5PfkQO3zI2b10NXGUcg8BJ
rYVNv2pMpM0856Iqj1QWx3spAxMd9ix7k8oGpzuJA56FC8p3OTnOqEvpNPYyHMujo6LrqudxsGmn
9G0Eqb9asQn+CF7Zz+ugDR37BF1TszzW0KOrbQ+NJL+v8XQLt5OUcXglq7Qc3ycxIogKBOTAFANf
JjmxGjob4x10dtPqiIQl0nFBPWcfswiDyX3uzI6PBr/zY8L77zhWIn4b/fpXX4mrFgU/JB3PBYLC
xkYdbLTrYynx7/OwIrbDTVY0yZcoyvSvUYYi2fb1pXK2Lol2jEWEYEnG0OxqT2vpjOx2mLdHkKN4
CSlZ+DS7SbLFAMK8sl4uNQWAcwHxA4I806sA54Vta4dUfOiqwzPkJ+VY40tzGHuRvnW3kRcxAf0y
hmwDCB6nu22Y8INQIfMd59E2bo3WHg64rYW3IVbUn18fwLODhIiDVwmdYluTzl0NYInSGsYFTXfE
BLD1MibqbhhrtCUdIW8MVTpXIrcLowiHhFcXgaoKjns5pF/EH2EpKxOoWHcUaF/ethWuquj/4Q6N
0MOV99LZXli6BsqI5KDG43AtaMLya0YFLfUjUZD6bVAyrLvCPn8YTXvwi7kpUfd1e2tn56F5ZQLP
rpqlaQJCAHKgqwjnTns5z1pKFkDtjigEKfsaeOnXApHfKyDV0xQ5+23VymrurDquw87VuqOeK186
A61MzYjdm1yUwe9UpjAaDpLh8Pp6uTh/2JQsJHxQamuijo5x3qwFtDk4qe3hcfe5TqJmJ4LpbdqQ
f/WOtAzwP5J3gIFPx9DCXrLXpd0d3SqfUb2M9Q3ZUH2bWuq18ONipzij0VEBl26t0/7FUI795Fjd
cR768hZjQuWzggzvHb5ixZU5W6Hgf3WLehA8JygCCGKoqw3QahYZ0Fjrj9h3oS9dWU7iz8JK7xBh
DeH3jVpxM1aQ4gGUuoGxqcJce7brpnismxRb0sjMrgmPXlitAC0XBhRkFKLa1UeqlLFWuAz74zSU
CJ/jVHBnYAJ25Wq61Aq1KcCmvIPts/mc41nIWdIKIhwBAlrduE8JP3evr88L5xnveZIjpHW4jNZ6
PzH8pm7SzOGoDVy3MdfgQWmS+hYvtvpz17bJm8+zhcLD4x5stgudYFlaL86zYXKjFlL8jOmJqW3B
lTVbuxWIyKs40r21aywaZKB4FPAm4I/TpqbWxmwjM5RjojQcW5i6auqm0sljeDjB2RDXkhFjn9cb
PT9EIYc4BBPoNIA7PCtA2DkSnGroHo1udHGSV802PghZZM3trDsBxqC9LPqnDP5oecxIuFyDGp8f
crzuYNxyY1jI4qxxdF2kKRg/x+JoOY1zN9joZE+5aA95q4LMSFoxGl7SBrFxpePny5VQiqerTZUC
bZc1MNGMzIAsVRkcUVLHNCttqOOWwdu00ZbTYLkdyGQsvEew3Kutp2BRPVqYqB6DVM77ydCinR2X
15JQpAlZGydxIdl6tDzIbLMpXFhNp2vHrISRLVSjx7pnwN6N9iiMHY4WpvMudItm3C9JUm0z1rM6
P4Ruoxl3OXaBpYLkujvm+6Su8GLP1bwdMCacFQu7wSbD5HebB1WX+G2nkxDRjUERtwQ0je4BIsYZ
MdfDEau0rg8+CizHSNNMuoEaT4Vyhdf0omQi1RARsKCu6tZDZ0UdPUMZnBh/hDIxvzZoCkw4ruXz
p6zQ4vQp7VCo32px1Vr3RYDEO0LyY1qVH1TAzCk07B6ZyKZHy/VbjPq63Ou9ZgRPOFhE7iPyWO1P
E3QkNAo3E9EDCOcKk77C7eS7Lgur2sOLCP1Mo7ZwVtNlrqReYnTt5zDHwtPLURgLHxwnyLByGVGI
3FitTu0K7zmnf4jVrHpQlDH7KKXd6LjDOFH8Ow7VMXcKUfO3ERFJzY9SFPgfozYbkagrZudrS1rp
k9BIYB1mF0L0vrWGMjzM2EZ0nzBcScXDiKmyfTs6eFKWO9QpA/VdgsZnjT8BDNfH2ejFsF/Yht90
Y1IdL8oLJ70ti7asvWDsnPmmpo6MuQj4tNCLk16zN33pGvK2N5IYpn4zJM4+0MT4QfQjlgiVUuMl
IqEzbNzOzstdi7mos9U73ci90A3ib1WkIMtVw/GMtpJM7q3AFgwTibZVgGOOOR5deRq0fwaDZr2X
A17CO8JJrN0UiUH2rqoM9xmhDWfGpiLDbjXGSwvLhCiYcm+2BE53oujNAa97ewDN4LbEibuIRIX9
iB6oJbe1yDr7T+5DvOAFGKIQXExm1s6usmfMr0rhln9as9P+aTVlpW2FxMFub7RDmL5LUWMbKafm
ivZ1JB0XPc82Dnk3Ijad8pAFStbuxh7zUXSWrKjbz1hgm3vbTDLlNlh0c/atmQ7q1nHTxRqVZF06
7xwlqsc76kytdZtK3RQ6yoBOZ2xit5eDV8haVzyZKrh5tPNQYyuSylTeW5ntyk2fNU33dZrUGhfy
YdDjfYw4XryjLFaBW3RF3YIr1M2xuHfMxea3xsU33SR9m8f3i390ejQtIdUfQ9DORYUFYBJVx24E
7rItIUmG3Bd1oN1K9BPjg4m6vfhm9TmaLpXtZr1XakqZHfo2duXWDjPrHVWECI5jTMJX2cDHCs1b
y420cG9nVdkc5g5nzNs45YdRSHfibDc3sgu3lRwi5Y6b0rA8nGtrCM9CiYPd0Ck4nIfFYOHxQXHj
sW0aXCisEbHLr8lYR6TsKDs0xcdZ7a3gx6zKIvw88Uoams2YhWPlYTKVR91tNaeWTtbeAev8rcrw
+3ifstunB1HxyjmkNmaSD7LSyRtg4DgGVeMhQNz+6LAlZFkUSYklRLVXkNW3Ihwd9elGT4efWMT9
OWKEs03VDBC/7Kq7ptDU50g1v8jGfgzdKPOsyvyAbQjrLUB1v21MZWebbf6z7cZiLzEE9Vzy8Ohe
6H4uQhUPUx1v31a2/qxpn4rWYCnFyFhXCI/LWBj2BsBH8sdEiLKJyanfdV11yK2o3bkBWWYFRdNF
SLnyg1od9u5sGJuknsp9UmLLoqkT0luItL9LAoHnLK7NG9RJH+PKkJDLbXHjdGXhBzHpOjGZP8ew
GaC1WMekCbttF5jifV6XBpVO91Ev0NOn8h7ezKr+5+IL66W2eNBBYu6coqj2JpmsA5JjoadPlJwm
VONwVAr6z5YODcdJqr0jY/13DIwf3D6Zd+NUQ42bk+SGgLbfFqr2NBtR4nWyUA9IFt8rZmAv/3vR
qpmbg9NOLbbcSkJEHEY7wyqqo6HmX/XcVJFNnN7VthJuRW+2+xHPwnsSHeHnYEhSrxinz9jIk2bT
FMicvKrvLESDD02d7Gcnf4awsc9wQcIMxQqmyN1W9ahizpUjy3Cjdjog+cbKJ16DFO6G8kMlw1p4
XSK78mnIE3e+kVlqZO8MqzFdnLRiVdxxTrrdnZWFfXzThLlubi1kOcvHcgqG4vuIVdr4NDUF/naK
aEoHjIoSF8Pz1Exl/zONJ61/76ZlKP0kMWay72RK9EPViEh7zjUlnxY5EXOef58KhOzwhhFh29+h
z+k037NyVJonpcyL2FPY0cmurbrMvcsnDG438Daz94J1bh+yYdanAyYOeX6jJipPtp60kbmXLfbs
PxHSCTA/irhrE8fLJzJl3dYYRv0hCG3juzrbsfst4JAOd1ar1N3OKpIQ15jCURdtkDSW2HHqtkW2
kR1lVlu0SsAEj4Hd48rojNbnHgHK4YHbyw6wS0yiBSwcpn7Zjm6zI1GFd5iNh9zHPMIxeWOItvzh
ukWFJYoU83jv5u1sofVj4WxWjoNj7khL5MZNpPYuZsHmXLlbN8pRaJf4jPJaKhTjZyEDnFqG3KzB
mBORZrshS+KvXOl6g1eMiet6JbroLsJfStmkGHfH+B04qD3VQ6Y8jZ3U3a2DqgY97Uph/L7oh3/H
1zWdt0rPrfJQq27BNehwUXvOIDvFx5QXFTqnQMLCY1wI3ib8jCueAWH1Qw5tAA0i7+ZqcRyiLjYK
NKeeijHHltKNp1gttqOoU7kPssidDk0wuxFs5AgeGuhYVR8fEmmHJMVLO7e8XEM1+tYZQ2vYKo2u
t9uitzARm2WdSQMTpdFtsZVOVKizXZ1wgVm5ab6rmzEJt6HaFe8rOGYNN7OSTo94C+mjV9Zma7zv
CidsnhociTBmigEbeok+oLrBsY7/qlvp+MzJZnB59Ju1Vd/E6qAGh8EuB+3OxmFIvMuxHYYuXyvV
V6IC6ynKqLNiuTS07gZmdxfvMoL8r0T5Sn6H4VzAg17TE/kDJbv6wRjD3kZtM8q0+cBlYSZb2aVp
P270NO7kNphx3T2MtSatbYmohXFIe0LQbd/jrbnhAu4yTkRuE5hzLXG6cPA92qNLPFheZveLwWFb
S0u5pzQ2TBtXkOnbN5xcP6deS+Jbvj3+EBqt/Ng21dj0m35cYomoGbEtdKpUBDgYlaPmpTHWwJ4J
WFa8L/S6dnf2NHEv1GHQZ86mRera3XK1VO39WGTVD3MJNG97/HQwzY2jhELLGFYmRhts0+FQl6o+
HVVlDMt9NRf6fMBlROkOWt6D4DGKBAekPEGVx2sGq0pvkbaOPsZ2jkuTXpb2h2JGSwy6Lm4+B6cL
3B9xrGq4MzbawOTJgFJzU83hN9ImdXEzEdMD10xSDbh5iMDV5vXn4tlrjYQbKBpwULw2EItfFZTI
18eOGveRj6Jf6C9+8pwtavHIRRbscg2HM4xbh2vMmbP8za9WEbcg+KPouC6dEtSnTTl1kW9zjd02
ZhHvkni0vboU1zp4ll9YmkLvlgQDmUXyiqcPKRLoqlrJOfJdNs2mEUp6nJCjxqd0DrRto5XxFULq
2TuUBheNAmj96HiALjlt0A5VcnGlFvljrtufQ0ANX1LXKK+kTS62sghqwuUF0bUW81VqfFTRZIx8
ddbq9kaYlRU8utOsRPvXF8ilhpb0L3xC3oHASE6701tGDzpUxn5t6vWtlrXzTsfp7K1ZSgaNZzVq
J+QpYfGvBq2S+GfgBhf7YFbCGxcYApFmUhzt7Coh89KCYDmYlFBJVFCHOO1Q1kwE68MQ+6bSvJeZ
yzFRpLg6Gh3Giurn10fv0kJfMtpoL7C3yL+eNpaUkd045hT7BW7JjzjH19/ndmy2+qRdS9RfnCjy
WVBZl+laQz0K4JmlLjOSk6oecsk2PcbPAi/W/vfX+3SxIZKvVDo4NkjVn/YpM/B50aUR+0FQSJ4a
wrY+6greD//BEl+wAiCYSCeDjly1w61gFCJJ/ByD1U/2ZI3SK+cqK27e2h9gUmRzFqApiClzWTAv
MoJzXQTa3LEg7MjsvDBStf1kO9GHN7dCTgo0tgnugVlatdLKaOI2rVPfwaD5Iat75QFJ5+yKesn5
etNAkS7yCWR/mJ1VyjHrKcsobm8fuzJTtgFAmS1BUL0h/6e9eXpOm1plqIB59k41TVBOhk494nHt
PFKcKq7cTxcW21K+A0xIKpW07WoDOWGVY98wuEdcoO3buutD2O+uvJLqPh824AXUQFkDrDZtXVru
3cwwVOwA/KqPBmwpc40nv1GLcZPVbvLxrSsByVAuPhdMCnDGdYLU7m0Mq3M39EUWKs1jAUYwP1Li
vUabvnC1n7SzOrlna0YJGptsX2q9s+kLWL7ts7DLbmMH5rxvnVC+/RRflGaonC9gcZbf6U5KR+nE
SwDuO5ORdVstHfK7RWYtvhnMKfr+5mEEyYxsqoViAFKIy5y+2LZIveCpGyqwNXNb9eHUo4+ep2P1
8/VmzpcG6WIgZaiF2NAp1gLsJD8VtyFa9dswS77MqL7vzQ6ZBR7TOJT/79paksIvupQ4GYRGa079
Ptbmd2BKDa9slWGXZWl4ZarO99WSVsa4DlYXCJE1TLsj2xeE4xj7MteDjyQG1D31VfutxRaYHkuV
jjIV83RWjMitSsdHIU/8Po1be6dag9u9b0Cz9XD5Z0e/so0vdoqpAtqLbhWr4nT8lEANbbPTiSKG
gYzAiKuDhG9+5UhaYpGT1LwD0IsrlptpQXytXSC1Jd9vdly0+MuOPAaBkSxabSa+SopTPnTOkDwk
IhK+YZTYcYwYLQdXPsKFRYlkBaA2jHMoWburhWK2CXmgqU58uyVlzpNtRpChK5Pykxoi/Ou9viyX
33bWYWQQl6oHAZqyOumN0KgGPLoT3+j0ds8riCKnVcmtYaTJnZV08j4sWu2mcan4vt7yhQl1FEIN
oHtUIPnndEJjDHzdLI8SHxpg5iFAFu+6QZuurNJLragoSygIc/LvGoNjOrgH57VM/BjM4ydLSaLc
43/G4ZXtvVzx63FEGBblBdogzl31JiDVEZgj4yj0Yf5gSaP6kNhhgNE4r66K/K97pcFLy4QAir23
aNIBuzkdvtyehjkcROxXLYDbyRH9PmuFeyfBC3x4faaWz37WNw5hhDIB8J+9eooCO77ECGI/Ddtu
z54IwY4eKzx3PpaJ3cOf7K8V/C72bpkwoiprQZOe9m4gG5/FIk58s1eNfc5L8s4Wo9g0ut1eOS0v
7QCqmQTwFqcufKvTpppYgtsYOce6WGYfrKjO7msp8rtBForXq2Zibpqgcu/a1O53rw/sxV6i3L90
lHTIWux3JC0O5TJI/FG12q94GSBciGkNhLJJD+S16vjFJYp1G9J/nC+ccKcdjaK8nhza8J3OUbfY
6lZeNKfprujV4t5SZuPL6727uGxetLectS9uvBzZ/VQh7+Xnw2RQjc+ew06kmLYnyR2Fq/xBTbP8
CqLj0ohqzCaSw1RwcTk5bRPRh2hwxZLZDILpHv8RZ0B0tSu+BJGuaFfOzhXJjCcSl8TL1lZLh7QT
1a1ES3y1aSvDG4u6w3FcBE9Jl4yHIikiaookgnHm7FBjsfXiE7SRa5HFSlnjr48B42UBsoCgXOd5
3CCa3SG2uYmHgYxnkdnFjzpFK28jbZ2MbV+GfbYtLIqGlLDK4V1jasFTF1fhTV7pye3YKPMusgrz
mkzepRWgoTHNNcZBZaxJ147TDlaQKIk/qV20S8tkaPdoIpIgBsfQpYehsP/ksq+uZGkuLgJcUgC1
8TBHMul0EQBNCIKuoxDemdR6ykL/iFq3sqszS1w5Oy7dLrzHFj1Q4PUgBE9bqh3RBI7k7NBHikM9
jtWehTnw/vWNdOmEIrlF2fZXaLLGC8iyTYu2mxK/BDjjK5HVfsiivn3QjCF/P0P+u9cDQ96odRC+
FWa5LPBfrD9gJzzVVyNpNKlStYWa+Kmbmju3netdqPX6HZiTa27Ay69aXzIASjQd92OANWcgakd0
MWF46s9j85y7LFXZ1vNzW+vaF3J/0yGKnOlL6ZT5MzXP9gpG8OIewuMWf0veVaB1l6X84rDKlLDm
K0HqN7wJDkLkEirLnLjRVhur5kNaxfKTnZsZVftB/THm5pep6I195XT6h0YRVH8jc5i/vH3iYaGY
YETAaSEwfvqh0mlqSB0TIiklppubRlXnfVDN8ps2TD2puqz4SlWhfS8gtl8ZkEtrDioPxGMFY1O0
IU6bHvS0d0sFOJxdBoO9jRI7oQSSUCfzmlwZCk/oJoVfVUnt0sty1+2ubK2lgbP1gOUNSC4d0Og6
1Sr0IOIx0Ca+NqfqIzYJzh/wi5KjOorQa5XIPLhRr09XoqpLd+S/HJVJIS57+rTbbp2MZN+qxM8K
owo3JkYrS/EqEo89mfJbNB6vyW9eOqwW6VveUoT9lra6lcMpGrGunBO/0SF4b4e8K10vG4WJ4Eyc
ZdeinUvDijsDj7YFBE/kcdrBHuG93MlcrqyocWhnqP9s0xDcjhvF6G8Mg/sz4qX18fWFfHFYF6MV
UAPY12urSgRsmc6KIUn6XT9ST53DLKdkTs31sBAku73eqe0frzd5aVwX2PaSBSZkXY/rKBOo+TBA
/W7Ui0c7CsfJq5qwj4CjG+m7/6AxZIXBbcMP4tl2Oqpx6MxyKiSPe7PJPpod6MB9OcbZn42dUkB/
vbFz1CqnMo2hQGDBvEQ0+bS10S3aGpFAgF4l7xiRpAO1+CHcUZGdt5YabjFWU9/FSlt4dqJF3jTb
lH/C1i43YoyuFWEuHdyA8hblB+oIZFFOP82SpursOE+pvXbplyCX0k/LiOQk8Y7j6+lYP6JmGVgb
nbrrg+lQBLjykjxnTi0DsvhJLmkIpnq1h2roQ7Up+AhN2iJdo7bK+DD35uQldTw/Vo4r4u0cDU9S
lcaDiG11o0QYUG/NATHP1yfn0rkJQpo6EE8yErXLTnhxj/RhEtV62KR+YkTOnsRViU3YHNb3XeVM
+66L3O/GmGfHqiyvakgt874+MhdWMFiJf1HnT9tum24KM5FmfpGDTt1wahmfpZN0n4U0k2ZrTW17
0PsucjB/rWS1zYoaiW9Rw6Tevz4Kl04ZXlNkMWCDsFBXayIZ8ixN5y711W4C3hc31Je2RtxSgp4n
Mv57mYbBTyEyZb4S+11q2aZAhxKvyYm6LixI+lUIzrMF46Pam7AqlGjXCWm8zzqgCZsmGsptZ8rp
Wsr80nkDo3gpeWIhgB3x6eAbo1tOxiC4Ocwye1DHetgaSlG/x6nbvvLuuNRHOJwsMeQY6Orq2SGs
OYqBclBuANy+R4Gh2JLUsm7B/Yp7JOo/JkWvXBnXy937d5urSLc1HWCBVZH6CpkxnFXC92AJivug
rPLb19fOpbuCrCU1a5xwwOQvn+TFDiqB+NUKaAM/KGt73AxaOs2Huug6d2trRdhthk40V6Kdi22i
bu6SwAHQvT5AAleHojRVqT8UlOM3hpw7sWGHw55Kdbw/e/vatX/pnCCgXIIrBO/NdY52FHFXo5KT
+mMMbi3IK1RktSKobzQtte4HO47kpuWW9ITbXCu+XVw/RFSkVZZoW1++/mKEox70Vo+RsC/C5q5U
At9KRkgdVvdOxEHrTVivvD6lFx/K6EX8T4urA7pw7Ux1xiT1Cw387CLT5bVVHewAlDd3dit7b7aL
L7k2ugdN9vMhjjrtypF06amGNiolQKgVAB5X+5OcLWDYimWlYed9iF2lQto56K+kGy9O60JM+4VK
IOt4OrTZHOlznbepHxV2ujfJ7W/a1HK8UPTRA27v0b6Xk4M/9QT29vVBvrhDXzS9mlUrcnhABSrF
DKrDYuNaWfRH7YB53Cj2AiJ+vbWLw7moDiybBgDBakbDuO0bo80yfxJzYG+cvieyquphvJbduNQt
gHILUh6UAipnpyOqSRLyarw8zJxKLTeJZY4S8K+ak1BoFDDxr/frYnNE49SEFhPCdeWp0qo5TkKH
lWpRcdjERVZ/AgTb/hRW0GX/wZrkbbeUppdKzVqkKBuTSBSz4Kjrssprwetv53KMrqzJi11yON1Y
9ZRP1iR5mAFtGbpx5ktqGsrWiMDGHvQikh+G1kZm5/UBvHSUEgrChIfDtKjgnc6XaKmSu12T+R26
aR+kIacvje5Gn5FlMZxtSwrhP8gyIaLwC2Py6626CjaCQi1Qtpgz37SFTYyfV4felWARM6DpuNtP
xlMdtNPN6/28MKpoZxk8ZkjAo4q32unSDDL8qQm2jFnH1Mmx9YziIfi0jSNa7cr74lKEu5hRL49x
h0t/7bzNiR1YjUb2p8kKeBu91d7FRpbd1lMxHayw0fZSC/KHBORZtTEbpfYETNXPmdoWV1bThfnF
RZCKEboLHHNrRIXVBiLjBM38pDfG6rZrAhCFAeraGqoSs/67LJr26+tDfeG+Qm9oSc/D6mJZLVPx
4r5qCggL/TwQ05Fn/VMtQzgrTazscqXXH6F8BXsA8HZ/5SS4cMIt7p10kr2pQGA7bbWNKrfsRoUJ
LuZJeE1kSzCSg+aku9e7dyn3xAmHZQxJnkVmZxVbQUK0sWtucn9sJgOTusalAGdpZfbHjMOLXCD9
yU3S19ukN5MdYUPuRXUIwxrVlWOQtfWNVYzi6fVPdWmel6qZyS4mxlxTrubGDWpe0LkP+EndybqP
cZlRy/oAkUa5hYxafXm9wUtBwuIZSfIP/UAQY6sbWgsG2ecz5xQRULBFVNHdzpU2wXRQhoVVgYIz
BeAOCgyoWIUR+10RaXGl25fWGkcloSf1GC6B1b1GfQl4kMu2Jq06/x7X8zdHZNONMHr7QwVef89y
uyaxcOEFjWjWUq3HSxUK/eqKGxF7FQNVZ9/J9el9FyrWfF+Rvm+2LjkFD4GiTyklqQmkTxdOmxHB
+vnj64N/abYJB0llwyukqL86Q6sBYok5sqvTKQltz8KG3tiZPA+f7abo5b07d2Z55aa4ECsx0+S+
YFHybF9rWDVYQeIrZGV+K7L+Dy2ZxW2Q6c5tGccP9tRXnswUcRNBCdy/3tlLc0xOCK4fSRSEd1bv
p3E0J72RYe7bWl/uIHGJgzLFcI0zpYZ+IpIv2tzkVxbWr+W7ep2TzmQnLQghaKOr5S0yGWRSmLmv
J3H5iYRvDGjcHj42czkcFD2st0487YDv415uBKFnoeq0paxT3aqzjHZOUxqHsoLA9/pgXDx9TFQt
WTXgdc4cA4NSxJzbSu4XDjSCXkjXA5o3xFsHXMBWqHC/Ah2mUB9POMprLYVQbFFggQbbsp4aUsBR
cuVuvbQaeZrwmiaMQIxmdSBOyVQNWlTnPqVme0C9EToqo9MtRMRYabhp+qm4ptZ4aRcupYflRc2f
65yFKssosFwt98VUqXuzqbVbF9jMLTT+ej+a4AZcR1jbPh+DEMveYbq2QC4tSxz1yAQTECI2sToG
sniIioLKs28ZCE54uB5r5abXdagEYNrngztF5pHFta1heaJjQ/LbgoC54WBpto1I67ukbaaf0Qhw
ajM2TvkjkGEFcUkbsh+vL5plrZ6uZXbd8spZKo4aRcfTuxFxoMZIAmCiXaUM+AekUv1DzxpjvrJT
z4Ms2L5LTZPTkUTnugqRJiO6Kkt9TdZk7ib+anIRVl15p2Y2lMU39wq2IEDBZdnR2GrZ1RjRQ1mw
APRmhhV6dVTW88EI4/qaye+F4QP0CLyHU4AAco3d0KsiNwr0r30nBb+pB2XuIbBwTbT5/HzlRlkk
cakcElicpYk0vaW3pBgogpcxEDCnwuBBNeIOGV49+piLIodF1wJY2dSKm/bfXh/O8w1F+7jHLs8b
QuQ1hgN/FBN4WJz6oK3sJxf20rwrtF4JP1eiqchHQj/+3go75nqRsm13gyinNzPWF2lznoPsKXWB
AS8f8kXsWEdUJWIxpL4do6ObpZbE/Q+UV8qOUSdQT7XDZqkz7cvrnT8/wrjUACAsQGr2yDp8Qp8m
LAlXeNqhlh1s0USbw93YOvl0MHOa96LeqN6OCqVR0K6YzgANQqbztLMFkpCVNjLjjZHNCAZbeGv0
Zn8wMr1+4HEef67d3r0yzRd6CgCeIh3FlkWYatWoEKFVdR2Jz24olHwTD44ebNOsgHqpj3hlbuZM
ueZLceFcWGJSokXsssCJrs4fBCPnuYRq5UNZHYtFPixzDq7L22+jptpw5f1xqYcUNhZEJQeesRYH
r8kIlIGT88C0Bh26cAHHaXZG8X85O68duZGmaV8RAXpzSrK7Z0YatsxqjU6IXa1E7z2v/ntKL/D/
arIxRC90sAsIUHUVy2RGRkZ8sbt+CkDce+kg97gzP6qQ6BwizvyT4HX7ISvoFGbthHmgqL1sPq+9
3EynnhJM/TuaD+3Dzy125shaI0vAgNwJt6PhAjYYi6qVgZavlS+jsxCMRUuLGnDWRadS8eXhswEw
jwMzamQUa7ZcuWW28edGcjoIUzN/WntNw6dYXb6XZtfNHvK2h4qc+6cVnUUhCCIYXiox9u0MpTxW
0mQdyoDmClXy6zm8hoh3uIW55E/GODjvnBzT3oMA9841D0TABQzIC1doy8uhJyaGQLuWAReQ+kWi
ae6fpomX57dX8+4oKG8hAgqbfqespLSRPqRQ9INqrqpTrHXIeUvTUZh45wywdrTvsH6Ckif+/pd7
FOXWstGbuYKeQU581hM4R+6UGKl6XlU7Vs+duijZwTHYDwoHlq5AtJVITuhHuR1Ui6M2GTqnDOI+
MT5Z+NV91hAe+L7GofE5rwbT8B9dS7qUyPogigqq+7ZVKS2FFq2sVcFgmtJpqGkRD8deOqil3JsW
wuAg71Tq0A3c7MYy0vU0Nm1GKSy6E1X8Ko0Cw1Kra4GLV1U7/4dZCSoHNBARcGy+HR4FVm+jFBCY
0qS9xj0NmVq1HDwD+yPGv48bLVRbZLudrXplL0lU2tqsCaa8TF/KcM1PYTSOvLOFCuW2S+Y/w8gO
lYMtsr8pxbDAJ6g90x2zrbfWIXzNWXPqABGV8WpEqfJCeRxRACxPM+nx7QHVCK0oDUYM5JDNQiYo
eIdqFDdBa47fhroYLkv0uNYNKpLsPHHSkA/c7Y6G9vDFGac2SIem1Fzg7+bPpQP9O729K+7sQkJr
B7lRuKd7RbYlLPUoB9QKVJWWsrG2ohfFVn+oeV0Gs1Qf0b33w3EDg+OrUG0RudteIEuFkW2frVMQ
V9Ffc2NbniR3H01jtL0+Xx5WShJcOWB8EYOBDW8134q+KWX0LeZAqSSMDdRQrr1QTns8wNbSeV+O
Reyg5tUUzWkqnemoFL8/DFyWtFBR3+NhBdW5vbjsEnp/mTULJxzx59Ju/+iV9fcITpXXGNO1rOXm
/ODX5FGD7ii4LgAMJGa3Iw6GRstF40ivcWvR+j7rJ0lF2iIubd63VXk0Yvg5GhYOZDB4K27NpxU0
+UfEn6TXJFflJxK0nja0pF+fePDN2g25Hw5G3J1zQGcCvp+JoErBabOiyTzIVd6QcSLntpr+XElS
70ahav3byvFsHJyN3ZvKaLzbImlicsTSt6tJIVaDSSE6aMalcvV5kD7qw3JEOrw3J6GTj/A5B0Lf
Vp3nqY00boEkmOYViQ8bAwob27MXKS+nR4MEJiTa3zjvQhR/++TksZGW6CSnQVPN9Qtsnvy0KJN6
UEYXH+EGFmAUpDZFPkfgs2tT5bYPRwM9pmAAXvmtgjSKlmuStqbbF1FY/jOVSSbnbocaS/Ru0MK5
cq2sVZ0jdbt7C0scS8GL5UOqT2TGvwQrsSSHUYZlbwDsGFanQcVIzkfqwRhfU8cc/sNmgaJJPMs9
Cqwofs0vozndaAyWMZLNl5CtuY6qxO+rsu8PXp97s+JFECQ6IjHKErfjTO1SLHBtINXkVrq6lHvt
fxMbOxolRL3mPw0GfwQAjtRuy6EO+1Chq4PBIIKOoAZOGp1QDGg/rUWxPKxV+3NWPKqQ9cRtLW9m
htpOb04SFcqicei3Mto+QSBCS7/ROJ5cVbNIHz4PrCMPEVUssAllGxIVNYImIFdFQC1BdOlMVimd
+6JCoevRexk+CeAVLR5cerSy3E5tTMswNlpQxTbvx8aVa6WQXESVqsW3xjqJ3KYRCMTbg+6eH9aT
3Q+BlRSSaW72v7mSPyZNEQVRpUtBIkvyWUIBC12Wtnha6+4vtYu1g/hv975ToiMZFxcMGPKuiJVS
wEgTeLmBns4JhkW1/lflNNMn7vTUl0J0GQ8muT8OOp+PdkDKofCTt4YAtV058zxRPshmUAnfqazu
myRHy2+ttKDd8vaK7mdHpYL6iA2xDnL61r66qWQ9NmG1BcUsSZWnqq1c+1O9SA0KOVaMYJRRNEfO
GPvPiLgAfBVBwiYD2spbpI6em2bR54GDKfML6soIeOWL3n/CXltz+3SOkCobEuXgFr8zV5iUiLwS
NlHt2qrKmiU0ttWi8pdZ6/dei5MfeVkOv9t62UDipPT8+e213XxIaqukQaghCvYsndrbs7jCIuwk
tZpfuYdCTxF1LxtFIj/urSOFanHafnmgxFDsFZWSD3RRi86U29MoQzqSa9tcXkvDNj+3SWWCQq5H
tur3RqF4gfcMvxiIanP8+hV9pbJf5ldZ78AYuLNPqa7lB1tSF7fiZjLiqIGswukQdua3kzHCaW6r
2FheRR9M5mlK2qin0mmRQEwadrHvjB0mcVZjLT+iXq0rF4qI+T4iodKCCT3Dv5Sosj5Vct/Mp64s
8GxLtDxESinpcpYfESds7mBSjW5XQCN9nmSkuV70KpX6125k73rVhNf5maqtPl3URavis5yHhXkd
2qkZfVWPne9TSUZK8aiMUQVbdCuK3qem1cWvWW135cnBpWnyIrmVWSmdhOdJhq6yPJdOU3zJstha
3bCttfmxcFlsBEGBJ1ImS0DcfvOJVlWpETey5ddmKDvKjrVzUoocjTInbVAja9THGmnEeADN0GIo
Y5Afb5EMpcgkXSom5VWbGt1TtNo4CVKgO6xaerQv9tsCI0NCBN5TiqvbMAE0fzSXcFVe5azv3SGC
LbB20dG7JhZos/lsyNZU6NiCiLJuFlC3UHXL2ll7xfJDQpmwxWxswiLyFCmZ5KnL8KNPFbM6LyOt
Z2/fF3eOFwspghIL0s+uXK5J01gkcz6/NkZZ+KVURh9lNbcOdsjm8uWLAQXCVQLsooAAfHd7ujgI
sjkjGPKKQtVvZoL41GzLblPG3yPkWNwlPMoG9tPSMT0TXnyCeEDZ83ZAqRwmsy0l5TVFbu+pS8sv
i14ftZLdHeSnEAbAggi4bgdxqm7oU7NRX6Me6vsQKfGZ++LIlHR/o4Mnq6CeoDIO1adNPNfnda9J
1JtfIQ+E1Xms185wISWDKaPietiFd+dTATzRTI5qL4TW7aQsq2/CJRz11zl2lL8GFP+eNdrJX6jy
R68NLe3nGVrDwSt5Z47wSBmWlg/ISVuZK8lQugWBOx33QE36V7fb8Ms6JTRG4TfSPMa5Yi9Chua0
Ye9KYVLflqYN/C2TNrX1V8S10ASXjMzX65iuLKTz/JBC1sEJ20QA/xtPFK2EBgFYgthFv2Q0WWFO
UQiI8ZqG2eTPoVF41tyhvViNg4sk4/zx7RO9/4AiVv3plQFkQ7HudrykSmi4Q2PilSjVwrJx0er+
2ZLssn1WnM5q3nX0t0Byz4vMOIgi9/eYoeHrQy+ADqMeMON26F4m+JpWxXhNkPL0wlkO/4FADMkI
ftFlbqPlk04XoDcr45H41p1FFmxMKK1kzXRXarcjp1SBo8VGY4ca5OTXadgjxLiELixN2y3L2Xz4
o4I0cFMbgPfiddjU6WhkbmoaSEGIrKh0ab3OLtma4Pic5NnoNuMy/nj7q+7vGsZDK5zkEeIpQfrt
BBdnjfU86aVXVl93+75ET8NujiD7LTWSzcowtB6JiVEr2On7zKueWZkpvRqSEZR6tvrdWP89GfIP
o9ci1076z0lsd74lL9dJMZ7sdD7yNN3gHv/7CbR8cEiZLffe7UzhW0OUJLIJBt0cYthToTl9zirC
dCQXHbtHR5V+/OKCJnYcfh8UBbVFS0aE0H97xffniLyL4gXZEAknlefb37HqahNnSRYFThM67tIO
tUJtu6v/NmsaV+uUjj89npsjYGI/feEQSFoEuke6spWlHy1nprhYJEFlLuYTpPpuOel1UctuF6vm
giqkbP6tqYthuPWq9V9KpdG/vz3z/V4D/geM1ETxhsd6c4wtq5WtZILSFSPO9NplSnoyymY62NH7
Iwv+IuByLIrYcFteUjpbYZbDsw1KSZXdKZ1eqLfYrjNKL9Tej7L4O3PiSgR9JB7QySU2B5bLqm/S
qC8CLGjKvzKt1E+2k05Pb6/cz2zkNpITLkUsHuJy9HpvseoYDW59VaUqSFJ7NVW3YfUy7KwBEy/D
oCTfq1KXV98psZeNXQkx8eklQkli8u0SlUezlkfLMwvchj6jiy3FrrFMwMGKA2/XSzu5qfxFcSLt
mSvHSg+aHu6tERAtzy9Yu8Dbb3d8kQ5WVQ5OEaTKYHpUzCXPqpDGfXuN9m89rCBhPUinDkTdHcI3
Y+2yOGEZWJKqY4Rpm/4U5qZXwx8+vz3UbkLA6VCe4L8Sc5LbbQK0IVzNurTCKugVJ/GmMZY8G4XV
gwrk7qJgFA4Lm4okiKLZ5sKqwnQolXyqObFFcm5ajViiXUzJDUNcalxY5ON5MNX4YK/dmZwQgiBg
os+ZaW52tKZNuYkESBP0Zr96nTTQrqorR4bgd0chVIJjwB0ob9HEvJiTbME9IJhCZfT6ro/IO+vE
f/tD7fYE6m7imqV8xoOK4cjtzkMW3UiaZGIuaOc+rYuZvubENj6gzFGlbj8UykI/g00aXOkX2yzb
vOKhMjprHaxTZ166Qbf8MTLp95Pih18QIiB6NuhrAFgTtLHbWQHFZBqyuE0wKLP6B98mQz4Er74T
Sudz4jbTEKIXs6qPBrhiWIyvMED8Sb/bzFDu01KN67YJUlWjE61fUvTPw/WvMIuLs1Pk0oNtPrRD
MiCVfmJpki0iiNt5Jn0joIiyCWQ7r59s6M2XOMv605BZD9bKfg7FYgrCJGVWAL3boWZDGfS8VRgq
UeonOUXjskv04ZQBDr1L0UD9+PbG3G9/xEiIhoDuSPHwTbkdT7fq1JFCrQng9JqnqjDKc6FIDzIz
/zcrIEKOAFx5MJTbUQxkuZN8dJoA7U7Zj2ylcPPJXM+GutQHgevdCYFDUlvC95UusNuhLCUzp361
m2A1lPBv6EnTh65f1oM7fn8lsmy/jLL5TNSJMB1Asyigv8LwEtPC11xL1RZDCcig/0rG9G0wx/TL
f/hYyLmLu4pPts3sGqs0FDqi22CN7OhlElLlGk4Qj68g2x2cjUQScYKt77Gh96EUt2YbDGjicpRT
fEjiZHn4RiQkEXxgodlFv97mLQ5RsW9am43ehWnm6eiuBnYTzS8Wuv4f3l62Ozci1ttUnUTDLk/E
Zo+PqCrQ8bU2QTQ60ee8XeXnRYnfRUsyHjxZd0cCVIBDKgirWyw3Abczyt5qkL2UB9/uEIdU4tT2
lgTo/+1J3dnnwkyKexeKieA83+5zwpheG4u0Dfo5kryiVsuzGmmf/sMgQJECTqBkuQ1hC9kcMPIs
20ARqX1frJPbL8rRYdoFyj93ArGvaLEAhdzc5+2IQH09jGw4TupzUyOQ3yx4fxCsNc9RUR7ZNd/7
Sqpgl4gwVvhB3i6dlQBrOcPCrJJwTokDl0E6l1LSX4fRqIaDPXHvQ0G3g8Il1DdA7G5H0+jRDItl
bemb1upLEsm49RqY5rz9pe7P6f+NsiVUhQ49XYiTtkGXJK0Pzl96TYqpSxVH398e6d58KCEQxBCY
aRTOb+dD816/gky2QSsl43M6rboXdXN4+g+jkCLykdh+O55wpJYVCn5OG9RowvmtsnxTCuwY/sMg
QmWGcggR+zZST9pmkqIp64JQjXU/mvrpEi/G40E6wTMvHx8HWt2OMItkn+0MdtUFsAzsr4o2Gs6z
jsOlevkPs6FzVDSH8ZZvs1o8nHpzDYsOiVVceF0nm2XTbcuyOdIcvbsD4KL+bMaiGiL24i+AX+8Y
PV1QCctWLItPamC5OHs9nNByZ9NHKdpXaWTlzbsdJR+MORl1NNkwidJOYd3humTBX3h40cjRhBoN
2r6Q/9XNKCOEYqM1UX7LR8VL00TytXp4/IYjGIGEIWzpxH83o0RjauK9aUC1x8Phg5ok8jfax7SP
0dpnzzOX0N9vz0rEUzdZOrgS86HQB94FrL55XO1yrKzZhsG8WrU8PCXFMGWfCqyWims4LVXzWs5h
aJ4TC3vrJ2rEffRwiA50CBSMKBgpCHzj22WdCpZ81sc6yNoOjDaOIuV7nWPH6NFSJf2JMs9wdAPu
XxGyHkYUQsPsmW1AoTspJlOLzjEjghm8spT04gzFYL1oBi4irqUWxREevB9TCEYJpjPQDZHS5iTI
Ax2WKdyyIFrkKfYdOW/MP/JVG6Mvkt5K2t91lkYHIIb4N2+/7e2Y4jf9cvqibhpnQN8+6AdZfa/g
Ze8bAIpfl4wY9O1ttD/o4jrhqqfkrqB2t/mKtr12uoQ4YkCbk+TPLdTjvInqgwfy3iKyVRFBByxD
E38zoWRU+lHumiFYtOz3Qu8GF++p98OqPg9pdRTc3ls9YRNLkZu+XWwVb1evqpQ1A9MdAhzauheU
uP6BDrxc7BVX77cXbzeSuL3Y0RD3qWvxxNyOJGlAf3U/94Fd1ZKfIrNJF4/Wucm6tAdD7b4T9xYv
MhRjnXBm17BQLE2VmBgkB2GJXFaWOoOf9vXRAbszIaJAWNMwoATleHMhd808KgmOYEiGJI3qRn3y
75yFBW7hBt7dDy8e8LgJY4GzTKVzsyd0rKabyVZH+EFmRXt3TYMn3kGOUnsNlo9HU9vdlz9p6Cr3
lMiDwYZvvxVxk9F2hT4Fqj3xDAzw80oPmwmzfcLGy6BuvHQYUFGrG39vSPmGg0Bkv7QEokLGkncI
sGtHuFywveATy4GZ58lpBGrxOiUcLtNqHAkV7DJXIGI2Jt1tnG0Kr5tgG97RGjdToUGNxZ0TE7eK
7MROz3ga64Gat9Y/uRYmj5Y/qZhxN/MmCc1kUufb9bWjuaGU21rBYNNQcKEEFBkXxMwV/G9HaTmS
LNqfB1BXdIvZO5TLKILeDjdPw5hFfWXTETzKXh8rpiurh7fj/qMJtxCq8DSWcfa2aYukIQzmaOka
5DH92H5r9+xOq+/sEstEFLcODrk4Xjf3PoqqFK6oxsHDFx2ut5OqlVQ4GyxagIe37scVnCdzsduz
aswydsyN6nVDQkEZEPipa9Sjt2C3b1Dr+yk8TTWQW2arC2PGkDiKwVoD1NHa6GxPLUN0Wtfn76hz
tQaOnMQX/hpj1HJ++zLYnU6GhjUCOQXsmTRKu525rsQYU4aVgry3XdfndNRi5ezUcayeOKnj7PPs
GrZnxHO+nmqp0x9UqRGUKZ2eWAARvjTqA5uEsTGJoipl1IN0xbbNyBz7gxIP62s8dcpnTEyPqiy7
Tw3vDFIOuQJ/KIVubtp+KJxkXU2DxiKpfVKlMDOfjcrIqVPyRp6yMsHxbmosuBF6r2IZppMpa6e3
V313iMSPEG7cosXJIjS+XXUJmkSx5JkBwIBiDVdS/rKWhnpQW9gdInjz6C6Tr4CxqjAmb0cpunq1
RxtVsSlWqpdpsTK/Bvf3B+PQv/3uUKLeCt+cS9bZHCAqJSQtih0GhtPry7nHfKXwIjz7Vk8fEFJ1
H10/tHhBqflDGAyEfDszS2usYh57K5idOnLNCI3iJknqg6RvFzwJVTiSPUifoCg7TeladSg2ZbYV
jOB0V8tu1W8WTJbnesLU2ylK+aC7db+IbAqyZYiXLCQf7nZW+Shpaz/YThAvdkbvBhoCHhXd/KOJ
XtmjNx6vE6C7KNeLBvitiUerGjn+mF0Y0IBeIk8uLa0v1W19kjvdwGcTb1y4kpJdqCdFis0c1Xh9
PVjfO/Ol+ETJU+ili+LN7XzT2rCpp7BpKsTSnyplGPykqOzTaA3Lx7c3zM+G65sbHi8IwHgIHuCU
VOU3Y5laLloUpuzahkrTuzEF0vqS8uG1ayY3Q3syEy5cHx9CzEZaIoX+LLdtq1/qcVmkJ27EXPdN
I+poX5iEsWaqxenyBWGUsj1LaTKFrlr2ZvauXbV2hLjpGD/arjEqt8I4YcGBNS/G0TWbGvXmOHO0
4fd2SXRGQUm89dMhH3p/ydMKZaOF06S7WdTSi0hrVBn+lul6OD3JWWVHbsuFIrmTYnaXBYA69NDj
0bVLpvfzVSlg738MHTMMn9MBvtx7ZZKa9lWJmrb1O6dGhGIuE117LlWjSrHn1PsCBl2uF3/QFLas
51Zvw9lb0nUufhssOlovbSRH0SlV+271ZYO8yLVzc/4bUZQy9WSNA3FKigJlvTql2/VkF9Fsu5O9
as3HrFNH/JFb05CekOMNR49zNkVn1lXWT2uGzs3HoaR017nKskzOWU6srv0jHjL0rt2cbExDd6Np
ev3aSlPz18D3Gr+kY2sXX2d1GIoPUtKCA0d1lIW/zQ3WYrixh3McvthaUg4fwlmVl0+OVnULpJRE
iZ7XqVVqt0bXqb7AcDKIf4k8zY8wZ+3q6e1Nt78/wHbB8iBuU5gklrnd35BPOyz2iuxKuKl9nZpm
/T3WcCfQars4S3JdHkSC+7ec7JUCF2aF1GYQz7wdr5yVFQWjsb5WU268U3ixRz9EF/wPwOf4ZYLU
9gr3avzezcp8kDjfG1ogijxVgoO6TciyPCowB9Wba0lH2vhUlznCkjTlrxh3LJpVXRYa9/uXSZlX
57ICfB+wevcRFMUvUkJ8v/kJdFzcTj3U9G4ZJfH+mLnqY1FU/dbKqOqeykHCL0fvSscA807HP9/+
xPsrDOie5UYqi62rbZvh0HVIWgyM0qvUpNPsKfgweSqqsJFnY/x8cF/u9xPVD7RY0Z+nmkgZ+naS
TZXp8sDLep2ynotgrNT8R06n7++cUMhOba4Y9enh+UEdBSkkm7fRgt2Eh1qsYs/WaNlVytZKPauY
peenkl7f8f0q56v99PZw+7iIVAy9R6FyJkjFmxcwqQCSbBnVgwJt6lM+Lso5LB5tZifkhIsAlUeE
vfyPszmX5TxFK22MYZBpen+pIXB+qoZ1fJIRtDtl8DSGh8MVBuSDCSkQUa0Qu/cXWEnVUz3F8iUM
6IdTL06KOQVWTw86LIpp0ScJk4QX9aem1u0oBTBZaZpJenU46ldtjU3PkiLr4U9kUx7l1SbbpOSy
lXUerYSoqdLqa4xFxKnDVNKt1ag72Hf7jYDmBn27AJzsBfLNzVyMrqjzIZ+uoIvDx7rQx1Maq0el
8zujiEkAhkD6g3gl/v6X75JH6gp0YE5XXS2XF5SiQ7cAnXl4xTDPE0kz2c1PdtftKGEGkm8a+Xz9
SfJsCin5Ptf1eiQyJJbkNsIBeOCsEjeyxxD7vh2mhDhGX9A4X9O2fBeHkuVlfZRiPENrzdundCug
JlBvigak5eQvcIS3kE5tGjPXYrpcHUOCLNuTzNiXUZ1W+0PdRa18IvIwmg9zZvaKO9GlMv0dFRLI
WTOtZeSmxiDZJ4zup/fGFEnGvysWNMXBDrqzHKK9iGiPLlt+5OYqkaw8Uoh3liuhj8Agc/lpVvrh
alvEMW+vx51thDA7l6SgcYkSxO3KR5o8Diu9blf6L6zWDSPdKk+SObXd+e2B7s2JEId8DqEdLuRN
2qOFWTtlRrpex2wYX2gdLLwFQNG3V0s5WL47c3JIG0UHO2I0UGZu5xS2mRTpfVZc5UVWnvpojb0o
y7ODlds/2zzZ3FdoxAN9kmvdjmIlsrZK0Vxch2YcntRUr3+ne9E4SQCBroPuo58Pw3JQP7k3NUjX
QlwcUZ9driq006PZ6Rm0pl29TsrCUwFFjw7JnY8F9QIIC3kRHs5taBC145BKaVlekxr8wKFycYF8
VHqTrGUf9GWtvw60yxcubWLTJWynl1nWp696GuUvOY6G7yiXt6eogtdm6sWRBsRuDUAnhQyxIInQ
fvdTivCXmw8R4kVdrEG5jkUJKmDYnStLlvr89n7djyIwc7ig0HkAKbcHgzIcLWURlrXxAkt3TTLl
ZMO0P9iq++sIjpyI+0QHkqCebnZRSpJbZWo/BLlaLKbr6ISC3xFCGLr30Wo08ms5kMM+UYNeaMJb
Lbu+5JK92i9NVEaqFw5p2p/wLF9ndzanEbxkXYoj+bPddhDaQwTa7HJQRuiet1vdVKgKDm07BKqk
NjjeaxDrkL5xJTVTD7beftlFYwGYGmx/wOEtOgJtgIyLnuqA0knrjVZcXbQ0c/xHP644sowgBhGS
L7cTGouxsq21GdFMWEq/SMlpUH9WHw2dRLevIOJALQYf3Nr4ynrWKbDn5WCVTOWlGrPCl4dFOthC
u8j65yj0fwAM4uO4JS83dLHBjG8ZhazBHVLjn0Fbn6oGixYzjI6sTfdbAdSKjUBBQlTltricMaVk
m7mmAG47YeJqGQ0gRtdEQNu59sfbX+nuWKI4rtEihQHI5mxUYUfTJqKQgVSm6HC3se5VEu+GY4Lw
vj3UftsxLWE+g7YXvNVt8I6zXD4gVaAEUx+ZniJHoZ+szVFZePdk8Kkg+9IyjE4Hl/jmsV2zfOrV
lcXDfa3yp6FcAGQG6XOv0azTalV9VszkqO3r7tSAamWRde3Ty9m04w6sUAnWZenOWgkIGGfDESZ3
dxQiCbpGIDTzzt+eKGXooy6udCWINbPwhq5s3mlDdGQBcX8UODPIeIs2jQ0AbvbzMjcQOHGA6g0v
TNPmWZK6o56qu6PQ2c0tRMvEjk6ZGTFClovNvmstlO5T7uWml464H3c3Ax1botmF9HTLPiyWrDRH
4IgAv6XVU4vkasrhb3ml/ZZW9etYho+ZWhLbsfn+/3hb3D6WUwMnGb5QWvdfywhTkMGJat8ohyP6
965MIUYiyaLIDXS0M7HpEBke9EVSAm3CtnJU7ackKp+sGFEOrVm/NGv1NRzCjzgjPKjm8HOOrCa9
r+TilDHFl/0lNOjy1ujThP2BNnh4UYdxgVTslE85oNKj8SyTFHwq2DSkEiDet0NlPdtiXdkk8eCo
HpbStls5GvDj1B/lLPf2IxcuzG+eESKSzT0ogzB31GdVDDAd/PucQnox6Zu+vH0F3rttTbA3wXsD
79tykZJZH4ylbdSgDS37hGHN9xA+hG9H2VFVfWs9xmeCAgSSTSEXDglVitu1o3ujq8OhWoNSy2JU
PmfIRkutenlllZcJ44frsMbz6zAq47lW+vAMwFk/lX00gXtaR3pD++WFFU4ciTQG0qO0Zd3+mqLU
FkNf9TWYjWjxytxBknottYcDG5JOSFeCpEPBdqvLTLGnjRDjVIOSZfWjfvxqzM2RIMF+KlyL7EcE
cKgY7LQiqfFmwLbaEkRSLZ2VaMQxzO71g52yiziQEYF8QX1btJjzON8uWBjGgxI7sRUkjfl+sY3X
keZNN0bkinrz0WbZTcmgvIJ4Mz2RkIDgYNwO5syIbo5pZwQIT+n+VOgYxBTakTDlvVFopBScQso5
fKPbUWD6jqkzj0ZgtEbjmuronPVsOOqIvjsKCCidqvAPoHTcjmLbLewbGgMCGtsT2oQlDS/4KPz8
9kG+M4pQoxCPJEIAVMhuR6nhWegrbaFBpFWrj2W6chp7afbfHmV3XVCDo/kFMVtB0N6F0PPi9N0s
pTY6Ul3/uckpEyVa1n9DCWU4ODr3hkJniZZMPo/gZN5OyE6QPW75IUExjKVbrep4sXSqiomTto+W
nZkVDCbhFUpMRPZ7OxQYZI6qU0FpUcpiH6fSwV1kVLy7Yj3igd35TFgDiT5QCupsu81QSVX1hdRR
xYxkrFGHUBleFbtfHn31xYRoFwKQJtGhNHs7oTYG20u0hAk5+l8JBsrP2uAgNGDPjyKFQqoBKhJm
a8SaSBrcDlT2KLckURFdNUkZTnatfquQbjvIqOi845+5QQrJBEC9yd3A7vYtV3JJLKWagx1MbbtU
fq3a0YcGR7fZGyiO6fCa1cq68pg2uR8v2RT9nizVbH+0cFNUXyJg++mPPJGz8rSUDRJkJuFj7VFV
VIO6zcbwD2Wa6tWNtZ6KZ6VIo+Gq6Whqz7Uh2a2LnD69KW5vdjPWwijzlhcsQrPOL5xlyd3KliPJ
V3GTmb3MJCI+h33ema6ippN+quR50s6FQ2Pr2VG6qbhE+AjOL8Nom83FscLinCDtZS0utYpZ/bQU
1Tr9CbuNiqrZzPZLlMV684RUqRM/T05W/cg5g98JYDXlvE6pHb13ylhPzkKGfejdWV/lxJ9qCCyf
5pm4/WOY6XF8WSalBaORkqV9r062gSkACCyF5bLLFprMq+RrVQxseAJUR6bJH58EN6nKAl97GJ/e
XOtq5lZI6pbvecrn9tzo6fpJzjvrr0yZ8opfm9exP6+S/tXWAQ9O9lKu6mdz1Iwe1rGdqx69XpLq
ogfRIAFshbWpnkwoC/W/XTFkH6GGKArCH4Re57I3MJUtWrymrqmC5tjL0tbTdJk7jInOWUoj+FNI
dojkAyJl48cpUca/pGXoIcfwFhq558RSqH8Hfoxkz1znfPmBpZmleimGHb1XzkXdebmZhtanlRDL
OTejXo9eWYzreDGU0kifetOaacAvqmWSXnkSaWDUWz36ULFEyT+ONYXZSQY1i8+NnWl/xkapax7d
fHl9cqassD7K2ZLT3z2G8adokpzcq82ulhBakpvGH610ktkYw6j60xzHuG7Sra2/y7IxU16KKVwS
EsXFST/0tCUvT3pbZqvLx5Cou3dWY3sFLf2LR3U/jX+sS9TbnhO1xbcw6spPZoQ/l2sQa3VeHU3p
p2HRZvm3fB2010WeczyC2WmKgzaYKafeUhpS5WM8Wq3PfS8XPeL+jhp/NFY9T/0+1qXkqui5lF5S
csvoAi3EjE+rVNnqaYn7ARqG+Ax/NLXSqWcAAtXw5DSd6vNcpbV8gRQyqJ6SWXHjUuF25gtV13Rx
4yRfvyKoZ47CGIPz5OpNqOd+grLM11HB18fvIEHULm36s+rbWqMYfo15unFq+042vytKU8herLVq
BiHDUT80mpyYHxS56qrMpQWr+zPj3CqeaWSRCl0sV/pz1enyt7dfxv3FzvUCNYxaLu1yO3xyaKIE
cFWhdD6Vn/BFjb9I6FN+enAQXnFAdAWAyaLEtOXAUNAdkjFby+soU7ttO/TILVWavLdH2b28JoiS
0I6nNxly6BawUCZ5mnKpaq8RENa5d+rkyUgk9fe2R/j27aF2qyaCFYweYC0RJpM/3r4f+HMYsdp1
7dWoe/MpHqfC00ZF898eZRe6ilFEPYvGbl6QbdWs7On8wiq6vTbkQS9Q2FtaDMly4JqfkQf/9+3R
9nOCpQSGycoRjxPx3c6pkZxQzqd0uDrVtKBAZlauHMnN6cFRKDZSPKUxk3RUEEFvR0G7IKTEMfbX
zBltwy+mSX5nzM78oOk3bVC0c4O8s/HghgAD346jdtq81DSrIUJJP2adxWPhwrJMv1Ab0U8zlKJz
ZA5ldPDJRDJ4++JTr0NCCM6jMPHZtozkSTyH/US20Vhj+GxZ/6TKhH9Y1NHFm5VU9OPedNX/o+7M
muNWkiz9V8ruO6qxL2NdZTZIZCY3MZOkRC0vMPKKwr7v+PXzBetWtxLJIYb9NmZt1ZLxio4IBDx8
Oed43aEZ8dF9FUM/aIyRqCJftIxoAhnhp7k0zdu8VMa9LgamoZ708L6R89URaZJsv6YdBlDH002t
tVnLhO7YrWb70s6UdO06pq3oGaWt79JEvU4j5GecZtA+HK8R45LuompJ0EPsdmpY6ypuS611boeK
/QuAjV03jENbiafPvjc03SgqkIWIAXBnc/7Iq6pqMCXntu78+M5JrHin6KX0tQ1puyN0MH95fzvP
+ymi0on2K1RbIXeyhOTCoLS6ALd1mKQsH1xFyhkzVZUBzHI/VtTOTWzNDrdNknXZT8WZhKZqIvlg
6JKhaG7yNCnGXVrBFP+UWKnRucw+99e6eOdulYekjM7NKLBVS1KmUvKLQ98ZDnhfmailjr2YUNgN
u3Ftwuobpkjw6C4R/eOHlm3XIODthqPcHTJj6j2U6JIv6GRq12UhdSu9yTdNUWEGpkjHEG7/6YmS
wmpyhlDvDnUUjNYGp0BJxwiCjlhRritzt/Kqhb85cQwUUURzToxTIfnQxfP8VuybyrSV1ckaDi1v
EQKbGkoMkZpTAw1ImwFom6bjn13mRm2pbqH1cvXF1pluC5yxjC1EspUouGB2OB2TQQmjtVrMWabC
44HSxmdyDMVg1tPHswepbQHi9wdLUqKNNsTErbTRbiLVgcdsVPAxR2mtw/DGjUNBEtoPHHMKa6p4
qN/2JNSQ9ZhovB5wph0iOiilHn32ZGXvz1+1uNc4UYK3eJ6RTylKm0k2jwe1oyW80aRiPjCw1Im8
bpr1YMURv2HtXzQXS+CLz8qFUxbNCrWz+QAjcrqIog7Uqs94P8g/z++fqfN3JqiRlFlFtowM1cIb
OwUjYLPJHw/c3NId6oyBcUnNXPXyzNayHfov1bRJk6EOVwKtNwzTbKeKjOt6VbA9fW+pFYA0AZp6
oPxQepTUJTdUpMHrZKc4KFWVXgwinn9/tWfOmVkoIuiiWC5uOkv8/LfDYs0IZBd9MB3ydHLuo34O
rnPJcBDoi/qbJkvQXX/f4BsvkuIkCTougomoS71URe8aMsMcg2z+p8CKETFBn/uL76/iDc8/BC43
6pS8SGr9zrJPaea+os1WNh0a2Q6v1ThBdzCL1uYJvLWD3J4QhNEvPS+1FboWKGRn00H3w+nRMqLG
CxQj3ctd7HsdatUrUNE3ViXEIiFE0EQEMbV4Y41TMwYzyuVDAgz1Ab+WuYEVVY/vv6Y3rQhJJyFr
LpB5p+eCAtGU+1MlH9IuQ3JPi8qd06prcu1vWBHgeaqUtAtxk8sAJEvTMEd3+mAMrX6ZDM70iTLO
mqbDW1ZwwtTyqBySiy12bMibhs50rRwaC6BEkrYjLNIx897fsddRYad3ESugsIvaKz6fvuHplg1W
FEi25cuHnnah5vmlBkauoOaCYmAxys/SaANfb0H43k11WDk7YP5NEFAwKiXnYqplNdmovjM+TtY4
zU/qkKfWNpetztgwP3OwD7Way+lGNkESXiV+Xf9p+ZHZXhVV1NtfSENLGR2xiCalZoRhvJvCXvrg
DHUyMxoXYpYxoDm2cwmaaFFiS/u8Ug56Flm3pDXI6ydlJMCHivL1/Q0V+7XYT0Fs5OsVs6rPotOx
zvAfsawc0kKGo60YgE9deHTakRpx3WzrNFbNlVj1/KhwHfJVUQgTQ9qWDVK7RapsHHMGq0iJulft
CAjTrDcrR+Us4BeFbCjTbKOg5qqLY5+oSp8nCDIcHLPon1Oj6XccXO0+nylpTWNtftUZfn2pTLK+
gnM/974kcOBFybHRnODmPz2jna+BFgo5owhmlDdpPSmPXQLyZZioX77/+t7YSkzRAqY8AdVpCWDk
rmmlpsCUr6XDJ42jchWpnXX5vpXzS5NggKIE7FEcCJpfpwuyWgSqmZWuHaj51l5uDMYuG3P706jW
wUMSmelPhwHru/eNni8N+W0U1ICqwvIE4XtqFFnltC5yVTvQgHE2TA+MHm0nND4cSwsQFG8J/Xc6
6MsRYlMZ61PBbKUDUw+jG0bX8qnbg/nJrKw1iO/5saDiAswUJ0k8zZ9PF5SNllNK9D8Pjhw+17PT
XspdOe2GsFlr5b3hJVGeAxdNawppQhzmqanQ1Bh7XWnGARR4IjH0FzJfvE1iRJ4uFZ2BiF6kDyVM
I6YOKVdmOM+NV5lVcZCdyq63ajSW09coGh1kSXtdNLdGXY4vAquPjtWUBJM31VL1k6HIQXRnAREJ
LlTkNLKtmctRCB3JZiKy0mWR4wJXqXyoTmkzrUU5YsNOfRcfOJw79OA4A9SZTleJGHvuD3ahHeom
+lW0lbax9O6y9CH7qFHzNPXh5ZTUDP2SVqLXN46mYOyQaxONCCzYqWEzbeaBgrd60JzCvJl1SXpK
jVpZ+QBeIXiL9dFk5xJAfwU7y0pdj/pKPdu1cYD+ZG8o/Ru3qW12XhC37Z1iNc1BRrJ3PxldsRmn
oTwyYyDyCrNdG6R2fnLFXF/udOJJOpGK8A+/xa/kb12E5IB9sJgx4VKolDb1WBUU7udk+9GvXrD8
xMfIBSiUtU5NtWYRZD5ttIMu2dFWY5IFDRG6Iu9beWNBoInBrVBhE+gSkfH+tqApkFs7NDOD9CNs
N3Oay26RRTKNJtNZSTjOryFLNPCJWUXh8KwVjZBb4nRlYxyUwJK8KejaL6aS9Jugtil6KHYI+29U
ptgbtbRc4Xqdn1NsUx/HcXNaqcieLtPJakI+pG4PpVTEHjNKg709TNPKK3tzMxleAMmWajjC1KdW
bMhTjKDojcNQAumLW8s/dGZc7arCiVe89fkXz4IsgQEXcxkAjZ2aqmppZOaobBwm0JjohHJH3DtR
1nwNObZeomnZz7SOu28+pcDADQLTWVMrfWuxYoItcy7pOJzdF3qkh31ZSmwpg7sfRinsP6GrGHzl
MK2V9N74/rlyEeYDZQII+2wwSVHryFL4qnlAvKe3LuqqSwK39Bky4ypWHFubwgmHx6KJ6ozgdUz7
vew0UfXJrBV79iqwWPn+/e/mrf0nYOYWI3knTl0cKD2ZLNQ+a/OgB81EiT3lSdTpc9lUW70wDbfx
lefGCXZKkX5Y1BeYPBxJECMKFShA+aevfma+ySDG0RwIne1NH8k+YPSg3kd1262s8q13LDRWuEPZ
fggAp6YaeiZUUUPr0Oej6gJnMg9Sa6JHkvj6/fsbeo7QYlmI1HCgiEAo9CxstQNDy6tgsDhPbS95
3dwPL3FaociYSdl8NyjNNLnW3KWHaUii0YNR6ye7tmi7+ybOzHGvJWq4ViR5w29wtgm8KCBQPVxC
qPo8aJuqCO3DINf6bQGK+9MIkOzz+2t/wwo5DmKNaJ+KSU2LN2pGQQl9pHMO1tCNwE3ypvjRG+b0
cV8vKAzwnciyeVkLxJFZhFY3S5nNjZIlII6m6X4wlGGnhKa+siIRcJxe2JSUyEzB9gmR7mVR0Ir1
2ep62T6kdtt/6Y3QvwZZR+fWSmVX1v3u8cM7iGgNSGCYIzQ69YXnzaWiUiln2QfT8lO3bFNYvHa7
NjH8jc+Bxiffu5DU5F5ebGDXN1rg2IlzSLK82/p2122UwsoQ35XrlZDnjSPxSkwDDyRkxJb6qjAu
O3BaqXMwU6X3ep1Wk88sopUr+S0rlIqhJyJ3iV9deLFAlmoJ4iMHLzGrjRFFzkaT9e7DWS75GJ8R
YQxXI5H4qRcZlTAn/kiC41x2xj4vhs6VNX+N1/LGWsBRcQo4b2KK3CI0M9EORlID+ady0NJNF1nJ
ZYKHXCmHvc5kOTnZfKevgr50jAnOlhNE7XhQrIyZs0c9s7vZm3Ba8xclafLUNQ3a45cC6lJ5up8b
f/aZMpvHwcjkcRMXal7eIViujvcMlQR2QYRVpxtic6ZTC0UJKXYNvNz3SEZfxa2Y8ep4jHZy+HPS
5dJF6lOr+mTbQwGUQ7ZyOiqRYWRfajRLji2uJWIgrdnKrtMNKG4hpDClzwUTLetPhYV6gqsEQXqf
d0k3fR5y9PATVzVjXd+wAq25LmsfNJAWSBFiCsy7dNxENeI/h4T5m/dRbLTFRa0WqrHVETEarkfk
qyxXVqgRfx9qOZqRp1Im81rSI8U6RE5aVJcRQxN8CCgDIlK5Ojm0FudmnlwmX/SlK6FGmtReAFJQ
f1Za5u68fNApWICKX0vr+LxzKa2eCABhkMk+dNz/nqllgddmKMa/b+XM1QkrUHrgxon4ZBmJNZKk
qJCh7INddPHRZDSRm/WBfp1q47j1h7T59r69s3Mu5PWpuVrUVWD6LL24o1dOwU+VQ9xFxa5SUacN
a9348KoE05AYk7IDRW1z8TUZ0DVkNCbUQx1YtVdYcbmDiyZdG+UoXRpqtcYtPt9FUkjBYQYXrVCD
W2Q7WSxLnVk32oFZS/qRWXdO6IagtB8DX5MCV+4YePz+PooVnH7IlDlYGeIAAoK7rE1NjdOWidYT
wdVZZnmGVVYvAJylZK9mraHuA1Ut8gujoTFy8b7lV2W/hWkIOWBZQTTDM1q2LcERivlzjnPImrGb
bsvRSf9MrDz5VltDEuysRO1+MFqIHl6ajMGImKODkErn+N1L2WaNdOmkjIlyNTOVHI8zaYMY1Og7
fwlNu1H35Iv17EURvNrNUI1t+V2zsgDNuC6ejE2Z1F20LSj21F4XGUX74BBI//LV3voKrVTr3WhC
jNCVwSA+9Q1N25Wr7fWaXCwfuBK9Lpgagnq/OFuKpEydCVX+gNpH6VZ02g6xMxi6G0+O8az102Nu
996EhP6fddE33/XaLNfc+PLli/odIR3lHiDeBHanV1IdAuVCv8A5SHES7Ye2Vmo6xmqQbKY2SVaq
oGeJL90TjbKdUIKnPrNER/uDRupZN87BCQAxDuRMLrzVH+ZIqyOXqn2eq3eBzSXw/jE7cxQkhhCs
QbCA8YACJj6531L7XquhoFCdOqgc6F3bkJJmAXSRj1qhGgLygXIoub15tpO1lclGEsXHISq6b4NU
pC7Cxerj+1bOIi8bK7AlFIAWrGRZ3TWqmRFeSR4fm54P1MoU+Qb2ZLKjwrWWXp15IvJ2DFEpoGJA
NW3piZyhyVBUo+6SOgyOMMfvYxJYGx8Oftv14YoXOl8Y/FZR2+KeUpFWWFgLwnwsgrIMjvXQl5se
kzdlWmq3StZ9ePwg1Q+Q2dTHWRRFJfX0PGTjiCAe4yqO8VjQ46nqbNeng/7hU8cq0EukNkExkqTx
1IpErY5Ip+ImrP10Q9wRXhZx4Ow/eh7oZtDGE0AH2rv6ou5YhVZhJUOYsG2JFnhl4ZQ/7Bkirxs3
eSh771s7uyromXDTsiILOWAaGqdrMvxoMLOB2102gtk1MkTUnEr6sy77aynuiz1Y0jWJxTfOBTch
eHPUXcQNvDDZ4ZHMOWmTIwD38tI3WjpfUyulfF2t339/f33nngI5Q5onXPeCg/iKgP/NU4TWGOhy
UKIPVTTBJwcd6s+xnhXbj1uh96pyywuFp+Uu9upERSq1syOqsKhoNa2z7Z1p7V29tRbRfUWiks+K
kvTpuwqDWMmRLMiOamf7O5gp5lPAEPkfH10LulE6ACmhOU4leGHFbJh/oQ1+djT9MWF2CPPSkhYt
yvetnF8cWDF4KdDEUK5cfrGzJc9q0eT5sUi1eZ/B59o6UzLvEG9qL3WJubQVUuHXbZWZawCY8yNP
ovc6PIKMRFA5TrfRH5QS5HSYHQvF6od7tc7M+BZWjDoea8Zx5Z8nteyezdI34g9rur8OX0AzBdFC
qlvL09iUaaPEQ1Mc09Ac7E1ROgydY6Duxz8xmuf0hAiNeIOItJwuMY0m35rtoDj6/ZyjLsCwSCND
58xJTevDTlGILXB/cXMh0bqMNbU4K8Cet8UxL+duR3HEPBZxW6zUhM/LpELTAXIUgjZELyBsTlcU
NbHWSVJaHPs4GS7MRE92oSX5e3KxaKsOpellGbhZyuP2ZmTG1La3B/02x+etuOfzOxS+Pp86bW3R
wFieHr7tlDKlVRxLpurshyo33WwI860m1b6nJLTR3v9Qzj967MHWp2pI5f2sjlFUk1EZQVwe/SKK
IWlVE/OD87XA9a1VkdRyYQsxkLM+bK6mOu6rK4/weoLNrDnxJnd82KSqX26zWW4u3l/VG98gBEGA
z6QpwBuXORGpy1xPtVUe+VS0DdeTto3obu+cFHyjPcsoIFRt8PS+0Te2kvhAlDwF44ki3ukZwm/7
CCoKOSJfdTY+wpfGRiWCtVde2RubSWWLCjb8LaYxLcHACrjm0Zjk6li0ufwrMvPiPkvM/LFhmt9W
LaMPo1IhiUHU4i5lAiIidIu4xFbrAY9tl0fQudqVkM/eqaNOl0bTv72/g2etASzhVyhH4r6IWBe1
yLqugHwGrIwyjLZtgrTqN2Q7cKwqNUHCJEoz+Ys5wdl2+rC9rOOyWHmCNw4OxWSoaqDQ8KCO+Plv
93nTqVU/z3FzxMcV2hZ/XatbTRm67MoplLK6RNVAus8L2ShWsoFX5vJJbiegMzRIuTxECLhUSw/D
KAYT1BnHtGJmhsUFZZQIpqJ7UAZXaH1W0aVTAoy6CREzr3+V1jhbe3nI4uYht2bIc25SmLP5SzGb
orqWRs2Z9u2oVo1gJsn55fuvankI4S5wFHhHAl8hUrTTjeoGkNb9rKTH3sobr5+Tq0Dyj7kefKV3
/NFMSRgDgEOtSGSDZ5qqqlJ0ijXH+TEsGoXxrmnPwFX5o+kLVpBpxkkJKBO50mJJTVqqbZa39ZFJ
hebGMCRnz1H7YjhlsQEp0a7cOcvDLsyB2COPJ7OgRyd2+LejVuqANm17ao5RKVn7VueOSZ1e2cIL
6zeDPab7ZhrsbV2bwUadqnDFiyy9FeZh5REkER5xjy/1btK2bFoCr/aoScyZ0VIl2EkmBLv3j8m5
Fb7jV5EHvCIueeE7zAapX20OuiMCNfanCspbdjFm1bAWIb+2RX7/elRY7goVEeQQqJebyzjBbFIp
d7puOFIeYmKOqsWjvW+cWb5CW3bOd6k9x991Q6qUu7BGa2L2YC4hFQsyoEUmyZa7pqKCocLuTcsg
+hz3mjzvYefF48buB9Rlph6hGYiiThy7XWLa8z7wM/M5seTsc+RTm3CzOowZq2wHzrcJ3VdYDbL0
RTMbM/5gUMRiKRuQ9wq5IlGkOD06WgJhcazy8Vg40g+118N9WMTmyhd+xs4QVmy8IOoBmOIzX1ip
AtXOonKiMtsryrYejVZ3K0BvkzdLOYJPzjhSFZPG1kGZNxiD/JhqfP372AjsZsdQ6xgtlhponTsi
ayN5NJq04YOpkZizwEnms6WxSxVlke2VlT1Q9JvLY+/YBNuZYt1KWUfj/vUc/8ef4/8KXgqyAHD2
efPP/+TvfxblBOkhbBd//eehfMkf2vrlpf30VP6n+Kf/9Z/+8/Sv/Mu/frP31D6d/GWbt1E73XUv
9XT/0nRp+2qTZxD/5f/rD//28vpbPk/lyz/++LPocEr8tgBW7x9//ejy5z/+wH/9x++//a8f3T5l
/Kv/zW8Iuqe/TX9zn+rn7iexzr9+6V//8uWpaf/xB1JXfwfZIhqs+EXAkOK7Gl7+/SPGMoihdbCS
IHyJeCcvIBP+4w/F+jvvgxsUBWwSSnBHf/ytKbrXH5l/B4gHKIfWJtcrv/KPfz/jyVv477fytxx5
5SLK24YliZP+35+9GEJJN5bHwIpI95ZzqDu1zG2GXE9MTMisB7RWm6uWCesFI4Fn+VkrHUhE9Jb8
3SBD2c9nO5vcdpgqGjV9aF329I/vo2QYLkLbqn6CsQ4c6js2yi1RK8/PxKfp3p+lLnctwIordP9X
PPPp0wM9A+PpwGPADS9zYXoftAoKY/BC1FyegIOpD4lJaOeOzly4oePUjwyhhw+T+hTrpkz1zKjb
Ib/KtAB2Rb+sR4YMuBK8m2IzUO4xXGbtal9gDm2TTLZu0U+ejl2rDd+0WpkMKsaadOzHaN7BQ5y3
ppXWnRtnUv5tDjyQ6kGaM/1Szu3pzozj8MZX8+TSmeqUucSZPgKKnpJq30Ryvya/Jr7Ts60g5RF3
BLjeJZ5X6fQ+S81i9Iiv/U3ZhowjG2Vp45TymkLPaYwnzoyIIxBrEiPJKIGJi/m3izcqMh0CawIO
wprqbZqX8lUj+dJGhZHpWo1v7YMuv/u4//gUUXRvil/tqbM4dTr//3kZUUH8v/uZx5f8Ze5e0lP/
Iv7NXx7GcP4OCAgioFASftWB+i8PY2l/1wREisY0tGlC8t88jIFfIlCj/AD+jvkC/+1h5L+L5gj/
BrcA2oCZStZHXMwrUOX3k4nrIzBXUeyjqMM9uEgJ9KTFMRqD73m7T97FJ0/8/53rbi93u/3G3bjb
DX9xL7wL77d9+svX/e7bTkMnSn0Lu4vQSc7UUZqTyfeK4lGRn+vwX0fy5Eb7/fe/hkTvLWzxHcg5
jBGpwMDjYXYz9+ePyD1G7iFwb0P39viy/3L169vPq4eVVS099mJZywGHc+YziolJz96Pyn28K9zP
gVu53/jL88tN4I7i7y/77fevT7fXj7c3T19+PXy5/nk3uCvP8dr3eGf1S8YfGWyrGuI5Cvfb413m
Fu6Px2+P188vEX/8xv/9yNzZ/fx8uL88/Ph8GbiX9+7x8v7+8ub2/v5mc7u92d9f7u/vr8SftldX
2+sfD7c3m6uHq833h9vNw8P14W5z9ev64fbqzru+/rXy9l7x8u89/yJbKaIiKRsKqTz/s9hKnv/5
+fPLMXA/MwqCR79/+Rzx/JEb8cdC/O/+5fMLS/o8ijf8lf/ya+kev4fur6fvt79+fn+6C92rpzt2
/PvxFzt+9/Dr8dfPwgUEyZv69VhxSL7d3dx8f/p5/eshdO9+rqxJUxaXwPJsaKeeuQyKMWWaq+9h
iDdw9/PX9fMhw+wz0Y97f8sj5+7N96vHp+PT7cX7B1N8Tu/tp/gcf7sV2kEPEntiPyXzgvl/kfwj
oIUQ5m5bdjQ4H9+39kpOfM/cIm5FsbOwpA5zn358+nZ3dfHpx+HH9bdv+/3n60/fAnd7c3+z3V/d
bO/vD/eH3UGcsKu7h7vrh+3t1crKX8G1y2eh3cQ0KjGjiTLg6dKhoESFEkOCS6bA6+zPNbKd0XAj
1/bemhl6MVKMAKs1aMmPeXyKJI158Pd6/1XX0RTQr6T5aUq+DOPnoPscW+pKkCS80NnD0YoFZ4Ak
G4yt04ebw7qyzT70PQjvbmt8ddDu66TLcXqwnYB4pNgX6co5fNMzEuv92+ZyvmCSzrC5Bmzinp4L
/NN95D4/H59ujk/fj7c/H2T38efaB70MgLgCocZQ+kJkimttOS5qktQukLpq9ooqgIemRDO1n2wI
vKnt5z/fP30LHIEAS9IYodIECFkUEJegvxKVqcSaVMtTkUbahUDPvg5zGmib3LD8qyir1dJljEbs
VQkiFaJf+WeM0sxaHrtc8+tjEIJxgcMfgwp9+m4LtK5kp49tT3D4H4w5aFG0kVrwYOmcfXl/zacF
q7+WjHI6fSG0N86IEC3KChU4Ttub57LaVmqre80waU+9Pqj3JfS4la9qeX2LtVFZeeWVs81L9VOL
rK3Ta8vy9LaAQ9MY6CqZTrrydby1g3DuaD5SxwEmuMjR+7oeQ6gQlge/KvYku3nK23LYjLRV9+/v
31vrQdsDQjCMSUQDFt+h1YWVnhST5cXSbHqhQwYwNPPH6kW8JUF3g7FhkBKBVljWthsjrK2cITbw
ceton9jIPBdDGX50LSSrZFtwQKE3QfxfhHTIKvVDaFqjN1ayvKkR1HLD0FnTQnmtgf7uuhAOBg0h
dA9MRMmpTJ0eb8dJnQzG0QjRKXa1kOG9oPmqpr3oOqYmWc02lbKvhd26VW8xw6y8oNCBIr25U8bu
AqTghZWOW2Ocn2h1ezAwd7HWj66mKV/G+Pj+2z07R4tHFT//7fajRtXERs+j5gPaUmGlOBvSxtBT
AqhY/wNTYI2FPAAIm+UrlhVfiwcVU1oeF7vW1r6h8SG5EdMkvPctnR1ZsSjKV6LQShFiWaNmdk1G
QUobPV/LzE8JreIbCX+4ed/KmWPBCoeV7AAKILCDxdYBpY8gMumjF9m9tTWZ0LVLh169Nae5d0u4
OZcfsyeEjgH9/ks2xTgDbPehpoedVCGWW8Wu3eYXwP52qjFAL14ben52gpe2Fg46aiUqgwrlFeWm
PsIhe8w/1d9QJLwVpYCv9XX8OB3n2/Bp/hUdnSt/W3trUxTPgpPlIyxiwmGsUikdeITiUXuQ760D
ZIJf5j640u6G2B2OdudKX+QjmmTVZXOhHbTP+oqPXR4jCimiHQA6Gp0U2NSLTZBio5Tbph08pc8k
V4mN8Ws99vXKnfzaHvzdW2AG2AD+gB4YBJVloBOUGkxfa548Pcwu7aocvKlXvtkjtZ6w7N28VjZS
chWWX2hH7UdKsZ3zxcqqTVj6iPsDO7Tsa8Opvs3DrjOALIfXaT1cMIrZy6RPKrNZFHmmmyS5Wvzk
hBMwkud2+K4o38VsCL+ExDztZ/mnyq7K0ldLS12mqmwtBMuS6GfRlj+4vXYGDdwVf/DG9lLLpt9F
4INCzLLjXcQ6Iyt8louAovMMYkxH0DDdvv/RvGGE4Ao9d9wxg62WWLtYMbtWVafB06dM3vV1f2cx
+2Klo/O2ES5+KtHwfpYN4NGc6gbhusEzWnSMnMTO3bS14//BUtgvuIAg31jU4so3wXv6FhKVXpI2
2g0ks2mjT5294mXEFbg4jYiHASSh+KEBR1jkBNrAE4RVP3hjknSUTFPngTG57ScU3bt9EUTaJpnG
NXHnZQ7GJ8D4Dkpy+De+gaX+qR9kRZqlHIW+sQsaN/VTBXk7glwpSbLbVE7iKqAjvNTvlI+fQkwT
fqN99QoaOr0ADY0iaAY9jDnYWuK1teR702CqHwwKxQLxJaK1TSBFXHBqRbOnSGaAT+8lWWDtYiPt
rhQu+BXWiLK8koQZoNkClsZaAM+emgHH0lOJzAaEIVXNzdPS2FSTGhz7YbIRpJhsBkOO2a4xc5X/
RFO2DXJa39F6vND7QeM4DZYbp9nncrC2ka6sgHoXfDXufB4PGiuxsRBjoQB++niB2o1Jx23pKchq
MBYFsYrnGvjEIXUSLXf9xL83zT6/mEHbkPErQXPXjJlRb2ympYSbtgs+Rk96fSJHTONAF0Rowywj
tZoB5aUtxoJCI9MvskmzUGOywl1Kn3vl8xXhwOLDOjElfv5bpBUqztAFbYugvxQ05cYuivEO/QCt
uGAcXbM2g0FE5afWKIFS5afWTUWUPT+1hjBdUCp6j2ZiZCsuQ6dHt42m5KJnkO7GL/PoZtbki3Ak
BZKh2rzvdM+WSntZML7FSB50mpfNmbb2a7uT48pjhC0CtZaecgvVVp+q+yFE5mVlZ89OPV+V4BpC
6sUxkkWcrlVWUoavTnLpTQzRTaX2W6kNo+tb04+0qeQVf3HmqpgIgpAZsAT+Fwe5OMMSgnVjbTPo
2I+tditPUs/wH5QRzLbp7xsr6rnOBnpHcWDv3t/VM8/8almERWwvDLTFAYK40PVA4hPPnKzSVaXy
hrE1gKrK8EftILxf5B8Tv+brwOIrOVAFJYYY1CIEi7RmFACGxKt0BVFMK0l2dWqtyfIsTovAnaKB
TlJGB5+AawlezIxOSVtrLj1qUYZ2kwm5h/sR118dphgw/kpUd26OeT8MkRZyBADgllij3GDerd3W
mWeVZfNnlLbJPuNuK9zOCLWn91/ZIjBgaXT3KAeARiNLB9p3ejJ70g9fS5TMA4us3PkxNNgIAsfK
5/aWFQQPAEki+AMrdpHV+vPUGmUzZJ5Wa8l+VsL4qda0cEUP4GzfOAmvlF4HQ7AyFmuJxiowi5l9
M8ous3eZ1uRfUQYu011XI5P3wY1DYA3BQNFGpgWD/NnpxlWDg0pSGbOkOXY2BTOQ3Yz5riu38jLH
QEtFwIvoPdKUJnCzFwd8YiwgUDPMRBSO7Eur1KmK5YHmRBukM1L9DulpBl24iJDP5qEc6vz7XNoS
WA+jm+JtquRFu1Ejywp/ZHVaP0sBhIsXO5fgD6KbNWzDPEIV1Y3DQCm8ao77/qKf1cZGhiNxVqqX
4gX85vL/tRiRiYLuIZVY8l/Nyan6SapTzwEef6dEo91u41mNfcYnduUvhWtnTQDn7OSBH0JfRxAF
4eiQEZ6+play+3Y28sxjBlW1HWLkoI1oXEXIiddwujIiUrQoVDSWCOGXImSolXc+OgmZV42z7eZ2
GNwONix3ua/mKwWEIpMNZnUThFGwa7ox3LZ2M7qKUo17q2qCi9mZlK8fPaAiSBZoT1rW52yKzG71
KIvDzHNSoie4nsMuluqPjSNhsp3AZ1H9ZrofpxPR/tP9BWbD4OsKK3FtRA92GIbHIZaqlSvtrbeI
9xBVDPjnVE5OrUiNLTFvChHvMlLn66iTuj3KPvnHkqTXtRBhg+XjW0MFYxGRJGFhSGnppITXfbyz
x0GFQCitEfbfXAsrocKEoTMY9Sz10IsVLfUAa6e/Ck0egJNW4RpkcHEXvy5GCPzxZtBkgn55umUk
8cgGCjMpbL87GHGlmzOKzFPasN1T+0surShZSyLOPTAKKbqg8BDXiQTt1OgctUERcVl6tu13YMJH
+UJPkNOZ4zr7/NHjraJ58Mq0ZJWUS09NJYbRwNAYQ48yKhmRklf5TTynSem9b+d8SZwFIXBJVA2X
dXkZD82ky01BBTYPEvNbORD9V27TRKq5dYxW1V7eN3f+2sC8E7YBNBHjQ5bLSpXabLitMVf01lWN
lzB2E5L9uVvmvr5PkMm4gDgq7T9qVtydXGmCXiM0NU93M57yWJOYLLAxme01QCZooDAalVQc2q4G
naPgs2IvyLJ6pbq7yAI4pjgQoTHFuHY2d6muM9ZK345yKOEpB/86RHjhMrGCeD+P07QJ8qnaS2ki
3VYKo3pklJhX1n3+doV5EOsCenPebXLiNm6oY/mbse7n4aYG64VSZQj4wEtidn8lDjq/AKkkQZ4g
sKOdALf8dJuBktRjmkr+xpKjqHdVZw6zXZYxmQgIlUbhmTkkvbJygs8dDkZBtJlchCK1XyQfdi8D
KzJ9f+MbtrSVuqRyh5jZUe+foLOdRB4V0iNpFXK33IXi578lj0E36kZnz9JGH2Z532XxY0qX70Kt
4Li9b+lsPZwTyAyozeJiUEdbeDap6bq6Dn17I7dhuIMgqLq+kgwr6zn7EIUVIVxK2ICTXpblgqCo
Cgn44AaEbX6v2l30oyKY+K5Euh66AdKmLgAf8/P7azvbRaxyw1FqFH1AQqTTXaTt6Gh1p9qbxB/z
q9xMbbfpleRuqD/IQ+PmZvNoDsAqIl2j8rg4Fib60aj1FdYmVK36kWxk7O/MLmWaixsnmhx8IpW1
dMbStEHmuBp0qnElXn/jRZKoiumfoqZ8VmyR24nf2vVQUTSl+ca4P+e6au18TS5wzcz/4e5LtuzG
kSW/CHU4gNOWvEPMEYpRERseTUEAnEDM5F+9b+gfa7uZtUhFqUtHb9nbVOpCJAGHu7m52Yf90nOX
8o0o0IG7yd97eLJAWmvQ45+GkhMHC5kQ7gk0XP4jUzebhi8Jg51kQDb/no5Zep0z6CEHWi5/Gkaw
FNDiGARXxC0Il/y8SzpLB5CWl6zpK9V29RgN6ZuZU/OpxbRYXpMK8eSP9+XpZsDuxF454Z8/rzho
qtBOxNRQ6pEVEZlOoa7g6fI8LyX905IUT4dYggGiU7WNbO/ntVZiMVlXjphmFlZe2J7M1wn9w9Gh
v7Y/NP8w6YldDGTtI64mVjeNBGV4M85Rv+wJJdW474C8R80CLbvfgbj/EflP+xzqcYBxT7M7HxVm
FvDZ2xIS4PAHUvtYY4zNl11RU0nv0zD8YeMCZxurYT2oAJ6GjT8GY8ISm8RqoI3f4ri9CqwrxiOP
Amx5/vu++M8oiYUwagmBUfBzQHL/+VvRcZSQ+5a0QTuOHiqXrk9+kMs9BWBxnm8reQHRubz/74v+
Z5DEoviCFGO6yAA/lpEj8AM3rQVFznDyInJi074uEjmU+wz+Qb+bmv3VcuBwY6AKH/CED//8jIEq
0D+QgzbC5u5S9IluINoT3xYjHff//cn+M1TFGLTCqNVfFmvIpH9eKuYSGmxmpU3nnT/IBM4TZlr+
PFL9vMrpX/HPqxpINhtWg61PlmjduWyhr+tCMnlYbPI7XZRfvT3cLngWJM+I8x+iL3KPNVkxCNLY
sSgG6Ceq4r5jRXmVqjIzv3l/v1wM2Q4cijGOhY7Nz0+2cYwpJRZPxtI2O1AzRDCRouQqgcfqb8L9
Lw40JO1O05Snzh3gug9LtasWicBScWH1J7aloO+UfXRh+bDuoOw7/vFleZqpQb4DsPovS5Kf17OV
UymHy1Qzc1M8ujHqzqpinHd/vAFRCOAcY0QC9/vHo6VjTJR50dMGQjPidhJDcj7CGv7T/2IVNNNO
uq8QxPqY5QRmEqgdITyNEDWvIbPFjrHffifc+YvDhK0Awg7Gp2H193E4NFIWQjwZpw2VWjtoW5Ub
P1e8/51x+i9iIOa68LIQAk9DxB+Sevhtd53ZBG0may/EBA+9zA0CXXEwrLScgAvGy28+0y/2OZaE
MDTqXoh0lqc//8cJrgRbMr9iSRl8vydTi6YYJY8cUiD/i5UQZXGAAUOeZPZ/XokxuMxC+ytt4ARL
x0OospXsjKWa1Zsu+eufb4x/rvYh1EI2YxM+wPIuI+WMZlfP79eq04f/xSon5W0oK6NN8bHYjeCf
Vdk1T5sY6u+HgGb1JSQp/8yX4JRggAADrysMUgJdx9jmz28uFiYbetNCtXlYh71xnl6cFAh/cwH/
IgxhFczZYZr8BIx9yOIho7WY2GEVGNWt5zSWFtOD3fbcpnN2zbSbfqOx9ItDRU+IKuR6ShjHfZQQ
m/I+90KdnoqsxS2sIuFuWobxN7D3r1aBwT2QKzSjkXd+CK52ThkDCxn7IBTJuet6XbdT2f9mb/9y
ldN82F/oA1i8P38hEYRYW3hyNhUU+q6h+Zacq5yz37yxX5xVAMLQk0OlhUzp4wXIlIIrJZSQmiHe
xFMXidIeIdw3sCcoDxS/Ew3/1X7452ofYDHE001DAT1tiOmK72AMyb3Nu7XuFw1iVDJp95uXePrB
n5BvfKLT3Q6E4TQzHH3YgIkt1DwvOLKy7MlOjGV+NY0Q5asEJmmrfqn0fhnD7HZKeJPs//tJ/kXo
BTMJc97Y+uDRfdwnvdekXASetlC+aA9b1jHQGf2c8jpjcabPAItEFabQZPlnQlx/H2/AjlDkQFQE
xe7D5kGdzoxQSdpseTa+B5OErYa/5h8Sd/6KIrjv0ZsDJnjKan7eo3PnFFVsTcGSiMkOfUG302Wb
/qa8+9VJ+Ocqpz//x31SjhXrcwg7Nvho9gJATnvGy+l3gim/OgnIATFTBTI5KCYftopsO0XAZQGV
m0x6aqJNFxRM3SX6AVYHyHJ/vjfA00UbGoUyyqsPNxd3Q5EtHVaDeSsMFlCa4052vrruvBQ7BX1U
56PuN11BhMLTdf/TgUCwh1IjymXwR3A3f9gYBuVIsvWJA39iMY8ybhd/ZlJursAcT/Uukdky11Oi
yWs6zcN1BBEqEE1WWe5Hsoni0FfIHGoIUfP7TqRrVWsahyurITADb+Ks9I1Nu/Ghl+2S1rmYg25M
rqAgAqDUQG1soewBEvNzVkNfar6EMcygmq7sIl7DhBBy7JaE5ClZMv06GrHxBp5YcKm1Zk4OXbG1
IN0bSr9R/OXrXtKthPB4IeZ6wAdlO9rJHvQ7Wxh3YO28Po7OxeeKnbjEc9bNF5GIih8VqeLzaUxb
c+yXVlxlUB9EEzttq65hOhO3YFKPU9MtfjhTBPKIe4PR+K8zRa+zthZMhdrofr7SUi0LHF0XUhwg
moJpeCFE97q0Ee65rNN4Jh2J9HLNo3W48K0t0Sh1rpSNXMX8AmtJwCMw5LWPaLn0r9YZCAmPqPz7
uiNxfG9nKVbMlgDJqKEryD9DtkVDciDJ5/UQb0F/72Joy9eZ1/1jVQ7pej5NpnyBwO70qdgq2tcj
J/TRpTN/gY+w4ZdW5sXcCFc4VS8a3Jmh2yC7msRy3GDNY4KrI7mQu0xv4nMH58CpMWwu7X7JdQkm
CjicBpzJGL4/OCz+etP5uBwL07USsweph0FB6Hpe0036M5JIFeqSUQyvdznjr2ucs9eULCSvlQ5J
dk76EiHfguz7Q4P2fwX4Fy9t1Wq+jjJMzNdttHVXpPNm3KeiKL+IiAKO6DsgBo2BMQvuLQ3Z3drQ
wXwtpM8YHrmnLw4qNl/8qrProTX5Gwbo8+JydpL52rpiuYPcpU/qscpdXEel0fddSzzkImi7iCbR
qwz7DbrOcT1LdJ13xerGcu+0TM8zvjHkmIDfQRyNUgB3XY/FmhSWi+fayhGzz2G4q7ybv1s2VC9s
sJBC2MAyuOykGt9iCFi8gDZGnvgS029A/Yqibre5FE0ONHfZF4WLzhmnwJhyuFCse2onCm5paqGk
ODEX3Zpq83mjAX08wkvdZZDvrsyddlwWDbCrMj8sMUS8asny4TLFBnpn5DSmFDqiozr37YyvBRG7
B4cK6NGt1fqZlJE9OXDa1dbDGrysB1oa37BiSfbJKjL4wsVxJw4zMCSJl8i2zwNuXH9YN6KPSO+I
x0wTJEUBwllpGk/p9jwObrns0K/he5JK+n0t3CyaIg5Ff5ZXbtmrNGBqWQHboECt2zXUeaeqe8Kq
zV7A04y9oF+7ZYfJpeR6mYf8jUwimHNUTtNl1HLJd0iVzSdelgM96NZ05/22CLED7600TRgi2x8I
qOzu3CeouA8QAx6udeGyH0Nehvt8mba8LoVTSa3wCnRNR6OiXZJswyNZSvZMHKW3ideQ0exWqOyC
OT5CR8cMvHzb4rDcjPBomgHZjl21B0Fvhj2PiscLBy3eopGarNWepwkCVVqEQsBUHb5WEM9w08kU
wk2Yc0GdjneXuewr0Cqvaia28IxLKC+OFrprFhYVZAqHmMBJtIayZpgOoezFXbKyMtp5m2WPNnYa
yhzpynQdjLI3ehvHgA+ip76RSdHRBkZ3uq8pDn3cwPwdBEE/LnG0KxejLouIdd+5ycqxLgZmXq3W
+m5LZfdpniZIZaDV9b7BVwJRA8bW6HHH47DDxulhCD5otcJbvp1+cI5Uq1bzNrDbBR7x4L9u6/og
xhHkZyNF9016Pr5LbK11F5A2ubN4ZZOrA4MwNWQG3XNioETQZSQZIKsYxCNddP4FANfCD6kd/Q2o
rvF7G8YJMqpVFmC5vs5f/IJDDW0RnX6txlmGM4u+jqx73w9vbIB4CpjcFabToX6a73i6zOOFgcHi
t7Sloq/lRsJXsOVDdKjwvq8zMVctXt2IXZtj5umQY+492rdB4TfjjkCutiTwO4doL3efmICHIkiB
5Msabf7m1PV583PrcEeMafw8Och3gcfHLYgu+cbSQ+ABDAQG72Le0G0B1W2A4f1FOo32G8AG8+iD
xWbLy8k9RFzQb4yluBGC9woHdIiXL13uVoRG0eImyeIxwdU8DVAzKDWbGhfZLG7QpWmfly2qpuhy
mzju4aMx/fgpjUw77udVp9NOBjiENlBG7O8U1ea7g6PPeQhGf4NtCoQ07YQPh/2GzVtLlZhHXGz5
14qlmUX4jsNz51LxKodcKmh4Y4s2RYdkk0Do5K0a+sEdul4qV6cWjpKghRL3Fvc83ZpAonyPc7Vh
ClLNwxX8cmESxwofm3qdvcLbKbwugcn1/VO/lYg3lSFcgJJIKZwnFkS+JoEH6/PAQuEb2eJfWmdb
27NDNgSIjEu1dcuFZ+uS1VGQE0TTT3Muhy3vZlaXBcTA662HOHldcZewA83l6BvE9+y5LbdsPcuJ
tQ/Q2K7KfUfYDPtajOFtGHGdu6Vufduldbpo95aWC55ClWyejwtItrqhLlQzgi4tX7RuYUlvOlZB
9niCqktNMaIl6pW70TQU+UgEZlRln0K/Fd81aIlqRzoUY3gtugoNipTy2+Cn5GVZQnFJ3Sre0IxV
t0R327fgZ/mNMKihN+j8ubnGrGcbY/C0EtfLRFrbQE4R5paQQ2U3LeVIgZLE8vXQ9o5Xh4TnItpt
UvaP/Qzv3J1TRELUOfa9qAmdyVdrhuSrNNCQ2uleAYGIllAi6Az0JcJQm6shudeux7x3HvtQdy3m
dyAeDeilRV5Z7jgSPkj+gK5i+Lek6mlRV2HpyaF38zy/VsAn+Q5nAcxFaGIlsqqjHN2882xuSXLX
d7Bk37UYZxOXI4NHTwMrOWwQupZtfjkTOT+Dprr1ux4gkNpDkwmHBtr3SXxVQJKvPQtug12TX+cZ
4hTgTRZg9k3pi3BZZA+wApu7ndpy3d35Mg20wcDb4KFnNPGqPzrwHOgueEx9IENDKC3Qd9FDdoH+
ucaDDyISl1Z3fORA0rxgtoECmazuSznHZE9h/FN8DsvYPRZ9UL4BSUH13W6W0KQ6B5OIbM8lUUt+
a0DT287lBPPai2IaNlf3sHvaGAQFy2S4hFnqTPbWzoYdg4vW/hNLmbvoBFnNrksjEl1APrtLLrIx
6813ypBowkdQkX5oRhQHw97Oo12B/RmxHr0tOUZeQEWr2j2JeNTt4Kfj+AXtMcH92mHAsw1noDMt
UtY0bdfqAnzzUV9BAgXJH0IKtQ8Dchx7GRxb6afU4K6ManjQJWqP305hyTh3vnraxgHTFT5zZQVL
V5eijYS0p208mHDiYZZQ8H8qfdLjq8ITt+9eCluGqDYFL6PPYgpaRDgrFuopUmcoG/B/ZuW5potb
6mlkJkJZAIo8jBlHw9D9nUTc5EmvTmJT4xgBT0Dj9sALXJlHNSJWP8YLPtyV3UaWXxRcK3cUs2kj
mCnwwj3Fcb9td5ShFy3PuyFITKB4jPDyou6mgrkfZdvCDEtw6afDkpIxwryfYeS5SDQfbkHvRbMF
elk223a5zNroAoBxWh2c7TR/MxIUyRF5EUqXuCko9H6abO3U8+zpuO47CxbsY9mlMHbGGIGjcA9q
aXjgrpJ0qUPnCCJCN8+ftY1xvGBtEveHtN0Usr08OxVl2iCspTJ0WBifj59LaQlSqqpolxgmOsLo
GxlNDucHut3DcnDz6LZL0wJnfwcGAQgwDSJNvuTTpMrrOR+Nu5flkKVHo/hwyhz14p7ROCxOKYAf
h/VljY2bTF0UtlW34zaBGFMvRMyqmQamUPZVUAj7HvVlj3TNgA0K1D5jN7PAqEozzelwPkO4eTtP
BMkS3FuxHtcdI8s0HDhjvbiqNOMAvrwo3F0chVkhd6L2tXCYpr1NFfgidapUZL9jjjeb9mXm3EsQ
CcJ0WXgKP4xSjbruhq26BxUrhhToyvO5AVxB2X6JhJ+OdmExJK+oKVBVVDRT0WELKhSmPtE/2R5Y
4iKR1i2bK97buYjbm6AJUjy3bulTGxz3zYTMfj1Y0/PufkzGIt2ZZAvkEtQPTPlGYxqNdUWoCJjD
ES55NPiI08EjmYx3bSum6GtcDTQ/K+BElJpaGVPMx20JmM5fdRmres20Ga97Ubb8GqUt0omM+ymc
5aGw6hpXeTvchn6sskd8kDF5UV3iOvTZ2778JqMy4YcKYxL8HBblFrJtqU/JwXgl39ss6M9xsUEy
qSUKxpX5mnUjnKVgwnHmOt/dVxXTMN+lYMg1S5T64bIjSz83XEJFvLYgX1yA95iaphotKik0m0h8
pyewo+o4CShbZckDIs7k23xncyRINTxHbHWA1rS8HcyMExuE7eXSzGF1X8PaT9Vdj/GW9ivssCd2
IVBVlpfarWX/EnoAGpdcROt0xVKdZDcO/+LthtDE++tx1hCFR4ak7LRHPkuHhjKMJ53JKGDfay9p
fsfGrBAKa4a0QF63deMzHMSJfNvEEn7w4LNsOpsgQ1reFx2cNxtMesTjfoxH6OGVakPAQv5Trk+W
pfPyDi+7tO/OuKl0fJdHw/gMtHsu9sHCH4XKCXU6t1O7t1JgOhlvSrxD7k1XezGLMj1AiV2qumDG
4iJc+/JyAP5qLisVoXQfIOB50QIFhitKyOxVnqkMR0BP5bRfMtaxGqzu5N14+H3tAC7gRtB4kd8y
15UownQR7kSBIQ6cmmH19Zz3bYZu1tyxA34PAx4J6bLPKG9nyPXZMDxBLZ5t+3Et6diUy6LbmmaG
Xq2ig6DnDIl1fdSYF44hStcP9qgJDg345UXC9sr1xfumxNGtySyPNpfuCtKTJXyRKmbfcCmPvt5g
Iq33K1AUUode9JfFBGNDGEJUvd/zBOIC8eKgPab5lJzN4nS+VbRAVqsURcUP4P+tO+gFFo+gXwBB
wNx1e2/YAKyOZT5RjVhW9y33cf49FN00NMSF7R7mFSvwtSherguVFtipW5K9GPjUZSiVMXeyBDjm
NIYn/MvSooV5gNcwFBBRT07yRpFIQuf6xE3o6hbSpt+LQmOwq4FJYi4akmf9l2wbs6ukav0GXT9b
RfsMNhYPQEeWeE9FrB6GMt3obkw2HhqPFsjzRtIB02UeU2w7j9mNVwVZ+67JPVVJs/JeL3Wcyuh9
CdNK9yFGP79ZfWS2M0FitCQJ9Ft/4MMNRb2uZHYNFCm6tzIbCEABClX/GuJP4nPMx0Q2RWJwaXaV
nN6gAdqnB+nI2tZJ7sirnzZBICY893F8ZjKwMvZr2iH7ECgQbaP1FMe1Cy7GKw4atj3zNMuvRSrm
cdeSlu0rG8YfGn6fqF9hxRB7ZosGjCaCf3BKkJQzlAtPkG/wUA/WAEJ3GkqnDHlgzh8jrlpWGwMe
BXQ63TubAO40q+w3CGKLjn5XaTcxNCZGf5u2oYO6BbJiIJcl/DJqAJH2cqVZ/J1kwobaV4V9jD1m
DkK/psgrgLwXZ4ONqq3J7Cjji2SAHvSu8t38fTJQikahqvhnyP1B5htmRxhiIyLaJtzBMCrZM1W5
17bs4wW+fxXyDMoxYFc6jA8PSXEJXdlU1qHtBHRe0hi4GQKLQfE7VvNrSGI1N7RFUxKuUEOH2iw1
DgXpOObbTnmCKBuHMlLoA3RlggDrMwCZavWqwew9zxu+re33YBfwpVxLoV3fM0FQBoHifockSBIA
ni0wfSSF+sfCA1am89hBfqbEfV1TrsAJNibu4EhFPSnrfISo5F7Jlr+fZB6zJitF9jn0Fczc29Eu
OOy99fDAm2OAw8viFLtxDup5e4h2t/6al8OA6DOWg296JRPkW72UV8gRF9aw0ZVxIyK9vdB0ARcQ
+nDWNRxBDwWmsQtsU6FeUJ6QpeJHZ1vPGvBKx+SsysDmu6RKQcCBdzN8Y0FUA87oYPPdGGoYsgmT
alP3oIR4TGL7sDUMKAvQmIwODzIa1vGGEFb2+4RV/A2bcVibEldtvMtREB1TJoU9dwuMWfclQP4J
gQO5QxO6uEtgWy7H7uirWW77ti1bdbCacpQ6MLvKdp0JUtciXSaGu61wCEVTBbjCBjUzZK5zfFOp
MYngnGUUlBFNMoSdBYdy2hOiuNkVlcnTeu4pU2cERsfVuZ1J9sNyQ1C1M4BUu6rsunuPBs1DNY4X
gKAWucPPU0jI8FZDTQaOXXFNoXOY7CIXj2ovobe37hI7Q9g8WaiDwW+/5dHeZSt/H91S8iaELWXn
A5QkunyHKsWFB9X22jbuRHfceZ0WNyB8oTLJQaf7UY7tgBofaeKlhHGYPqYbRl7qwiBj3Jk0cffG
FukTjocyjQL57apXc5zVIxnsDdRvgGHA3s+B/EGi/ZwJCf9hz3F8gHg9CTh4JdgLZfTaYjCf76t5
BRzEUpD+G12JYTjyOOBvBzGdeqqbAAoOj7ss1IrxiOzKoQWsC6SEPCgB51Fc7nP0LYYzfIkkJyh2
vnkzhCM/qffUiZvkbZiAAFyDEBXBLq+zK5S4Elddig06QZejRyLeoPCNpjNpsrFr1mlGrIL2avlU
yorg+pOn2nTDPIzp7tHUgCmBQpVxwwtk/buCEqBE7Tp/gwAx7ZrRLMN7tSzbY4Zm5lbbSacxcDU+
XPHegV4RB3qSesrYZ6B50LPprZrOirbMOC40vGTgSau+DRamyjViPpKiKLD+UplhqfboWSLdRav5
ApFz+7xkkK6owWoDfwOGKt4dAaeSMxNSy+o5VAqgFfGK/T198kc6rv+f6jDG6Nv+v3UY91p++T//
A5LoP1ReT3/jbxVG+q/TiP9JsRW24mA6nCYi/i3zGpf/Qu0KHgIFVbQC2RF0r3/LvNL0X7CSAWiI
QfOTb+CJRPpvmdek+NepKXjyKsGYKpSm/0jmNT41Lf/Z7iswLYHJBbBwwVQAJ/1Dg9aXVnVs4VOd
QedV1VNH/HZWkAm0ArQq8uMG8kIEhsGKOqNwJNhdyMF63nXQT1R7Y1sEfRFG/JekzaBWTAFz6z28
xWFUjmoOLMd5VS1GTyM4FALm9Ox3dEooNHxs4uNVpeDCYkwIStgnY6uf+79yjTQHnPgOYLME4FrA
yQ+Bw5toBwXlE7nyxLms83Xd9gQp5GVvKn8GeIH+aKtk6F7bkzDSMVdjapu53Nb+pSuWLd7pBFgC
+mtb38QuTe0XW1EMK6oFvu2NSlcMXWeyUAEeSZmFuBDfEvUgSVuBzgR9nDtSdHF6DLiv3f40YKCP
m2uHFl6DS4TxiXyJhmbaxnxsqoEU2V7ko9vxcQPjmkMS/47gxipBcCdrvIsWAaiURWhu1IiAFiBA
Kwnc1dYFnciRt+poymx6T2GNiCoxT8Ryw2O+vJZJn8OPJazVsWUK7dbcT8gXCjPAs9FhZJahZck3
u+e6SDCiNpMo2eNHrlrI3yRQcfWwZI3k2NYpfOdfSTIDFgraWfIAb9y5h9iCq/ILtIT8uh96wR95
nEv08wbuj2zqVtxvKLTZDqDTxHbahCW84W8TXlsZnH9k1ZyTT9USpD3g4o14EwFQvRdoPmTX0BEe
10NqtO+hhX9C21B3LK8GVE2LBF5PLay9nPq+jKwtHtg0pahPs0xuZxiQd7C49MG/ZhMfhgMr17gD
5QxB8s6mSNsO5UJ6X2cgTHf1xuMT3m5idpEBkLQI0kVxg/JtSe+LbXEc8+gcT2FEIl9n4ALVee/b
5JOHU87coGgyF9JsW7enzrFwQMtM0WbpHBpAhqXAy1qv6bqDhPmCVmXmouV8yPN5rlH+bxfoDfP0
xIQvPyO/SKqdc7QddkDS2QubUKWh2yZ7uoeH/KTPMWgakFCLaVxe0S8R77NkQ4cmH+3i7zOGdO4K
wzbRWDeTv2gz9Eu8YKTvokwgt3poAReUyCNXvu61tpARUDhTbA+Pz449yaz3X2FcayEQlkTA1vSw
RbDu61s07bK2tcntpkBrvugC6rUDRUm0xgCRJ5z7hRM12nrBg+HtAl9tL+ewIIAs1JfxYaqqcDdV
SxTvlsI78jBQU9LzksQ4bAa22A5G7yN+1K7xAIksFcJdSKIejOK/jyLgRAfZLCEcfkJmkw5vYW4z
esbIugFKnlkK67LGpDMbv9M+HYAnGNQgRNWk5zNa4TKD+PNzYHMe6A6QNxbeqiBfS43k7HboR9ce
/t6uW7K02WcbW3z0EdrPtvl706GHzLujVYUxu0RvE6CG3qc4HTkIDI3Q5Rdc+S7bUU5gLaAcauhE
lXN+PlFYO6BHiBxGZkJ/wjsB0YcDJ30lpu2vsqEwt3ns0fwZBKNfA/HU1FM7fxf9EJ2hzSIuWYeo
64BsnFs94yhPsBXeoUJwZ904vWOKSe22Kcm7Q4586wb1dyEaipY5OwB3sytqBSTL9RZlfj+JNnpB
6QYZ76FPMMgs1lfgmsXNXETTExSb+9N10M1vfoiqy2HlUKZZycRA4OhtgoKoHUEUnofnqJXVOQid
8zVmtgEkjJ0Ud6k30jYrQIyzLsYQVB3WApSxkGHIFlNz+FKcdw2NnDGfysSjtqrwC2j7d4VI8H50
sWIJy1FGZFB1SeYB9YpuE75haqTjCUCvZdnJuFjv+1kRtkOBmN3l8ThfxaXENwBY+mhDtTS6xVT2
WgSBifMSKgTSeCTumQI3U0KsBe+wXG+3yS5XnZ97oITxinBsnvrCiJs1Wd8BBKoX6IDP2X7LWoIu
POIsOXfj3AJxEg92U925Way6wtOj6Vla+xoqDyTN8fa8R2nbyMHOR9lj6zojwaIpuJguNooDzR0z
viYB5RFMpeSJCAk/hUbEDnOMW88GRLOBvdt5HR8QsceTxXyVT7WQejlGVXfynC9GdusraPjAe2dR
BxBLMPEExHCDhBXuhATAxyiuQPfoWAO7APutZAN6TVsBf4wdZtrbL9CHSs/icUre7IjKpaakWL5y
TlA0tBBSf1j8kh8j3gGYGUAa6sF3MKZsACIk+7nL85sNjZ3zSI/lEZHEXo2+h7uupt0FyM3L2QAb
lTe3TqYBlG3Hw8Ikqh5wCeevuBoBt/Vox54B8jJn6M7Cfndj8VBjloomFxzpC8r0URA0sCy+GNrX
vfsOo176I2fuHQQQdY3BF1SzyKaeVlq1r2XUF28EE9B8R7X8aiY/yVqsHESCqEUHuytQtqB4yrBU
XxWXQkhRXUbgItxTCtnmMi4D36nKyx9rZPR7KfRyhwgPMk95QhWzNDff4tgUD5ZBAUb5mAxQ9dyK
KxAx0K1SQzI0aZuUn2SyFl9GtS6fBDxA7hEwx73m3faCkfvs0pQsRrSR7XU59Ns3HW3xi0XGdUi0
Np8gQFWBCGSqeoKW/W6EW417NS0HJ0wWldI3I+C4R6hdAMyQPUrTvdFKurMedMfqdUZS2dXJQARQ
6j6e0PviqlQnC9X1ms1t/tqjqXgzJ5ur6i3NoKVAoLkI74nODu9gdlB4n3qpn0uV4+5HOChPAP0G
2doEZBSwmkxymFDY2yYxFJex8NhE9ZRPAE49FyEAKCP9C6TOXH4w/eYuaTa5Yiejajhqo0vWLKBZ
TA0mFU30aZ1LfWbMmP0YgSdebAzBHT3hNOQAeMA9O7K4iP8vdWeyXDdy7vlXuS+ACkyJoRe9AHAm
HpLiPG0QokgBiSkxT6/Vu97eF+sfVG27JLddUdGbex1lO0oUpcNzEplf/sc0XE0c+ztUKYO9yR6M
3nscfWPpuHgPpZ4FBfGgS5BkwnuhcMjLw1kXmYhKMTv2EY42KSKtG9NuxxCUR8rm4YoM2vn8SMWV
9mmSxqlv3iYZR0mx+CNSbrOJRn/u9xNgDtgCfJjPcVezdxua66OHGkwYpabzh8taKJDaPG47KNHG
dLS7yZVGF6kR/G7ncW52QekYhUGVrm28DZa7zDcDhYNhudh2fRCSUYgzQB8hfqexAThdx3qgJ6Se
5aURzwbUdbyYPQqIwQehZTvPL/3M717kYte3nMjeeGHLSY1BzNQBUVtITq6lresPAGBRHNAl++Yh
n+1B7d3Z4vgoEP4erWwC58jGHl4t9V2EeKuHUXSahKMFnaUztdpx5hi3RWMDN0h/HG/EREoewJMB
oGvl/rmsB+hwkwGPYuBq0o/Ldu9gM5HOeYlroYcyn7OjBSZ2hxCGc9WubfGd4ejaKTOj4T00G/cC
cH+OA9dZuff6td/BcydSK/dc5bPzlCvrXHZebR/0IR7ysEi63D6rcmb9a7o35nApUyuDlDnj1a2T
2ENrNjXXOWeoCMdZ3dpxWuLGBvjbKDGdoWNGi9MDWG5MTKXBhYRevvCwF1zddtxnGNZXxoCvbZX0
90W2ciyvXZtftcbgfCaG2+0XLV0wKDNt7ebM0a7zoqzffCNBtJKlBd8fN4NjwCDVU0kBBl14Qb5U
qIk6OlMwAK/SWQKkhSzSqlLDGEyjBA4T5VTl+1Jfm+aARofIsWEV2qVeZV4TrYPQjAsuPqiNamuQ
TwT+dqjN/Mp7mco2iaSwkYFMqfSeGoveRF40ew9yS78+ZaRdXpi1h0LEL10e39apeJmQFuYT4EZ1
6Vcz7/9i9SIP3SFzL51xu98l+mA/Wn2uXu2iHg/cpLI3W1oM8wbmww+zN5pbr1H5wk+cxvZp0Bzr
RNRcN5106IgcqHXQ32IayLpg+nEJSAtjNi+XPH/KEssj6dKn+30/rpPyjr1HXRkLyMZhP8bxJILJ
iL9bYpJn2On5xPnvnfBB93CBQDRhA95UR2VqreTc+hqhNkx/XZiukH7PqdGuTwM9z/bOcIb1Hokj
SbGpX1rnAmLow7RiRWLsjIZhAukhcKIAyNe3zUIYrWWGyh67Y2sm7T3j9xhoPP4BwebyWMfbhTBV
CbGZJeuCxFp16lINKI7kmlNapx/C6etAB+E/8dBNRlh4CVR+q5d8yD3B6KmM0aF5dXprS5F9tnZp
fx9God1RQ9K+ERTh3ydLvEFbphWZLuxBKChdQfXXVu6Nw+P7GU+zlgY1V5YXgtyqOlQpcqKoklPR
HJp2cV8BnS0Kvjp9CbTt/uXBhfDvymuWL6Ppp2hmVL/30OjBDBfwqcVMtXFoVRapOqZdXSy9nA8c
lrB03Cm9woUviS28NYGjzzc6k8ch89tn8nqSR6h152y2NpsF3o/jWs5Hprfli6015ouoIRAC6qrS
M0LE1doxnLQHZzGrG1ODtA1Y7XlymO15IJC86PbpYoyPc2G4BzdhgIdr3KtSjF+63gTWijvLv4Tu
+FAo4dYgj1OdR9RfyzNyjexIzjfPSAy/iUhEmt6FVLN54vT5TKck+XC0ZjwuqWHtPDZVGAClOZd6
Bh0UYSSRKuxF5hthX/TpHbtkcVV6A6HtNZ2OQVGzOjnr/SoJLHQTe3xNzouSKIWRf2SRVRuMtmQp
hCUXvxCCt70ppax2qTWNV0SDf4qe7xqXXsO9YRVnO9PM4xiD8HOg2bvG0MpPL6O0T7pd88UvOmdl
woMX3RNKMopDmlf9ta267raKY2qoa0O7aLUkKXYdlFOgDW7qBtxCdAFz3OAdL/zV2pOPzHwddwVU
jqeyC1Rf463ZVSjp6vmC8aI/5ovTXhaDqwceLq4vZtkVT2OZosmcoRA4mznoEV/OyyEVMcJBw+w3
7NcnpdcqJGuJ9XmK61Zax7ma/He7kuqu6vSeD9+KCfBt06I/Q8jEWjDJRvd3vZmN34u24eJiMNWw
T/p5GrS1zA+T5izvkPbFl65GunAhHDHedK7GQ5SaK9s92vP2A1CU3jE9hwgzyt56bnvuhHY7GNUh
d935Pc4rsvqQCwieXnqrKBbTuKCwjFdm8tZOdNTJcri34Q+pBLQ6yFwd+SkyR4X6i2vTDut4au86
SnX2TWy+2k1jnElblmFZGf1eNFPm7GdNe4MQdA8mFX4h+f/zOY215ESs3QAHoNU7ZhTO1jbrQXZz
Iz41S8rdwCDc9Ni6lvE4I3QpMCVDH+6cntc8O4bxjOgk7sN+RvlljIjyklk1byIhZoHbeaceljl+
aLuk/1LMjtueplbjwXFze8ge2mosBazfoPfh4GTTjbRHLf6yIMAJyWz1nyq9QKHj6NNh6RLqfOdk
sqGWegy2zZwVd8yD696YLDTsriHa91xU7dchT1oQs2ZEa9bnaNisdbdIrTjQOGQfmDzhlTwf59gM
I7XrylG75gBs3gdDy29SkTRhG4+KK9g6mQTplqU6aKCFp6koppPiknSLPH+P79ZbIzdZincSeuol
5Oj1T0ZannNiPwMDkvCIvIaNYljTo6vAUCaG9SGsnMH7bCd96ULhcmmLeneB1R0dre0Ps+6st+46
DgDmy3JUg9n1N0ubL3uV9m8cx+V95lXoR/OyuClpDB/4aQ9EN/Gge04+fNqTM4mLNetpwktcr5t2
GIW0t7UVzYtX9td1ZiKkBL8NkRLIF5lU+l0LPwGBkZsAaLp89fOuPmrJAF7oavcKTU+QAZWhLuxp
oQbG0Ji2uSerQKPs+3IcVjqjprw6IG5x3rRSGlGekEOH4CGii97JIsTDBJmnRIadwHp6iBxsdUNq
a3ddxknEzCN4FKw7hBjDBaAffgaOqX2rafbVZt2+VNLV0p254ttG7G2hnEdeSZO4KwZ5rbe+8RoP
THZUIbeoFgg3OPtqnMHmoI/d1GKGK5bvRjlP+8Ys5JNZWMPGBMuoh8m7mP20vcqT1bk23eJx1Zj+
q7H6cJWnP4iu4wnqyq4irXQK7Gnunnq7SuWl5lX9U0fF4EVDsOCrV6Hr5mqQK/MmY46Y3yoShwBh
3UEvInipDBNhTk7qhTfJxIC3Km1+RqC+qrkhHRAw1UXzm0YpQtEHF8YVCSr2rjVYNiQIJaTeHFJr
BLhssKqkkd8rGjJkoemP9JsNUTOmdREk6WiftUrnN3Cxd24WeyofOHHbce9U9HgRr68SlPdFAjww
chkpIwM/SH3GmRJjO0wZqgJoyUmSRG/M9SWTiQ+ph2JO7Gbb5dLFZ+oBPqVQZ3/iLvp/IeaCPCgG
St0kNvEXh2Kj7HgyLf8Th+RygQBZF8dltdM8RJ6H8lQNsQLQb5drN9fqlz/QIze/kwt/rEf6J8qB
3FLqIhzSLx0ytn5k7P7RreWMHe6D9auHA+FK+tZwSBYji1ZA10gazXBE+jXcoU5CZpINmv4n9tl/
pjy8LWsQH7q1HVzwlz+zBakrUm12QJJX3UjTXalXLgCiL+XyLS5tMT7U1Hro7Pw+HwFSZP0d147d
7VsXdHM3tQP4DDN/k0ULWXz5KR6InjoPKonNg0jNUotsFBpUSK5EkgcIUy3tz3J+fzW8QQvxurcm
XV/wf78GLWgp2WKLYReocePcOaRtCg6uVZWph+MIOrfrEWwUjEo5nE5aeZAxSWFsVI02T092h87g
QFryTFDwD9Zmc9wUfxKN9SPV7idqiRQIsqIEUw9rjNf58/tsWWy2yAtRZdRtNh5iC3H0GYMEr4uD
+7ZPJ/np5z1cTZZTKfg7i+QjrW/R0yUElKVZQjnf7GIgBD4Uq/8nD8HGyv1EfqGUFjbDuPBohtkq
OH5+hQDbRLw3aML6geQFom62h64zu2w+GDUY1TX7huj2jgSvRwnQLs4pmfGHXPtVOs9F0Cy9we0Y
dXYXFU21ffNssVLiZjaWcykba6JIZ+od70/SFH7Ec/7xveUF86kLniJT6JQk/GLarzOxFn7a5IGJ
Cdc+YuEpvLciaepxpy082F/Lhs87mrTUzq8S00wMOozNNLtOFqpazsK1EnEsijqGxzJTWeyhwLok
mkRnr4FoUzbNbGODQAJSEU79Yj4JETttgNjAqUHBCFnYN8zNc1SWXDWYpRvvgOu9VPyBpfadG1N2
RyIEWKts4ExCgiW1r9irvOl26lLnwZ8tUQQIhGv1J0/Hj4Tgn98czKAE+RFTRoU11Vc/f6wrxETp
QuoEIx9Teq1Jj6sNPTRrHEpmJrWrhLKtq67tuVC1UprLefWdJL8Q6OWWs82l7QvofycPfgVFG1aG
sOsjm2ienXUH+du+xPiqBTC7ZkeRzwB145UJ32rOnpJMSJXuT5HXDpn3tXbKfD2BumQvAPz68vBX
NlPXxAINGknAH4thC3D4ZQmnE+UCdh5nQelN1TZBJ5QKzMWp1Mv6wpGb+0xXDrMEpWy7hZCgP8sJ
+JE1/Y93m1fAm+yQ1oMqnM7Rf2odWVMq06usA09Gjav2TmLYDJGrB6bwO6XD2+zaJz+20xepqX4O
UP9uOyvymm8ipYqbXmByLiITcDYOTTJfgTzwiL1VGc8jt884PmnE6zU7klLtgxjyoo4aLrtI68Wq
lWNQmrG2EzZA5eHfv7s/kq3/+MPBsJMFSV6/QC1OgcQvbliROokeO/0HN5PmCqQF1SCJtrx6EAL/
ilvkEAdbvsRF7ObpVxTUwImuiztmp5Mhae0mv+ohO3TsugvIKI6oLLs38dAscEqGuCfIITs7Q8We
oseiykLYm6qNdH0yrhAYu7iMDWBzD8FaHhHGMdRgeaLblX7d3tnIf/4s6vhH/cAvPzFSBcckJotN
G9nCzw8Pngq3EKr46ImgYWOB9eAOoboNO0OVUIUe0NO4Z42pq2JMZnkQCtyVmZxrTd9Y6fwnHvlf
yH1eBApkghQscmMINrV+jXgubZvsYAOFTj9xnJ/UUGv3aF6xdycD7uRotpzlcWxGAyYXv4ncTQIH
yKXvV1KCNvXdEEwQ1RnOLOF/r1IvI7W31J1r18oJOxnqvPzeSgFVKeqmvBoIyCzudWrCuV9tBCcb
Tf1qYjN4ICAwNYJF10HvfvyqNooasF4fNTdcEsTqUaIhfcVmqLFEVN8kgT4i0Q5Ep3IrEHXJsIis
m3T6CRo7CePVkvJQYoJmRRMKBeLCUJ7yR07YI0p2kf7FrxR/WPGDgTRL20qOlTs0R8uxjT2WCuSv
1FYM8U553GihOWM1Y4UtGhVVbunbp2rJNqpdM/PLpaiNx85fQISF4u4TEBLpFsFY+lcFOlYjrEyj
8HdWXzK+igJvSVDz7mrBYgzQTT+erb8kGHpQJf/829bWf6kp+qkm+r9GL/Q2h/1rodDdZ/2f//u9
kN++/sfHZ/EfaGET9UfV0Pbdv4uGUAY5xNAapNDr/C9b+99EQ4bxG3GOLl0aHhmrhMYToPF/NUNI
hgg0QU9EIwE6GAJ2/q4Z0sRvSIbMLZaLXYynyf8rva2ogn6am7wNtXeJ8CNiGJ7fcX4NDzcpt3ay
tt47zkLZVKKWBMhzsaxLOkzIscUopiPnXbu8YAPkgLiYzbl9wY8noawtUzWhP2ieHa4LaNkmTR8I
Z11FAekxKkdFQ7agyc59Vd4vJWQW01/WqF3eLduNcph8UP9yXnbKRHgXWRi8vlci19s969R+6JD/
YfZM3eEKIUCswlUHDz4OzNLWwbXVMu5sABaTSzdu2mj2k/kJk49fnoaxM5Znz22b5cIAkWujkTw2
B6GlQRQoMvokHCGSMB2hs2b2Wtv4zWauqCN0zQgwsrps62Bd8SwGND8CTs2C2xsTuJBXvraILXRz
QNG/GpiioTO1/B3w3X3TnZHRnYlogacEQ3taZSZfGowKyz6Z/f6axps6BkspjO+q77GdYwUEkvJt
dAUoXHrEH1IVN6kyPLWzalN5G2hlyt1qU0S7Syajx4aF620GfvDqB/i5tuVHgjWKHItkUCwu+Xo/
SenoYVUJwkgmwaQ0tfwwEGQoxzEAyQF+tx7aAxxk/9aRUYFzxdnwZ0bD62pwTBk1HUdyMA+tj0Mc
1Q6WJR2MdPOAkZrvt+2dchJCOjvZ47VpKfRaInd1rUtAZgpwoGOwIg8GEv/ISL1h5vz3W2Pf6i5B
cmbjbDSRR4X23dyOvXO3giHLoxzZZ0/LQFLKaRO0AMfZZp7inFp9PAHGogyOzC1s0qzHygi7GsNi
6LQa1SfjaM4wb47ESC9IwtIOmpB6f5kX/tBfYoKEesL3Vc+4sVvdi2j1qZqLLje1l4YAnOzdWzIT
HoHX0VA94kO6mYaDtr8xaEI/EoLBTbGc7cQLq8Za1a7oG6MPS2rIBrwTqW+GHZZjfzNOL/WuIRIB
LXA5YQ1x4YnQ18M4Gl6wcpxoD0pNjtgnBjEWIdr+Lrto80l7lmXTz/tUusIOWod706WskczdyaHp
hkdRmFkazXW/TK/IvOlHSAs8lw+Flk7ZVc7ofzFP7lieJaTueJ3MADBf2t7vpxNzVufta/QRaBeG
3Ipf+s2p+Z3XramDv1B+EnUsILHvlsWQ3JLwd9yKaaxQpekL3qK0WTZWbJkEsEya9PJkZF6NJxYE
ZIXVXpriWrSl632hIn1deVhmzbqw1kT5kYYczDik/iK+u6KiKMzOZYWjXKCUCvU86yzm97JQ+2Z0
tmZ2MZXpEVJTzw6+VaQq9KAdkAfEo86USUh/eW3OCTtXnBi9+aFwEtaoruKhv/ENCUE5zHOFRxjz
F5ke8eI6ARo9hbuhK/T+pLTeSXd1tX3VtFQuj6TpMzNgHOiy46S3nbo2DXae48xmkZ66jjTJI1Oj
xMDAOoov2pR4j0NF+AVy+E4QqOkOAJggSAa4gSA3yohIySPYAnWetO9tvE/ENEh7FlE3L96T7ee8
HD59vqlyOw8DUDU2UQqI/5qThPu9WWLxfclno46qblHP+rT97SWC4zrSUmIvglmPiRwaUIpjarXj
OmZ/0/nq6ODiZw31OZ+EjbC4idH0721t7r+AJRqwsWvtXqfg4B/wtqrZEs5Qa0xxlragXa78NOBv
r/OF9zUo0J8/p45qv/f6qsdH3CHt92XWxPfMNCosS43KBBVEqOnDMi3Us2d0nslc0qmPWJksn4Lh
CnV/hd48GCASiEZahRTY8ZdXf8KsGKDi0hck6/OMVmFOMnBwsdbLloTheSdzYIpioELqc2o9Lxv2
axXPT5Nup82lQQrIQ40rEm5BYLg4jXAaMD0WxuEI27/1InSRW9oxMRWRuUErDZQ/ZTWoy2HJddIK
KuDm0M5YbEBF5fhIKL31KSfUVpHDWH83AhFhwscYNIVJPOgPaSrEyYlN0eyhHmL/aBtdfAWvZn20
Q4FeaDGcJQtaAwtX0BNct0T4aVEIgof1lwSUgJYSuFJW+7Tz1PUwYccJhFisB5UUrQxHy9y0IiaJ
caFdle1liZlDEbdTLrctHZqEIUsfrNltsKmE1QIsjfDcsqpzExOgBNmnmw8Nfz3ZAmUl0v06LOY5
TtBoIuvwOxkOSU6MgK6V6wP2i+7Wg2h4Zro0UQwZ0jvDgo2YYIxaf4NzX+tdsYzr+/ZXqM0fr+WB
LKE+QtffTPEO4oOHVW/zS0dvvGyPa6l97SmmuppINKtgkeL8ukHe+lz35fRcFZr5oumzT4+VbZY3
g0PzREgWnsFx0wyxuyMtB3bKlHiHjb7JcOBjZ+KM8bDdI8rQ0lObZarRDvai6bB29pjpQGhu47C3
odRJdjVWLTB1h8SOsOEu8mHGldL38+SMt3A53QPAC1IiBiB0Vw7GkRLAfvK+MAT07VHv0pGSjKrh
eKs9xFsICIwYK7I5uNdYUtBTlLNs73ozVu/54BGxkDq4fLBcWk0e+iO5JIDVKkazl7kzhVKGNJ7t
qWq/FdX2UdqtLW8c29HyQ9JTQxaOSs53Lp1v72ayyMdCgmJGlQfwhM5VAgZ5uNmsAxnh6loVFu9s
16QdMe05OEDciPbNk7r/jpKgeDATJc5GOltPyi+GPLLnQn0Id9O2lPB5flCrGXzf5A8m8QJ6GC1Y
K+znhn24ibwqMXmooamOqtVbLRw8s6O2ZDs4NjUbRUA442AFZ4XMVkdwAw6QAWwc6f5oll3v0GFF
Xk4/32uyqM3QQvI1Rthix5vGJGJlh+Mt+RRiSJYLllX6WiXTUJKNpmNHwsycMwguiycj0Tsd9x2y
Yb51aPRQgrSafdNPM1IUN1Fk0vpYVPP9as3Q58aIqSXUoRGyHTgewqaVw+hC1ZpWEalBDEpk6MgC
jaaOERAVfnaj6t4kyaDhkQ317TjFvipqEnycanqVonDOQ2ZaU9D6Goa+zRLqHdqpsetQc1U279GY
om9BBUOrqEAqliPzrYsr4r0RzRq2mu5sbrfFDklEfFMC83U7n5YvO0BE2uEVYVIhNMGQyYumJdb3
Vk9xCXEpncniIMWHpyHRykcGv+kLAmEoRqSty5VfI0im1duS/LbYqkhRShsLRppkdG6stcT8mZZL
okHMTtVXWQxNebIHa0L9VHTeFDTk173h/7efEOoNWqSnWUUGC+8ongCQ9p2fEggWwY/nU4i+y8ed
aczLZ9YPExk4NPMSHi2XOyWK7ptVAIyQ5TGPL4ALHB+Ux5V4G328dtvQzJwqHXPG3F4PmYpcUqRu
qICU3/CeilfDy9A/d8wMdpSzwTJnIyasdzM+IJRghMyYZ8WseUvjQ07iVEmIVzDQZ0B+tdU4t0mX
uq8IRlG+NbqTfuAFdv0Ibn59NNCeP64d7GcUtyJLAz0F+wj0uK0/cukORGGi+BCBPyqCxOYi8SyU
hQORLxLN0FtWukUFq1PZhKQZ0ol3+IXLu2TgWEPwqOMO5HqSX8/kXmf85WkDwe2kmKto4GOgj5PE
/lbPyMiwr6nxpSeDKw6WzKi/TVvrW0DoAH7TlgTadddywBnBStk97uXGQ1C3zDW5ZPA27Gie0LVn
Zfexc9eJLn1v/XJ8W9YpuSESKl9vhQMhG1TrNDkBUWh8orCDA+M6HZu3i9/DABWyqg1Ot9bXQ2Do
mIIJVVmBiVH7ohNorQ44T1uNt3ZthwilaXJrgYyi0klUAUkyTdk3Wc/6Z0ooSBeg/naSqACfvew1
1HoszGlGKLRY01XvOWaxdwjEvs+cRX6TlcGlZImL6Qn6YHiejax5N0eo9SDjdH5SQ2s2oY6r/r5T
RYy1lgqphsyVMX/O1ooLkZaxdMKBQfXWrnzzGt2191rmDg4Iywf6Opg9fQiutWABgEgvkmjVEsDb
sWFwwas1Q3rWVvruK+4MgSYHMmWSBRaTfAW7/0r4j3zXMKm9d53fv5DxBVdbaDTThIMrskujTbgR
8ssV5dR5/cb1phjDypuGL4I0nRc/I52YlAifR+NlwObQcwxwfQtiUaJ/0eySaJvZdx71iqgVnWxy
Kg07KV5W00s0LsAmy36ZEQvvE2qL71oFk4hkSYqrZSrL7+s0z8i7k/XdJdkt3nGj7z6HFIXCnoVV
EiZS4SRpijHr8U9vMFLS2ajFJ9RuL9jK1JtOEsQWF9YbGRhnOnh7z4CPD1qQIabmmeMWhXLlPPam
1U7XfuY6UDl14XsXQ9ljG10mRtFJI76dGGvN+OAeVhfhaiV2RuK0BDQz1Si2DawkjQ+rMYZB6fAL
FQJMrp5AwddzWi0lA0Ovnm0xMK2THOMnu063km8d3rn2QJZv/oWh2DSvB/LxxjAeEBzt4rxX6709
cZsK/AQDHrtPT3KQZS6dGZls21XYypUHN3XquON0c43hzKHq7OJm9dJADsqtMekxKO7wZqv4yl/x
7QVNjiH5jlIYFKyBnFMdN2+fMUvR7KEZY5j0RbGGE5L/eGdhCDGfpZjlTVJ7i4kGhxiW8nfC4y8h
aV/qz+q+bz8/+6uv9a+A2n9BqAwU699hZZfD/Fm+4z37CSH78U2/Q2TOb8TU2eTaswapGyHF/G8Q
mfiNgQdaj/8woensN3+HyIT+G7gsnBCFasjUKV38O0Rm+7/Z0BguRnofShDM/69AZNaP5oA/wOhY
eHkN6MAt0n91QrV/gdEXfCaJNXBoIyvpA2sArepLvMW+KtpvxOf44YwU9JhmpcFmG5OP1GjWLtOp
ykuNMgvHfEUpHqNsQrVtHigt9p7wqr2Tu9iTUzRNEeOQta3sr7J0vtZu/KRa+3Wdy5Bj3d1jHf1u
mc4DURgTkyqHkpHWfWBiSg/76rJPhX/hLsmdq3kfIOwDMZ11c8KY5hIKmLoR2XdOaCIfP1c4mQK0
nO8NpobX3iDLbYbquUddv4R1kg14TXX3qse/HQAIVjRNIaMdS3PYVb1CgF1jUl6qbt17OEGiVJX2
F26g/jF2pvnSb6eOXrmOQL6+OrAbPyJyekvKsb8gr+k2jS12UZ1XGfpibA6ZWPILQJaEGCTXCcvB
eEPOfAuzOR8A7r+56Vxc+D355WWndiQjnDe7SUAcl7cHR38nGMU6oCvrwqpNmn1GLEMwbZI6fd1C
SlQBulSPXUj4E8KmUhCG6HhfYXDNYJzwa2cOPq95LpNz13tvddcmIfy0+a628YuJwRVH7ibtmYS+
julf4feZ3EfEVZy0SO6uMKlrYW1CmGSWiatQY6tfivVUetrlJDuDsbJtrsF+8EN5cHkSS0nkm9Vd
CgIQdKvP8F45THDSvCoE+rRVYaZp0Z8AH3EhEHX7ZC0meZENXcRxg48NleKjlS14/hM6qQh/e3IG
9aCPNBB5NCRHRTo+1XXf73MD0/LUbeF/83BtxpyFbb/Q5SNdoDwEmIHUlqNkREEKjhElNcbnHpVu
ZJvNfWeQELB041VPehFOtErt9LZk9dbLvq6svdheQeYVX8EbuNwal6LpubRzDSdLIL3efJGbvedd
XxJnR6wB716t9rWtvw6OhaLTpB8eKJVRGbUuUGWQJAvmKN94xxGGqLFavzBAP65EW+aK6cecNYYi
8UyWSLxnBsKRJ2hQ7Eezw2gzt7DUFQ57a2gfplo/etamkoztj4TQDZD76Zl8LyozEP6c0o6rWIEH
ZOe3wyuZEw91Osf3YlONSuC9HajNwYMdjRb8KmbnHVEkVzjPa+ekGpdiYH5KY0/YUbUjyKcNunru
Tnpl+Iyq7WtHkwB0IizRQtT2McOMHrb9eKGPw3wce+tE5It3hLQ5YHgjQIX19az37Xvv6Dm9cYSv
ITSi7xJB6R4lK4Eyo/dGVuc3b2weKUg1EQ8mGA9RX+OFqh1CTVf/YAyYV1N3K1Ifi2tuY1grCLAL
VOee88HwUSzV69a8Ul90lbkypzh+lAlFldKcom0y5Bt7AskOHp9rikmPe0n+jMGEcCY7R2HVTfeW
yF6lnHb9WhO5ZI7WAWlvEcVpnQejsRQn9kaT85sSJyU8RjiaGJEjU9i497QeUBA1IZU0Yb9lUQKA
W0dB9tm+qYGdE1e3eNdy+25xoeaYZsjHSLBfDWsBUrWy+wNbI8Kw+hNNFy2PmiN3WYGywSREccfE
dYuU+mxWE7uKhs+s+kr113zXJMUpBkEPtYK0vZgEIGAv3Q0ms7/2k+W9jQl21PrV8TYz5EdKYTtb
Bv+V7qPvZ8OWCszyS2LmuWF9xEX6PsblZTHmPKKQCYHKGmsfx81zMeFAqab0WOFo25WN/r5ilj0U
roNprcjwaWY8nS2EudKG5YxEUETTxJ2FWDIXseicHGPpfuZcAwK9oBbNs8YrmJYPtWgICUn5sJDp
naxEujs3nrzf1TN/aer4/+Hvvs3/4xvmhlaixfyfh091/ZUkmP8Ok4uPmO5fs3yXX//j7nOo5H/+
r+qP5B7n89/YPSF+28r6XIRbSKNIfsPc/3skAF9BjGc4WxC9YyFd+Qe7p5n6b/T1Mp8QQ4nYwnf/
MbtopvEbgjYHCYYNWoJMwfpLw8vP4kCeKIPBymakADgyiWz7RVNieqjlM2YPAOY81a7dKZ9A0ueq
06IR2ay7txYNdY1dllkMiOaPfRBv8b5no7XthIAKnIc7JPHZetCQ92J9Xiu/O2Hz0FBRowYqLiB4
HKxDbufvAUaAJLxmMsjmIqSa1hE6XupNhWTekCVOJ8iQ+kANNlGwHXup235wg/CtsGwG6y4miBoE
heOx5anxO/Jbp6E72skEy82liUw8R31LNOmiQG/Vx18nsf+7jd5bA9S/Xr+Hr+W7/CnNYvv9vw/d
mgHJzJIlWIwqH8v5od38W5qF8xsyGRoF6Ajja4gr/z52810sKvAGlBw/OOt/pFnwJZ2QeyZxHgce
CiH+yspFtfcTM41szd3UcLZNbMbWfuj9otepO4R3VFTemrOcajT+/4e781iOHEu27RehDVpMIUMy
qJJkcgJjKmgEtPr6u5BdfYsZl8K6Zu9NalBWRUQEcBznuO+9dmo+0wnXbhT6Molda2kI/IVedWfd
G4PVEpzZ1ta92Gjjj6XKsRFGopnuiKAGR9bmZv6o4GGbSIxLrS1JtMojxCNZDJRaVF0rThaGmUtW
OEw4x3hXN4IhHGoDPcxmnPvkS9+J9XOzevKCRWZKS7svbOtjIsRAMaMCvZ7TIMFhHyMON+DXenTh
dW0+W4l5Lm32NSMgCJoQnND7M/g8GlSwIrD3FczRCwWvtTyMLXthnFaebiWrUqhZQ5JnXm/0CJkX
h/S0y6bz+ZO8ySp8YCX8CnNtJorhd7SMBmQsOTPwgKYqB/WolM6hmyrMCazZZJVbkzoztp5rzuit
zgGbHtXYo7/O2qF2BHnEK9gNsAg8IZvQzoqdegUMaFFteiiaYWNmw8a6qFYMulAjP33NE2K0QYde
SLeKGs+rbY+9nNJZxWOWdsbkjoVaP44MuVY7dC0ArGEsR5e3SRPJWyo5L11FGVDXQNwzriCkKrTx
SSnBYTWG4rSZDWLOIKLFWkp0QJPBLM3Pq0FvYNgKVlj+oUmxGoE9BHEM/qgBK14zz2MMQIdWBDE2
Cpi+sMWPCPtE0GuryI9Y4ElY7rs5nUXpoUU2iR2vYsZrDwun+g3VDxBym9Noookkh7scd0znG2GR
IcqrYJ94MgKeK9HM2h1HC/SZuch0xS6AmZtee+7k2FGnrGXngNfxr9zR/+p9/a6Y5o+X8f9rBU2W
WObvVzSvzc/Dz/LPovb7//lLbUMvgekXr1RJISNZWmXC/y5qVCeFifmqVqcnAGPm7/exSrnj/UyH
mX8gelzVzX8RelTtX0Teq5JBheT4T+7ef1XTROtPuc3q6BNlqDYYf3jHy8aqE3odb7LwCQYdoD3P
pVg8KMREfFNY5wPP7IoCsCJBHVf92Wx6SWmllZtLCjpcjQ39aEdJOTIIqSl/+DfPm3heKX5KachX
ojoXrdtpKq00QHox84lFuKqIJ5w3GH6hn/VQBmTONpi/1okDp10V3KtdKFG8a1O6Zj3TJRWPrhyU
cZZ8iUxo0F6lgiP2164722K1Cl9kyierhJQPBGWLynFyWHDigqqYJgUKhwEFLsSTwIktx9oCzrIY
mdgpYXaCj4u3vtWUVtrEekgzAzciH71kROdKMCAcqzVhI5MX1ewxw2BIHuvRem4wgJBoo6UJ5Fjg
Ect2yqYIs7kpzj+wYU9gfMJWeknP5+SYht14gO8+HAzpDJq0G3qgPu1ccsrtYBGsQ1nMnl4195Gw
V9irWYHRr7wkEVKF7E1N2T2BKEcMzktuiDa1VRmDSzDE9CQvan2rQCxGLt6L4gSRMRue4A0BBG5N
q3kqIk39aiBOfDCiaXwmcqg+hXoydAxn9ZEjfaPEgl+dz7DbsWJdKfSOkqFvbZqndmgtmwofQFdZ
JtPrM02iqN2f1xghQcHMLMF2FTCnV8LJCJ+K6Roa6z7kdBPOsJ0tpm+FV9YMO9WEYxJoMEt150T2
k3x6MePyRpQO54GeuLk8LmTsbBg7dFdLmrgWmHNZE5xOLgxPVIpviyB/AUDLBL8ALC7VJ42+bT33
R0nrAkCqK73sXgytXSxID3n7M63G6zp6YCT0U63hpkTiEyTUQ8EAGV/rqcdMmAuQ2kFoSIMgOqOq
wC9qn2pAT3aZXtXjHDRqfcPyI7DCbG3FKoMaV6MkI1sydueJE1HUT5x+Zb9A5G6bYRx0WXVYzKIJ
ZCVzkRcfOpEpQ2LciZ25TUOLnWjUyfcWcuA7oAPn76nYbpWJR9Ckn+7GBjwF5vHSfTgYuVuqkjeM
onGXaQxbnaqLmwXKvqZ6HG+FJywcBJ3U/S/A00fdTK9511f7cm3b8Noe71uaK42R+fjYd3E0NFcG
3XWVWFXG2NvOOjTIqUwV938r+mDxXV6ij5b0Is5Xs0pbxnIlZoqj+IiE0JPC+TGHJ4KoY4NzhNfh
9UxEwoKmjqPDAj61u9PZNjB3IfkWlZl45tF+1tXhJly6O8UYfSHFRx7R66sUVyh4C6dXOVojE4YK
r8BTawkMA1RXtRhhdrWfmDrNtXU4/nvYso9oIi6l4NepdsAf4EJndug5bDBq9Z7KZ1GrZnPuznc9
1Kr8O8rpPcE8jFSeZD1dbIvmXRo7YrJPwhz8dO5Y0yaRou+xTkpGFHsgRxjJJu3wNVYRD0SkkMd3
oyXdQ0E9B7FqfRME64Wnbj8UM4uDLoVWy4UrZDejpcJfb+p7g3mHI44Qh9uC1C2zuikmww918I21
PqLQLZ/0rjsQU8I8TkeCOKV+0VXyttPRx5RLoArd5IYIbhAUbZAtoFaSmDHJjh6OPzVcnWdIjLJ8
g/B+dGVlBlscZZgtTS8c88NU1Jv1mYaRGQahluUuT2kBN0zL9qRmTLcTlxlrplLCWVpDR46Yia+U
JXuUdS04D5xoDFkI2qzfouK7KxbEL+3o0+tAdHgik31n5Yt/zgWs6jzJQ4uqPE9IZCCGW1p6GwKN
lthKnZPqSJHn7GXou2xodH9BPiG2T8ogPeNi3Bhlkd6tnRF1tly1UG4qIzmJBUFI4iHKzKAa8vvp
bFwZZaPCDJ7BcTpV3dwZ6XDLIW9LMgwpwddACxcsF7fIJw7Yendl9zKsSHCr7aHeGstxEH7ROPsy
K82tPO6ssfHx5H/pKrTuhJMg/i9lnJoj2umkGqd9tBzYn9mNQF2W0uQEk/mwpOIhJ5BBZSh+HiEx
1DdxRctEFw5asdBwu8rlTaE0B8hzBiRbGo5tWdjqEBkuqCF4KJ3hgTxaMoIILIsp5dDIflpX5LFU
M6UmJ4phSRUfuv2vdtK2qZltEuLa9iXCxJdC0zNXHMyNUdUnXtP4JQVwcdkwfMEPaNlxbSoamoIo
884Zm/d2DKa0CZauOnR4ZDW26bxnl+6UdNqhDb83uXiQoLya5dnvhsLLOF1o6cSsF3RrLAdL1n+r
E+0gzvq1hEMfsIGPVdJHQUA9/rbIW6ZUJ2M6mavBrb0WC9kdxb1qDuhtWhdb0wZZbYjEB6jCi7LA
D7HhZSATytoTqe3AaxvHmMXxJang+s/CNzWtftG/3CN70m1FJSlDV21AAH7ddVTbqfGNApkgLbVI
v8ehLT+CFSApyTgQOgLxozoVzGpBTyrFl77RvpoLUTq1/r02yNsTu2+Mjv0RZvo3iILJTlM5mqBr
IhmDLfGsogKi2R825yd8qqPbJuL1vCDJnRcUe4S7ki8mpiyusytAXMVt7s3KtFGKhSqYvCR680Io
AXe5PS0mHuNu2sCIsCX8h3hl1ZpEkkNkMfqORmtDT5HUEYtRd/LEUY6blMGEqqUbTg+uMD+IYtcK
9Pst7QqUNS9/zpOesJ7qLId36bQpTY3VqdHdXPLNrDwh8Tf3zTJt9VE7Mif4pfGGyyQyKaYaBRnK
N20eN+f1tZphrDRPUvNIV4VjTfVlmeR9dIbZYc7WTRdem5HxOKXZtoYWAI3VnqZvJhosqL7TvhYr
L9Xg4UVxUCvJLrWi+xSkOF3wwSmYEPcIlJw+jmsGMaPXpOIjbabvoJ6oY1jOYQn12FQSgeVz7rYZ
LPUVCeQrVv8jYgDiaOiXW7PfnbvoOq00owYG3LpAIe/1yEyYLw3KFvnrSEuGpnarHSIl3CrGnnl1
QPlwJMyGx5Tvp4tul1lBLw3idQQrloMms2VvSX+cw1zn3Q2NFlmwmhbU3eml0HX603zJGexK5NeZ
xknsWQFZgODoKwJnG5/0rUnDVJmflY5xw0JA1DLcECTvperZKTPgf8hDFtTeU3JVAz4f4kOOOTzB
yyKaGx0+NAmTG5kizzj5wDlx15L/mKTEUGmaY8qmY7TML5LS1wrJk2igY6K8FiRky0PiIT4HVKXz
bj4/6Bza0+TrUj3GaYsYAWnqibk37ynZHnXVX+cvWUYU3dpoIOn7aix6A/891ixuG3blldlOqhC8
eLnepvTU54EvOu8T03hqau1ulMXwUat4J8fphp3JptEkWm/QRHTBi0kgjsLvvdriLSoHv4p+oC10
F/K6UEq7pDA56wt2UmYYFesMDx8cGAZR13lE6TCQTvSFs5G3zud9s7kZ2YrfJOmsuxhbbEJYkHVU
GhviWjlWmfww1D8FNQrm82kQQf90nhWCzlixLqnq59U3c5o8PT4Yw8t09mbLdOFt8YhJARN2pfwZ
asM2K8A5wFsk568V8+iJ3mh0M4/K8rPvMMTk3coKhni75JodnSNPiThGZH2p4xMgeaPNn5RaYqdb
XicgScpa7h4SEGhbTWRcKJOSyF8GD0mvpmTeYRudclcWOpsit8zqzQi8BMc+81ICnBGjvhhtoAmW
naQOAQUwT9fIncZFK4jzh5fWQgoLg9COl3JO4ogBGrEvORgtRvsNeKQzycqPrh/GmzWfD0Ef6hXV
n6Nwpxo/ybN6rpsdozknzBDUEcRuxsdZ0jYJLtkbtKQ4vfaJIP/EDwAUSHDBFnN+YZeDQgS5g8z6
ZWGE4bKRSVI0xNqrm9RbtzIy4651hNnHsj/W6X0y8ftrxTaevo35tMlT5YhAFzKIFZBQEwzNz0gs
PS1RXD38HsbjqWNyFCmjkxJpnfa5g6RrHxmocRrABHHpS8Nta2yK4pbPClhu1cHGTBF5ifS5cSNb
yPx68HVyeUyZNvWmQfcVfd3wS1nlNPIMlEI/QiA5mNTBK0gNgaZwthybaykla7BI19FF6uWxorit
JNygXnqRegF51Ki4WiNlsq0MCXARhRmZBctxCYU7tMCQ77SDMWnPJEMUCO2RXaPS2yKQ6ogdEE4A
39nJiLYhpU+5cZsTPprHyDEzzTUEobZFLW9eFPSctWFelxE65Gwnpc01yDvEpHgSRBuabbkr8wZu
Z3lUcG4gWo8cdLo+/+GvBVutMDONVQCMId2NM5H8sQeG3S6u/kRBJoNN/BgtgqNMhVfXahsMIFzt
RDbo5vXjc2xSqnH8bRZ2fgUH4Eh8ybKU1a0Q/t7Ieg/Bhe2MUt7LLOCCo8UMfNMdcc2BYBt2OaNv
FFHWQW5YWoSWbRKN9relkUKEUOeumNOw9nRIILxWFzSvE8DLgild1YgqcBDALecqbHYEmHd76Gfk
JSJO/ilYK79XEg5ZVn/HqhYosqBx66fAGiGF6mYMF6SO9ilSaVtVBRMpQEbtMOsJXAMRhU1eBkPv
S/q40tCVvbaIW7W33Kw1j73aPJbzvCmQts8YZkF3xxEvL8GRrfaliCBW17LgVvMke2M6QJF0FHxE
7NmXLYyo4bZWUp3cMZcmL/Eym7wq3LLRg9k8dCHBXYYOk45tJ0HC+japbqo26ONKRx98Rn+x1ef+
15Js13uHJNys+CMpPHwWUpOucO5Inx6AhIYk1ORm+zWBdT8yywu7X2iYQ3kzI2sDK2OJTehbWCjR
AGdLb8JLqERSVaZeYDe1WPxPM4N8tsfSrJ6IWeKYlMtdwW9QSmDdVfzIV6Uqig3FQpqO3ayzkGGQ
tbuKvFPZKdiOPpHYxZwv0qZQDPSzvkLv67o6DcUEu5EcPekQljXvl46Fm0DHkioB2cNsXDNKYceP
f0BkGtl38nMqGZG+bTvFajgZ0HgNQswkiKSVVLphL8Txdl4GTpQZlq0nOOr8PTNCZpjpldX8A8nS
/6fNSOVDYdP9SzK+/DEZRKT0n/mKJMv/IjhA1AyI4X9MBjEg/8uS9XX2wn+viKt66i/fn6wz/COv
WZTxgkOEkBm8/IcVLtLZ1CxdVJAPcM6w1P+qE8mY5hUugSmjakBJ4CJ/9h+HSDLR3dMKglFymg7m
dbGRCUi19X33RfBftWbfgIPwPd68xjqTfAUFgf61Eu0j6aDf9Ffxg0074uvHf1n6s43698dfL/nq
TxtWlggCpfqgHIzb8DA8ng9nX/wW/VI/S0/+TUv/W/X19yXoE7++xDhqRrfIrXjA35NdgxkKPSMi
dC7tm8brkFCC77SaiYmAsJnltt32wEiB6IiTj0+G5ZvWalD0k8FZjKQyDO7sNLTWgPGdJVCGFRN0
egGjpW5Ajsc14QFDlfsdyhBvXCEEi4z8uR8lopKtVAwsMR5dg/6Th7bRtPsG3Tjb/ziQGt3EaZNr
PurX6LskdudfyBB0pK64vcu6p1+SkK8xiAUlauY4O6fUFzoWFXg2oziWcblmq93iUdl01lB54D90
dg49MgYQoXY2CPUWTZ7lRRPgJJh/3zsA2Yik4d3cyUnN5hVK5F3UKGqALfFsQ8mpf4rnvvXCVC2C
goRkR7Tk81Odmsq+bZoqkFfpjEZQ2BXEMsqeASgKA95LNo1CAIg2cYeulY5DrJf3c0MkDkLecZ9b
TXUgShA4GPovGk3EKoUpcoquKMzvRtafXU3NQW+C2nXGGEBXJhplAOyj3stxOBJ3PM62hVDfAUkq
cYBtcLSEkrLF0ve1kJLhmMqC6VHN//JGM2WJfp7fWAXrAOPNZXDR6k+FfgibqSaiUDqAZEoM9uab
GBQlLjxXMPa6fjMmW9Miq+uv+dC71/xz6v/3s3sxMmXXrsVnIVcOMBdwKq0WFvThqdP0wOJ0mf5/
2E9gRWKp/cTa/94VGZ28Xi29ejZ6VE7SgS+40V2Rnn4gu2yLP17w8nsL/kK/YMxGVNMkkA7Aydid
6ce096brgq8j9DtrcNPbuNyrNk6l0q4HmywSIDnJrhTsZbj95DOsN+ytirDW0ldFh4lRrREjvhxI
+fDoyd/DSvWW1iKSIz0iuPTKwroi5A7pDvIF6HRfNVVKCRVazruGfdpSBMSV8EIHWxnaRObQDef0
thjnr6NQ7deDzcef9E8q09+3/0KoanSkf6moMw851NZiuBnpEKouSGlarXvtRy9vPr6O/M5b5DeW
6dUvopNfqMcyLTxYQE1zz/aILobMHuXJYNau+7SW7Mz0oNMYO5w1CbvBs11/MYTrrt80xV2VXX/8
Sd55/KT137/6IG3H8WqZhfmgBujm+tEtlYNefcMj5Vnj9uNrrFqet+7/b/TQq4uglLBwTWfzQbE7
N9ufBl84zE7qalfZcdjilrU5bmzR7jmjJ3qIaWw66c5V7VqBdVP7d8xutrN3RyPwapd7nKr2n71p
pXWZvfFo/h/+lghXPW35aBJubtGzLFvSj0VfIv13z78UHFC6U447WMq0Zuz628e/yAVg5H8ftN8f
59UvMs3nkjl5uhw4aDGEqGHfTpZ3Lui6t1fnLxwFlj1DktMnl5Pf+ZYXRaDthQL0BxpGM4g2ZDHZ
k43Fjjqj7CL/s9/yvVIjXdRr4P45Rziuogdh0D+U2+aAvtSpNuGd9aXcDDu8007oxUfyVLep88l3
W7cVb93B9Tu/+inhGCA417vlAKmB3vJLkp6QoTamP7IniK84n9C7IleDFLoGJ1zm9ppNA1iVP3m6
rfceoYvqphv4gCA3LgeyTx3gWQ8mPBVFoW+EPcZc1c3GdrD2zfm5jSBrwwAr4UXlmhHUWOldqH1e
wn3RgAKn3UvegDruNMMrsn1WfrUUjtvW7IvTcqjm54W4Kra+LhoiPwaupwydV7dbs98K6aE935oc
jQ0aVPm+XrA1n3dC9dCKtz1GuFK5SbRH7Fl2tOD7pWNr3hBdiXp19LIEtr0c3UpkJ41wsmnjYzsy
5hyR7DZcnkAdoP/YQzW+Ts8R5FvCF5AS0zTylDpAkuqiGbaV+DpSu+3Ujm5SGkxytlF77Ep9M2l0
HcdbtjvjdBw5kFahSHBxwo2C7KLpd/okPQInfp4G3uTtuEBd0a5IgP0eS/2xRjD78bPyXtld3RB/
PCtmQrdzoeyaQbLX6IQf8720yfZ94pTXhPp5gPi+i4fpi/7YHcc7+dB+UvDfqzOXaKqknweg2Vw5
Eq5lEhTp0BGR12zD3NMfznLktPiHit36S831UVSeJ/nm4y+tvVPif+/TXy0QyegssysaBMx5f1wU
9EeiyiiIl1ofj0FjDteYjUBpMq0bHsoKiT3UYAKVHc0M1P4+auun1rpdpn3ZtM8xMOs0WbzJuNe0
s92jzBUlvANYgBdIym0f1KJHowjjJA8kaWuTOgQVht6+IbF4xIRLouYZ0AI1d5fSFwSV5Eh54hnZ
1RJBdd9FuADC7GszHUT9FPZAZu9i/ODFeTOrNG/i/tDLbFhlBnjZJ699pKFv1RAEMH8+Fzqu+SEG
WoYQ3yWdZnyaARAX/hwwrq4chcG2PXmTZtd35uBYX1/4iOap+SLj2nXo8g0PAL+uGDqJjUN4+3RQ
DYdE9ii7//gWrqfXN2qcZl5UVhKlADVKgnSY+iD257l3Cm9o/dRwNQIbcAY4tWDrd4v5JQsYSGnT
IyWecTjpgY68AR+rHOr25qyfCE3Wr8rPSt97T/XvU+arR0s0yeoYOmovASxOLQ0BDTXilt2RRmNb
HKXia5dteMIAo+zMprINjWhV0iyEv1xf7+7X36m94rqRe/UBwrFImjanNrY6XIcJBflBQXjyyc/+
zqtFvNgcZexbqtaq5QPjcvF5SuNl05yJ1CM5OARNY4HjHULNP0vENDXpJO+Avkq7XMosvi3dpERl
WIBFgYi8JUt8KdSNTRv24J5ViycF6SD6AgL0WvyzPtS93hs7qb2VFXNi6Q159z0bxnj85Ou8920u
jv4LMbBmF/FbsdGbh43JZiNeSAWfvn/8c/3eM73xJhYvDv6TmZP40VBo5h0OSB/RlSc4gtNQVyXv
l/AD/Mmu/Oy1vy7Nty528dqfkwq0HvrCQwyIWAqf0aZ5YnHDmTUkFnS8LS3NZtKDQ0Bt9uf01Cj/
8Ge8eN0nUAYRx7JjrMuAdnku9FgSTs302RlEWb/BW9/s4hBijeg9InJ4DjTJn0XP/Pq93Y7uVrL1
Bx+rKuudoGDqkbkp7WvRbhzZ/Q6QPTDc/lv2jd3Oj4/v5wX37z+bVHiCfy4ufag6SwyNmSntUR2/
z2dfOm9q20iei4f2Zkh8PTD2qP9szO2BsEMTm9ynR0FEihSQ+Q4IX/pVfEUB1hJguev3n3yst+88
3Nc/P9YAQlgAVDAf0lWRmz5n5kOHMmVBV/wryxpnBH+MgEZBFRVo1Y40viQOZJRsRNEJ4badXK0l
UsWbjSPRSYX22Sb77ZO2tvopX9eiOhKVFMjlfMBAlzjCS+8PHtOgR53d7j/86hcrTLb0ZSkGnYf+
0HrdYbxtj3XAhq3cp265sY76U32dbkqPYZwtB6R1uyQL+dInZ0X57b4keah/fkMarzAdZyrInD9a
6Mdwc50zYnlVBwS+jh6jFHiXuwoGPMN04+p7vknDh2VywcOSbAYRtibR4atlaG5DJPU3ov34Lv3m
419Hee/BWP/9q5eBpi9xMZnafGBm5WnCsTt1GgK9ed+0gK2+5CZdK09pDCcekJPsokBvPI2kkYo0
pyuFnPOYuAd/Kh/KM0KtHe4JAYN/XorbfDi22m4sMifprtvyKm4Y9GDn/OSDv73iccL8+cFLo7QE
FPzzofEn1/RSh9LlQqh3DRtlhju4ra07gh26nV040RaI8FZ3g2ybOItT7ThT2egDg48/zLs3+aKw
DlKrzWBH2S4m8b7Rp8CAFLBsBeMmIcRmBAulXDVY38ox9So4+nPD3iKx047dUIysHpV3lD4vPW+X
GcEbXpU4xMCicxIb3EW5GbG6iwODy48/7+8mwv8tl3C0//zxMjgixtisy469h8NRSaK9AL/gW32V
EtAM/8ilFVteicYXuJc1QsHp32mv724+VjfHG5Va+61VfvXAFVVei/3CtuxcuP1GbrhLyw6VHdIH
K3bN7ZkGqm054UP7mF2pG/yKlt3bJbAH8cQAn6Hf4qdP0j7qvOlu9vS74qb4FV7pwnWVPiLy9cxP
nrB3NmqaeVHKC7RsZki0IAcfxV3caGP4CS0AZcdnPmG828We5n58Q+T1qX3jhmAe/2MZMtg00xL3
/yG56rbqTnPz++pg7gq2AoJT3CNbDFTb2EXX2Rb3qCPsLdf45Nrr13nr0hcleBCqnKAkLq3vtAMd
FHfy0s1yND6BKr/TttHMi/qb1CHIspq/b0l2dz/dGZvhUfip0zQ6ZgLdqY9/wXfv1kWdTZhjGcQI
SWt3CH9zYbhj89DawnHa9Isnbw3D7fbsRdnq694n13yneF6ahaQR7moic814CER0jtONzOq903CT
9Iif1FMC0HKPKGxNTcq+fXLVd1aQebF4iz4UBUXFAT3u5ppehOy3C6qn6GnsPQWp+Vn53g/XCQkO
Z32f9yYq/+t+CzBvLPzzJxuKddT45lNzseGKlaxcGfgs42mj1wFAw3OI18ZndFS5FQZuTrvgon/J
16JPABQJjEnk9jBlAiTPzTEdfGv4JcrXpLLqhBhaNyYOmmJXVT6qc7SrK/cc9iGyIhRsXz/55d7Z
bRgXK7oToMHI6ypTTuGXyu1fpM38FYt9eZV+8ki8s5iMi3UsjyIMS4srmDeSez/Z6gny7qcl6Z1u
IWnjf5YJA+J+1KxrNd2i2Z8O530eTP6wRfZyTEDV+Z1N0446sZ2vJS+fnOKTh26lYrx1vy8hyoAJ
RrCNXBm3dnSVPCh+fVu57a4M5g15hdvFL17ya2mv292DcNSvz0HyhUSNB2tHvu4VT7+LROhI+257
vvu0Qr+z/oyLNd9BlrAWkDkH645wR4PWypXu0KSlQD+J7nlLuTx9tlN6ZwqsGeuHePXiAqF/FmG/
SQeMGIBddce6rR4UMjm89Jh8Uovfa1oYF7saU1IFHUmZdBhcoDE7yyceM0Br45euGSyu7oJaup23
3Z705kPnxMcuEPfa9Rw851715R8uk4vdDPlk+gDRkGXiZxvR+2kEg2cFwvazt9172w/jooKhQuxz
dFrSofNRbvG92kB3zXuwuDYYACdmFyf4P+JP1uTvucwbbzjjolZFcAkzXICU6fBbZfpLe6QVgYrb
lckjhhQau/muE+7iAI4CmpX4KCyB9ckdfeeAr+kXNScmsxoIHBePHs4v4+2yHX9NB2Oj34nfz/eI
fX0i5e7ynx/fuosEg/89fv5mob96SKMQS0ijcjXZMQN9d3+7OFDo7FuVfyyu5J8yRz9FjmnLbuG2
3kPkho75ye/8zitBvyhOKTkZi4WI7JDZ2EgcKoH32dtdebsPo62+9teLr5tbUH/rI9n5DT3XABYM
R3h8SV6zLbziFvaHE/mth7hho/gATbyUJXNNHPCL7J79kM0jAuo9IzKOX674yc1V3in3uvbnx1KV
ZOnSfy9X0Sv96dA/DPawg6l2qLbJBmGXpwZ9bmde+wCH155+nQ/hqfeLw+R1wYaT9FZ2ifnyZ94S
4ybeRr6x/eRRWFfrG0+9flGvljxrMnVdZI0fbYZD7/UBVi8vC0TmhaFrHZur5Fp9apz8GAd6YDqJ
//GVLxBGfz+EF0WsAvZopg2dYdG66tF44s0zgeM5iCEmwS4TjkDHCvdQ74Mu1E9WcxTO1yN0C9oN
D/J4F1keA3UjssuHvvJlQkkhFWM99ozaHwXBbTM/KXw1/VqDxGtd5JCKdo2a07Q2U7sB7FfryCCZ
i//sQ9kxMnQtDxoKy/466hCFnKLbc+2ZCmRF++NvfJEM9Pc3vqiYSoEGYiBM8wAX389PdSD5DIi8
/kvkPdJtCqZA9UVf2rX7z1b6Ox0vTb+ooauawshELgkDd4tIOXiQuM+9R9S1E/MSjH3kAvZPiWkw
yB/PtKsAeo37ZfKqAH71NrbvPvny7+xH9YvyWtVJep7Xnbd0Wg6jpweqU51qR3InW962buSMW+Om
vq6O6SchNu/VVGj0f1SDTJhAIa9XrKIFttMpFXaLfa2EQdwiwXGj9kXiyYNu6hDHraLS+WS9ryT8
t9bU73HRq/IqKhXpaOt9RnXkFVfZ7uxstRtPdnPv7rOF+15LRruoo3GfLDoqTGp4IDBAOgKC0r7n
/b6LvYU7LLGQroWrYTulSMqRqNvLZrgdHMKuEtGWH6Rtln9Vzu5qK7oOmSn4mLXG6MocrxGhE1D6
z27779X/6rcwyGFKJGLHD8t34Wm5Z7BFN6P5wWTlZUCOcEJTiwB93ip32Lm+1Y//8LIXJZe8qKpr
1nvfuMXt/GtxK4pavJZ6yUGjxmsNZiOSnOazh239w2/UUe2ijqYFpsw1UeGw8Nb+GSp3fX2DZ4Oq
fgOQnLVF29zuGlcl5+3+ky/53jUvKqgMMDXNFX7b+cY6MV8ryC/9MXQO7ipoTKAOnhsqYmbczvox
ST5pxr530YsiNsJWCqdWQ1U1PUvag4X2Pk/nzx6XtS699TNe1KtOSDOjGfgZcZxgoZCP0W3lZ0f1
TsSZ4kgPH/9y79Qi7aIWTRNOND3XWaAzHBh1ghhdx+JT1YmtY5lRgFSdN8mUfnK59/Zb6kUlCg3g
rCKp1of6wcCIdNVfhQ/1MT1hHUYZdN9s2sOygx5uJ7/ajbypdrLP6MXtvsTs2z/+yu9VQ/XizKkk
6QLClYdl/KW54ZGDofKUXkNQXwLIddUvZVfdNlfxjX77Dy94UaCsCURxYnHB6Mr6boX3PfxTjlzg
tCxb+yk/yndJ78apo/+IwsqVvn582fd6ZGtyyes9YAzSeMHIJB1Ow935tlt/4/ZLfhrdYrv8snbR
HYYBHqw9OR+LrXMyrU/Vl/Pm46u/szjU9d+/qnYA59Q+zFV0lWLsjMNtXD/02JE+/uPvnevVixpT
j1bdTYjzUQHJu26beGcHddPaGqV5Hb+8vIibxVu8dY9YuR9fU32nGXIJhchLoG7DxDfitzzE6UFF
JxraBWf7aC9fF8+1atNsdMaT+Bg+GrsO4nv1kGy123HcDCWmcMSOBAvwIZPj9EvBkm9XO/NbBWPs
UQcUuY9vik8e8fd+/IvKdE4h/s4GHxUBipfdJ5+8S9ZF+kZJ+i29e3VPhb63rL7lz+raU/g/nH3Z
buM8E+UTCdC+3GqXvDuOE+dGSNJp7Tu1UE8/x8YMkNYfRYPvtpE2JYossqrOUtmZ8jaSc3hjAxMa
vBx1fp/opZbg4wN8GyYEF5oZHpHvMz7ze84TbF7SEy8BftQqLgKvyxdpBw14PXyWTWhV3Otn0R7A
UiQJu9KGn4ifrJTfl1LvRybz7WEmDYZ+dYuVRi1AZ7G+wJg3MltyAl02vwSjPUQWmLkru2YBPCQ9
ugDfhmNo3KpjheEUHXwmJB6THdkywPmyeax0wegtXGJM2e9NTMUuXFnbS1eoR9Xy27CgR4qMQvFl
O/+eaPA6z7ow80rhPaHHG+3cbzqH2/A3/sLs4iP8Nk/NZ7uJ3kDn93hUAGRbkmz2lfj5rjmMVrAR
w5Wtfo+RP6y5R4L77cnEtpfh5kFwDJLXTEWODNgPD7hdwrLo8EQrozxy7p+GmYWrTmukMGE50FFl
QOSitDfgnriD/rmVKp8BhE2URN2xowc1Z4MwtQVZK10lqI2Ut6Z/Ijxj8YBYgiULo2KXjbFYASAm
6YeSVyD+Q8wiIwZH9hA0JclzhS5OrLYnBmAmAc4QU/QhsnYuhUaB9A/+InC8pZLNSYObqNBMuvWp
NRSqF7D8O5j3IOiCBOAm4VVTdBkgXkAPR/rWwHSa8wOZvRYDLFxS0C67vtI13ofhtZNkL2l9SEH7
Eljk96BZMmKPMjNEbn7ftg8E5k9TOIvJlRyxXAc10y33CUp5BfOTjxCmM0/E5zsn/2QDYxqsciUU
Le7L2Y0v7zKOFZkJ11rmY2xMEOVghA3ZW/T8stYai6M8uu0uAz0MNeva68BBB6AqA14g4Vfy9vs5
+tMLz6IsSyA+WwZ4BLDtjTHFmWDDWsoldbEywFKaLMzugONQ5llLMaWQaTCplboJboDE7T8YS/Q+
k/M9K80cfsNcgPVb+YwLZ4cwuxGK+RA1RdjhVutQq92PG26TPIV+ZHK+bBMHXBG6KdZC/cIld050
yqIMpiUK2BcDTy8SBYU9HC90ikGYlkxoe6IAAeGZSHQ4tYJ5mQDDgVjnhD9UnSBfJrjVcOeVpyZp
3kSAQyFx6JWgr/w+FZCP+vEDP4rO32JPDk8esaMCCnS4XOyEm+IKT/0hAQ7OFPI3udyCtNoaQbQt
Aa2XrO4JkFzOzhljeoZSE2BZcNXOVxb8fRf9sNh4Bf/+7VnqgiQpZGvQKKHvjXrp4Onx+1suHOqP
m/q3H4bwHSwyggo3csi1cX4D9B5XXHvJa7VnKS6hb2P9PtBCqvGY5W8D5QkKbGTEG7TASEcRqw8C
YyXKhtDMyaJdO/79fZylQDRX05wIIydBiUWFLsehfK/94Tk8KVb2rr5O1/4tXfki/H2f//RJZiEI
COy2ziXMnOi0+2abeZDfMVUTsro4pmXgKZBSQAREZzfVc+aiuvCydl4vNW8fj/RtLnu0EnPIiyMw
HAURfkz6vZoavinnwh19/lN4V6EQKq7j35e+3SwQcbBqSqT7qw4Gc0CKaE3m6EZ2hpIV1Kad2Lwp
BoS5rbW+ztJ4syCkdTGsDCjGE1Cs0/QLfBO2a2ylpcbUI9p+mzxRZTo4H+LHCVAKdA+SsJ64Iygf
az2M+578YWHM+S4RlCNB5cICzLI3YfgjnWpvgA57v1J3WLokPs7Eby8QQ+1tCO8hurdLf3SbQ+7X
fmLC0Gnfb/oNRBzM4aC6IDf5EG4aNqD7/761HofAT292Pwq/jSz17QDnBUREfJVXiEaxkF+DOICT
SjqUFabKhfjGva/qwjVEQqEns9pKD28hVPE6i24EC7TImqAFSjMTPs+KGR+E4+/PtpTWP/bKt2dT
BkgIBQNmvQbY25YN3Jf+wM2cOYP2tdFOvNnveic3G7JyaV66gjyKnt8GrJuqUWuORUJ4nbYQSTEh
h5LZym5ygifgtKFfimRvT5z4lq9dCBZy0EfI+zYkxUUdPvMYsraCU+rev3YMgA0ID/8xqD14kt9G
qFN+TAMeI2QeKnbDiXi5L7wAE2KmWzBr3cqlZmNIfvZeILlmHeWyVsdd3JezIKPEyjDU9/uUJFha
eSmdEMp00JzYjIkfbaKVjG7hIH2M/u0FWYgeMVqNqkg6QrG0gvzCsJK8LVUI5kDxBIp8JImRRcGV
KbmFk5GeBc5oDoFwy6Gd1+kwVup6C945EkEF9CkUzxp3whVfee6HC+9C4SrbdwfQE6EKkZw4+E6I
Vvi3/Yog/5eYcWADb+9DwaN1pRE8gKeVnbOwquYQdDEMIJRzj7aQOEEVJXQSm/cA+HTU838cYXZ7
yROhqmp4u6Ma9BnkpijAzmao9QJySBB/bDugMK7rnN6F+DvHiGf1kKVqOeA7gABqwfDqgBzoTLzC
Tr3pFF2DJ7IHmrB6L1f25cJxxc6yRyr1KZXZ5F4kqH2u0CVI2erj12oBceGaPCf2iEwP/1qcKuDq
Y0m9ROjPVjvWRFDT/6x8oaU5m11mkiAWC5FBZO85s8JWT6y2z/VMdgoknBVKbBA8eVIhQQnVOFgC
iMeGpugvus3Ktlwa/37J+r4t+1Rkay5EEweqR3+zp96H8HG/1pO4n08/nFvsLLRwIUujqmbYLVQx
D8F770FfPTvKz8M59IdB5xxoBIL8mkyG/PH7hC5cq9nZDSaQwxGywxix7+ByAvNKtLlLD6Jg5XEN
pP5zegL/nX+nLIGqQMRUmDLkux/ZJhJXTvmfJ0ucY99VCj++oMHvBsMEZdZW75k9hMzgnfD71Cyc
1JAO//fBK1artAo2jHA3Q/20uKinEGWPrXaCldSW8xmnsPIDcwnWoI4/h3xRu7/ot7XVdvBlpql2
ly0sYep6qoXaHGSLyPsY/oiBOaEPDiMYaV9eIulSdKff3/PnJS3OkewcP/WwQsU8Ahb0jA2zq1cT
5wWQKByW/n0lSJ7y+RhgCsM9vcIh8SqgrydQY3pPD2v578IFB4aA/w6SNRoH900o3kSeaIEYvlFe
Ry/1+UqXa9Rdof8YbeoDzk81hJ3nyur7OZZCBfrfQaHiMUG1F7MGWbxaL585J3O7DygY/7ePMosE
NOiTkR1wv1E01KZYyQBhQ/zolJWff9zE/jfSQJPo38dvmb4d5ZTeO5G00Tk4IgwGfOoAQIZi6Dmw
68zuOLMjK5X+hQ47lLP/Ha+UprpOIWGyVZgd9yHtBjDXoXDpRacgRysb5cMtMH0roy1EnDnqmpJC
6dkW59A9/QMWa+XitLBR1Fk8UNmxbTgmQHSWW53QK8T/dekKLUBNWwFVPypmP3yWOai6zPtGG1IF
x4tfAeghgeQU++RSHJUNwCc+BOHM6gA7Jxl62QYLuoNsx2YEZBag3Vd101qdrnhrwK9HbeWnp5nd
F9CeUQctuZfbAcAqbNbnnRQVveBSbbotehkGtSKb+NFedge3cxkT9z9TBORIuv2+CxZC/JyLCutR
6IYPyCAbepTBtojRooMtAPbE77+/sInnXNJqSNq4hqTuFu5FW2YPARWdOQbn3398QbNFnMPI4cwA
9e0Kvz5lb/E2IpsxcJS3vr4GvBmhPA6MC8zT1/pRC8UWcY4fp4zMwFl2vEtV6uxkqackqaBP7k2Q
P5XMGNfLVDVZkGiM7BqttTiXAok6CyQwPmfT9t5urIePd6GxB97uZRsqlZXJg/Dpds1L8Ib0/vc5
XcCnw7Dv3zgi80TKKshrbxPVmzRP4v/yhREXlggZXclgywkcJdzMSnhf1BBxEX1+ctnUqyAzC+Pd
zGcAHczNtNnGQBPDxxt1d78cIkOApmICGWDerEFi7GA8HDFb8LMSchOF9xwlZkDy6+r199eY2ZL8
P2CZOMeTE0YJhFLBt0q2E7CPo6aXZ8WGDJHZbAZ71KsLmqIo0MnH8W94G9/jA7TBwXs4/j7+QsUe
MJd/p3EMRyUJIQu1HW322l27fegLe7QqTckqt4mPwvGnDEBZcWbN7L9dbmFi9O+YcqvBffFeDroD
2qRN6St2eqo2MVqUxGBu7IaciBNYv7/hAqpAnGPIYd6tqVWPM4Czr72NlGRHLjD0Osc76WPcBl65
jdzSA9wQvR8nNJL9/wfD6L72f4ibc0i51kKpVIxxIQHTyOV6rCdvKjwFquulAVsTqMhyNf1PCYk4
R5ZzQcFrXIZLYyQYY2z1T0F2G7Ur//L7PC6ceQr/70er7v7pbYuFEgwm2mRUg6rHGdwxutY4XTpk
5qBxqC9BIQ16tVvOFJ8nj39m4QTjBEfh5X7JRiEMCHUK9Dg4Y9gXfnL/WM5bgQyoWwkqC/fuOY6c
keQaZreluOVhKq7zRbgr237lRF8otkAm798JzOE0IUoSXk8tIz2pvOLC8jZSO9ETNJNodq8+B/VR
rq9DAZ9hg6ms+gzRzKJ+KeurOkGrJH9VE29U/C6o0ZqU4PEAIwS/R9kGSaG07SGeK3qjM2h6yLjQ
B+6UfFM18M2FdH6/ssoWDso5/ryUixhpHK6L04GEzwI5U2iTxLYAfZRk5Sss5QpznLlcMYPAxTG3
Za/RRXAJankjsns92+F6Y/y+nJdyhTngvGzlTmmhab2NOuUEr41PLnrm0a6X3BxCvfSvqEGjfYgs
9GVubZyfOwniU8yxhae0LJWHSlu7HTxgnz8EiTnGvIMmeETuFUw23UgUVCoW5gaXujvX9CAHvM5E
o6G8iAceDK84gQiZ01Bo+O/lyhEAYIgggzW1ZpHdhWoIdiYgpKybHHLxq0oyG1J9EKqGw0cIKUFN
tfKS1SOA1pgXKPUmogPfZr0jJiwcZOj6wiSK/2LBxeQgOy9mu0RB+W+AI4DoF/GuqUfooJtgO1g8
yJoq2bLi2+/f474LfpqEWX6YwbhUqip0jlmjeZL9r94v/N5JnN9/fWFjy7PEkIqwauCCBnFY+mTJ
LQhXNvXCtVSeBUUoCYZ1HuLTTfkB/YTyLp1P9XBVomrh/JhjwCc54aVCRNY8JJ4UmPlz7ws+ZyHx
GHE//X1uli5uc3h3N2YJo/SodfY2tDv0VK88zs29xA5sFB21Y7ay5RaSsTmoWy7FDgZYKSZLAEkl
uylwFO877/e3WGhuinPktlaGLQTMUYyHiBN34DodzQ0R16jcbTygkjboAlhY8Y1bXIFb9sm1cdLL
KupqISzOId282pBILCNUcCEIbeAWJ16LjbqNwUe/91fgx+NMVmQBVqzdlNvvr7xUlpoDtMsU0tsq
1K/R+ujtwIFy9Bba3pvcUk3JUW1IyqifdKv8x3UCI75/qlKUsigOFdiigw/zCD/dAVIkHpkzzBIM
2AUc6fn391rYrHM8dtSUfZKrWPQijJ0FQKYS6fL7Ly8FfWkWB0YCcWM1RNDnum6XCi0KwhHwL8EB
ttI2K42W0MJpNniGh6VVT+iEB5AXZ8AsudvplWRbiYIl9n9XnuY+6g8xT5pFjwCaq9KUIC0k5mC1
526X774IJpM3VbffRSvX7aWlOSsgpVFdlS2PzwaZ9C3L90YLtf2+njb5mJqNmHtFO65swqVEd47O
HuAWekcZ3Bn1og+Sig/cj75lnBIULWllkAWUC5wc/12HfMlzmnJH2BUeb7XOfZDQSnf8TTSBOHTA
Fmo2oIM74VPmJM/KEf7Mmk6RUmgrT7DQ+IOj6r9PAAQQ8Br31wT0BLw0WDACNwE2qrEWk++v8sPK
EGdZGYWxD9twKJKljV3DcIp129RsbQ40H+J30cqpuFSLmwOuG5gSqsqImWTcVg8enwycGh90Nmho
UDM9rOGmlt5nFjpgeJPBtBbBmbQW4CcVhMFiLz42pzW00UJ2MsdXw2c5D1MFA8h+q+N2fBp3a8Dw
pZ+exQzSp52UlPhpQXkWxGsf2EIKRvmhilbK7gsbVJyFgVpQOoUZMQDlnO4cQBtEQ5WiBoMNnlEr
Z+9Snj+HQo9TkTDIrzD5uQVhva58jzJDRanXFwrYM+05JBgtZHNCPYSXp1X/5TUTasixBnkj+/d4
t1TreGRG39oavCQI08DhGVI0lGHanR+UbAvYI3zVQeMY2Ktqlsy1jAczAZ+ufc2pK0NRIN+pdg/U
AHKfasdsIaL05/cHWgpXc6w03ITCvBrwQNNTbzKbcs9b8cnhHEnSwadYKUAsTf0cIt1EMhOzcMLZ
EvoilV5DN2wJiWnoCU7yW61S+IG5MWzBCjCb0IaNeL9UXcpslPHCvsPOME7XsJILNARxDptmCkUJ
eQ01Amngj13Y2PEtLmBkoshuL8FBbtglwi4WTnCqkHGpSK5Qqcs5jyVIJXY5CwbmJiiilTW5sLHm
SOmuKiMtqPEwDC2MjoDuxEPmXAGvE1Kc0Qr2aOGGLswiD7LVvFcihLhKcSc4eAXSuY5Q61k5Cu4/
80OgfuDTvy3pbkoh913hHYoObCSuhjsDqJrSWiNw4YbwkGb89vNF3TNEux80ID478CXU+42whz+d
PVpA66D88ftGWAjPDwrqt2EYKPqTXMUwvd29Q1lav9MT2O1aX27pbj6HBaOe2ovcPbnjISx1DJ+o
kR1SXzaV1/y9f+FfFShHQqYo3MGnSDO4Rk/NEAoraz2upTVwz66+vV7MVVnR9ffXA7olHT3IsmtR
blbJSpdpIYD/Dyg4EZghiu+vB0Z+vcd1wFDRQV/ZJkuX1jmqt51CRiYMrvnw3IrgE3UtbPUJouiW
OuidOfnEUC4UJUzplLm/r4cFQQVxDt7tpmgqy3u+zA+misDgcm7J6HCK5BN9RKuJd5vElEMUTNMj
XF+aPV0ZeQEqKD6Kg9++FV8QNi55jDx+gm8HWx14vstoeluhIx4ymzGSK1Qx8KbaLr2kkGvC1cta
u6YsMHnEOeRXi0ONplCuQNctfCvxNWGdByNUQ3sK3cCkt9Shu24HjKwJ8k5xZk5To0MFe5dsZLt0
OwPAxehr5Rvc7+c/hJY5KjiEX1zEC4hcg1GYhd1vplNrC0blwBr6Y2WMpZV7jzvfZrvhxFSNJEAQ
8732Che0NDb6LbbiNTBrA3LJ28CWLNEGyVgCiGtluyzEzDkWmC8mGPKNk7BVY/4vQ4A9VCmkhqvi
8/e3Wtjuj6X17aUoKv5RKWPitEMEMma7XUNsLl1gHsfqt19OB+iZwjMOmceWf0cRHDvjhXwKNupl
1bY/wrf9GUvUih04PMBuyc1iI/OlG7+lK1O3dGN53DG+PYFSQyX4gWtuoHHwDrVg2FaAfdAyOlxl
jPELlk/hWkF+qb4whwXDmrOOGgmdkx5YYFjLGxXIA3/YowJHM39CnesTStnty+APPuyZf/94SznJ
Iwp+e8NRYdiA3pckec2vNWgcuI5+yqZgBh6x2E1qr9JqF4prj9f+NlJfCdxUjwBudGcGIim64ow4
WYtdjTC3knsvlDLmEN9OpT03xQQtZTXvXJUfJqNN62bl2F7KQ+eAXrWWoSrHYT2G79CIYqzegBxz
aDxza+CTpXD8qBl+myO4vdCo62p2qzyFZ3SRk8vwV7wCkQSbgjgG9RpcQu5I/WI3mFmmU7PYrXrm
3POfHwLgYw98GzsVk/8L65qQBPiNPSmH3NGsAkIEqa0kVmPWK9tqIWI8GhHfRmq5MckmsQPeCsXw
iYWTubxXO7h/wYn292W9cMOag3iVRGlCyt8RAIEN0e6GMWkEndYciCSmMBrIGyYr2eTSopiDeinM
hCaiIPwpw9MYm0Hz3imioUAAvwtvzCszvsZrGp0Lx8f/4HADTcrEEDjcIoadHjRDPZL/6TQbjslw
Mzd/n7qFj8Pe04dvH0fMOVVig1rYBlzEvctJlRvZCKvPthkiGBbnWr/yjZbi3RyG20d8EHJVN20j
IxkAK05hw9e+ZoHZARKZm5CwNgUIUpa1XhYebG77/lY0EUyA1x5gaT5nyYqiqm0Gg+Rp2wf+UMJP
l9UL6LoUFguiIMRrAxgbQkvej0cvDzz6ibDfhV95tq1ydmX5PAoCP+y6OXQ3IEquQZcfsqvNBTxB
nasSc5hu8DuMhC1shqcACmzqtO+qfUreaB3g0iAaXPmax3ZQl0af1c/DWBgiC+ZmXRgVVc5J5gpQ
GNbGEC7FtZULtZEHLiodECHNkJI5MkRzuXzDV5WVJ+8DOlEFD4lA1uLjS6v8oZ39+1pa/MSzC0/M
CnE9pphhZhP4/N/iAnSFrxjUzvaNy53KS5HqT8nzymgLu569R7ZvSzfWhoIrenh/dEboshD1HCz0
fe3wLp4F9Tp4WBpQVDGgzqyvbJYF1SBxDhwuuUDlYEAFuV+wv/lL26KSVBQHPoRMYfbcyqCahEdR
grDWdCkSyYlksNOL1MriYisr06GuL5AlgVEBtgCEdWXZCgWgFSI9T0YDWvkdNSux1HsOTq7MqCuR
JXZ7SuSVLfBoBv20/Ga5mqqkBLaaAzyAAgK5CbRTJtGeJDdNFFQiLioYPG2LfYkSTcdTh4/+pMy+
Kps/ELnWw+xzSt+7knNo+KVmLwWHgpY3iIwOz3uSvDDJoYPKNbSPtacgdVJU9WMoWUjJsMmxy+GQ
yrYAgAWZWXMvMho5rFQcxNKpKkZn2JMQfUHlxKgiCMtFjJ4Xr2OTwaHcyTSrhVEGxc9BEUcTip2i
wRS4sWRQeIdypUW60KgT5vhpJlbqlEgQ9WVRC+BM5sy5hYmC7bX2IuDumJWm5s9RSJjDqROZyl0t
iXSrAlAvQlBZD2GDEZagZtOL1t9+3xwLAC5hDqqOsaCyQYK+c28OO/imaHb6t3GAQZVc3sHZ2+ro
D06canROslVee86Co5Wk6LxRDpXOb1MUL+0zc7c+at0+MroWxUzoaPR7AsUQdWVBLkQMWNX9u4c7
jhPhcYANhYCcFh+QFN+Ih8li71JE6atiEAIiPLgyBpeYa4nGAm1NmCOxpUAmbDjCt55yFfD+7Umc
0FwAZVE+xC/wnQ+rw8Rdhuqza232VAcGVfVRfRW5UW9J+cKDYgkG22cXTKaArhUb2/2wg6VzlJk5
in4S7H5l9/fvuJCSCHNkd8KDD80IuCJyrV+Hk60lmBOoE0JmgbPa8KaBtQ/Ad3Nj67WSyNIKnUXx
qSLVmLIYEnp858wOPdltj2vp6UKWJ8wB3QnMedPiTlPoQbBwkH3ze6nCDHv9h3hBmRxi7lCQ3NCN
dNFOxd/+3GTGdOQgoe2Um7Uu10LVWJgreFNZ0MqsvW/2k+wnN3gNOcmO8zgz9ftNdsh3qHww0H7L
/4h4lN+/pcQ/Wlj/G3+hXf/vcm9VEbAOwkNMP08uIqudWPpaMelH0XenUpCJAlRIxOlcClTRBI0C
rnsVuHMshX4Tt2bTFruyDk0eUbA4UXjSx3bZnPryKYEvOM4Zo0bbAdaJOoy6zXAcj0EFnfyc/omC
zich3TdS7qoluvNJBfefBMLLPISk0xYXoAbJphbAQB42lHGzmQKCKsxghVloDVD4zCJLgOF0zZIz
w2lUbzQZ8iOlrfGcWY+wOY+gd8F7Rb7Nuno3aE81yJ4C6wHTZpFCjUDdO3CBRUbVYPh3HHkmCQa7
U8v3LvZYqTc4vK6k3pJEBCQH3gmsHnQfeTmlRpbdqFYZhfI3bDVXHVsjnfjaxHGTErsaX9jcZghq
6qXaJHBPhixC2sc6T4+RmOW6wFX7MI8gpkkH4JziobInklqkG31cltTGg12WL0ryWxBmG/h2vvRJ
Zmpp8SxFo1OJ4i3SMmNs849oHA5kjDxOc7oKuqekYF1CNB2EB75NtlXcQEhJxC6kfFJAQUmMiw5O
4hIClyBbxQRfAkhc8bc0dXLeT8I/ZduZIhSAWFXUo0RF9C10pQdVV+zBSOkqlpzqQX5rVWGvNVri
NEon55aSy8lnn/P1R1fWOWRZajgdFNqIGYSaFkydmLEwQxhIekwIZ4q8bhUds0j1vlHwlz0vW1Ts
dUlA8ALR3yo0SFwzzWskN+GrVBYvSf5GMtJvpVRyuFEyyz5V3Uykb1xLM7cUpPY1iqBJrYnF36ms
nWlooS9pJeQpiA5D99zIhyhqDQaWEJVNoURR9y408XGjV4roGDVGGmhwkndSzkgCnxY5rA5yWCyq
WocOjddEMGw9pTUF1ewPzK35+CiAThxtktDLE5dU/tgcWlyFozQwhK4yA8g9jTo086JBZ4kJbVos
3QhxWDZzxhmhU03irdhtWWp04gnC4pnoIhGFAJzKnPtxG7WAtMiO1BgoYCsWnHwFeMRf2WkHr4h8
AEqyYc2G0wOGbjK23gUQDcnRR4EU2lGdorMGw0YKQkpZ7Yf0qcK6VV4pC4uxGv6WT5LabcvmK6+/
Ruw5sYE5Bv9ejVgk8NFuSeSoqfiCdh0YYgpSEmY0YxHu1gwbQeazM5ClGxH2OFddCvE4BZdy4EsP
puoHiI0csobbNXxjwb578igJXzpOtUMZ9cTpnHL7HMS2cXib0nKD16ADepMMhHvaa1BPRq+RDWVD
4K81fxACzSMF/yRQ8QxPW+GiBkPr5rDCZSKTEcZsIyUoSmDzVnkB46ECQlZYGiIaWA20nhK9KllD
zF6EOjJHmlwgUjpQfPMI1rS1Ypf1vp+m2lAV1lMEK+9za0xhGNLY+Ti99DUI6rB66zUGd1F9DPfd
LaMyJjU/9AM8dBnoSUU9SuUx4OWwOGFCNLKIxWCpSFlsIz0DaRSGMMNl5BK7USazlASjVFp8JLb2
uNoseIu9c72g+lJuC6YIoV+6YxSzR1WFhWS0Bfcj8/47Ilwhx20hQe2e15wkljS7ZtvSFSIg2jW5
utWVeKx4Gmzz8GkYDl39RZJGh/MwoU5aX1R8dTlGtYiY4B1gd+RyaSgda7TCRmbcWC0Cs+j2EyRc
1bjeMlHm5Sj2h2yaG02sXQKYC5s9TkOBkZ940sL6i0l9TPDg1NkOlScttCBD2WwVRLYDi9K1cuwJ
NEzBXIqyE9vrTPYGZL6qPcE5hO0/ZC2QdAZwjbdMc1jqwkEDbONEhre6wX3gf9bwdCdGBWMNVecG
gwOUEQ0BQe+hyC/H+wE+POWWnfQwP5fcMYbmVWERJDBhbavchgQnZvob5aDoFZ9cDvkOeF8oEKtN
u/C5byKXSTJPjrJnktQQpE1L3mlzP0Kjo25zR+0jxRbAwpM0OACPstPivOoEHmL3qdF2zWikUOCF
RKmEI01CFLxLOW5C4YJIHlPYAlFIFr1JaCWE0kZDfiUWAyQolMqQJDdiJ2IUZYURQkJ2daHEH9xT
E9ujZAUZuH4yTOrRngXeMncERXFABoOA9qgYnBzrWDxW2IoGUwKBEoOHFB4HiTcnheiMCitFZdfC
aEcNEUQnL/+bTdB2Ae3jXMGTIYURmkfk1CAlPOqSYriJbXcYCVze4KyA0ge1imwLK7mUh1wZnOx6
q+P8SrCYyKoF9IyhakMwrqoZ0RATUCwwa+9xum8hR5siLRrAwdwVkyekyCXFL4GF0oBo0nKfsM/5
xOglKgHEV2SLa9FiaZ4hHeVI7TYUzTACL7DuTlK5r3qrhWSXiEIAjFFz2DuRp+nUA+CTkDOomEXQ
wDmvsGAuoipWF8NdQHymFPGoGG0Z1POW7wxCRxhWmx37piZ/FDhUEKQxdvzVqQgSYNKWiFMAvAA0
C2M7zis1weB5m+Msrbk04bNU+sI9VOhyvyuLDbpRYb6XqdVAbBsValEvFaOqEOduzPiUT5cSSYvY
mX3g8eC0dU5BXA3On6jxvU7hBv1HEZtjit7hImWrvLbV5HqHWx58ewdU8hWOWF2dIw4l9FxRyQvx
RauQPYjIQrMqJtsEtj1F06AdhfacIdaTpU2jn0B8xArZFkcMTQ+yiroRF1mJLL+rb1FjxcWERZsY
gsy7YZttIEXl9/fJR0VXHVK7g0NoPcEVr7R7BPoK3wKVGzKOPnQ7DK7uzILuM3Tp+1o5NsTQiJ9F
xOTH2qFdXxh1U28l1AFkOGmLQn2oyZZnngIh27T8O6yVCxqAnU/6oxAzR1BOjBoCoVCZvHQKakqM
LzOwP60hMTkOnC6ORqImu2GsBYSnQoZHZ9lsOl4pDW2iuFlxLh++dgpKRp2o4FLFtrjs4VIW8YpN
8zH/mHoc+IkimEluA7wMMWStdMRQtqnYQYWpNbtJ0DtU/1G0ZHdKhf2bejgEFBEk8nLyRarafIG0
kpedqB4O4/CKfrFei63BQjuwyQeThwcjLUUjkrZaJgGXXdCNNtWwJ4akCA62WH6qhtYGsRL+kXCT
RS1AY3LYJ7PRaxEoDhO8sygZoNqmT5qvKSe4nDpayMP49L6YQQQKClFXT03jSHngV5r6lwqhYPYJ
c8wLL6jYdy6BD1OMTy31tcNXA2YMlflngrbT5KhPAJJLkqprygaA7xq3kKl5o3R0tAYyT/011954
9kqmq0hxrbOq7DTBOpEjNoVxB/TdAy+CZiWuAgYvJ+eBF7568LsMFkYo0H3rgErLD3Vc7cpe43Wh
YDy5woplGlfpbb502Dz5FJXaijQCCd17W7GcYB4Pc9amkK0hkxMd7PkRfknhpi7yYTvILUzxChJ5
ER39HoLbOsi8577kdjKhkSuw/a3EGe6Ce6k5ZfPOTYlVJNrXOMJjtUyMXr4mMq7vgOyjzh4fYe0O
U04u/0gTJCZ9DvO7AYovfW22GeBbtPNxm/XqgNkUXOJGVeDAZvQK+b6NKDIOHXDF6Yv4r6BBUjmE
15wEU3tFfWOpgksalp0Mf3JES6AkymKPw3kjAF3c/h+SzqurdWwJwr9IaylspVcrWM4GAwZetOAA
yjnr19/Pc59m1swJWNbu3V1VXdUe1/QzsT9knVJxNjM73mQc+HIk1JOIgsyrAZk6vfOkhlIyztjs
QHcfunUm3plVrE1iD/Fx7q2gDbVLbbZHHdItqovDOtussDEMtKGfR6lbKSWPr5YD0VcQ5etynKPC
T9bE0Ze7LIzPemZMU8pDoXCgQFxT/TftPmI6pL6oSYxnE8BrdN1bh+6iJr0ja36sfndwvZZW3iTl
ucY8pZ1eyUQ9FiK/zn3EpoHFn0Tgz3ngb1C7Bbf3fKFp0+5dW30smh1UXfZWxtObCj4zq9dmOM5l
/EvuBdmXJJ+RkTUuIfci/E0hsUy3CeuXiGRMhTfw1pMlwlnIvKw+U2GrylO7QwYJrfiLvS3ym804
QK/xOLui3ve2Gigl2WXc/s3EW0KC+Is5NLsmoew2urtIKEOVr0l+MRZ3SNkcEsqvmg/v+vTDS+gy
j1E/nLAovDZO3TCb3bD5Z5jEjWu/1eitZnNcaOS6KTkqmryR+l/DkjYKqdTlq2Y9FYlbmDiSA3VX
2FDMYKla+aHp6dUOFbKJpGy3sE7SGAs1Dgp1qlzVeF/jfL9Y1WuToB7oikCVnULG0Jolmlx3TXtv
0idq/9LIpbb22acweUhOwhpGypMbgjrxRPISsl1bvseaa2HgIUtHSw6KbwjGVnciLMPLj0l7160d
XcI6b7MOJEPZJxM5qF28N21fb7ipGVMO+jxc18k6RRhmsG8kd6UrQff2PS0thqmj4Yy4WfUZnqn0
RP3PvJLtREqX9h4u25SwhpZ18aSIPDU9i+bLYH3JGlOCERntRl82ThnILSaY5I31md+Ye6M6Uz1b
bpgxPWrsaspPKsaSM+en7l1LJrSVrEJhubb1GWGp05KMre50OMjwa3mNESY0D//hQvXN9W1mpa/L
nR7QiZQRZVdzoJpzqPl6eLJsAoocJp2ajq+X3ME891pBLTrkPW63q3226IJF1ngKflAAwkObuUo2
kFxEyabL7opoFzFxaXbmRUwLasaxluHUnpcS0Ld36yU6YXS37XomirnfS33s2wqemckDSEgIiWq8
qP8NSRVN8sVvxooaV22SdjtG21bPcYJ8bQUeO9tC8cw85EO0hzSP3CrV6I0T15Dny1SZOz2Cbxfa
jxxhRlW0AVf7VZqEL+V+iMPi/B6yv9GW+W6RPc3YV8WfSemZS8YOTwEuDdOdirJyY7G2DZOzG5pP
U+xGxPXV8tXVV8HWR7mBX+pJ+qEC5Bu672z08mVT/pL0sGkq463odmp87qV30r230kRumYVJAGZy
PH2rd8lxteyTktMZhQebq3asWFJL6wqcrNKTn4c1JNOyaQ5PcTVNH3ojzx8ibDqgSmsQe0mqfG2a
t2nZe+ATjRPHmW+QDh32TL4qK99p9Wdx1qKyxZB9Evu8nfdTlGxVm+gIY72uisrGVOb3y7grlfZn
NYzkRAv8YstRGSA1cXBseum1+rkppr8oYnAT2CmEYWxu+7h8ri32p0LLfpYX29jMRsz0soSk2EpP
lbo4HXHUfC5XXoZvKx/jbRQqf5KleNUQ/izTc9ac186pP7XmHxzhwOoHM8/garmT/zMwGEvH1luG
RwNn9ofqLqnk4OBGh0WdtX2QLRYTmTjVCQt+nimRluUq02YpPWX2++qrSvjpN0J5Ed0mr51YPNYT
dpxYUXlJvrcUX+8iJ2x9wtGAGJbiHX9KGsESya/bywcFxK5uCIPfkTdg29eiYl36z/hWLuJN+5AW
n3BvZasMrmK4defnyW1IT4PeOTDH+rXnstYjF7CCTdZOxw9xm1Xnlv+a8/Fm0LZNl5+GdFdivTk6
ZbptcLy0L1q6NQjPRlRcml5DJDNTcLSXaHSqVwNTqfB5bFRvKDZj9i8x/BDVubITJw0lYrXitvht
ptkmD6E83xq21rog1Q5FUe9SY0sIPKuuU/8dD66a7ML0V4q/wvUl6v+N2bqrFb/Fjap2Gf1KYMKo
xSR4QyJt13h2fanMlXKKnC0CA8v2NHJrXfmp9WWP6TnX8RQ2+GUcD52gg5q8XFE6c8qrke2ym1ZH
TKDPTepxlyypq5ZYYKXxCTXxtunio7COxkWvj2yRWxjpIJupXfufNDZM2V5kvhUgE+WlG3fKSiJ8
BlWPbVhjMIcf2nRPmyCxti+Tc8BSpf1a2Ltaf48VFhDz6dkQ/0wMelMAJkLqJ4pZ+S5ash0lwxPN
sSjdWP7pVOx+y28b/VzxV49XHfZfY7e88jD6VHQAjpNafIAz9fElrHeNfiuzU6sfK7bnkYAXbM8j
bpIlj0tvaXeKuqMhWKufMvRycsvzwjUB7XoPO9SNClaVzv1jDRFH+Hg03PiPKykkanAWr2UnKLP+
IAG0kEE8nGhHarbM/tHjuU0dKFiy3YtqY31zqXRv1a/e+FHzkhs7wU4+OffE6vRsdmBp3Gv2eAmL
6okE041W8zAJqpef7XBLgGVsvfJZzOqpvIn4LZoveA1L62ur0dnEiZMm5bnumeMZqo24QMo0bA2Z
D7eewnspraxMk5ik7wRecVkNcnPI7XxrliknHotA21Xiq7QXeEiXOIcfi6Z6M7glc5owNWaYzd/0
6hotm6p4Cnte+ZPBOFMKvgEkgbLA/pnczcWJrOuS3ex1pe07wayP7QW52sY0j0t1LbXXJjzrNLQV
LFjua6E7qkGRHxL2rAcN8DDzwa3Sctc9V9RBzJk7lVeWueZWl75pfA7rvpDAeLfNZ5cFE4u/5pdG
RI7Mpcna4PzJ5zLj7SQTz678K0UAuLnJq72e+JiwEEFim/7wyymTbK8XAQzoRAeyXhPztS5/h/zL
aLon8HZUCFp3rHtHZHx37/ysZfoxa+2maaEMzWfEojZfX2fLQQwWUVdPc/GxJOcVh5DovSujTaE9
peG2ZB6PNqb9KmYX2M0+py04mLbVyh3qLMekUo0MYoBAOfkn5l1pDgayoyw+jLSy1BHDaTve92PK
vT8YjPMKNWWVXKAhWoq23NEBMSwnnEfCh3gXwpmN6g3O7KBeNotsth9y10Vfovo35e9d6wh2ijCh
sS9lVTpY9BpgJcqhq8BRjAsihrEk1Ghrpldmp1Ll2jTyjam9WbQVoVOtjowitntq8JIsuDz+Mv2q
Vdcid4xoG2k/up27uvGSRU6e7uJ2O4gAkoNreDSdiTiH+hXf4DTHtkw6LeWtI0u7Pg/pNe7uegmA
e+ikyRvZGUjzz9neafIfHV0jRY5Bl6LSx8SHbGWFLXOlGQ2O0zSkYmxK3nm6F5l+ZBO31m4Kxa2v
IvgTPh9GLcSy6pvuZ6oCTkodu2m7tdKgbWleXrpG2nTRb2gcjHC/IoKNXTPfjj9NSquGgxNr+roX
v83k8M6u2l3YG6YX7Bjw1BcbxP2oEYNsMaIALsmc5YQrcGuAkkjprolyN2/fMoM09ALC45AONI3m
Tuq+Vst0jGRf4HfYVY5sBiUSZ5I2VK7TrXnOZk+ob+uvltxVItUlht97yJo8ddkoHbng2yc/yo1K
16RiFSekJJL+0wG3vizCAtveFJjGt9TRnGDc3pdYmCTFCUZg/pmF1x9wI18UJEDAiy/cQGaIg50a
qMa/bH5vrxUXSxwk+LbQpoW/Rn6fUAIDZeWUWuFofeii0RkN2nNgR/CPzdTtFtSSuvkRaadO4JiT
+VPMQ5pf1enAm5A3YISOxjpe49rdWe6RdgL2uqq4J4AP5nWcXdyfNOZI5U2C7xYgyVJjuOMMJIYY
w9yYzW8Vnidspe2d+DDAc2La5mCxLhW5WsPGsPAdeJukykX3uFmXnwce+IHs15SP8vw0Iyli9K+r
7dJ5derLk1NJbth5Xb/DtlpOPq1xl6WlO08wYfLwpI3hZjWtbRThM989lTMnjPFTJ9kAld4lrZ+j
0WvroJn27WtDCCgO83/MniFSSHGPUCtaXngbEJR/mH9D5saKU8k41AeqvWHLx5qCcd/DHwyeyh39
q6V75bcQOPdjJhiFwhuiT6t/n5Un8aJhQ6COT927tmwrfiLNW5cVqPK5jJSAHoTEMocpPkw+V012
NCRbmCfopbnjSgaXYVrgOWyzB2RH6b1E+peSUCm9vjgA1tvqbxy5efed5FuQVhKyrflVkQ5d62Zz
EMpbBj7jT2Sm036k4qcevgB5iYzepJ8qLfUtKy1esvqhadCqbQHynp/Dudm1xgkee5MvR8GtKw2g
sH6tgQ/ORMx+DTgAWE/yX1U9M0rkRiCiatPMB73imp6ZW3dm9q9RfjT9+YH/YwRFZVOL63/A0uOV
E5v0mMQB1jG2o1cB/AAqLhlgKF6/jXQnk8Qsv+Z85RO/eWVBOruBN2/gWs3wJt/gTTqymY1528yv
en5LeafiGjNxrGqnZ7Hr63Otbc3FDWcftARBGGEAmHAXqBuZZThd+BttW3nXKD7vmzl/DlwL0bHX
PTN0hmgb1qVLJGw13dYYy4OD3dyAiqd/Q9Q41bsQN752uXNznMqN7dj6QNUTKw/fq3FIQ2INiBjG
rLChqZEavrXlTYeeSd466XdtHZUXx1zgPQ6PIALx0LE5dlQ4Wu3ZSuUOxQ9uD2bkpde1vWsCfEXh
JsR6/x2vOCkL6KLrxRvRS0lc/9tWIAEgu7n9Jr7W1g+5vk2zIFccm96ViBwLd7F+a1nUaD9n9KUK
EZsuFUE2bDmaRuGDcEvk8wEn5b5sv8VfS8+kXsBNqc4YB7p5VpD5qae+CWz138R/XHejuauzTSnd
w/q1/irVcB+mrzAnj6HHHhDpt9h8de/dSQDpt7PmaPlTaxyUkctcYW351Q7vc4wopHL4EujVFBrt
VXdTKDEqcUfnbMCQjxt5fBggJW5Woe3mn/ZKR1W/iLk4zAZDm/An3q2MNdSN9GKw7FD8Ck35qBR2
b3OwvBkig+2qVtW4OQ5L6fZGfTL/f72T2FCRALVMkxOT0lRVX4L8AzZXjCezUd8lAIiNpA8PDrsq
nK6FtecaskCe9SIDJSKtJupeWq3Zd0u8U8vKMYY6aOvwT07rT3u0viU12TZQy5vMSBzRBUaW+cUk
PNPyVGPkYtmUkS+YZq8ImRCQbizFreIfNf5WUSOoh9DaMoITNthqO6U+PGC42JWNPyj74ocU+iDR
MN1mZ6+6NLehibxh+RtGzUWB0nFxgTkHgj9Z1jxl1Ybt3Dexg32bP+peq/ir5ZdQLfqQ/M3GXoU6
ma3hoxQew3jTOcKaTlmDB3M/HpaeQ1yAiams1wBSq8m5era7j0iX/XTC1q3J/MjMnoAA/Gx4xHep
z+P4GOwBamcicuv20SfL2PtzBc3t7EUN5bVeT2Bq4Tp+KNYt0dKnKtyl/Gpdl56FdMNbtM24JjC6
v8bxiXtzWvzVpsc66n/R9DuhtI5AADY0+FhQmK4iDhPSRQ23rAhHLYdS+2h6YYb7B/qwAHz31ykK
ynG/gMRCVkElaNGTXcJfwPPsdOWwGkDuqldnVMF1Xy3ARLt1hY07cQsng2MZvphvJX7b7SY0vIoF
zZAUk+0od7tqOVc/JpqrzByvgMugFON4lYa99Lz2R+Is2KEczQ/dini6bq5uCzOw6whtw6+BVUp1
UW+ztisyvPt2hNxtMmIbqXrj4DNwi/ZF2M+oXbCTRk4gqTeVV58+me9oEu4cHVK6DJkGAb8WCys1
CKMIIyky+EZ+IeB1952bH8MUmOpuwamIuK75Z0QTWEDgXUZquRjo1govgyYOZ/zGtTjoxkuRvtnG
aZnOGSwrQK++Fz16O8Dd5hECODd+PiSg/e9Y48Ce3GjyaFEU/Blfx+XSKLf+z/7JE2MzJJ4R/qtn
AKwkuc3G8KFwMyz85iG+V/VXjhLMng4jSX7CmRIfUlTrXYn1rn50rGMzKrQSHxndI21k7oPfafPG
DmySqsJLnm3z8maPx3b0pPwiwy0P2YEEdkuz7st7A+r5KzNrg3tu658q/NUtJ7MZ+tEqZ7LDc5f1
8zq7Os97dnDONZxF0Lg65VsykZakFF6cfNTNSf62+DVD5s3FT1i9DTi6iuzKCAgJCXskxGmtUrcX
3J9sDHbKPqq6g2jhAHEkgmIs5N06MkmAHAP1+Zzlnt7pZORv2QqdjpxlQByQd77g8eZ3rG9msRwa
+jjVcO3+uCqXvHHmCdPnLUYbvjiE5iPiVHhL8zHL8PyO0H6Xh5wCRY3tMX1oyFYamo3HfJOpNBao
SHKnAvGjZUDpY7Pom350LwqjSe30WjCvnvZsX8f2rbmntsP7AAgKWKFEkFvSX15+4kpWF779UdJo
Ku8tMEuUBnJpu0u5iVDIFq5mbupYdtVrUkKHu4/e7WNZ/DAM2ASSre+GvNUL6Dkr1jBFF5vroFJ4
6NNW9Pt6YKKxyf5QD83wzUru0cTzW6y+BI25focjaonyZfqQHk4w/VFCpdHWpNj2fkLRkHczo1K1
YvR3ijRUsY97BlZBrb1wOK3ROVs+muQ9ij1b/pSh6BJxNzJ7qx9n2ZsNuMdDDgJvQ/8Q3CEnxqut
yN9DIR2ihpsmxOjxzQLbl+p3I6XMujGJ7pigj19Y5seZy6xRojK0jouOxZXBl4NQX/zO4b5Ipa0M
fx2HO3niAaW3YWx8u8i2jQmHA3G3Xmq0dBEEKELs8ViH1InINTjadfUvjc8JyHQUOS0ikqgNrLZw
FtLZGBji9luXXrRiQhw0ocln3ZMTEpk070gfy9hP15IeAlzb4JZqDM/MJm/R0ePkEcCDll36fNrU
inkaYPTxd5YcTX0aohsRk3DdkY1AakO/PZot4332HNc4Aoy53qKBAjFR6yAzCLexmMKL3I+ZFWGe
QUz6u1V/WcqW95JhHEhRmk5t9ZXbvBMJgAvdqRVXZ8VSndJ6kjr38ajHJ9FfCv7CKP/iTzNTZIzW
Uy5+whq37HsqI89XGMDVF4mY3Vj357XH5ohhlz45RBVOqSgC5U8FtLdjH2SkWVbkkKEq3NK4SzUP
5VBTCtevyv7uoujxWw68/ymqGCNiTDgJk747cVTxPM0xyq/igyvbUoATTWMzItEuzOyzM4BQ8xlP
mzs4CGs6CMggBt7l7ljGfx08/MK0O/6tonP/E6pcVv08QK1HzGgNNVG2rPeKlihp38c822sWmqw4
3av84JFlHojFPBSzchvwJJj2pXgJs6tAyxiFb3I3de5qK5ehH0OvVR/dZvUR5+m2OEjzh62AXyN0
cwY+yvCW2M+qOvpzvu9WeKrwqYxAlLSnPtpXKszhsyIFuuWtduga429beTHsimHuCHel29XLXSK9
JupIp/3PqL4FEFPS73QB3bJJWxInS5D3DEfY4rmf+nNaqM85/tEb4sviYq9jo1j8Ey1yiX6RYZ0L
mM71a+q4SGP7ho01Z25uv405eZVsuPZ61f1SGeGfUD5qbbVrBk54P+jUNfPf0IOUcAMrk2QFQ2Z9
hfGyJ6fvJRr2s/pqIiuuWCFImrsuRU8doHbLgJGY0nhKYPeB0yzZKROI3Yymxdc1OfZrVX82jSi5
aQKBUBPR05drtRN2dKtMwnsEwtHqnxplnqprO6lBzVis91V+QECUnEi20f2f8xgmFyGUCB/KQOZG
Ybf3wiZKT7LGvZhGdgHwVduIUg0GOw6dJjUzZ5CbcRv34jtqzciHCUW1sMQnK0RAIrSR7FCF7r68
hJLf54FQbPbbXPYOJm16k7jfQ/26jC+Mn216sC12J5rELVEkld+6IVyTIIR1o7eMUxlm+habME4b
/SXSs0ZIEUMoqzK2Nj0R0QQJpyBsyBR2zOZeIyawqZ5zSzo0ijQ5lqR5Or4cKgfVdq3+NuiJq5TB
on3pFvyXus173gb1q50Z8QvUFHUJVwJnaT0IOlyIK80xMTJa6+bcxvXdMBQit0eYKNVDzC72qaJf
Row3gQkWulgLCIvQY9rgIDHgCrQPEeNRGcfjru2K4zgNAlYrhO3CYDi2tk0j82WyMOeYVhE6odSJ
TdsIxYsjnrdpQ5MMarq4EDynrmyvhWo7FlVEmuuz1n3aqbUvMBppxqEiwUl3Zxsdqq7VP7p0NKti
l0QDu3FDAr5fbOXwoo9+SgqKzVqWRg78Il00C0NbnALKc6rRODt0kaYSEEKhcVvM0Yk9pYSucyle
F2Mvtb5q7yt9G8230ToI0kxZD+C09XX/xGsd+T2BHdBZYgWrTyXwSA0NmII0S/HSWQP3V8xXrFO5
5ktMmpL1s5vbPfgK02jVO0X7UpOaETHdXKC3JfMg4mdD9zqsJjrXTsCZIHoTbpaBySJfAyYAmwUp
VlotyxvYaNA85A9+hYHtsJiuFvFx613UWLthif0BBcKgMlg2b/HkNcMQNLm2a0Qv4N5omVI0h4ie
qb9vzXMFnDpY/0zqNs1vP37lvY1hjfZRtz8AZ2FbnvsoOStVkKvTcbV/hQXYXTChtOp+0Tt/MXgO
tbSz4m9NENoiuayf4Ra1z5WuduxS/pLtLZGPblsjf7Hb8KstGwJ00hARCWq8WRGuVBlfiamsdD4E
A3bDvVfkQE3j2xJmTthYpN0JRw8TlBCVhA537JZt15rYfc7VYP+MbS17g7xYrqREiafo4a9SoUfl
UGtDR6Bk3SMbTmXyFgpdq/gf0AdxzU2+FjKSzo5EMDOyD0iwNRcGkNPRDYWfpWkwNPYhnmeYPMJv
UDFNEPLVHIGN1frsxF3lA7VVlUByNgLfWGOZHtK5AZeKrw1LbQ3wyJCVJwkyThuVYEWJOA/Vx6TY
fmJlF+S55yxJn8LHgqIG7jTQ3q/srRSobgzDkD15KAffqB8KsfOsH2SRWs8r0s5qMmy/fIh20bk7
U4xNfhjvjHGzWkVgI/XXaagE00nKblKFSkG79Rz5BnopLFpatl72jPFrXD9FE6jMnRpyshalTUx7
wo6e5EbGc6eeZ9Om16ldkq1DVd+oPT/iX1dj/RcaxwwFQkujXJp06cZXJjVMMJLhzsW9rLNXxVqM
ywLNDZaQM5o/1NtKprn5eDHrqxG/SS0o9V4uq8eBKxN8JwvjuzZ40bR3NC3+kLGOJqMgjrXmr0bK
nzmj9Z5E0VZLICsaULhMFraz9NaO2CCSl/46FR3WTI9j35BwtONlLH+y8DsegTs5wtbyi8hgosMu
Uvbxe1CKRVa81vDXwe/YjpCvo9ia4VOonLWwj68Zm5saKsSbPq8/ST1O+7R7s/Jtnxu/epEQszJu
deRiZPn5KOUr7WJM5AaMOcSK29dO1r8khuoY+MOak5Ojxs20Pugfyjv8rtGGzDaaX8tL+hyI4Vo1
pyVG8IR61VILWP7CNeI2MGKU2B72duZCkgNv12bCXOrR1JbwEzLMnhTYucTy5DuXL7ITJFwtKhCZ
qbv+THD2KxTKq/Dacjqv0y4JD6p16fTUiSgx2fg2ts+QTlDLUwGR6tslyBuiU5u1XEdSdH+UudZg
aOIx+xyl+JLRjYv2MEufw2T7FO2nRDS+NL0KTWC9OrGboLllJulPOr1ekSNnGDsqbf4UGZYe9O2K
Bwjtv1eFA7yp8sSfP6qxg4iJBplDW2X9MWESK4r1FCk4dYNTaIBA/ZhCqy4XKzceKiZlW8hBXn2t
C44fs3DaVXUU5aMPq70953wOtmCzL9NEO8Vv7B5wIDyk8lcMCGDVbmOCyffsalRanriA4etisHIK
0pGve5v8anV1izqGIMHIu7CiCV0BY28q/RaWgYIUdSNC+yTdxpFf4w9TAWBnSTDWi8V8t2us8TrL
C9stY5fUmKpCaJc5xLXoGT8bDFGMbgFz0Pxx/Isb03pGGdBsxrgcrkMMok/Zn+G1olhZXFlmz8MG
qEqP8pA2zliLNxMZCgselaFf61LbJuy57Fu2kllckcrAKohzlGi8h8XiwK6IKGc1jN2Ho9N7XeP7
u6z3bB0lxBuB0sslFyDoSJv0WzU6zSQ51aawNo2aXkrJyxGIDBUGc5rGuGhKMAuyxdZj3gbqKCFp
ncEAacSeBim6RWPuLrNmHft5+ZolcENNl1vXUlEPV6b93ChEp9nzM4hr1t7bx6TcqdFfZeMynyhX
jUZU1FPmVLZ5VTtY5fyihi+o1HMvSz8bAkfm+9ByadbNLbSeNAys0RMOMkkC1tuc/QsZvtrmHk8f
CsUttl564z7roLrKqwxomD4UQfdUQBZr/D0ur83ZntgdCOOmOZoLJFOo50pgJrH6FbKtWkCcRiuc
XBWGrk1zJY++9hjuBojzcG1skFRzN7WZ+OrXxpvUhoXm8GVOxkALTbfIZuVFtn7CQXK4FvQmSd6Q
SJHLYCDIaLXaRBE8Sd+tHLGBkn51XfEbrTEo2b1eu12Thm8S8II8vCQzkGxsILjp9DwLYnNWOT6o
eivZLXj9NtQhSzcVFgGiozCCXP63xIQMWhq6Yu1fkVgnwIthtWToZHoT1nKQvlHH9YqCaW7L8k8r
DQjGHkuiWRkO8hwrmAX/q6a7MbAnBCaPxSL3XbbtliIwQPGi4avCJX2IX9jEQu6OCnHkcVMeptdh
Qhoq5JJpJXV1EBV1hR0yRRL0tNEg6GBT0+PTpK1fNk/QsjmTvG19dKb8HJX2Z1EXNNDgl8ZSSGgL
HuYOiB63RdG+9QbtHYBbaownDIlTyUc3HvXz1mQhCgWzgBCx3LZl2mnTh0ydiIxNLEFvQGgXGqoX
3UD+Xad6+A7wSwFrfg21/h75ZtFxKDHSUcz2sitGxsAk0rM0nC1iaZyO+cJdmju+jqhZtMgpJlBO
3JIH1rqUgTrJMFdU+lPBP5Vs9fqx3w0yIpDVOpByumGteFYQtbSWk/fJNgkXcoyBZ6T7EvGNNcqp
No9AkKd2BPi2jKsSVQHy6SKa2veZHNlyqNgfQq2Gw7PZ8+8l7AfD8rJuCQ3YdS0HS8fasP6bQoC8
arbfh6yFeo6ZuiU2nAtDgMuI2mc5Ycbj9Iysvdl1uW0Fq90Av8biWKagffRCshtVdnPSBpRmltIi
Npb3oUoznHZumupMdRFvYSeP9KVsonQ62vTYhi0U4ZMxGQBIpn6WTOtmZo2jhOdqaY8GHb1mxX5n
ARZbDmXskNn0KxBgUXdvMsQp0xxUQrsQCgh19woPubBjsZ2mX7UxD0Vqe8LiG4b/4u97Ad1tiymI
xmaX8GMpHRr+8bVSJl9PPyn8wVIVh8Q2g7DbMhzHw0l/DdHs1DXZ3qhWukpxQrDd1RwdZNj7OPwI
W6ojLwrimjhZj3Wk+z3stphnoFjrtcYirppIpTGuBlJv1q2hnmWnWX8FSq0+HHZN+WmTxYT9w6Nz
mtDGlT/2cJfEbTB/0IHFyVckQ6SgYxvcRPqa8OkWhs1HBdFoiY7IFneqR5bIUtTjcG5A/Jm4aulH
OF1pT6seDKvmFCO6kExf7qWbWrWBHWt+i328szy4GG2OdkzpW81CAb9UwSjdpybbGjjZ2slBnd9q
lpHUkVw3ITtW0j1oDkPJWycfJcDIx6GfKOwphi3DP1uf4kCo4S7Tzc+YfNuxybezKYgVZ+GtZPGm
QJCnZgYqM4QJhnJI6IMEy5thF5268TZN/+PsPJYjV7I0/SpttUc1tBjrqkVowVCUydzAKKE1HOrR
ZjsvNh+yq6eZ0RmMsWt2NzdJQjj8uB8/5xfBMu+h/pn5RoNCAClwjqDiyIMXOiMlNTQ7gV1Z+oQz
cgN9PqNaxjHJM7pNBNrDoEqX+Hel+SoFd7I5g18EfO25V1/V/M2iL68UqLqK5ywd4ICG7VvfZXDr
8/RZycJjHiBiW2n1UemsB3+Q0S9Ihmnu9Fsp3uYOEnMV7nb2WqEqFnKqHMfB83lMCwpiyXeC0CJ7
/jugJPbjLbVjYovVM7OipZcBP49oZe5EfvTdOw4zfkZTeJt4I21yUYhwXhvhm0HhtL3rpQfy/aBw
j41B66pDAED2WsDWbs15g5I85/9NHYEDN9r2JANJHUDaOn2zqjmc2HYQT1Q73atFPxuMZNP7hnqL
XxaYWK2GMxnU3dwWIHAVxWPtjpVlbvRvqm29puqLFR8HW0zjUgLgolZAshLH29tG9wKCPYuceeMC
41Mg7ojQWmuaFW9FNmZJmZs8KCVVfY7CMy+sBfMjHTvio8oDGU6X95x5kd/QUlpaPWfj3LNWsr1Q
SswWA1Cm6R7fnEWtllOLqEYjX7e1bZTQZK5td9NF2p0e+ovI0Gae00HIWObhUpFAmAJxF/pMLZdp
uJds9xZSRB28ta118vofhvcO5ZeWPqdR05Bmqn+rGKdQ0o4V9fbSyvdSJ09N3V5kpmzeWl0EIsq3
tAWHOYScknYBJfFn0MK+alFqS+xQf7HcCNXZpsAUNG7/M22XYsClSsQxxS4kGmgFlGAh+F5Gtxh8
sEcQJ7v0ybZfQAAO2ltO00AD+tDMOolchoUlf7TN4Z6z09pk90kVeiSOJ+8byFBS/doN0Z6x7gs6
Hl42C9IYioUFeKhfRV2/9G1vL4E5KLpwZ4T5RvUMuDKdsRC5qs7gAc1jo6D6JG8Kl+pBkPuPZSTP
8adjCOCfBCCHs2pRJ+3eq9ypR5slG3rw+UM402xrFmctWLqqUF7ywTF9SixIvUpPlVVOhcPKusLJ
gQL2WgXk1uIKYMJam8UexdqD1j6zAAvlye7XustHm0K3JOm/HXxkXECv35Jo594d80N3TuC67Wrt
cHR27fs8NenK3A3mostuajIKpaB4oNfL1nbviLNURlZP+sgAy2tdNC11QbTEOQBFJwcyFebSTNHs
ehp4FQOspMkmrlo06Sj2huGs5ATvBbOCvk3RthsrN28x4cpnlZGdququ95eaNtMDbZtTKVa0h7rI
SKU9DgTzLHa1SVFATcsWMt1Xze6m8ajCxKlFSw9hJyCQP0FtWztyuvSUSF0OyvDWmbctOVo+HB3p
PemeaItzVB+ZoZjjINBr2MPUzcIFbdu4N8Bv2psCBIRdrWRfeW2qHLBxsukoyKjpxm7ePW0Ahh68
WWpMTVxiD3TQB3uss2DXIQaOMZ396g8c2lxt2Op08gdyCtEd4L1QTennPRt6f5AI8EY2oCQok0B0
P6AO1c57oH0q5mqoqmNiHOho0i7u4R1Lxd4v05kGMz80yl08HEs9XuL9Oi/pIWnJqUyfrfCxL9kP
4Zzb27gF014CG9f2JRpVUWlTrBz7FovMgkIVzOIRjUif1iB5BY1WDdaulD41pHNj+MNmCR1mBCuJ
IIejb89hEvno01X1Cr+haRL4c1q9Pc6JKszbBSBo1bSnXtPMsmGvmym/TGfOpTESsMdKBSVGAKlQ
E9N41ec3iXqjkufIy3rYoB1LgX8yoIdkdRBbh8exAebNs3wNUzegOmmsKRzp+rJuDoWYJpS7vDvd
mxcpyTYobf2jGD2yKJDY0YMEygO8BIgl/wZQ+STSXm3O0XQVwFlJDQ3YEqautBc+kBRscCNAeQ6H
c1XjG9ElCA50NiWDbRaEReEm06BKF23f3uQVTY5dILZV/9zrs9A0pmq0rcNT1e1MgKNqcMhlianp
R895oq8t22b03pz8WErpxrTo9pYO6EwoktIr6cea4zllPwjb1JPmVezPhtreZI6DPSAELo66WU1/
uzMeZf3TSFLwXeYm8IaHsHhxFJHAX4HyULTKDJbqrFdrYBDRUgoBytpbb3wj8cpxnS8PbooqNRRA
obvztM4f5EbcBLRlhIWAdLmVGg+6mDT3S+/eC8dZEZwMJ9gUjLTqKgu6L1OtFOta29lyb6CMSiob
ehWuf9FKrqs9pGOSvHvby35A2AAIQGNggR3bPFTXboRgcmMALumHdNY3r4ahUTYSlAm8fIk+FnXV
kgpAK1Ast6aq068Vue9nRasjzZneZGGMQotPNpY2NVUWs/G6hWvXeK4VHH+LTiwHnMK0qITlSQVK
dNVDUGZEe+XJON0ZaK3otaoePUkxH0b9Pnlmcs6feY0h1o5CAcFzqCnoDvhNuwMuChUKaorUPxXD
AYhnpPyIymw6VCgWgIsv6EE/W2zxnXdX0AwyIFA45cINyxe9PpYmpIkeXljbJR9pBem5r1xyVQHC
XykeLayHy0SQhrX1m6+pN2WhbOxREyJPjjkaRmZmB6usOZUUkOmtDUo08SiG2TSQLYVtEepMZxiL
wnzH5Ai9o7Bbu+2HB1XZ8TnI+e7JaUiXUrvPD2kJWA2efcMJFB9aA45fqxzc8RSZ0xLR5OdYMX4g
gSRlYp3E4bPmwctNk/7WwlPgjurpihS01ql9Ncc2BgClwG6YV8RaKW5tZHuA7wf+W1+v1UCay+rc
tsSaLssyR/Apj5M7H90s8qcByBoag6TqODSA8uv1n150SJKZB0wbdGjQg3LojwHq5hPybXQEgAD7
knVMhmGqte40rOZ+Vb2pdb4klmZN5W8FJygtkqYGXUgrpoVduEuVCpHf3ek9CZp5Z1N9nVVuP0yt
JCbVRiVLSprPZJxwwQL7sqVm3gDcKdy7Vsec0S6W+ZheUH0r8p9Qf0W7sANYbfhUmdTKeVcoCIW6
AExkZ3Sr0TXKrIMMli/knKFEiDqb8JDdsutIJaC+wWP0g3g2pCn7+FDtrVYauZEnqjxZeF8UCwi4
cPKPAU3RnlPcA7hRdARk3rrzVPhjFBsWXnJvi7nb3ypos0hrwhJqa+4sSulnWwOwCRfCmHblT/Df
Hj6/8m3lbvz2vlfWjbuKPGnWBUc3vInBoDqzTr2Li0XfvqfJ3ElfArrz5s/AoEn1WNNNDZ591or2
UY7nFmZU7U6l0CmlyNSknGuHinN+cuwSKue2MoI9gxvPIrE5RCwaTnMyjVna7dXmMdXv7MY8SJ7x
M2fvjO09ufBMbva0KCtZPBT+RjhPGklzTj08btxsXjmme7BFO1UrPloA10OokME4tGD9p7fCOjgF
oocVaPsstvStNpJri8JG+pP2+LRE6zxRKjLRau8YQHyGkCVqSKg1JtqhLkFlaVm/EpJNRyqrNq6V
sSyIXl02ALGmBfQrJXkq5Lc47JcFnJI+x623HAaEcJqAXzK2veaulbBcl3mxiiVYU7G0VCAD2CjD
JDf+6AvTzf3h3benthse5Kx2KDWbm1yROYEooKipbq4dmv8V5b28ffYjDO1TlQTGpMehLNHXumsy
snhgwdvSICHqoeUVyU/05258mcN0Bjc49E+NlbL89ksbrZwuWdbmQVMPqra2KQ3RiZStm5gje9Xv
bEOZGEVRbnTLd2ehb/ygR4HwCO3u0kdKigajzxdvFP3NU+1VCNcrGuhsRyDx6Xb4jUaIaxNThZuF
UJYcviY26FefFk2v6kvKuLlOUmsPm1KLdolW3QU60F8pfpC8YOuC0TAkb29UgTaxc8hodbhybH+l
DhAjUFrrsn6G5EZDIzA9oQE00crHPITX0M4z6cYVSEf3iTHNRxpSRLf4JJiqDYurNjKWzYiFrihM
UN6mpvGe9S1Vblr02cTl1OirHaSBoEomopB/SIX7LIW0h+lQmSaqB77xbrJZl/FcAaDvVOsuWJgB
6Yrff3phuE0dkOwQFsigjIxiXT8iPNOlcMTcAs7mK+ncNU++F+xqMDqGTLVizM9jmLip6WyUEnGn
e9VCTs4CExRR4KXDVhezEG48XuYGLMNKevTUcubQIahjH+DGyeOJgHeHRjEbBnq8af9eOMBBJFoz
iL80PcQoO7mxqB6WAE1FALQIdOBEoy+YxOm80otbN0sPZuwfsYFed4l9zMUubBFXEuIDQE0orWzp
4EXGDOmNH4rrb93ElKeRD0mBLJ92pDOhlrWLXLBOYQew+HtZKmXU9fqDKNW5Z3DkpUNiOS20m4k8
fR2eID5PRunEUzuBO3hFOvHPstTauVdwHoWNIasGSD594Uv3eX1bu49XXuDPWt6cvX5X1Sp0X+5j
TVW2stzmI1BULXe96odAEg26REqfF88iaqHIGqVBRu/Te/0Qnk17SR98UAhXnuPPWqpsW78/R1Sr
adk4oHSGbj/K6Mbw2mkFLoYZOC/4Suq8iKf4ptP7dKVdSN1BvnJr69IQnGmblrVmDqbFztDpCOyi
4WV6rgwxr5tT0wM1fRdh00kPB5ptIuJto61bZW2Kl65G8KBigknFsnbgLMIKCeofRazOQ8l5Zxer
/BXxS4EuZTTNSUHtQa9OqtFP1Z5MzeGlilu/f0pZhqsXrVBWATgQ2YFsHnrmi98+sIdCgoKaObVh
mrl5hwWFWIWGtIn1Cpg9CvCDIKOFQM/E1uDkJxPTu8eZxCpROiuI7Be5gV6ZrgpRrpSo3qS+BCZJ
x6yVrPA95nygFhuVf+tiGHga3dzvP6k2TqE/xYb++ydt8ijOklQeMGT0bw6zZOMes2UweZ09Vquo
nshLICby5EmaQrEDMzvZtJM7MbMnFKmn3vLTm77BRdrJYKLn3z+Ral6aZWfyfL4tqZVkedqNpzYr
tKpksB5S8QOp+R+lpU5yR6NM6c0p4Y3NMNCtoEeDsIWppJGXI+NIFyOuyc42grZVQ+q5KhC+fw2r
p4DcPEHZ1DgW/tFR4pUF4lt4qK/3dJtahExlQ90Ddz22b3L+EBvb7tPoxxtYCHcNqyS9DbVHCbXE
fA6qxTvIPupVI0xgr7Y2RKenBpxeam7gvepiDuzxhPP03LqjOj34D72xkJHJiJAN3UkkNGJmkQLS
iWZKbbznWgEZDiwIkuJ80OFeL9KW0vcSocLbkVZJvfaztcC8QEGc4vAi77Q3pOjyYyteNNZl9i4m
RxJtYxo/Q36g99rl8P2lDcDM0u4mLWJmzcRFEyql/kFVqX20nmjjGtqNxjZGviiaFS0MiG9VuzbR
DxLRflTrSrT7DlFd4GTqe5UTBJyBXWAF+I8N4CbaV0MHl+yLRZAMe6iK7DC+r05k2WSie8e49OAG
6Y+xqh+DcOdlYGOcQwIMEWGCkBJRNa/7daXq4DnvbHUv3A9MberuoHXF3Cheh3QLtYiO9WMJF8vE
4CMnQBFUgh2jUMlS7yJCSinuSj0QKHDbd2reHEuRvqqRNXM48yhs+UnKGQ+9OjQi+m1kOFNOEkE5
71AM4LBJBjexw1fVxRm9yxc+vVY8r3NvlbgvlbxPSaQ5tue6jYYtElgqqibAm1ZRzKqj7dnDBqr0
GhDclKeK2iUoU+B5Q4ieSU6SqGGWpj31kAJgboXVQ9lvRLpVQRqUYJ7B0hUh9O8gZP00xKeNeJsr
Q3vU2ynW1OZANQDDPLgMVncU+i5JTqjBKN7aMZHKCeakii3O7hV8tAiGnPdcqcEP2/cfo3SVylMn
f4jqU56qM6XxbiXyvqRpoD5jCZbaU1/AMKk0f9ll0QQQdA4UUiTZ3ffx/Mso+U8rzJkkJFOksZ0+
B9qJKgt0FRQcpeYlqMhzQS02AFpNOn8+CdsQKydJPyQK7G8UJOmHt345AezSaTAQI2oesbtrC+tT
0sE5J/VIynjJKXHJHCvJ4xtk1/0TAGSEErY+wGY4FpEAyGiWU/CchUU2Q3hEa6WqaNvsWmlTxzvJ
3jTJxjEVYBb3MZ23GJBMXJ3yftWH1bGhIBQ7lOxzUS9jCrcTw/dPRuC8Za4xzez3yt26wH5kYP5J
fUdNeJ7X3Snq2lfNbVZ61081ePRdjGyw6u314WeXrrV6Zw3Dtfzmwt6ojf/+RSc6NVvXELqS7PpT
SH8KacaPJF+o5HMj0GJKEZwawvdf80KWo519TMv1c5FK3CoLfWVtpyUkeXSFurG5+JfuoI5i2F9e
pk9zO/dbeBzGaFI6vFV09usru92fBbW1cyucVCrbkHwo2oXqDKSiDHYQ0s9YSJ4VMKGuCbGPe+cf
Zvy5/Y0e531qW0O0y2DWSOpBi9ffj82FnfHc3YbEXy/NQER0gxOqnJU2sXRnMXC8N1L18ft7XPjC
tvr7+AtUU2Mcl9QbNyKyAokdl0Ue5E2GGN/3t7AvDJB9PmFlB3R2LHU3tF9gAyG0VyLABvQUOVjD
Cyc2iNDEixegSXYpGIk8upGCNxf1cckdgGt1s6TZDyCBpY+ooL4cRGuvoqlTSgs73fgRS7JC1TcH
Y15RzUuamZE4Mw1wbDCi+Yt06dLi43yFjl5U2bd+/KYod37YzKiHTdmAS2VXIQemVRRBo+BZpPsM
iDZ6GU7M/qL8LPHBFN3CkR5z/02J5FM50NoLk1njg8FTUFt2QkrxksCr7rHQTw2O2nWyB1DR5Rgd
dD/zAGlyPA8EbZHe2Uh8RYqXmPWkb93woJa0Y/xkX3aQVDjh0QkNaUYFcW5diWPlwpphnYWZXHPQ
NsyK1kG99CUE7ODc/pB070H3IKps3AQ9WcjuzV+LPGuUYv4S1eyebQ90Qt7WXm7eWWVUHeg/QRdI
ssxBZT1NkQiJrRngqgh5NNsyjt/PtUsC3NbZ2UmWBlnL017bSlVJ725w00XUm3eSIMdJwYSlFmsA
9XNDrql8fSSFPG+kCjRny2FZUNvMKJk5cmBfmfy/gvUPq4N1dohq/aRqPL/Qtn5bSXAw49rV0JJP
pecgk9FyCuj1vbcqOG29sWjsmKoMysFAAFOvY6Q9LL17K6N4hM3E+dpEbx11zLRKt3ULIa6I1PLU
WWQ5auZW961jhmBfW4Xu+Rh0iAAEQPHiAWUXYVfulUX71/r/p5c6O54JRQ1DGd3RnSlMtPgs6izZ
IkNSEZLUVLgWTTdaM3L+UwLZatjZrg9Q8OkPnhaMPRgwG1XwkYrkLo/7pQ4cOQH45uM0aeMX6IEp
LUuxaktaNLBQ2zKnII9woxXME8+8Zk0/7mF/eodxtfoyRzvdcWU1cjKEn1paU+BppvKL+4LadEjp
HwkUW4P5Z68MjWLRDEhkDk77w7jLT0Hz0j5InDfo4b22e8IKsZ7lsJWAKvH64Mp5ISxHEMl5NUsk
N1ZW+EKNEnFZdeI81Z9RfAO4nHn4EWPMTjGFfeOpxMJDn0tv5KcSaAs0JD+AE0nVPNpUCAjAbMaL
bgmCvE4RSJsUPyE0l/IkOaJRaevzqDohUjL4HvjALSX09IqPgHlhF7XOzmdqrxTZgKjTDWLtC20V
bWhL3IConPi4SEuTexsLMH1qbvBSnfoLBzDkRMKDLF+Y2DGZnB2jmTshe11RVxv/apZMIT/OkEmZ
6lRmXrQ55LZlPIVleIDOsI+XJNQ3qB4Dkl3SDFzHS7ESW39uL6BU/dUZfLbvmbbnlmbGW+GmPIV6
v1SX8glKKrrPuH63M+ST5uaaYZ50E32GZun04/nBm0ULqp1b2N7FNUH8CyfyXxWQL9MwGETUseqr
GLfRdZzBIpmOQ2ROSOamEPwnwcJ/uLI4ji/3pyl/ls6VLA9RNN7L3Ul36Rp7gmP/htD2NJ3/xbrY
r1n05XWcGiBIqfbWjesAFi+iva2Cyks70q7vX+JCUmSebS213BR2F7XWjSKNFEiB400RZuikSwsn
Lq5av1xYHcyzfSTVnBLZ9YFCCd3OvBUzvX/gLAHswFq0Ju4F1dYeXmPnWpJ0Icp+VUe+jJvI2qZw
Y8DvjUBKHoVKqdgkFF4Rl0NEpZ3lKs4j6ZWJcCHpM8+Wb43Oqh7HdMzYOJaD/KLB9zavDd2FbM88
W1c93cz7SNcwzfGsU1NAzUMk8ftvf6l8ZZ6tRZaV2JnpCyqSZYZyUVTSUY98x6yn8CiQu+7MwZjL
FrTZHHTNQeno9AYGYlOI+PvzxPDJOfF1RexaQztAFDXVkczxJt0gC3DCKuIgPaBIPGuQSJelYGtW
qryObV/eCpQjZl0NjaWB0Y3oVGo/6ypajTjuuoDNgsGxbuxEQefTdZHCimXnXSA2O43zDgh/rGfo
FyBJ9/1IXCpyn3tPagphZodBtGu9EJ02M236gyKlgoYqu77is4UM2FOuELMN57Q32rkzpNpKUrrX
qLalleI17RUfiEsRebaU0oktBzCPeE9UyPKg9816NkXZYKIaV/agS29rnp0ggtIwIftwC1+LgmUJ
am+S8jHnjQUIzlAsed52VrVTm9w9BH4pNnEC2w2x1xCaVT7MQhbZK3nDpdg5W0P9PqH1bZkdc6ig
YhBsbEBVfVBcydQvDKZxlqhLpmaGcuf1N1Kxw1lB7Ra2g4rMlU914eGNs8Wzalw96zRMAoK4pGqN
Lmy1a1R5/v2kvPTsZ2umXAdJXICPvTFt1GR02flZIZWqVu1r3ITXJv6FhdkYb/5loYR26g/qIHOT
nhKMCEGPJ1mzCROd7NLf2s5wGLTemqB+PlN1ACnfv9uFVc04WzILVGaKwlU7WHAPInnOwiuO0+PI
/2FLNs5WS9ui+1oWXNdTNlE6yumBzlZgW/pzc5j9tWc/WzXNoBZFmo3PLtGbthdBlF7ZjC+Nylno
l2hSWGXClUe9tDq6a+UrrlKXptJZwAt8RBOXxeoGjD9Sw70yA2GMet73A3IpDM5iuKxaz5NUrm5Y
/gTbC1dFIH75/bUvfFD9LIAB5XReOD65A9dThjE0stPTWxvtDPnK418YnF9uPF9CwE9cb2hioCy6
CuFbo21sIrnwRs3z+1e4kIvoZ3EcpO3gIX2b7Uwg4p48uBPFstS13iCrhyeezURl7XViuumZiv7n
93cdr/6HSNDPAtuPAVoNeprtRCBes0gzqORryTKKkVXIIgHXAS3d7291wfVS08+i2RQiY0scwh38
m2gvPwwJlOSpdOoetEl/ZSJc+kpjzHz5SnkQ2Dnuo+Gu1jIODGkRoB1b2K+hBfYzhzV/zXn30ow7
C++4CxxFcyvkVwGzw6+Jg0er20o9ZLTqR+PnV2o6F2JdP4v1IpFiXQffuWtkO3go+PBb18nc1fef
5EJI6mcB73uh53h5Ge50b9EE92FzkK8Zyl+69Fm00zmuJVePw52ENmdidejkzovyyo56IVa0s3Bv
LbJLpWFUkkfU0VOYVCicKUgJTgcEWq+ts5fuMn76L3PJ0MIGOOY49rTlmmX5Ts8mxKXBnXSIa3x8
/wkuRcWvrPvLXXpbqZs+5i4h2lblLGywQkA1YQIDTkgbF8pAcWUFu/Q+Z7EeBXWEHTF3AsgLEp7i
KaxZu5qj9V5izXDlhS58eG389y/v4+A260YZeo6989TEz3FcIXvx9v1gXbr2WXTXieG4XZAkSBYc
G1iu6GH7dXBleC5EtHYW0RCvKk0FRr7Td4izC4hlVL2PcjHXsysr4IVg/mUI+mVo9Fo0TZNyB1E/
oj8GL+/Ko1+4sHo2Lo7h+iI183hXdQdJv8FN5sqFL5Ww1bNBqfw+tos4iXc5hH2Hth3Ya2jKE/Hm
/qhgK2IBdQ2UcOkl1N8nTj4owreTIt6FwHoL67GursyaC3uCerbKCSUdBt90op09SEsdMY6SsnOA
nLp1bR29sIuqZ4udiPVSylPuICS02WtULo6u9FmX6Fpq4ez7uX/hLX6ZEH6ZPL0XUGE2AoYHoqvQ
7yKXtjYd+Wy4ZoB94QOce8lHZtabSufTrVWTx7iqwWhKz98//IUBUsZ///LwfqhJTjlE8W54a+6V
1/zT/QHx8PtrX3rss2Wt1uomhk0b7+reNFDbUp9KXbpy7rz03GeLWY0Yh2cFDLr41OeY7z2aC//0
/WNfuvT4Ol+GpJMBehWhR2RhHkB/CkiZqqMJMoQm5lrozLqx8xdH6CyIrTwxhVczQvAbsEYSUPO/
f4cLS6ZyFrJpgesVemPMmBrQxzZdyEcn3eYv13rJl65/FrmOqIzU9hh+3BOVe/y+RjvjEm7nBLTB
96+gXJo+Z7Hb5Fngy78+sTFJ9tVLfpRu6S1oP7Wp92yvpu4cEOb397qwAcvjv3/55LX0X7NJZjZJ
exPpxnyHTNzy+8tfeJP/YfWOHo6nQGCj76Oi0/AaV4/fX/hSJUg+C1/XqTIzrrJ4Z6iTbA8EGSQ4
3gQCYO9nf68DPTZm7pN35XR+aZjOAlrK8BsMet4jouz/WN5Lt3BGadYss794g7Oo7uyypcnPDdAk
GVDw2ZvP6j1KecOLcWW9uzhiZ9EdFZJiayG38F66t/Qt+tQ/q5N0C765Vpb2W71Trt1pjLU/nODk
s+AGyGOpNF/jXfsZDVOgfBCMUTW7VXUMw6flxv8Qq++nwaX5dRbtoSSbsu3K0U5KQd5Zc0eTrgTG
pSCUzwLdb121j0c0hy+hhJN5OLZVBgdRFOboyVYyHO4Aj4o0odLcwp2bSbWVz22zEvu6yvRlFtfZ
hn3enX//qhcWHvlsUdDNKqu1XIl2BX6ygO5+eA/GiIibwDP4/g4X8n70P35fDCq5hcGOqeEufYPz
DYQytifxk/pmndwfnGK+v8ufP5l67hPuFJklY60Q7yyfyjBl86wsr7zApUufrQl+Lrdg3nl+map+
YmFtGrpXnvrPab567uctJ1pfwv9h2R+YZqkEw19r8g7FyLaYfT8wl25xtgRksoVMxNBEuwZVL/jy
SHuYtBCuHR0vXX4ctC8rfSLSHl9d0uYkoR+37YNl61+pE/05b1Cd83iXtRprSS7dnpDuxlinnHUv
yd33w3Ih31edsxjvisCQ7BZIEN6N3X1zBJszukIf6p/VoflZvV65zRhH/3PRUp2zeI+LABmMiJfA
5w0PmX70kJggZ6YsA7pvmDdrV2bpnwNZdc4CuQtcxw0A4+5AoaDFZdSIDi5bdxK85dfyz0uRfE59
GE2sdVTvSG59bG4xXoHxQ6Yyt8oF4A+0/u1r/coLMXfOfyhEUmG/zLAVmBK60koI48o4XZiw5+yH
UFa6wS3oUTQSkm7YK0vPGYJZ33/uS499tqFrrSQGBwb0TZ1jMEEC5yq3v67872/d//I+suN/Tpnq
n//B/79lyKsFnl+f/e8/77OE//5j/Jv/9zu//8U/d8FbmVXZZ33+W7/9ERf+141nL/XLb/8Dezao
+5P4KPvbj0rE9a8b8Ijjb/7//vDfPn5d5b7PP/7xt7dMpNDTbj+8IEv/9q8frd//8bex2fHvXy//
r5/tXxL+7PYj/z//+zUO3l7+bcrlEIn9LPmf9OX8Eh8vVf2Pv6nW33XTNHTbUSA+WpbGp2k/xp8o
+t91BdEWR7UVTVHksV6TZmXt8yPl77Isq5ajq6Zh6daY9lWZGH+k/l1VWRwcqHaGatsyLJX/etTf
PtZ/f7x/A1h0zIK0rvhr+Vdx5b8XAkvlATTV0g3HgENpG+e9RlGFVlGXWDdk+NDhbNcalQacL0+x
YZRMfaWX8k8gP/lSzh3xUx/wHMDWvD7ktpM9KVbTHUovR14ukqx0geeX8xjpwatWZKU7G/KmmplN
YC4tE5WmBL9RxM1K2fiwtLDfGAnV9F9XZPWDGi7i1z7CkL7HWLuclJadPfldUgfrXk/ztSzy7tEz
cjTMDS261VscmUwFp3REinP+OkQ+ZSjK8JDlg/ng+n6P/10Iw1lU73qvcMXKwPOjMkILo4FGA2qP
Q1ag8Ldyj6y648bpLk5HkmRcH/wgiQ6BId7DsLbQqUBf2YSktMZLB2OXuHpPPFd6CtKkPkAmt6ZI
V2Ba1uGi5xsebDZfatYJ0sJ7UecVOqfBa5PAUR3/Umq5okzF/14S7XtRuv22yZ34xrN55Lbl5l0n
GZ8FGjvQ7CKM44bw1fIYwMECT17aKOOQpPEafmqZq9xnnH49pd230QGktrVv+/y9DfirCEV3L9dg
slcCbffOMEHMOxRspdr41EM5e3KEXg5TX23rg1DQlzMqPzpQ7cNMQPG7WW1xhc4yPvmqKA0qJS8h
S1JV4xSmKMu416MHTWaYw8SXF2bdtGzqvLY3Pnit8ry9i0ehgHh0aFEvYNdhxu0HU+VNJB7fsHLQ
BqLCP7U3Y3j3pR/Lq8aPu3mq8AcQH6x2prm++p4IrtlGGkoV6J6EKBiMH6/oa1RPRk2acXBD30bj
oUvYx/LeNT5DK34t0pg7au07Xt2vJRpa0I2gzo/Dmmo16vc6r5z2DLBWYJDrIeDVSNzUyj3z07b7
8tPQvWCtZXyQuPctbNaqd61zzb1uRP2+l0r9p5qh/+/bzT6qjfaY9vjDNBW4NH71UXbloxK7SKLg
la4iXwAfG2xsEd+VbCfz0G+tgxQU0Vap3WBpNS3se1so9qMcKZiouKV8MGpE9vJKs28SR8ba2nQy
nGq1NlsolsnGQdjuiwRUh5x37tY0ZG0XpQ5GZKoonwPg+ujBdGh3aJGPB43WzHyr7rCrqCzvfUhK
Y5VaKS5FBrDKlSVs7V2TMx1dpz7LUWgVNeLDbmnMNMjW0DJBFtuZXX9Aa41xwHMANXudM8DpxPsG
dYbq0DLh7QzCd+90Sg5qXzOWlh6Zp0Jutadc4JES6kgaA7TzgRVqvf/iNQTCMJjl9v9Sdya9dQNX
Gv1FDFhkFYet3vyeZlmS7Q2hweZYxak4/vo+LwkaSAO96GVvgiSGJfmJrOHe754TVUocU3eZnheI
jfc89cN7lzkC/ItsR9zkLSyM1k3v+4AR8nCd3L3Q+QRfsKZ+kIqg3dXe5N07S5s8x3WY8WjZ+HFw
83LbFkxaBG7r3ZVLvN6npFVuuAOBRSlHCw3QdQFJjQWKig4fZWrjERO5CzkzMWl0yH3EuuFUBPc2
GPwH1yTTi1sn2b6NkMSvKkzPVcPAP5LxObgDvOB/ar7tfpkrdWLq5GsIg/5ZsFTiLhxnRXCDNkps
4vsg952tYeoPozQMfMPvdjeVpoMGmDArnDQtPyEDCf7IK+G7scLq58mTQzoDyoWezqMj3+o2rh+z
QYj7Atv0a+km3dkzjvzsMbNfZwGInjoB5JUbDZDvDOcvQPiSRlexh3jt3SB/j6tQvQ9NAK8KguCK
MfhHmJt6FzgWX7LvMD8r9ILdaSK2Ohm4jdL0yZvynCtL1S5Ym2v7OJBaOnbXkWYArHCPJr+0GCob
qB6icO6CLkxwBZK7d5MGyVDnDlCfg4kx2b5w1n0zrDmuLbBP302T/OksODBIdkc/E+F2Cdb8Zejz
mJnzBn9pxLtPYNEpkj2mlR5UQxe894XxTsIaHG3dXB67OQt3/eB293z+AOkk6DeOi8VDtuRmH7VR
+5pODEMHs1DnDH3cI9omB6ODhajH9BezeGF+yVZmYsZ+iGGVpail55YIFhL4Xea1sDa7EUhk7YEi
hXf/sQ4e/6aO2Znca6ERrM7Pck1gms1kuXhVGEc6r0B571YFaM7rPO80mBkcQm7pzhJ5BpUtxnjX
6jneqSE7cm7n9UaE8jXK4Q6SDqQ5y783chDuzPM/E9AjZNolPjZJhXMGlEJ9qbT2gUosTE23Nb8O
kadMPDajL2D9xt2FQVuCZKLzeKCEYhTUbZAiKfCt2mW4Z4kTBsFcCIfd6OqdM0XTl7OkEWeA5keP
A/rU1Y1+7Zt4fXP9OLosc+peXwn/PsxSj0VYLh6eKtMqZuUCWkbBBCeV6fHlqFZHnWbqZrfJggDb
V+G487yk2gZRwDiaAzTZWwUyKKNhfGY9QEB+kJ0TR6ytbs0LEbEhd2MITb71z8GYxA+eiu1ublPi
y9ediv0Ot2smiycnTZ+rYVjuUzXFl5wBge9hEjVQJsVMVG1+JJp2/yi8adP4HkBKsRD31jF6oIWh
5KSQ9b4b1qutrn/R6UJ3uw6ScK9LKCF+l+r4JpqZqILC3ffHONHeJTKB8+TqAC8xT2oIE5tBOLhN
aCaa0v0uoiC89DLK3rxgRjHay4u7jAqzgxzMPla5fqr6oL5dUha1oG7bmzZZoXeqvH72XQ88QCfI
A3pNDqGsbpmmcwWq8+zODWT7lIfUahF487R31jsqvv5eOfpxcGazzUczvpip19uycKYDA14PTabe
yoX5O8clSdRR2ad7j4Uso+Uk2XDl6us73lUsjS0PcR/J8xRia9VNgxWgax97nw0g196PDAlaoNdP
TrBX+1We7etY/Ub5zGNqI+LPJA15aXMFbw7mbRNWL34e4iPtYshEanbPeiFazvnG2TCH3L8lUxZe
WGlwvU6+2NcDDhOIyyMq+7n+DSGDOaQkyjusBmI+OTqRD73hOsgoQfycNzFI7noasLpm698u7s7d
5I4vQvXJQwtdheGiaMQN6tGIT/1lq1v2uWCK/EPRRvVO5W139GqnY26i8nfZ5C/7Ygn8PSFZ+eXn
kdlVTFy2u8WfofDb/jVgc7vTgLEhRC3COUlvWBo8KY438dYw2BlpJFrLYtzXaNbB1yKucxocfDcq
7LMrrqPZLsnQQ/CxLeDscN779Wz30Yj1zx1qxnBI92WxshWIWr8++8reZSsUynGogl0fuOpcFEYf
6lrf4T8ooSMH9nCl19w7DusE2MPg1bf6HZ/kBAgHBoUNJZJ6DQVGKdBjObG/HdBhzJyVfzVVq+QG
psPT3ILy8mMwgGwO80YgLthiIQCVUKv1WBs8uauEDT8ukFEZn+NFy8b8Mrawf1pQIzDVbHQlIuJp
kK37vWRlcCj6eLlxe3/Z8W9Ktmk+rBcFcOZx5lBgyrb9SgOtMex1v/uYCriUS/G0cl4B6zHL23qR
nIbH6L5R2QPjMBhIZ+oNRW/cF2jXDzbIYCZ6V2saZOADG4PFvxN6426MSRHF8yp/VexuX/gb4pNp
Rp6u2l3FiaEetMFusjSs46Xj39kycRCqKBXhWRyHCc1B3Z1CWfmPvLHNSaxS3UVNB/2rFTb/6YZ9
eatctCLJiHFqsyyKwo512o+8wcLZeDVQypUlZeiF2Ih6JFWBMvYSRZoMUtfkqIbzfq1vhlG0z4q6
+ZOOHeeX8LPO3TDflBwmvx+x1q4+AgfpmeVxTFvnmfAeCR8mt5NPVZfJkTNh/6aoH18RzOtycvJe
vnIpVg85WWIAS+jOVRAyT0mrys6AMqLocYob9xg6LjqWztj2aWRmGLRRAL39pjfjcII60Xz6gQ6/
2SjWk8rHEcxakGaPweitB1vz5GUiGpA3TuHbNBfTjtnSqwlsrAVC9QqbYxIXj7lvaKZ6Y+/SG6Z0
f5eV6k4grsCZ3YMd0i0glV6FjAMWHiQGrkrPDhpxGM6ARQYZgbfXHyUp5a3u+/ESzWhgw8x2mzmg
1ZmOOb7nVP2cISFtJke86gDggAnH747/a5dqoKRpTRRjYJ++HZKSuXKH24lem34HpvrDNgW2RNi0
x7RDhiNTt7odU/tRDpqBCTE4+3nkNJ5SvWG9W7JvlLwl8rrxOVybQ1SC2eFnfVsW0ILeVJ7TIUBT
Omi8Dxl4yFiD4J5HBeCuz++kx7x5GXQlGo9F/hVxI56I7+W3sVcAeTUhh7IlT3ez7+ojx5+n0Cy/
F+g5gOdGgAC8r9u1GJDqTElwDoVKz6a1zq70pbfNh/Z21vArXC6l2y6V9aFxsvW+6QYUZ+EoAEE7
HcaVBR+xY4CDevZ2LJdv1s7yZjVZdNSh3NddBkog1ntgPW9Jp3/Aa3zRVum9DfoSm/DyAz/s1u16
5rDG6XXWYQSkE0ViM2XrpdZF+OgviXl1ZvgAXui/rcP4K9GreRyIKHIPFAnT0NN6B2ac3Xz4zhtV
70otPkEkoeMY4nE7RIbjVncVTegCdKS/dq+uU+vbgn/bqea8uwf1+EKJ4UQJHgobBJGfVV6QZ5/X
ByoIzPXm3Scxu09zPUvlDljdmV0yTsptycmWjC0A31mVv53SFBsr1EsyOX9nwzO41g81fvZ6qsd9
ME8ABQGlmbBfbpMkcM4BeM/9GjCJ5otmuyaAi3rD7PUgnHcxTiwwDviuASNJOZYAX11c2XFfend+
0Yy7dpX1mZFFXDNuo85OGVGwkE11iNLinmOpuClcCaeomJOdCztlhysIoJ9H0ymzw62vxvprrsOF
4c7BhVCmBJJONjkYiPP8gwhrxCzHGP+O47jfjpFKd+Czz63rcduP/S+Xnes80RPx8OpFVX1XKniJ
cUsQq+AsDD92+LtYeGTTAu3XOuCgknr1cGrFPMeM/RdB/LuW48vayat4w7vL8/gy5uPfSQ1ffhqA
vi7PXsjImeBMkVsV39YmueQ1+yaVnPsMZ3VFGcjx8Uu0UDClS6567qN6T4nwzVTOxYmLVyDz051s
Fue5SYpoI7z6b1DC7Oo8VCnrKYWHhC6dm5xV5f0wAD7PhqaDGpchPRQCJFX8DsUv2VivPY7wT5qS
bS4amI+oo/5cAa7uq5Lj++QELyObZMkDgZTH+VVGM/3XuJRIU6afE5PDmqYjdpTgPg0mVFQF1D9n
qA+JDB9qhzK+BxXpxi/0ALoDPXjkkYNpI4SATb/+5QHH4lUscBxq95BoIMWp0k9+LLFjxmAxGfGk
AFC9uiIFRuQg+wJuyrb95tj4thmq+ey5wx/qc/C8muVXZSTOKuanf3hO8q59Z31qCpeqcsdyNfU/
hdM+1Ur80RIuVxx/TtBBChndjpqbC3MMlR//TSvm3xvO3V7leSjPLY0yxC3rYD+yup0u07rytDU+
uo6qx3gWdD8bh7h1KAQKL6qQnBXd5DbUjGMoxwe3mmYlB82+2pbVlRfXtTE0vuIKiNLMRMJojP0I
WCVkqEo5h7GBCtr7h66WZ20AInpOcGzT9dusGEr4cfqbsl0xnba/+DBfrMmOta7vTZRBCsNaPPgV
2+qALacLNjpzqAgABD9WzMfvK1MHD9fB64p7GqPH4iX2oDGIdoSoTrBtdZEP1HmMLqJ5Ljmbp5C9
qHlybarCR1slhzrWwEqDU8ecc8CtAkmbJpwVdOc5y98qxmOcBUKuHtKPoPDZRDAhR3o6UGxKXkM7
VRsJajCZIEOMY4jmXZknZwWuTQCYr/IcrMWDl3c9IFB1L5PiZOdu2ixR9Q4b8pmG3CZP6gtoLGcT
A5+si/W1WXF+LVmOyqSkmoFE+UmzbzGts7x5c3Z2q+RBDjgnUtCgVZmNkIziU5aWCRjsAbJ9k/7w
DSFuNxh+BUl/4T6MnMFoZh1rkR0blrLD7KWYnvuQpzfLKAkD/UJyvFbhR9d53MHLIt7Y0Ingg5de
89w34ytFQnHoK0ecs7Ry4R678iA7nEK7KC8nDxwGs6+cY11LDvYKqzRtuPWoE7MiNxkFyNUIPkI7
GjBnDFpV72ucdqcoatf8uZu1Ydw6y74SIhi/qIyhZTeD9xij4Rge2EzUcI7AWd+IHr4gSg5ipbs4
5E+pO0rkG0uuEtRtQARvhOcN4EzQToFBa4r+VwH7GZ5vwf+OJdcSd7DToTOBBiljm72JWy7fFsnD
gGhguoS9j5l9UVFSnWCYEy1S/ejNB5NBwqSSFqPHoYDXp1sndv0Kmxf54ntGoVPv3gtFDxiaB2ZX
TENuMYshEIV6ykh80SgwgVlkQHQOViOJqzgf7nvt7azpfM3g01wm226BlsChr86u/OQufKIkuLp3
i7DoJWpQtkwa910FwxhNV1NVoADC2OvuR4hE4PNTk86Hpm4oMaW2UliOI96YDzlwYrnEVdRh0S7s
OuyALLfBwYKYvg/jUC2gYCZzyKTbnVVkvBcRwfzcTCpM1HEoocmcmI6hSeByTdA+/wDkZhMCIj+t
5bYnNJ794QoHeN24/oSgKQuurBpqurgPVV5m3WsTdWlwaZzyE4S9Fr/NGmPYzPopiM4yW8ueDv5E
GX0bRUUPTagNxl9eOLfZ7VKr7punt4t3lC9CZuLCpMo4s89uNj3JuM97CjMVpETVSCqxZTcBQaBH
skWQXYyPrQ56/momxdbzqFXP+Tr2G7wh63Kcs6Xg4axr98szJXW0dVaiPw5VhgS7SHx//DE3FMJd
huLiQ5rzmzp6Ngi7w6Kgln8PgW4b50lzsb14qkNtk+Zu9CZ8akA1VXdIwv4aMim8jt+mMOljglgK
8rjmz/PR52pqq2V9lFNEUdH/bFc+KjauGFvEUro9/CCRyyOXFZ+PvcVbj0hJ7OprsZ+n79Nz6Uqt
29afJwSilMRjU5mFwyi+j1/0CTr1nLtNOiPQMLhx8kT+XfQ4xBvK7Vl7W1qbT1s+TL5pIpapu4/n
pvizGpD4OAj6pnpAyuhsp6gOxaVY8pUUH1th9uxVoffQJK7fY6dz8RjRaanHXW8qBFuMXlds+M4Y
Ytlc12F+SzgGJi+QTVBDOFH6XOSRxxQL5d+g3mpc6yMgs+7bE6KhpNzTEOAMohHuDEVWEuzr++6n
q1O2b67u1dvKsr0tYhSo7zpdp/DdBLJAf0VjZdou9QhdCsxhiRsGaB9oQRsUN01YxD8nBXrgjjrT
6+Bdn4/JSZoPnfaGwf9RqAi8UMRak9dYPxqLi+gtn2tHsGQZtz3Rh0+xG1QFukN+La9rrdjzxUCo
JmyG4qerevUxqtHeO9Po+Eedp15DPbls0UsnaRXe5GOdcZBqzVOUpqQyFNxLasipMyCV44m6gHKL
tkg8rtaKiLrt9nopYUbYHvvWuawuA0VT5a7dPhtY2KmhAr7K0jo/EIGPHrmd5zdA869Qx2zCJ7LU
S8PrJZu5ep/6ZC4PcipdAO59VhS7ifpNNRw4uwFmELVtbz1gmNy2ioCEwaacvb6j9ChkBYayyP1t
RNsFkJ3OdM51chjvMn4MprNSaRKYmgKkucqC4E8yVj31h6lmJ6q4vAIpCOPqs1JGLpva89rvTIUB
pALmus0m8LLmr1pT8eC0rgQ1xjd7jpeATd6HQEQpzxTts0td1b0UZFvKC+VfFBhJ0oCUlhKt7TA5
8Xg2/NQxkLwW065rKRgUCYBQGdfZkxy9cJtJHnc4p2EabRimBdDbAyiE1N93MUNP4RrSn0ynajrp
NtYO5Z6SQfeNaZwYYdRMrebvXF8FqJgggK1N+Zb3bxMnyYK4WeiTvy4W3ooLNcHG/cGprbnFylDs
Ld1ECAgZpIPG/mDdh7Xg2+JPr1q4f3OfDGxnC0LZBu2prao3QYwbnOwJbCj33jwAPybmDux2FG/q
NUBrgKrtiU8Td0y/ACjGJAfC7ymsEV3mFTWApGEE3Bn8LwqqV/67fWerNbeSin62ZBJ6Mh6sGn74
asWT5QT23Q0sFg3dQRtLfRBTT+cFTlXA9fsyc4rbjlOQ3DaB/6I7VLG5jE6MKnjbUnmEXIzhYFV7
N2UIN3Xl2JYxeFyHEXhmXGhoxhbuAl3p3wwpgrS0bPdrM8S/ltA0m0q4+Ishauz5/fk/1qtcQgfR
jzWVOKNaSgI1yoPcYRmjwLYL59FitDDRe8RejbFOACEtZlf8U3/R1Hi1+q5cVh5UVkSTc4zt6hWL
Q97l7w01HM7DTV/dwthpf6hR6btsSV91KyElL81bzBUTpjLaECfcyJLPFxz0ovR9lIQRyRRPBaQw
2kQgqui8BrN2nG7WslYMOoj5sQnL8bxig3+0VAIO1uJySpMZHWZ1CYfpScF1xt7zKNfmyJX35Lgu
OmFZSGJ6ziOn+24zwZu5QRb0lCQ+60AZgi6M7QwYclgQsnXxs0FGSPV22lt/zW6o+N66EQA3JxMP
g8uFNGaaYV9KGD9m9bgvyPJzLfpwb+bZvLhjySxXM3ubKQHwS73S3XCVvQyzWwIIJgUgXRcGX2AD
EMJ9GlDhWBl1yWMPq86SefwO0+KxjbmzZZ09pG5TPOkqwGgsOJ54CMdFtXO43pzqvHiXUm8n26Zw
bxOO5AmnljN+TK4oYqjfKPZOH15ecwuwsJC8KMeom5UX45e/0b9kz3Pl/Zpr021srxwkDjV1vwna
TNClO0zZe+i33mkhEgFMht3JTZ47AXHTbcvp2MtxRezgD3/iMPkWZcaRGn43tCUqm5XfvAFWkqep
V9E9sQpuEWtW3VY44K4V02br9+mpcvx5L13KLp7i7BMLb/1mZQJnF+Qz3vrgr4cHjs5N/MPrg8fF
hCfHWMSbUfvU9T7ypm6kWqszO+89k70OkDM3Sk6vSoF/yixU33UZyc+5YfQgEcturFw+IrQat0it
io1fyD++pzmf+oBrI7FSdcdxvOdXGkBSpCs2zrMghlt8hBo8ObVkCnbeQHtREbb04MSgMJUv1Ly+
K6e7AgkRWrt5Ybfhst7ZlhDyOpMOaJYQN0A4s+MThKCLyNGdsclfdemFB4mws13UkaIxlM1Z/i5g
jB/yznkZy7+l8W47E39FA822wIMZ17NMA5Mx3Y+CoUV8LvkxFs5OQG0fXMu93TkvOnj08Gpfei+q
TkvtezCwkyftjZ9F8VIHxQO+Il6MWG65RgCVLe4lkwpbBC2PXto4R20Xbhy+/gw7vG1opyjvzO82
N+O9apU+OGEBG34OP73RbqMwPPouvNO6fh1r/ziiHNOVFV+Ja3+meWZfK7w8FLg4rZbxlwrGeYe/
ddPZ4FfXAprITbp3Fc9slsx7DthnWLdqw3KcHRnUfAAYVSG3T7EFD8t6tt7EPHQ1P6QZTcJkZHZy
gNfTh4Lii8D74Zf4N7GFg+ST8+3cuTOq2HgfTDT8+tBL9Y311B0Av0c9zNODF+QPoNNfozQ6ZYXM
t06jT2s4XG3LwDDn8TMuGq6uOgPQ5RT3qiq4a4fda22zs+1g2ZQAMTkGli3Ie9ubr16Jw5hWFmE3
0VmwaRnge1DbXvGWhu3BTxsCEfYpdutLL8xDmE/HNYqxkVdHP0fKXDfBpXf7EgBsgYxHjJiDClEx
QpifpSZzUGNzH8n9bMNOYGjmc88ii6oevVaH5mJXL85+7eXZDuWfYvTuy7q9xKMUN2Vkim3hBCOa
Bd6BiuBtFQHUrov5U8wl5wdu5rvEr9Vvv6QJOmaouhPaM/jSompTcGXbtNqDC1pN3r5z5umGDsf0
HA+pfxonwTVfWJIbokX21Y6hMgjH5W0wWHHfS3YwL/NW0GYqGcCZCatUlm+nbrEYBojDrNSmsJPW
F6zE4ibOJG09F24oF2FzEmiGuFo6D1NV9qjjiCOV/GDVRImuYbNZR/VcqfINL0u9yYgdHSOmIR1U
sexPNFVZR+XaIj2A14Ez5rq/YMgUGcTN0CSHOcqGE6XY8UF2vtz4Yeg8DkN14/cG9pJfNptwUO2t
0VF0WxVQZrNyespx26xU9blVlB04/UEehmSMzkNvysPUzxfrd/e5UJDFl4trVHjjdZya8srFeFyj
WilrXG39JPWT9Sf/sR1BjvPxj5uoTG6LVOzaIT9yTaHKOraHMmmgw3bTzdx8evZaNims2Lj4rOQa
oTpU3cmGE0S37pYsxp27+qfaVm/sSbTe5y0D3K9NhY18HqaamgUnbqAISfQto1bhDg6sN6DL7dWf
Sfr5XRGb4pZCa3yXUtk9Z3mL2IpIcrNNRiW/A58TXd7qv2XMxkkTTW+1yTnDh330JDgnb6aFSzcR
o3jL9hPdT1T/bsG16H8lsf8dc/yPyN5/Zyf/Z77yfw1P/kfg8qH5Y15s9+ePvfto/h/ELK8Z2v89
Znn4Q00i/49Q5fUv/CtUKYN/hETc6Qz4YSAxWf13qFK6/3CJUsZRFMhQBm7Mn/w7VCn9f5BvVNRW
Ao88ZnTlY/47VCnJWxKAZL/1hPSVAgHwfwhV8qP8R7g65Mv7/AcC9yDyAuw8/2PCQLdFHI7+0O3W
yEI4rpYCg+YUNsFbrnppuYIlbr+hve4H+0B286s3VtEHPzHOkagu4PSv165lmQ3QMbxg9Yaz69Kf
u/SlH/9kfcGHZq2OS2p3cakOJi0pO6t1HB9myPjtTcr10bCP9hFqlYDNp4+BIEFhbJM7E8Wk97rJ
YqHLwtqpN7oMG1x77kRO2DJbf4ODwqP6KUYye2NSHHOQ9rdhZ5Pb1J8oQElVtH+pFU0st5n7sa6L
n+LxjspfNWUEGnVLNZmbsMpcjs7l/MuyWr7GpJTyQ5ZkjFsTsEKIFTBaSet+kiGMYIpa8L9T3X8E
ZSu+M8PtEUJqrt+pmsiQpZLvfZPYFTboLKBHbYmEUHUV7FI/uTuuF5OXQUAiSrQHJMAP0FAi5jUn
Ov4kQHR50KQC7rtK0YKEElR8Z0VJ5Sugn3zmWha7NCZtGFAnWPAA87HSlKX/dS3Wdg72JeVTL7qC
1K89aCfy4h1HPT/ZJWZozD4wfkP3IidC23An/y176pZERKruiXhv6uz83q1/UkGj/udSxsQv5Nno
gXsNANuK6CcQZI05/WaWGt+L48junZ0q/qzmsURw7F8TR72exMfoCE76ADSjZFtyVz+PWUfmMSEv
514LlzqjF3I9SAKnaa++t2F9hOsk4CgiW2qO6N7Y42ndG7l3Jpz0pCgmiLEuPZ9NLdboNULxRRs9
8xgzmoerxzSyYsm39NxzByV2HGI5lE7Yntu+4SxVKZcKJcyVVm+aOu6HzciF1DvaFiUK4MEaZDwH
wpEGf8YX6/Iu4mJJ+uAlmmz4bGabnQzf+HlO5ozrmmf8ZRP4PGM0PllqQ9q6r3PZreMmRA/H7zwe
NJ60zBSIC91QflTp4rKXkzK+tGyM3W4JrkuxFyVAoxVxJr1TuvFpWaxOBJy4DugqTSFyLq9JBBM0
lRNA7qPfzKhpu3DPk0CY1LGOOuZBF+Mbusy6zKBPc53+bewc/2ocD/mWtFHF59PLnikWhIX892q6
yni6+LNbrzfGdgDnnC0N1SPfCEXiuHCPVo/QLqei5r316SACSgyyMNvFzrz8xZ+b/wqHldG7cLQW
3CKNt+XEJDVTbLHLEkGPou3+4kip/E1RO7LcClWKdDsCKBE0cJy6woWRqHcaMKbc+HKm2sPtnJ09
pOr81pu8+luNk/Nb97ZF/dwRs2NGIKjp9fTTvaKDDya6CZS/GfqaSEfZFS0h77gDEZvkInuPypis
1OS3gdiEc4bu1dpsGCCTiRTsP5WEdNtz+VNc0qOVVKUwFNnL68ODOoor5dlIS01e2kxmAMRHJHCN
nHhPVeysj9Q68RC23JwgGUeWjBrv6NBRlnZMsjUIVtxTwD22ONi8Y/6pqSIZ7uuV4Od+cVKWpqCg
A3uErJ7T0FsItF+rTVhJsHFzbMplo6mwNZNDRWwtwnGftHMV7zlOyJ+UjTlIRdGcv6lh8vE9DEXB
ccpNh+6iKrnOnNat/RHPC4T9ohrL4Dg0jBXv/IUwxz5xinAi0yPwcOne9YsvfpSZblSgsSm4QS9/
z3T3MJrN1fAMFDaF1tY443Ts6mH1Dymub/sMzenaTHQWFTx2YjZUjuOELJpxhSz309RPzTbUffXt
FHhXirCN94UG/Nw06VNc+DMrcDsUAoR/SONyLJsj/pT4hiCIQh2e8zslRsbvThE3ThVlgYDLD1VL
ebvWBrUJ+cUWc5zi984R9RLVC30VfxfTaGpztBRCD/cleOyAd1g3HC2R/OClfHJViZagAPDUDQd/
4BCcUKqkrm+PI1VWPzKXAH1lXCDPIzSGiq9FCZ82l75TP7kwfy+9eZlLnze02ZPI+xDp42jbO10u
QCKXo9+T4rcF9Pp4t4yad4HFKq0e5hxteYtGAdP81qq2PYbd9GMwCQ2cIic9SqtuY8wzQXwIxq1C
ohfdGVxhgD4U135Wl+Eruvplx7HeTjHfrXJT7l3TjZ6SCEV68a4WP9vb6tpWL6qtl2AoWoMbMuly
y5A9stXlnK9NeeZw75wjPfxIS65qSnKKJyxAeJ0sGQEunMCnMoWdl5noSHhwX0Xjcy+G04jhJhYN
Cw98VjkTcQPca6ZwOfH335MuJdkqe8LI8gUW/nlEuBqV/m05Ltx6ojVmoV0OY8vtxnH5sk0qn0jS
f5GWNzs9onimMyNGWlNd/2ZQTxCt3Pad3TnS22ej5P2knNK458qIyySoX2sjqAvLB6rCPDUsN25p
TmnSU8miB/ezc6jCF+WfOiCp6lbHofCO7hK90SSEZrtm9Nt1VL6trqSx2DwA7t8JympUHaB9cBch
cavzXTYXNYInFOiZEW8h1U8Q19djTGW/8hpaFTeuDSH0eDPgmAudikZB+2P0ip+spRsVxBmlE+9p
nFyUCbZmAciZHZWtRHrKweelDesL+tIPr8reZzK9zCoJ8YMkx35QGv2aj2lOZ1zwiG3f9ZPLjTTO
NoOqZ2JPfM2GF2hXDy01csfB46CH7iuSV10vmZm7SQhoYPNPIhoID4vgD99uW0TlfZZ3JtzaUcVb
rRIOaFrcFULu/CxpDxFnja3XON+kYLemIYhXrcnZa7rmpZch5xK6aOPsEP94lAWjbMZ/LgBkElzG
z1YzUXoNUslfQzcC7SxBtbbQZCGC3pRmefLktNcFBgqDrspE/A4LI1HFYHnr7rt0TE+B9O/NWm4a
x55o8cR88vnnmmd3q7Y3a8KeMeNfDdQJtsNjaNErT+ywM8pyo/0XTxmKtRMsa1R6mcS3ipCuoVXC
9XhBZUKV03pbWScemDR9tAPORKe8W7r0UpaUb4T+L/bOpDluXE3Xf6Wj180KAgQIctnJzNQsy7Ll
acPwyHme+evvQ1d1HyvlI0XV8kZvalEuF5IECHz43um+NPQhTXYAJKUP6N9JDhntI/UVgoCGMDsn
TBr+Z3PGpSv2MqJlP8UZEXFt90CF8YG2Cnfor/jpX6v8dbLcWkPLcq7eDItz6YZMvx4/UwFaQeIT
KZMn5w54z90QvcvhyRhyvcO2Pw7+N3rt14uLaWQfhjd5q6/sPj1a0KYDYu7ghH2fUHZDqeC2GtP9
7GK4Hxww9VmHL9+uxLhZRN0hLUd7P25DdUn5CSbMnaoj+LjElNJ/o0MUZeSijuhzsHrb5b57zAml
jRGNfM2aBa57plcoHYqIw5ZKxF77b2UHc3baArHXgfq4VGTaF7fIs67I4CihUbCddMmHghSJPY9G
n2Mi4zbTzWfq6vHcrz7P0qobxA5Az7Rki/iT6Zmgi2i1zTcHmZGYwibmUtD33iG2bLkBCp5dHrEf
a5fz1i2yT75N8hDR1rmXHtuKGLak6+2YoDd3mkhvhvtWZClnQVcPCUAYlOJgTBLYSdgdqa+tTovP
QhV4c6E1DuuDa0LyTcK6wAsm1BDfd6osk3YPc1Wc0zvDf8afXY7E3kh4xzU8hBqT0QpRZ+dccn0Z
vvNus/FCwr1O9m4STmQI1Z77Oo2K4ge6EX/dFaOt3sBCyLctsSF5PfG1eC/6qiUXMU0HiKsu2PGt
Gyb9nfFpAx26fFRvahnB4qlqf0Ot5kLJXbrM9Tc+MHuFtZ+39rEA6inQWwyQqzAz0Om+Nj2RMoID
4vU0gTbS9+mXV7lVgzTAbUCnMQOJTuccQLa3hx2Pi/ak0u1n0orPL+3aBX7Gi3WrLf1cupdVlhBa
Dlh6S22yNFf4uWeHolvMN9G7HDZ1DYi+m610/fL3pZz/f7YaNtfkf99qYH/7XH571GrY/sKfrQZL
/+H7KDB93wUJ4Cq/mef9KeC0hP2HKzzj2cJxhe3RdfjfZoPWf4AxaIcGuTD81S0v5q9mgxZ/KHSY
/FsixogW5Y/+RrNhU/D+S76plbs1QHzaFsYzrmtOfQZoUHZdt7R10Ej50RUa13LAtAMBjdaZLk2x
/+XN/NWN+lUwKh6L3/8cj19Of5p4de5T8rG+PpPeyrnJeDQBiecjsYI7n4zkkeDAEv7nCNM85IM1
jiaADzuyD623WLu0V9VF3ZXLZT/N97OmRAJAhuM3yIx7dIeT3PM/lPd7+l60LZgyruUCTvaJ8tkH
IFjLNIe5YNpPTTXFl7HT+AGBvs0LDkVPZ8BoVgejGd83zmlsiaDgt9cOZuHox80ZIIl7JlPPHMbU
qz4ZsN8XnuzpDBgurCwcweoSdLIez0ACz7NoZQWXGP4UsfOroltbksEUZ8vNMJWEsDqW98K8/+Yh
CcpkNOharpanvn/sVFw0uBMHpcP9jeOxhgeWkfoEwefcqawfz8+e3JbR42XN2nIYyBXQluBtPX7I
vmsjzmz4twrWccKhmo0PscjIaAdx6D6k2DFukZDCekOjVvj7cG3dN8Sh6m/GrrBvmmiEQMleWtIk
SXqvDDFaNCkCnoEQaihd1kPni/ZrPJX2J6wX0OPVcvXepEUlXvK6/927Y4E4hvXoSmVvS/UXS4o2
aUSuY07iebS967Jtt1bUvOKonFUH2Gru4fmX93Tpe67tYDnCAoFZKE4+UahntbG3hC9tJ82VVYXm
QuapfWib7iXb5m0aHk+TZwCvlKtdYE7cFh4/Ghlzs9cVVU03PMW5yffTc8+DmPH8A514YrDpsMUK
9kwlla/YPE/6qXRaLZkjNOMOQQmS1j4Aehp6X2ZkbIesSiits3CmK6DXg84rnPhreg29RKH7/C95
8u15tmRpKT4+xGXaOXm1kXFbiysDORUjmigPOByKCdThfCa0o0tmZ+9Evrh4ftDtg370khnUQfRP
SB1tZXT6j1+ymdqxATAlVi53gHX5+pFmwU9QPTRjJJzRGZdEb58ndfIPXrzU0BK0NtBvbe/kecVS
ONpKeN6YjvfOFqEPTAaMH1rEzLdWJILJlxK1aSuvhrGa914KpdbDOPqF/ed3L541ZrOTkwQqTv1S
xRBafVaR6J4VCezSpLou0iSG5NzBG4h865JYvPb877535bmurdhuaU+Sr/j4vbslxOsSFkNgdF5D
c8T9b+1tfVni3UqvsSLrtnIQfY9R+cKM/2bBa6wfOM3BEKSwTy0H+5Dm6hS7VVAhywn8oq2v+kHE
oKBR8m7ecNkl47LZW1l8SFySf6IBrgTU9+js+XfwZC/x+CGwM8BZhEfxc/LlzVxjC3S8FfPM9aol
kTTQI13EdPJe8mZ7spcwlCNc6CZAMEafmqhB4Rxlr00VZKWXnTd5Hh400Q0vbI5PR2EV8Tkp4RvK
r1PzJ3wgYiyrJ7g/tt2eSbwK7mercV9Yrk9fm8uOxV7lS0VpeFqV9WKavWjtyqCukb6MtI5hyGbI
3EZSZJ+foadfBmeK9h3gLigZFJSPV2mYNmM8gOMGKKbQ/0+1so594rmHIoXt5a9AtuALXfaCLfLT
TYkDzde+ElKzF2JD8uhQQxVpdaVEIt8ZKzsucPyvCG8tr0cxkTnfS5J6aJFy7XxpN/R/omeP9kPD
sWZT7HrCNqzLkydetds7TV4TWW4Z8sajFKWr18jhLoGxumk+IE9VA6y/XYc5+YXr5M6HEUD4qmqi
gTlQhQMlZPFGcnDWFPRcecj+AhQGpDURerscEuNSdDR+uXx3ikZ/aMDhiotIRfENmBNqhDmTqjuD
w5RdZkTKobCmvf2O76/nLqcRIZzFngenIFJa35QZ1jgHU/byskYp/DoNfTpwHeGsZYD8F0d/uvYA
Bd5SpffzQLRp3Y3258ZbuBnWIm8tXBTaBFbN0vn3/Uoa3sHpy2U9SAD2HC30LMlspZv+Do553x6q
OoNxLqpkPDacJ8Q7tbVPVweunj5XQ219DZNZv6Nip5tMKdV8IBylu8uGTlf4v+JyYaBTvl5Te0oP
4xTZ53TbHX2dzEX+sap6LCG8xG6+hHnrPajWNysspcjfT44zE0Fpwp6Y+EHPw36aQvsrGIH8qDau
7l0jCa7cx0s3F7upyhYrIO4OwmcRrkj8oyLZ9nQXgxjMbRUVHgpn3KurJhXNQdRxQ/MbCdmNKY18
aIuaNpmVjNOyq/xcJIGG+rUclmXrQiy59rBTTedlh9lYjMgKkC05H8baMnAJMqJRVRqiXfI7MzxM
suZyEM8x1M2hT9RHmoBgVGNtAz8t6Bj0YenG9lNhw7ANkoic+ySf/fQQj6ZC6mWUHYNbCU4jFCb1
bV16SHAKWULOYycHmCOlW6lj5/T9dEz7jh6e75koP8ja0ZhXbcZiQUO1+m5KJjJwvBQ23R5UEpZH
MVWw/F1ll+/9ut4k4H5rofLxBwQBc0Qyr1MOkF19Qye4Lwb0KJ4No6mtJwXp06NrsnMwJPk4jSur
qPXT+bOp8V2hqdQ3d7HuFrq5PiwGEvu8NYqPSjUrpCrbdw+wYblM0DTJz+LBhY0ZD8WIfUGczPV+
6CPcYABX3LtaN6YPVNKJO0mgaHLATiPFAR5VbXQAA5huEqgtP8a1bqLAEWP+PncxSnFXeygojFck
memSRbcS/QbsY1Y0OE6OtxdOx3J6NRkhHlbbasjD9WR9ERcOmEbU2QPtngkynw+IlsIWNO6XifS0
W6/FPWIHMgvuGXM9Q8TUDh3CAl0m38w4iJVc+walqNM28k5MlQetCslzhO45Xhr8Uaw6hyjZzBdD
tDao+5dZlyQxezihRmls/+DFU3D1fU3nbsUh+McCPmgHrTNaENUGtO349RDcc9BgvAOsUGFdxb0n
yv2kwqjYz+RSr2iTEu2jfi23LpBOoBOBnsS7kR4TXovKnfOgL3LYrENkW/2+QBgBNVNbU4Q9H1j2
ruvr5Uvq6InkeqtJ7nrLQ8KL6dHU75KusLFFIUTog7RGTD3TLKd1SDjGdDB5A8aVjA25PWLgx4aI
h96Wfba8LiYuEEiw0PIGU43M1IYbuX3V6sxdysYN2J/Gj5aq/fcdHHU00Vhsid3gWhgGIOaN891S
F/5334NjwBXRnq6aGSUqba4FUCmGBMnamyStgy6KqjcEdsAySoaKAFtnkd11lvf4yluDnbu7xW3d
19CU2BPcucy6oO3i6kFi4EDauG3rb7pf+089N+LqbBo73V+EfNikB9ukH/XOyF2hN8sMTppVw71b
JtCGo76chyOUHeyIcs+MUTBNsz1e4DERvsLoCIRlrFOfhrSJbcjyetukRQzYGBsY2Ps5j5z3cmq9
txCA7P5ML3L45K+mycm+nZrsICZLfVho77q7OCt0eyikWMtdBOkds+QWG+By7bLvIL7+Dd9j/Ske
l+qrm8pu2uuugvlVCzPl+1wW49UMTkuep2viV/QzgY1tt2zhiEyR/rai102DxKrlpyFr4ygA4qlf
pWC6A+KtaAEZo411I4atGxpzic+Oo6s7zBEWNXs/mM6pvIfvr8U+hGjT77NCkc7c9ZH8liI8WCGh
Qv6aYXY+dJaVf1qJAF33mPEg05jzabAvoWoryPp9jN67xyjyAzdAVGWNWfWrtWxJ7i7BT6rzcEw8
G2bogqk//xZtcOO383WdeVMRiDrUX0fPT/NDuPAxoO5zYYgntRy9YELSDQY3FpG58IqqhXqeWojZ
Z3uxLkhDXrbs75nWKPQ6B3ocyDw5J+laXqfu1NkHmmQEBTcmxgOHBi68l64pLetMqip71WQzLPwG
PYO18yGMPSx0X7pgLvE62Hnayd9zdPXsv5OuDzWNkBhFVrh+cTMa9AdWKNLnAc5wMBcth/giRuKy
VrdyIGZWtorYJHMfLXrhVv1uRFLsBFn/0wGiNMlFAZK2wtHIzBfPhJnDSTDVmwXIxOaOcAlKLHMr
iZKNZRt0+fYIdEbad3A7qnif5IaQtgRqaRX4RGB85AvEpwdn1vWD464135PK4YCrxTg/ijEsugDJ
RGbRRVkLpB5WXn60XQmSBZzgfRV+FMfXyGLqT6MYmk1atqh7heoTvlHipNdUWO0cyHAUX01j7O+u
VTp7Y1NG4eAwhj+i0UP3lvGqsqNLauxdy30avpDj1HoPth9eJ96AudQ69Ye8XKtPxbDoVyFONM1u
zZz2Ls8seWNVc9py4OUfjWvNd15ixTQzkrBvdnTR+4M/lhnwVsshYwPHZiaqLpKNNuWbKp2CxilH
3CYra/gOIWf9CA9TvbUqNV1Jg/0lndKujQ+lGbqPU7fAScTBYsCcztHujYJn2p2nCAlowQvum7w4
+6aajYTRmXoDwQr1+hkBeicuYjRXb8Nqg9hSyXETTHaOFEPlyGEabdIPSof0LFBOd0fZZDiq9GWW
o7sYqXZhwic/WZX5cNnWOI1hT0EHau9t/03A0bv8CIcC6V4hnBp9wriFgPXpKN6seBU4ENGX9X1T
ueCv3awXeLWN7+7abOa+OrCEfFqu+Pvcz2rCa3kMK/O2AUzCL2buXNAxE+sKWwWwK1gDZdjPezpj
4edBOu23buqyt64vgBtzmGBoFtKqe4AiTHsn7ADpWbTmbVxPNSRcRLTQh81s7cXsFSWasLbx98pO
XLNr8ipp9maCPrSzcVcgQjPF0OkA35egBz/Ok02Y6lUXTWfPeIKkFtyqTXH8wULNyMmFlAbprbUi
kl9qGV/L2HbggKDF+kKboEYIYLeJf0j8Iv1CTmKnERotuOI2rha0fosmuVKLPUP6yHMfIVDj+ueq
kxU6DiRXb/qQvxhgbjA9iFWn54M94mrVoQj7iHRQ3nPv8b/Vhb28FYa0nj1SJvjWJT5iFGG1WReu
IHb4McxHoHMOAgJDnNyS0XniT+XrjsTbZJ+bAvgttWPnVRN3RLKEXpjCNZuQC+29MZoektLdHCCw
e0A9mw4NP45CAL8SiDB3bRpRqLmNLC9G3JlhTFhW9k1B1vN2a7/UrxcRApXlQo6XYMeLvTPDCFxK
RZD4Z7NJN9c50Cnk6w4mlfvSr9e71ApbqBSdqb/ZruC4roQM4U/hNoJkJRrRfkeue+5WeXc2Z548
KE6SLBjF4p5XNCKYmWEY7/C6oEYPxw5uTTV3sJDAEJdXljuNI6od2jKvlUZluAvXeMLUalzFdzWk
oCuxhUtWDXmy36mooXc+FyG8vgSNGeznqYqn8ypDiwFZMpkPBGUDOJihGT62rVmAheEjQhxkM/3e
eJHZQ3kWCFPSbC0h7BeJdYCylMCtJF3SwCwPQSo0uDhSEJnhYrK0YfV5pBjCZiXMuCCjA/LSQCQV
317exuYGDnTmHHG3nNkHXLyKWmNjh4XFxwwnft0acdZi269VEi56ZxK8tYLVG4Ax8qVfUB40TX9j
nGUdgshvOUY3lWrmcN5Tm/Nf73DTwww3tJzxuxspuMdRoUVJZVwwhTMcpfMUJlVPHHiF4iSp8+Zy
RFvwNvWK6RrLM/RQUKmyi0wQP7kbPcdc4NDAegvzWt0P4zxd+gAj70dhk3cy8GU6lPjN/CmUqM4l
vS10VA3lIAhCLY/oyfqWWxwn9aG21Pw6NBYAfe9m5u3iumT5om8UFR2vAatvAZ7SBRqtmxtYlAVV
YKfjfK+wjue6lShxFyEQ+96Lngq/gfG5Q/1a/PAdkkWyOPLmW6j/9UcNf49y0KQRnS3A2BZxGm5i
r4eucD4M7ZKYwFMxFFjMVfvNONQX1FM2tor7qLIHdNscufG+dFK72Yddvb7v+lbNV7KdAaS6dHZu
BS7mOYJXeuJBbqzmfG0XrnQzq96FS4EG/NBR8gqOt6I4ImuUGQj0ms4gzkv7zlokViPMvXiVt3iN
0vxqx32Oaeq6rxHZXoL54ZIk0zHmwUs/vva7qELTCj5OUemxH+PihrtYBkPV2xd4Ln5tcuHj9VL2
mPISg7pDOOmuAb3N/COOWjNuLyHB7/kQos+cbNu6cGBNGVxORgnGT+F6s+I2luBaiHXBgTLJl7su
81S+4+bpncnGdB99U+YdRBz82Xqnm/FvWZzlDCfLwd13npVEWLNi5Ymhn46+qMGxmbAKzieMHbxF
58bL+2DMxZQhmF55oQ2WhdyXGztF19aXDa7gML+Ieh58e0/30EKp6GvvPFZNiCWCVtnnlY9Y7xdr
KK5zK+Jtx1hB3Uo1qh9pu6jvXSJxekyMGc+p3bjMzZOfvJOr0Q+yjNgu3LAI4fVB8ny1UCv4+Cd1
eReUTRlftH1SuTs3ddUP5czViuCq5otYQVQc6AWTss6WEosqnDYgVezHroXS1NJtRZgQrS1GLAVV
5JylywV6SLQo0WabdRzTBm+FKunS/IxDNs/3/ZSNeA+uXuIdMtNaV7NKep4wIlgFS6qRi7PlcXLu
l7L+2qMJbfa6iqbbzMnWT3Pf99e4DlmfGgxJP6GLoBmo5kpywC9+6VxGTeNQIHCIoricCEa8zNJh
QeqUL/VnXJdCs20FiwzqvkKvP2DI4d0qgbNVmaTIPkdvQrwDIGB/62cPohk3tTkOlFjbN9qC9nem
+0l96PiK54uib9R3gsnX+0Z5ZI+TF0VeaItKr2b1CQy6K71RS6OGG8gupzlzlbEJ86+zyntwbF2Q
zKmUqHABJV6W28SARyHtuZzFqWC+XkzO6F37ZZbwmmFVXDgtUulAqRgacl8OzhfjpoAXqO268sLQ
Ax6xWG3Tyy6DQo02lkh3GDw5cvMmnG2zL3tMlY9movGGMCwF1oE4A/0idYdi3xZ2cwsEFkOfhmGi
zxq41e9C07VEVji0qO2sxhtzyV14zkVDnyYoC9l+SxYKzd1KsZfuitkeXhdrZOE1FWXZB3AfbqbJ
hA3OBbo0eoBhJW2aIEOdNZdx2lFK7lTL/RJvB9wSqQ4LZPD8qde/mtJKf0kEYA0C8MXiMCyH9L3E
tw6m+Kpagyseana4+YtF4BjE++yMxN71B9iZd71S2uMY4ifFF464+boTBYrerTEJ9cuedMzCT0O9
B/fShwjzr3Kv+grXQfal0ASJq8K7ps2pbKJUes0lvZT0igvF0m1ONHIImk65hBRj3OkEy0hPAe+h
uusDv/YTyvt59EX2ZubZyuM0WCqAJdjt2t5xuRw53qCCyBnj6UAM6fiF83dAr2xkfIP1RKQvsHkx
5UVa5ZoKyLgoWuNo6+NAHIpe5QiwPvyXhklol73F5NJLvMNKcL2fvKi//a8yRHLrFhNgb15KAjA5
tM/bnB7J8flW+QZWnDSOWRCOa4yWrpSnOdBu03Y4KFaIJzNL0SwYymvLcoY9jAl1nXR65u4tofiF
rX8WwqndPT/8iU39xp0w6LMU5ruucB3bnPTMVVNMQ1ikTeCrPp8pBJZpN6V5e9YqDKBsKw8vhGyS
Y05reI8DCiI0vPH+LjTBjwC9tIG0FLDBaaY0QvCuciIN93ke5GXSDIJetaNvcz2XL6S8PMFatqE8
QALyMgGkT8EjObSu1Sp2OMwjvSuVxdWuwYPpBbDst6P4sGAcszEwTmP8Oh13WERT7juRWA/EkZD1
jnXJCyyPp6NQjeKUDtbBxLE3PcY7PGcMDRpI+uPKno+lE+LPoMLacf729ACDbW/MQb4kPX2CuJZx
HjpT3FcYj/nivNkepIoUfcIeAcbz6/EJcrThKMLRoJtInni0x4+Efo3WR7NB2LYbXa5rNxEwn6dX
whQ0WNfePwyka78AKT/BjRjUoVctwJOB305jNR3oirXgRKDZzU1uwBv+OKUYyrS6/IIyftl3oK1B
mJn8BZzsJ+3h5OvnpQIYOZJTH8rC48e1rXDrLfL1OaPcjFjzCUk+yGp/Iavlvaht59qaJb0yN8Xd
q26HqwqMxg6a1cPDDcbnC2/iZ6rb6Q/yfEfwFWrjyU2P9isvRHcF6E3LqzBRgev8DKFxjuYiCIcZ
r455/T4g2LzGybwLuhVJMnHG48WIhOHcV90cZDHXObRx5sou2uaL3azhvRsSH1sh/35h53yy+j2+
ru3bMhJSm9zocb/+VJFPqE76oQqMxEIu9+d4vzh2dv78gvzdKKg0+MI8ZHogi49H0eGMOUddVIEq
JMz8ynyYU6t+/Q8GMWJ7CnhbSAgfDzIOfFf2kHOVcTKF+rTJ78a1eilKUWyr6dHk8sY8qEt4FSsf
Tc3JswzO3I5FGZbgo4O6daaRxisbzDXF9hZ5QwkifAilSEHi14MtiS7oBujFUqdyj8NKeV5omVx5
3Ww9VHr0Pj//Ek7injZGjQsbR+NaZBxlS3MyoXKcExlyKwrqQv+wk6j5ONTNvQvt9MrxKcnybiHU
Xg+0Q8xkhhvPU9jv4kJx6+LjsKvUTPtUpNP753/XNuzpW/N9WBeQpeD8nKY/tf6wKHruSBJrURxx
p6G7NaJr8gsXt+xm/B7lZXEUi//t+XF/M1tqWxIbZZN+p3eyN3AVQXwpWBQZ1md0yzyKyJDe64R9
8wu77tMqgBUhsFOFnGgrBYb2eAHS5R0tpF2cJFkBvFrn9r7IF+eAbTw+Z3g3BWOU+LdVV5pb7WPk
mvur9cL3LLdVfvKiFcweX25MQo7pk70/9xdK7h54YFQSA3mJOUoO22dn7K7lfrukF2KZ/Uu9hsVn
P1X9QyYhaxu3iC587P9/5B3udJ6J5V3RbpaxsmjcN/FCHyvGwErs8ZMH1+uVeT/byj+KNmwRZTf2
S3zU3ywY5B1SI/hF6+ucTlwBEWoK66Fk4qL5o44S7z6khibHUZf3qyGiQwC03ODxow/PL5ltmk7e
IB5LW0EAH1I7pxQdDM/62qatEqBTHb5MxLOd2fBg7+Hu2PfN4r/0afxmc0S3jKLZ09AI4YM9XjYl
2Ku0Y0nEEXzCe6htw6ulxPr4+af6zYdgeJ8OVYEHR+Z0X4DWkaSbujIo46Z5Y5dOw44VJa+8rBYv
VIcnCX0/9yDOE4fJg0AIr/pkDc69VuwwGAK1Pe4veB+iukVOeiVG9FlxT6hEP9mCzr7Nt5JItCtT
8U4k4TWVSnglx+aFzefpGwZEtiG5iZ+Flzo5GWixRdkwIvxQlkjPUHCtAJ1F9MKn93TdQNSBuUsN
yTYAR+jxPPoyAta2WrghJJm/L1vudCPOWee4DVm3+KBWu787o4yn4VXBQIWHfpqQq6zMhuLFeEqW
ybFTgBG048NjXGHe8w+GMj68cKT5LNWTR0voi+bNjE+jGYb2Qm+kpBWvVKyhaa4+P9Rv5mrjpcGu
35iRwj5ZO3iv5jahPJBf8qQ66sJVZ/EorBdG+e1c+S6HJPIU6vGTB/JEbBOdwgMR0FUxTbq9KukE
Bf2swOjcbHyhAHr69fHmfhnv5BjCs9BOvLbhqYgaeNO43riDXJ4eUaO8xNz93VAOZx0HraPJiDnZ
Tlq/w8xY8GhR3Xo7pYwIuj5vr6whUi9c0H43FAed5trpG1q021v+hf8cyamesRLAYaXu1cWIjfrO
mQtxW9m9tX9+WYinMwYlnluFpw29JbUFZ/06VqGxWR7xCAhKIcWXxq0gx6rUu6td6aTHqsINdijU
wHG2gnV37XLcyv07fJnCINU1UteyCb19D98cgKSvmz3iCvHCJ/l08W4/kkUl4LH52jnZaOyeurEe
2GTdOav3swjDY0Sj+fj8u3j62j1JIe1KCio4rKdMR1r38LVHk+OPWBf4LhT5RdO4KzEyunlhqCc3
SQ/xi6Te5Rzerq0ni6lKBjdHjZAD0q4l7tl5aN7NCMRBw3tkyHZuRBSM3vJSFfub2VYAdZyLnoIm
65+Mi95+XRTFNIEDOMztyijq6PILdMYivOLFV/dMfnfJUl9v5ajGqyUz1Vkcd9GB2ImqRzQ9Jg+z
yO5sPZq3opleim9/Ognwn12XX0l/gl7zyS+MMF+r7R72QSu94Q2a3OpmwKU8iCPrJZb800nAppjD
CwkKGzB368dLvymI+8nmJAtwZfc/SZnhSA16Pe8nW1n70LQ02pf4pXbS07Xsc5FgPQt2SZu20uNR
Uxyt8DGFpFw1qnvwJme591pCnF7YiZ+07jZWsCPYRgwrTZzqT2od6srLZujvNF4v17mA0oYgmLM6
wbsd7hp44kg4DfYftov7AGD581/Tb56TtgzlsjIamxi5/fkvm1jWrcJHopoG1NL+wceb8ZDFc/Tm
+VF+s1woJw1ABCWl91M19usobJSw0dC20wB3xvt+GV+jiSg+YDmQ/YPn8RGkCLQ8nNTuyUa54GOO
sfkI8cP2Q6z1ivGLsf367fPP85trMJxxpAsw92n3SHOyPNaqRqSTD4g0rXY4pBJ19i7rvXlvljDd
JxmRL26XL3sle3CnfBkOszt9xekuPCJqkAfAckiE6dIHAoXJP1hULKvtFkYKIjeIx3MKrYVO79QB
5SZx96qDPxWUGfgGV4YcrE6CGqMzLY9YtMG/QyTxwvhP1hTvhVXD1ozWiZk42RzYIdtw0PjtpOmY
PcSWn92YLvzLQQrvp99nPD6961NfUyTRitg0HFSdjx8zs6a841SO8dLSEmE5/qZn6RTC2CMXr9u5
WeadY6sIZUZAVjsU8fpZiXg8y+DlHaxk6A/EupmHGDRm/3N5/J+51X8KeBN0o5nRf687/e8vw3/c
DB2HHjmiSb9s2aP/+nt/yk/RkXK+uWgVFG1hRJesoT/Vp9ufkNQIDV4AZ/CN8QX/5XQl9R+eT5eV
6d7EKxyP/ys+3f6I/w39V0QD/EKurX9DfHqiBqWdqrfykeOG9csZbLYV/suuSLpsNVkV5phNH106
CzvjAvcyRvWOr7YUB43H0gHw6g1KMcyc3Ol8tKN+7+jsqHScHfUqcNKO3Ityxeei0whN/m+F/blS
EJY8t7ge2iEaPi+/rq2ff+N/VM3OH7ZB1YWIQm5I2Fb//6Vq1t4fRMLi3Y77C3/lVws1y8FeDc4j
ewl255ipKRbdX7Jmy1F/8HfYRf/nf/q3kmkfn4QuXT6kJaytTViNYOcUO6pIElVqsuQBvy/7Y7eZ
gw9r1LztAbhfKi4eN5H+GkvYFBh0Ql3fPamc4PEkDvGbDhoN05G36SZ3Iy3TIw3i4WzAYvtNllZD
QJjf36sq/hqZMcUm3eHVOY+/H292GmgdiXPIIjhBlcbPrMYA9ZeJv/uzJ/VIs71t8P9qVf01isMD
UlFQuzgn55wYKzLsfEZBSZjcDgRZwpdtrbdIhSBvY7IwnMFwVMsG6Vc7nWfvk3V5Hc9D9ELL57eT
+ssPOTmJuHj1DnJN55Bo701H4VaG4022/nmq/NsDb9t0nj6uwhXQUwpR6snj4icNGr6FtcGQrvaN
1uA6s3rhpf5EZ54b5WTqJtgxsYfxz2EKsGPfd0F1g9fI2RjoMwxSYZQF01EEhKcGMPj33mvcWYLi
Sxp0l/jjXXgvlBKnb9bwiXBKAJvQqvDhbzxeSEotSG2G0jm4stZH1LL5LdlhztaNrV5oUpy+XgA0
pG2IYLnRUwqfYkEKb+NC9kRi4dAnD1lZvVpMX7wwyJ+d21/fL8OATXC4UbGA7pqTAtUeLOjLKcNk
7QzfQpGosmKeNEBoUHEclmcKcl98VieOggs6YahBrebUn/qIMj6jke2BlvkoFzDQRoAT49cR4zBq
k6+Tvc7Gpomw1kd4/krncMkx1q1RELV+XOIaoiB3QGCUprtq82Tu4IRWubulDrrV68FJex3Akrfh
TVK40e6ycvCqYuHFXKRZrfFAq5ZbLzbktenrVK60MnNaO1ALsgaHZD+aBcQ+M8IT9IblwUx95QYQ
R5S3n5XV5+fJ9s+zOks6/zxuSVZ440h0C2U7Nb1C7NZUPk6+JelbzRCGrwZniPyzwRda4jSnR0wj
rcRKvxaIjmyShmvxEVufkFCgvMaSOAq1IAgWx7F3HmV7tY/9biYOrOxwU1M/Vf6FF3UEMOhYBqCL
6gwFDG5dqe5QnUbhZjcGayUHzg+dD3MsMLR3vKS/QCBWEJO2WtZNvpoqC7CAxYG1muke+zneJ5Cd
op4gFgjJ8NUQbQ0HzYX4Bs6gh3mC143LYcJt5puPgsnxzow/e1eRtfC8+Nx34dFyvMY+ZHOff3bg
uJJHghxpOZbJDCCf5V2z7uBRYXY14fYY1GGEHqn9f+ydx5Lk2LVlf4X25kiDFoPXA0iXofUEFhJa
a3xaT/vHeiErSWYl6xWtht3GMjIpIiM8HA7ce+45e68tg8LX9YWYg7Irr/pJMa5bKdPfNB6RysnJ
ZLoBAyON9hRbPbHSmYKzJyRodnQVgjO/4llpB1dDUQsreC5QztdqPCHqU7UZg8oEDL+I0UKQd9fQ
LRprOX/fcCI54r+xeYaH02N1ieX4rogEE7ciKTjvQhglF5FaCHB8Ga40dlzHi0FjIoo2umeUP6vA
NLHVKDP98Ekw6y9y4ZZzEybhexTV3VVcrCs0mWSOgEEg+70k9rt8XHJCIu2ojqJLSFtCbBtlZl4T
K4nlSSm7ESVtIoy3oPCbjwleW71fwmmu8EQg1rCJQowf12bmdFaIHbF2ZjK1iJ6kNr/o6wR8I+pA
YvKUkabGqHfjtUzWEskjyjJdKJEyJ45KkM8tQso+cSNZpCmQkzSE8rBFd4q0JWKqJmpsPqJAPNFS
kJWHiU+8XlDhb84OUIQ47Er8D+sqKFDquNEvZaFNVvTkhrBDJ9M2tjokWFy6TFI+DEkdxSOZTOJZ
UM31BUtdIwXcZuYlnmIkucjwpt4ZjJwke0IMiY0bEkTVVVmrNxa2FGRetVp9VbOgv/brEuLNays0
2lz99LIM6+WeWyr/iKMYTvUULdNs19NCUiuC0vQGkDGXKVVD6aZjDZGISuVjcBpr4aFeq04/h1qh
5g5SnP5pGQGfMXjrNTfhjrkpyhnr6Zq1xWepxCbCg1QBIl8vJiioZBFrdpSykfUdCqHiiBN3bdHE
prm2y2Qeblur6gb4I8TMwlMzg5SVpd3sj4O84Z0RdjVAwNYlGzbfR/WiTJrBKiBpiLelGH1kDsTt
E5EpnkH6Vwn+FZw9J20gjeUEfoN44TyeksXHFLpmftdE8KonzUrETXiqqcT7ERmORYUHgZCxmkg+
bFxLt4uLGkKrXFHSH1Dmtq29ak070jRnHhiAqm7XEwJU44EBJ6zZNUrGW9TxYhyUnSISU0XEDRoR
1CukK1dpSxRgRCDPKsSybEuLBGRWLrtLLRrS2iN3x5h3qEVbysUaKTMOlaFJ0b8uQNGUNp+VnVoZ
dYMMHx2iG+lq3SHXltDJz1Zs3WpGApa1wbgxkf9RinqgtxNZLSUCJrwyhTSPgWxFK0iqXgknJ1qq
BANrhLjPm80hI+C8WdmBENSL4kbwItKiR61Z+0QwGJOXJVgPdvQ9pju6r+jPuzifbnDl4heMQygo
R9L7YpCV+TJjcBvj3NyV6kBlpJAqdDVjNasJyp0VdHViVkwOzO+mcaWKX94ne1AWjvg0tNYukPsT
6mOwoqZo2u+pL8k4MeNxvGDaLuhelKW56YkiV8CtaOqKCKbQ8kFdSyDeReB/N2BYqssnDdUnVuJI
y0unwr2QezUWm/5OzyRxctk4lUdtbmZjp84TObuCHnLByIxsZj+WN5fQGNdgH3m+MBXz5AxM09i3
x/2QMOnyhorDhq0NEjEmktWnZ5ZV/KJmW+t7dZGrHeFD661k1DiCrTHUbvM0U8EWh3JJZbo0rasN
NY6Xfo41jR8BHyQ9meY4fcGlMXLkoWh5nYL9XLLNtez6wEhalVg/CfK6uy072Fp4b41N8IL8GPM+
L5dM1p/6vqyXkxALHTqUUaiBw6aqcmqgTrIMJkaf+XgG1Jf/nFN/O6dalN//cw8kSN7a17x/bX8+
qG7f8vdz6jeYJzQsMFAbDNk5X/7znPpNQSciQV6iUgTdvR2efjRAFP0boBBTASrMmU78Lm/4cUzd
viSCK6AhqZl4mOiG/ZUGiPhrd43OHdQKoBW03Jmj6uIvlXeIX5rBUfUlSXa8X/f1XXEjPdHlJMCI
A07t6t5HdigOGMNP0g74Gy7VINsZR+u4fGqn8aPf11fdRXlHnstl/pF+SK62y+9Wosrep4c+tJvX
zhMdguWcxrN2SMH30U71rOO6Hz/IOTZku3GiQ+42181Bf42v1K9kV521k/xqxe6Q76hq5If2DiH6
QfA7z7rsXeKm3djJ99mDfF2fJi+8TveKX93IDiqQq8Vrrtnxq8E17wov2RE0bvnlZXU93UP/4Cvd
9Xoi7+o0PPT75ka4VN7lAwwqfwr6kx5kF5rfBKHb7zCqHgw/dvSv9Ko68FteKEdjFz4UN4JlE/rx
hQyaJHmiCKPdoNsYGBrdzjvXPDRQHagU7fbS8rWdeB/Nl82htq7ehnNyKPix0UV8tRysy+WBS3ji
PXzJXumHewqKg+6InnYkecLGYuTnt+GdvK8CfkGnc+4Kx/BwuJzEg3KK3dER/fjCvAsPpQ/g01Hd
3i6C6bMMfbrV8RMA6IPkW77g9bvhTP4E6HLhGL4YO+KwbtfcnaGr2lSMoU9t3yHTR4jtZqJX8vfj
c5Pb0VsuHZXSmY7afnB0p/TnIySdej4RKwBi8rm/XUqXSIZJt7UnmFC75Lo+EoaAuXnf7Egid1Le
F2kbXJZ0H+9JnN9VQXSUD+Vd9yJcFGfzild4RGMT2qKHHX+xTS57FiSB7ho3yq4hju4DYo3wmB0p
EQPzazm3WFEfrRsstI/Ksb9tL00dt2mwjrYq7ix+Uc2m0LpIfMkT3ToYHMkfXs3DcsCG40IFKI5E
bt1yf45OEpeXSbEzfMmuzny/m3DojXyd+C9b9A0+kSB362eWaLu5Hq8S6lwirC64aGhndHfeEdNB
uKB0N6NJKH2h8OGM1id4+Uxq7eINgKLbBIRbpU50viocm8iLm9Rf7dw3dvmH39/Rptcf5BK243ky
uUwvWO5j2/TQNTmdB0udgC5+i+alOAOJ9/vLTSQPy5of8ZFyG4nOvJ/Z2qVLHe9dVp7w8sK6GRgN
P6GA5Un+EmQ2besrD48axhTNoaCYlXNvX713vuHMs1fuGlfFg+T2NAPux+vlVrvnwEStXxdH/j+K
xXwLIHG698HlLHqfe6bkgHv21pmTpgOqhVTponFJ1rbn3i41u+M4Yh1yKollJ77PKtwJbl3RC8nP
tJfX5rA+Umak1iHyKAXgMh3C9+puuJpJ8Sk9feRdHJp9iW3lNT8kl9pd85VQSC7GbXiBF8Hr/eVA
rFfQ+4r4qd03nowI9XK4reG8o8bxu8vxvICNttez9qDSy4Ce5pLtg0ANRKjklwYxla2ds5ESRwuD
3E7JB4/3GFWotrXsrK93ao05LyBY+cATbOv38Kah7I7VNTx9oye3MbdNw07P4FI/TNnWvdkHoSkf
EMHH897Iz/lrcksyfWDJfmkLTTB/Ce7iiI33WOF4Zmu2s2vB45nesztrndcrr1xf8QkVm6w+6i7x
vsVn3T4SgK26WbB55abUXneq7nFkp6gp3wjcSfSdYSGswg54hEzSPc/ObBfedNM4phtJrh4fFYms
dk/EOAtimMuHm0963MzDWQWX1sa6hyc0DyGr5L7iK7fDuitiimy7Hw90SR50/s6zejTkc3nfFPvi
caDJpmG2tM1dTQuptadAPAPyd14MnVrF7h6y2Nf1B+oNS3zsYJjvoADTJRcTcKWYS9z1abBcbQ04
ZmT7xXrlWi+3ZDiZu+l2ujUeuKeoZp35or8RR6fDqYRB+NBfZ+6tsafBMeBYAw/iL9NHbJ4i6zoi
r/GxexSvRc0mC1f2wLtyegqIyt1hkyCv+8q86XYflkukeSG68DFqjlyvxpkDhDM8NZdDxjnS18Lp
LEU3pa9cDhFCdrt8gbEyFJOdNEYgk01VjYIzvwMVDjAnozrc45OlS5bckFvu6eHi4MB0G27kO37O
E3ap69jQANz6PBxAI+ND6w31WbbO+ht1uJ24CCktGgp7lg07gpitPyoc65Sg0UcPdky12BivzfNU
qC7LG6lKxugKD+AlimdLZSSGgPGcPInlk3TZ9i9StDc4MEan7ktB3NjU71p7b11q2XE4FGh4xcBt
PM5nl9rgjrNzP3re9F50ns6hkSeRI7KtPhJWPJ4lgpLqWnZpMMVefQZmwNpOx8GeDdbVjC9cD36P
dR3/lG5jr79iwypt/Z10zNUsH2BR+HpWPApuPJ05umS3IeNKaC2jVwYCeYsHcrhdPDVv5o15YRC1
5vZnYAQdRu83/ujP+YFQ8kvNKdzmjZzTPS/Fh1o7upefOP90EOZ39V5nc1Ff4v3wxilpOg5vytW0
U4+c8HAozrqdXVUns3Gbp0m7kna6O7iyz3vldCX5xhzwX2L4KbsWWVTMjVb5BDJzr9JGSQYUxDvN
9IwsaOp9mhzC1R2qXa89gq+MPoZ9CF9ipYlGQ/GwpQIC1zeCQ3zgJuNuHs8bQJ14sl3ivuIwnAEb
+brpT/oh7K/E6pBPzty7H2LrcLL861X5XVXwr1/zdH6XvENWzcVr8dn9+pe2OejPoT4/5qLua//6
v77/XQa42/+gHGD8dz18tsvNZ4fZ7+8V6V/54o8h4t1Sf/73f71XA6AnfhrglfLn0hq55Z+V43dY
yP/lr/9WikvfINZuonEm1oC3yMv5RyUufqOMZpK9/YMMl3ESjf0fpbgkfUOtofFlhkUoSjeXyY9S
nEoc9QGVOMfNbdSDmOvvb/zHVOO3IKQ/HnPL+tZx/2fHmL63wUgT/QvUPpGUn+0X/HkYWYvrAnXh
y0gyVQ/KKRdOBtTz5UyQHA3L1rDalTWSzqxSknJLgPBMOtbEufeCzJjiCzEzW6eS6+FVVMzhQ8og
5SWesvq+SspY9GQaXRFnRvASBKeKhD3o1ti/kp1LgIZASDxoMTmmj2dJDe3mTBuHy7oHkEvDN+4N
JzYN2KyhqlZXSq7CDZebVqy9RWiUZ2nq1OUd7VoLqHpIwzhoO3CyQQTkcD7rZpbsrbVhyZ1SSW/u
S4mYlQi3jqTfK4KcZV4tCaavLtnUuGNeZbM3Gr3eEDha1RJzraleLNuoYmHY6xuhJEgbiy181gmp
uenUulWdPprx8uP8009iFBXnCDt966cG9nM3GxcKxDnu2jchndfGN3VABWRxwk+psBYFU2ckDM0k
NQVBs4Q0Cz2UT0qx+lPSjssl6CVcAxrWQCz4zTqCRoIJZdpLk2nhaSF1PXTUxhjucnJMEgeUsGlh
T1/EbR2rirH7qMIttUES9PpeA3hxgT0uGTS/ixMddIgiR8M1aVHSB+gp/Pwi1IsvtS+jI6H2MwVw
q05eA+EKDIyaTZVfjxKVnFlEH2qIjMzGK9JlgEXgVthiQWKJv1Qbv24q0/bWzKCoBVpkjYvbNhXk
zzHBPOUIsrXGeyvUVjFY0rQ5ITyMoc6OddbbZP8JCOLIkvkawi6CK5b13AXtkoct9bUwko+QWiTx
VM3afHSjSSzihGODWUOfJioDjNhghxa7FI5d01n3GAWJi6+WBD98Cv2DVmk0AZan0fbU5fVI3Z2n
bMaaeUysGdQ/T6Q6MmIbslvkq7yxLlNxe01KviLC0Yz8wtIE8VE2q646Zjm5jM5Igx8xvzIZ97oy
kMcwLQZY+LA34oVGWlR86A09X1deZXAYnRXOtSMTz517vV7rF2vSJJ8ral+GHGVSXW94RcWrurV6
y81oOkKXsTIvtIS4IK9N6ztvafLyadbk/i0lKQMbfFwYnzIt2W6/rFb6FlkpJ72sLNhIjIkMFsa0
NDblmBwG+uz6Ag1kBIJmp7WakGEV69EeazqQZEIA0/Q4QZRjn9Ja0i+hJAuXMrZwHJ8z8ws3Bda0
T1d59POoxZxYiDFnk4FpIdy9BM5ErfSisLG0+FSbXs9fFEvIngVETL2D0o7I+y1S5g33RqHaamH2
bipWnMixBRvhzqzksSAuZS7JQU1kS3AhyvCr9oKs3yo0jEX89nVPTBCINs9Qx1QCxh+2gTWPsKt4
D4YWmJPYQnlGytU5YdjHHNn6XrjvG5wPzjQm4SdCaKvxFyWN2tNK0EZul5LSUyKUc3G9DkJ8VvNa
KIkRyNPPGQzlfZxbscDc1+Lq9bD4byLAgjTT60UP1pQsMvTHYv46DHHzwh0zi56IRqgiPoZgM95y
WB+MbuPjK0g37mUrbSYbC9WsO6pW6huyphSOKk27T2B2Cie/aNRPlTRw9lPzHBRb0sUlEsy8bLsd
2cl0SwjSGAcWVEZN+K5z0rZCcs2IBrcEMCSoFey/vrP//8m635SYf6oM2Xf5698+Pv92fv1dZfDj
+3703dRviC0ZvG7mIKRCEFP/sdur32isoQGh4YbECI01r/Zjs9fUbxvu3kRUAkyGgQHduh+bPV+i
JYwsGwXlZmy1/lLfbdvK/7nVU0lQM1CN4C4Gfy/jo/r9Vt9C9EbAHW2wyTTc9eHr3ELrA50MaKBK
tGsjSgOT1j4ozPrf8de/W3B/eXEKF4gqKIh5K7/yvEVZsAp52mLyVLJ8QgASfgaUDrYYD7mfIL2S
HWEGelJ3dbjviMVhYRoajV0GLIgdIc5ykf+apw4LYuxURcbAhlXJcgA15EeQE0j1NPFpXAjniaHl
icfNuebWTMsHx8jCq0Qq5vcJ5dXshmKl2mRMhV7Uav1jK8oJDaCUrKViSeSPRBpp2lUd3n2fKE/y
NoRErmAcglNys5ajQRhb18VSJC/9qrIGRgLYBLuLpvkB+bivwxh8FUTiwiAK9QMtAGw6dOQb1upW
NqqvpZe0s6lNnKL+84T+1hHftEz/c0fc4STR/p///btnc/uOH1U4RTM3PakRFs49HD3IIn7TbW2q
LYyTKLOwcps6nIN/PJYSYi8a4RvHGTEFtyw/7sdjKX3TN1Uh3XCcSDxU6Jr/Qg3+exUKgjHMONgZ
DNwNVODYm37/WFZZJyHByF3wEOUOJ+V6bHC+eqnAhP6na/Kj+v9Z08Qa89MC8PdX4oW4Gvh/Nh3a
z7U+gOXUDEsAiSXJKU7cEDRD6zIBC2eIb7ologD58xdk5fqXF9RVJg6bggrV4/b1n5SOYJSnWLVS
nscsCdp+JosZwNrytZiEQuVdAk9LH2U1dufWEh7+/LX/6LLq24qrYsHe5iG/f+2QiNwqBgmBsEkk
Y6xW2yVQpa4vXbHKovzfXNo/ejVOUNxA+NQwqHFg/PmdznHYl2pdubVklvIjMIySOT6sU0Rj9dCM
V3/+3v7oum6aQVTiOgOUXxVwibTEU5VXbmukRaDKK8ltmfGkZqm2h1lHh5wQ9qtM5o8/f93tBvnn
Iv79BlL5MOEvk2vBEIeR08/vEghmBrUFU5eONWVtGhqWPb12XXkHjQbzVyC36a+/IrwA1JaWBn/k
V7IDR5quNbcIIrGk2W/2Jq2oQh+PGmC7WyJEVleOpuHfYLpRZf36RlUM3pspBK05+JFNC/zzGzUU
DbM2wVljD7DbXuAJwZBT5Qk4LivJx2TI4TmuhNDaGaGMM0jqY30fh4N4J8xiNDkTebKt3Wj6crOg
UyH/SzKVT6lfx3uNLUGkxwPYzdmMy8BUy6E6KV0XofyRBnqrLXpL0lZl9Uqw9HYOZhmwzb2aZ0pF
c3zq2Gq6OaJh/z2kWZ/DkSbmUC6X6pSON3AwehhOZlpeD9wRSJmIbw29HAfyQZARErqMs0PJFhOD
bFhyGbXFm4G8yITxGcgKyAlg0D9+T902f4vgnr/ncQOa38K5QfPB/nIqDm9jsNQqUJ1YKWiWzjPC
LjsdSvq8xjgVH1jj5qe0FRKdbNkku9FWAj+vRwux3aSiN3LrWKfDHE/rliZYWo2LOXGMPYaDdADV
mjzIIBmscXRSpWDobApNtsWMGevLWGlJTCwnSzq96Vp5rsYurfw4ZOtlHl5lL7D4WGRatLqyC01S
ukfQpZaB1XVEhUHWlWgRl6uheJ08atzNSKwvNBDKqpN3proXV73/jLuxX7wewuqHUklLYzchEDOP
jo1+0LV0DEm4V0f1QQHcQ7Ntjoj5K6yOWmAVoGQ+p1VC4ty0jJr0ZClxJ9PZho9RXGhZ1C12i5lw
qbx07sr4ISu6imxB9oowJP6qjuprAF+icFwalCszCOkuLUL4QxwunhDfTYbfx1ocXxBfKoS0D8uh
yaYLcmHV5jKTxxhhg1qp+CD7ItEIutjyRKUKpwjrYDmIlrsQgJHdiBqnvQPI40U9QxsjAqQj2a8q
bHjfgkGapZgW0Ukqak14iguuB9a0WejpM8YFkOTENRdJW57lKMmXk2kQoX6amPsz10zHsflogFmS
SRrPmRjBxdX7kU6Q2fK5XEhqmETvaBYr6VY151DxzZwYNGCKjWBoLrreeXpaRRloGUHDbeMi1lDD
Zx4wlDEZ/IfIRURJ9xQkiPE15KqMVqXPMqBn0jrxPFomnXSMgxnDUvCKd4UB7soWI6VrbCWJevpN
uro8xaM13S3zrKEzrQuUKka9bom6YSncRuY0PZGB29wMKru0g8sllqCBj3VHZm1G+J3R6s9K1IVB
sdKGcZCRLVvWXQp+ay4s9UKsu0G082qrbREiCQxLqWjjE0C/iscvXaTbGJXZfaHkyzs6IunVarP8
WWEZeQdEPw9bnijkV7RV+VVET+2t7QBsZktYv05yqG0zsBaw1GyC6yLdB7YyAZW6cK1vOkPOiJry
Hm1wJ1veAjCRiNGsJumG61lURnOXSBzVUVrSDrJD0om+FDkGdJSrpvZq9PkaORFUtA5Zh7gUpP4o
pHk6hhbqInBNtUyfpWFCUEfogPqhNJ3IxGky+kOnjhktA07OEdkUhfZMDh3s1GbIoDkWBKcKsJTE
+qEWNYnc4p7/sOMOiao7JXXxkIGxIL9PygV6c43MxCcuyRaBA7b2NN/VcBVtQanD3jbljA+Ow4VE
YyRUqsNklSiwTElK7gStXE0YzTFEyTYZtafaRIgDQ9WIdLcNaTPSJbKMmz6h30CvsQm531W1eOnG
tLM4wEtJ4atpFSH0MmII5ZpCtjYnh7KojhisGgbJFrQHexJIJ7dbKVrOYVd8b2oa0U2XoUZC5Ej0
qmnUdXyZmHoyeUhDBZSCBmsNaY7ogperuh3aZK9IQ83QD20XfSp1NqYDZyVJDzqUujp9R7MK3Wqs
QUa3AmdJW27y5KxgDQ7v2o6gYPK0AQKwvJfKeAsGNgPWRp4v0+SWDQkkfqdELrmYLUzOBki6l8Sa
2ns0fU3CzTtRjaNPqx4j6z7aBJXoeUozRKqUy62vWlC/jn2ar7Ut13Mef0hqN7anlsQFZlGJqS57
qWlqy50RNTZXWd3X6pE1F15zbFW1yUY9WMVuzkikquj7tJ3uzHE9N96iET79YQmiWB4XtS7UM29s
XZ+6wZwZ5EZhRE4rRUnS32RpOMiXo6GRHpnLk56+tXNBtylsE4SkIS9tnBrBSobOiUhQiN504jYk
IrRNlVFeNyzatIcPpFTuMHZF4tbJlNxWprgqu5q1L7O1Ub6PhgT1Krqrm4lO2LE32mSykV4JH10z
dDvJLOYRk24Vp0FKa4i576Lz6MmFRpNNLHHzO7LOS/mZBnKeyIKoPVamRhpzWGOhto1aYJsdw2bu
gj7EXu12aae99wnfgyS1YTDbQp53BKWny078J0NsvQxjaIet+d4tJSa0NumYTMWbLSCzOnrpaiRF
xS5CwK3601yGD8jigMzaVRSaUNvTcH5CS8mQXNKF7Kikg7l94tOa72sxrrvLhSTVAwUAXWX0hiFm
Qz1th5M10Ig8T2kpSbcKOeMPXUSHwDZrw1y9DjEmbMl1GoHdrqneu5OWTNXtSO/B3K+49uHIJjPB
xk0GH+sw0q4rzlUpdZrN0b4vHpM2WlGPVcaQ2ZlQEfAA09zEBTBbxkcEDOapAan1qvW6cBFNUslH
2esSswg1f4LCpS87TUxqoDst+CYv1uh6+X1UwV+c9RnyNbx7s3XLUEgSp2JrWh1F6GNkDExe6p3K
Oo/ahAeIVly+bJeVLFumvnoDWyiqxugFy81yTjiL5fY4Uv/YBE8ILzLO+HOH0JWONZxskgPAPTJ4
C/X1Q12L7lRlcSGfm3JIJidTiUXwda2HUiXAomwfJ2HokRWho9bfZhOoZWAIS5jvwoYPJ+iHdbUY
O3cNqyj23ewwCyZLJyVGg9ojQzHvCz1ZEnYXLo12BNCnV3cJuP3hBDp1jI9iMrPQkLrLtunGHTEX
dhpTTJCsEvFkAHvjYGTLE7MKV2oS9QkyRURkxkz4BKHiKpPyRTTKzpu6PESipHbRQd28T05vxfWb
gTbWcCJDXqhJreW8os9tPUSGoUatU2SoaqZliTGDZizE6ZzAd7TnQVkEtyb9VP+Y9ETCuZNVKl1a
/AxR+JUq1Uiy0BZs7IpJnKSPhaXUGU0TLp/5biU6kPucW+wBJ3D1JlhaytuRl7HFj7Bp5jFAi69V
JC7rAd0iVLA0juUvosKTi36S5mfg9cXNGoNVmW5osLeVu3Wk6B6VCacnpM7b4xqpRwXqshEUlhVe
IPRUnsdCFV9brOp4pwnCeUnqRpr3IKiTF4M5Q+zUFDuKHYlKfTHTevvS1yq/tqBEUF9WbfvcyAt5
JhHhapHTCqDqTlQF82XcjlSALMD04xa4kwAA6rl/7jr6zraMAJ5AHQJT+2BsK9SeFMcgffOqk1/X
JF3JATFl0osWI/kwm3RUPQnBMx+hqE1nIDSd4VRZY74OsdXcWmojaDafvLjrpYrQ6D4P16sEi5jO
jt+Ku1Ws6AQkVoQEpQsl4S2etGY/YpVA0jGBw3AEDvfMqMjPeh26wbpSJ1kDd6kQUtsIAZs53FJw
up0rEzcI2LhvSLaTkra4R3Q7ocGjZDQIsh3kwmbEBm4dHEVxFYqzVdpp2ClPVV9Mj/XSlI9qHmYX
lGRS6VOJRuewTdvnxRis1FcSKTtpSp/f6VazFnYzDf3C4AtLlm2pI+oWrSdlAFL+WnsWdLqXYUZY
bytSwnyHJh4nJyBAj1I6dNfdtK53pMGhccCk3zNAi+ZxspdhkREslVrs162EdD9OY+WOvj+ClVpt
tPKYxrOKmKUJM9PpcDdYdgNzRQ3Cclmu8zqEUsUMqT0VMoQzZ1Dk3oKykLeI/Kmd7vpp4BxgUVFf
AKwvSl+qdK0kIzLvT7AK0HZ0IQk8v/m7/uMa/i/MNj/1FLbp/4+p/iYv+O//2jr33d+ukv79leTw
n+f037/xR+uedv032CJM6mlzIU7d2kU/rJ0S/k2DHYt2x79YO2XlG2AFnTYgLiH6BFsn5keTUMA1
zBBJ+p5mJqOblf9Kk/D3rTsIIdBmcJ4iMYfRQqToL607HQp5DXp1vdDmSvAKnAdii4SPeW5GW5wo
ip8u0R90Cn/lPvJ6G0+OdhbtUdxkv2IWW7WYE0Tf8oWQIgMShPiLw9fZyplBT/KLCPXNr8I+DYTw
qiiehIgKpGWlC/7815B/33DibdO4w4kNpoRWK/inX9pq1Vro/dRV1UWtxHazUjyFiPhtOvnxsele
O2CBgZKg6K3YZHdtq31F3XRb0tJxVcK0LrCmXg8VG2yhTHeEDyacyVTphsJ71zN1BJaHenCDanpj
LypuH43Jfn2W9ZqQciqZ45+/HSiV9I3+2UDj/WzoOg5bsGQ5D6EI4es/NURrjdQMDADyuWA/j50B
mOdiK+8bVjnpfFU+DOJOzQ9qto96v+13eXeNvaS9stAAIQlSd5rg6J/VAfJ32wZd/dqZ3ip76ItJ
luH9NgSbdOfqvFSnNPHNkoQZm0wt6P2R6oJA3uuNq7B3qzdAkMkmbFJbL335A6VlRo1C3+ICpV9d
7uJH6QXt5WIESXeQljML2dTskWIul1b5oAuFrVTvpXQg8GAw9sbsaYRY7PD7wqHWchf+uyUGUhEM
ZqC0foGoenBWwzUmd9b8LaAooTvhxGQLU4TfDFct4lfTzq/re+NZeabCXADnXVkTCSlOlPpF9wiZ
hU4yJyAptQWUrnrwFjEntgXDlh6ra+HRIgHeckQOSoUfCkSPvc+9N8puFZ9XKpd3Ak/hFWEfLI61
G7404o4MqYzUJc3OioCpLidQ+Zyejb3mGreN6WCVCj87AzuKjSi9OkZvfGrabce7SlGEOnCPjDvF
1gPEpQF0CES65+Rxjdxw2a0NYGfbupwe/PBsnYZjeLEYtnZXHXs/P81PFo6nM+z4PnIJLoveKNFM
Zzm0Ph3cm1y1ZzSaMSHtZzSM8xwoV9gTJc4S4LDt7NJ6zgPhtD4XbyVjpKCo3XR2Ij905GD6wvcZ
XtOEcayTtSdsx0UTGzn1y7I3/fmBIsQJ0bHxHveUVyDJc49zIjUxXJj6K/2yZjv9KhdcP3uEd9qh
RZdcHSc6UxxKr9KzivPxvD6XAcP2fdO7deog+nWyj2xfPS1pYN3A5Q6s8+hNe+tzvEAwcV1QjC5O
frG+8tiSu6nYzWjjvEmuJK+8Lq9xs1kDLk5MhE6q2sqEncbBEvr98ftLW+Bl/Vne9u3nZ39+rf8f
kJ5xxPlpjfmXze3qtX39lVjw/Vt+bGsMkJm7sKlRoEK94N//2NZ0+Rt9b30bfvEVC+LSP0ZfgmR9
2+ZDmN9poH7/4k/bmvGN2GJagPzDn7By/8q+9vsFkd1MoQZiPkNGtraxEbaZ9U8L4oJfimN8lHlK
lN+CH9scdQUakpCAkp8uzB9saX/8ShCeGNKQeKz8Mv2mHaVLggpZIzOW5aIeRO1qWrP/y915bUeO
XF36hX7MQiBgb9N72mKRvMEiy8C7gA08/XzZ6hl1sUvNpbkcSTdqU8hEAhEnztn72/aaDJb/jh74
ry+Fg4ahBXfQkc6HVZ6yr+8sKsu1GYvbmDkXESjOfaPCT8gAvxYFf14HOo0FkYhpDK6cX24eqNqm
rTICFTMmBKjkpxTVsBWLY+3jFHAQB33953v463b85wVxALEpwy9hCPTrBYc0QlqbJhmrvcpvgsp/
TXH8nQ2foTd9PWMBVrz9rBRBncAf++9dk8sCGkLuiEQCIBI6yg/fkwAuejqtjNc22+qtMej8B3az
cJ1kCGZlHPsPw1SPF53hBCYtpd4lws8PeES9S+j1dJKVzFekaxVfA8E2i+ZnpBdhurczsSpwk5Vz
gsKqML4b9U5ErveQDnBsKzFxxm45Ay9nMgYE4ax1d6yH3D+4U5W95JZTrD0rDvJl1pS0SBVNr5U5
KBqCOp/EczgP3VLJzHsZcNBvY3oP9qIdW+PGH2z/W2iG9qvNT8cBZFbYITm9I3TiSHPywqJ78yrs
sxm0KVN6l6H10iNSiWHZkFMlVrPsUu6H5y2mxBHsRXI60lbPdxB5UR53CRBXTs4Xx2vGtaBvjyy+
b5LlhOvzqUS4t020Sm6yEQdBXrvJ3lZBRzeleDOrxqIVMZaUB0MbPZluJd5Un4mHGkxARfc/6wiQ
1PqbSbgNHa/Rzzdkf/Vb2rJ+tMgLfAqG22MnCZKaG5xbaX/jEDdDsm0z5e8do+ZlyDHwFOdORdO9
Nzn9FoZ6HvI2uxd2Tq0W1+Qp6dThmD4TKqBK692dpbEkTAppH4nOcjWHiXGaLNxQRmISNgQW4Fvk
arqBcSge6Q73iP6q0EmWmoi9k1upbDcU5AXQLESZOjfs1CAdD3EksxuEgtFtlzekCXiM6ZBfyWzX
01tEml6QaaKqa0MvSW3OzMwqlklukR01tFiRCqdBEl+U8NFblHiHLnXil0iQZ4AaPaQ5NeR4mmMk
2nI25YE+SvlmRS3lV4WI/dsQCsp5xj/9boQXnmD1UVi6oCvvRJKk6aJplV73PZYKu6iGrVklN0nr
zS2Q9f57xxJwKKYAk5xJbl+9kFKJ+85kD+xNsz2SR+juXZObO6M53RBW1SCUyUbEeWUz4r6y0nzF
uK15RvVPfThwcE+YHq17BIfeSvZYY/OhLBdDQWCL1MO4CybhPHXjUN3SB2uuoRXZksy28KvfzeRB
Wan7bNiFefCLOHtyzGFm3tbkr9rwvXWDo3ibzj4xRyWuojLxnjn+Yt9zO/1IIhkGiMFxT+5gB1+I
qrJQ/rj+to3M6BB0cXk2efvw/oTC/EKnxgTiUIcXWv0+lou5nB4wBpurrBrD70kSxTekjwIJ1152
DOhD3hlO2z77sva6OxtMZb42+BjtNyO263htaWgNu67UnAtIQ+3MlYc9Gb+Njkm+uldZK5ttNFhN
s0O1h0xwgEAer5reaMzvZQAZfyPR44Xbcm78chs6PqW7DGRVnYlfCneZbIP0S5YhuF2AszW/I1bu
vQ0Zs5FeRwnBccvGR5pwZkvhfs8RIWLwFDr7dW4MeqsTMT/epsyKvlsZmGnHg5vUVxRZ5N+asES8
lKbmNrfsCA9gUNvjag6YQ+1Khw/75nu6f0yGirwx+NiZt8aXaUMon1tY2douxkNMtlZ1KAM9fC0L
0x62xHFMb5B2HDIiAUbiLLfa6Vtv0g3d9jjOnwjmCLxD5sXdz6Ju9QMsbFolaRaC+riOoDgNFBZi
X2UYjHkLEhKmIxFAoltREeT3HGB9oojDL0mYqa1ZY4ZybdtYhm13ckzFgJJ8pYVqvXDVdwq23YDB
UQVevWqq8RD58aYJgeSJUodPkBUUFpU0/WnHel4ONY1d3QSgWnmcJv7BGsuUbVTdNnLkQTHXWGZ9
YEJudVkvuB97YzB+pI43nGi01bdQGwSDtZ7RUuVYu8ogL5mH/yHj8aqY34+RyHYm19sK4uIW5Hg+
tn17ozgPhWUBksA2fJMEHfKuI/eQRP6w1j3h2mWIY86y9VN/vUdzvGUHWvuNOnrdeHRjY08+8zGf
8qdxbJ6dqkm2BG1+cxrxJonISTt7K9RwEgi6fTMevrAPbRvy5ciiyPcu518GeXhH+rErFqFF0R5F
/b4qq+1Mv24xuPMTqTFoe8l2WxHF95Ynil41BL3e2XaB+tlWYltJ+8bG6V7k9UPV5HelpEeHcGk7
unKbeHH/2rM2MNbCuAdJbe8RkIwBsLUvQxn+jO3xMVHdDU3ibR+Ud7XVX2rPwhQfB18ZW5HcFDIT
110Iqr5t7/ya52iYd57ZHOMcD6xuQDuk8beJw1zN6TgKfvQArmm0B6t4zp8QJ2LsdHD8ZTn99wyR
XRjKpWjKk+NML4nr7chwWQ6EPcgrSyIT9I3ROXX4qQc+8YyJIdM3ha0OiuhaDiaCepMDv901m1aR
8Zt6N11LlpZjupeIlPFFIfuzAz7owfbUmkP+tiFTrohQeruOqs4NQ7JCFTxHVrHDnL+BGwWuKNcv
oUNyD3E+h5EBLtBNNNhklrNYGhynh6BajRWZOv3UVKsIjgau+tFdilFt08pv6EqifrSIQa18YlYt
z9pWDYa9VKtbg8ysr8LngFZLW91A5riVg93X1xFYdcrxCTActPPN0CcHO8E5kDaItL0sZ05AaWhm
5dlVRrTN8hJCWILawT86bfyGC+J7Kc3mPrajtUa/vgCSeEhdQLQ1Te7ETR6CwkeSEMmb1EjLpT8a
wY4L8OXTktwzvaqVxMHaGWpjTP5XHeof6KIoUBwXt1sVcbKP+5zgBixSbie8O8tL60uCyGCVMyRf
mKa61HXBACcw+juzq4N9UDnPrZFyy1p9DNCubtzc3NP/NbdR3XX3g+pDKMXNuAELg+HQGt8spKRn
wnS9Q6/H2zApd9oM+yXzhvmcGc6+8Y1qR6rXnuHatJo841Wy1+9Ez2Sv8MV5mN27chqznbKiidZy
mr5kpr8k6fySw/15jq9N8VHhM+1bi9Sz8b4kJXiF1vO5C9x2o6b4WbtccbxO7yZ/umuH5KkS433h
20fwmdEisKqYhzvc1qNlXYRnnEck6cuYhhd1QfwwafMi5LCXRX0XSH1gKHkaSFKE/4UmiMl6OW6b
yj8LBndr3yxeIbEfXVvtqmm8qehTb3RvnUCMPNZa/MyScefJ5h5NwFOeu/fSkZcoUycvj2+zoB82
w9yvhWaqDghHLhM9fXPJRdTagJDi74NO7VqSnOfGPhm8rgvb15uKjIAqji5AJtKN7yeXahDvQKqx
qQBg6VIkFJolCJPNq7Ab9PLiqtj1boiQXNOh21gZvsE2RzPhFSsRz8YJTcFjN5vvJWR2QDIDkclT
skLpZvDIjvGhlcyaFV888hmCI9lAHYwensi/a/w594V9aT4h7jnNKe96qxRrYWXQXEsceY/64yL4
m0iQe7HrMgM/gvIDrIZyQNLfe4ugtr4YhNSWlV+vTTV7DFQGvQ9G2l+Gsr6bPj9iVoO6Ie1xKTLj
W53b5saJeqyAksB6Zv1f8gqVRYz900uGlClbiTfWcmhp0WZM7hzVzEvH8oJFZFkzRtg0WfT+8G2I
qnBZDvW5d0fjAGUWKIu8PioBPpXydSKB3EN79DBPub+opTIXmXcVrHQYi+oxEJuOdHinGzR/5Pii
C3EucvYbKHrcW/JK8N20YmfPbbXqYHN9twbv3QKXpVsURqp6C0sfGZgV3rBMrW2X25tHebepXYDU
DfqUTYpLZKN8lOFNNDyoymNzATvC9+eruOUlTeof+dQefTMkid0l99NsJAaUFhatFWXxcQps6rc0
oA1W0JPsrLw9MqG2N8jVjP18zYdchMQ+7tw0K7fVjC8U8WadUrNGeLWv4dyy0j+Kua+BZV8T3iTz
YiIEy7WVNw2j9J4mpAXbZiFac3piojsd2shwvkVBlD1mgbq0baoR3aniYe4hBsJKQ24Sh9apyDoO
Imbn9k9mCdU9u1qSzKId3wkN96OlVcRiXcjKf0iQC6+qiDPf9V3kqYuiaEmPpfohppiouDpxngZo
aj+9CBpsN0qS790irVc6yeqlH2ckRPltMC+jIY/vY/Kz3jIzn3ZEftGmvE5bTT+75NpKfqQ9Lo+V
DFr31XADY9nbhsP2QFlN2zDELYV2ZV/68QS/rDX1PumvU9V0svztXJYcmiJRWCdirtNDZ8Jps0fw
N2XSzbeh79JAHZ3pomCNPXRd69xILyvOKgteqhn0QtKZ9o8wF/ARyBjleONG7hLrWrisgq46KVbB
LVF62alWmfugdEkUm6QB3ZWM4shqnDZhg8KoNhq9DE1nuCkT233SQzvjWYsBV4S6bs/uOHjHNhFt
v0j9Nryrgwj5iqiMJcmmvE5Dg+Fbx9axNIS4ozlQp4h3ZHa25gJ1T5RR/oamSQgejrgMQ1LufbOF
Ua1rNtCvE0/hT8/rae6no/U+BTI/mdlcL3tX18e4UAlddCeltsAvhaiyIUAzAA7l14dsHKOtFQ3e
rrHD7uyEHdPnxPzRt423icygW9lh7D+m0yRvmkA0D0gY8dijehOqIOSaCBiUev73gZxBPAbsQ+0c
8ENPlsJoX1f66ERzf6+c4trV8NKp2baphSJyuv5Sh8SOjDHiBYupmqzbHD+b1iezYHLl/yxbLX3c
CA6Pwy3+S637s2k3iRhXkOozhEVFZ5o0/rULWXzd6AzGUD6GbrGecgDudLwMcSaROrRv3cwXXzuS
IIFiTSmSosGuonvS7E/44FhckQztzRhv3sIi5nfbWY3/tdSO5LBFJrgdjlDdSC4ER51aFKKx3JTw
pDbEWzYnkorjtZswFEZTYeImb8DW4aHAWl6E275wnQ2cGuC2vUl5Mg9rJTXhkHBxq7EGLVIwtagE
s3M4+h3cJcs/Yb8hdqEntBHn6EJMQbvg1DZtKzb+GZiDBRDA4+fK6mHLV50Ome3XW478D5ps3+sP
7O9DnbiLoWvWaTdG57SdXsCf/XATOu7acJB5yM5YD0YsD6CYtsOg9iV1LCOUkfP+NHQIc6PhNEUa
JMwsnM00kYs+kExw6LJEnWt4VURuzvmRaGoQEmkjKDGlfA4D99vEC70lh9JaIbuHB5G7/ToJe72u
SvsxtKiC9RXZmqQBRwoLS36N2GbpdaF77JBCL9ETDWdVeDXs8VLtu8phZFOEFpvlPBmXvli7o49D
FYUHIaEaOZMzvwcq5tGzJ3NZ+NLdaNHwZmmLJIUidu+wOx6Vo921L+cTn8fBfRlYK8WD1CyqoELS
7pv7Oam8E+8yegCFDMTIBHc+i+0bVSN7SCoGDa7ZbSKb+KOG0T1J7Z1Ov7a4UCUWuWjcI0J+r+G6
gevqsrXri2GNuKXaQqWy1whMnCUSimKVjO0bYaPlJmYQTqisb6DpjZCQzX5z01Q94Dike56KngYT
taynSdtVjSY1trEXtTmE68Kqgh0vvLeLJlevrSZgux7MTVXQhxgQyD0zc282IQLZJQpMQuN8eWFi
py8NrdoVx8pixRmjPzoZBntUDQY1kePoDcNhArvZ13DqeQg+SORQYAUXXmSER05qb/gnfiq3PMY+
a/M4F/mFMb5/ToLwxncAuzjKGl4wQ6b7QMcTHMxB/hQkSSErRvb9xRlYBvMiuqs7Mzn5BoHB2SyD
zWCm8e4akPkiWJn3dWaqFWnCHuMjoBBO4wOOa+llsBP05OqSXTGliQXSznP2ZgvsMbfEhI7WDdZI
n/WJRnhxk06j5qSTlu9GGI53RJ9BC0hR1bw4XYkz2hfhPuTLr9t6mteN1dlgEGz+Yl/ExcEytbcx
VWfeo+XGD66VAamoMMwvfoPk1jKku0Zf0j+UJaJBDuP1ulJe8zUy0MYLo2nO6VgGe/TzDPNQjtHZ
TOurQzUN0E7XhR9eDHciXKVpnjQaSmCLmVwOTO2XjlT1yrLQkURj/mYlgo24MnjeiuZptuVFRLV5
E1WtycIUUJZ5TUkudSTHPFllOvCerNTIV8lsRdspUMYB0H+OWjsv6EJUX4IrqI3CcSo1aX0h6m6q
RQPPaGhbKw1bE1fs/MzjkO5aBTewG1MLG23FOM8aqEFjXo+rhhBjK5VyK16RYFc72Qm6ztLA5V5V
t+6ELC/2C39zlecvUvjxy8Cv3duhyYuLreRF1QRRL2ZPmyugge7eqJIvXS6+ELTb0vuMOclX6Poz
1F/MwxWrBI+ErwJzQcL0UnbuU0P+4QJDCjXMvJk5Jo4o04O+XNtT/eKl/i4N5a3U/itSxndqKYca
FzV/MxLJi57tO8o4e5PabbEObY9zR9u+x9GIy6TW+yYxOOU1ZrcXCrAF75w6z1XWnfC82LsiFS2y
ylzv4iYihb6W2SZKPMPEj1JlBz0mZyfRX2Wj34y06TmyjfoBkHl7b490OECiR0wKVQFqprNu6r6g
zgSW56NeZf5pJ2A2rH7clE4ZfA1bPX11ZM1BSvrGueqpnvMEFzhKKiBZLsY7e3pwB/8JSsOxElm+
yYtslWcOW5yKALtMzUvpapTl4bith+ngefGOqmFFR/ekGeC/NpqNNIvNFQeq3eD1D6NK1sRGr4ps
vnfrHEU4TTnkzO0qMauzPw84rHFESCcFqKKS5G5U7YoO+ErxL1UOz2LaN/uRjHEPQ76XBM8kGh7T
0VnWtrUFeku+tb3z5+Jxsk1/kycF7Jp+11esl0Fy1xr9I4zAL6pE0Vz5O5qq16CjdU8/JCiGQ9QC
hYndzRiKHx0TglZgDXHb29KYHeJN5EqNYpULdluYjyurMYAVqnVb6flr6hW7eSiZ4TjLHKJsTaWe
58ZRNby9ZQCBS2yKcADJPDBINqYlT8Yt6QmbwCme6mJexQk6rWhEvsTZ+Hq2maMDgvVl4dQbXqsN
NOIOPZ27UZn1gAhsUaurGdy0goMO3C8k0i2hEK9zu+cpmldBhkE7q6lo43Dh0fp3LfY3j9xs+u+w
qL4Xsm4uaOzb3WhV0Annw2iN9fMo5aFwFNFW496O2daTcNpHkSRfHsm0nVEjlMOpq8otJ1Oe1VCe
SiztdAzQI2N84ZOiPn+pUwUci1CRIFkVZX3LOPTZM1gG/YhN23RPxCbdly0dpMDs6K2ULN5ht/Eq
wVgAfVfRE5Tjniav3cZAhWh63EpZS9QMUORiBkedvyG8ojxxK8+BEz52nTpk1jc5WsSfJxuUPcjs
7GOT9tmKDPdHYkpvtQ/rE/hVlNJ+5rQTYMPvUWpHAeZ6lRQPodmcc2TEAzu67LD0NMWwmlyzXpSj
vItiYMJz8KoL8r95+SI2Dxqkxm6y0rWU2HBcdzrhyz23fs164Z+Nvj7CB17hQFm7RrWHtrFBpmsv
gonJH0RXJCzs8nd1Hp3kkL6ObX+rozJhhtAdrHRegk317+msa8qAHPkGwRiu44IXQTVrGNcOJlza
shqmOwnYxwhRothzl96y4d/lbndW1JSzmdFBsOit8e0z2EGZE3THoYzvm6QGhOYNxzpv13FPJ5bQ
1W0C4LO2BVQqMg5b/ABL+k63pVOc7GtenhuN94OjH0gNXnmpdUx6zEsllpV1D/Z00eE1WYXwcxdx
JeEMJeYuwdrFYEUeONzCK7JfpR+iNsn6l8run4j/HrZGPs1kY3lH29KonnP13Rx7dpf+5wSUS42Q
gsAxT2XyMlwR107zxXLwMxDe8prL4UjkW7BnGPFos2rVDAcZcp5R277rQR8wqGyI1r7VQbqL/JDl
kmnPlT2Kh4God6Hu0WvOS1wCyVIk07Gxxd5B0xIGzhd/Nm6gwCAEv5rz2sh+6JMSKoLqlnaUn8eh
+JFWEviSta0n4yZw47egBTRF42Uf2pz8rme5iq+OcfqGw8lKmtnRyeNjGEz3mYsvBlPrMnbaQ1m3
F/a/1yoJ7KUr/C95FE/bwuqonzx/HTEWXBYziEGVnZTVZ9vQmL8ywl6MxXQsgv4mj8uZg0VonrAq
JQ8i4iBu9Ol0Adgc7ke/ApKmB6t/wIPxmKVYtGPi2NZ4pCINCkpx7oInvPcCHCbCzPRpFCa0tGC+
1Crpdn7Le8H7ke9bDVErmmz/krOG7DqCsL/o62DQjGIqfeF3euGh2tznkw0Wty/p+PiqBDVCOfts
pDrFyeQF8zExpThbjtMtUTrnzaZqjHgtlLqWQL67YZLMFLnJs13W5fFDMYfpeyat9DbH00XPPMBR
JsfQXEF3te4HnTi30othEWq0uKB5M/PHMAS0YgwxkkUfhAmq9HCuN6By3vN4CtUuTGwbk08a9S/G
2BCNbo/VeCuaHjzahP+JzYqY0h1/9nufh9YyLEp11zA+3FWZ5T3IJJi/usSb35Bl5F+MANffksaR
WgdJBKsEtMs6Vvl0S+9QviDzNV9HWsm7aiTOmNCDsN64jUkKHHM47CQRFr7C69Bfecl43/DLrDXl
zTqs23klLPawso2St6DxgOy3cw8Zr5uWjNUl9fgV6Jd209HpJ7lhngD1rgqDeyfMIX+Z5B2tc4qL
5EoCkSjMoRYArRnPNlEQZ187KNqx3o5PeRlOy5Cj+2FwRv8tLgL2Z4s2KDmVUOD9fliNdj59AeCb
LkYZ/YiuuuVKa3SF3cgGIAKz3rVW2R/8njPRmLTf0ZK/ep3T3SS0D9ZizJpHAvGQhNtVO5yCKasA
r0CMUQ6d1XpM6MrQWF3NSoilVyHuzZilmAWtn5CFkqkkHVTHm99LhoPjIg6CcT8ZLex60gQXnTl7
G89vIFpWCuUifbJ1E5kruxKXiqb7ZqLvdh+Yc3ZMOsRfVAXMhuR9XMzUwY3iHzeR9awmvyzXA9X2
16md5n0uMxpl+J/bFTXssHainI56ogcoNDl9M0mvaUBFf9skoX/GRmxcdBXjvfOGqaoXTjLRuqiG
/MYiNg5JoR0dbTWN7B0jXq68QXKxGOuovyStlGgRRXoMYzu9g+3y2iir2dAAajdR5uZbaifImp6D
LMys2Nh7EMoXc/CqhCeg5bCdBU526J0seAi6LCDPsa/a77MITYWQXhWbxhv7G78mGJcqr0RcOFv9
diDOgKKf8o0zvgd9324VdDydMk1XoIp51+ifICefbHwVUYfKskb7DUkIv5Yb19mwKbCw7nomoGoV
RCkeWd9S9qOoI6teORPRpowMAUl30RzcFEWPCrLWhqZi7PRlygDIaxF1zwK37i4bkngVOCPe9q5z
zgmTOv5Mw72QHOKtHEIauKeaxDU/razF/8wlkp26F/E6FQLEe9dOiDVSUwk2HbhZV6MY5jS7wrn7
HLipGz+TBGEgDoyZcq08COFy/z8dKH04WiQkRwMkfUYdfiSYk3WNeXEbD57z/2RFlraupGdRp0ib
F3HCZYFplv1E1KSOn6JQcjz+Qzf0Xynv/j8Fx1yz+/4zl2LLZvrj7RfR+fVf+FOdh5JO/qEIFrbj
WmSpoR7/P6Lzq3jcNZEHUNgAbvm3OE+g20N6daVSMHSlV4RI60/Jufe/wMnxV/kPqRX8HfnfSPM+
asChC/AHuUAwBJ9Nuh+RLazFUS+L+GyoUb1NiEDgMQIL/5F2c+3i0insW0e0lN6ZYri2bgtvqI4J
AKl3x+8LvWdPHMtPVHy/kg/A4PCZUM4wdfT4H+rFXxVoqGwa05pyPEe6fihyw3mpR40q3bXD7DXA
wfIlYGt6dhjDik+EaL+q0P68dACXD5IPasWPQIl8xGY9eOm5rFNjEwWlcxoL2j+GBX+yY5t7/8uD
8hu94u8uh2gTGRqWb9R9H0RvsqDb4OXp2bfz1FvEsSq+pU1SvoZ+hSUWVtb3f77er/rIf329v17v
g9Repoareq4nUGys/cwEb4mbd+un/N9/vtJVaflvOd+fV0KW6vgmGCL5UQTPMZEG+Ey+eF5259TI
yH+J9fCJNvJ3DwpwjMAPvGuu7ceLGG1K96dNzpXfV1sNJeynahA76LTN91bYNe99444rlbvWJ9/u
qlj927dDw2hi1+Bsg+3jF1Fmm81mWUbxOSL6FWEBaeNEYo3RvT9zECqnfjhOOSq+InONexpMjbf4
f7i7gbg+oqTfoUH99fqBpzQiFa6fVeaawpdhKblV//27QKwoS4zvcRX/Y5xR5vhd2iGsT/zEQRGk
jS0sjvRuyrL4bNWqu/3n7/SHwvPDTUXaCYwD2gkXFR9AMhapj9RwtOsnVR2J9jGeq8RKbitThnc+
w/4XjFTtVrsyXZh9ZsKX5rXxluZYfsbQ+c1rwut4/S+vJcFtH37eoRxYocLo3PW5WHaMf1dhDyKk
D6rhk3v8mytJn6g5XIbXvOOPuK5eGfjmQ+80ICV+JiIm3atgprPTpOnuk9t7FSR/uL04nxyExIiI
MSx9uL1Fw0rmpfKUmIl47LiVrx6cl3ec5nN/GDHLP3lhnDI4i4vsLTT6AAleWo//inP4jxFkv3ll
EaTzba8RZOx8H27t5CQOWVHixNvjVRhya/u1nrN6XYB5OVNZFU+zzqFA53b7iTHnN2stUQmmK9hS
HHbV60/xFxV6McdkGkt5qjgL7JgodZssR/yYZlptQlFG+//+fiPNvYLgMFqZ7LC/Xq8P7Jg9F3WG
cBs6mypzCJ/xAvpTRF31zxjUp5PCz/s1MXyxM8JSflUpott//hi/u99//RQfFPGs8aija0JL8prG
Sajj5mfLKWjbO/izy1RDd6mCetvJIP7kgfvNDkA0FRmdnCdYPKzr8/iX++2WWYz4RpywRM+HrLOc
nRgiK/nk+/3mBbraHgTOZIh8LIi/XqUbVWjWtTgZodmtAWVYW6zf5rIVZXf45zspfncpSeSMa13R
dlRhv17Ki+bBcAZxSnPW33Xt6vbBA4u5sbtEYrTK3egMlnXcJ5a2VqXd4mJNkY0C6nCaR2/E4ObY
jbxM+Zii3HKUrz+5F79bQTFzWFj6kNZgTvjwyPllGxuIgU6ihl9HT/rqGA7yWysZ3a2mUXMfp0WA
J30O93Uf9JuK3vgVJlV/9uxf3+Jf1xriWmGCSZPt0RPiwweB6mvgGXaPBoKImzBPUhABNhTLwW23
ZMvAxPaYRidula9CMeV3fm7HSJfsclezWf5pi/2Pa84fdcDHj4OjAC+LjdfQ+rj0yakfK993jtis
801I5tM5KpLgISlA/bleHN0rFAS7QOgBEOkoNvBzh6dPnp7rg/jhM4B/srAE4rnkoP3hlqQxOUhV
6R0NmWDeE7N3sqIwvDitMlbK8cp7xMvJrsy84CAT5j1FKctbt0L28MkH+ftj/MedIFWTm+H8C4v1
l/cypfMyiN4+4rhIv4euU68iB7M7/jJZDGpYNV7Q7qNONTvZmMnPAC3qs18jWxCxnPeI4lyyrWx1
8YEJffaKXW/Ch5tksUFdT0oWZePHV0wkVnFl+x0dArcM7GKxs+q1tvdWP/XnpngLzZl4iJmmuE1Q
HhZZgFZU8jjvUNM1RK0NmoPa/z3K3f7r2n/F6f3mgCRw/OLMZdN0PCB3v771kY1wKdOAJvsE+otE
33w7J4Qo1B21B7itnMZ3q5Y9ccZgsmF3+QzKQ2jEd7GK6Gv/88f5e+F5/TQOB0N+RMrPq3nnLz9e
nqemmTry6OdjtlVeiP1ATcJe9JPq1nPV1Y+EtCEssOvyMk/e/MnD89vLOzhbHWiKroUt7JfLo2dm
HjRax2iI7I2GLwSC52rsGIOpXSFs7e9UH5nbUbQvGbzFT3aUP5aNvz0eXBjGo2Bi9HFLTUj+MnNP
HNOybXYEQaJAjCr6aE5u3uUqEK9i8tWPgMRB2FFmEu6nIN8zCWUkxP1ZFUXQ/dcnEEzj3AzAdZKy
9ePKkpcGDdqZ0XZVzW80cnhUZxTtRIdHxJIwpdWkDFLiwXwkJ/Gfn4W/b7AOlunrYsKtEGyBv/4Y
RjzamQzSo2i1OoS0Xw9lbmXv/3yRjylOHMa5CnxacQ2HInr4Q9kEkKe2mjk+MqmuLkwZhz0q6GzJ
SpHw/Tx7k/NMbIHNJasww93JIFBiKY4lEXq0Vl+gpNvpovSbaP3Pn+zvlQ0fDJ49QE3cj17wYUGl
LZ27ig92pXvupkoUl8IOkk2IWWjplx7xk1WIxq0PP1nJf/XHXU+2bgAykKoDiyRbyofbnnXSj8vC
OPjoqsg5IgsOCc+Ie4bZVFUzmR3Da4DqGE2fnfr+ONb9+vxz1r2WOtTwbK0fvzKMOt+eccWj+gAm
2CBaKcaERJlUPOERHJZgc5p1MU930dC4x3FUzsYhpXNDGCOGb0Nlt6qBFw4psHvwIMgFopzv0Dep
c9EwuGmG6Jsy+8d+TOWBuPJ0XdZNsFSqNRiIheknVcLfC3LPZEdmO6ROoHL7UJr+b/bOY8dupOuy
79Jz/qA3g56QvPem91YTQkpl0gWDDJqgefpeV//XDSlVXYmeN1BAFQRVMumCJ87Ze22IS4I1NThD
Esf7Ifo+TDdoZofeA8G/cwiHvf33J+bvF+Z4QHIYWDnZdR0JsX8snn6PU8X1z5Ygynf5FKp9jafv
iyXyH86Kt9JkIGQiqwJN+udBTEQum1F5Z41hZTc6cMH5KZkT6IJebkUxVBj3/35Wf3/PQVpYEU4z
E3YCIIU/DyjruafoIL5mVWVKXK3eicLy92DR7C9ODQIlP+v3B5AeFbUv7ULuGyd4JOn+fgWVFBPR
EMg2MNWOe5UTcZng25LPJgoLjALg17rYz5rt2e5YuY7iW5Ing9nR8tQfMv/Sni2KX88YnBNzrjf7
ZFjtngS4RRXTDslmdW3NQ9mklQx91H3Rkp02w9r+nKBEvIPdHNT96tr1luCDyDq0QwJnSS/qCxR9
0dugCFNIA6vovlvgW8Z4tFHa79wQ29MO351461GA09DPiokpmm9VV0Rzwo2binGI9jbkmjoBNubt
IncjVKEdhHgbc3u7aBDUDakMnR7QGsKjjC/usbM+d6K+CXBWYGvqnOmNl7//AGy2nNct4Hb+7owW
YRKT+Bg6sI1QNFfYDoiy7timmh+DXOxbp5wF7LuuD2ZwR5b1Q46WyFOj3raOVCXhf69a39axNszs
m9tYK6ACKYSTZrNZnUuyC24nAdASM4lrPNAEsIsDA7WuiyvGwMv5VrntnMA3YrA22AtpQ3kG1X4B
UMfFa5mPIIxvgU8wRLcrZbz37IIeR3AbWVwsfsQTjL1AEwIvRqxD3Vr5e1H0zzZmJxgQ1jgrlOO5
UjuEtCTB207FPGcdq4DkBb8vkS9OmffhFGZ/hrfPf+llPc74DPMWKnkj+V8AkDFQNssVUIM15h34
v9CZz3HObGU60e2FaGUKaKoCpFoaGD6SAGbrBYM1uSK7HySfwhSU0HwyDI0DgAgXjZG2TtnAC1Je
dt30GryIj2BIpTWUoBuX3AzSRCo9Y+YE1Ep4KpYXBCglkIq66/l9FBPJfJf5OGKTCHNwdq6jGnEt
sQfyUBh1+OZVdukmUo48VYNT4iyJhNRPvAZE+C2mt6Jl9vph3Dk97DwgUs0rVZXdxaw82Q/ss8db
InMDr2251qeTHfRPLIoL6g+UaA+NtIoXhH9Lv6uHxfnpS76ziHeUe9cLxw7SDKj7lDbbikuCx3I7
dqok8oppWb372XSN17BwODxERjJPOl/M5yJUwjtgpYMh2Y9a1Se57iP0yBD88KXWFX0CA54YGJYx
ALxhBvX6hnkYEYxqhCRkNsdAVs41fiXsZQ1m4D4vozRvtw74KDxBEtp4eKZzXORtSVJLQGmOE0bJ
w9xiXSIG1psF6oSGQqmZowomBVgYkQjGbVOqsI0xHexaYqtkXusffqUDMzbdgPns5jnQ7VZHmPuo
1/mFO5vbQaOzFfAiq+qJBxndeQ6J6bqjGCyS8ghXRCdWuBeOiAiBmaWXq1Or9ZwTiLd+G2MmxQ2x
rQYyZ3ORYPy6elNJe8y22GEizn64fl51OwdzEByefmi9dFaNMZK53o2vGRBenHAjehNvsW1iVEjo
RfHEhQThhobkSZJWPhPP0aJeHWcTSqJwSxaabAbmmvYKGTwq43Bh1o0Mt0nHEpUhVRZj01gPfoCM
qC+jt241LXcntgyHbdQFTXhRr53h4IBs8S1WwpJXBo4YggbxQf5AYFZQAtEUf9uC2ob9qsIHojVw
elg8kWaMI9BoDla2Ydvrla+HpK5zG87h1A33vl8GfSowgHTxaIUVs3qB3WWHnkhS0HbHAhs5w/RY
TjU8VGtuseAydKQimbBqXm2NsT064cCyk2sMc3nVbiH7udkghAhAVjIjgbFi31uMW6iFbKz8lRI7
qVYW3ri2B305wVSWLDxte+s7Q48Ed4nmZxNq/6tn9/YlVwrcqV+E1SM3QN/lWWDe26UwnCRsJBaZ
JpcmOvgGPO4uJFBGxZmzDFG8RBZpijZ6xfuI3WxAQAdThGRwKvvCd7ztNZoovVAIiaMeSMPwIhLG
wjQV9p2Zpy2oM7TlGvVeuuKFJyhpzpyfHrTzS6eSlZesnGEHxGcr7m3X6Z7pt9g/tNkub0vQTP4O
B2jzGLB1vXGrPnoyfHe+yp0sxHvXSMNHPmH6eCXcHMvlJiDrpaaV4XwYcUvcmnBbkQ/QgiLHBHWh
n/Sdyz6szIdjijlv7A0qerRq4yjmkzJyqmfb1dY7rdjsRjBGYwxuLv4dlnny0tS2BczVqLEvRMWd
S91+K4MDZT1Qcz1vfCURDWd5upmm+phNqsMTVl0N79i2pgoJMWrytByHmgAeHkqE5BNuk7PB8+YX
HHC+t9OlDsSpSQ/ohYyUWqe8V9N4uhJ61Z8jdTMeVlQCO0NNTnEQc4OxWWxRhZ9ISvFYWzgo40Jl
/rVpKCGSqelyEkAXc7QSvwlC/MBhU/HQT6t1QdFCw74ylq5PZoT+LP1e0XuoSTIIwihM2/eFkY1M
PLQtoO42Fz9x0HuRPu2WWp5tFYWExYJ3XSIBnd89X08n+HCx7kvApdPZMjo2AuDSaVXiWm143bst
3lTTQTxAJFvnfHONplYpxdDWJko6K9CDytevdQ99YbYHCSbTwfmdLIg27qRoyNVcbbv+GTInW9Em
YvKHkOwGYdyTLI9bzGmmO7bcW4XGwBEEoE9e8zb4WB32boDZ9ZK89dUhWzLyT6QSgxUzWXUdFjTh
vRVbll+Nm9+9kTZVK6TxU33rNoHxo3WiXNNKkW6TDkYHbHmcoqPS1RXuiEFDKRacqLp3/HG5aljl
mWZRr/NRwKaNzS3LsXdtSphnJruRjf1nMBvPTest9QFzWER4HQYPVH+yz2D8epnhXlqsP9SEKxuK
G9e1NIGgBmZUosOijIzvhScKLmclBbxT9PE2AVc8mvEiKqidxUTzHMjrNj35bUZNodEF0kNjHLUT
WHRfBmVVWQoFGZRUH/jFc2n2/k8/m0u4e5qyB8YSuR/uFMy3HmPCMC5sYSE89nr/VmcBMUJ1k5NY
3q8NuiNHcgWTLKSOjr0NYRxh2WuHXSnI8Uup0PFeCqMsLlbYBffblq/3K73XB4fweO/UkB1NGLZd
yGsbM+vKXTguGvtDoTtCT6sewrpDw98FZ/Lu9fPYpaN2vIdlKJYHWLIO5E6CTQAE2FkAF9fssuuC
uc28R3I6ZnfK69Hggp6FaGj7XnbMrtpAjORIOpE5BhVewWNhfWlQK3R4BeTx29P2+jaY1+JbY8B0
GqMNNoBNNGhHFmNxoJZnTZnnAcyCi2AXoRgmUCxeEbmmNX/yzQZju6TFYobLrmL5vfQmrR82eCKA
sEwXJosCDXoL7yM4sMiU8lCBjt92eebTAsjswpWIW9zsPSvM5q4TAfoUV6oJ/G9IRiigWr6TDsvn
DHLRaAhNgr68xZURdGSeNaNR7F0xW9bOJnVpo8Sdog9rUF2YLNmA5htwBrcPHepoXYIUtfN9F7lY
2pDduGgZpk3iJ91ITMd1Kh47tHXDHruWdBNtDKiWi8roY3cIVHMewiMmx2UsgeBPevV+VmtbfR/L
I7rUD7gnKeLH4QeFLsLIaJhzOBdQHBDadg73RKwhKdHR6AYvrVHSDjB8xN6majB7I69CveVp+tA7
08/yZ/jE1iWD4+0bHuL6iXA25EBiwrrS2fN6FzV9qBPQ99PBX+pghp67KcofRKMHn4ZpduLo4UG3
VXRwDIxpSVlTbEFks8mNpPRyLhcuzi262bI6wbkYXvC9dbE+EkNC5eG1hradk0o3pNwx32jvuq3X
D0i/IIeykd6wds31+AOTg35dhVzvGh4qkUqi6cGAL1OLQlnJ0UcjxkclHlZkmZj7hTpnEpMZiKQH
ug9YAXuLdRvfQS9GHofCHZbLLedkdt0w4Jmhp2hglMjtn8uaH9PYFqfbdwrUeRI5Y3ZvrB5oOpD6
9RWzaPERbJU5p1GwuS+t7QEzMUoL/3iOu9TDkrUsc2p06zKf9AEGODZWCvtfq3q89rSz4RWj5gXz
4UbL6KdOt5D0Z0we6LUCdSZJpi6S7IaornqfSbLM+RRnDZ6BKn+nmRWQhAA6CXvYaCwvfl9N7iGY
zexDWNo+9ZyV/F0SBLPX4zTiqhhRHp5yF+Yd6zsBX4VtL09Rz6uN6Lu5DnOBo6aZIT/AbsEcl/m1
NySFOG5tSJSb7xwMlHRc6S/tAxViW3Ei7V9utRmFCRXhMCdarbD26in/UfQDHFcM+TYpvwUCj3hw
c35cZIkJL78EMojK3riZbETY+OXY5aRseuaPre6Nad+vFvF8CETmhc5FFLxK/uRyndVwN2hh3YiM
CwaCqibZTfkZ1uWJpWOPrDGwYmSEjYg7v0B8vuWT8YJ+CQFsoRiA72fHbD7qQBoPqgorrugUlFCI
yXbhJ3miPJamVohRxstB3UEP2UQSVFRwu2aesa8bqPHPvJ6x7b73JurohugFkOfUqsdK0KX4xjjj
4Z7DsDTv/HZBgjiCx/3m2j2kY3oxXc3HBpFz3qOmT3oVQv1GgNddbaz8BgDjkj0m3sn1dexRw4JW
XEJIMW0VPvRj0fd7q7Dzx18NnP8vnPsfHkOw/zNs+YtrR6h32/woGci8/4p5Pf35P3/9H/8Rzvn+
f2Fv9SzPDDyfz2lEO+8/wrnQ+i/SWejjBRG7ZYSu9Kn+d6qq919M8pi5w1GNeLeOYTL/Uc4ZcPLA
0NH9Yx6Pxot22f+LdO5T382DYxeEyFUCsGyRyX/92QuzMHoERtE2+1JEh9XZ93D3R/Or+f2nduLx
KKHLkI5T+kW144r+3nErw2UW4TSQ/R6ZexnWF/MSHKxiuRLauvvt6v/TqOtTZ9vz0EaQpcIVot8f
eeGn1mU4VeXY9H29d1vGlc/roH0bfBORcs8hm0V1RXO6PbaUt0wBAwoX/94fPLClNavY8tQJdkYB
mLN2Hc47NsgaTMWEl8fly6ifmkg6zs6FnDZ9oRz66074Fk8IGwa6yNGxO/nnNYKYFCpjaSo+949C
XEMRob3y8MXF+SSfOV4cnkKf9tuR82xbx9bob5O3WUqVbdDI9qtR/rSB0ssNUC9ZOBAq9v0mAdBr
8GRWam5f3Ze/noFfh4bCGNgQhu3PXVd4VhL9MLMNJ/6m4u7CiWETJTqlKbXbDvlDdOiTr9rYn+ee
/32+ARNGetn2UQD25/kyy/LbJhLVvt1t+y6dd1lan4Vpd+6doW747yXw/zqhP2Yd/95Y/nW0o/6J
AX3khojm/jya31XHrbhT7tXOe1vS8i4/2dI7xOZpeerHQ8ruYFfEH5iR4vvbL+7sPzw+zO8o1Ijt
s//WdbARokCkebcPYMVRwDwFJ+UOH/iTOm1Ovdthv5wVu6/O+NdN+62V/p8z/t9HZaD75xm7FYPT
ie7hfk7a2Eqtk6M1IWZ/lQZ3+a58VGl+tJKmOiZC6jLbGfC04iqhxt8PJ2ES3MjL+by6HU7yfbj7
9yvi/NOzToolg3ibpYdJ/J+/WyDbpXLYOO0x4J7g/UuNfXiGkeAk3NVXxovxUp6P1xkgIhBYN9BE
9va5cUoE80X70N70Z+4JVt3433+nv29SgJidFxxlIMvTr8nEb68f2g49zBTF+3CjlXJhemF/N+bl
MJ5PIK7Tfz/Yp0ER94ZyhHE/M1XedWIp/zz/1iARwfYB3pTttFChCJxM8fHxXL640n+f1VGIhsTQ
DyybxsKn1X0ebEVpozhQ7r75zRTifzYxVtCW+WJ289caEjDyQuUd2C7qN8v99LjxlTFkiJFhl8Py
J11thyFTQuJ15FefkV8Dpz+e7OOhGBCF/Cs4ztn+vHrbWFi5GCYO9d09W05FauyqtNsPXMIkPy93
RCCnwWHdy6vuyvq+PRa79bw6qHNj/+938dOA+EhSd1ksEW4cJ6aMGP/8PWBD4s9fhLFb9jJtDhhE
YnzBX1zXz48K4zCbf9DHmhbD2c9rs+WX2wYaqtzLkj5qmWye8cXD+PnOcQR0Osdyx2bsYh5Zwb9/
eIqpwLdRrHx4kjYJb8RJ+4Ws4q9TQEX8S0FAziVsjaMN4fcD0PR10FwZ9S4HHRKDNYlid5y7Lx71
z0cBQoTTgMQ9/DcO5oZP30/QicectbbZyYoe1dz1tMTDPvviYv3TUZj3c0Oo74D2f7pYndo0Sg8J
BSULDLITB96IBHei+dX79PnNPZ4O4aAewxrEStg4/rxo2oTVQdepOeoAWbSP0AvwQUM8+dDX//05
/qdzQoSBO8Ayyen9rIumXUDnxuDKFaQQPhqTCZ9M5l9Je/4+Cspr1lcLvURAf/HTUqTCUVvRBAJn
a4lNZ70IrtzA+Oqd/PwwI6BCJ8M1O6oo0ZQff4vflvFqCCitNq/aeaSOPZhzry8ZZQSnobBtDAne
/IXo9++z4njH8olOBatB8Ol4wWg3dtb4dKrhcqWSlJaYQu+r4ON/PCvfsxj6BzA6jimyv5/VVCmH
RZ45gxxxQ9Y2hGHXGyskSsy5O6xy6b8/EZ8LdR489D7MKkP2OZhVPt2rtduEF9QOG2AcqfHiEkA3
M8nyR7a3tm9cE0DzVUYn5/K5KuB+8ZlFbeOiQSMt4tO7RcJeOYiILIosy8WVk0uwyNf+QN86LFPV
dD15AYRcN8nQocuPiT+kd7R4BtBEY6zmB2LmajizTW9ivvcwQEIfI3wx6SMHHEQXzP7HuHbONfst
rM3MmkH/6QHaXNHSKTTX3LypfEAQKcluTZgyO+j25KfSw6hc7xjgrOx+JT4HuhG7fjssSN5xpjHG
d+I9+H1hMVTpkVrnzTaLc7UZEJ6icTqa3qcVeiTE44FBFPDh7TxoWF5SWVQYZIn2VMsT9zjzmXE5
0UJTPN+sKC4sJhnEVhY4EkJaqEHiNQ1Zfi7dpVukuBbW/ErhBK79aTlYmxtdQ82bH0Ik5wQgYgqg
2bS4/IqL7sV3qCrM5YZQsDQS9zbc+VPuXSqEzeSgBQ0ZZLoLLDqPE11+KBLETyGhFdn1NNGaj7l7
skvxmVs0k+FnT7AtO/3TyTsH6J05B1d+N2ncojODUlAGJV3vrtpcenWb2ewZRWsRF5turyS/FAhP
Nt/PmXKYnJTQk0cWOVPh+e/Hbt5jFG0AnGyIbBJrJF2S4IcSIxhMnvqi3Tbvhljcmbi9ddxI6Ioc
h/ws1zZE7DZKdmerALGNGiZn3NOwojmJ3xFsF/vR3H1TEABL+8RaA5NgAhR/HzbM8S45dvzaeAom
2Ky6Glr4H1G1zbB6oE4kELCMnM8waSX1NmbjjiFlVpanItD4PA/93Knvlb0y5ZVWM1KGGFizMUU6
HX0nBuiX0dBiEp5VNLKMh3DQ06milb0b3Cqi+u718lrUm6RJuZDGmFaR09wHODtryDNTy/4EO8VC
UpXhirSTM+Mc5BdrFttN0xO2p0sAW+7RbaxXt2ImMjEXOMHUmYU7bybEaldInsBYqbrbe1YLchLc
dBiHg+W7RLjKqUvAHLArMMbNeQ5gKz9ZbiN+2mFDimNrwsxtR5B3yeiB1EIMAv5yJk3pnnd68056
jDPWruJvf2+A1fWYc4PwbSojfBj5EOgPnq1NpduRXnuciR7TO5Bp0KK0B3OABeEVwSkByIDAc8cx
POIoRNSAoaVLT0bnYHG9ZlO9Rl7LYB3MYmQ0xC0O4aOyjyHUavSa/Ag2N+WJrTp0a/PEJzY216wN
08LW0XknMiJBtK9N3Kqy67dLhEPdNcRe5mHmPIrlkBuguE6XnIZALNlQvg1VU+Y7HP/GvemM8MiH
ojSNlGGGB5RvqzIRRyR9OonylUAiF1VCHEqnAtSXtWttA+7SVrmrqtB8hV5jA4EMluDRnkv9Shux
I7jDwCBvMNdjBJY74iANMV2FgHvYK3LpLzySLicIwuP4ODm2vgtHqWG3Sx+NjWrMZTgotxrPmbIJ
cgHdwHy3l0n9yg8Oriqmt2bqgL6fktxQC3TrZTLAX8GQ9YpTVdghFuG1rD5qdisQzWFCZynPG6WT
ghS/ppa2Goi1k4froF3y5pgbmA3MQXom32lkTooklKZhdmkv9560jFvG63OT6hKT/U63hveeG9KN
gE65RX8SRiPCrRzGDFZx6kW5E1AcSQqU5eCSwdjYZkyZZV2BtO+KJJIRM81FDjNBq45CHVCMC7mp
bHYk4m3R86QbWZj1xPBAxdyFbdfkmBHo86fIbjIvGQwNkKGHvgGGtOiq6TQosgwceFdb6chEf02c
Iiq/MZmOaoRZxtZc5XAM7wVvFMldEBE22tr9NCeVVky+aUGX9Ph1Bw5x2whRTipYUURsTK63IxpI
OOfTWrT2iUvKGxHpXRG+zzaGJWzaAyrdqlIwt8K1n3TiOYrUGl3623M0dBGsijWCrR7UXXch+s5m
OtSgxU6qUAg0S5bO5stZZ6QnwCDtiqspDy1N+sCkjXQK4ZjHax2VA6duuy+5nGwvceap/FAVcX2A
fAhlhKpm5fWpK3WYp1WISpJ1cqIlv+bhgNxDm8M7GWrLFitja4ljQCh0I5hdMbzLXN5ITDnQ7yq2
JT+nsCn9hC2o7pPCnb0w9WFRM1hdQpZWWU7M0mtXehsvMzYhQHumwZBkwJaV0ENVqPuaqH31g2oE
5uBY6JvWLAdrwaSEibcWdnDOgqJ5MMD5uvw52auKiW7ZR/o1n5yF5OMmRBpYwEqa4PAov06Gti/J
gqtZeLI5b39m05ZLPmtNZ52hNwuhnKjKDE4Q5RPRSCC3e9vCPnrYIj0u8ca+/WcVyek8CgkCjo2K
J4qyx4G33FjNfK3DDnomszPn54aUpzvMNBZUUmUriUXk1YEuBRpTPihtKoa0PXHvmAiGuYbTkbvf
GTIE72sQQZiwZ3AzlDP54oCX6ykggmJZj4Rm/nievPYH46eQ5GLzWJYMFgodJBjzyurlY7NPimZg
WsmI27JOFrlxjxPH18YrkxLYkd1Ajt6+iDr5zWiDSYFfbEBn88RVL6Pbs/KaPsKHxF366huDFdYf
pTYqK86ke9d+13ExZnPcTkbhtgvyXQWtDFmq+eFrG7lWMLu9nQy4ZxkHmdv42qOMm1LDQCEX0+Oc
noS9lbA5wAKSHFVZ/T2pBoO1881K3yPLiUzQYC6EPKaX3kVAR++7W2bHlyMYSpeXQZTrz8okrDke
DLPzAR6jY+iuiOFdwgNf3/YIOrTL72gqLTh7vFIwAqsjf7DqvGdRu+XEiGUE4zw2a4QUI9ru1iCX
zH1my/8px2J+K73Z7o8h9D1JSpWX3bViyXi+szl4KH1vTcl6Dss9qYEeXqyhlPbJlqEN28Ae0NG+
UBE0cw3WXt2SiB18bGxRit3g+I2NVntspsOgtWXFbTY7w2FjrXB27ey4F5FS1IN2b2Lc6wqv3HYm
3aDHaAy7jVFr7r3U07hAs26HosBL5dM8nEhknQmR3EKo2qRw3AjtktDFrEy95euwEaWEOoWgksWx
P1SBKSvG7RrJnT9nZCWZxK1fTJaH/KUjcuIMnRxiPma4oJAEBz7nYddlavkVyfN6A0G+n/MjbdYT
TvWRhV3v74tJZrsW2f66Fy7FEOw2ipgVbv8TpILJuoGWQbT4SbbOvfoYj6S3R3r1zlolFEbmmYT9
/7Y1FuDJeHNGTcQAZT/oNACimoevLLV/1RL7MF9qaYbdldMAqr3V4+SPJ0Mx2vOhhvkKElJl80tR
Mm2AAmkAtGMbK9eD6o+oz6rmtUuYEpsUCXMFZLcuCaa9DY2egpE5s0mEs7DWKCYQvW5S28mLtyDX
4fuyIIoCpd4W1sFQTe0+jYFEC9wErvlKVumcn0p07ealo4bNOmMyUTKXX6Mc8QzKMjaEaZ3LcTgH
0IvI8Igr8i82HH9U40DkdbQLdGkgGKiI+ibU1AIDFe1qv1x/oCKJUNYQ3vpt7HP3yfHQdx1gTCNA
sspaGZcVkLfwJBqRASes2h76ktbiE7+kQTjahJCVBtxsE7Xe+DwytF4T9KPZMRym6K2XOpwQX/jM
PQHTdohurrXWznyCCpaFmvIeLWA/ef6295YS3aoftSzj1hr6pEgPCpBMQKgS646bRYIFNYsexhD0
+4vM5fpi4CuKDtksg+1skYb5Fq0VTeeGMfqMP0W7eTIID0kRAlPCQUnwyE3Sv3zTKvYTweftbhiX
1bqlQ0noji1rFe20bbCAmGNPcGlAYKpIEQlb7l3VmEDd9JARCIECwB3ewUPL5dD3lDhnkhhZcVZZ
m8WeXPJdvnbrpSHXrB6cW19Rh1wFaMHNZ731g4uo3fDqOe7quvZIZTUn/7U0uTfEFLL5B4fPq3E5
mBOr7zihFYQ9NI/2jl4UWKXalwq5so2g4aYXMDnZM6FrIy/ArEmbm8SCDGOWqIor8L5Ukk1t5Qk6
vIFXxxmQHFi+Bd6PLRww0FB0Mkt6SL16xzoSlq/TlIkmkWO7TnfLYszNJc60crqOGstgP9MYrZv6
jgzuJazxO9JAwptlGpz20Phm/+Y1Ae5rTzu1uG2hiz+bKyrnHTPrMTpZh6OSZTJbyLoqWDa+dR46
01dUIW4OfMZu551sJiRkOUws6w42rfzWtPAyD3aYoY0pt46cQSivULFN7lQacDfNM/SgAPpmEFYW
Mds96E3dwBlE4xYOdUBGrCEsnC1mqKgPjQiqacPt0WlYmHwUq6AmBN6pDXWmENK7eUz2cIdWezOO
KbslMStxYWo+sEiY+/HKd3qAR44xHAccoORz2EoI8q/RnVv5+UBo8RKL0rYIaQKRZZHwzfiB4sbM
rAYB/YZ2/MyxReg+ta7JR5HwVf3DzXzKj9IJnzI8pk5aomB9dLxeTfdeRwgUOnGneO8y9sr7LVLD
G6wug922BCAowtKoD04+bfdtpzuUfIjX32Fhz32KfE84P5uh1dkTPLfmZUVHXqbbVnaXETrOHOlg
jUC67mf2KC6Ng5/hOi7VaWPK8sMmeMdIZNF57YsNt2BKvTAP5Hnb9MarQRUVnRIDIYECbaC42IWU
k38OlCfnhbam+tGVI3qOGsJhf0PjsXgUnsjbM6sORH0qm7EikcPU4bMifeZZd9mo92xOVRaPnqmy
NAzdso61Z9gG22bkjrGvZ0pO3+9UTs5QrZrrEXAl6o6+m60ESTz7h3WxlwuEiD0svEp4aB74rnBu
Q60DyvvWeiwaFoTE4Iff12bOV75AnTJeutbiy/sF2lR5Y0aEN51V2zYCEjXYhvTIEFWUX3SG2/7A
SRLQRxk77e8ayWYhzZtua7FnBFCA0akUtw07hREAc8sk3S03ZLRMK5oq0R7BMjsFtFTR7NErnxV0
1PYlqWCrdQ6MbC3fqMxq3hYVAnHvdafHi9Xy5M0kCoRTHTQq9nCbPxE9M629fCOUyb/xkcBkhwp5
h6LssK0POi4IVVQ4jP3BDYGBxRUOZzPdpshjLeEDO7IGOEehucUZnvAlttfEgBVBgoGTKeOE7ttG
0qJPpUL2z6yrNAwys6QtF1U3q932sJenwkSPqhG3Fa8Yj7FrEhhWnSB9Ylu18qp6aLY9czgL8jEj
p9gAq0xM1OpDn2NHoAllzwWAZjvrsEFU+UzXjxH8t2EMGUX3BhUFKaETppii2l59uqqABgiNOA2D
yqL3aa68YEZeGfNJlRc5GMKx3kBOIoLjDXCGKdXe5ra0GwqfAAg07FHCRV/xaRs+4ZCCToV5mrN/
Aic4qvCtjRze31w1+aVdTg7JpJm0SLJSNv3PVdfeTdYbwbcMZ9cdHrIsO3cxTixYVxRJE4UxM0Kc
at682qnDEK1fN0hMGXweItdeCEevx+Km1IpgZk/LjRyvqDPSAiBYEbO9YKPcca2xHYqBRt4ybT0B
SDVxtq6SJguRPetvgJfde2qX7Z60qY1fHGfAkMBLtBa2fLP+3rnd8sOpAYqmBd1JnDZNOZxaSriE
mFi8RDsra9Ujeg/z1aGdTPmIbpKoaL2QcakDgx9UrnqEeupwgS5C+GxzvHQKeqYdrhbEP6lIMKuQ
syOQU939TKrHLf7g5nqRjF3ifjTrl2h1zIXne5GKyUUxDLFZZMFNh6x8iRcnyO96FQTkoxbG+lMK
n96vnHMIYJNJnY8Kl2ZeIH3/qgRSisXDbwoS6KvJQAHWbL2XRH7f38wwDNrdoswqHgCKf5R5wy4K
m0gOJzZEjIzA0RVFbOF3oLUaMnw6zXrmUjuvACwXWwWtAeqVnJ7M0FndkrCDiuYzXp9t5SZhoEeG
5eL9oc3kXnjTwFyd+IMOe0WPCjDGghPYJHxEBTsIlVfhwaZooO7xowKhSTF/sxpktMin25wwi9Yv
kqG33fs284Nvk/ZRmS+Vy82l7FFEMBgsepXcJAZfO6PdgPo9fycufXiLetWDFpmK8sMnVoL+tDU3
j8TNLK8KCep1pMTS7Y0Z6N9iS9Im+D4N77J3jFc9zZgzSO5YBW1q37sFIGA9et0o2TJaTQCR1J6w
Z40k2LA8kLNgxohTi/XcJ/roZaTXaqaAq82zss6gvGmRUarZWRa+qfkYV16W5XbuK4VzjAS96Ew4
g2cggzsWTCPaY3fHB5u6Y3Mm8MFBS882jAbxzR/c8rhrlRbhJH4fRolbk9uXiLxv3xBHSjI5yOJh
pVgyRfi8R5MrhkmgUF+GK5D/YNHyh5hxqUfu/2LvTHbrxtYs/SqFnDPAvdkDVTUgT6vO6t1MCMmW
2ffNJvn09VGOm9c6jpTTsxokbiBwAxEWdXh2+/9rfcskeNB2Wa4DgzyqENF4Wd7MiV60zO6Kk3LL
HTshvVZxhCYzZogDJVhXzyDhFHfSoXIxpDYbfqPHzj3Jkep+wEQ3EzucWtuBoyWIwsXgfmj0xZof
VOXjN7Icw43WEBNc8g0/xYmkCsgZL70TYO63udGYZza5YbvGwHPiJ6Nm4FirvNAAvmurjw6HOWDB
Kk0/FK7rfe6pPXyvQ9UdJFDyYUtNue8DenZasN4qtzIG0mlj8TC8mtQc7mL3SwzjkApbeNFbM34l
qPDjF+SQC1Ahdskzctmcb/iCcmerJ6ZRYWWqWWSWKl3uW7fXz5GMiEtN6XUfaFq+fNPgwWfYlZru
U7RMIGMH5VIWAyP65GXTjIqzdeiD4AxJyeIac8Qm1JYj3zJy5Qapt3RPAikCk9Yxpu8eBQt+GqiG
h2nMSGzI6KwOgb7o3rPZj0w85l2LrpslctkAea7wHST5ghEnNEZErnFM9HCjnDtj4PrKrlYPl7jd
FvTXOYcJHw6jnXOUdk3MiX3VAEHtSk7SY1t8c/XGedSF6yHiGOfiPtG78kH2VDI2wpwKevfz5Mwc
vlKJCBbhdQzshCzCIM2S8IrgFcAyZo1Fwo/z0vvixTEkfc0NqWQYi2huoZ/WzxHnp9qn0rEWKMiY
elmMdnpwZq/9ZKmpZGaa8QsVSpa4kM44MhjPbC9SfSm/FrTckeRXRTj5Jqj/YyrGtNmiQU4eiPgY
9ECvpHNr4tmad6BO+orBZzAbI93Nxc5yNOwrra1I1SxdZdTbugHxRTGMM0Iw1Kb5bY5kvwSIzotv
C4UO5qpywCZndRqxm+P+ToMWZDFTKcy6r45pT5Lfb6wunRzLui8p4GubBTL2gH5fJBXJdAlCKi3j
5WxT0ys54WTs5ZqdSuYc1s5r1ZBRuMl6gduobwvvxqm84mHRa3T7TKLweRpoa/sARvKBhhaIDt+S
pv5hNkrrM0r3tfTSiQGpVCqU5Sv0j52cfFCn0yNyVrcPXO5ozdodi4n8HNY5a5hU8bZCDOGyBa5N
OBeclARnGBUEPnOYWMR18RJ7PykHMnW8rJOGb4AHt6FNz93MeKnjhBAAyIAHmL6yC1yT68glq78t
fyMA+qWTi2jAWd3vSCHtlWh00mPFdEauEABajcyfrUP15jDZyeP7jdVfHkKbHe2jpMNIf5r74duH
aJnd5gO5SpsZkPLOaJr4PHPBCv/pUzw0KUhHERSadFJPhCkp6xn6GQKyQLPXl6kjwtuoyKv9+085
VSjQJEYgi57DZQSa8B3ffhbiIfIYiJe1qaqE1HatoHrZd9bGAF33m370r49COYB2VGeFIjj4VPGj
dcsMU5wQXk1iITYbPChtRF9sGvPftdpPvyHkKfiqV5872AvTdU40qoxbe+4xOEERj6m6xK1rY6EU
nI//9O1J5DDostb/IVY4eU4+G+Q/AV7eZMowDpbDjiLoFfuNzJLfPOrXbr5hCs9c0aBIiYA3vf2i
6rmj9YkGCGfNbNwyrR02b00Wu7KPmhtDgbag4TPpfzihVnmWSREfH5EAnnVKzkpz4j/UTHWitKt6
xx1dHBurjnfvv8dfvy8UYB4Tik48M+v0+0pSlhoHWsAmdtuRGFFON2krqj+UebxKzVblCloIFBju
ySvUQP1S8EjNjVoWzNtDPezKlojFP/4sHsPPBMAjsBuLkyXIUo2lqDvxRdGE2WlV2t47hMW8vP+U
9af8LJ/js6A+ZMShuWXyngpxkp4D+tDXxga6yUTlPYRH5c0lrvrI2hR60ly//7xfhx9rkIP/E4Mt
S+wr9uwnSc5SdQUHDT4VVwf5IbEcYz9YTXcflnhJQfNNfuy6HA7ef+qvSwavccVLOoiaeZ8n35g3
LPgPc6wulLgW34uoy0GiT0BL1X9j0f7HX/Ef7PA/vfVfDBYP0VP57elne8XrH/jhrzCAD7P3ODoY
MHpC7irI+2GvkN5ffMlMVpZRtsBVb/a3uQIDBRsWuzDYaZRAiCr/ba4Qf1GRgkOCIAnRuMmS9ifm
CobCm2mAQ8OlMaDDN11lqxJ17NtVUeVz2knbu21I+CxJ8+5d8iHnYSU+EKN6OUftXWOrsg40cNno
wmtLXlq4WjWaB1UMKN9pJ7+wIWT4SNmTZN/LIbcQpAi6YZrj0abJOSvRuSo4+FFZrUhNpGiiPul5
Zc1EEaSzQw6IxAvae0l4P/b9OLFluykBQXpcPM12QW5oFJlLQ56wTurmHsRFrzBmimUMb7yFVhPR
RY4qO7EzZFzWdZDZsjX3cVivveMKaPd8p+gC5ec4tNAocGcnM8PCp20Fqk7wQDr0sO5abIztnlv+
DHlJjUROIh2u4u2ULVO0jxJoF4E+FnQwElqgn9SgAd+PaM8gKpBCc4OYm/F3HccXCeBJc0U5tySl
RMKD5CBPcyDou0GSA7HkLv1ifJ7NDjnd5KEisG0LHyCuWqQtivzXoqv1AyjWctzTCsy+ps60Iuzq
hcOxCtlGdqPSjS/Y6amYDF2EBoTWP7rtsHEIopErNcWs032um7wPCm61d54mCJf3LVsSBXUZZl8x
p8PWz5dm6T4mSinvM7qa+jOSkyzbpBEb6WbmDncsZmFiqusL6+MaevjkTKSJ+TAoCBrIi0RwGTYV
NA20FzWYMiul8ERlivi8ck3vKwxiKhyBZS0jOF74jdMs0KNkU3lbeH3dBwUeq+UW7Fkx1JCpA1hh
zsvF2swxNxBVp+yAtMmcNmMj+tAvYzGVVOQ6bqwOW5Lmc7iYyCYTpUs/Ml3EQOZdVpHUSYch3NTe
aFCftUw0t6Ql6eRZT1ank0WD1tjPiC7zQDhScvLTuYtfBHwAjbv1QgkZtWgDe4DDOO1YteZ+eNHa
JemUcq9aiW7CV57mtZtJpDRYSxQvz6IuxfVESk2xzydsLBQ7FVFGXskpfsRTfp8UjrxVvUMrdEM9
rJX1NkuYARzsh9DAQB7ncEs+zxnZmN+jApAImcWKfsoxSiJGB1sFOQkBjS/bDSpmeAYAGkxK5A7K
8Qd9MgnKYbhxHRHj/CE3FkLEIhzh1qXWsxwEMY3+TzQI8TbayZDfcqnt3FvPwZ9N8cSCcaOyrPyq
uaVod60ZTsVF5CSp2MNDiPNDKdA6HxfuJnujTvvnEFHefYytuA/IQM9vwDWNintXTsu0crUuO+8d
GnLEdmvTQdYyAokyeNRXFmu6cqfEznYF174Dt+ZW7Qs3Wu6V6kzHn2vpfdepLV95IWWvS0dzm27T
GtK+Q7KiPuskz7FeNR65f62M40elZ0ScxxIdX+CYzXboCH4IRJz2eVDrcX0BQaNpbmk8UxUwYP9b
W0pv9WfLiiQ1w2Y0PsdEwX1sECYapHdMxK5mGbUw3w11+1rZksFmNa2zoaRlRZuOdIUHTrBmiMQo
bRDYeG1+1hK2V++XmTG7y10Hy2tO9WwOkKoU2V70/fy9roxy6ijbOZTado6RVSSMhaUqbinx0MIZ
6kw9hUNefeC2SwhW5MSYFfoFhfrGRX52iRV27WrHHescKQPzh6jP1qTyQQcTZGECMwMrbLswCC03
JaUc4TzBRWacdjemHtsaKnoT8eLikvyFH9glakxTnFEOnMn4OWYk04dykV7xGTHxiGjFJEb02XNT
iFR2H09fG9b2T/gJnWe9LMQtpWJ3Z3S5nm+9qV2668rCdd4GndFGXItWSJyN9/SrRReQyxKHVXXm
9qoa/DkilZchn5a09LnrEv7UWMtBeGNIxx31XuOTJdFGdING296m2doXdgqmAfE0ZGMNUY45WtoL
xWCgTM6w5YCPRlF2XMI32NcbcnEsj1RLVFn9OeEi8Oy7SlePtUdjwtcZ72fG+gZ8y2qrBXUksRM/
DmL/czrCS+roa8mArxpcpL0eNd87LR27/Ol/BXlS1y8twWA/H5v+8Sf9bVPlBrUmMiAaN3EoYUTk
nv2vfAf+FQcmbGWrpRLPDUf9f9lU9b84K2FRdZAuGuut7z9PUkL/C+I6JzUk1mAX8dH8yUFKvHqI
frpPnL6EU1enh5IPopSZkup4TlaL74iXYmQelfO6T6IeuMqcjVSbVQy7PDTRTi+3bBvUb8EnWeFZ
TiGv8lEf9+a2yg7O18z2Tf3o2RzNru3wavH29BjN/OAsH93hInW+JWMVlLPwk/5rY94I8yKM7sfw
yJiPUAuDC7KekviOBGRtuHLqs0aedzbUmgszvR6784y/n5O2uSQfumnP1SPIw3MhWpQSV9ggfAe5
39JfEf4SoVXTs2enPIThrfIereRDpb1kNDIH86qlGdEBxinHXZ1fFum1OR5tzibhuUWUbXk/IcYw
EJrRlTnI9hirJ0k0YUvMoAg7so5ui/kuNu4X/ahlH8XyZczQJV6G3aHoj/Z8Hql9y89RO7s+pPne
8i5ssCBL/uhZGxAx6NSq7ANaMTvZmdaH2LsQapvm5zAypvjMUJfzeD0j9mZLiM+W8bNW7XII8/q4
M9Jrh0K5cXDGQ7t82ljRQZvO1r+q3WJ+jKebIbuvlY7u7bwoLkvrqjXvmu4uzC+JENVgKGXb2N0m
ZFw1Pnr7PgWZf9ZqB+AeMrusxU7W+yb+wUH9o1Xkvir463+vf+YrELg2ieL+/779x+7HP0cv1XpZ
efMPeCOSfr4ZXtr59qUbcv7oD/vo+l/+d//l307ye/Rv/+c/vlZD2a8/LUreTmdpcNf5r33p90/l
8lS+9aW//pEfM97U/+Layp3Jxnfu4GJhVv/nxcnAFgHvHZcw3SqPpeDv+a7pf3kuPhQCBNciCHUX
l9/hX8Z0gZ8d7zVnSbIcoGGCkf3Xp//bt82L+y/NtKc3J2SRVA+wSLI06QBbT8qLY5KRKqzRUAv1
KSu2HjLOXdKUXBR+eit/P/dnNPLbQgVAWIoF3MDYSHWYqBiF397QQgXTa7KGFEU+vVDOGO0j0Jf2
kTZK9TGjsbV7/3m/fi4HsDmlpLU0i4HspGSQydarmord1WtVt2ujJvYXDiIX7z/lnz4V1lekUA7y
ce+0bBp3hldQNCNREgDZjdU1ZD56Mok/ZO4S16jxIbS9/8S3pRDeIwXNNSRgHTAcT0/9d5k0O5c+
Ja/QRD6HFiYBsgMqiRp8Gk2/qT3/7mEnL7HR50XNZP76ZHnN0z6XlfGQRYaOg2eK/o6E+u+PRAgM
cnUM0aKBxHBq2o3x3ZXD6pE36gbQW+1wXFRW+5tx8Q8fiVqwcB2X2vNayXg7DkWBOkLGOHRRjKTn
WWL0+zYDfd1RSg3e/6p+GYJ8IGN9FvVMk2rZ6aOS3BhAyiDJ7Gs8SnyYgEmtfjOx/ukpa3QCCwY9
AvMUOZ4Xg5XPM23btjbFPhtgzInQSn8DWzdYjX4qNL6OO4nTWWKOIxoXiMXb9yY1jHe6nnH3jWK3
RnEw2Tka+LqO+32x1iBBOfQAxurRap6ill7mRTaUjdhPTR2nPlCwtr2nAQnprOxov4FeHpCvJ2OZ
X84ELKKJ7MMBJkzlRjiyoMZYewS/ZXcA1YdwHVhC9F11iRFuemNBaGeNqfdk5w5t66U0Eo7FVtHd
eqneNEe65Yu7KYfK+RwhAP+dvXz9rP8+JP14FwxRna9WsHLaa5H0pyIo60C0ZifQi59XGQpZ6bSk
nQpRXttntzYSDz/vB7HrYHpirNIS7zcg8X/4zg180xwSgdStQ+vtL9DD2nDp3NEz0TWXOzXFK91Q
2m/G7z9MFRJ8114NpXJqauuQ+OljRsuiwdJ0EEI1A9LTUVrnRq+PG73J7K/vT5Vf1lEWMzSzdOpY
TWFXnCw0XGD7BPoehi8OZN8QHWTIuywDyYTdGsldaYXSunr/kf/wDmnZsDcb0OPwTJ+8Q60mpD5x
eaQQKR+RiIBdkhCG/mdPQThAXRQrqWutx3r95CmJQeKzIcJ1dmoi2wxW0k0+6N7R3fzpg1y+Imqz
bEXcEE4JHG1mdyh9cE6lwo7PcM0K3EPddPfnT/lxXOAewtBbv8efhsQqNoKU2xSoS3A5DEOdbgwX
tvsfPwUVB1AA4B5UiU+9+OR6gzWTQ+GTK1mcVxX96mXMtT9qZaxvi94JGw3XMCBAwjpZnlMvofuc
OCW98KW+SURRbFDnzN9E8U3irJvK+HdBYORl8H5+XjnY4UCKc9R6fax9mgBQTtCBld1xk0fkCUaU
7mrrxxTqhq2LA6k8uoNnfzTHMQxJIG8KCGXs8tQcLNnsl6IeTKrJucwPUCX7YTvqonM3jR1RxkyR
sxZb9CfK3XYKyGnQErn33HlCcY8qZFsEa9ny+9JgkdmMdt+ShlGZbbqzjSWdfM/oCaqwdWi4Zxai
ahI+anDHvjAWV/hTKrUPMqeWGJSLs0IfDUPdWd5kfok6vqAdIj+JYiDC8+WjewekhuWdHFr0CQqB
dBu2W4g/3cssAC0EmgKKA9NWVS3VMcfI4Y2NKqFCouAHTqFoUHCHefwJ/rC9bIVXk7ttuijiNuSK
tkQLunFBcHosEO/N4PNjznmGyM6WIVJekKNrc77kk8A/VOHw0XfFOFkN/TG8F0OCQI1cdtN5NmFc
NA+43lysCr0yIwPREbJSYF+iTHFmRqU9LGe6N1cVaiuCSz9SnkNiNoUTay69hqQOoP5Z9T4uG+SV
yC0VjMOiK7Bx2Yr00nFWmAqJPcQtKgfX1TZh3erI8rxxcg5RZ8RlgKnH+GowCKBfuKP9DAovVo+Y
+EOcmiOWZWCGWuobljvfermtfZsyQWTBUBTN/TikpvZcg967J8FFJtTmG7c4VLZQd5GL0/lYp6ri
Bp+SBrttyfPVHhq35ELrgsBDetbFXzRQlVVQe7L+3JDUDZqo650OP5lSDnwnmWHda0qnq4k2LBSk
azFF7s5O4xylr2yGxjjLRuDBO3PQxi8YGvX6C547SgDaCON7BwTes/YI4Ix5RznVRAHWjYa207oI
amXRLSHVhVSlcm/GzSjxHyMC1SrRQVK10wVpVAyrkvh3w7jN9RiTWpnaTf/NTDQ5n3dFaGhHF0on
uFQ9jxBZeXqf77ImW6557yL9KNnk9K9tHub9A07HrjsMjchxi9VaiXyDcNhP0VSG9ibC5HxXrCLx
YwmNUnsmEakZaRyEGdKaYoz0HZU/SgHNnBWIfnE1Ot9tWikQAjs8/V87h1r51VjpKSXoBKL4mes1
fXrRDEMkAnSyY/3cYakCaFe2w9J4/mjHy8FixtffGr3mJs5BsbU387BMlOltkdQ3s6fichuSI0HT
xJ5xhoxWbA2bTOQQCMvBBJYYN4PZgcMumgchI7PZkOFVlOfeNLqYx7zFibaWkWBbxOzE6Zc6bVJc
2tyguss4SbKCMo7p4GjbQx1XtrXpuM5qU1Allc4Y98Z8mrdJZZnlhjedZQhuvYKgJi56XRD1S/Vl
Jq/rWNDfGa5ZcuJuJ1FaxzNdjtrqG6SzWJYowuKx71/aZOAKI4Cyv3qmocZHbnaI2zJZsscUV2AU
TGpKMLRAcwVhmSLs1KlFpVEExGrJGtpmI8RSQR30ta824YJ5Ql1Gt82p22Ha0jHz7r3XflwEId3x
1dw3j5M74n+gERPhVqqMHDm5Ao1Gi8luYfkXptYGJhcEmCaaIdC/WS1nVC9uSe3uhKarwM24KBxo
P9DoAaNvD9/U0oJ+NcZm6M7xVMjYLzml6vt5GqPwEpbiCE8iS0gar9E9Fhs8CtxFcYzrJpokTU+2
+tilV9pUsWVbhiJ8IO0jqz4mbueUAdLfusBbaHjXOZDnetNg+LTY5QVrdo2f+a6fwEnf6nbEBaap
wmbar4xXXOnSRIcy11mDMKCu9Rst15fwDLM5JCaGWgQgIS8+EEGhwTjGhnLHz7CRgaEeIbi+TWh4
VLnL2izmrsLNgm7VDVTqxuK4dJBQd6Ku3DvelEQri5flUzVHTkhGt52/9HRi6c8raa2E5pAYehad
MjkzKjd81lxnxt7JHQKFWOrYcIpHrX7WJNhRv0/jDDAuBtAdtqVGPyJza1bwujaioQxLMtu6JBq5
h7iQ360I7NgOxH/+2Du9Xm/A5cr7aSq5PdZijKGsNdE04EyF/INidbGfUBv2NdYImdBB0mSFCaYX
pAsaojl6TVJhrey4A/n0elitHSGWR8zvECllj9MpSAiJOGdykB6d6mV9aRJckNAI0gd9C4C3o2us
N5HtV7VrZMFKPuBD9lb0MKSArknqUm0T6BPSupekYo488Gta1bEtIF8zgEgD+UR7xIb8W+jOcA60
qsCuJpwm3w7tAAx6KGVMsgN/bNiIriGPjTq/wszQuguIUxvjcjDGfUxxr9FldDdMphVv8d1RHMW8
oOBch3mmX3aZ5nQb/HnG2n3TYLoDOpUVNNmyIiizboZsWyE6G/YetRR9t8RJuBxnILbjRZlVRnqO
IBQz/CTNOd0SzD5bX4jiykzdz0aai8eCLpKxc7xmTh4H3WzCbdNL/q6awgqv6mLqS5BSWdnqFx4c
XYiyHs0k9wbkft0+h3Flt99VGg79vjTIQzxE7A5rmMUMCWHpMLLR3qslnnzWFnGgchU/tFkE3jjW
bDXTw3PDagtKXMPKEGJTCpJoTlhS0V3DTpv7AW2jadPORTptdWdpXrMbAYHxSJwbkij0rRIfO7Jg
2RoIW42BCvC0+gRgTktxKE0ShNiax4UWm7QGeUyV7vJ2tUwRjBYrtXcrgzU0abgNbks7Yw/jelxx
hkmqaDyziFAofeAY2fc51qwliEsPOWZD9Q9TLE3t7cixBXH1wr61H5CXY+6fnOo7VhfHJT8ljh4c
QRZzkLBShOcIMXB0MvczJN86bsUNO513GQFmBKVAiQhMLqJpcyNmO32IdUHfdkFI3kGIz4pkW8/D
+n7zRnssioU5gk1dsMlZubbs2BuWloaIxrW87ZsLDAAh5ULETasBdkJwPFrG/Dh0o/ahQ6hub6TX
2t9dvjSdVuNCEEZv26G+HbHzJaEfUi6YvqPdsz6Hmm6P99DMJw0aOOfPAIH0jGg4stp2qzj6fTSy
0MLbq9flRVYPrPJE6rosa7QmZwrkWOMDs8SnVdlrK66wSDIJ0J6Ah7Xy2FLBUHfeQ9rmtDByL040
H5+n/ikdwHoEDlsp58+pRUSnlYMD+j+sjDuzKIz2GJkG6v2uRcRPwoHDpd7B84UOZFwsUPEdHSW/
0rCyYPWKrfvcTqtnk444iLIoXKgtsaLqQQVjxPRdC1fXFrjW5N44JRWdnQ2yxrmyytTZTiID6kFu
XBYHJHM1Z3it0bNXRiXu7b6q8VEtWfk0Yl/l/fST97oRt6tLtWklnwcLlt/C45x87gRIcqnDGN8G
erwStTJAEKwYhcAQRezUp1ZlmOawjhaUDcvMm4nxJmbFF/ZiJdwwYrYirv+ZAxPa7W4Gg0G+keMw
64RlxSLdwJTxAMQzJqVvYTJ4xMCA+YfTWn4OLqJ1dxbCD6IHzHHi9gJ59+b9K+KrgvftTYqShMHl
0LZtmK/uSd1ah9mrxEKLV0MVU5wBIU1QtfT4sshsbUN7l8S9Bmq1Ds1lA20GGM2QLfP1Inpy95qs
rbLdTCtg3sRlvlh7F9YDVCC77qvrnEDP8tYcuxEtDDe2ZedGcEKP0ZjKz32lleOWYK0kvOGqjSuq
mFGT+EZl25/BjaIhEItjHK2+tJ2NO9TRoylTkECLEXofZnyM+j7NGBd7LQw1uEC4hzMSX9Uwfn7/
HZ0WVSR1aRd+H5sVZRVsc28v63ET4+8tIdKjfxAPQMXDA7JHiTcKq8VDTt/8/v0HnhaMXh/oGpT6
Xd2Wxtrr+Lk6MM6po2ezXQLh1/OvC3zxDZcOzsnVQgDDHz/LpGZEfwRtJT2Sk+JUGLV1w/Ea23DW
G7tlYB4OcaP2CNG8Py2tSABmLh/OhvGIpPikhuOVYdJBo0HY4NafQFrNlzCs2t+8u18rAzYcutcu
0drzOWWPpY1X4EqdOJjEQ/q9SGV83Ra1Or7/1v7pKQ5iUX2dMzizTr6hwm252nDJ8WMvH1eTZwK5
oyz27z/lVQX6dnKuP5+SiuN60tKdk8eshhTP6lBqGGPPwt9ROp44IgKJDeyutTQEQnrXXBNytTgP
9gQy7y7lKrdsubLjwJCkeMoLdqbGPs4DZKcjkMjMCUKnmP78y2VOCuJNBZJW/ra+sZ8qWrh8NOT3
63t3+lujFtqxg6/xmz7KP712VzrCpI5KDf20Cijwe0gQC1QzO64hnGtr4uvmuob78P6b/2UGQrBk
X+NBiAXRvqPG/PnTZKUzNi1CcFRLfY9XLe7hcTUueHUTE+GfTkEKdGhxHWp1LoP3tBUVLwOFK2tp
fQpI7XbJtS7IB/exxcy8ef9jrTPszXhi/Vp5xoh2gFpS8H77saTZIiZCz+kzeCGmzZU6spulH5K4
ii5DGxZ8v+JH3n/oL1/aumhKIsCpTNO8sU7eZeS2g+xcmgck/4Ybk2ywnTQZza9P+aNe+GXylaJD
9b1/2/9+7eL+uzn+oX4p7/r25aW/fKpP/8s3ffT/Txrn64bzXzfOb4fupGu+/vf/0snYHoJjWLw0
cWmfCZeX/6NtLry/uJAgaFwxXgy8VYn8d9sc0Ltr0Z6iC4bK0MMB959Nc1P8JajxguC0mOS0TuWf
9MxfS8P/Ho+rRgfOFu13GvCmJ8RKrv95moVGReoDPjxyMnWT2mcJQymIhrQdPk1mT+TSuKR11u8q
wv3aax3qjn27Rn+lBy9tvfm6FVNt0BdEZ+8WG4V4cjykBUIjP597l1wkKpQ3WeVVj5wvXNNvizyl
kqKyxNpWsR3aN2ZshSGuAnx6NayP0kWdV1p46TvQuWAIikBPbdXihZfDrbWM5ON4UtOv3bLF6ar3
2nxda156JusJ1s7Y6ZUezFVim3svapQehOZgfRIDNWFfpl5UbHRFOwCRKfIYS4GwBU6S2DGVE6IP
KEGVqe7j1KXskyZWdqtFJv4uwEB1vtPlKOyjLtIlN3csgLyqnDIk/L7eayMm9U+j6PrHt/Cz0ODt
Evjju8HTgS+LRvkqrnj73TScziTvjEqCVkVYqgHXtN0r/uYcWAdcz/cfdxKjvj7Pog9ID+n1L9an
t88LydJiyK0hJakGINGX1MG6TWpjb33W4ce0/tInWMOqspo5FGG8ux9r1X2aVccQmOkHqd+8gbft
SX4jRCVYNHQopvwf7kBvf6MuItktiso1LDDVbQ9MRSU3ZGKCvLJSQy17J6U+t3XJSeSWhtajAgzi
gA54/828OtN+niUufgAmikmiO10ppubb38O2y2EBjo1qPEbpbROGFlbyQ1ZmrNdZTLjdzgy1kHIL
+v7sHHe+8aKLvNmISUNdnnG3X544rHTeI0PeNaN9Po0x4lTAN/XyTfRG6NyavaHiOxXCL/tqjVNX
W4EuMcX8jnD/djMwOR8w0dkNwGyy4cHWfftZdKpec9LjeMKK7VZfOOBD17FjI09/M57WreztS7N4
CNBUzoCYt16H20/nEQv9NqMj5NAcOzTBSQLk/HNFronrBGUxJaThWQXRLO9/V6eThj4oU8bQAcVK
T7DVvv14hauaurTjMPJdGa3IDtywBslZmzb12sP7z/rlE5K9QMON6YKZDFDeyWaOfMQjeRq4hR/a
yI83wshkeOhnEHZnc9Nb8rwfUOF7vxmOb88QfIP2KnCin8jjqfWdniH6cHSNolu9r5RR7WASXXZd
hGlDj8ELu0eBFXnXF3b99P6n/eXN8lgblyP2zVUMcmo2W2iYzBWtVB6rLyRFChzLl/SB0AcnojK/
vv+0dUq9GT2r1kmY2M54LPvdybt1+kyO4ODXuBwtGw5tWzv7cDAM7pq5d93ROd4WnNbO4tXm8P6j
aTb/8nCQ45ZHF98hYRiJ0ttBROpgI5PGYPx04VSXUZB5Zlfedm25ZE+55ZrkKdoRv/fetRYH1G4W
ZS3991Ejzo4MT/w9SEO73gbnUGWtPV87UzqWqB+NDp9JOeTyQzNR22ObzPBl0LMclmq5UVU3VfuQ
L7i4qZayRdmtxLwiP+CGzLd1r0MnkaGt2TdLOCbLdyNpaksd9M7OEJ6OikjeB7pH2vgS6Vg6HpRJ
fx6W2Oym2aWpEmleJaUuQMLBwidsVUYVPgpFHcg5z3Rnxj6iwBSFwazyar7qosqEKe5OTTvvyGWU
a2awKBP5MdWq3h5BKUQFOvkhdbz8IV5yAtxisD5i2tROjMk+hZKyfBpcbBl0pCyQA2ZWRzaRt84Q
a+6xznOVnveRbsRX7eiW6d6GlU47IVoib9nF9BLCMch4cvpMEmcfknxntvkms4XH0tHptuZWV7FD
rlJxZOQ6pF/Vk8Xdql9G8D04wTUtW+G5uCiI8ZQF0MhCTIRGfS8Nmwr2oakLzABE5pbeLLelZjYA
jQcj5OIGzmacSzwehea+gHX1hgdJwWn+ntlW7UCcqWKHYr9FiyZIaJs2QWJMdLm3tI207oWTjdOD
DVji9MXz8rw804yQM4lfFmkjL7SprO2GBMslrijO65Paki6dwlMwFbUtIondMv9oykUofPuiUmdy
sAvvoCJV6IEV1f14jMtR065sINHsPhpoke4uLpO5vObsUnP3rl3vFgmTileLvyWyT5g4opg9PSeQ
2LdBNOiXnAoTeTuXSDjPx4kGyc5APEAlHfabhSUAyrG9SYiPnR7AmEyHyMP/v6srEysZBKLcCZK6
gP92FjslFBq9EJhMelVyV8u1aLCXZ7fUwokTJl9ZRWIrvfpsr0RnlP1F18hY2Pu6hBlSbzyVxeiX
3cgCH6k5VRIMjZNZZ2uSW34kWNEAxJU7fTK40RmVLMtpttClzPQe23kxPC4xBJEhgK+gA8s1OpLz
Inr+xbTLpAHc0+90PVkcuFHKaD7KfjD1s2qkrLzGeIY2aKZlIsZPIaIpkZoC+aXSu4mgYylMLuCL
j8Y01vA16tq26expmS6vXXvmpdIlAUP5LIGLJUe+17jeAifr8TRFLTm0EsY7hAalpvTLJFMqplZT
NcNVLau6vFhmV8yXBGHQZxcJNcqGYqhqnIMK9XG6mCuyvfeuckR0iQQkSh6dPImy4XJMiSPqtkrF
FdhlxoU5HeuE2qH7TDhx2D2EydrI85c2pevJPqz+H2fn1Ru5kmThX0SA3ryWYVVJaqd26n4hJLVE
7z1//X6p2cWKrEIRmoe5M5i+6KhkZkaGOXEOLW3BkOIEP+tOD8OjqddF396kFFjMUxfDro6uygC+
WP1CMxD90I2cNlYuaGCGWqJaquEkwJ+il/ln7Hu1+d1KqU3tdZIU+Rf8MHJ7a8lpPpwgGG28T4yr
N/dQcun689gYVrL2Fs6fYJInGawgWFzQpAQbvBgLT50ZQQzJhuWW4B+2eRbX6M3l5W6wSvh6B/Tq
rr8N5/aA8VgyqEuQq7r1Bi58F9RE4JUU6EEcN/b64JgFeX3MQfXRUsQ/T5NmrNibP4NifaqIxuE0
oNiliWxvlp9Jntl1DbQJbhHn9pbTOLhDgFab3nj1nd2CZwFbAcUSPD8r4dsiHXgzzZQew+VUDgjg
lnXpNiekgCiV3KwN6uAmxksM2xG6nFtZRiaLTsd4SlQ2Z1tUkCz5UdqnLrzvdbwz80xZgW2eha0E
rkieMZZLlVxUTuYfQvE1KbTpob1C9aXdRK2C3KAVah8Nreh+yoamwddP2c9wFlaMdqqnBqr+10CO
K7Rh6xTmjUHRvBsAJLAkllrSZm6d06FbsbxMdRh9MYkgqQADsSMPW5RmYU8aitxqvFfa5NC30ebI
4kOlytHgkqP33Qme0MbbNlUzkZ96Y3OyvUgeHz5yvAktsS7Kh0JxRUynL37FYMC8a2uQFUIn7pGQ
HQoo7dKWPo6tVZ9K8kOfDnmpaeUHzznKQzoFRcbwiaSpXS4+PEP+o6qWun7UIJ0Gwg8nRHOw1Va5
z3CRwSGvDZyzOnXmFnxlqK1E8vOAT5x11PTIUyx4ICmQL6XUJJhkaDaHljsyXXCkKVre+LAgf/Yy
AqWVnb5gi8IOA1KijgPwUFz5dy4kgWQHZrPUYjTadu5gcUPKwjDir4UZfUxn6X+vsDhOHGhmMJ1F
HJu0codMcim5PbRlwc4eaGr5uUQHSQY5sAIQnaclb8Z4ZenSULTi/pjafF2jGqqGkfn+oUZu4hRV
sQMhK6BAtWi9rWZn6KrmcMCs+IULVtHsIy2hJk0HzRB+493XhBuc4BdKHxfOyOYbPPb9yTTBZKiD
rH5P4OXeKhJkiit7+JYl/396wmJBPALwRYJAQw8C8ba5WRtUhuahTXcQg5PyASnunsBeHfNkoyqw
jDoyXWV/q0x5Sy8AABOU4qNsMRApV5HfrPycsyNFaQTNMn4T+qz8rsWR8tvO8wuTqKqNFKnfFvDP
J7+6FpI+YyzD5qOfHEdFCog8nkI1mZ7CfO2RQCuBKy0PNtwmlQvkqtzC59EDOIKx2LbS+l9rhqD3
P+Kb+OSsiwQUr8SDRFF0YVbvynxAEb2GLnegy6KpQIXg38+3bdtKG2o35prFuU9+s8iMiqAlEeBd
uEnmC5VjBV41YsCD3yO+XMFLnEmRdcjogPzmUD+oepTdp40/3PnEdN+uL1fs2eyEEfIrzBfx4rGp
JP1z40Ohywk6s81hzEk64wQQVwyx+I9EV7vNG7VCLxUWlIDxsLK/Cw4KsW7RIiTvtkDjUvhaOGNa
rRKK3UN36Fp/OoR2A1PJkDrPFSpTJ3Sq0+3UN+jVKgh8J10Li3JsmocYBiv60wB41RZy0NZTi3rl
CJydc44RPUW2kjF/QKKLDckLk8ehqUYIsIcOWERbHCBhehTgkv0Hvz6WdGocOoQfsHqoi69vhGXa
5vA7HZIQqrYhU+WbKaibUxwZ8NhLQX03jCwv8lQpWzF9aZEg00VpHuN0bOcbn+t+VkGMMB4Iygj0
jI7Ol5b4jw7f9t/1Vb5paM0OmU3XmQDaodDC3O1SYwuhpgEWgV45gF+v920CoSek1vkhS+34VEK1
uc2hrN6qdul/HpxRAbEWmVtbruTvBeRX7pSUv3XB3u/DlgdTmpJ+glUzeIHlYc3rzO8DITcRMOMA
ADn5vZQTFx63ASKMITvaGaGhwW8uDfr0FxJCCQcAEfsXq7Dq+7STTVgmmIRf66EtzeNamSl0mEng
OWXaalE2jXsbVi+4Rt0+t7pTJhXZN6PsHmMl6A5UEJBgDnqkBaWwca/v0fyB440Rhlmz6OiSAbwB
8d89cCCwh9gcAtllujL7lwDJAotgVTL6BZpVyAL41f2CF9z4ed2uOOH/fzSEXZFVWW/aVzRGlw+r
osa5b1WjDMrcVg8U3dGFygf1kAQ5O40o5em/sMekBBebDItbPj/2xagNFHsopRueVd9ak91/kqAi
PlRT9AS9iLziXi8tj/MEFwdDQbxhiwuOSiKUdzaC8qaeO18yoyJ1a4IWKQMycspupqevPNIXLVKu
FS1tXs3lAc4bzQkVone312V/h8oISkeUDfdQLDBVNuhr5GBzP/KfDQQ1o0DrJ8Y6l+0cRBC6eihU
PqgOVtAH33bf8/8wMDHaKzxkl0xpACQwJoAsyweDiSHCZ9Wb3MnLIAkeR8nY5PmAbKo3eB8b5vrP
uvCOlk0nhlL4sjLcgBAddTtU3KgfjLvaCOw7kzlSWEhZ4fUzeb4uHkBx9YhreQiXfR/g4+bUR4YM
AtyxgAg6yKiDSvwZA1b9UPQsVmUyV4VaHjPSpGCi4/s+jgWGnRYMPCERZ9bF3tBbfQeZLKitnpRf
NoJ8j39ZGy2+tD7SarFzbBG1i7nR1gx6eNUb2bXzEJxw4+n5j0HvteREXJTW++tf89yFMsunCK4s
GiagIBYPm+q0MTDmUHVDAMnlFyW3BFFv1tgR4kVVrZW7BL6mAWWexh5h1S0ge3Gv/4RzZ0oZQfS5
WS8jbMYigDDQKBynDuyjOkk17bl02GZQJLkl/+62AMC916dobbT6klEyPZwN0/O0MhdPhzUlgGp7
jJamFe5FCeDk03a4HUNLoaIwQm8HQfuHryTJPBefKhV/I5HcfGv5uK1uK4PmhpH50MlJ7ypjBgVN
atcrI5yXlicCJY4v/ZKz4WAEDgZglbnmynA2btUsaU/kTcSISTwd0FGowUsVxu76Rl44ufCjEbA4
Nt1MFjlfHnAvBi6mWuN1GoNdY+YppeIpPtZQ1awc23O/LSgFaCgwYk1xQLAbvL+ZoUY1VzJH6AhT
ptiA3Gqfe2CYd94gBfeJmsYr9i4sjRPKBLQgcSGzXSwtNfNO6iPsqbmv7UCGDl/1IP3H8MPHCFnf
fI5IZOkBE1GBGRO/5F1oQe8IVql2ROfcCZsHuUVqYSMnWbTysosfPI8kwDxRuqOTZhJRGIuX3YGC
aqgynyliOdBHuiaUmLZIzmm/r5+J84MIzIkD+ObNmPVdHPmgj1t4rxTVtWsjo2huxL+lsszuIBYI
3KLRf5ZDFq/h1M6dGsUcwRlITZgbvsQh2o40SHWkK66c2BxEvJ87UYD+x4BMse1glt5TVOvcyCnX
SsPn51LggwzkV+l0M7axcCuTLYFIbCa4XfRecrNSe7XpStxJnfoHzjlz5cJdskZNlK6oyZAp7nt+
VhgRoPtAG8odILcizbNaf98wCg+DemLdlCFKiB+0KOr6OvQgAqfKFReYqven05NKL4ejsKEn5wTb
zlFeWtW6GUxYd+h99x9KLUXZF88MTIGUCyyWvgTbIAHVMRriNPtWQukBCSf5IKU5A49pYkfZB0PB
N2OE1/CuCQqMJd7QID/OgwZjRasGSB4hhRgjaHMzdT6qQkVuHq/fDPGyvr+Bb/Z4DEDKOoQzy66F
Hcr0lDu9oZTdGKfML8ZvrZN4BrN5aXSLvfqTN1XeSa1N44H/VX7QpQn7zCjDhUu1TIb+ab6VdUy8
1kdSs298VDwo4kbuSFN5g2TItHJqlt6TwgBgNv5DECV8wKIhNEBSBugCevO+Nsc/HaMwwdeCibbo
xkQ28ev173rJmGMA56R6bcP2sfBsGjA5TQl1YrMii249O2b2MKct2yCa+PF1UeMU9Q8DuB7/Nf+E
g+a1emnqxX5SAkTQEmhk4UJCgJvOY19mfz+8MKIDLh8JkrC22LC4NT3QZ9w9nz6+S2pm/0L2Kto1
AZIi100tvTYbRnEBxA7gakjDlguLLEiRSs9q9qnXNDdmbZ7IZ/S9adrkYqMWbQskc1bO4xtl8exC
UEKi8METSCjCq7H4mqGt0RVP8npvFU72VTI4JpvArJrj1NNZ9iCku7XU1nOB3cnelvog0i6Gg6qI
wRAI/Tf5uxy0lds1Q/Y9yXSajpCvTite4sKXAWJN7Z7sm1daMCe9d4CDEzeZYgEnAG2fudkwOcm2
1PNx71MtPJppFbowpfjJR83y17ENFDkoe9H3WzyjTcTwOGCVfg9gg9ElGuobvUIfCdjYdJKbirqH
0pyuH4KziyRsCqQj+0LJaxnOeVDbDkGMrpc+JvFriPaHW0M+d8oLuf7o0RamaBUAYMeWs0wftahl
vGkM+32vw+KZMAOFfmpSMiVtxSuRsXgTZ6cMU5QXuLKCEQQXMd9AqFvKqTTNfl/rkv45spCukGWv
/+gFElYMUzyTFPLAvM2tBNrYqMyb9ntLK7ubQY1Lt61jZzc6AQOEsex9qqVyLXM8O5vCqOi66DBg
cdzEhr4LHTWjabUSgdC9WqrazjEmNKQADn0LCibilLhHeq5tP8a3zxstvLpA9mkoIQgQ9Nxo6MUD
w8LMRLcol+30Jk9u8ErjXlHTNQqnC+ujxEiTTpBhgbNbBP0q8g9Za1NW7tVR+2dr8pCieI4G3oCC
8w8U2YaDR4r89OFr8AbJBPtGqY9hp/kC1UAOKq2CMi80ulfEjpW7FhwNhT59berswoXDEiRpsLrY
RFeL/dNh2tUUZrT3eij7x8lkprR0agcpIXkNorGMkMWuvTe18CeWF0gerIv93rbjAp7EGBZfRNzq
rRlrCC2NXvBV6vxoK1V5vxL3nPt5YduA9YdxJEo4S19WRXZoFej07ZvG6aEZ1PuT4/vB18QaBgDO
kB3kzBTWxj0jbw5zhPbofEU4dPgi11V9S5UmOo2OVyCIlNZ0pQu68aTVsrTici84ChrvPH+M1pBA
L6GyHomso1Px3ENF+6pkyfijUy17xU8sI3ixD7yyYEkAj+ICxZF/d2UnM0FjCj6Tfd1Z8Q0cGaZr
V552Z3eBtldQuFypaInnaeH9RDsYsQ+RM0C3NbcHvKvAuyIiVpe66tYN3XWt1UMXZ6Kg2dfWLv4D
7c2e4YOkGLLD9bt06QYzQgQwCCyHZmgL8y2icq0XAqorzSH5pJRKJx9q0x4+WSjSwfeVJ+2XxmgM
/dN1uxc/s0XUZAmwCu5xvuxJSfqhkzlyCViRHdm1fQsHCepiSP3tuthea0xcOOMmeA1OHe81WNXl
vF1Xg66cTKXbF2WZeJugNqMXqq7GDyYzhgax6kp3R/DA/7qIae4C/krIP2W9fMlHJRZaawU6lR2D
2ZDwwCSFApaZ73xGex+vf5hzl8NhIHekDEYbh5Lq/MPUSGdRF++6vdqRqxZILCh7A00MZcvQjOat
hObn2yACCvqYFKVgL9IW28Bl08wCvN1eixG2A0Iz/WFWBC8DNzarlZSVfsKF1XGl6BJTv9WILxb2
FETuUTC1uz1UUOg2wx5uFH/qNnLAhrFD+cfNWSLrJyUgQAQ7NP+YjU5jv5Uj6IOKMD7AY6T9RqKy
ePRUH36h6xt37p2gmKJuqr0RgOFL57YA8402HO3jPghaBG07HUGy2Op/X7eygFSI152Wq4C7MRoH
rP7MX+h91aNxNe47nqtdbTXBgwK/EFRMBMmvpVZb0ieFIXK05CEsf/GRQ/7G56Uhf/2HnO0kkY0m
wISwE5CTLKM2tKwA0xEXuBDiBuh0kBXkgYdMJQnn/rqps0MKySHzmuSrlMQFtmH+ZQEFa7mBD3Kj
MepOA5qD9yETgkdNqSJ0eeVw5dScuWTiJ4Ri+AcfmTGfRQBFOpU02Rip7uDJ+Rc19M17WYu1Vx/O
OGabGQQbUMNVu/HGZwoxPdahtJbUnEUDwjqKrLgs1APIv+ZL1g0mS5O4U10/C8o/MB30n2Uy9ge5
bvJxGw8RHO6tjLgROgorJ+x8Yyn+cXzfZu6odi7yKSvoW/RzRxVyJ11MNxlODZOQAYk/Et/OytZe
MsYaRZpKEcKxFs+PUchFj1NWXSiDpdt4lOp+Vya1ZTzkvifbK4/O2WPHV4UZ1oE8myUykTL/qoUG
Kb0+FarbDVK2C0E+37N/r+nohzApt9ExQb9wd/3wXjhMWIIHTvRQOb2LFQ5ojhh6z8g6hadwp6vj
cDuhuLfLFa34rhV95cp+nHzqGGHbJLKav1w3f/6BWS/1CQEYBN621HEK6In7kYLsRp+W/XGUYQuS
AGe71H3qlfDs/JoKHA5XhsSU92tZkc/0FnJcEH2uQ4S+CcIiejQrS7qLh9L7FKT1x0SC8IRi6JmS
Mh05qIgonM93MyjHlvi0Z8YwpyFdVma214MaEWSaDyubeOEr0pQjukRhjkdyWWNI86JxsrLW3ZKR
zJuYAuSJ3KA+dmMwutc37OwrihwY5ARxuMCXLvlqm6wi52CYzw17UM0IyFjmxszs7KtS59+8KO4+
ujTsIeWDwABSOnicRbxBzBU2FnQNLqUF76cMeGwHQB65Qb2qUB+5vrgzt4YxDiFkvBTk6dwsPCuc
snpeR5Hijmo2fodpbSTgo6OZqQzko7vd/CR3oGWdT9PK63x29XGiPCDQ/KMuyIoXltNWqgD+s0xg
kMVd0TnyrZlbxgGHYO5Npx53jcHw6PXlnj/WkHBQSNZoMhLw8FbOj2gjFQ6cgaxXgQDkq6IKurFQ
q3aKCe1KFEjyPk+nYdMpeu6i5G7cVEIJ5vqPODu7/AZyBTrX/AJqleLAvUtoZESAJcmE2V1KA2Nf
yl0HGmBCtzbw1npywn/OchlMWVCU02vkG0MMMjdVtJLqVYx2uKqHtks/jP7tFDHsdH1BC8g9/OUC
3SYD1bAgziBnXVz8MG9yMs1B+0tM/teD28qFcy0QLRZ1F/tU4/pY0rc6LJ8buMDAHA2+c4gKhl+v
/5DFl+V3EMrydtERYWgKWon5chu0T9sg6Ow/ZMhQsDbd8LUuO+lx7A0p/dj5fbPFQRK3B7cHT8Hc
FiFJQcsz9P7EWdLcegpURV5gRFtvlKVfcNwgrT0Axb++wIUvejMK2hwsF06P8u1igdHkW8lkduHf
StWk+zqKnT+tZ5ENeYEu+Nza4d/HDZKJiMIOa8TdzldppzkQbF2O/na1Mf5W0QxFbEKlx8RQ7EPb
yE/XzS0mGMVJIiGk5EhziaeRjGtur0gi6h6W5f8tUb4xv+dpDEhPoS8h3yYB4uxSgdCFlKj/apzj
baWlMLCPVqMcClSK951ZxxEDR0gRuUbfRN1DkdXTyidZOK63n0i0xzwHM57iWs1/4uigChN6tf3H
q3SiBkNBsmdomBNEaedZT1sIHoMIPqvrX+bC0RbAAd5xCl/UEBevggRAYNJGE6vaFJ7SPFbvJtRC
H2QposJz3dbiUWCFnC1aNvRneYYIbOcrlBL6CgGUtH9ltJq2JRnwIa2Eenlp+bdmILf3o9KCnYzr
YeWtPV+lKDlDk0ZsRO1jqVFQNIFX922Q/IWlnDk2eKGzbV9nRC/IQAcr3uLCYcMagzn0TmmC6csK
hATrVwsJQPw3FyjTbdaUQ7FFbCgtv4KXzhpKIRAA7ZpBp5ki5aCKX+HFHr4UejXATad68qvcVrZ1
OxZdSZqZoGr0I25qzun1DTn7LHhwkkW4fChBCFDHfENC6mKM2DTBE+1qJ93mLaOkvG+jt7dpPv24
buxs92kvyaKXzANJ1W2ZbkzoiBl95ARPyLPHd50ZJwc7TY0DNF88jLmk/azMEG6gbg36c+bcgCOA
V4HnBbQh0dbibQ6yIUlTqoyPEe/DYwbX8W3XFcO3IimHx8iEfuj6Qi/bI0zVBQaQivL8qzaZRb48
xKqgLc2OauJIv+FKS/ZZ28blxofmeQWgfskgGRX9B2DLBMoLZ2p5SR+G3qA/jnJhP07dYH7Nkhxm
jzrMdloHs+v1Bb7xw797/knMTSb9AZbQc+CIL5O5CR65qjVU6dlOqxb6h75EslNWg/BUQQia3WoV
QupPCfwGhsRMLsxr92ENb9H3TBtRFgq1CTKjI3PHY70C81LesAKz3yYw+qiDiHYmZYRlFFTL9Cib
Ie2eIVOALhKywjoQfKpJHVpbNMVtw7uzmyZGNshOpi96RVa+4U89bQtDZ+B8Lnw1JSZmpGU3KEba
f26KlonOzNLl+lhlyDieBuYB6DlncEaiZQu8DtbKUA+P1agg3QOGMJUe0DwYtG3YFlqytwHiPGvE
CpBMFE0BLW0HJfh9nJArBVtJlyhC7M1Cq8oSCko7+mkzzDs+OEFj/aG1JFOv1UP9D2iiCKIRHZ7f
feRkSQD56Zg8BU0DI2sBod9vwtCgFkQvfowNBOe/lipqdLumgHcVZQW513pvZ9eMmZ9yn9j03oqi
9t5rKm84SpmXfqfZCbWvNJl6uIP1jSRBghrmdlQb9QcUJ43yd0wn9JTyOIamCQnK4RZRyDFkGM3U
k71Jqyv9WeuDLJ+YkM3tfjNRqOp3ROPRnVMMnn2j+7aGCLUvVTS5kwrlCTVE6Qyi5zEoXyB9lpE/
gwt82JmTmt9HcQ/5Sg+lWXJni6IT2+d4Pw2rrRk9hCbchKgw1n+PNsPtuzAv4vrgjb5056WQim0R
bc+rH2Y5BnK/BzNQAEowPTiIgmMuFC/cgSGhh0mCtfc5DqgJg2uDbceFTlt71SFGhWLbRMOwzXdm
P4ZQTl6/TGdukSCatEEEe6DoCd3n3kJxfBkaKnl8xkU0hyDpWzfUG99lWBptDHC/O+bTyp0c9vGK
TsKZZXiWhPQ4+dkbC97CT+Wm1lbp2On/zF5OK5cRJsnfMQWpfGtQsf9ZdWkCT7UFqso5NAHz1Wuw
n0XFhFoQEBjoxURXgsnapRsZIT0x0jTzX5sR+vxvmt3YDxLcjwRiafUFZuwoooQCv3wUtOlPXqdx
xZGdhVzMUKCL/gYZ0+GiW+QX6Iqiqik18RPhvcJgD0SRuyIbM23TSdZnKZsKe2vUTuGs7PnSYQuo
oYjzLELuN0c133Oo75uhqGTzaSRhcxGOLE+FiiIjU67DvWOUTHxeP2Q6f+F7pyiqyTqPPQ0HKqs8
FXODbcLYv2cNzpNfhNZ0a42wHUiAAuyVHtcyoAA6Qr0NJDpEhAT3y5dIlqRi4pV1nhDJCzf6UHc/
jNxPX5h5NNZ4Is8/ItGqiCeJXugevEVh79JdddS9MVR77wmd2ukYMah8U8MltyV8GrdlV62R4i1z
fIGLEbMYGk0GYiZ9mfQmdpggEJk7T05iBN8sqP++wBs57jq5b06jHFo+HVF6HSkolBNogEfm4qTj
9Y08S4nffgT9DeIoTi6BzXwnq04pAGAlzlNatmq1g6QBqR0ivJ9BQ5m6H219Hwg53n7wvRc1mPov
iZEhCGykcCxc/y1L//Gfn0LuRjtRAC8X/iPJEHKdms55Khy7NU9O1zHd2rWTjQZt36n4EqWcbvI0
j74p7eiv1O7PjzS7QV/x/6yLX/du+w14thlPV7ynss/CnVnbo7/VUJdf2/aLx4zuByBPUYNYtulG
TR16p6n54HAbfdedSnHNqTEOPI39LQSF0wpI5pI9+n5imo+e3NlYJ6IW5ug4o/009Ib2A4IW5BHG
sd+CHNf/NmW1Jsly6cqCMSIy5tJSNRLf+d137GgHA+bwnafEr4yv6lD5f1BKHU6THiXxihu6tDZ6
DhYjlaRHlOnmtuKKiLBSQ2wFnTUc8tZMbqF6pRLG3JqTHbLE0H5eP6QXjonQgCC7Ef4dWae5SWbE
eluKcqjpPaWlu26yQFeOecpX1nbhNmBIbBotfgrHC0NFSiFDLybvqZaLHOYNz3mctELao1/sHVWh
JACFf/Ujiqr6cH2JF3YQjgBoE5mkosaxBCdCijaFelk5TwqMac5hkidkj+grTnt56NJpJWpYvpnc
etDOAh9PtwONwsVTYoYqooKKLz0xUKXXmwxKV1RQVDN49gopIYqAudnXHO/h+iIvHB2cPFhkKmOi
HCc+wrtjOgS6WXu5wef1Kv85bvLuSKoIrcoQSnsjbsuV7bxkj0E4msqkcOhxLezRWqoSRR6lJ8ms
JHQ3O2XX5eqY7CU7jO50voK8YvHSNsKyRWGVPJUK1eIiRpkeOZ6nSE9+OQHnss2Y4oBqRtk2C6K1
+vylawFylu4fuRIqlItnJDHgCSyCznvKdDDXeyiIygdFGSZ5JdK5dFqIO8j3wTKCZl3cCqerSi2e
LO/JSv32NKn9uI8TOis06707VNaTUzXCXn39rFwyCrCC/JuDAuh5cUQZqMiduG599MEbZ6snFeAT
LzOPQaCUx7Zo9U+FGkYrt/DcqGhrUiEGS0RZfNnIRYFdDpHg9p/bEPHIbco07Kal19jAH+SXd5la
OWBqVUj6ry/2fCexKyIggemB9kD8rncXg4p1NfiBxZ2ALrvalGwEIQklo9frds6PJw6UXg41PIeT
s5x/NdvITBEyDZ6H3nLutDFFlbu3zHtdlT7YKybQMoH5UqyDWYizs6zWpX4YR3IbhJjq0zv0N6Mf
QdqVxJN58mG3gilRjKJzQstoifvzyzqoodlhVY6WfUqlWjqB/OIqdMGdHcD9df0jXjgkdNxpS+ND
8WVLTVbdK6wUFebwGZYOYxfCA/ngSIwXpk4U3vborWxga1rjaBLHfR7804ulCvHWuqChIl6udycE
Wp8q07M8fJbB/xw0NfJ2mp5qKJvG2mcqzM0+lwb1V0ChbO/E0JJcX/Olg0NoIUphBvnHcje9sByt
EraiZ6pzCC7V9DJ0pA7urakLT9dNnTttzg6VbEP0OEU/brHS3O6MySzT53pItHIvp2Eef7WbTFJ/
UqFqvvkFSJs1pqJLRqmFcdFIJgltFq40LeIYXaw8f1b6yj/Ifu58oy6k3Y3ozB3JgdekWy/Yo05A
4mwAEBK65vNFZo45VTrpzbNWWcaGbmiIolpfN7t+7PXXiDLxyot/voHiFaQhJUjfBchgbhBa5ijz
2yF5lkcVwQTG4H92IePhtdJN6ocPC5hMggq6EUj7EnTPbRFGQO7UF/EzRGna9GOMhbyc53ipdIIe
Of9x/bycrUzkccSEJuGhkGJerMyuVL/oNfTJB0jL/jYJ0H6FAJXHV9K6/8IWmRn4NFHqAJQyXxmk
zQVSbmH7rNH+3TaymXh73kRt19dSuNaCOPMzJOHUZkVuxMrofM2NQWU3VqWnDs/OUNd3mgczM8ON
xpehi06dE+1DNYtX7t7ZOyQgDAJGRQEAJYZljxRRJC9L/Eh9lmOZ8AU1k1Leq9QKv310zyjn00Si
WAaSlUxivjQn7sDrOqb63NCj6DeDavo3weB1zTaBQ2DlOIq/bOY62S9oRRQw02AKuHRzY0ptSIHC
aNi/xGhB+QWZ8ZN6f7SFFhFuLCnMttroOXs/VrN/15d5Vm2gQUZ0Ta2B55bL7izedW0wYXCsuuqV
kqn5GCIZcUtmNd4j9+PdwGbY/yvkVvrBqOVwAy7b/qWmY7/yrd+6f+/Xj98GeE/HhkI6yJslH0qY
SYOXT0bzwrxShcqWGcGAaIStX1IXG9v6Jgll5UFytEn/KelpoO6sUVOOaW9UMTXjVH2Et9aLToms
oDO18oWWJ45oS5ARIRpAn030duabo4UgeZrEUF/QGNfu0SPUHiUAWA9UvJHETAT/0UD1CMAz+rZl
lHUWFDmSglCMjxSYPujdr2qKh9+yKTNDsfLjhOuYfzkgvTy7OpURsX2LY6pUdtJ0yqS+yFXjfIIL
3H9QDCkREmS29qWPJgnuq6Z00K+jXJ9u6E4Ewa6riv7Y6EEf7AKIV42V/Vw+HeKLkQgTCZDVgKwQ
f/4uErA64sQOrtiXaUyGF6NU8lcjoaqqs2v3ahyba19BvEXzrwDknRq1iBchaV6yTw+2EaaBMlgv
UV4hr+X3WQMzosVcdRnU/pccnRD5zgpGeaMnUWvvcp7qey/TO+SRUGvNRtqWbqA2CBJe35/zL0Hp
VyTrJEA0a5cFUTvJBdJR8f7FrfEoxfBKbaCpZojdyopjGlUv180t/TGVXnCPGjECoinn2avntHXZ
5qr/Ai2ZjMRVTENEKqXbqoBDqdey7kbv7WDl6y+d15tRJgmp8FswYy+nap2xCVDfwyggq3jbaIF+
oOXlbH0jV762ToGCt1Erp9qHevz6ci98XXw0EiIUugVX1+L56aegNIxW8tGEjfo/hRA+CKJQu9Xb
Id4NdnC8bu7s6wpUIMJs4OjIvM5osIiU5DCMogiG4b6Gj7HLs+cBhXaUwrq031DX0oYNUPu1PNNY
nm7sEqQQiAEqsM5SL/QD0VGww/ilSrg6ZSbmBJzKg6je5N376InFGK1NWbUIxVjq4psWyH1BCN3G
L0ArwnGD8lwuASSg+oFGlbRHPRTOl+vf9cL6qOO/0a8Yb9xbc3cBEX5Eo7xLXwxEB44IZtq36ZR5
pyl07JUTc9kUGGwxXismH+emJt3Wi1gu0pcgUcN96igSvK6qUO2LKRCsrOvseAIEgRMLvwTQXAwo
zI1RhYQWUKqyl1zug20YD9qxpRl1GMdO+prm01qx5aI9EPIgX6iBELrM7TFnESuREuYvYWT49cYq
8rI5yepg3PpVlkubotC1lanOs7svlshtEO6GFtsSXBoH9OSl2EpfzCgaQJOWxb7KI3NTtTGAG7lW
m7tSN2JXcF6sBU0X9pLnRYMiRoQtAGHmyx2ZP4rAdGcvQTvk2QYMS36syx6NQ0IE8+v1M3rh22IM
rAV+nFh+Sf6fZVrIyGqdv0xZjF6hbqK3bTGN2Hmav+1H9Af+C3sk0wKPzHi2uagtparaBghc5i9t
FZlHChLxbpqq9CsPV3aseeZX2gHnHxPJG1BrArgmWqWLj1kOQr8jVeKXyerl+9Jvyx0F5vEr0wzF
/vrSzkNOeB6Yq4bxl9Epdm9hi5mdWCFYSl589LjtTTapiWsmtvnbqaFztMcp35WRjNZk3WlfzB42
ccQSy5UW4vmG8iMI63k9mH4hCp6fHqqSoxyNOZfTmqKDgTbmNtcz7R9KXtDZOAiYXl/1BXvUJQU2
jXlhJvsX9jyt7YpGmrKXetQf67Zsjr7Gw1VMFgqqTuRet3a+nUQbdGIpS5JI0waZr65VUVbUPKl9
0WLd+xzKk+TG6NWfdK17+bglkISEHTT3IS5YHNQQdsKxkaruxevV4m5SnWDfd37optAlHK6bEn/V
uygPWBdDmqBjgTAoAl4uYuF3YeU41YkVSan66me5fiiUWt3Xit2jTS95p8KHwiC1DX8X9GH0Ex3V
bsX8Eo70H/sCXIbHQzdy6V97IJt9EzTKKxT5ur5v7FL91ehNe8j8nskpNNDvZN/7I3uqfTT8EBCO
OU2ubtXTF7lJ19yfuCWLr0G1hB4Q2T5xybJDS+tW65ENUl9VqbN2te81Ebh+T7uPPc0+1B5K3cxI
eMoGrcg1jL84rGe2EdWiSy3cxRJWaw6alal+pr3CF52gW5VPv9TIklYKQsu0UHxwaGFYIPGImO4T
p/zdhqcNRcwsU7TXBszPSUkkhKJqJ0VRqqoCVx4NlEkj5CzGcZg+RbX0WRvi9hRazSnJ++I7+OnK
XwmPlo1xfhN3isuFp4Shlah3/pvsoR2QpNC1V1PNH2tY4I9I/Roub+QfxKftiil89Nh3Djoh9+gW
NzvUwwFiTQQ112/D4or/54fwQkD+RSWSkuf8hxRlBhxZTfRXYI7hvnYi8xQGbedKnS7tr5taemxh
i54KqQoFireS8txW2zuhSoQT+BtJs2GPo1p42/WN/3dI/PoEeTvjTih87yDzQQNA8ihog/p5uv4r
FuG3+BFipplyKxN0jHourr/i23lvgNhBCCeqnZvWdr4VVW93MCC05feogt4RoFobr+242NH5YWe6
hC9MkEG4YSwZMkcvyqVY72B8gRjvc2GhhPOpHdVui7T1+Fon8C0aUug/wtCUJagfQ2phDNBBtzAy
I03SycVNX9NsW4kuL7gjfo8QqoOZF0e/RPA7sRGYDozT/oZkRf6ESHlwMkYJGdPYGpCC9oabYSjr
LcLfptupSNjHVq3fjlOm7jXa1b+ub8/5eWTWh6lYXnX4i3na52ekUZ3ObOQc5aCYmbgj8iDeFzaF
sRQ9D1fO/pn/IbplZoPOBrVi8tzl2c/yXpJqq/PpDY3pFnQ50jNdgcTqyuafnTkMMTnMmaNTBHZO
/Pk7D2T15TBWzGf7m/8h7bx228baNXxFBNjLKaliSW6J49jJCeGUYVnsdZFXvx/6P4mowMLswQCD
ARLMElf9ylvUMJ/FFqMnU99kXTJXePnw3Pug/7ro2OtjVV65/v4yNjw/Cv0wU7jf7fXYro7tgTQ0
DMe58w4Fnl53hlnnQYzs0XcSM/naIgV+Dan/foOd7XfelKUeSDcH2V9Ag+ffjIZZPFbYegMziitt
2iG0HuunOKuixyQ3LOlnrtOpwOfBY26w/1C9oxaGyStiKHOJTXiEf2+NV13n64jmkihLjXAONz0I
EOYjhoNJibF82pk+YGK73DajFyZvFgIxyie7qeLiaKWIgfllnwDIRD9zInXQZNHUGOhCxU9kYBqR
+2NIxuI1zmMT44vZaYx+i4SWiyEHdWqcxqfGyJLXj/f4xZtLpAOTZAFBMDWovpxPDdbrWWi2uY7B
malb7QFL1KkJUKAxvFurbtzkkNnDeMKTo8q3NQ2ba4/+MvdnawNdZ1HpXbqICIWshTXstiyhIo1G
7Heg43CEMYfF4g3eAR7hXtH/sM3omhDjxUczJgIW6P4Q5QHcWcWSoNqlhik7Y5pW+ascGvTYF3er
WEd5WUfQY7/4j+9sOdtXTsBfvpYMAT0H2ldQR9YdRVI5YXlCp5U2NcmNgy2tuIl0fY4+d3BtzduS
iD2/khdcnDr6+VCHKcQzzVxkq92vRWaf9hQ1U9DC0JU7R9hdoDWWlvv5GFWBguvlXQPYJrxy1bzj
+s7WluwLvCYmJHwypcJlHf64ayZnKL3cMKDDdOrQFUdJ6ts2QYXWWfbS1Rld99Lste7GlcJMusBx
gRrdSjsp+junGAkFdmT/s75rhCseeqwTY19rdCDzuZL31cb1OnMfE1g7/lC184LtTvIo9WUhI+dX
LDK735iE8urBMUis4wDRLTU8eR3HSsflysEPUnQIv2/NPFeTe1tQENpkVttUmwxAZnTlgVs/KEC3
AAKw6/gXgOU1n0IQ66vkaPrL6PUbS3/2stjPp6ePT/R6udeDrCZd9GNnIO2mvxhPih8qPnZNyYN3
ZU+t9/F6kNW10cV2Rkcg0l9IM31DCyLl2CQH95pM/5VvWZPPbEeKplLevyW6cT6rT9Ph2pesU7DV
l6yxqWVkWZWesSa6E8S3WucrEG5/Rl+6Z/3zxwuzvnXWI62ivVrqsYNnh/6iPYijXfnW1rqLj24T
fDzMtTlbRS06vIQSjqD+Et4Vm3SjPmEMfaV0dG2IJZj541wnI6ZRSpjoL1zUgblBKmar7D7+infv
jz/vjvVsLWfpzzH0EL3cms+o3+r7er9D71j4/fMAp+BXovjJq3eINsqhq33rWvX2XaLzo7FXN2ae
IHPW4XH4kkb7xrxpcTHMH9GV8BvFOmo60rbWveVuI+OgGYqvWEiWqQdFPc3tjt+8Ga2ta3/JUr81
nf92g6xtlVSIBhiwsYdi50c+fmqLb31z5f7464HguaBWTvBLeed84vWYyC8pGSIU/pf8qH33vkeb
aFfefLzAf91DfwyzOg1IhCReLBim/EfclD+nV+Uw7f/bEKuTAKO7M3Jaqy/9Ntou23Ty/200/b5L
//iK1UnoDEXXZsTGX/pjdRsd9UN9uCaQd5Gfr8dYnYQmNiunMRlDeyg8f7gFPzbVfvOjavzeCMQv
9cd/m7bV7m8jT1W6nN1f/jOflK/GsdhfW/yVMQxmqMtL+Me8Lbvjj9Pt4HZRKSnfFH6vbvV9+d1+
HHm3j7gAdV/jZ3P2u9f430mbXIy5ehg7UcomThhzmgLlxUa7qgq8L/bzf5u91ctYVFFWexmzN27l
zf82nXH4eIi/Pr5U7omXKU9yTM8nz8TNBUCh0F+c5lgqT675ZI2zb4zf/tswq72tIi+TpTPDVPEW
g9oUqbcqSMwrh/Rie5PwQ40iLYRfSuVnjezrHDjyTabO37zWjQtfQwT+UwgUc4DSDol+h0m4iHeO
K5IbRbZZgYRe1P2TiMYk7ChG7+3ffTXgEXoFIEg0YDmIfq12/zTKxki7UPvmimz0hSqLh4YImXCt
xsbTmeWVSGqZxT/fmgWssjhoU3CmQYmt9/lizjN+5K7w4u+RlXumH6YJdrRO6FwLC9exJ9E/giLQ
XMH2votCnI/TyzCNUqw1vg0tJjxx4FZWqh4digChFtBYa69JNa93KQMC56WoTYF7MbxZHYQMaG0S
NVn13ahzC1dbvVADlMZLH++bzq/Srmq2Hy/d+kmhpsCTtVSyURLCAmO1YTuqWuDEjOSt1ZXkNMci
ebAVVEstb3YfcEUubzPIBf+ycPNeyEBSdyme4rCz7tnlRqZKZW6itxBZsm1N+r9HOE0PPv60i9XD
p2xBBQA6p2JHR+t89ZTKdcY414q3Rqm9CvPMoXzyGisy98Bh8t3Hg11sSQajBMsdvcAlLyRZ3Yrq
oZvr+VuFXf1t47n6p6K2rk3csv5nG5/JWiBvSBsicKiuSVAK+ifCxO7rOYnLYVcptnU3OIl2k0b5
V2qg9o0yp2blK4o2BHM/jFcy8YsK8LJYNMtgYVNXWDCT51NqqZmolThyn+uYZwFarnSbN0eqgNyL
Mu5tX3ObJAEXPsM4/tL0RaEvXt2RUH6LjL92ZdJXmxe8IfwF2gKLmDCqP+tLXZFe4dotKlR1yaUX
J2EaCAzydgolplNk5+YpLKxrLiarbfU+qAswgv2LnNJF9cfmPkscF/EdSYc46LMiO2K+k2D2h0/x
x5tqdR38b6gFdkiZZyExrQ6nG+aq15L4I4aXqhsowkqgOWm7Sao6uSWTvObr8bf5xLNoaedQ8ON1
OV9eI8RDF2CVtmt4KR/0rlxo51q4HQXUZiMspd/b4l82Kf/3kaT3dPTA4XIdnQ+a65Od1pOHlJhL
ebDuRENNCZS/ijX3lf3yl/lEgJUuEmo3lFPXtB7cGKU+NLG+szJlKn060BN+ebCPvuEjb24iy2mu
NNT/MqOMyHAa/9DvXcVPuZ3OYw1PczdGkdxETTrj26g7e9zRm1t9ir9PVIKuZAl/2aC0RQB/caXz
RK4bpDFEF7tnlZHeyqLAHsx0NzpUz+w0v0YGW37+H/fRsnZ8F+/+IgZBC2L1EFeqNHXhherOwKR+
J4yq3FBGKjdGlaHCWeXzrnXnahuG47UkYnXf/m9kOl5U5QGmXzCmUEyYiqTP1Z1WTe0mckAGRJ47
/z82DPHMIgq3sNfXHQavdzvbEFhQpVWET1Mt5yDth/xBj1uwlUp3TTL5b0sH43eJ8nkdYbmen4UF
GRj14IV20bJn7AnoYmiG+Q3OLb8+vlr+OhIMHhqr6AEgP3c+EpgSHSI+MNlKA97/Rv+ktz/Jdlqa
lsJQrqQRlwePKArS9ML7XAhgyzH5I3UBs6IbxGvmroJCtVNMTwAKTzCrnZLsqGZYHfzbr6NfwzVG
wZBrBQDE+XgdPiUzEBlz18eqdWNmOKfE+lx/t90w/vzxUJcnnL7awmyjzwqSbF2Lr/BpqOkMIucc
hSFVDZ4eEf2QNvnGxpqGKN+igo0FnDMkQjt8PPY6D+AUgEGCUkTwAc6JR+n8O9GniBQA0ia2fbBc
7iszjJuf9uhkWetHidPU+0G2abSzum4s7u0G1G0eyF7Phy+Vm9vyRh8d65r2818WG5VPUGDEzmCI
LoIEzak0IPLWLhI0xXhBXP1YxLq7m9qyDhykI68Eepe30PsFCz4bUNYSnJzPQpbMo6c5hbfryfB2
/TQkr6E7FAe0htRtWivtXW6EoQ9prrxyvV9+KjQOuCpo08DVJrs8Hxm5C274HoFtBUntp1rPhB6k
7iAqmB3DvK0z08v2V9Z8yVTP71wWG4YVAD8u3QvAW+xQoCl6iS1eXKkIOEVWFww1Xmop5X30eAx5
yovM8xOrsG9VKdVP9VCV+3KW4xfTqSV4x/lamfZv8wB4H+IlSQv9+VV2PcwxxGq7JBAzy/hk6W2/
FVNTnGLEEu4ry/308RxcXl4LqQ1NUHBUDlSJ1XAspktLMjJ2hoiL1iexn0s80+1yN6Bwcs3UZt1i
55SRay5oWOg0pJ1rjA0CRJCTIx7Utk2ajelW0rfbXv8su7lAC2DoNtaMrhPQwPwH7c1X2sNOkEv8
GayS1Objb798+JY2CLAeWESkHBeQQOFqsqehg3573u2zzptEgKd1/C+VCN4/moeBxJcJXmKS860N
aHMYshi93qSY4i85ImonO9PyE4xBxbcy90oB7S+fhebhuzALjCUGPB+uFXYRxSaOeUIyx7HiWvdu
XKpXivB/2Th8Dc/CIoIKG2t1Xiu3i6oZjeVdmaXml07GWe57YhxPfYHAhf/xSi0zdH5QgRfDlOVY
0ESkdXr+SVMtJvBDIYrHbRy/xYpnvYHhiOZDMvRKu62sTir7pDFFdeU+/MtXYpyxyFly/RIFro5H
pzkdCD19yYjm/mTFZoPkIGDDoJ0U9fnjj7w8+VxGCzeKLJ4zqa8iQFdD2RVuCy/QFOfHmL+8SY3K
9ImF423siPhK6eCv4xFHQ/AGgHXBkWpdW7o9YjA7W8DkzlI3Ozookh/cWpgbHU7i9v/xfSAgiAJ5
40l+zheRiLaxm24yd0ae2ltPxxmwFKET0JdsN1Nod1delMvLhiiCw03wApQK0shqixpiigFXuWgC
N8AZdlXROU9KItHqQpuo3apu6wDmo7gNCqtCSWjjZC0yDBPWEmqh4QhXXb1yLvYTPwncFxcuuwq9
11WsOONu11i4SO4Ksj98OfRpW0hMXzJnugazulhehlq+GpEojugFpzZOG+D+gL92ODlU91HVy308
y3jbpfiyDiAyrmyni2uH8QC6LArT8N+grZwvr5WEoVLi8LLr9Abv9DbHN8OfJ627xku+GAgC0AI1
XjgcxMFrXrJ0ldaOkFrdGzjoPrGU1hE/1PiKNt/lKMQDICWWYw+8eB1nJ7OjYyPZWnsNhcN8C7Nd
B6USyky27pXb7WJTUBClfrccCuCZvPnnMzcbmdnJsnMX9TPxEx17+yYspmqjCXW8Jt11sSsWXiSX
C68dWZG37uBlDsiL0qjdfSJMZOohuSFFpBi3odGdMlUJr5S5LmdxIXVzfZKFYdKzLi8Pooec1lTu
3rQnuTWMeT6FtXlNXOm9Kv7n+7BIBoLvgKdGjk/hfPXCDraDASCiw5sRGTIbRECTFc2hHRGq2Xhp
pUcD+kaWM95xWphSHQvZcI87QmwcsUG1M78DFeNxs7dO5o8Ngm5BJtBt8CPyuGanYfr5ve4tWC5V
1DwB5nIfIDYYj1YozIyQMZueMc7rT6Gw9adRooPrR33haoHNRk78MY2sn2jCVn1AxVG9k64q3+JR
d/NNjcz2qUOiwdw4+iQAZDS6Nx8pLHErCbPqQOQ6U2j4ttOon6JRxyDW0zGLv1fLoRtuESYw5BY2
g/3LA8GTB3psxl/CJhvfcn2OMURxqFjcRq0Z1j5XAjD50Oqi+7IFbrrrc0cZdrZVJ/OGamle7hwz
AlgdCTV1tvaoR9qjC9ft19iXebHvKcyACQs1zR8sOY+/jAjv9k0kOY3b0TSSsQclZiHNGjQZ+JdN
ZqYyr4494EhCKxvamrjRAKYZBnCrqAkLVB5Fnz8ULfX6bdREVvjbMBH22xIINGaQqImRH7pKzm7g
xnmttXSAlKZm8syejJ7wMKl3uTF6ueeDUI9DZYdsZCoPZdFJ+TuvaqumGmZ4w1Zr+ml6GUIHXRMf
wnzj7VtlwJ7641duVVfmdyGVALIKJCVIR3Bt54cZdfhZQ6Al2iZRWqJpbXabHG+YzEc2ed71pL1+
VKLYWygFSD240FfGXx9wAmwCMg4Elwm/ZZ1ED3NbTlAI0m1oy/LYOe1bOPTFznaVeufo5TVx2Iuj
h3MadxaPDNQP8rZ1cIvobZzNsZMeI7Rxw93o6UgSzrLRrW1ZWIa5meM8GQ+mXunWwWlrt9u2MCpP
SNb0HmJc4KP3jpkm824IazXc1nWjun5em9PkR23iIsbbxk7sAyaV6l3ZqyJ8ooGGQ7NREGreTzJS
j2COjNrPIY3VHGIz/5RDCh9eusjRyq1ej3q3sR1BJm8ZAthug6apioX0qIUP+VCW7WaIINb7oxMR
mSAEXzTfWvyGnF0ilBjXB/y+v1T62IkHgX3lraZUNbgjLpMf6pAM5rap07S495pYM/Zjp8bajZ7q
4h/NTIVV+GpNyuNzX6Te4+joFTrdQ/SNlcrtACkGkPZamwx3aK7O23FE8OIJNqRQT/xWmfwQFgr4
X6NUiebbbp5aYx8atUObZ8wdPNUKoenixhaQNUAVtuNjIovC3U+KV2aBB0Xuziu1KfllzOh0kWOH
/UYgZOCZWwtfAcVPewwv4sC28Gv3bS1toBULWOv6aw08UFY3YwI89satsznZA+6JNPyYIs/p/GS0
Z+uokysq8J+9Ono0plSVTzb4r18dYZZ2IufWon0lKw+8r6tnOZIQNfwus7Hd4fXjg0cqxdH68xV4
145FhYk+I1kmx+D86LVxMlKEccsjcFENnHbN6XB2Zbcc+Fgp6dv6SKp4zc51cgAyMpT/eBHXwmNV
IN/tixIvQL9F56z0O8ot/c3sFMkP1S3i+6jkCd/mcNWHgP5fZW4TDkRk+Gifh0rQpXLS/XzpMj6w
x8c0KHJVb/xqQvid9UJl5HFQorH6hJOiku/ob4XlVlVHKwmKujAa0L+jqia3Q+Nowu8mdS77QEVI
U+5KjOzFnZKnSbIt6twdEoTky9h9MafWnL/Zyuxar3qTlT/cNjacoDe1vj24SQSOvU9VY3ID7gM9
u/emcHB/J+geVFxEdptO952dldpx6kW/zWGNpTsPzWpE6mlyGkng4PzVfscdwQmmrApzf4iRez2m
c2xVOfeZNYFpCes62STzUM6+FoNy3KWUxu5NvfTae7gmRfjNtvPB9gtTRS0z6Z1y2qURp/suzBDx
2C6qGl0A2io9hm2j9LycORIFn0bKU72vo1To7Cww/4DgqQ59asaxuMERUooAbcNePUyF4oYnhZD7
k2LlsSt8t5EjDGJdbyYliBunS5+F7uivsP3CfgrGhtNXBtC442aTZ12ublTYuNMmzCphbZzStZSA
RkNc2kGr88r5BbLQLvZXaCfNCLzDrB199E4S9UEt4tD56cyGAj5/Msp82yGwPKo+PjNp9omQxfoq
66IVX2Ig1Bul0FIXMLYb/WyyTPtc9dGgHZh+ddrUjkxfO85PdGNAeV5Q/o5TK5vQmvW9oaYpggN2
iXpLJSPjNWyNxPLjsE82PJ1GvU/aYp7eCphv2kOLWPn0VnmtwTJpuszupYizxMeeVn6JeqC4ga52
4wbDQKwtuiErbqJSL+PNNFYR+zhMYktwXsNU97PRKrLnQpnC76YCoOkh6TTIKUk6qvHObqv8xhqV
Sf8C529KbtvR9ajjVEOZfAmNNk/1/ZjhsX3wGnZ/7zcJUlf1hnqMyLezORbTl1mT1m+TP1Qy35yR
/PWNROPU+16KcjpMMJ65m6jW4tDeTmbTmkGaolX65sy0U17GMDQVwnIkruQpRjDQPMZz7Dq7QhPG
baM4LZY6FXiLu9irHeM0h0quQTdIqwFjj1iAO59d6W31stezX/SzBu/E/8siTIVgWG1Vp3b2vT1F
WQXvKJbGdoiUZA7KBXLsG6Jtq++DBq1g27ZIm6gh1fmfQ1Ul7SbO5y76pPRG89XUajwvClhe034a
dbMMvCpOTj2s+umugQWIFnPG67LNOk05UGNQCPuGgejZ72vP61N/Uot+py5GpTKwxzx+BfmclXfp
mPfPdeHpyj9EX0bhG3iNV0dEm0bNl6mq/YrUOFWuFEXeqZxnFy1toqWXSjWPnI9u8flFa5JFCEmn
9uhqbYTTuFH22UHvNa/ZFE0rCPXKNnnLitJ9NgurBrmfO5Xz6JqTQfSKwGl4qxRRoi7huGbWfmkD
vf5MYpDiPRxFuuETbebGVsHaWHtpRZcezbLSrKfCRC/atTpwslriZf3Brvr8mgfVGvsJ6ACu31J+
hSAFMMhaFdC8DsJCGBnDcfQmWe2yQlXvepvsr+qa4iGdVOFtO1Dtie9FMkRoW22/NVNRGpupiLuj
4k7fTHoXv/GKQjcEwbXh2eyHXy6EzmuG6BdPHj9Vo2ZOw5D3hhLZaiVo3TVOO41HZASmClWdqk1L
P0orupq+FEnaBsgeqveOOspyBwfCyq40TtbxJpPlwRwlS6apRxa7/Pkf/Sizj+mqhbZ67OhbPdOk
6bY1DomAlVIuSxnlRF0fP/SXIy4KYeB6aCUukmyrYmBqQsZV6lY9InCeZXttDhEaEA6dWumnCGNo
Qdc3ivL08ahrVC67wli0ECkjGZSTaBWdf2g04RIUy8o6CrKV4pPbzI03BdTJmp+GHsf2vdUMKBAw
57GyVVDolniQ5DymplSs+dGTHTe2iyb6P9Y0zahwlcXQ9X5oLcrvMxS/HyP8bDH63Tiqjp8UmnsL
f6rWIQH2/SCuFP7ff++fh/hdWprC0JKqoA524Qyciqgejao7FUSbxl0UtiH0lyGl+0zcnoSPlTAV
RA8sJ8+DEJeZn9U49uMtBfL43lNmYko0guqvhcc96nv9EO96fELUoyq9TNnDr2xLv4wRNzohpT98
T/UmzbYJytm7EAG74kql4V0t9c/voYCJVylNJDB8UHrWJiUcgK5ylcI+giNJVdAdVQlzaSBZOjmV
kbr3OErmagCV2j0qOkWdyW8m3ZkDrXdEqPuIqnvOJzG0c+6jtZANSL7aboq/n4U8shz7RA+IyLN7
m/+q7puMHtiVnb0uc+NEjTYcFYz3kjr1jPMthtq3I5A8cY9R646HigDvgTq/d9vUKPH0zaggwSOK
ayWhy1Ep8lJzNnTaTgAPVre5Z/QojvWUlyvY4Na+SRtvvClHZ3Afo2zK4i/CMzr31tUSfb4Wsy9f
dLZolLuQHAMps1BCkdk5/2KkHxSqXFV+aoXq3bqjC9G1w045+pTQDH5U6nqs/LQ2EKzV2srSH2JR
t9bOjKaw8NGYU4cbFi+5n9J0aAqAyY2V7WWuZ68y0rGtNVJwvgH5WvFPyzcau0qElXdFs2Od8lNK
g8tKXxQS87sx5flHRG0LaF0tlKNj97vJg7k6Wt30m8vJeuRtj7aTFvdoJlnW78mawyuFyneJlfM5
REUD0I+DkQW3k70qH+pDUhWznMVpmI1a28ReNN5mXW1TdyKUyjcyEbBkJDJC9ZNDObYmkrHaR32Y
LRmElcjxqkBaKNrqDgF7GAxzHuY/XKjid5MTuuVOzKTQQYnWXiv9GLsy9Gt4uZvJN3tX7x5HL7Zu
J9hd0pemGSr471YgTf0irsxfpqWYZNZysuUu6jS72ya1EUcnOmKefoL2O7r+1IpKQW6I1D89mMZo
uwHFNw/hKQuhsApr37BV9x/f52sA3lJqBaMJHY4Akl7K+uksxhl0hqWmp9GOJPhlZJeOWjuP91To
yz11jfTk0Xv3VS36VUlXO2KD3L19/CPWO2cB2lGUQAEBpUbQUasD75VVEoV2P5yKhk7TIQt53HzO
uJYe6RlSpTWM1FY3ptaMxk6xSjU5mUmpZrt//TNof6OZDGbMdAFfnG9gOc+j5mZxdxIOJE8kiaA7
95WqycDSgX36sZt0Wwvo4d0g88zHhKC8sonfy0R/bmJmAuVIlTISrSjMaVYz0XgxxcUkrk9jOEfu
Pu68bvbbwW3cw9z1EOWgtg71LSlj88Os4Wpuc9ss70Un+wYV8qF2jnUWRWNQDZ3S7vomGZpNgyqK
6GD/6RMkv0Ht0106ZO1tOauFfAtZY+84jKV7KswwlL7iZNWx9aJmJNmDHGvvEKpX9qGCg8b24xlf
l/z5XFjmy4cSctEHWpUqRjqNc4TqxUlx7Z9SdZVhk8biJa67yrwSrV+0wZaxqIeAJmB9AdCtxkrT
zs0S8lUEBpSfEqtsYN5ZnlhbPKqSfdVT5fWTxnDKXVN0+fMYomc3J3n/jQrjACP3+tlbR3CLuhhc
aLY+qBYC19WLM1GgHZspbU4KEr9J0HXwzotC1F2gWpRkA71NZu/K27pmg6IysejYEquyv7k81vEb
14mtyrrrT8kCTTjZVlYZN0iDt8PNKDp98M2yzofk1KpKpDxN2JxXD7WpzhsxZV32irT3mL96FG4e
kthTom2BVMCJTFV3KPU2Wv/LLPRR7hx7zsJ9Sh+i82c7cpJNIURqfxuwNeLNMopktO6h4YnxExoJ
PLrk6d2rAqVfSXd1nutlMAxc1RSiTOneA1yuoyub76JQxlQA5gLdA/HaJLda7YhqDBWziIbyBCe7
u59iS40AmbRVdqPRAXX9LhRatGmsFo2Fou+qn3ONjfpOSxEHCNyWTXoEl65uErgVSVCldvwVMns5
3chZU9JNNenGYbDC/prb4QVIix+OQCrJJyL2js2VeX5RdQUAg3gsm5PjsIMf2pKX/S6JqXZr2lRm
p1po1r06N1a4V3TMPh7Q7hBt0Bu2kDtZiMR5+fgc/+VwIdBA9Ru9LEJoCuDnv0hv1MkVoC24Oo3q
JO0BiGYvjUdNKx/62o0fR8j4j2R++qGxrDr11Uoa1YKUlS9RAybzyjb/y9GCgIB+LHDVBSG4WloZ
5yFRemacWgrj1K9me/QdrZj3Zg2eYFZpc18Z8eIhJZFYYLk2qL0F7HxBYe2HTAsVtTsZ6BQ1wVg5
hQwMKFzqhsXMq8JvzFFvP2vQjzsU6ykbbxRqYGB6RGZYV1bkcgL4fH4E8g6QMC5+zeiYYaRWdnOy
WsdGPmCmnbdRI3OwfyDIlVQbJGZM5XBlGyw31vnzRQpM5I4lI3OBqtL5NhBpVs46qvXcsZlov3Re
rT2kmV23vkwSN/VFmM4J6iHm8NAUbV98MrpRX0SL9TT+SuxVXHlPLwILgmmuOexkeUoR8F9i/j+z
8kjx4rqU4laQ4jWC13MWc6AKrTXohHSkUH4VOeVXPbGLcTNOHCQ/VebcuILBeI+iziYG3XCqRFQI
loYUUJXzH9JajTdLy05v09CUdR8gNNKOr6WFw2KAsKugeTk5TWfeJC05N2pE9HI3c6F1t5MZ9d1p
dJvOijfgpWKIQmDiXBUHpN7TGi0oDbxxfptJJKnUR2F561TYdVADiMoisMNhan5dWeZ1usKdsxgh
0uADXI9O82pahTXWqlFmxq1SOkr5WbT9+KAaoRefvLwyXMwiQ0e797BkR8K2T1yFavyc54c2s6Sx
//jHvCvInU0tP2axDdbApaNVay+99z/WWB08esw9AjQ0qUyJ28Qk3ZCmQUJQSYMzH/MvaYU4rbZJ
aR5YvtGKbEiCLBybtvVroXcyULU0BKXR2dErwRLPQDtEroXRX5wam8HqxCnvVel+1unoBWre2Yrq
j1qWK6cuLOpvutuXn2FrknaI3OuaW2jZalaiKjLloW82wniSSYe+FIqCsg40rzAeOukC1sr6dIpu
qU42RzemKbSlVRx1gTFohtg6DvvyNW/7qdjlmSvvaHsX5b4TAyaEoAcr+axThv3aDTTcNx2NvZ+K
M6vObdmasRak2Nf9dJOcWkCeN8OvPJy4ckFvY3DusFXzfek5ptzbjlKdEJSlm9/lurlvBTHIDd0W
XIqdMC1yOi3pkLi3le20hAQtaSC6etbknZSoVOr9WDvaQVRemfCB5jBdeaff/S5WK8xljqks8uOo
+q2lQ3MEuUC6KPGt3lRdesDAtsCDUNVAUvleW6UHFEPC5NiTKqeKT3If65XfNI7cjWBbCWUGEd4C
Aer0bel2ZYrri1mEv4dZtMMdREdnelaVzG1+kBzidzFbY1gdQCiIJzEnWrFnnVWiGMtGbnkjW4GW
g1RSmpCBloR67MetmVl+iDmQ2/kAKFLQEx9v8nV90wFUhGLPOy+Ckvq6SNXjNFlHneednDEff0ND
s/b2nNDL0czwUVUAnPgDqm1wd+PCu3KHrnV7kOgChU6hmzudcjpWHecHzHOmaAZo5J7GPESBy+/S
0WqDFmeXH06MLtMzCU3mUGL3tLfI6azkuSWOtH9YGA4DGjbdaQhsGNpv5P9d1/iF5kwPxhg5g3bE
yXZKn0kM3FpF/ycbehSmrEr5ys6aKeFaYR7dhzUKPxs6q247buZmwOLQrIX3NdJi78ENkRQKupqT
2fh2SIFLoXtR3oOiKBFclE39Q2qypIv18ZK8z/n5riRhgRSweAkRi62nZbZSSBeVap1kX+Ul8S2t
Pu9es+p+K/O5RoTAqYe9laeF2Md4Z76akO3olwOWqDH8lqJNvd91E9vJUY3jBIfOTkmVb15T0/VI
84RD7xAy6xutqlWZYsuGqchn2bg1crklHXUe0kI3c8i6ecabYbmpWe/NxovyTThKz/5u5UWiPWm1
dMs7iLtRu3HatGUFLXei+yzTxDw0hlLUTyAVC+NRgGEabjvECAbfiuVcBbhWTtYWjEmJSUNe6dpG
79252DcIuIxPdIGZVtMZnE9NTvJw7zki/VwUTh32vlwEfYmSqzp8KZFpirhlpxr/HHqTZvpqhwbZ
TsvJUZ67/6PsvHbjRrYo+kUFMIdXsrNaoWXJtvxC2B6bORRjkV9/F31fRi1DwgwGAwMegN3NCufs
s4O0lhuzr1QGP0nG/iGyBj7sXBEcxl0omvZ3muYek7omFfHn99/j26sZpRhluoUeB8DxzWVWlTgT
29QfZ1mn1vCPP07GtzL3vHFf+OQroP9b9IQFFlWGG/i0MiFINpwOStjMJh7UqZgPJvD+lmBiI8an
PE/1eb/Eta02VoYqhvGcn36eRTOldzZuc+5hkFZrfrRP397KDKHw0oPEDscaJeHrfZoWGvzfYdBv
iqZLy9DJW+872HVM5GpnVMVP3csq/J30aNnC15rT7YyEYtqOLjt5M7h6ErdBG82dcYs1Wa7ft66m
JZes7c3nGNbqCtKXDBS+1ak9up/iJOeis7VJmtypS0KmODaayU+ZjO22WnsPf+vLzvJDv8+4e714
UZ98WeopkH9W7pqEUvAD0s9fjkk+E+ocB2dkIknXovhfpQCMI6/wSn++cUTkdSeM94cHU1jmcMvh
YWg3VjtCdfHHIe1usx6V8kfyyrXwuToTUM9TbUL1Y7NcWwnixqiwwR71m8HRuvg277X4trWGfgz1
ItKS7bwaeN3Adlra3fvL+O2TKX9WLIViiIHkdcNjTjiItl2bnfuyhN1VtG3Y5vP8nHVGZ4SF76qN
YEbz8P5T38wI/0DmLo0WJC8Wnnd1N/S21pr9EHk3elyOpBZEHu6zh6jIoSpxI1X110HCHw7J7W3y
EGxU2BztqIl3pdYbXrcpsDmfbuScqT0ZtZ4VaEucjZeqqQoDA0hjKgt4OBWBsu9/8r/8Xmic4ICu
hHr6o3Up/WupaHruZUk6iptCpZ6+Z3RLyKS7oGF6JLq+5Xqzx8/6sIoe33/wugZfLxEIoKvxnk+P
uLrhvX5wOa1Y7LAkZwalhKijRRwOlpZYzh4Vw3Loc6V/ef+Ja9N19UQX/3GNhQGOhILo9RPRLtRK
9FlKIFQ2qKfFhEDyrA0xxL2A4tcezf9crcDJANXjSNXouvSrgyhW4yDxy2ctZn5t7fh2k7UZqZ2j
B8poL733tEhvgq7vkh8Dcqfu8v4X/stPvI4CiAhckTWM9V9/YZotN4Nj6d/IocpOKlocDm431y4D
fuO3RhEt4wff+NpJhRoJ69bVhHmdHQOpX31ly/OLptRil8ZXJ8w6VVkxXtKxbLsbodWt/FrEfdqF
uWpTKEPMd/rQruzEe5iaxo13lO1zm9MJQrf7VI4zvA9Dm0vnI/TvL5edDbUSGjcoIFqOa5sPTUxu
4zttfJZ+RMEdzGLMl59wYIc7MQMlBG2ZLtDoKhNXzyJp7tf42pWchRfH/ZqEXsU72DyiPzs90FTg
GGUi7sjydtKwnWuvwx3EtNewStGmm4GXUO3IyxjjD8acb7cvfoVQ31Fec+K9SSOqBtksnciTc610
/YSnRgvFV0sTcUiTQu87/GQpLbbERVTNR+NJa90wrzcU82L8QqgbiChCDfp6feFVmeW5ytybqZia
BxTu41fbqzoqMemQk4dB/hRzai09kbVW10eRwzafCCRns9TZxnbppcZsruZPM5S3ljJoqMrvi4UH
7XMG4WT5DMd6mLcEK/n1i5SzebCdfIwjZuLJ2tr3MUD11veYH4dqKat8U0OS6rbd5At1lno5VD9b
KZq0vSeKpevabSJGQrCCuclr4YfT6FTuGbPlxn7CAb0/MndprF1XMosKjMLkOyyo7boA5kf1nb06
UNvg3+FgzqnEt8nUYlXsrKZYodz39+5fXixOuMiH0VShcbomneRwwNY2PD57nFXlRvgdvY2XLJrO
NNqa9kvneJscDPGjbNe/PHiVbIB5r6g4r/X1S2XYSzMVw0JHmTTkNCEwqtsxqfkIoqWrLMvszOjx
o87uL90VqaB0V0jCoSu/cd50k5I6fIyWGw9JjuuG0PKcdjcztl89f73xl6Ya4jNHuJz+CfPt5bbt
q6rfRt1kicAZLHhOGJN7N1k2e9uR8s5dsTU92i2E8qXhovklTDxSrRq8xHKg7K4r5+6W0lv3DhEI
wHyT+HPm3IyzPfbfixkm8J1wQW8fF2nl30clASqEnGIntCNIbsTQe3BMnU1n5VE1bsBWP+Lz/Lki
Xm+xlXJEJcsNwozUuLqee6MUrllp/o3NjtGPJpSAdmP2eTU/YgFbfWarUBKUWew/0dnUL/APR09t
JFZJnQt9w05I48XD+x/VFFBx3l+jf/l07H1cMlGLgTmBLb5eK92IA10SecVZFcMS1ZiFN1NytPSU
Lslfcs/dx3rd3U74l0TPRkM8cRvA4U8lBAp9SJ78EjB5A0SbWt/HuWlT6z/vIkBYShsNDxNu4evq
pneBWJVZNufRnrKT5mWR3LQtrU58tHoWyh4rE6wbrGnIqvaDPuTt7bs2xCg6ELwQBWteYcDT3C/5
CLUUenjn/UYYMkEox2YV99AB+oLTpNbug/fxBnZGKw+uSuXtrVzm65kWZosNqZBGebaVk1F8FwTG
Hfxo8vZtWl30elh+56D/AfyX+clpiSoK5OTXF43ZV/MBBv4Gcub2Z6oHWIPsgGrrauW6mdt0RioB
bp1Fm8LcM9AWtYYov8QxvJwQT12mQ5hMFPF8Smu3+p7VuiWGDz7GGx7Q+uZB8ajNfaIN3iDOeaw8
HDW7/pwto5jT0BgbbdxQmnoKMp6tdOvBZkBwP8AyESEMVru4DIsc0duk5SwWAW2CqCNI3VqXep9k
PY2WEyyE1onnrhBWdOEwFMmxW4qlOawcu+RhwUvZ+ahSd94sKO4C4uph5DAsXcvY17utgOZcmjLt
znHl5dm3zDST6tFJRg8WauYbJ9K/UoLAZo5tyAnM+3DsLtLpMxlzBMQ4AkI/V5cu81AAj1dQokDR
Qo529yXS3bL6pBVT9ailM/dNUSzRtygf3TiQNRfcpm5K7zl1hxojGX3m1slMK3L3elUUxNHU2OZY
BWMcy5pOdp2nZiiSSJlmqGWeLvpNjyisPERDVHq7ZTLs+JuD0mrcWCLX7G1e6+RAM2mmtV6MDiWP
bVdDeRfbhelv+prE9Ggi6+fUK8PpHkWhnLU2c3DATtraC6FjGOmht9u0RcgGU/A4sD0wtZ6sHnMv
LU79rb4wYjk6UANIFFgds5FaG5R2MARcM0XxtSzfnRz25x9jkCbGC7ttDScsnNwr8wAqc4FNH7Q9
CJ6J2cI6en/zvrl31zAo3iqlM3k7sC9ev901Rt5GaRKfhVPpw4/EHr1QIxkRSdo0iI0/JFQdBPqa
Hx3ib8ACHswNw8iARCqahKsHEy7GbMRz4vO8JJMb1kQlHjpnMuRvWNppd0ql3riHFpZbHc6caD/s
qXJelkLmbR9oKvfnl9imjfIBeUbm2AF+ndUAbgzX+RRbOiYSAZGcxY+Em+wj0fLbgSve/GREr0oj
4y9JvIbKF7M0quxM/u6S7PVsdjfmbFt3rtlGZ4Y3EF/x44jAAoup2JcAOEloZbpJIlVOrEcBV/UD
9OXtWJrPtEppNaaOkGCvTdhimru+LcryzJrvZ9Qg5DqGjV637rmL41SEqDYoF1AWmDuCC9oflRv5
L/D+0cwLs56Gz+8vrTdHsbvap3GkrZQ6Ps7VTQSk7HR9HxlnDc4Quzoptgtm8EMgFrf7ChOhPbYd
M3y8EQ5Z2keP7z/+D3vlVRHD82mGYKRhZkjPv36+f2EMCt4IhYHwz8YIFZhMHqZiFxblJHdMyap6
g7ivWXlfeYLDSoDQNi7McK7gnbZhZU+1LqH0+7WZgcuZqfFMnpnwjwnmGHkfNoaT6nn4/md+e9aS
JgsCjQ89DjT/1xb96yPXppuYfcYLQ+4jnlEn2Sfui4l6uHX6PX70/Qc+Pm92IVJpn9koaaiM6rk1
X/9GsAaMRgyTfXaVVZ2GvHY/kTw5t4Hh1MMnfDhUHpSDEFjDJ+4HU9m3jRyDQ0LUVqYAFCRuyquH
o25CxuGbZxatR6Ks6PSG5B3CJtxw8mL0E71rJjYzxWZOS2Nrp11mR3h5t2ht3EwfvQCeiD0EFBya
FiSIFH4kvTfXt00x5e3F0rJu3tfGXOgBM8rKCFs4TpdJjop5AQRAEwdI4Q8EQOhdns6fNE1Y3s9c
b4nJy6sUCZqRjjlBROachAa04qe0mV0VzHNqu1sceoZsgwaq928qDf8ldIdj5y9dYMVMOsPaMqSd
bTjlhL6ZNa2KX4yhbs9Tlsh4CgqkmeYQxrD5L8RBFB9l4l2f7EBO/LO2NVSB+ItebT/HVrlXuWV7
iuzcPghfT/6pGQAcUmMW28bQakSHyZf31+9fnglzzwZcw9ffpKd6/UZBBOop6sR0KuSoHVLVjGGk
GVWIP+Z0IEMZQrnpjh+so/WL/Hufs8X/kIZ1yi2A52t3jCZrIMR6cjhUTLmfbGxD8yBhoNIHncaU
4z9u0T9P40hZ9yc8oOsL0+19wVRTGw4NImxwrSrVkMd0brOZdZXw1v3R/IhO8+Zn5RuugAfUBfKt
scp4/bPGxjhJCVH/MGA4/8Wv+3bZNF6cV3eWynoEbqItnsqe4umDRoYRzPWPy7FA9aczeVytia6B
7aFCMeW01XJqJz+7cxTS9o2YKsMJSj/xjCDtK/Nksx+IZZdNoR7QZsa/u8GEblJleeU+t3RKT5Uh
u19O7U/PpkITeBCZ4eDU53RVevbdMklf6nIq1C5iih2dSzMGfhlJQDqbbVLGnxNpJb9Uukpe3MqZ
PpuQ9UYI/EZ7mBfXGwJehvidNJHSb2VnRskcID9r5D2Fx3CuPNEuVdAtKBk3XTcM3dOcIv7aoQ5t
bAQ1xaIZe5phSw9Qetnl97KWOtJlht7f5CLn7g6iCHYrbT+PRkjFZD4Mqhrr57pfExnFrA8IkEqz
s7WDZVb1rwTD4ns9WYZvldLX3BRe4TOUAcLDxJKq3/2kN+KxJOYYq2zHlMbWb+oR8p/FvFzIyLa2
Q+FOuzqyY3e3eHqyM8zEi04+ukigI6hOiPRHfyyeauYR2X2r99p0MAe7vZvASuutdIfEPky4zCZ7
FOkqCrNWuWKbtjIvb0kcjY6WPWIAScCUHC6zI5Ue6rVfJ0lQkJW3i5euizfoARvyvmMIxJtUK6fn
qY/K6t5KCUEO62qJgTawKb2ZLVtGoT0M9tH2Ic3DR+hqQnFrNd70FB8k8s6L962iSXDhY0mCXDPd
r4dNTBX1QjltaWT+9N0c2G6ifgyCcoScNWv65U26Zt+NuQkK1BeG8egPcxvfVZzq823TYoMW1Lhl
YeCyKK0lSaI3bzBGXICtNA9/lRRW+TcHif5lShZouJzaM0oXzNSScKjxXoDHQ0qwiw+CtdcjiyUy
FQxPD8rr8h0JeKMVxKw0A5sKrtGdNFFwHqZypamoYhqIaQKe/WecY/lT0/AT3iKx1YsHy4XUfqZh
s/S9GG2p3/qRNGUoB8f7vAz20hxJVkrP0C+nAZ1BYernHPebn65KkJ8u6GATGJxEerDWgK4+QVVr
xl+DVHFz00BM1hAYmeW3dFFe/LtyoiS/2IixFa2Yk+cQQ32X5K6FMvtgxrKhuRny6ouEyBntJ3AT
/PxRAj4MJsPurWVCcDjOqOLKbRYvDqko7IFmk1uy6zbQkms0ybU3WkfIY8g1Y33Q9Ec2rjA/4UYy
u9jhMUQPC2gQPxMnn4pNPK5cFIZHlhEsQ9H3zyqrjC+YQFXqoZsyFPg1wd5PpJsNcRjpnnA2M/lz
ztdsjqZOD6BeOSTRxIv1D8U468ErLa0N3XwpL8uSOs8ldg35ZnUEfNamXuXPxlhoyEQtV3VBEcNK
OtZxas471JJFK0LPqiddZwWM2bhBAuVX35nodt/93lm+IYrV/tHSErh9TAZffuu7vK0Dre28vb8K
WjckL8IoiPQpwl/CpGrYKHhleeAsI/+j5fdxC3U/JhorKjvtscgVpjO96u3zpJU6NbcabOI30f9W
N7JV5hJaMBU33tKRHZK5mEyEnMTDvepktdxLrV3KF9G1QuHAobHRMnuEm8x+aAlkRDc+bDXprnHB
ynGORLImyYkIO2cITFVO30FqGvjMwqddhYvh3+iDpdrtgqTG3kVVY4Ob6fjAwmVYoq9dynQylAa+
DYHe+/XX0ZobGZLF1H6d/YZNG2Ge+8VMY/8lG0bLunUNWi8GZ/ZwEm0U7Rk1iVXX1A3lQdcs/LiC
AoDs1CxGmu9xN8oyKAyiMfC1Q0YSjnrfZI96Us3WqeYOT44GrgBHadMjXJpU6xsjADKDN+bGXnrr
W/kwn1CVGyex5Ey0K3w7nC2WeONnvyiaZDN0JcV81OkTaRRzbb6gGZDI/v2sK/dMqzJ34812ooWJ
guWHpKkTEZB8qxcawrGxwku65Hr7YqWFUT00Q+d2p9Zr9TkE3mrKe8m5Iw413iu/os4mmz3k3MZ1
oS91S23MqWcCAFMKGwJoVNL76seG/0WKVafLLKl0aezpkjYzqw2gI0bdcsSWwJsYmVim2qx4RY1H
y4Bn0/1M31TfdZlD6hSEJHTtYbm6rGVBnVZd/4LsuUmPuFx058LDQvrM9FedSi0ptMfRVxazd6vS
g1QaYtjMTg9fa9FGeTR1RoMbiYdZeWzGsc/CqTInf2Oj//ik4tZ/tpiQWoe2nt3kS1Rr2fQQd632
wgFS/yADXNwuaWoWpwQtf/sVkNaftjhvcBiJP5pmrwGzfnLMSJck+UXJXjJQTrcabEj9OzJ3ASBi
yBosKSIsZCj1EfG7Q/gUtntYczACxvIIop5LEtseZs/SsJOVlfdEkM6xe7f01dT+GpzEJeq5ruud
pxqrP2hL3/8zd3GRgwk1TMXY5JlYQxvFWG96a+HPuHtAC6HrbH8MfYp/reMV1i8f1muENYFKdBzB
YDlulBPb+s8mcfTq7C++jKZAR2tSfIkk6/RoLYae/AZSMqwgV1H1RRV25R3iFPvz0CvK8aDzDr0j
6mf7cwHnOcPVYNb0+abSu+TGtWdlb9uqFeZhFq60wgn+enEDCDN9x1cU78HMFpq4SaRTxDfW4GL5
68ep5Z5pJLR9isiiIA4AXvOzpjQfiw26tKDA+bXcUTzW1Y+YcyKG4iotRuou4qlQVb3p7JFfWBjR
8jqdUHVwYhgB92JfW8p2gwoRZXnHCRUzJ4vjepuQVTUeSzEvmF/WSdc7m0YXWrOPLa/8LMysjv6h
dbSiXVmZXPgS8H+nx3ABN0ZaGcmelIA521EjQkaP0etnwajHzXxbzXXqh2KK22GrYw8xbJy+t78o
f5rjEOTQqQNIoG62nWq/+CHxeNZ3hT/2xr5PC3fnWclIGePVERWaL/29MoUPEXN2ux9uhn4BS4ZY
G367tZvox7rPRH9gNBn3pxG+TQYfZNGNPiBiPbvNq6awj/AG000RrVoUsSizBQypnBkUz+1sWs/G
xC/backj1AkNg+Q3CDf9RvNWUOsmk7rP4U52oY1SZ9iklTd6d9AwuuQeY5Rs+DSPosId2l8o6dBC
+HvRd25VbTACmXMIsPgp2ypofJyr+2CMdfch6tu8IYuscqfHIuuzz00O6eug/BZDJyoMg3AdsyEr
ph5Bu4PGKUojHBk3NwfRaYTGtmlhiy0jFBnW8O2bzVjZaqSlhlWGj1/VQ4YvZCKmn5iM0Iky7DKt
LYu7cPeeUc7HZTAqAiZNs3S+rf707TaS2ZRzUjE03CjD7ZyDhLN9E6NyikM5md1tajqdc+c2Qxph
gqSk3dzUNIDW1hG1jwMGdRnNrsj0ZbcUlrkE2oRLw21jt007hmMkJEnNFMflGfI8qc2qKoRzdAd7
WCvuWVQXmbA8KR4tKdyN9FLJycwcZcYdv+2eVFvZ+UavvQrTIxcYemuqarh3lkzMP6dF1IyEy2w6
Si1vTTh76INRG0PM70KTm8B4aPypuyxaPORngZEMdPWu84FGgxStm3ZeSj355jB4ao/R4M+cW1FV
G4+w7fF1gUBO7elzdMFdhhmVjEEMcAvvoZaGcyxwPjd33KhDufEyvyg3PeLteEPAcHFwIoi3t4k2
2j8Mho14sPS+m5D7UYyH1PQVytM2z7FjAUfVztMyCTOEwYipJoiKXu7KlHotJMQ4euLRmPn0kqht
8NPWmfYsImnvkiZTWhh1vpnfz0WHmgyBeom8rUkkkwk1+neQsiiXrCSp9M/lUmisEGwE8lMStXPy
TP5ux3xbs5uDExeptsV5gQZPx8zQCuscp/yNXdfalAS1a8C+DmwJ15KTTPpVOGIEUlKK9Pn0wxMU
JEHRe7baxr5fIM7QY5sYsDLp5iP1iNEfFk/qD4uEJxE4jnCjwCCLE7dfOnqfpdCRc4rflh3aOSyi
28rH0WrLr1x4x0RDcBf0zeI8lY5B9UkGmIwRoZQdbmK9Y5/1oVdmgK+rSjmsUJtOhbckT9bYRTuf
Kj+Gijf57Wc3MsbsBNE/fYKD6c7bYtZnCxEffih2YDRDVm9VWhUqHNuhLQ4d0j87oMpwPWamOj45
WKhFvQo6DNuSMFI5eY5l6tgv0TJHBdT0RXhbOfRUzvZcMaMMxn7pbZpIkephknNG1IAldpGfVQrx
+1YQTHzrGaiKD+iyPVSunrNQ50I47QG/E6Xx3kq8Y8exjb463qCKwIGOulkKusIAlNSVYTOpyj3F
CbjRNlfj+G0eLPj3o2mobksFEvHrA4g5n5MOiSNWL9NI4I3Eb02YCm9cnaHIr5YTJI8CrpG+/Umg
UPYiS81Sn8uiHu5wMHZAT6fUxELQl/Ot24EV7SfM674l5jLOJ630PCT+os77Sxe1/am0Wr0m3hsD
tUPeGwbDOXxyCd5OZHoqazeuNTBaDID244LGF1f/ueYiM9OhgAGD84r3hNvv2J4m+q/vcon1303q
yAJCs9Vae3Pg3SousnLrKxslXTWYAiugxkylTAKILKrGtAuNa2B0zZDj/KOYWgLxazuGeMVyqtxR
9TtSUBu1oamxp9AqZP08l3Kw0H+Dys/bUuacpJq9WF+wpyrQk4wQN7Z6igRvI0GPw0GD4/alzvkS
pKgbwvlkGJPonqVAJY13UYn5Xrxg7gr7IPXcwEqRBISGmvXlW9Q5St1xCU/9hpO7tI8j/C86X1tb
aS+5wJBF4ZAEc9lbivwE117l2ONxisUhhD5n2JNayiQuyyzskhbMOjEUk2VeVncTtoITRaKDaTuN
joZIO0YqdTvkbXeJxdhlewdeDf5o3E6nySkajIWKcmbTQs2V+0UHAtslZaU1t+Qu+t/blIMCdx3I
4LtMwrQh+VKmhFlHJmyLO9+RvfuZi1Z3n+NUp9wPSItqv+uR3WUPUvlKP3tdyxUAA1Yut2oodH83
zXOpbeF0+z84WbnHKnxqm0CCJdCkyVlY+KlJfdkWg5DpTmWx9gVvWUsL2yEhKi8qkWkE1jzFv5w4
6zX6OEdgZg5rIBLVB6OYN6AZeB2TIXgTKyPYvUbVlT/6WMfrw6Huu3bjTna97Ly8S9mtPbbuH4B0
10MDDxYkqoxV+r/yp6/dC1ru3ZQqPj2Wlko2KneyrV/2xg7T6h9tw9z9fYz3DwfoFd7K8whq4oFI
ele/0Ndo5FD60+BXi3NokWJSMgxyjochtKq05P1lujWF7rA4y72Tzs2pzUXjnAvcMJoHWbYQYMiS
ib8xkTHSTVsKgRFmbyKnynzmDBvDyewXj57sO24dcxrMxWJXR2eqs6cqy/R8y0Hm+4fUq4zLNHNM
BXllqPpctb4zHfy0KJNnH6jJTnZVH80ga0CDVvQzxc9L/560PsIaGIB1v0yh1Ia++Ekn7s4lEB1w
2Kbkyko2BdKWAi1wGvXgNeXw04ikkd5oYvGLHU4zbvwlh38yHLGnbzYSU7H4iFfbKEPTmm1mCyD+
xnliIryt1vIubKU5OiG2cGMtEf+YtD02DvrWqZqBKdBJcWg/uZmf17/ef1nX8x0PmTHIsU9wEgp/
hryv35VtlkSkWJZ7rFAubBCSzz+bOU72TifL2wakkTRAOOqHHH7wB49+swl4NHgx8hWIr6gRr5gY
C5h8l9qFcxR8sVOPY942xYTxk1vL8ed/+pbIPaGrQaik3STOm8Ct198SXo2GCKM1LjgqLfH9UM3d
MydsMW+UC85wyiNNf9HLOYmPpttZ/23O+efp2JLyGaCdAwFe8RHnfjQbOCnGZQC533ZKt38Cy4yh
qDTrIPDK2yxq8HddAe2+E85yeP/LX23/P48nvdmDa2JhuOldz1wKcLLWX8xL3OCPMNYN3nN2aZCr
ixAibDyrX7bvP/Hqzf55Iv9BOA/BiYpm/ft/TSnJiR18XJatS4RvhMI52xqfRZ0xxbdAHD7guF/N
Pv7/MC4z3N35kX1z/ft/PQyTIo1rubIv/Qzn6065vfht9E3ESWFq6hYbrITRRz8e//t3hLbDvy7+
HHB2Xz+WnzQT2Eg7F/iH+Q8h0DWEsCLckzUZmE+8/7C/fUccjBBuGzihM499/TCjEs6EcZVzgbvE
UClTgsj0MdLujXxGApNoZBnV3aA+YPHq69L410n+57dl5OPDh4elBJH36rlJ6rRGHVmXJl78JZwt
LJTaYXCb0E6BpKqq7P7pNERAWiawfVzseOsOvvHy/rf/+8fANgbHbnN107p6xaIGh1DCtS4jPjwk
XJj5zhET6EUfV+JGJ2f55GRz83NOUu8OAVV0IEPe/ODOvqZPrD8GIgq8tfDE4Jz48yn/tdAcW/a1
5K7lJXSDPCInrPHOGs0YIU2c4j9C0JTzsOTKqYiByBO4htO0rAdKUhwQ38v58v7v8peNTb+A1RdU
a5x1rrm41K5Vkbe5daFOQ6TWpsmurydjm7l+fu6jpv3gF3i7rRlxYGSGFz9Phfr5ejUkmdZg/DRE
9F46kChAdfNFK9Y5HvP2j2IK1yLh9dJj6r+SHSjNIZxcz/595ldgwU1+0VVDm94TpGXuVTeNG9MR
CV59XgqSUSVSvlCZFl99+mPsKN//hd/uO4ieVDMc3lBm8EF5/Y17GDuippu41IDHP/g8Q5hNE+yP
vC69ZR9FsXGTR7hNvP/YNy+Wc5rV7iOahv5gXsuUdC6lMZ468xE9gqqwitaDrpiOuAw13a6BPf7B
13z7vDXeD0EUyxszfutqm4MMguKlRnQh3i+JjjiSJV8xqFMJPslx129zSy3/jYUKTsoj8fVYqQec
oMbViVYtddRMmedfOhu/8WPt2+leFi62nI1dqWmvLY71EXnmmpT156HI+1ERQulm/V6dI8SxO35R
l/FjoRsxjhP467Rf837xlifVKSvbtJ3udyeDaNpb5vb6vJ19DPXCUtNKdZQYP8ntODmJ+GBjvVnr
zDPwCwEbY4qOYuPq9/eT2W7SpvYvpdsPz3mLg4trJUytoXYyiRhlrn2XsJWLSzWWFcU70Sz/dcWt
HQmKPLzNkD5dF0ijXsranOf4ccwgZxhxarxEdVqHXt/GeZjrRfwRBfqq8FzfBaxgFjjpktBBbOv1
1lKRLwqdn+OCn/YibmqzKI9F43nsZoWjLohmY22SFNO+kDYDxub7X/jNWYZvJpRVFh8zCDxBrtZf
oY8ouVKZPiZIZ4jLy91i3zU5lS/g+IcsieuzjN8V4q7F4engXnfdgI1mn1bRJPPHTIj+2HC1PC22
NL/Flv3Vt/0M+LpGK89sESPO97/n27tzfae4CVGHcX9zrrz+nc26c2O3Ejy7S+zPUbUwxJ5r7dhP
on1xErv+VMGLD4mqR+gyVelvZcXGB5v9LxvPwcCRJUZ871pMXBWEzOCY1+OjcTE7DO8wnDb7/lOq
iDK79xA04Mk81VQvqTlMq4ehEtHBElWuAh2T6iqcjcQ4t5NBLMP7v861RSyrkEMdsQAa45Vpdl3F
Ca3E4lZl/gVL4zl+yGKXgO12ipcdxkp1tUtxSY0wyGRgcOM5oIphD+CxTZBoxQevIdJ2r7KJFFKG
n5mzq2tVfulxXW9uYttR8DXi2bowjdSIKnN99dtL0/GhL0ZreVxTIqcQmqdstgVUs8f3v9rbcoWv
5q6XyHq8UjVdvfgsyxfd7Uc2mAO9BYoGpttOuqyNqNs3sGFjZw/LvAmxMUWTPBsMv9w2P7vaWH6w
2d5co3wUPgj6O8fieLne6wO3jutEKrogiLKhWxdm/Dl29NYFMZ4IvQDwQ/wUO2326f0f4S8P5k5b
pXS6tbYi68X375KNgXEdcQJdfLvVtdVsKf6apugf9jCacP/Jl/EpiROxfLDr3p4uFGRQeGy407hE
W+uB/6/ncg7g6Fio+JHBlV4G2qxL5p/A1jgFquwDetvf3rS12vLpQEpw8a8J+B4kl2rU8/hxKIr4
F1KbLt/3Y2b295CxmHPMTqfDkczAs85kxST1JybrotmYei7NTadJ8cG2+tuhwzG33mb/lwRcna4i
jnvrf5Sdx3LjyLZFvwgR8GYKOpGUF1VugiiVgfeZSABf/xb6vkGJrBCjujvu5HYXCCCR5py9124H
N3lOFQKvhsX8XtY6WBPDStZDLlJSEJA/7ClpRpA7tGHEv5aI3cdv/z8g4Ls9JKNtifhZopVQ450r
HGllj0Mv4uBJabJq9nYKhD6so9zMQwkIaN6UaT0UYUBMOv25wXO+xE5fNevGLjJ5M9ZaFb1G1kRv
QbMLSJnKUoilIHQ/mDIpH+EOJGVYDDTOV9E0Vi8T3XkHFcnkiHuIeVSnpF3Gd3OcFL88yb6DWlkF
7zuQ40BWopWlL76eymSFB8IXq9jRiNNp/LzulxyJyD0YJMRsHImdkBaNlk4r2my4oZ2atqws/L4A
wMFx6Wbq9ChYp9D10x/gf1sqb4g5whzYe7bqB8Z9aKZ9DxvNocccLs5EbDiBynQqxFP1iL97mG4p
wVhqjQI7aQ9w4HXrO+0Fezr0YgmAou7qGush8am201ubHwDRWd+aoDKAiORZ+vrxyzunvy1T87L5
Xz7fRSZwrqMcZF3QyXSjJ2FX00/lpu6ndEi7ZA0/3XXX2NpTWkuoAmFZTDB3CAUEBvpmspwtiQJB
WWzzXnRD2A2tuEftEMfh4Nfyh4XTMqWqBYI1j+r+Whbbf2CRs1FHJcI3OPxzcCDj4f3Hn1YjdIY4
0J6SuSqHNfQjACg1EjGdH+AkyXFAhtQ+xKLX/Z2GZ6rb2BG55Zu+jNCSUX4bOF11yhpICRmlTofU
dCXSTnI9w1lZxtsc6YwIq6CbYagsf/FKPbM3TTrr49oQrpw3YL7KB6eBNrwhqRQJ4wDlvkcIN5ot
431AthUGxsiWq+WhhSTBTO1GYAu4MhNcnixwHAAMpYLIVOicnyxcQavWnazqOUd83T0g1py/ZnY3
pPf4ZJ0bOBj928fj5vKKlNUpqbOPRmaMAfD904d9L5o6D8pneCqmHlKXZf9QekNHTAtxDVN9zZj6
twsyx7h4yjipUpx5f0GkieDRor55Ll3l06yVVh5Oskh/Nhh1jJ3eR01/paJ3uawBScKLyrqpQ9L9
z5H1x/JSxBqJnoZsnpFf9XQVQeP2BXEmK1lW2cqSZd6GHbXoK5e9PKawn+CIyP+gYLXPM4NKMAW+
k3rVs0L04t2nHb6JVRaM7U/HLkBoITSfg02qBvTNM4RMFy+TKTt5ZXH9ywPnu+KwhL46cAxv+f//
uPuBXF2zY8fwTHJUvurpJS2xZ8lX14YRVrP3urJ7/cv1oFshV8fKs2BAzffXE2OsNFtW3XONonlX
1tG3oMKW5Mq636VJdS1e+C+LJ7dG54RhY1PQ1M83y8Nc0cyy2ucoz4SxzaYEEIQvjCoKiw6xYsf6
nmzYUxjmcaB8yyIw1EX6bIxkM1w5mf7t3qFSMAn9Z9U5B8DqiZU3fjt0z4QhqF1szs2tlRuIM9wI
ewCeWXXl5f53Fno/ey5oHCZ9vmIa4ed339OABMUncRCmdl+vI8Sbb9SjxuBmbjxK1xnt9AXFHHNp
vayBn3FErR/00oY4zv5SiZWZtb6zckFdk0dWGx4ctXGJTRN2zom2tWzoinGlVytdzpgAJNMIHXhf
Wl+tgfbrNukITAmVT0AV1kGA2FDxvWu82798w4s/gP4YFlx46mejOEB+Zo2uKJ7bThYnhHnuFo4Z
jvrMUoemmfM9q8v+47nxL+cwDycFDNnFuB1cnHp16uR6kwbRE24ZS//OAURx3gF0ksR0HqfG/lJh
FQArrKaKNIZOBPRzNT05TAQCVe4qGmCq1hTjr5UW//LLoERwEFs2jSDyz+tBpVm4CDZn79ku9eqZ
gUZb1Bytb63qzJ2r9dlnM8nENgkkYyCO3ebQoqIwVxFqhDKME2P656+edpEZLC0MemQc299/9agw
U6/HwvtMCzqHDTq5aC9a8M4IFH3ztsnlMF85Jl1+bEtdGXIFnQwM0+dHdYiIKs+G3HsugEFooaxj
ueIhTK9EY+QGnKZuvLLJWm7i/cfGFSmo84lDk6El/f4m1ZjWuLm4Yh7N89ckRaxTLMrpsGurYfPx
4KPWcH41RzcJqV1WZiZU/fxUhM2opeOZBKwf3iy/J7YAoxn6GVbdN+ox/dhjKkiwILa1SE1AuArd
Au9WxvYrc04RfCE/DQVbyLfeTkd0kVr3RCZWVtw4tVvov5gJevcxRb3tr+sch9h3AR89Z5M8Y7fK
5tpFtZ9U8WHUM1BMui/Yb1njOO51FNH2KRZWbN9rrj7kYeOAhOFBINa0vlOpAnRwGM1mYsc/UMcr
1hictOmgydq8M2OyeOTK4puylo2lRMNsTYH5qnHwZ4mixHDitDvMWzLSjHLlkE6+rS2c7iGAJhQl
WhZ5n73BGu6XrX1+09Hk3jpqTMS6xZZRrRUzBaxO4Gvk8mn6mBAQFdiV/ipbC9EfUp08QrzTzU8E
6AXepnCC4S2xtQw9GTz2h1Io/YUII2NyQ6eyh2ifZXUT3bpJjEfHTw3nqfSjvgo9szA+O1WO0aKt
jegxq0fgQCUMv25dW8L8xX7UsT5VfIb1sY4dxOwQatq3OWm6752kjrZD+N8f+Z41WK0A2hC/5fWU
nrqazqsF9PdLV5btU2rH6PNoKEXPZU5lynMaEnnKgXrdum6L/lgVcMhWKZkSz66MrU9RrIZTTozC
jyEPCCqkDF+V+8GM4y8NuYq/qFEa0cYToo1fYP3N1qrMOQyEBUBJa5WhQS7uK2uI1H2mq/oNuizn
KRIIqQO3VpCg6iz6woeQiY54N1E4bNZp0Oti15Kk8jaDgfCPCdlhbehoPmmZ7pgGyZbjYmzf+XMk
gieEB4t/Ry/do0/gyit1zzrb9nZQHdlA+sGqc/22Zb1K4JtO6dQ+uXMlQNZ7SLRQ3rgNxGX25t6z
F2hgMnQAst8cz6u/y8ZU+T03BfJ8Gny5mTGlH3AOl2ZoK12ql8mHQLOeZ3jKmy7K218NkVM9G1Fd
EQMVebJ4RbOpma9tXFsjxoLe8E6R30Vvyuag+4L0CCeOr+dau0KjiTAbW1VaUJqZ0F6jbJ7mVQNC
CYlbMDuCYU7b7Xsn6IusejrfuEI09np8Xkh4UUQKY1xL+u71NkM5zYEsaAYdyAYNplWmt5iIXHMw
vgyg3NVXAwWZ+RAjB5YvFo//C7WcenizEy9QoFWC3qz3SVyoW30wuvobhrNaPsF0mqmwKSy6Gy0e
eu+H7ONM/SZfz3bv+4AK8rYEv4iAwfXFgVCCYAwXGAKGHr0dvzt5Hzw0Nrm8xzzu9BEsBUpcgkET
RHtqwiUVryMzje5nCgvlgX+x2IhRtaO7QkJFnbJgF6eFk2IXc+NHHDs/lU6erGbaZGQkzC1mA1Tn
hP4UKB300InL2VtPs916z7LPY1RJWt77a63U+2ElulY9dPM8G/tU17Qd1mSkwBCdABKJ2LWKMJVT
OmyrQOTl0STKVW0tgJvx3p2Rs5wGuwm6e+43ql+zjDjTTV90tngwED4+2kLExsYuRflLLD7PK0vl
xVaGVTtg5kbdsOQDn1fZLAonTa6r6VmPTecpyv10UdlH0RpujlAHe0ZDtYuKKL+mbLhYvuhY4SIl
GIiDAFyvsz0UK0yM44g12i0q7WdexydB8SJFMorB5srG9GJxdrA30jmiDbicLM/x4botxwX74MPP
HOpt3czlW8KhCwf45DjPpiCP8uP18vIcQNkDvfdyZ/Dv0Oa8X5xnakyguc3kBau5vzEYQ/fpWFc/
IS4Y90bXjwf88xbBUs4wrXpfkpw7DvaXj3/F+ZmPbrfOQWI57vEPRIP3P4IAPVVC4ihfTHIDSR9q
aIcZsk7f0EtnW4JQOOTNhdONd6JT0odPJq/1ps6H1/IT6AUjEgqIisXB+/4nuJmPD8eP6xdkqma8
JuUnWHk4d/KHwMvEbSK77pFeVfnr4ztf7uzPvRGXtTl+0PmFPsE+8KyGm6gGMndnNi8+gI7oIaoq
GiS8qv7zTDDMriGYIF6XFWeFO8uX5eePr34+tJerL3k9vHrGNePt/KadiHy+QrxQwIiKVVnVhD4V
5rB3e+TYV4ba5dhe3P0sT6aL257dy/uLlTU6Pd/VixdIYm201TNz/KUVkvslZLbsDwn9lyu1hMui
tWOalGRBGeACpxt7doMkIsAEZx5+JiISe4pDyHKG9RB3bsvuK2iMBuEpxob11Bf9W1NDMqNeOJE8
bVNY/9edNzMYbANIIz7bfZ7E+wcA9J3qrFmNz77KnNWUGWIFklFAu3SE9xQI7Rof7/z1GsuUSdtz
kWUh4DiHmyCI9ZBdW9Ozg344VC1W3NLK1adJ1LgjPh5K528XPgbFNxPjO90/D3fY+5vzcMMRLJF7
L6YSOlk5dpCEsKlGf0NDzXyz44YklY8vedFX4468pX5hMTWDtzpHjUypUjVayvZUapbJq1sY4cjq
wdoBSs7bMr6RHSjGT7U+sldnPz+jQycF+K0mD4vilR9jqwPl7cHCRYyOW2LMCDmL+ARuHStyWWCt
WOtXSQl2nbP/EGzJWmgbYPtKDT/JRhk/T0hUvxYQ3d2Xj+/uckICHAJZEDsFTxY4zfsHGjj8kaZf
iZMsm+Y3CtXituN8cCLlZ1ppY+8e01llnz6+6DmtBFoXx6b/UHTUoUhDOZuJSxn7BLpX9anUA8jN
uAfKeCW9NKbVKD1nnzgFJkE4dHDXSDf3Dr7RDDdNr3XWzlLa0ISGK6dmx3F2vAkmdjk3gB7E+Pzx
77S5+ffTps/N8xmxu8Uu5iyj8Y/qXOqgjCH8zHyZuqrRtzlVHLGzCmFe+WTPvyAeB4gFHitncIqg
5+dzjAYxWBfLfBlaIoK31ez9dJCepStj0Gl3/PtN8aku94NOk1b++5tyy7yxe7DvL1qlpWtabVWy
J063na7Min+7qT+vc7bmSN/ICqVH5gtngdYHFYEgIYQ6OkVr+j8oyj6+rb9djpBI3UJbyLp63v1u
xs5rRn+2XtLaxCtAHuzRcdLih57k1bWq7eW4oCRvUmVgzlsuebbGpFklvCQ1OWlEufqqtCZyw4F6
6+u/3hL9hgWCwfigXXWecNK2OvmNdJNP8dgaNVsVMTOp03VbpVlnvn18seW1vxvrVCnZkqDtAEF0
STNxif4w/DZPT1ady26NxSF44+BXfnF8aU+3yMXSk5Nmze8ZBIu68gFczELLxdEK2ZyZYJyed32R
DVg4L6fkxKkprUKsvqUFtMYPwiyKyXYSTV7tjcidrxQR/3bTcAMpiKOKA1R7NvshrAez43XZKRFd
RPEwaO0N2Ib4NGdzc6qJ66Q2IXVy/UA+uP+6VeHrW8ooSMegIAG8XYb0H9OLR9a5ZjUtNJOMMq6l
ctgxY6V9t/u22cukv1aTu/hEluuxtWbQovK9wJ8h8oySEn3hyTYQ7R8SZZTNdpRRgYwG2mVwZeG8
+EqAhC8arAUIbfpsPd/fnul2nsnGYDhhFhYEfOal/TOYm/HKh29eDB6LAgZPj22PDv/DO5toMCAW
rLPldPJTyiPfMDta5Nm0fpyts26Qd1iLsXCa0g0ibJL0Wku8Xm3b7ionmA5kZTu4p1zVzzdR6uD8
FU4D3TQfoJ4mnHqnbj60OKy6k+8nzQ32yM4IEWbLcoW9iYxvgIuc6kNRcaIXO3h3sA2ypnJfa9ll
35O0h3n48bd68SKhebNieOw3+Vwuwtw69umegOR3mrEMossYvS/G5OM/d+U1wublpRgnlFOJ/wKY
x+b2/UtUsxnj6Em6kxsk4pQkeWBi4u6fydF25Pbj27rcacHWI3VlEekg84LW9f5iCG9ThPhmd5KL
p2UXjX1x4yk7sFbgS0X3O9AF6cooXWZnl1iyeUH6D5ogmkeKHUbUl5ATqxnyzVrvPe1p0svWXHlt
PyIfGGK72WR2PP/IYp8eSe9K87fDbu2GKsDUbDWxpPRlWtK30A/Av1xRtlxMNRalLwi3i3OCQ9D5
zpVPvMtTt5Qnw+sHGP1dE+Mub+TjaHb1Z1Jxm41tEWCcUXW+MlwuNs3L2zOoang2FXI61+8fqxGU
YFDaSZ6ahFoe8QANjXN7LG256lK97XdlEs/plYtefpV8jbQ1HeKBeWnnygHZsqn0GlOcjNaQ406j
14o6pcmEtWa7pu6rbLG69/k/LyXMApx6qP+zGwDJbr6/2a7D1J9a3XAyrT6DipiTWo0Xc+8TA/t1
YICn7B3NaxWVi8/ENrgkc+qixGUHdzZyh2TsMgGx+FRJapphFaDlgLOhFeU2UmRcbj7+Ui5OnHRT
PZeuCkRg3CL6eT0F1RH6tgqz8oRo/Zi2NMmNRGW3VPru0q7euUCLHpYAlnsKdc6N5Jbv2w7795Xf
sZy33u0abJx/DCuUIZxJ6HW9f9rVWJYM9zx77eN+3thFCo3CTnrcmlHUodpp5qS/Ba7SRGHW4CYI
AVQzfQ5uH1x5JBfjjV9ickCjpo7um4br+1+yQC5oF4zZq8V6na8TlrWdShdcZTN3X4JhsjZs369N
jxe9Po6FTFeoQvA+LjkcZ5ftoZMN6egVryD0CK8EIZiFjV5aexJN5ywk9VEjqSoZ2ia0sb7uOr/x
7nwEVACZmrbd8A5p+378Vs4GIxuKRf9MD9JjR4cx6GzONq1Ot/MgdqFTFcEnTK5xA7osguwuWZU+
vtbZ3PK/a1FJ5DKWDwT47EBe4m1gl4jxransZqtkWkMrqPxQI7d8506onz++3tlr/t/1MPhBUnU4
sZ4LJsBLd04+Gc6+wqJuUW3I+qNfg94zep302YkW2QqP37UYzMvbXBh/IHzcRf6jn1dnUUyANIxG
e++lSfKFyn0JCUmO29Hq9RU8fuPK3sm4uCCzCQU7CqY8U1hbZ3M2SWqOGFu9OozdUDshEymQL2P2
9B0aN/mM9na+y5wOgILX9MfJkeVWRV59ozcweYZE5btcxclR6c54m0lDWSF9pWtHyYsf6RqLioSq
yH9SmvMmqGbYUJizItlPdWzMJ7raRljnpf5Ljd0s74sp/8eTMq+fGZ3HQZ0Nm4FzvqdE7QVo1inS
fQ7K6N7jkNltdaaFb1oq0vrKlHK2ZP//xQhsYWxzLroY23UtIKhP6d7UCFCh4UNiASG3VCao3awZ
ZM2m6n0d5LNWNlfG+eU3zNmSDVeAF5Di039bpT/OBk6q/KhEgYmreozCBc94iI3GuoPIc81QerZP
X26TC6DAYoQv9bvlp/xxqSJyZjDRnXtDm5v+oVlnhIoz42dXFou/XIeNJD5ZqpI++7yzIY0bJcvI
vQIfFDea/RmpqXIOJTA8ec2jcDlJIB5eSpJEMC99nLNVKU3NUXZUam/Yx0UPxE8p2jlwBcOyamZW
n4KUoEANxdPHc9PlOyPLgbMcqg+CULnu+wcJhjtxnAapmldyyN56EwX57WBF/d2gkYvz/O9XY81D
l0wpjUd6NvOSd1PWQRZpNyypmcAbitUDpXKX3E+l/Pav12J4WK7j4qxirvfOVjmwKm1Rs8kjD1Hv
f6ixjDZy7mYLdtWkP/7rtZhjeYSLN48rnp/J4RJrPtaF5OBHDql8w+iQUUkEYrcWjY/C+eOrXU5h
zCiUAFi52S8S4fv+nS35PC7JmxjFisC+KYKpf9SzqV3PMvDXpln2t/98PQ5vaOGo9iHtPC+WGybc
glnOrF+t8yn1gb9wnOwPfOVq1Tlq2H18ueXn/7E/+2+5XNZljlO0c3ig728vF7EkRkN3mC+1eQ2a
3g61hZhpyRw2oK5ByC3FjK43KHZRYJXbjy9/vk/97/rLkYOGG1YJJpf31y9dIkI0Aa1GEaz4NfHb
4hhXo/6VMnf51R/AVTl1YOYrC6zYLcTDaRdhfziUs61f+SmXcwLYCI7MGLU4NKMyfv9Lgjm1XfCu
1n4o7BF3c2quAzsRz1FURU7YUmZ61KRJ9/rjJ3A5J3BZaoW0HNk7OP8VL/6YXBf02zKMbcbXkO6M
uHX2fs9BM4b9eGX6+dsdLswdKtZMBxxF3t8hlbOoH0Rp76e203/3CCI+RxkV55C0cCiWlP/nuwpv
3Lj++BYpVfMnvx9lRID8ceXll/1xk/TczFr14M2Z/RWkVzxS+6ZzwRHjxVNBOEKODELsEZ1zj8q9
0d+AafaYEC1P7PVqGCMiGVPIYONgKpgZ6I3g6pgzUTYkW1JECvsqK+HOOKJ7hppZf/cbx/4aZ4vG
39In/cTHO/Yr8EqTBhAgVigPYqeWj7oFenAzD1HZfjYh7k+3qtQ6/3GoiU3aeEnQODf21FbderKj
yPyC0SUdVrbPYzzMZu0VW2uQer0eumYePiHPNa0XPicDlllJXCvETFLr4ckV0WuNaNPcmRX50psa
2OGnqja0eG2WKaAgq6qoUHDD90PqGs0jhghvr2Uj3KI0dQvy7Ae7fSmYfL97Zum9CDua9RVftHaj
utj6bRKw+6Y7Q6+tMLdCS1rOFZw0CgJWQmE1DGvETGgKYfq0G1I+UnmIZU8W+lya7r3vlqy7HVSI
By/V42cdFvrXisUC+giPL/RgJx2yyBHJyiIAtF7Fle+Xr4ZR4UVQubK/kIrTUb43jLndxFMkrJ0v
K3Qm5aj96Fq7MDdKax1jPVsOhCb+O3ls/NInl6bsghAtatEcU28KwEEluTXceUOAfAhapXDv/Ahl
yIq9nBY9Nm5iundJpnisM3GcL7LtYLiWQ57cdYqgqFD3G/Ujjx34Voi/JNCRWPuReQaJwKggi69x
AVgWSVXXtfqTVjQEdzlFWRSPlEds7S232vnQl7EfvKkASNp2TIABrocBeOJKtc0YHLSm12+pkqPX
6aepRZIpxhHOjIP16aHyiCwOS7Mp7K0B5PkgOt2od05C2/0BKgVq3aEdWsKQkiHOd4pMrHGV+nGq
/2gMGP13ukdU5aalv+n+7oM0TlbOPGTyoS6FNW9iuIy/SfghR8Er4ad7PYFLdBtFbzgPkQOseEFh
1fnWg/q+Zv8dyU960QFOWtnCsm8Fh5dehkjzWkUk6DRqv8o2mJ9svxPzd3pr9VRtykiWb42lZ+Kr
OUXa90YJvp4WXxnWgiaa6oJAZzGDhWnThm5KXHeyFvQjEz1+aRPLq9a5Biby6E1VHVNcc/UJNKyX
5nB60W31IV2XXHvha0RuXZj1cFCYvcgDTPrO+5ELU/Pocg1etwUmJ6Yg5PSWfM4zjRZRjlx1aeoK
54euWDZuCqHgyNd0JELIquaLcIfZglgs+0cE1IZ3cHutgf6XTsWvrk1bm85h02obq0LtzW/rC/GZ
CA0lDjEejRsvFwmHpcmp/WO8MNNuqtkACIGvUgEYJEptOhaEpvY/qQyn/c9Bs5vmMckbmpKAXJEy
3PjCqZ2VXcpuX5FVSiV5GtQUkq1DsKMWKB0QvtCc5pYKmV085GqE1dlb1vSTkKZgXFMmsVziTiZY
TSCnKP3xZM3+kda97a+N1DE+d52qHlNHc/1t3PlAuyazdtKVNPOMD6Of5Uvl6uMTUSt10IVJ08v4
rl9ivuHrCKI6DOwpJsIHSn5IwnRqDjEu9dAd4FHuM8gbr1UyG26oAM4e88BSfSg9N0aRWTNUtuTD
FYfObhtScjmIHUutsMjUqESBRI42bL4pIjlm60m0+qegBDm6VgR3Q8An45pyupeWe9/qLGstsgIM
kD3P5I01/ZL5Dc/Pt2/bNna/VeXoP3AAQAXS21KiQCvgFW+8gefw1qlsjOnkyXhYjUM9kitEFAoB
ge4YWWFHXTfeNk4HT7nOulStYuR9ZthSBvulIVX4rYo4eBsR6Z7czgKht+xva7R+wfhzkBmzD8y2
6ZiJOHme3dp1EOcpJo4iSYJPmjZYxd5M9KzdgUma9xnDlK5zVEefRwhe+BR8mX4bc0+/81r8WGtt
buRdYuZ+vErmSQ4bX2rjPgj6+kuhYRAI1WQ2Ht4HTeAXDazfnWb2RMEAJ2o3UdlQjJWjl/4kRbei
p1B7dWCFA4lWnP6gQybQOWxokkgVoYB2Bbgf0Q2aQea9zkuae5E/JMnopysX1eGTSfxxgmLSkcVD
kOTjJ9TAxVOWRum8BUrY1g921mr2k2VrtM9DKiZRvwdZHf8W00Ky7qy8zZ+KcXaOk1DeDHZyqr41
kRi/6knr5FtoA4G5Jfyou02WtnaoCmHf91PuGqGSbrsQRCjF7qCUubdehbw99BB8nQq6Ib8oVBjt
fpw9BZeq7Xkrdq/lbLwNv1hJECjlyiLTuNi2NUy2MILhiYwxIqjuxhp4uGGepuoOTpVts+DY5d3g
KPeVJHUdx3XrBAckIrGzdns7K/dd1Kp+b7HXFBsAo1LfdDA6yVDPJCLdIuvbWysdCjgYbpr067Qu
oBc6Pf360E2Fo+4cIoQfFDiXdp3pVa/TXCgX6agF0LwI4mDc+nXlWrc2/tyfWReh500IrQPXp0oB
QTW1+mdo3h5acD8tss2oDfKX9Mvmq7DAaW3oYYgb9tBgKIMSBVUYJU7+VKZRIzGB6MUQGlou8R8F
vKwdliT5jB6UFHiKFsbDVBPqSTg8m+ogN735oSpsHy12NpAMYVC0qsKxZwvDilPVpAuRr62Fdm4I
j2koMH54dlopkh2VuBOa333XYl2RRKCr/pdRcp4M55q4yRe9LHDsDV0FF9vp235lqHL4lWnGmO8B
iBvVjWk0UXzk37CCVaP1iRf2ZiIf/BFD09FPevVzYeq1q8RtHfHJqEUOKrfvdJoQRWkZN/i5l1j1
eSLSJLUNELjp7ItnJ5FZyg2CEloTduD7YUppOdrnCNjvJ9ngnki6HOCucOmh/wKwItKdPxOnsAZS
O2yCukeOVaMo/jWwnoht7Y/E6Kl4ROvs5MolSyX24i+B3aODpdFnZmvG8xBA1iW9JjSpUyT7sS6n
bKfpPgjLTuptepTGVNm0EqyouilylWwwbzjRrvB661OatHO9EaRiE+YtQWlug2CeXsgVG9tdOrKN
3JgmFPt9wz4NQps2Ot5NGQT5swZC0drGaIL9VUPYAy5+A/VQhUHkrgmsOj70RouRwJoMO7+Reez/
SoIK2yjBkYO7BeaYQc9OkqhlffXNbp03cP9XJB1U4kAVGw+ng/sqAY1v+B3+YYmrD2yzvnYnNnj4
VFA43RQQVNi1N65R3kUEjkU7Cvgakuc6SrN9DimGD1Hh0QqpOpANVk0p0kmTBIn62bUdQx0SBj1S
/qqNTt6cAKQ2yQmQJJwF9U8yvXMMXg5bQcdjtTkok6wxqRYOa55HoOcKHFlhHlFmwW6uy2LTBzH+
px79/Izkf2ZLV7SkCYI4RB7ebT3JoF+76Tjoy6DOoBcXcbypbD/RQTPUnvGIxzDv8QKVaRvqgVAF
uXRJfsxHEgXW49znD25t1t2xLE0BjZOJA550Lfh++2YexckRMujXNID5BR5g7deqzJV10hsjUgDy
K8EHYOLU3apOq6MytHqAzBxEpZGHY92I8QH+pZ3vTfCxAekCwECYwJNmG4sBRkOI2wQh1MJRZJft
mYQlQlyK+s+1342wSVt/iNfGUGT1lhxYL9j0rdSectpM1jc/4U8OG4yE0Qozs6utG4qj2qNobIOt
ATNXs/a7hsu20izrO3KOerYpZaE9t/WsTn4XFIhlWilyEoJgHGqdYP722ZzCO9NEVd/SZTXzvW0P
eEJIsuDN1Yaa5D3IRC9YIYdp1J3dl2xnKGtk2iM7a7ZeTtxW3gtBxtrXpW0TfZtV290L0hHFTutb
3b9m0L2sMAIBJgrRIZKH2op/dg5VaH5bDWn3nsaZl91aWIStdcluGqJ/MmEDMRO/qOiUda15iEhu
GMJGDeZN7miduSU6nfwjlw3CK1KlONnEzKdeSCkn/Um5j0figvy+1bsEfQxYGfdkBzBRb+GmGj9o
dVRbc0qm5M5zcp6koCGvUSlmQ7TyMTKXz42XpebRHFU5AgAhB28z2cWw1cs+z1YwzasHXw3MUKEG
5nb8lje4b8J69u3f9AAje2+Uif+qU9Gcbut2dD67ApRMWDGf/8a6yYkscCMt3S4A+IKjkI8Cig+m
FWziO5+cplwJgnTrAsuhgOvl71rJwDykntPOe3BjutjiGJ2Pk6vMamtMRmJsEuI1XqfAl8lro0WQ
jzmfUY+2JYZ/pmoRXSn+LTWKs0oCZE/+XhiHCKyWkvwflQTL8pohNj1qGPPQ7xpVBe1aGzX9AOG3
STluZ+M1L9dllZ9BA9AFmgsFKmpE7y/ZB4TG5bUiy0WW5hqCQbxTDnBOrBfJwTSmcdd35Bhbs11e
qeD+pWCDjAydLuonWpbnJLzeGMnHg6C4D4Twt0UUZ9/hzQ7hlATaXrbUbEhqnMsr5Zq/3S9KZciR
FMKWx/z+fi2zjOLlkE2aJvSB70URWMl2MPF2KdNT9ZozV7yycT9B/5zm4FrH9K+Xh5TJXwgqEUO8
v/ykjbPwpMZN53jkKjRZR3+c1GOrhFet+qSLfsRp3d9ULPXl7uNK1WWdCrwSOgg0JEjcLlLCKtxx
Bacgd59LjiNh1poGDbSCuKkw6FWVARRG1TPSbwfnOrh3cFyLf64HAu1CKU6HdhETn7fMajlYQZ/4
zh60n4m4tY33qGtuc48UlI9v9rL2ukCS4CvaDvpemkhn31LvKQiLs+7uJYWfYWtVtLH4cn1O12UC
1Pl2KAvcLR2p4N42aPOsfUJdJZItImv/Vg3GcK15exFd79OiN+iRoBbg1Ih+6f3Lh0NUGXOcAS9v
Wmdndqz0cMS1eOcWwXwcEQBlh4QC+aNXtKI4Sp2kuqNdoZU/llAg1vBjOdbkRtptSILAS/DxI/vL
B+kg00EQTQeCn3rW5nDIkOuliO19PPSHecCxYOI5WkVSs5mmp98LfeTKkPzLhEeaMPV5DARocs8/
B8LrRx2LorsfU5Qpk2BRBJ48rZquxNMWFVfm18tBQara8uHTqVpQSuf0KtRkDS2ByNm7TZDemOmc
PWqz8ud10bnTJ7MjEchj0TiaqYzmcIg8DmdyaOyDDnDm18eP+y9Twf+Rdh67cStRGn4iAsxhy86S
HCV123dDODLnzKefrzQbNdlowjOAF8Y1cKurWOGEP7AXCCnB7NHtnGPPyddUp8mAezfl1B2rolUh
2NmwWFWhHZYSjv1Xt+pPrKE8698vQVYbgjKAVwGGnF36SuHn9PA4GxhmkXBRV9gTw1d7h3YJOaSX
td8slunRwlNlf3/Wtz4BjS31rUivqIozq9NrOtDE1Brxe5AalF2zUrPcrk09IZcjtRsKllEL6rQE
J6M0AAHcGDaxD75Qtz9iiZcMK2HTYtez03mBbIBlDk3ueYsCd/XSy/F1PJkIQHwoVWrDG6yUjKcm
HZUnCa2cTWWb4fH+Miw2vhiVcrnQ4DC5B2dXAcXNtE7bzkYuUbc++1Yz6K6KjOIPXce11U1j3V4Z
cdGKQWuag60zLgqYi1bf4Nu2Zw+qcYqsUd2YHn5Lx3CUPTfg1c1XBlvsbRQo4dyDKuaFX/b5aCrV
vVVowYPkZPrXvtampzgV6KgeNytabb71C35MdQiG9uX+wi6nCSNdEArY3Nwqb1S8dyGUT79Arv08
esB76cG2Uu8PvtOCUtKHa/JAy53DUNRF6cMAyVnApx27Fkj8NnpIio4itxmhN0GCtVV8S/0z6fmu
Qw6xWrmkb6ysAOKAjBEodYC/12/IVOs1TZ04fjBSRQrcyvTVj5UVl4+B7yfTqU5CpaUwNUbB0Zch
Iv/rzSGAXiYEUV4xIeohft675TVkfMN6W8fpvheOZxnMFLem8UbNLlHKYwRlmz48jDeIvGb3fP/b
LueOrMTbA4UYkGNrsweKl7JXJ5TGT55f4RqtFgiyqegtbvza7x/gWOcnvHN7jPfkVv57f+y31vRV
bG6BuSJ8EhKVihDruZ65Rq45FilwGHnMxtfEj6vsICvNQDobAQADLe0UT0NW0rSvA0xMzr1q0HQu
2i7VqM60RbrVm7zL/M2UtWXyQ8HOSn3E8N2XD3FaaUezjYdv93/08pYhuhagTM49gCp1FuwWWS9R
UNULnjsEAqj8fBuLoNmrRvW7Gxw9X0ETLM8ewxmsj6lzx9CavF4ipRtoz5ZmgQkOYvw61eq/DcI+
+wY7rGhlrOXhYyzac0JeB87hXFxGzhWAOtgWnnwdPHbcAgmFha2ZiQtfPQx3vd3JL2E4divPxfL9
YkWBZ3Bxg0InhBA/7N0JEBIzRJKdcqqctBseKFWru0bLug8hz+b3MqAWUGEMgP4C5j/gPnOp/lPl
HVV80IL+Cp5iseIcAgA3iDjRSoFANTsRBV5JE2dOOyloc10g1/efdM3XnFPq6F32b+RwzGgR/cTg
G0grnDlnHjzhu9sbWQ6agoohQOo+birlGLLx7JOEiZSCE2+FdsUIoz1ZkS9fbGSbWxZEJ+xwVh+X
8etFF3LdYUax4jSZQ6K6Kmfng5bR8MvV7pMJpvT+uVkuK8MBWVCwMmB3zU09fKmJBgqV3alCU2Jb
NGP0GX50dBh6/JzuD7XYx8yM5xhMPEgJNvPsPjd0JDTCKetOaihHh1RXvV2EquEmRfMswMpa/Zgq
GJr9+6AWMYAs1hOG3+xeAApiNfAdupPTZr29DTIzwZcrgWvp0g3Wk6M/leWfqEyH5HR/5MUVDhmG
2xMNVQFQX+CUC0pglh07E75jk3fRJ1/9Qg1cxcHL6+T6YQwtq0SRKkUPCHEjpGPuD79c7TcoDtEB
ctxszNnE2zStJCJL/dT5sJ3cRrawwNWT/KHpY3UX1+kfDBOblatquZsAj1lC4Q1Sh+DoXG/ecIil
CDCcccrDIn5IFKPTNhPVhmojkXN5x/tTXBwVB9YRsbvAh1JImpNLeyegy6JY1WNRFn2KIExBW9D3
A5qyZtb/oVzOCv/zkOgKCJAVwHy+76yoEWb4ottJ3zyCssL8MOkTGprY2dEDcoLBfyj8slmZpc6a
Xb3G0H6EnqRAh6JYMU+lsU/JPDZS+yhjwKdgb4bc9qlo6ML+uT+3tzRsNhKAKSjCkNXetMyuv14F
nsKMIkRFohKk9SmUajPbhNTDw99+DSHZNuphdDbT0IfoA8Ha+y6zf9MPNKmiz7S++/BXjr2f6cpm
bq3RPZYf2xJ3P9UsChxktGLrvXuMkJbpBtVv5cciJWF3Vdj/rgo444vdjv0xrceVBHpxfKHwkCVx
I7L8VA1n48VJgBD34NART4bBeqitSf/YlMbfQVGCA8aiSvslKjX5GHV9dLj/IRanCJEzUlZB4NG5
QObEfvgdRpM2lvYYOWpntm6Ki1fzwRiw7n4qkj7Y3B9uucHEVMHPUpyguzZnn06NFtsFtn+Pmp1X
+lmycrw4cTXFFu/+QMslpSCBAZZgs6HaMD88cDBpdptS8ZgQ0YTjDs3LTujZt/ElNUZ7OEkkbhV6
8lLa/cICLf9+f/w51p4zS+sf4RXH4mbGHGR2eiPPUXrZL4rXIs2CxgVv0W5p47V0MGt8fdygbC3c
8GiN+NsiG6sS8EmkAoFIcunFHsrod6lL9q+UVknmagG6BRs1CdpD3Sf9ShgwP4wCZkcGIPgmCH3j
ZiIW891+x3jNqKcyGJ+Ryi4zrPCAIyOCSgPbReKu7t0uJPcjI0kUhFp725AQ1zKSv3onpd94D+vx
ccQT4dxGivqvMnPit5FvikwQlDfNh/lvo86ltc7wjNFf/Ujt2vmq1kYou2VWpCeDFV2LgWen/201
iPtACvOSEUHMoqJMd+ouk9rhOQk9+ltxG3hPDq6OALTwDkYYd9CSNb7p7TFt8Fkg5g1QytezbGPM
vDprGJ5DcA9fLdMesV0o+osyxtGWwFH/e397zo7H2xzJGvjenBA6zrMvLnQ8G77j8KxPBgimrM7J
tJPxFTSJVKIgI2F05zn1Zywwi5US8q2huc6g7rLRTBoG11M1B1CDyEmPz4iX1MfWlgwBITZ+5YVc
7+PW0E9y59uvaaY3r/cnPbvr3iYNLxtfA4QUecTF5fRum5upQvm/ZmQlneIvALPKCtlCHKUlX9VW
YsEbY6FJQ28QuRTotHP+g1+Uzpjq4/Qct0r9TRns5lGAllvQdUiLrNyqN3YPg5FCi3hIcLFnE3O0
LiYGHp/RIkViqMH8T0E6vG2pIsgtGMe4BId+fzFvjkmvxSEkskxzXrLom05yhq5hgr7xC2u0vtjY
te5I+zyudGDQTV002/tDzsJM8f0MA6Q29V2En0xjdqXSUhb5OJgHbk0BSYpwFaioulVtar16qBke
6RMbv+4PeutDvh90nn1j0quhjMDaQhZ+LtT8U1bH2jkZx5/3B1osKJkRbxWpEU0s8dfrjwgZYrKT
0BpejCrEbtQJeqALXuwY5T7MeYopLtLuXvmKulizd3EYVWoRPYurXxExz/xBrku4K4llFa+k/Vrh
NhOCKbvBSSBbhkWUfs5LFGVOvhqpxzJQamlvT6UinzJwCc7BD7S6fJiUi2UW1cUPJuuzXmb1HtTO
9FT26qZsjE1idQAjgCYH7SYdzFE+jKUWS4jaG0iFQKyFE9QiuBg84zI4HBvPL6uNGdSZ6fpFBJKV
opX2WfMDjN4RCa/OHRaFCc4vY/8tcgLN+90TDU8/smgofufdaD8NKv2wDcKtQQ3GRLXjlUWbd5xA
TVGoQOmESwSK0+IisVCl02ymIlx94eRgimNcwIJYzkOJFIm1pzHTdwjpTmh0RpL8iC6NlG9a0EDB
g8GBCh8cOwf5J3dh8yMFI7x2UublFPFZISqJfiQAZGiNs4xMLzoL60azeK0MbJD3gR/RD1CbcfAO
SkVfwC0KA2P7SJu6nwM4grOUGL0FitpQm2M1Zkh0/9vuRq6B0rFJFqNSLNfmP0guiqC2bK95VbLe
0WGO5mjte5mEPFw6TfE2rat+5bp4a7Jf721aX6idEDiQEqMRdn2ifAzRyz7Pu9c+U9reDTFAxZ4K
+GO2KXCB1neWEne/HYwo7E1p1/IHHz+yAThkp2NuoEx5tRktVOHTlbWYXyliLRCKA5BAdQlu3+xK
GUBGg/Dqi1er6dIP/tR6R/QS/Ek8uVi9/vPCI/JCbYcqK3XzeXmpQgwPgXVccnUj0H56Xmv/0n2t
97d1Q3YO1wr40sr5mN/TzI9sgvILMtWKwhNxve611lDossr2Ff+/aVM5WXkmK5D3NR5dvyquz/wx
ATPcr9QQ7flVRpxPeYUXkCCWAzCLFFO8Ms2806UXDRZbfVAb0/qktXb9XbEi+kCQAkGde5mVP0ZT
lK99VH3xVXl9IH0J90GqP1BJr2ddeQDZcDW3XkDOgwozBjsZvk+RPxpbozKt5rXW0Dm1095gy+Xe
K7GuZBzHMQDfrupN/CP1tdA59DrvwAEcWf1sjxGI3FitlXo36R06/c3Y69mWxF2NEPyqEJye6tau
jrpXDlLv6g2Ig+GA6UZI7QdZfcDPSqz07XYo0MsC0iY7r/YoSmKTl1V0F3wl2kl6F8DszdkJ1Brb
st31vqdi6pOEUvNhGAKn/6SgqfUHXr5d/OmjcdSfR6THii8GoDbG7SrRY3ZltG2qD6aHPNTvf9zE
7F+SVNIoofpA1eB6bUO5tUp78p0XUIZgDi2gxS+o/qaPhRoW5g65r3yNw7fYxFiN0JZgO8FKpY08
C1NpyOQAEzGpHjLgb9iWB/qnZsySdpf6Jtx3xcOx/qviK7m3vz/ZmyNzVmlFoay4AJwB+JwgrXTZ
K+9yz0kpZFdu1PaTlSkyChcjok2JR+/230Y1eJ7e2MFEkpp44K6X2MO8MNcQun1tY7PSXQhRxQ/Y
X1W+80Z9+DEYo/dcAtpas3abH5u3cWksivIlSKy5eUBQdcibDJl/lgyveEV4GHBd1dlfwi5Yo14v
BEP/dyxU13gSSMvnvstjr9hFqUjSazXAb2/qpviBR2i6k0IVn1elDLVdik2psanxrIlO5AbmqTGs
2lmJ1+c3lfgdKjKCmkrdnxdx9gDE+igcfQfvdewGWztOaC9/S2qM6/KiBy+s13RfNpnfTupTGvIQ
rXzqG+vwJmQJUItaMd0W8fveJULDlJdlh8/SueWa2QypSEuMYNq3EYhVoPo7NW0HmqCN8ZdkOMPp
GzHd+9ttuQTiJ3BRUv5D3Xdecmi1ElseJ43PemwU2z7t+49pAlLBrTQewriTvN5VzbjeAofsjvfH
XgQGPIWkviw8FSguyzlMIExTC9hiE59LP5EPct3LT3nSevtgSKrPyP9DZsHcbD9wK206owl3rVJa
Oxkv0Q27KlvZDcsTILoFvJikikBH5plUHIye3YxdfPa7sX+UlNw66IOh7AMvrV7vz/zWqrP3SZ5w
Y+GGmd2jNWSq0FPC5DxMRbbvAiP9Xlvw8yVaTAe6b9N3hHBwxGmSVZGF+a0m1hz2Ape3QC9QXbne
c23ZSzBtnPhsTyYlv8qJnuWgLXcl3LSHqXbKiyfhUn9/vuJ/+j4CZFCAODglWQj40TudhQTDkGJm
XxvJ2aJ9SXaTVzjIZ0BMN6ECYmbTqSLB6JokxCXDqZMXRR+UtZrnje8rCgEAQgHoiN7B9cwlBTR/
hfzuuQlg8yVpGX+yRj/eNpPkr2ylG4sM1AxVLVFkRaZ2Nl8IhD6ejUp2ruKuOLSaDOoyBn2UAn3B
h8UMJuIie0iylVD71jrzVtncqhq3yjziiycT/g+e2efc87r/Um9wkGMGqYxdQ3GCoK0+FhSyviPQ
qXwA1rH2mW9NG70JOkECw8H+ul5hVt+XysZMzmhQp8MjOg026Sv/6TQN1BG2AWnttkTny1y5SW/N
G4MIQj4qzFwm84u8K82s1YLsrAQGXB2lcsydVfXFIS/N+oNKIPRdCZIcWeQA+zFZyV7u7+95zUDs
b5IJUV8C+IlY0vXEyeEiHOrS7GyNiiRv+jwb/G1WD388gPYJJlewkFe22I3dTEQvtPdordKBmxVh
+kiIDeFOe3ZU/6efFVKxgeA2fS5p+I67+9O7PRblEHFJc1/N7oza6a0h6K38LA1V/joRfFSu5zT5
xtD9/HR/rEXKTHkJaRRcRdiowltnFgAFWJ8FVqhFl0JSx5Yyd0VrOuybYNcYoCfdPEz6z76vSB+H
jqjlQKhsPFiA2KINOzNKVrKZ5SMtfg/dVIBloNYBGF9/W9UIMBZogvAyevB38RzuO+8Az5sqjaNj
ZYa0bx0OOycuQt6moYmKbYVDQLsJqczZK19isdEBoAhpJHRy1DcprOsfM8qhZ3eq5lPmiJpfY5pb
T+h/e96hjQbA7E0to/iWVUVlbFpTjaJTZkn/p99AZRrNd0IH8JrXv0EbcX1RkjS8VLUxbXvOxFEq
wuRHHHc/enmyXkMthceaecG08cs4WHlLFpcMS4CZPR+C805eO9v4eV/0uQFf7ZLJvrXjui8jF1hW
te2axvmutFL5BBEmXLlZl7EKwyJrQ7AC0RdTs9mVniP2PdVRJZ1hUsXbHJcdeRMWJGyJ6oSvCH9Y
kNXL8cEP5OZJr/Lo2IwxOt2+3H/q2Zgrde1bGwGIjmgb8IsW6LyB1KNCSti/aANYbjfINGU7jPkk
AwXHLFFLR+vJ9+LqmI92vuU+mlZ24iKEYT1En0S0rHAMnovDKYbo+5sTxG4z9F+yJoZXCxryKbH0
5NWU0CDehmGZ/BqmuD/fvyLEibuKJhgaGXgKSXQv6cvPimqTOmJrYbADlKHOj0Bna75ESdmoDMcH
oyvsw/3xbuw4Gm4CXwqJRKQMsw0/hUqnmFJ4IZrrn1s5aagkqjImtYa8nTC2/Bz47Ib7g96YJEQG
BKJEcRP+vLiT3+UGsR2jS9Cr0cWBuv0J2gHXSqmYCFTU2G9I/6iqxFEWBgICg8TaUqESa/BuuBGJ
dLOmAHiBpm/DEJWmjUp9gUZ0AFvS9OV0r6mJs3K5Lh4WRkViWZxiIfE6r7VLRQ8MZrDjS6ahVouZ
GVDWdpIPCsJzawW4W1/RgZUBro4+AjjP6xnqbc2VmhbSubOwixkonD8XyoigwxRZx7ozYhJsOfhy
/yveOCXUFW2Fhgjwp0UxagpMScOmWDpLreQUru9E8UXDanbrJ0a3pU6odZssy9VHKzKtlRN64yUV
qBU8wRyZrhSsuesZgyiT1cgwvbOfIz8MrKzTK7dJKjWArK94/5mkG+h1IqAB39nLmk2BJDoFVwAf
btwk/coxWnxsUQtkRxMQv6VZs58TEJOORaMFZyQd5JM5YkTthjWqndukQTNyJSRcnB8xGvuKZEfs
a312SXhqOTSY6gbn1o/DP5PlYSdrlV2fwpI2f4Z4Zqn/zxFnD1Olqn4MGTs421Lo7LwulQ+lFz+0
GYBYRBxG5/n+3ro1Q8gNJK0UDyhki39/d2TlNCoACuvBOSyLH77UjvuuseIXzFdhPRdZ+O3fhxN9
RgNzVAr5c3AMDWqcuGI/OstNHX5FUyZ9SC2/2kseHXxcCWs7WgkFlxuGVBV7SR440UbRxL+/m2Bo
+j0FtyI6m/gfuqXTKaob4ffrdvg7rX29xfUgnKmBQMGWAPfOC389mA2MXqG6Gp3tiLtOiqBvPGAE
3xTboUrHaWtbHjjUoKmT/b+uKwOLniqJOVfFHOSkjGps1KYRnoMBjupmLJxE2kp6GCu7LrLq1x5Z
nmJlZRfXkpgsisVYmnBAgDFcT1YGRjLZXhufm6bJX72wLaBej47z0ZIG+8WbkvG3p1UpsjNJgAf5
/QkvI2oqbnSPNU4lxUbQD9ej45kX6lKsxWeCG++/tLIRREgDzT9IqWf8hLAZguYrB/WzZgVocdZj
PexA4JYrv+PG9iJTo4koAntQqrPz46Gxnba1FZ1pQU3droqM2N/JcT/SjpOslQxxEa+JOROviggS
G4g5DqHiMa2dQorPvAcwyJ1sqH9qrATKOqNabnQtVHX8LZvivyzzPToCcRGf76+7mM9V2CQKneQO
kGMEgWRe/0jDYLLjifpWpLat+qWYiuAQ+3SBNgjc+Ht5ShLlX6NUMSRvEHAADhZ/u/7SCv2LQdKM
+DyVbVVvcQWk/2raRf4sSU1+tKva+eWPgBsPUav5Dc+BF6yAqm7NmgcffAtTB+E4e3USxIEkA4Wb
c+mRt7qFYiUf8kzOXxpo7PrejPt8f3+dRYI6X2fkzRGjQ7qZ+3L2DsRVTuxWeck51aOo3kVZp47H
EoP1/8P3tLmJUShGIJJ6z/XiAi4x8toe0nOl1+1LkyJ+WaeK/YRbW3ycVG1ced/Ex5rNiz4uSZDw
F4FtMbs0oHJ1RqXa6TnDU2ZwjcZOT8JrYIPZr/Wx11vpwjZew53dHlXYD8H6h8gtDta7R6CVtc4e
sEk71yaWei6qL/VHhCSinmGNCME0JfpEH3Wt+bPM99B95qiS4aL7xsecBf2lMqA050XpGU+Fwf8R
e3qRHKCvt9qmlzT/mWi50rcykUv7U271fqLDV2XVxlO69oQUSDPtpBLf+pUTdePSAoQMAIfmLunf
PO1Cx0LxYVqkZ0XDm3BXDKrlAlywu0d0Kqphc38r3xjtzckMJgp9ST7C9eLnOsiStmDn5kHdll9g
U8OspoRsxb8NT9XDlWfp1nDUNyjkYaLGqs+Go8FX5XIFgNFsmi7eSxpp5MaTjfqvhPbj9/tzu3FM
gS5xRoFNYag1b0L1dWwMRtvl1ErN1AH4oMTIMISDZqycm5uz0oQ6JcwyldjpehGlCNFdbr/8PBZx
8V1xJMtFQIWef650K6+MWKDZEcV9AIoO3hywSeaEY2juAKPNKjub9tQidaiU3eMUpsoxmZAhzDhC
L8g/RPtk0toVrs6Ne5a3lM4hybkwIhGr8O6cZmpaaoE2Zme5TJHd0c2KAxB71qGe/PC5baI1w5Mb
FwMXOhhm0a8ENit+0LsBhxEwrpZQlLRwc/yKInqyrck0IXck8YfAK0p/R/8P6Oz9bXNrnkidchdR
wuAqnOUVSlM24aiVBbfgWG7Q8gl3hRbnW22ssVqFbn34x/HemJBEpZoNpYTZXk8zGf2aslKinHUa
3Y/I2NRAdXRwBG4yyOamxsB0rT+72LAMye1CrCD8icDBXQ8p6Ta0PbSSzj50/n2QjPWnOGjQzEmH
Gq3/+/NbRoM0YGmCgUJFuMUmJr0eLdGa3AIVp54jZayfrazsP9t4eVv7NAVQBQ+rMMpjpyjRHt2b
BOnG0jqBfVjjGiy2k+gDcxdQ5SNEoody/TM02rxI1CraGRlO+ehM+nBBoE9zuVozVF2NA7Ka0Zry
/ALxTTxIJQs0EO1nGBj67JXJkj6nBaWrZxQPk0sUdLCwIN5+bsdaxT58GMqfON6gnSo30yUrqmg7
+BaimujO4oxSmo2LDezw5/4nWWxxfhSFJ1qgMMYhUYmb893JyuO4luXW0M5SloQ/uzpMPPSXekfd
EdD56bEKK6As98dc7jnGpI0BrQesHNHp9ZgNBQkcnE3tXGS29SNCSPZj2cfDttMDdXd/qMXFL6Yn
bC0oAkETm99UahdN4gXVz93Q682m8f0s2Va9tEbpuLWjKM5iWkablfM029i+3cp6OfoGEp5J8QSM
Qv/P79C1qn2l/m0gUJW4raatPQG3Ph78TZBdAEgIEWbxkimNQx7zi85NK8em2xoYbhNXV13n6rX1
bWidKVs5wre+HQ18XIuAzGsLVBCCUrRq/Aqz7bDQnyTf0stDgkvApsw7DI3/9evRFWJihAlcTtwb
1xslR29aSjGKPFehpkofLVRDtV1T1bL56/5Ai7eUzBAwDF+QdhTwzdnngx8E/GcyEPLWZFjfeiNq
Dk7syV8D7rJ9ZiOzs+01TEjgBVvJyiZdbh5GF1oGeKfxxs2lZKiMFlnQmsa5CBVEiqQiOVZ9WR7z
bKq2MLNyCd+Asdzfn/Ny81yNaswfm7gMk0SVGFUeu+dgcrJT3uo6PBjV+BuV43S4P96tNWaPUg0A
kLrU7KkaJerR2TVpLE7JLrHVYEe5NHRL068/KIgObyIPFjxiZWt2VLdmylwpgECDFRZm19so6vB7
H9rJPPuygVZ0osvhJsimutrlTlt/DUYf3bb7k709JCeEziYd+jnhAvo4gsBVYp7LJNaPjqN7O71F
dHkLQNIE7Rub5c/7I97aRDRSgR8TxYNpn50VaQRwGSMmeW4K07501aCme3AJrbqJfLUxdkqaI6zc
1NC312xqbg/NsGROkPfmFaaBGZXGqBtn2A8Bsn5ehcpuRYe0QhH/hJYgKw8nYk0GRNxuVwEwhBJR
UiJ7gDi+kEmPx9HOIiSAL13py0dDHswB0F7+x6Zt2LhJkhqkrL21NZXMd1PH/Nf9/Mb6oNDD9YtC
wByH0HaNbA6DVFza0FfdUa+bixIq7Y7/5m0KpBJelWrUHq20ClZGXqw3I9OjomIG51lAMK73s5YP
Bq5ofXmJ/CjbaLWi78q+yw9aH4YnfSr8hzBNqpVH+8ZqgxsDaoWhMcBhTez4d4FCWRQ2qid1dQkq
OFJV7pdPhhdVh7Cj8Y3uoLLDfqHYIWBdftX7Rtrf397L0BGEgOiACn0b3FTmy11kvuFksVZdzKlV
W7exJOePCcZ4+iRr+NcfLIIlBL5NQ6oJXcIsO0pKgxxTjC72yn29eAP5KUKDVHQdNGVRjC+GWOcD
xPUFhhoS3f6kIYs8hj8iBR+U+9NefmpiVJXuN/k/9fF5O3JKkLVuUCW5qPA1t1Mu5DRNp9qGSHGe
mrb4SOxTrEgGvFWhrw8W7d430K8oA9AHuP7UfhU5tFD06pJEQeFsfELp57G3WmWHJGz9lOilPmFk
VDmxO8WYRgDzqUVBLwgxCtMHCWu/2EzovnDVQuJBxdBH0j2SrM9aYEjePq67/iFrakyP4rY1FLfI
Ay/eyHqEKCt027bZ2CC2rE2Qx9NzUlfRl/ururid+YDYoNCqg8VHk3A2QYCowF8tv7mgjm1tnFb4
Pw10zaapqneyXfx7FVwMKNgHgodB+V985neHB4CWU3lG11yMVtUvRU2blSdA2vuWLD1QGW3KTdeW
0U6JpizdBLbWZm6CvP/9ad/YTMwYzJRoe5B8zaKcrqu9fJCL9gI4LPjEL/3eJqF/6HAQ3MltpR69
Rl1Dxy1efbQg6PaKWxrVAKh51zMf/IhgedDbS1IigrDJudBByxiV5rajrKMmn9oHTUWJ1qX09O3+
fN8wvbONTNGHjIs/KHzOQxyEhWuqqV1yoQ4fvPaxnB7toWqtTZlhXuIWZT3ukb1H071Jg/5pUJzq
v6BRgr9SVXTdqa2VFrZiJ+W/e0Q0PkXIuO1bI8+PsMN9Vys+B/lellTnGMGmPIQt8PWVOGJ56wq4
mdCYEL6ENJWvly8e5a5C3C+54JUWfW+g3j01SMGrrp7HCBMlSrJVWlooGNcFbjlp6un+Et44KbB5
6B4h0QQ43pylh07j1bkv5+mlsLXgc9nLwcdAQvIbcV3HhWptrVSW3mKx2ScDokdeTmUQQ595LNwm
MUaztpJdgAtUT7VqxUeUhjo3NKepQ1BVzz85jh+8lKqVtq7XjbK0yfAY/RJDFv6YqFb9PE7V0Lo9
FqFblJfLMz2JaQufwNkmhtlsQYBKX+gOx62b10kbbwYMJY8VcprPGry8jTVOJt7wGq9cmJb6UxwH
5FP3l/XthplPk0YnKwrKDoHb2VEcJAdZ/0JNL45V50gnIomOOotZ5ZnbGHX/H6gwB0mTGHlyOpKa
v8P0IS5Ogxlm2h5FLLvZpF0R/qynQvrmTIFe7aEDIjM7FFQ+BCRoDN2EY/YAMKkELacG5odCTbI1
B9u5mBQgW9Rs0OkFTcJrsbDrLp2mrXIsLAh+wqra6WqkbawCj4eNSu34OFpOPm6h7BsfadpE6MDQ
lTmlmu+94Osyfql7vf+hybQJtzgqJPE2Sidzr8pSsimD9O/9ZZ+dJvYVRDjaGW9yqfhuit3+7hqW
Eb5pcIb2HoCHlHsgCsoWec98F2oatLO6tLad7WRgeIngog4M+v3hZ4fpbXgqHpQvFdCjZM/Xw0de
UkO1cJwHVYuzQ56hMhYrKXUP/IiJ2IM1J83Z3SvGE1Af0VCn1ILa2PV4CAjIFWWR4HHwpfS7Fqv6
ZoRsuKMnWKcbD9zaj171poMudYm/Ei7O3pr/HVuo04JJIVrU1Oux2XRS7amMnbPoblgF5QM627Qf
rWL61vTAZ4egGi7/vMD08yEfvunxgG66HhR6XGSPSRU+hh4yKG6IcQ6xaFniHjuksRth4rCW6M3j
UjFRICd0FqjBUGGal6YRllAVx5+iRy/ugl1dBN6pL+Pms2aFzdYcTHJ5bHE2bexlyqZq6B1ZLVfR
/Ynf+NJCi5bzB2KUCsJsY0ctGhI1kuiPWuBrFwcx+E9SPqSPoIBwQSJOHx4cMgbOIQab94d+6wu9
u8reFkCUTOgUUmBbyIsAJKuVSWuixwDJ+uQYYzMwILmvI2ySYRD4WiWYBrn6WA1YEBTTdMIenvMV
+xLuDE3f/SJRVsd9O2Lhgy2cth3S3jwWtHEekciOfoDrWatDLzcnDAXaTkJvgr/M90mlTDFnXK4e
FQzHu08RcuCRi2UFCvi4DxWHynK8+muKFkh9vL9ay5FBh9HEBVcDGQqC3fUOhT8PdCbOk0ctl7N9
VWZphCNHi/SHFUbNoc7LpHvAYZpi9P2B5wAxPhPSXHQyyCSEepM1e8mbGBsOX2Vk5P6Qgs17Kuxg
aQsVsTPfl/EvsdKf/hBjd0B7h/ZGpZqblgL1b6Xz05UU4+avQd2JuAxGrkA5X69DbQ1Gr0OTfkxt
dPVcxCGmBxAxSe4aLfot9O/95nGMK9SIaqX8L7KCqNuiS4jpjIJnwf21WZweFE74QyhIVZpAXTwb
754FaRiTwFEb/ynsoK2oyRSdyKlpB+i4D7hdXAxHtbGwIQCz8a9PAiEA1R/eUEoZijWP78pJASyA
vOCDFefpN7WtvL1Ep2tHgtI9YlW0Zt25mCobHyivKFrQf1mQF5Sg9KdMG+OHPijzTdD3xiejzJUP
E7+RLWB6R61vLl7aBGtffLHzGVl4JSqAarmg5txOEbnUle4kD/WA5PwuHm3SOs1oxwG/IvTpJiWX
ycXizIHFHwxZsO3GMQv2Voaj4ShXuGmYYzs6O2g2mQN0dZCnQzy1ub7n9U4ESwErjrXr/davBjQF
KA3Gh8jfrrdGMXm4c0tT8jA65WgC+O5V8yt+O7YsrjGr/pVybyGXkESrmi23hoagxiEhfwLPMktS
i2mMvbzxEzTHUvkj3yYNNxp4zVeJ/na0wTLtry8Ha/SP5cnkOwEMpp8giLDGfNjUw2KuskcAf7I8
aq7Wx/nBHrPoa5D3WY+BhVkczMoiXjMa1f4Ypx30eWxgzV9mxdt3/2Te/DXC+53gRdTH54A5Q0Um
XJDXHppaChBqFIalXZtoL7rEs+yiaq2Ge8V3pjNgroi0qC/qaIOh0BR9omfcrKQnt44PaDpdsPsR
ulogMoq+7eRUTh+atP8TmnW3E77JaBR5Gu0XwBqupWLbLAdq069c4CIjuHpmIZmBACWcopUFhHCW
MSQoR8uVpecPUkCP1AyUfHQJsH/qJGiv91f91lAUnWgKk7XDH5zFbkk5NV0Y4wLZj8r4Upf+ORqr
9oPmmd5K8HBzJAox1PRE9DBXtjdGs7SlzC8efElW95PpWye0IrFjTgu/j/f3p/XGiJsvIaxXAmJo
Y/gKi6/77p4vPf5BZT8/SPgenjQtQQYpS+rwC3oAef5SQ3j6PvaGZD+3ndm8apKW966MHOnBIZ+B
slk0/8PZme22jWxr+IkIcB5uScmSLDuOEztSckN0905znmc+/fnK++JYlCAi+6bRSICUilW1atVa
/6AEZ6mlYXzUaWComOfFeHpHTl39HszeeoeXligPsdJo8vf7P/7GziMEsSS0MAQtQbv87Q46Dpil
KeUjPmSwkWIrG8YDuoTBl0GqFcVTei37jq6Sjj39nNnDysa/sVAw7eiYc09hM70UA4BrNdOhSsrH
tsrily7MzK/N3Aw/FXnQ9n86UwZSKBnxKBQLskgNpKLu9WbK+0eKY8omadGwl3LJOPBCT58lyQyf
6Y+/d2qw1sMVsfxiewC1ItCQn/FA492yiPVV3suWH0TtI76i0VPWWYhSi1r4yqe8ius0TlGxoSHF
9cv0FvNr7ciMVLnuHmcrVbZji6FaHtTzDg9fyWvrutmPQXW6/02vHr5CHARUJGkfxEzwF5e7x6Ra
bZWmUT7WKqwyz27TaltEpv4mj/h4uPiJWV+LsjYi1/cDcuGkTtv/3P8JN6ZNzsF8KbwKQvLibdYU
0hyqkJEPYBqsQxEMGGAq6jwfY3tAbrKgsuCmXb7GO79eVGSywBNyf4pKxVKxVM6T2BhIcB8LDM5C
V+ml5FVrm7Xn7vVFJRBC5JBC9YZCyPLalKISXDXeTo+hg8TmOy6X+CnNAF+LH/XsKKM7RXGkR+7g
BNEhaDSpe6B7kL/Z+BgV7b7ssI34dv+LXy861AuBcUFRA43jj5/8KdzVsBB6vKr6x7SjM0YPsMJc
Sk/GA0Em1yB1jslvP/aHLbKb5UFrqQzc/wHX354fILCxBCxoRrrYEp9+gNRFudoZ6fCoyIH2H22S
tM6VUn3+4wNFi5XUQLRkIIotISypOdRTU1r9Yy9cDVMt/UHDwt6q1Vg+QfIf9gPX5mpiIgLuZbQQ
chLUrEgDDOLy4khFZYsJoKmOjxOb9ita5GXpsRhy5ypVgVEwHI3hLbJa2iMaLk3ki4rwckM5edog
Khao7sirJPpiRFII+YAKILW7dMTd0hhiMr2kaaxNpoy+7OVhYuNWh0lT52Klp+tkYQ3mL5ZVQ+jH
bLUQehLKsRUugfirjHafueHspy+oeoTl98QG7k+ffYLoZfVt9xY4UKjdiMy6/B4Fca3DvAWn/6ab
hdS9cJ7sfR5NifJLqXkK/557paFMKmnIN3VRP5hPgguvuPVo1qbbK/S4qc+GiHqkRdeyyaSiPaEp
Vv7A+dApHyuj0P6ihtJMhZvl1aS6EKuVfIOikGl4ZYWuOnipLt2VY9nmJ1JQ6Xeu5LOzF8YAIebI
o1G4CDbIp6bPxn/DYnSeMGkebJe919obzPxmZ9cDzbW9wFD6J2eM1NqlfFC/01RK3pKe7jjGWRCZ
XaNvoGP5Tp2MuwLfpjfMALFzCAeKve7cjB1VHIRxw9Osjr4KWF2Px99JjBUgrV2aCR62N3hz64ji
/pU2xiB5dm1p0rNpp/33eMi16if4qf6rH4W5v6EmW6pub83B/FLCJMSsVK2t4asKnVRy6ZlE332e
W4kXmH6abPWqrOwD/tKI8VdxhmR3Ew0hlRQjyup/+UgZWR9okdzrYlu4H2aW/ctP065YycyWdV3o
j0QNwWQj3aBesYwes9qPJqlm/Whrg/wDH8wgxLCxtB03zhrtrCqpPHlSjIHmM8jMUfU9RPvEBis7
+SU1nKDyar8VkiYp6scPWcvsD3E4I+znmrxoqs3gaOW8uR9yllDuj59NZwvIBXUOsofFNZPYUUBP
IGoeLYRRNybeQr2bqXGxL8Kug/1ijd94ehbI+tbZlwaNf/jMqvLYJrX9C+rAvAakv0qc+Iz4O6AS
qSCKgVzVZQzEoz7PWtWsHzvkq0G46JRWJmlAfzNQppXM6boWyUIRASm7MhwcjEVqQfsoJgvNm0eO
NwvF9YOzY6FDvAC51n/NlNzHAYays5UW2bdwrMIHPwVkvLJ3bswZ4ShAjgR+kApLPIjDu7Hr/QYN
9GYy0VWp++esbqJtqhXKylBiRhdRWJQ7KSlQueENcaXzoVIzIuMY9MesVqvXNMkzOsjBRGRIi7BS
vL4My/P9LXaVyEBjpWYjhBgoqZHGXa5oWuZWO1Rq9agjQPGKpWxxgEomPatFNv+WpCCgiFEma/ta
/KsXEzV1IUhOCk6OgczgYmnjPldzB0vfY4gTYeDGuEH+go7cV7vZRB0A8yFMlI3IaGoPSsH0N5oR
XbiZ5laKzvHkyyt37tV3NxFYpW9FE4XTCzn/8iPMaduQVFnGsQH9cJjBCz60qS5tFLWTPHXs1xh7
V88foZdL9UiAsKHZLPmPc28C/qtD/Vj3hrHlPhj+iVO1Vh5mJOiLrWw38WsQop75jJ0nQpR/uORi
dJoooF64/KCyXc5Wn5pwVGxfP/oGh7hDEBa/mHo41obRBFx6dvZVdwpJfrg/7I2PDEaaNwkFO3b5
EjBsVKNm952tHgu6aB50n6j+kZIo/pOGQS7/iE10me+PeJUymrx+ALwrZLEfUJ/LiU4h7h+S4ytH
K5rUH3ZpYB85K+qumSztHzT3HTwxsLvdJcCYdzrNsnKFwXVjneFtqwQw4gYyK4vDFcDUoDenKcca
2uI5Gzvtu0Rxb4OUuLRPslE+pGZQPWPzBGTi/tyvohapI+tL64jSKD1N8dM+Zatq12ZUXxzlmEzt
1Lj4Ocxvau0UshtQpVzB9VzPkzxVp/AhhkMbapEa6z3st3mQlWNV+8HJKExiFY60WuBO/jj/pMat
e2UWBDU08jxY87S6vihEmvxp+MVcUaMbCgR7lCOhQhS7pWKboNWjuiEZ9iYnqu6hsOe/qzmVv+NE
oA6HUR3jlcW+9cXhwCJnjAQv/Rjx95+++JThVJGPfPGx88FkJKON5bEKIh9ggBWtLO+NL06jgeq3
+fEGXuq/BZmZyWZlqscQW2zt2Ml2wR2RBQd6kWa0GVW9/ceXkjl6Tv2iWzOcuT7KgBSp2uFDyVPl
2qszDqcC0wTzKM1+LXmBOibTZuqi6cUqrWgDFMBYkfy+OaLAg0JNhJe57EvaxtA5BaXTo5Zn5TbF
ralxZTlXXkunNrf4H6r7Pz4/PO+pMHEjC1z/YjX1TvFldPKtY6WgHaHNg5ZtM1hB8tbI22plsBur
CbWVliM0W1EcXpwfU5INrLks9ZigiPAyaon5PbbpIan9XLmJnA8IjxlJhE+1b608/a52rZBGgi+D
NgyWaeA/L3ft0OutWmcziqZFoDcPcjLK1InA8LSupc25vL3/Wa/WkcI3O5YjKSzgrriJsp50pDZy
xUyTcoOnS3RA4DA5RlCwDikqjn/6ZeELEAaBTaE2gy3UYnpmHaOK2yT10cD/+aGsOJkYTLZeCJJg
qxSJckqkMHpX0l57vT/T6w8riPHMVjQpgQwscgqnl4zeUKf62Mat+iqbs/aSAP/34soyypVq+lUS
xyxB7RpQ51hBuHqXixhmRHYn0usj3Tf7YARt8lhzm3tG1QMDVHgLumpcrVWgb6wl/DX2DyOC310W
cXGazrI8GPFKy1oj8Johkt7qynC+92FmbBGo7FaC3nWgB6UKIoLWiUCPqctDOYeRbUoAYY+Sr6ff
Ki3y639MObYUHnNmTpXPNSM9/uEbQpUwA8974LLyQ8e17ahY1UW+XmGNoi6VKF4pkM2WFVZdTTla
oT0da7WwMGIVMIVg+oe0bS3eXtfjEENBbpJSMnGX19BiGxdt1oW1pczHgBpCdlBnk8d5L/vVTh1y
Crv5SJF8M2rISlUo6dVv8kw6E7lGoU8TkN64jN/vb28x4kUGzy+CvI3CBdQyAqX4OJ9uuxKLcD0M
ovlYjm1gY/2gNKnnRzyRjrORITSM34gdeUGYR+0u5+Vtv93/Add7HndHohaQcXCoV1yoKbOngN7Z
eNTrJPgxCpCpRwcmNfdzhSLBQ4QlzvALqre2WkwQHaNPc+fSQ9MXyBovtY9mnnY5dwJWa/BeCF46
pPXnY2qxBNYx6RrwBa6U6yqSedlQBMlfY5cn3TYI5iJG6DdNnO8K6nedsykNowWkwdQsZSWiLzcL
SyK0rYSINUhH1LMXkWcUQ6CGP7wE7eToDd6HEg9HAM1tY+3tQkKLWdawWqYyPwamsp196rupO1dW
VRykNmzBoxMz5rXju9gyfC22DAkSEYOk4Yrh4M+5gzSpo+A4WveTO1DBbvYhAMl6U5voFPeTMT0b
SmbUD2U/Yat8f8NcfxeCFDJ44hUvnvFLFktDc1Xhu6hPla2Vu4xlMLkM4O/80+dWsFMxC00fnClN
ksxNlSEvcRKM5QkjCn/0EM1b9XUWD63P+0iwHnidIC3EdUjrZLGP8jSR/FCKtac0z6I9PuPV5IbG
2K9dD2LBL8eB8kujBKo4UYRb/nK/pq0zmU0KutVKpVF/1DtrTFxkoyzLS3MAZts+ywvTy6O5zVzw
oiCbq7GBf3B/ARbxkvXnZ4jWBRWHD1jb5c/o6GtXWiHZT4lhTFByJX60W1cIKSEqgmTBynDX243h
0MUB+w/Djwh9OZyTGkhZjKb91Onq+GAnk1IcdMkvD04RJl6VRuPGkhRzIzcIN67cVLfGRqqL9ibF
HFrO4u8/Rceoq7Jy7FP7SeKlj5QhpSvaUP6gHqASBdI+5t3nuGE05d8FtGsNF7OIjeJLAzMAni6A
kjQSRAD7NDwc67ifeJA+SQ3SuDrczQ0Ry3iYJdyX6mmS9k0YraUDN+YMORUrF9qcXA1LZWCFgG8k
cus88RyPq02qxW3h0keaNqYexcegGZrXAF7Vq1YPirpyuG/NmNcu6Cvwb0TnxQcPIrqd8MnQfyv9
cmv1TrqfYl97xtjx1ORhv6WCbj/c38/LDjy8vw+sJOmIaPrD4rn8zCDdgnGep+lZTgIt3kyx3th/
A85X3gpDx2AkMHonc5Hg6823XE6m4DzWJQ1K+jDR18xOje+m36XpN7Dg+uilRjAZljuNVh6cWrPz
69Kd5VnpPEcupx14oHlNEeAqMFD4I59ACPODv37FHAnntNQlsNSdFStYTJZKY73R2FQ62bNiJOfQ
ZgHNTMvGH2kFYebWjrLXdHB/VwBVy80jHpFU3uiUExEhDS7urMIZZzQxHe15ai2n26C2M2PRWyhD
bz5I0jTsysoamv2Ud3L2C8V+Z1yNTiIKfo6Sgu5MW4+chjyajG6xmkiH5f7QVPKTk5t0VDs5KgOE
1cGuuXFXWdLGD+bkGE+yHByoairv9QDJnFao1gTGj6EYIP96mO0M8Zfa54BgFZ8X1uwhbOr4Pm48
0djtc79S85esoofpMaDZvJVBGJrbVAFW6lFeCbXXzB9mYzeO/Xg2SqUbD5bfybIXN3XX7wIjK/pt
oIda6LWqHLw0JMDhA0ydlj9IHVSnbG2GZYSKaa/KFe2rzN70dZeLBx2eww8ayuzIOIXN+FbyHmtL
l3ZbkmwkWGBl7vYQXJqtPgyp8gppZzzUgROML4rWqPVWRShD3wxd1Fk/42Ge3+QQWJerhPii7++f
ruWJRkESZjaXI+kCtcpl2b0oQUmisxI+YTAhKw+G2lcvQaVJXxp/UjdGllXFnlRrrWa4eNQAORaF
d5FtQ14mnC12gTYHQ9YYpfNka9XsFVLSHJpcENXyaTRfE81I/7C/wIikQ8LFTNTCSfAXWz930OxC
M9J56nLD3vh4NLx2rTFsyMfKNWnBqxyIwYDpgnhhcshOL3sqyUjzqKnL8BlQ2KzsEyMC6gVJSNbc
mcbfRMVKLuxNFU9t7ZJNpLFrtZOcbCIjDI/iFKcrJ//6g/OLgAHRZBXfYHnyG9+mOQxl+Tm3a+Pv
KVDSdx6wNKIbgelUWmut+L5MQz4+AWEPhRBaarjnXEZtcqExApEUPBeG1h5Vhn2g4Rc9msNorNxK
V0PRwoHCDAteSObTz78cqgt7n1eIqT7VAP6+dGo0fsHlNvLaCqLl/eNyPRTlXNHaZGlRbPjoJH66
8uvelgq7VZAQx0dxOzmxEnuaUzvPxLFJWhnsKlojMkLnAOgNK851Ltb002Cyms1qTnfjGEh4feEh
DgxeKYZHM+7nXdWXxk6RhtHremOtrL28sXhoUo9T6FOBYhXk8MuR+6kOOkBN5jF1okratk3lbPvW
N0x3MolirlS2zgGfAFwg9HD86eST9fX+h/7ouV7cE9RaaCQDAUHbAF2vxaJWAWz3ZFBqnipwubxm
1qynccBFbFNmvvZ1KtCkc6tJKUMeWGheecGgZtIDH5IyuYskiSm9KR38pmcMGxXy/rQbZA8qmGpA
KzXon7t5azo/Wt7S+HYCNvnhB47WWys56vL1QRUVoAnWjdSNgLUsS6rjUHdlVafdsxxaZrFJG81J
n4Jqyqa/7n+xqxPOQCg1IglL5U+gTS/XDNRFR30WWQRKJO1j11jKC0KJyqMP9ujfrpbWgDo3xuMO
F0h0AqoAii3G6xulVrB/e+76ufBS3c/+4kJWJzfRsq9ZWZgrN9XV0QNFCFpK4JKgzCAZcDleI8VG
T07aPtszKtpNZPpcqWYy/8Xzr3u7/y2vbkUxFrciqD5CGAH8cizAME6MXmn7LFe1+qzEo/Tg2LF/
VIJKfWg6Y/xXDcdpZadcDUpPGnYfeB8VwSPrA1zx6bgPVmAPTiFkqq15hmCM4LAJ8nSndCUYO3A+
eJwkRfLr/lSv9qcYleSUcibNf+psl1P1p0LNDKeVn0tlBlUoGdH0E6RheLg/zNXqEStJ/QRvAWgD
tZPLYUoaZTo2WsqzVdtj4aq5nh2JfOarOljK9v5YVzuTsWjtY/GFohrtm8XO1GXS6EiKlOcx0vNH
zoD6gHXc/GhEKD1icJiXP+4PeGtyonCIqxia4zDGFpOTI4phca8+h2h4ytT1kaCVZ9BWB7TNhrV9
8pGqXIRG3vVceGQyfCCcb8XP+bRRULCA5z4ZyZfZD3R7E9fUiDejE3f0fBXENOaq0hzXiY36R1Ga
yRkUELYIeNqbhls4eIphO+DgZRaM7TcNuFLpZSZMZRltl8Gl2GZJv3BVshoYpvhZ/tOMGVtxqq20
/0V+6mf5Q9qVFuzztMt+DMlgf6tHjVRYziY4AG46ReUJYKyEq+L977wUGWDbQE5kWwg6Jl97mcX4
SFkBagiUZzMx5cbhqVTbM4abvNmmbaCFdnQ0cC18oeAWQPoIAv1rrJVqtYl1njg0Kpuse0TlpFQP
STTa1JtiwxrdLEsaNF7QFnUwg1TV5EcxIDibb2ta6cNTliIE1XgTXgU1UiWRWnTfiobP95OEX4k2
ftOO0kq0WwSDD4asgJsj74N4HV2HyzXu8ddC4rwuT2aqSOepyPov6K43ngYaaRv6TbIvDT9b+b7L
yv9/R6WoQFkTMjVVvMtRRzVREH01ihN9m/Qw8g7Y91rUHYUIz5Os5fOPhGoo7q2y8TgGaeZFUxH/
vL/IN2YuLhUoLECPeCAudjekS7mQURY41cDqXHStEVge7PSn1pXjF02b2g3Xkb/S+FykWmLiAuFM
0KWERdK+qGIpesrbvdKaU1+Y9Xagnw6zuJgOYai+h1M3Hwzcvt08m9aYkCI0fDrLDMyAqAxAMYZA
g0Hq5Rd3CkPulKYYTnzc4dA2WnAgeknbsZT/ykq7WQnD1/MUzFrRSiHUQ89fzBP8O1EpH/uTM4Bx
tUzYLxUm65vCCrVNoKXxawOT73VwurVa3fJNJGZKL4mTa1DTB5e0mClkACUdo3Y6lb7TP3ZzllEY
1B06danyLvty8lCmSQYbpyLNjCV72jQQp/ajpK49zxbh+r+/hCQJnSXyeChLl988HOcqK4Z2PPnj
pP5uSTj2hlbHp6aqDO/+Zl6msR9jQeziQpfhkFCsvBwr6SPJTI1mOjn96FB6iOYZCYEeVWUvmS07
dNMSqCOdszxy3Mgo57+7XlFoRPd0OQ5h4YTvZFlO5nV+XL1oJcp4m6gcNekxyYbsl2GgyezGqpLr
LkvaBt7Q+cb7/Unc+l5I4tGmF9VtqvqXc7DtqaLuYYwnvintvakE+oHH/FTukJysV/IREWIuDwRP
DoI76cIHLGCxQ40ANq+pdcopw6bYUzWp3/A6DSZXnmT7GNahsssr9K/bRJ0DSjHJuPLyuD6RgrNC
SVnMVvTPL2ebohRtwrdVTwMvCmjvZvGUZZPsDqVs/htFRf/t/te9jneMR86OvBkfF5bl5XiqX1dz
SAv/JLW2vzWtJPMaBt2iZuw8SEEZbOwQ75b7g96c5Ee7XiDxyCQuByVtx4MATMKpRH9hB8s8PWRd
1n4x5rbc5iztyjm43kI0rkUPkV2EM9DSW6NtHSmd0aQ4BTR+zrCA2sbVgk55ncYeLZ/7k7u1hWhY
AnykRE1nb7GFEP3Q6jxptJOV10oITcKh+jagplO7xGAK10XL2zHQh7ja4lNkfc0iyVozk7taVoca
EJkKWYqACixFvmkelsjjaeYJIIYSuTqWLLsJfCQs90KeXMQU0GEyVnWYrgI8w+Jpi7Ubwjl46YmF
/5QbZpJhDwakjVM+A/w3eQzTkqQ6s4ljyThZqDwerUaddjZ2yfv7n/1qT4Ewpc+GTySvM4R0xbJ8
GpoTLUmhNhsnrCXiX3jSxo/O5Fuveqnm2yHCx/B/GA84DUK01Em4XC7Hs6fRnkRV6KTHek4ItejH
AMCIoy92X4S7Gp/2lRlerym9JpOeJlQsS4G7czkiunHwMTirp1GShve8LOCLYvzzICk1nZgw799r
cGFraik3RkXIR5AqBbGNQsLlqEk2Dym4XOk0Rda7Ewa+VyhKt8nEYxvjdu13JrfNGnb46sASgnlD
0UZGA4ROsvhRnxaTzkCK27AqnSAoZH+VrcmdpFXle99b1vv9dbzesmIoyrLkfLztlyA7O5F1XjCD
dPLNSD6WQ1jutDHUz7WG9eSg6zw02p4HFZq2a0D7G1sW+BC9WqH3yuCLLVT0ZaeMURicNUR2p29g
/qW/OkfKqt/qMOfqBqddv97dn+6NMWlFU6cEEi4wq4vlnKpYsEDr8KzHZfGvnU/d4zha1Su0Wdkg
+7HXnMluDgh0AybfR6l9sZT66EiDU6rheQyDLHR7FVUrODM/kWrOXUlOjZVTcmProFNMkVlgFk3a
4ZdbJ21rLZsDzTlNZRQ0JC5oGXlSh32sm+nEnZVof2s4DMZQR/6A9i1f+72JxfKkWT4NSC3ZGhVd
RFdWfXmv1kNardybNwYDVsczgUzOwJV3sWHKxCxJ56LgXBodrHIt7KXvdVqMI6Cc6j9/vFFgYPIU
p6iHMaohKjefjiAStl2txGl4TtUiab06yKL+sYlzS93Ucx4nOIslOLn9D4MapMZQWYnjy8MYO3mK
GaslnWpGz1/bsNEhfdmNXHtpOoXpQ5lhareSHYgdcZHzOQpnUKBVuInE8/NypkAFmzBzsvCMNTv9
NToHEjonTift5nisyme0754TXLBW+AjXi6mCz/9Q1UbeDrnEy2GVrI54cGXR2a5V/G3ARhpeUY9c
KMr05xuHsQgx4D+pFLGql2OphZLgc1dF5yAP1QPgVu0BGHP3jAZCsbJHr8+7GAqolsxgkFfF33/a
N3Vr65NW1lA46iH7ynadfqKDUD0qatM8qxOD3t8yNz/jp/EWqycPpS1Vsh2ey3gYKrew+ql1A9WM
pb0d52tl4Ou9wuxorQlLHq7hZZZRSwoBWmN2pdPrk9cFNuprmZ7mLoTH4suMDMUxR+3o7Y8nKRB4
vFtFDZ9+/uVHVaogFP3M6EydL9oraeecAcNBIgmlIlk5gzc+KM9k3gQWBQGh23A5VmnC/RpCNTp3
TOvdKTVQC74lCPxFqq8cvZtjsSGBiwlh3KVnS8V+yOphDs9TpulP+BdKz2k7qN4wNWtvjltDARyh
+UhNnWfHIj9ECyVFxk0Kz3M4Zhw3VLAalHuGJvAIoFa48hVvHAPBQuSmJTsEPLIInzH7ssOYPD7X
MPe/mkPxPoSmBE2gU96ioeu+3d8g11mMUFv8/+HE7D+dusksQgMWfHjOhxnwCWC07CFTh8H5ZTdm
9eIE0E/emqGEBpTwg7b3R1+b7OLMS1FHwacJ4rPZRz0vV7V3fa78r9JQzzjO6NnKtrk1HpFTnD8a
WziJXM429334c90cn53aHo6JE0vfA9vqMbmdjL9qCsZrNZubA8L4gMtF4Zck/HLAolWLnBskOveT
43+XRzV/Lsyg9Fp7Tg/gdLsVmsmt5aROD+GFM4He4uK8O3qnVT1orrNOGVJzGyjM8nM3hdWwzTs1
n/dOV8nWcYjGOfbo6qyp2N+aL6otQjMfsDmQvsv59pLVBj5N7LNd6gMtr5I8Y7KqU4Yz1X/4Gmv1
5luHE+C+gLOKpuuSK5emUqSFjR+d07Luv6WDUNjVAJQdTLSf1rS/bw6GLaEDa0CAEhZHk+5aD29H
Ds+F5DfdS9321UEtyqn8MoJnWyntXhceQcMKlwryC/JuekKXnxLbGWUAFRmfM7oZPp1KxFG9cYwM
kDrO3LooZ6S/bJAunhoODX+aDZHbqUryNFLXO9w/qDeuL8HogbkERJegtJh6nucpimUlB0cpTONF
C5yR1gym4w+Dz85Ga6ILoz1FIDBC90despxFbiVor+AX6BEDhV3EX7/NIi3t2uQc56ofbyq/nd51
0689s0kc3dWJ+/xXmShKNlFRnvKhyovN2BrOl2nu+udWLdcw3mK2l4kfcgiiPPKRHKGzf7k0WplZ
kG38+JxnRjZ5fUzBxtU52Lv7c79xmjCwxSAMHTMQcMvaczBCrjeA4Z1VvRx5Ssp4ecxzg1AbDav5
d1c11uv9EW/ED5o3tJ4RH6emtyx4qQnXOxYe2TkNMv84TTTY8AGf0Qzw1fk/UeVI3xpfadwIlYYV
z9wbkxUIu4+HLa3dq3eDGebJOCOMrPX5uWrkdvIUM6pwlJVyVIvM1dh8YxXRRaJgiuAv+cpyFXu5
p60GFvSsxlk3bIsKFqCLfgPmM/c/6q2jjKgxpQmyImBry/d6F2tGjdJUdq4jX32oLXp6UzOrv3nI
BI+tnkd7U9Naj26gbniitwJScI7RVpKm95WfIm64z1sXECU2DYKSQUbDO2lxAw4KUE05nhScicmN
Obe+soNwHFEitg3XSEOUh/sBMfkHNCOCfZLO+tvUrz7ul/tM/Ay8zuFogBTiASxC7ae0A4WEALRx
rpxgCCY7DRjSz1LOwm3Rk1yNPpwd7GwL+x85d+gM//k3ENRIKroOFAiuj8vBSxP+wIhezCmT7SFz
1a60EZVCKOvBKfq697R0bvcy1s3+oUrj4nvboZ3sRpkW25v7P+WqzyKYdaKXQ10FoS7g0Zc/ZdQn
uUviRD4VETCKo57B+/X8qsiEsUBeBZw7qTNBUplq9lZrcA4fO02ZlNciaSQ8yEBZom/pSF29aYO6
9lGpiLq/Jb03KSqmpjYOHnhPf/CUcdYyd8jMsNrQlc15ftyfyvL4ipnwbBOvYcxeubEuZ9IXkzpU
U6ycitiYdnWNMNeuVSI7fRz0GLhrPreRvXYjL6+lj0E5G2DZTVNoaF0OGvl9F4Rxppw4dU74zUB4
ddz2XM8ZmvJOgSNHHNHlcqsxJ3W/P+FlNsDYYE/ALAkrEIF3uxy7SK2I0oaqnnCLV4K9PUjjvxWI
1Qy/+mxNTvmqxS1Go05NF4f6jcGtcDmaNuMVoHWDdoqbufgaynq2kVGcyVGOrgb+NwSUq8fflH7S
w209DhCP1NpcyUlunFrg4BAIuBlgti13K95hY0VxSTsl/jQ7j7IiVRucGo9YjtbIexlOE7uNZhVP
lWOtETZu7C8Wmtce3xuM6rISgWr+YKXzqJ+6LFaejWaMaw9fHeltciJT81BHLFcO580RefABneTV
d1Woz1O1ImHVdFAFRu3gMxKHO9y2ff08THP8k+J95ezv76mbH5jZUdalVicri0NUJxKNusjXT/0w
BNOuCUrgWi3ITd31NU16amcnVTb9qPvndJjXet23RtdFwxcQEnXtpR69GdZVodNbPjnZ0IcPdgok
/qCMVo+4fNH7v82qsLJNWLdW4dXg1auVEyUyucXdRJuAk4qODNWKpdqI5iMwgiSicurgPYxvVq2l
X3W10D29bNPgwR+76JfU9ln3pbXC4XsDY2iNtXEjoDCywU0twJtIoV4eM/C4RRnWDldDXbe7SKn0
F6uprC/y6CshYCKJThhKPulaMLk5Lq9S7Ado3YLkuBy3y4ZhMrVUOxXT7H+zkYx3A9Q/vlhq70cb
EM/VX8FQI3hyf7/d2uJgG7gKBTQJCdTLYct06Clh6NppmspYyl2965K9okggWCQa9+rXRJX8P9QB
JlpirCMoiNCvKHMsFanlLIraGqDYaa5051WN03yLUVOzUyImPKjNmvnXrW0tBoReSMZxdUnEqLfY
NTqqp9qXrfeuzZ3wS67Wausmetb29DSNYTh0I/WqoeqLlZh56xOjnAb2XaAyr+5F1lySy77VT7GW
4HTipFPfb5AXGfutpUpq5E1+pPwvwRLUCtr7gs6IAPflulp10/VqnGsniR5cjWzZNMqu0URd7LVK
o7/YRbxqo3zrPmSrCDadwLUb2uWYstMI8gx7SUUwpfbqAfuVBwWh0dRTgqltHv586wqpPd7HdPuI
WJfDVQPY/9Go9VNlBPN3NZU6zqwU/2qGoOm2qWWEa7WGW+GJZzgld54L7KVFshH4+MkrZmOeALf7
R7XsimxTjMVzVddnqYzTnaL0iU29elbdzPfLlQnfCBEWxeOP2EjpauloQ3caHyirME/NNI7mTup9
M0D2Sh9OdT7O9R5iN0wMPYumdGXkG1sYniJ1QvzkwEAsuZJw57mpUss8DVKhbVHa0jZZVpjO3lEz
819+hyn94VuQEMGINFWgR/LyXWoPG/DVR7lSzBOMfoQkQyWst9j9zPsRVvt5bv/UZexjPPJHoXQB
Y2EJvYgRUi70TLZOBXypXZ8peElKI+XO0DFmxAdHxC9orvwPOTPFa8oqoMNFm3yxoxSb2j9acdap
GjQ52laGlvRIKjr/SnHQqW5pIgR+/9Tc2MPgBQV0hvc9TIlFMWXSZpldFFmnThqCrvPSMQ7/Lrs4
Czdy3/nSg5ZPjbRz9LnAELu2VB4d+bRGOb4RKoh7MCSoJVGpXJZ0QLAiVBHp5qmdVK3fy02L2XtG
YvulzZBBWUkrbm1fWBmAlKggUfpazDkcMAIp0sQ6zWn8dW4H05UqDDlcI/a/dR3Q45Xxbs0OvK/Q
LxZc02UNpVabcUzzyjrZRFwYUkrdHrOqHyJPD9q1LtatqECgR3QA8UKO6OIGpz44dQGl7lOTSPN7
mPVR6wJ7i+ACxvO4Bx/abMsA6uLKJJfFE3Fi8P4WiLf/cg4uw6+mjiit6r5xwmJB912JSpHu5nY/
roxza/FAEkPW5tnxf6Sdx47cyNK2r4gAvdmyXPvqllrqljaE3NAkyaR3V/8/7G+jYhWK0Plx5mij
wWQxTWRkxGtm8aTTcXAE9XozM603kWaheRs0vRjRkwi94EWJ0+R2TIpm5YyclWs+vg31q7k5yJtj
ScyyC1P2QnGtty4sA4xExjBreL/CiN/ZkeIWm1FOQNeNMk3vvCwZvwkv0xC+rKKmfCiE4o0rOcSF
DIZ8nEcmx5Z6xTIxDsWgYScdWm8QLLXPmVZ1aJzkantTFN7k7Fp1StAfClN8sZD3TNbQoJc2tAGW
G7kakB8AHE/XoI4VTdSVNN80o50RxmObOr4V5IW1TQyE4FeS0kvDgbOdcaeAlfjzdDiaUTXHsjXe
EJszmxvDKIfyUMDV8h7NrFzVcro0uYAjQLxB0gHfthgukaXlpEZrvfWODGG4yuGmqyb1Z55lzhfL
Q+GzDJTkxSm96b/rwfjS3gba4tJJQObPXLJJG1fmWaBUzpvSJtTepppalOMl34FUx4CHsnpFiO08
VlCjIQ6iY0jxGpDfYmJlmaPtHjGxRiBe8zDpxL02Tp3YTG1Y/wwCp27JxydKzf/6oWwaNhDhgurx
mTJPKY2R1U6tt8wzi20i7GTa9iFwu096z6PyBuCNtFdSiPNdxMOdW4b4NKsOLA2okGYd7SIHFVFP
cX+QcRnbvhCudXD0pFmjPJ5HQ0CbSOmho6GjtrRETZZZaNW1yO23VC8q2Mj03fhT69aEDC59FPUV
bm7EShhpcRKNIZtNJVP7DYEW29rqORfMl8prpl3RYu9zc33ZLhSdOO9z6YxIT0t/mZ+4vdvA0gRn
hlZyk0PT4brZBFJa3gZ1YDQ4paLpd16ZWvLWdahF+smYNV+DpGnfrv+U86PCsxhAOuo5Ks/GJYOm
1GvEZcMwfs8tVRzDuomxVSmw+d26LXrA5jg1wcppOY8L80t8Xk7o16BDF6clHkGKyawP3/XA0l7H
yGqCDQmG/Vo1JjCAIU+eycAlotKZsb3+tReWmcDHtUfPZ+YNLUKSUdZ2mpq28jaAALw3FYiDmXCU
zw0QhcP1oS5NLO9xWtPEBEQq5ln4qxCfwiCa8kGE76gpVD46BeGzlwTjtp3SzxTJrdfrw10IQdDK
CULQ6CGDLUvvPDJUTFSE8pbmEX6+6FcM4y5jweOdWUNYDP1qBB4TOsNaPLhwRGmMkyQhMjrrZc0T
8deH1m2I5pgdRO9tUIz2XnR96BwaJ7b+hwnliYSiJ/IfwPEXE9oZBTdKZMXvGr7IBzNGDn/S4Byk
7kSNI7YU6rPX5/TSEpIh0a+hxcQjYvHwrsj5vGQw4vcG9k2/j0FZ5QdvrKzoBgiuU93yVitfro95
aR1nwhFIClRkKEufzmYmAvSVzTF61xsIzv2kDptMQb7dko33YrdWtavNbM2F+tKxAKEJdZC7hDLw
4kQqE9hsvXTD9wg61+AnRKJbPTaylxqszMqVdXEsXgz07QAUYuRw+oEJClUKhQ7Qp2lfPqtCLTYB
2g/eVsLHzlf2zKW9yZngjmR7gj5drGDuoP7lIAHyLvQm+6FqQoaHJo3LfHt91S59FMpaYGpotILi
XSTTdTRVtSEy7y2NnW6PD4wTbIymCY1ba5wQd/n30XiZQManx4qP9eKrXNG0Y9ho7ptnD9bnforL
//JitKaNlpN5rHzapSkEKYzkAF/m0Jk/Xa9CR9Ku6WPvzU3UbD8K3GT3aYDW0O76R126FeaGzwwB
YXssk9OZ+uCKNg3eKMpb2Y0XOvEjUdV9nLTBpcMWu3kHNgPdrB/h4KnVyvDzCp2WyHm7A8hkk1Cs
ODsCqspXIvupvInJczNfMbBlgigq72XdQbAcvHJvNmp8QLtf1Lssr/Mv17//0sGnIkMHGXwacXne
Yn+FUS3EqC1ICOBRWwSPAZyQR2GGyUNuTenWCvEPqqvMWDmMlxIR6m5zXwIaFzpx86/6a1Qz1zDm
DVhdKomVeJSyCvwan1fjgCuBiTdWHmSh6yMwoev3tHOyp8AKavM9h8785/oEfITT5RJQdZwBjjxI
SWhPf0tItaorPBm8ZSleAH7FdN9A/iwCiMVac6d2XngINdHgwDtaBwWUYrYZjFHbBTR1xk3qlGJb
WvkafP0MJzNfN1Dwab2iikP/aNHZp0uU6vHU22/SiXP1szIA+KKDhCzQzkpD55vdtkm6UVGPCSgI
19GApTIYMj8Rxvhq6HGO20ONT8/K2l04MLOqq06HGwwqedTpdMWO9ALDCoM3qRZJ6Xtj1nqb0RQU
xAESQ88onSH5ptZoc9zpZSXS2+vrdeF2RDsGpURIuYCllxnHgLWcW+PK/j4OtfUYx+hH2ZWbb8yE
LFazrXENsHThiFJ0py6C0yF18CXkz6m1RtWpU761IHuyn2ZedO+67IObcixV7xHtnAQ/gjCz7GcN
sWlvU07hWqC/cEqJDVRLZgQpFoSLSc/pbnXBNClvcTIF0bbMPZWUtQRf+bsXoPI2vFXKwKeygf/Y
9fm+OPSHjB8Rgir1Iup3NUpuXQ2vYTRk3d+kBg1i34uNqXqx43j40094jGyypDLX2oeXogShmdtm
LlMz9HxH/BUluBsSvcP88z0Zum7ntmGyKdTA2ssoULwb9Oec/0p4C0+1mVcHNW+iZDfZlbIyAfPc
LuIDHWqMkSivUr9YlhvTIAP/LAzlTR9nXnAxmsZLXWhJ6FOZF4frs33pdDEOj1zXgG+xdObBBEEt
q7CP3jsIkeonVc91xcfbfQy2nSnCe7NuXPEHemx/yIu81leGv3S4SMXoiCAgAUpvkVA4k1WksirD
96Bqkr1X4Jc25XlJQSyvPicAt+yVa/7S5IK8ZG5nwAw8k9MlnkqYT3IqwnfkMIOb3vCCrTHW1ra0
83pzfWovDwU6iVnlpC4zCsVKPVSwrPBdG3rxtdLnxF33BtvXms5ZY3RdGgwyII0AXpXAZue//2vr
jlPIxZ4UwVuv6jgP2cKIxn2v4Dixc6xkWlNMWGybD0EKGgAksTOtlTB1OhyCLXUvCvSfRhGVn83E
LlVfKKp2U2LvjE5GqYbVTeDMSr2QTexp/09TOw9Pj5AMik4arecllwxzJDfkGRY8onYksULTWxBK
3WwtgWQijh/XRzv/WCSZZhDHPCRP+Tli/TW3pebMZjBSfyxknAMrS6OdY0bZ3gMrdWO5Qt563OTb
KhXVSglhGZH4UCp7NKYQSGBoqKSnQ9vtWIdtNOmPdhMm97hCx7d6GtmbJmFv+SB3sm1RNPpjU6rG
jT26jY8BQb12BS9OKb8CjNP8P6qq0KPOwLuRmpht0pkPAQ4Px7pFLiGIeaIFQo4bHdeqNSbz4g6g
D0GrZUasglWifrFUh+g8yDRybMiMMzH9KavkWz+7yIqBEkqWNuYmmRL35voqL04QY1Kxp/xmzmhZ
NAEXkSFuXCUECZ489lKJ78N2sH96rf099rw1Q+ez6WQkWoSUFz3+7y79IUcjMNWqV8XjJCQgpFEL
inJr5AA4EFkJ2+/wIZu1pOLS11GCmlGqpFC8AU43Ult0dUUDWjymSZPfTmGr4EHTywmnMCV8/feZ
nAlmMLFpHAG5Oh2ri9y6jhJbPA4BkkduqGk/DKXPfxp53Indv4/Fa2a2P7HmStviuyQ9B9o6muBs
FijfVJaxDVy1vQX6mqwUhC8tG89rF+waFShjuWxm1JGnBllK0Cnmbd+qj3GfJAcrwXRkl4Ras+Yv
fH4MKM8RcRgT3AD4vdOJNIyE12HNopFbJ1+tOHG/uoFbB5i1JQ2nX07Q+cfCWVNaOg877FCOIGAT
mmbA9Ja3iZqmKcRaVtDroh+5Jcxdl9aAm7Fza/bFODrfbcXTYtIwc/pOq3L4SrISrKztIhH+OJGz
nhXZGOx+WpSnn9+mltWNU8yEt+rwrDLzVlT+FuHQqbeVKyufasdkbDGCCTdoka4pDp+tN7K7ANln
KzKNN9mS6zM5EIjdtB+PZpPK7h4RU7PZlTjclRaqrGoaEvE7K1iD9C7N5OZ62Ad2AQEHxK6sJUyk
aeLSrNCnODoiLnlf5aUiPtPEQpxnU1ZFJzscrSIMQxpn1D7R2JPavQwsyB22ktkaeCA3+Y3ToWz8
rpMQAHwqLE5/52RWOj44AfL1PiXO9uf1k7h8186Qt7moQQIMJourebFbe6dAp7gr26cYC8utHMeW
PmvUAS+OcgPD9BrjPqdWgvvI05TPsZDeIfH0ogE0pZbqRjVl9NoETbiyiz7CzV/5NLVFyB9z8xeA
BL7xS4rPZDVeIJWue+piPNH9IafNuUkbxT6GRdw0u85sqi+IaEX16LsDvpNNYZv1dqgrN9locVEM
L8KC6blRY91LjtqQKNpKxDzb6TQKZmYMDE+efhCETnd6LFtTqk0intRxKNxNZOgoOrZW8pTVGBlv
ZdLX5t4LWhc7cTeo6oONWNUa7OAs2vC45grknY2X5DxTpz/CtWQPR79qnuwMpfgWIuZPKynVeud6
Of0LKbptbjrT2/Vtc/7pQDWArtOeBxWFFNXpqI3VVlWn2M2TBHO2H8qgu7XHhCy5QUXeifWNtLJk
q4yF+1LYTrcS0y+MztMHGAuYaJKbZelbBsiytqrXPoWeijJs06vtnnZKrx+ogqvhDwQ1mmcw6wUC
Q106zKpNSNeu1MLPAs2MEeDLOfWk07xKTqdAhnPnSvOaJ12xg70LZ9lnG4+/3VoLNqWuVN+uT/mF
8WZ7JUCFqBTgl7OIq5VDb8Y2zORYU34L/WGszHjj5aJ41rJU/rGRwVl7Zp4HB25oin2cQTLIGZt8
+o2jm0jkzNv8GJLmuv4ogzFUfJJKxUBfrA2wc7aNqOLYFZmp7rJBsds9qW9VSL/F1eirpVN8eAAC
acS4epplpA4rgWL+CadxAoAaqQT9MoIEE774ibKPPL3s46Nej1n2NNQjINq8aoOvAsGsNVDp+c5D
qodZ5mJh/9EhOB2N4RNr6Mvi6Dn5SH1D6SP+BA4DF+xz2bjf0BA2fIQW7LuxjNVVvYOzRw2JPA9T
2j2zax5Uz9PxqySrEjis0VFiMnoU3WAYG6jrMn4e7KAMHiOoJe1XusR4zzpQTIqnqBNm6pcE9291
JcYAGTXL/UpAq8JNOwVeiEcXz7F9qma8QOpxtECau0Vi+8WQFLpvOVIfDq7QJR1CKycLnSiC+TVi
I+ZTzj5/RN0xeck8uO5+G8eoMLiT7h1Kq4ed4gzxNGzrEj2EXSANwDx+YdTYNkKutt7sOlA+JzLW
k5codJqfHvIY0StGYrA2wtBj50yaNRFHSqG/pooTfLVnd4c7exrGZOekTpD+Ac5WF/eCXpvxJY9V
6GOekVbG1orMMNhCt+rKu6wx034vxPzwAbJUFnt45NZwl/ROZd6X4Lm+IQlZxBtrcKb6VsGK1rjt
kmSsjmwhqe2H7oNGIz2gNo4S1g6cU7WIlP31I35hd/FcpQEMLASY9PJC4TLJqyhP4qPVNP3dWMnh
VcdC7iGg98DpM+vyjyJKa0REU4sztlm61rw5/wUI/KFLyxOOX0BkO91fNLwoF1NUOqKR2X6qlDR6
jaKs2VaOChm1Tim3xIpqPplxEexBw6nbf50BTjFKkurcYaQptigjppUzoS+uBxTyo7jaJ9IDVesh
EpVudFdM1eB71WSb74nblo8tFap0CwB5Eis3+0c/5zSq8OAixvI7Zs7LUlI3texxkp4eH+N8mhwf
Y8xY/exWRv3Q910NgU7PsgfuZecdgpNyh9pH+g5JOHQ/TVz+AEKSokhetYAe7DcrBbN8n6S1Yq0B
UM7vBJfH2qwyTNbJhC2u4bosJ94XiOBD6GPD6An82CjjavKVqCNSQ4WXv66v0BImR2IGYY20cWaE
ghBZjhnDIgM60uXHrp60fqeoff6K5EpeweKbecBpZOFs7QttBqlMkWdkGz1X+sdeS0rMHxUjFNa3
67/pQ+flZLnmNJE5AHxJkQlc1em2taYcKYg+054rWaXeUxFEbfM8gjXTH0I1qfttV0ee7ae56UUv
ozVYyqMjihFPI1V2ka9XSZS+IjAn+43adKik66XSiF1Xjbn4iq9EXxyabOy91wF8UbiT6GE/VSgg
DZ9Q28yGfREYobqS5HygehYfRasPZTTuNf5YXvhG2Qq3zU3jGX/u6VYdw+mX28rc+OzoQXgwmtJL
3uKy5Fx6ES1QMIlWnd6aTdu8GcCr0m2Ek96Dbaam+ValUfng9JQrDjiitcqDlosu++JZcYyQlNPp
yqbKnewtDcCQrpRozt+lLi8VgIyIoFi8w5eZUmT3eeJkaXtUa9TcILkaEjihKmX4qetrJ/azSfGi
myy2+k1d6JX5Iug18q8MdrPG7joLcB+Pck40DUXEZpaVhzhKujbPuuGYZ9LRbpCAC59oUcu7AP8a
+iNp9q0MjBifDqcbXqfeXaP0nR1ZfgBjA7ACZHVeHeiCRCIi7Q1Hs8UI0G9o+/7O7Cq2Nr0GrEht
on4lpl6Y/5mdOet64vDLMVkEVSMCFWJiw3OEg2P8VPvujsJzsp99PvyEt7jnD64Iyo3mBPK55nX7
SL1kjU1w/kB2+RX04ub64NxFXqROw6CXRsNL5IgUJkKubVmazVbJB/1Ogd4Wbjol14ZbtUP/WFpj
l98bg5vEk9+VmTHMKiSwlwdlMpJHy246c6v0NTRxzUuT3u+t2unpa2lrFqPn0Y5fTc6FDTbP5LnC
eRpZtDrA4R279WNdF5hTpnr3k0sjm3ay1aenoJl+OfxIAYy+cnZKraCtlfT5iyJt5R9pAxr8WsiX
UNbndqrG0+f0p5ixGbaFmCewMJ19lLi/TaQ1XlXcc59EWhfevxbQGe9Dvhq+FsIHy4rGFDvqoDfu
eCSGV0jI19NzUbvmwY318HPUTpY/DR7nw2kr6/16QD971IK/IfLRg6GbyfU2p8F/1e6p01fUrjv7
ONVd87ULRA1hKgw1ZwdrSnk26vS/WHrt1+ujnh9NnlcUd+kXMLq5LBViGTl4RW05Rxd9jc5X4kjs
O8eevmVNnTy2Zfzf9fHOni50mUjjZ0DJ3NZaxqLa6aq6VyLrOE2AtsA4D69tU7Wb2Ql9JQach73T
oRYTOtmiUmB/WUcb7HG8cWfO50YFtrWNyqjfI3oXH4CzpzvocMkR4YK1ttp5RgUJjvNDsX5ukp7p
KYVQMbIk8NTjgGiguDWzoqhvqqCahN96ZXWDpDCdNjtxs19500uLRAFh+tu0Kc2njnbRT2PqkpcS
j6d2g91nvM9FNK61TM73HQVixBoIUTaycktYpNJpxUDmqR8LpUe5Wx3arWpX/StqJwiR6cqUHoKw
1uWKJtn5xkPyAeW8WW+KSO0tTrbtGUOVkJYf8dlVN4HrFJs6Mp0XCbbhhupCeHt9430AAU5SC+gp
yK6C/rRomVPGOj1fXh0PZlF0zhGOjK0dBLmE4QcitTW/UAGl3UWN2rRMgD3cam1vj/smrD2FGxk2
2qYzylzZJLEVdAcBWu7I02noH4ypVTCJGk31T6HH7nhwmry5aTV1DEB2ylL4pTs4MtsEdOy3UjdS
bwe2r7cObaPha6XHotMoHpmu8PUsH2c6nTOF21pXLPFitZZ5CPDJRLNKVfrPVAGr/Puo1fpX05gU
IgPNG9fv4qK/jZpuDO4qgKHvGbIwL3Fbt8FDz9tY+hX21Ogz531j/bk+q+fHGc7IzFQH0zf3HBfX
LFBw2cpKc44NTbJoG2RWoOxymAC0Ots20DfXh/uAlC4XkQYDtQ9Kz9A9F5U/8HuK0tWqddRavEQ3
hjRJ+YTm6n4F+/bglE49HbQxbjOfN38nd0ZHuL4FqKrcRLGjN997mZGCJHJCN2Fu+G5bjMg0P/aG
aEKvRGjU8uqMZO3ffzkZrQ6OCm06mjOLmcoKqIthL5pjEILGdcpMj7b6BEHVoUxqvYZmq2z0FC31
/zLRip2gZ+U+a2WTl74NkUHbxcDBDlVBhWCjqK3shK+m1MZ/KJ6U6FG7efqZGQ+ntZ7yeRidRQGA
4UMnAyO6vIJDEbd2iZHEkSOBUlksI1/NHeOulrLwK0/xtvlQfvc65OG5Q/65v8pTlM3lzGgBaHTO
4tRiKuTmom+b48jN+aJ5QfRdjrCT+jg2D9PYVl+ruuvWSMXz1bDYZjPtFFEqCvLg/xbbTGlSZUJG
Vx7rAZeHLUpxwdYpXOOmGOpgO7hV3dwSHrObLJT4hl3fKhciI1kICBPUCS5QoKQpLQRq0uqYoctw
o5aDjDeqG5C3Unt8z0NV/Lg+4IUbAMI2lxRqE+Axlm8VRKmknY1Jd5QlIMvtEMhBm8XGQ3Tso34T
dUXIUyETX64Pe2GSPU4Eoo3oiQJwWdzPjSinyY3a/ujyOkrf+QFYRToOnnowZuqi/l1RbLEe88nK
5WcnGJuV2HVxfBhJ2NsT8OGmnl4IGC7llEFke3QxMBCgPzD6bY0RmPzoVUHKjrMRlVfG2o0PUrHU
tXbPpWmfcSkuAB8a0EtRJqPHVzLVRHdMMPUofbNBwGVvul3wYuSoA8JkUCh5D0r86/q8X9hfc5JJ
6YBgxNQv5p3ultcVo8d3T2V/q/dQDP0IR4+fehATTfvAW0sxLoRtk6ME25i+N9fw0gY2B+RTsnv7
4+A68XCXD0b+HzE+NbbCsUV9j7C9+C3mvuFBS73gV185nbKtyqELNrrS2ea90etCOSh5pWDqFtqi
oCjm2JmPOGsLgtx0E5S9u9jeXZ+rD3T/aSTgl8/VH8rfPGCXaru9nuhSjvl0TLS4f9EhRhvbAlky
GvhGUDwMoUieo5Ca9GZCOTnaKTYJ7nbquqa6r6MolnRA0ZHzJZYhgGGxDS390aMRvIndsvCgNWay
9qnJFsZ9rkldvBetLfqNTAfnP3VqtLfJGjh/McVn72DIHi3TfgpxKb7+oeebAm0MZAxn/0U25bK5
NaSOVhiO0hzZqslNxaX0JeT1+ZglerzlVHQr6dh5r5NLkMM3a+EDUgBQd3r6Gg3TZ0+tuqPmlkhv
+W0+wAyEnp3/jsjFlQNR0BT4abmT+T1q4/6eIxR5Owt53gQ6mIVxqBWXaDBIrY1fNHuyV9rE51PC
cs+5xmxGSe1kPr9/PcgUtMaToTano+5FmuG3eI3it+TFdx3P4z3CzrjVXV+E84jAiBSj6QFzPEnK
T0esBjiuvdJPx8asEr83U/0uHJTXwC2ITxI1s185gehwfdD5P3q6w6mTwLOjmkiNk6f26aBYkmAK
F/TqsRvRHndtr/mOzPI7ZF/9y/WRLk3o3yMt6grS7TK3ahr1KHU5bvNcmL4YkFl3U/WmH5zq9fpw
54nLDFun7MK7lkf9MjcVrgmXuCrUY5GN9d7p+sDZU3qy0p91PduVCL0e6GQZJoqSchKu2MSDGLw1
WveF+cXngp1OQQGnzSXGqI0zzxmjwDo62lhNPv15HexfqO5q3L1WTtWFGZ4TcSI7cDzEJBah3Yzc
Uua95HXSpdMBGMWIXqSVYnlb1fYtT55M21+f5Esjcn+Cwp+bN2d87SioTKyIB+2olUr+KXFEdPAG
cwBgn7XhdurrtWTlwnTOlalZVG8mgi1B7lVYazUQLf2Yd7B3d2Zmde6zmpoe/jO6Hpgrz9R5Ty5O
Bw5EM8oZAyocJebv/ysIYCeme13laUcZE2AyBceDAyXWSl+pfJ8nIzOCkI4GaSf/uIuzoUTFBFBI
6Me+ke1Gq02aP6nV7zPclzc8qtRb0KXJFm9Pasf/vIScEN5Ts60PIK7FpulCwxhKKrNHkZbiLkKU
69YIQJvg3d5u80xfhYrOoX05pwC5Uc4nh9EwNTyd07iktohDno6NcW5uhigZDtKr24c8DaMHLUi8
jYcRMMr2hf6oBKW3iat23CHytupMcCHgol6B+tgMaMHTaHEJ8cYucwPrtCM3cvp5qjTxG4v69MYk
7PZ+rmXmtNUU3VVWzumlTUxxGgj/XHZD8vR0Btq+GGO1LLUjnV7j4PVuF/vKHIFsI3BWrrGLY1lQ
qGZ/U9qci2+k/mQKaMzq0ZJl971MlOoznnqAoDvNClcusItjzdgJnrrg0ZbYbomYS6QPfFdhZMPv
LgjxheVJ25k/ZMtjfuXMXFq92dcUtj3C7wDzT2dRS0xvqoDPH5MGhR4k9VEGTPJ679Xq9I0GPzyQ
aoq/XD8tlz4RVAgYoHkLA605HVQWCIe11aQdY7TmX7RQqHeZXmK0B7yArun/MNjcxEA4lHrp8u5o
arcYA6pnRymmpLhX4crvDFdBjzhWUmtlOi+E8lmigQIFyQ4ti0UiIHu37XuREMptK/G2AgNelXe2
p38vy17ZtuiW/6OtBAVAMk0egKTYSLKxhKeTOUWQ+6WSGkdHccstBCoj96XjJls4JIqvVYazZ0tr
K1j1C0sIdIzClfoBZ1kCSkanavt2Mok/caF/49pOtR+UUuobLjnTfLm+hBdmddbOpAMEOJYbcnHU
XR4H3jTalFfjKr3t8+5PUffWtkkpkLM/YaSt7JkLp2Jmt88JJE49NHBO59Rx82KIKWkdbaNQ219d
3Xn4CMrMag/s6YDqt4415rZBC39akWS/NDS5hzNbohgwzxdnI06tBKWcxDgqjlI8g9jKxMExRuRR
AaqJ7zyQeojwWf+/5D02/HM0E6iZzIH19JvtUDR5RAw/ToottlXtZO1Oi6fgcQrd8qi2MHe215f1
0h4iqePlArPfppZ4OmKIXZFq1IZ+pGqsPMe42zjbUnaJ2At7ysTKxF5oyTEG52RGaIDOWErADVoB
vRNBgeep4jHoRl5mb52soWqQK9MdCVq87zSR+32TNXeK4YTxU1Qo4R3lFO3T9S8/B8i5aN8BOZoL
gnMVcpGquEYaCgQM0uc4tFlr2TWG6cf5EH+S1TTcc6s0t3UyFojx2z1CEtaACmAxVL/BSlKyhisl
NxCE1lTkzzMoSszUNWZBTQB8S0d0rQIA51hN9RzA/xB+HBSkFQC0HkD9UA7We+WzAE8FNQ1r75V7
70K7mc3HY5a2ncmpW0ohgFwTUVybDZu++IO+Mqj7yLIeUKFxDpEmsk95lXe7Ro9N327D6q63km4l
0JwfPlcn/2ZzUOOnyLIINFTGsc3N3eGZhCZpN0MM7m2gOvLSaHbi+aglYZJQQhNfiTfnAc6lbkBp
GMUm4tsSvpQjWNolXtE/j4HR/Zlcr7mFB1QrX4DscwVbZuiE/3xTgSqleEVSPls/LGvp5phhtdRE
7jELtUNUCV336yaRO8vI3E/ZVAY/rm/588M+PyMx58LrljtAXcS1CFmdJmhVBx+ERv7pus6iPGrP
DLZg+Hx9qPPTRSESUA/5ExR/btrFWGYWctnmonrCvmq6bc0hv20RoxU7r8+COxOB62MXteouaoRR
bUqMRL5YRhNJP7O0+D0yRvkrFppsVnb42TsIlgV4UyIP6wxkXj+Nd3oVlA0KldVT1urlH+j+A/wm
Whny5vr3n+0myKQz893U2c1cJIskpPHi3NSCdnyCyQGT08wjTozZ8ES36jD/E062vf//G3ERzoLE
bswR8eGnFnZGvVFcM70JwqZ+iIHDHOJ4jUi63EycT4IEhhdczezi5V1V2rUCkSnOHovcFLdcy8Yj
HnZHLUL3eeVoLkPix1AukrfqrHuLQMXpoqVlNuZhkWWPsRPQ4jLx1AXWl8p3gLPYZLuN/UOTMh83
QguNlTOzDEfz2HDH6OxS36absZjWtrYGvW/d9HEYaEnFaWlD/ctcP7Rhwu+w9jb+5Eggfvu3xfwY
dQ5/bFIUcJaWQiJHZ7dQovRxbCb1Xpfum2bWETib6aHPCrFyWC9+I3c/JBJeA2fCWyJR0FSymuzR
Vnt4cCHNIt0fQQQGu0ILq01dhOYdpu5Gu/2nz5xFOYAxQn2hcQEtb/l+rIVehTLsg7cwLz1ni5K/
PmykMg2J33lK9x1lvnZtMy1O5v+NOUvE0KlgUZf4FL1uhlDOekZWmSGf5OhiK4rCfR6jPvTDYJSH
69845/5/VQnm8SAcEnN4bTHiUnTerPRRVTAue6MdG20YerrTQHDctlNxU4+d95obsbM3hNIL35WY
1K7M8eKcfoxPcYKsnawCA+fFfVpQVwaVUIfvjTYmN3U7NvdtRH8TRD+H5/q3Lg7q/41Fr29WvQUa
s4QgWzx0SNxa5a3VZZU/OaHi/Lb1JjRfAl61MSCCGaeS097utmVd/LNZ1DzXUNeQjJpLzzynTwNF
EA7ZgE01a1to/QFEMu+wLEIXtRia9k7ji/uVL740u7PA2fwAnN9/89//VVcL9czU0jjAkcRKjO+p
20/PUzSZP3L49L+vT+7FoUAMQyklWUUf73Qo2wnb2vCq5L2NIyXYqAjGcFYbijD+oKblSm5yaSkd
ani8R6iqndmymvqQDA3Y2vd0ao3qkyysTH22E7vov1CMcLzN5HVd9ivQtPpQWbwjVtLAC8cU1UMw
h3N8YPPOMeuviS0A7wVh6ibvxJ6Rxh6ivv+RMJmvjlFb3T6zh2gNpHdxguGhwEOgbkAN8XTIDwkD
TSjJu5nb47BBAslJNwXTPB2DZNC+//tyziRvZM6BVLGDTkcLmqEyhrgUGOcMmF9shjKcnGOWuZn+
M+5789+KBR9HkwgAFAAMArWGxccFOpQ8LYyTd6OB4f0yllMV3APEs367TbRGo700k38PtjgVaZvR
cFed5F2aWAP5PREw3za1nG5KR0ZrbdlLo8F3QEuKXuuMxzudSQsQp9kpuGvmhQiaT0OSJi76mHgz
vugwEa2VI3/pZIAVoujC45isQDsdjteqVMZqjN91xegy3yrQo9FzOvB+ZvCSPIS960kDGFRX/1bT
um/+h5MBaQD0F8BspKX00/ELOl0yLBzMzevK+VE7o3PQkl7spFIbL+gIKWtR/eL8Up8EmUKBGW2C
0wEb025jHeDfe69V6rT1BKRXX4+irt9karlax784nIviHzJQhLllObQroq4p0GN+tyMDilZdaZPY
1KqTbRq3r1Z0eudtv7idKZ+hNAREhbC6TC3HoKnzJk3Sd6/t3fJeHePJuO+BJ2+un/YL4YwtqgLi
BkePA83893+FMwBBYVeVRvYeZIOd7rXYtJLBj/tq3FulMk130knNNar+xUF55/0/0s6rR2rk+/uv
yJJzuO00oWeAgYVt9sZid1mXcyrHV/98av7So2mP1Rb8uASJ0+VKp875BnD7mMNDfrsOOljCq3vl
w9aNYYHW1kjjead149AeZJla7smYm2LLaW1l+jiyYQpwdCtFpUXQyId0atZ6etGcRiB3YPCKtxuk
jMIqhtlVgB+//WlX9iOa1gpubMFsget4PUoDeGMyoXNwmfOy+GzPwAKoGsxut3dqjqFnmjDgJEVI
Ufg4ynnyfyc+CE9yu4DS7/LamGE6+HgHZBdqJnl9cipUCby0za3nbJ7Tei9G04q7XVSFur9vtLz3
v93+AGtfnLYwOTQ3NbjOxYEU4Psh47DBgi2qnafYKIqvAFXCcJfo8sftUGvbRXGWqctS2gJLcv2t
NVtyIHVzcSnCyBgP+SS96Ah+/9fl5kEzIeb9qsbAo2tRUC8bF00d6RWXSPjO3zQq/J3bdgW87ALL
xNtjWv18IAJVbwL4wPJ4Q93Exb81yC89FUEieOMFA1DPgxJsbTEpVmPRIQKPRyefOsz194u6fOjg
BWWXOnVS4yFNh/ZOFmylOwP24B+3B7Z41qkrH+tLWGZKSI0q+mJjQPYUQelU+SXtExezCUzffRDC
H9MBVvmuG8efjW2ND7eDro6QHiT4GvJiuvfXIwR5Opdd5mKcl7b2Uyaz7t/Jafrp4EiwZ4fbwdYO
ON5wKJFwhnP/L27+XHXoDZ2VjyNN5t01GMBNu9hoaNfpsxnhEovkene6HXRthOD91KuO1zLvyOsR
BujgarGNNaCvN2W8GwOgTEou+1xF3lYvazWWIuwpkVisLhZfE/Ux1wznML8EzkDPwYUHcCydIT9p
hiW2qr9rXxMMk8K18cB4XxAH2VZV0VBc8hYu+FOcWf1fpsiaeu/Xevd5qCnX3f6UWxEXnzK2vdh3
M7e4WNRZ8hNaFlkO0KzBOiRvhP/Ic/EXy7yvm4KWLqASIHwMdPFFk1r27ZDJ8uLqIgKqH4wfQi02
KDhg+/swGUnx5TfGyIOC/EKpYiyPTGdu58oI8vIiPJHfYR6CZXNZacgq2vkTV8aWcvvqknkTb3HE
DE6UZ3ZUlJfOi4pwP8xNAya/cIsfmVH5Gw2dtfsA3T5at7RAlczn9V6YWiYuwmjg4ul5kx8adzTh
P5R+/RvpE/c2rTgoXUoW7DpONXZBF1FUuDQ0Tv6sB/GpseLwsUT19ElOwa+BZV7XyCvUirqfDURn
eXBKhWgu+vJi0RIwjxlNuR91JjZTpbXlrwSilJYSspPL8tcAhgrATsKofCfNT31eBLuyMLQSPUAz
qg6u1269zLZCLiasiIokiTmyLonXRC95WYdfkrnt7iFxfC7qxtqoIqwtRlKS1+wa1tsSHUl+Gcyd
aRdYo1PkPHiJZ53cMG/qL05jpltCPmurkbc7sjggXJX2xfUqEVpRp5EYWPqh431KtC5GsaiunI0r
bi3hZMGr5hQAincAA3zA0rCdnOLSIUsenrE01Lu7rHKxvCDDf5JO34b7JhSlDui72lLWXZvBt9EX
i1P3WpWu+KRGs6W/RGUatac8N8pgl0JN1Q8BbngbGdLad1UfFFI/KjXv/JyLxkVhIjGKy4iT43Bn
asZQn4pe34KJrMfhhQRPAzk6e3F01TJHQ5Ek/oL6n1b9E8TGUH0KKJP8Ivf+dYMr6r3yY3hVvrte
KKR4yg+mY+PVca7dibx5tEd0NLLC+yDKMix+456jtg6cCD64CcPoOl5TzaFG5lle7DHs6102hOVh
irL5vqll5+6FE2z19ddyP+RkyTHRpED1Xa2iN+/NRhYD1rNpdZnbxD9q4zDdZxpuJWlbiLvZa8o/
gyrUDrevutWN8SboIh0raiut6lYrL5o2NI9+Obf7gkbrfzNQgDse4O1LhaDxw2hy3d6OvDpc8D4K
4wjye3nOoJpQRSJrywsiNwhNaE3o76oBMlpCYnHQOca7vT/YW9fS6oL1cBHB45U25xLoXKVDhVBv
xIHjU9K/07rU848K4LBx/a0O702cxWwGs87LPXFJWob6CIsp/gfHOkPJiqAJfIzbrH5OIymfbn/U
tcMbWBI+VdhPk18vVm2MHA1wDfV+mHNtvEsQE9JPtTVW1hNyeM60cayuhoObwEueJ8s7jjSvhrYb
myC9wHc3tb/7Fv7YM5pcldvvlFht8v328NYmD71lXpcgQBS9/XqLSHvkIhSyALfdUNDC7YaEsG4C
d767HWjtxOYy4jlGlUKpKFwHcg0cyseER5+XlvHfsjSj+b6ELlKcKhDxUDAcq7v/jZBQzgCl0X2m
330dcjaRy5sCmV/KtsrFx8AByPhfXxqyfYxk7w/7DJmcZuOyX/b8X49VZg86LIQoOmzL3Nqfak+P
Pe3PpJkj50c7A9E6zRI23U/D7sv5kNtZZt51PXp2H7MhMzzk3hppOYgc2YPodl4JfP6uqVsRP2GS
1n29/VXWVhjKS0rzS0ktLotwrXSjrkbd8WJX0fylgL/S76Ykmx5wxAq+3I61NumKiMIfqP98jOsZ
QE6r97tpQlqmH9DgLDOr8F98vwqfbPBPJr2+2aPY/xvnIF0bGptsIao0ixngzS2L2NKySwfbpzno
QlTDF1PaSbjTqZPvgzT5y/fn3N0Y7dpe8ihGQ7wGZ4gv7fVoIe1Kch+Oih7b1uAbNDmpxXtDH5st
YMnadwWooxQqFZlpCVgrxkZqSTXllxZBlfBgxuH0nxFnOmqRYfGX0xrTxu5dGxocH9aNT/WWpO96
aF6Gg7KcYraSlsvxRci5ye6a0i+G/e0Vs7Y6VScI5DoYLOrf14G4sZ05LXh+yzSzBIL/Tdzd+/rU
tadWTMPWUln9kKiRcUCQl8Npuw6XVz3G1S4gikKO412MAszZn10sGWIZe94+EeMY/s6nxMVMdaIp
oDnqJ71NStIa2VFTKy5G4nPuzWVIr8IG1fjz9pdcHRr+BSqNpDZkLU72NK+QnJQ8uV1NxjRnOoEP
aIzm3rA35SjcQwJkY8teUT0ulp0ECt9g8Clb+vA6rgeXp1aZTqj0XEYPJwlHT4puF7pze/Bmf4IA
BunkCY+B8D5P0uoTtcHq79ujXksSUFW0UYpBuRU1tesf4GDAlLbU8y96nBbxLpS6UUHvkhFg+QqN
eb11a/TYYs/9djvw2udWavKoK7MtweteB06mhMuZksPFLzX9yBMBuVO3lwF+i63Tfm3tZJw3UpPV
sQJQxIRPaS/4i8WrV5XVe1LLL7LwhuSUBhCiHjWt6pofWjILlLQaidfQDuWi9HdSa0yp4XwAz6Gf
szhj66xyBgU3usxWV3+PnCT3zgHIAtAjflZ8H33RWrveAvq90ataOyDAIkHvgGpI7099lDfbR3en
1p20ljp/gpLZsRRpO559l4PvM9DsBHzF7XldonVf73NaGjhVoVyJssYiYNWi4umnCdX+ZjC+OaN4
sAeTWr/ejdGT8Jr0rybpxWOie803My2iJ7x28i9GNzkvt3/J++lGf4qX9v/15eGEXY/ciMfSm3FK
uGghXuOZpXlnX+aJAHiObNqughsCKDQY20+3475f2cR9rdxx3ShA7HXcHmxE3Hu+uFheX92ZmR0m
RzauI/dZ3M1qqqt0Iwte+egqJi8ZJVAKn2mRLXoezEKn8+JLqFpVumZMP6shnuPHvMYV5RiO7ijv
tMEVPAa0XEnXetj4UPtIDwinZxuwgfWfA2IUPK4qDVuLNRBTDyicnG63l5C2Io1ayn8Kq3N2Vdq6
Ry9GLHpqRIZprqdPl9gd+MssQkCWp0m7KeKw+nM4YcFMsAEUFuZ6RvSZvMpAPY3qh0y9Xe/N2b1J
2Xj4Ovm9bHbU5BOUDPrEnzBOL1FI3kPQ1OoPmutDyBdN71RbF/f7DEFJvIGaZrJgYiwdLjCykmjX
jeIyj74LLdqujPxEFw1xq9vLcTUQpBblTkBKsjRhbszGdeqkFpfaCur7mCoGSprwi6u7/ynO0j28
nHQQTfhGXWoBiwyLwTQeTpmX4Qt/O9Da/qKohESEQlhyyFzPpt/oOgafY3xpU5SFdtTcdP3ORhFm
ONUufE+0sfTaP90OqjbQ9UXNUiZLZWPzQEKt8zpojcqKVkRmfIlgoYszzLXx78DIog9jWYzZHbxm
QYl+mPu7YqrddGMOV1cwI4aLr7g07rJ9ZMZOZ1h1jfdf35XfPEsMT73AKfg0RmAwdlkrEGeNysSd
jwl1Y3tnjP3gFgBefeNnUemyPtz+Hu+vFb4HYDkkkxR8bmkMKG09CcOgSi7J4BTfMn1u6MFgWXZ0
czb37VhrKxgZOaoJlLvYNItvL3DVaY05SS8SJPr4jCaAiSpt04zBVkVoPRJcQVisIC6Wb1HO7TCV
omVUke1Ohwq0p/wPDfJqq7+z9vl4S5JAAz/grbcYUpKZbe1pKXAcM/ugj6L8rvXyn2mevC3k6tqQ
4PAD1FUb4Z2lWhYif5R3TnrhZwzZEW3ADklbOhS/7joMbB9/e3otUIXB8V/vEN3qdRMoQ3KRstXv
ez9DEConjT3IobEfncwxzyAeun7jNHifQV+HXdy2uYsPUYHq8CUWwps+B+WQxT8QT8GRvfJEFX9I
fdGHMGD0urvrNRl9lIMbbilIrOUaSDpAOgPiADVIzcKbLCuhnex0lUgunhi4U6MID3NUGvQ/QEY1
7W7uYDE/wZmatxSE1xYSjxXar0qmARrzdeC4G0Tp1GZyiQ3Zn4E/ktOYHh4lStrY9TZOwdVoqp2m
iiEqd7+OFogJduQwJhfUarJjPY3BlyCuJoqJY/zl9qZfm1faB9DZGBT35GJeyx40u1OlCXB9gZxY
aY6V3JkkyAn2dZFj7lvPAjZbpWkW73C/8/a6IWz/8+1fsTZgqNqU4aFWgdRZfN7G6Lq5h4dx8UO0
N/b6GBvVS5nHg7ez+hJL1Nvh1q42lOjgRrwyGJfPQRNmghwy7uqKktPP3tG/DR2C2wlSXV+BQScb
4VZH9ybcYtVGtT0Zc55jfupaaXPEtsgLXqp5BujBgzfeusXWNonSEgCVgFPou9pp3krfbIwyurj4
KGRPuamHLYJjqGDHd00SaH95YT04R6E1bvUbCxcBY/BOHE84Yi3mkWtwGrGpA8/uuMNn/DaUeL9W
ZQe/QGnsNyZRPWoRjGefvCvJTAMA1oZYojaGPb46zhk7M32XD4k4CG/0frmdDsiDDuYr+hHL7MXB
q9nxhMaQFl1m2y7Gg8jdKDhoWL1vZPVrq4W3hfKVJYVgkV5vfm+Q1MWxsL+0so4/Jk2Tq0KMlub1
XppmZ24Ma20vcJyy+cHM0qBZTFmQ93nY1bwhRjph+IHMtvNDm0rr6PtD8m0erc1DfHWAcC6gO3Al
ozB9PUArpXLgAh65FHnUn7JeBNVeS0uJKB2aEIfbq2Q1GPoqqr/Hhbksa6FYHZXIfYmLMK0mP6K2
VU47E2a7RC4JzZLb0dY+JiaVoDpVnZdq9vXQGtfVuhK9zUuJfcihUFwZD+LwEb3k+L+ZB/jP/y3e
4mQxIK9MScfrBhnIAqEH+Z/ThOlLUXfD0Rh6sfEx14eH7gtVSTb4srrSjZAtcajgYyKp9S8AuWdn
cvE9Kjp32oWV0//GwckbQAH/KCNBkLn+nLUbxrVBw+HSu4Ux7Suc2/9oUxkGd+Td1sbjfu3pwYLE
/BFkHLWrxdyZyIMMAzWFS2bU+tGkKndfAVM/u0IPtJ1vtSXiqnqwm/Fm+PHr04h4BlVGjjFl5nc9
TlyJMh3bl/QySet7po16snOjNj3bxoiZXaRnf96Ot3ZDUI2EvUavhSRykRanad46hTZCb/Dc+ic/
SxaHvEyLY++W1j1ZXnAfhI05H2+HXduLvC4wuFFyi++IczDmaYZ7HQDLbjQfxoFS0b5xtfhjkVRa
vrFWV4OpJgSHNsD45TEqvTJuI11kAOb69hLhnDIcHK/vjo1nd+PpN0ZmQiVFlRX+7lIGKtPjQiZO
RkMpgmqA+F3+4msZLZ3WEb9zvdPCA+oBV0SxEK8XSz5G+dyjInMZta6e7z3sG364lSg+ITTh7OSE
kvXO7CNzyw92ddEgJAgoAzY0tfTruLMfO/7gu7ylcKmGkVcoCZ06eqGdb+8tZXi+Q+FR3N3+smtH
Dovl/0dd5Kfj6HkJzy4epUndfLdL3//AApvv5hi1vvucV6y3sUpXx4lONncTeqBcGtfjxPSnEa7U
s0tR8LjazUbQ/FsIGX/v5zTYTcIYTsWAp/zG1bFy/NDooY4H6ZIW7VKruC8Kapd1nF7cevych1p1
6P20HnfI/Bn5EQde8SeUa6fbTW2WBfvbX1ndE4uyC8GhrcGVw6psWbyazGmIUbVJL5lZi4eaV4B8
LDUv22p9r3xb1QRBhoUOEHz+xRpyGx4ghGGQmpsfNU2ERxyn8npHzVx+GwKQDEXqDN9vj27lKACx
oNR0OO+Y18Ut6XdjAccCxhNvAiwYRSbD6VmLlX82Su+V+PU6CuGA2iADTTd0eRiMZerglVexZBuc
qAOEkP4UYKe2mFUrOwOtDjiyFFvJH5aqYb0xt2Of19kFKVVKvAbmmWjPjdPOS+xJ7KJamOHGMbc6
farLoViOKC+px+Sb57cWaZbTxNBH4sE2489geIZmpxFpOkZDZZd/+XWkI/Be45ixkRWvhQZlzZ5U
lGRzCbb2+3T2jdjJLuiO1PtR1tEX8Pn1savm9D4XsXFIyyj++/bCWdsWb4MulivgWQDzPQTSsJp8
xdERWJOmcbTl5LEaxwaoqxgq79NGoL/zMFno03pBKfuPaVqb/YsrkvbwG+NRBCeTEifvpkV3zEfO
FA6un4EVnCz9MKBhFSGoEszBxkJZHRDsVOAmeNXDvrleKNA/XVnjB3KJ9cy5SwtnjI5OgHTKxrm1
uipUKQzdAUjNS4ZvljlhOAWiuLiZF33NS0Q0j6qOle2MpPXMR67q1ji6HtXTjeN6EZlVwQ1Ii4O4
5Edwqq5HWIswi1N7zJ+TUEyPUVJ+7biNW5iFoXEfpyMvtyob72/P32LLvwYlPQXgzBnNm3ex//Je
r0IHmPBz5PtTvgO3ErSnLLZH3hpOaOHVN7Rb99LaQKHD+MB2yU7fCaD1dRSaCfnNs0rRT1bWBve6
hUlWhFHap3Zysz2q8VtBFyf260DxlYVUQV0KpY7F+olEP8GVrIrnerLaYx/Phn2Mom5+Tsg2tiwU
FouVTh6nKF0rBKIhFr/rorV1zCKKnOAYGQAzleJ5mOyyXB+3qpfL6SMQHWnVsaWcz5JdvDBqywiz
Pm+DowjRWgkn2/6Mc3i/U5ZcH6Uvy43n03LqXuOpNIaOpcPNuji+hsQ0tKHygqMdZ+2u0JLs0BYs
z1TPxqMpBwMQu9wqhC+n7jWokuZy2fi8otS/v7kjDJJfX2hmcMz8qv4r1mR9rKQb39GGrDdKFysT
p3Il0BTAIFUHehnKgYne2Lgd5KVzKCNT7gtT5hvIuUVixvKgf4BYHf0gEl+QyddRnHpIQqsYA/iJ
UbKL7NI92gJHBNMo8pOrocZVBsN8h4iOeby93d+Pj8jQtYBuqYfakv9qRgGQuE4yf2NunAE2uCfh
IuH/v0VZrBJ8DHMzdPvgqCeGc5pdszzSG94igr5f+2osrEKYw2zv5es6HQyrKqwmOKLkqgwSB5ti
s5hOviO7YyzbYON8Xvt2iltHQRlQE9pY17PGL6gbG5s7xuIlp3imEElfxty459ZGpUgirHPUYN7R
E/VQrxqZR/6xmX33PoXFLHaNWXjAp6yJqg+Axl8dFy8ToDWkXwZLkaLW9bh0bw67URrpae798lm6
U/2M4ERyuL0m3m1iTLTwsjBfDyw1YddRotRwpZXiZVXPZr3XXXRmxqZIjoBIi41Qr2f5m7eHoQy7
KFZzp8HXQztjEUtzK01rTSyB2qhOvmaIpdyRKmjzPodY/Jedd/ITt0B8tFpfiJ0snfCjdFv3Z5S3
Hbkm0qn2xo54d27yi+gNADvmG6OquPhF1ZzhFhAO6SkQbf6QW23xOPLAPvB8QxLenY3HCY3ujcNs
7ZO/DaoW9Jtzk6yybCpsw0+o0TYnaTThgUeg3PcJPtu/Prs0X1FRBISKW5r6KW9COQ1fVxOEskUZ
o5uEWSle2nIqaCcmRfUb0VC2eLVwATazpIB3YdppVpfh3NHGyEtQVvJdmkh+656oEdVbMobvtiST
p2p4SmnepX22yHF7HEMmmRfpCSWI+IOO0hd0U+w1E7RmTnnibQFM1uYNjCYjoyzKVbT4mEDMwt42
uQUmuzaRFx3GI5pBxaGOyM1uz9u7mwgVSKXE9IrPJK9enGmmsM2oCPrwaBde5H/tESrI751UlM2D
nfFM3Gc4h5gdBucOvj19PWAldvsXrAyWapriHLB+wHCqnfNm5eiGtCIv6bSjGQ7Ov2HjJsZhzK3q
U+jEZblxMqzMJD0QheKD4UAzZBksmgduP51MIi1H8IpFjGOO9BSFKkFFNkBsrJmrX73tyVgAQFBe
Y3NgCLOYziJLASb5bXaahtzbm/ksD9VgdqcZjuUn1mx3kFEj9nNaRRvDXc4u7ZD/2yUAPiBaLIGx
MnStuQO2eM7xZpjvlCnEX3FgtR+g4ULRxquyDfaumTfnJBWIHv7azCq9OApntEl4toEnXmQBTeJF
Xoi951nPfb/ZYxxZ/4MpiXXsQcRsnK9qnb498V9jwUVQsheI0y17znEctFSgRX+O2t4Ux6ZHpwkp
4Kl+yKzYlIegTpPks+9Gw4NMish7ImUIorvbA14e8vwI6k+UoVUjiqzfvF7KltCyNA2S4QxVrrwP
AzN6CZLJ/5xUbfACkk2enNwMPt8OulzSRIJkwtORxaVe4Isl7ad42aN5PJyHJpnTb8bsZc5hAEXu
/Gm7SDXs6ZAPf/xvMdW6e7NnJV9g9irQqKIG8v+zLVO6DacgMyx51BJjlj8Kji6x0Z1dnhRqpGh+
UEZVkiq8kq+j6lrp9GabTedCa2f/iI5a3x+wNkuNnR+3w7ixfFc+LMhMsr1XnzBQTNfh+op+WzEE
0xkLNfeud2T0NbW5t/vJFNW+m5J4K0V6v34owqt+MMg4RS9bRNSQdat9Ec9nY+ak2DmGBHxbt9J4
0CNdc+97roMPkorPRiFsiVFDJQ6ZTNAESHxAxAQcdj1UPA8aJ4yn4SwjQ/vqN2HX7eI89oxDMxef
TL/2IAyD8/4UtqGbnBpbGF9DDbmsB3DgcstR8v2pRebGyQEHA8QcBdbrXxP0tiyLXoznOumi7yhM
RI9pqf/shlL7wqbyPqJanHzmutpqR7w/RFTKCFiEzaSYhYtlPSdd3tZaPZxDqrsnM7aiQwQt5RsA
YOOpECJ5GQBHPdvh3H7UDBc5wdvbanXgHF5ASznK3slBh5TlG8djGtB+7JH1d4MG6dse4SDEhNx5
L6I4+1ZbdfYTaHj57XbwlcUHwgLcMxk6ZKmlbqFA7rILRwafiVk7YiCTPjfBaCIcMvXyMDiyxcdP
b36xnsDKA91GaxQNbEVgWuzpEbVc1Hy84SxKER8n25vOHoYCB1NPK9C9lizuODO3LLze6R6/hrWV
NjXFe4pMi7CpoQtHYoQIrk2fv0+KRw3SNi73hiuCT3k4xse+HKOTkzofNZX5GTjJ3f3GB0cLmCuL
dyzZ6fUypxTHWY12/ZmWRf8jQE5QCF3QpgWd8TkUcf1ZauIXq6hqpzuYptKVAJoBonoRFL0rORvS
H7nwG/dOQ+m+2hVShP/++thIKz24BMqCaKkeD4xICUdnqGq3Y8Pp5U0Q4HRNr/ajGXvR3mpT4+OE
RXC1kQes3BGqqIgcFQ8/uHiL8dlTNoZpnLOKvao6hbkMPw1180fR5sXGyl3brMRBf4pMXenkX08f
T0S9M9t+PFc4oPzR1tP01SxT/16LMnM4ed7UfYzMJuDthVHTxoG9MkrueuUryFTCGVickOGMRSWV
2+lsIqm+YwMNZ7NPyubRmg1jq5Owcip61PVVZYCyKXn69UAtkflzFLfT2UCulTdIZR2ELc0HntjA
MuP8X5PSzH/umPxhW0n1zy8vJFJYZI0gcaqi42Kjujzi597w5rPdh1N4IqeElLyLqzqM9uPUBeKp
6ONOP3hQJrZEqVYGDvAGDKOheqigi64H3lkJXPp0nM9mXiV/ptDz4j2PlbQHsj7FMFJ8CgxNgnm0
LjX80ZK4L7aUC9558bJhORvp3fK0xql0+fU7Ow2HrNGY6sDviVQEjnaILDQnngsznov9oE1ZKfY1
He1ij6RkpD8Us5FUB6q3rrnPk0TUR1tJyP+lF1lcn9M4Kw+dOXi01W5Pls0HuU7CAfaz88DWgMR4
J307g3PEtdwcz3ozTBffDu29p9dJsRFmJTGDLgMMw2LzcXyb1/PSO5l0DJFPZ+oLiXc0Zj0/2lYX
KP5dnhR3o9PpG0+4taUARpfEDMy3Kpddh5RpVCWJOc3ngNoQ5opN33+YE0//UCBO/RFyp5vtwqzr
qweUOpxPVS/dLV3flfMGjAsSVIDqlEa0+olvcm4bsRhNOol+LgfPkLsJLy7nOZCppJiWONWnJJK2
2Pulnx3ino2xcbCu5YgcqBys4ND4DcuaGu4HcRYiN3n2rWi4E0neXQqbOhayafF4jF1YJDsnmdrw
3h/6Lj4NWJHSOA49fdcF6bTxFlibEHRUSZKBbPOYX5yALMuxNHKhnxNcK/ZtE9iPbUWL2qhMkA2u
QF8V1seL5sfVx9Cqo9Ptlb6SLEEPprhIEV2djIuEWQyegEVhGGfKiN4/eTd7T3R4xGNWGUa5J0cW
5cGdlNvF7bhrS59kgZVPOYEDebEOfc0UUdr0xtmtrCGMUQ+as+5Dw12LKEzoa9Lem5UXh//dDru2
9gKOQADyxGYRXq+90dKL2NTYVUJLrQNSZNYXf9KbvaFBrgVpkxybkS6hlY3ZBgdyLVOjhYYimiLW
c9Mubh8H7nyYDO187ilAxftOT7u45WXfGN4fWZB2yS7poU58l0jtiSegUqDJUxRHEGcNjV+2AFMb
UCkFU8Wh/o/UwvWHsAs7wm6+ms+iQGVrSPEBgwkqdpNeDYdpaORu0PvmDjnf4KFLUMgKS1vftZbY
gk2ubUcERuln4vXK+lvColG/jxLf4ZcUWl//mDq3+jGmo7Zv2yi+j6fROniaWwIy7Brq4HM8lY+B
pBBiDNG4de6v7AbFhObbwFNVgPvrryL4q8QfTOYIgch7h9raEQLYPBwQzK0+mKmOVEpRiHpjE66s
SsSfOJCArCiWzCI3yIRbFnTJp/MUaK2+N5py6vcptZnoWLocw1ABWywF/XCsDoltUPfbuIhW0jCe
p3RpaCqj9bZUobE0KtQdCrJnMen2qQrnetf4EPr93DN+PdsEJq4YWzC3+NCL884ux6anrcYFhLvu
eWoTmMDsyGo3cOA9my1mort2StL8peosq767vf9XdyFYJ7YhaRhd9MUMa0Vpt5puMMNGH+97e3I+
GEYKYM3H2/1x1Mr6gLR39dHJbR7JI9XxnVOXUHVv/461D05a4fJiQwGSA/B6oWV6WRtOqxa9beBz
V0zxIaown0ckVNsYshrRIpehGEM5RPkGkGYsQll4wXRIKehnnkvmS+1m7dGMDePl9oDWlvDbKIvv
ivmLBsLD0M+4B2uPc9XUzU66mfGnHLPwUiBSccrQk30IAL/c3w693LRIMrA8+R94f3OTLcGspHCx
M/rzdE6bMHj2vay+gA1M/tSnPE64Rcyg2HUt3MTbYZcXN/ZS2O1QeedRYCv5i+spzOnYNCZCxWf0
LGcIQXhRBDsrrqe7NJdVd5jcuKJMWtVfaun3zSFLqV1toOmWy0j9BoqIQIl436I6u7jOAmNogyk1
vPPkJz0sNzqe9sFoEpAaWdp6v4iuJWmkF0lJmqIKqSMt0OshZwHa+jWeDOeIVP1rnif1Pm/D/OzO
wfAy4asKrdo3NvK1ZabwGpTKMN+aaX5njh75XVLZwE3PKRiifVD5E0BeKb0vpZ02HxBN9trj7Zl9
v6CoySKQDk2I6aVRdj3MumqZOlH55ylE/0LvZPciRr05O53WxodGa8svRjAU88YtsBqWXjl0bFor
FE+vw6adUzp2JvxzlJjOg2F1eFrHvR28dKIzD3kxefsp9Mato2h5PvB9FWBKNXVp73A2X4ctrczV
+zhgDVVuh+6YJ4LgkLs2VjW3P+vKYiUQxX2YJkjkmWr8b/P+pgtlhDPCOfcon+Az0Z3q0DEfcjQg
/vyNUHTgOBQAZb27z9qytuNgSPyzM3fiuW0cE2JwXe0HMyo3FsvaqJTJH0crWD508q5H1cKu9WC2
B+eqc+pnQ8+GE1Am58+h97YM1lZ2AmUo1b1V6IZ3GSS93WDWcDM+d1rUf2xmj+2HO8J5CCPxqa3G
4OH2V1xbGUgiYQhFbRja2mLCRqNEc9NrjHMSpxLG1Zz+E5qi3/iAa8sea1Ro3JSP0KpY3BwQJgGJ
kNGdfa/E0HvK2xaciCedhwpph/DOcsLirrdifwtcsXKAw7CmFgRahCLbEjDohS1EgC61zpUpjXmH
feH0aOM0dt86mhHuARGad7mrT08dvtzaPnTyTbrC8tZUe49eG/cH2ggW+/B68ZQFayeIXPM8dLUN
Rdf2ykOTldmpycce4T83q8gQkjjbzWZGd+j2/K59eU8p4FLepGy73PkDx0Ft25F19kSLS99YNfd9
wQaJNdF8mWLN37X48B5uB11bVOpkVYNGGmXZpwc5o1GMEsbZws/jENPq+zuWZf39dpR3eR5fFsct
VRh+1ZZfZvJ6UfoChpR5LoogeSxosRxd2eJnpknzSIfcA5imVR/qCMv1TE5zeWjjYEvffuUDg8ZW
2GXWmPo919NrOohIznlgnEfH7u3oiHt1a++bFBfwfT5aYyqPPd2nyNxDNWaPbNycK6sLg26qurSu
EZVdoi9iq+96t9XtczdE0XOc+8YfUSm9k0CxUO6necx/Wl6hHXy/26oprxxV1BNUaZ5TkSt0kZhw
n5TtlNb2OY7hht2jWNo5+xZy48VqR6cSx1oOuhltHCUrZzFQf+YcOXzF2lykZGFUB/pgSvs8otR4
DJ25/QylzUeBwnI3ks6Vw4M3DO8YOLYuU6N+ypvLDPWWqBqqyjxrVlKUJ9mYg3vom6iyHUCyCCLv
BY8J5+Nga0X8pcaH+aEYqqD69d2EmBOTy6dmopcjxnOnITsKTJyJgyzYydjOjr5X2fPGUlqZTzxM
mUke6HhyLDM/fxpMv7Vj6yzjIPqvpBjV7Ganbo9R6w+7TvS/SGlQqSZvcCqV2ExCcVq6PM8+YnWl
WVjnftDnH9mQ0sRr55e4r3wcMbzhaU6CfKMUtzZI9guGGBSIuBYWy8c2+w5PXmGdsxY7a4p/Nmgh
EK2G09lHHsVbQO7VeLRnWUE8vhnk9RpCWJPstUe6Ok7s+OCF9riPEXHYo8Wc3ZHAdA+3D8WV84DC
BvpMhKMEvOxlpdwESTdX7jkLexONMWlEwfhdiMnvjng+G2N0H7YBrVo8QYQ2ngbEk7cgmisHM+V6
FHNgcSm60dI9Cu2jshIyc89+bftVtTdyQ1Rfh7zzSDGauNafnCTp+//H2XcsyY1r234RI+jNlCYz
y5dUUqmkCUMWBEEQhgRhvv6tPKMrdcdRnDfpidRiJhNm77WXSYe9mdf5AygYMHPttlR40y6jY38r
f//5UoB7QvaBFQc4GDXU7z+CaxBI5IUq71ZA48tAxGZu2VwcHcly9o7BEu9dvbHmtc7W/4/rH88G
ORvhK0BD/mH77UyAGhSL684u4XAd7hIY/xIjWNVFsZDHva13enSA3hLSbuCr//zvC+Kf5yUWOxLD
IOzF1BpM4N+/e0h3kdBozO+QLC7yNqzcng8eyrlVcbb85aj654l5fdjVbhjhU1Bn/vGi9znFTZiv
xV21Uj/U87SemJqqS2a3FxQg42uDILqnNZvWczDHvP7lBPvXx6Paghcm+Ahwdv/9u2LkJQvk0OV3
eJ6/B58saqHEGt/bKYHJjh/l42QwBOhttSDoIN/QAf+l3PrXtw3u2vUtoDT5k1nawMaxqkKF67jg
/IOPl/dbasUNde5vG/3fnlTgISDrYWSJlv3376qDmFU51fldpKbLQsrxO6F5fMoPN/2PaB7YHVe+
A/JggFtegZDfn4TrVq1RpgsQTZpNPsMyC7aGJ8z8uXvmkyF26pEO3LyBjRmTuwA54+v/voSvcWa4
/HKQLv8802jG5qWA5dYdCza708vm3seTMu2kEIH33x/1z8r1OqkDHxvzEqQI/cn7Zp5lRhxNcRcR
GFJ2MNgA8ZqU2frpvz/nn9cCvI+B6PxH7I6f8I9rKCCrSOZSVXfol6dTUrt3sOU/ppaNcdaKMfwN
yPq31QL8CsAZAACchX+cAkTiLlQGzxvzw7t22zJ0Q7td10t5rPIvC+afJTG+HPwfriAALqE/HxYp
WSm0OdUdxnvlK1xCrL5rEHnFf/ja5fprahFd0epxF/lfbr9/e604YOCGex2DQxr6+1Ktd2OLmI3l
nY4x627rIqo7KYqii/gyM0hE2bf//XeENwPOV5zsVwuR3x+oM5XWgtTlHRzi5H6pl2zRbb4v5OnQ
vLEDJE9/w8r+7e2CFoPlg7IbzfT1HfyfqvRQR50dPipR8Uv1rI71uEyVKp8KaZZLoCTeuqWm699w
wX+7Q6EkQT0M8fIVaP79sTg3GXxpsYIqnctuB6cRDatmy/0MHXGfFLv3g4UJ2Isz8f+Y/YPtAUQE
zMZrTBTOoj+l4alAmCGdaH23jpHpprBEA4Xk9WRVjKhR5Kj+ZRn9y26B+AGHagMXvutL/uO7prEA
zI3nAdQtbkCvq+9hh8e/2KxO/oLu/suKxeq52rVe3yzq4d8fVTk0sbnyQOYwJB0Q5wmP2hGCjrAk
B7RB1d9kQf/6PCCPKM9g8giqyu/Pm49lLKsRAOS6HwoWFFHzGEouv4XYb4+cHX8jdf/bqwSWDF19
Bj0NhjG/P49WB1KxI1+CHrmu/eZ23MYzaJsu89HfyPn/GDOivLt6z15re8QZgh76+8PmlcttaUhz
hxyL4rRzGn3g9RyGbVX+NBdad3mUMZyylT/6BCbMBCP/IvkEUDb7C+npn9sFH+U67cOZe700/1hC
JUWNnSngeHqB1zikQ9On1RfJMQS6Lzdl4rPXPFdEnGBXs37974fSf26p/zsOur4H7FBw5hCrCPbD
H+8h1TVJbbQ1d0tIY8hk13VrbdVsX7eYHkvrcn7c5A03QzSKyLSFqJCDWjR7vvQ+P+pPK+Lenqqo
/ts+Bg/o+nv/n48GRzcUw2hNrnsLTqF/0mGIkpIJHcEgOEnB7BEFY1kHeGzfu4kRnsFCY4yX/vC+
eqcLNPrtrr3D5NAgQRS+elavfRE15iN844psMBM4AF2TGfRV2SIK3ZcJXABHGCkVQ4A5X9Y5l4+f
YBUKlAuqER9ecXXFl0QuUdTZYpwz38EiGoYP3Tw3cAzreJ4uiekcPASJaW3gyRy6Yzvo+Gg4B+dz
OjKE/bbl6tbkYY0a28StJlUTXfI5zyLfTUBgSOig7PL0XTZKzOLaYz8cKrXRRTlszFGLquljkuyH
fEjtvKAhC2OTkQ9AcVL9s7BTVV/G2GNg2G448pOjbdQxbmcBJR/yBtNAGn4r9XIgl2AmJbkpY5kj
Muyox+S5qBX4qUyC4tNNlLgygOyCigOWqTHeSGAs/DQ09otpkzzM8sbrFEqrxteanjdiFb/3tTzy
p4kgw+XOg19Lz2m+LTU8+lOYLbaQJ/OLkk283KzQh7qPgB4d79Zk0eOQNr7M4ZqqPbvQGtDukCHz
yLcw8imKU6S3sR6QppPwDuMeohDMRdLtnTVJGn7AqS3NHiJbJO4B0t0FgYpN4bl+jByEcO1RY+D4
bMpyCj+KSDN6qhEZNT3sBlE5J8eieH+HZLElnFkJc/we4fRX7VPCITS4Aw3tIO4GZNXQdHpZXP2G
sFrhfsZx6hKEbJToBG8xvOTbd2TirEL2dreeFgOMFmjeCYXc7K1NsqCWpa2nlUy8rTKVmbRzmKld
7ekFFFYfUwP/UMS3j9EuHprFy7FHVORO93bJBIlmWMLBQvA+lCvGaZFwu72kkPjgr4WFCkk7TIDK
iT6MYa/0A40gGEPWc+mzJempWpNwcZhfLQm+BPb5I8muw/Wu2aFInzoUB1R9gu5L8dsEbmbRCfC4
UcvQLNGRnys/p8hpkRk89BGCkDf1btvEI7XMQtEbQIHrucam5O26jbK8XZsK0t8Aoo24QebJ1jwn
kmZz2SUG2eKPx0jI9oOMgdEOtk0z3AamkpttQ7bbBoJP3ig45pTRGOEgaqzFK+4wh5jgdp+ICfO5
3hQhWYdiDi4MawR74daZqKm+RrB9uxIJE/GgDz+LdkzY3rRXcRB/ZVvkzLBLucmHBn0tAG2uJXsF
BlNHSMwYd3kKCsO8tMvSqUwfK4w0Qz8eW57em6JUxY2vK7RO/SJAFjmnfuTqy8gxFLhdeVmHF7sc
yk1d5DeTtLMNjPyQVBtQeOJkpA3q11nFIe7SKC63MyTzKxhOUSWQjxZCiEecTbUh8jLHqjI3EHLN
y4OLt9Q/b4XfNgtuKhmbO6dJEVqOYM/8BxPpRkIbz/aYW5o10ZU8elTx+GPMeeS/ZlJI/QrrYydv
Nfxj2XtCCay6IGIhMDUEypQDZ4fPYquakDfPo45NfDvBwiHczVG5penNJHw1ynYTGBb0KdlhnnTi
RQluBJzjefllylREvlNz6AJsIIwqhyk1szkzKWN1Ss2Rklv8uFp+l7CH0A+IIY9ApStzFmMvwGxu
st8MWVk4QchVz7ChMMVxXIgFUoVrpd6T78DzY0JauOrG/n00avylrKYju+jUw0iUAZ0jT3JT5nhM
JhUdN7HcuHvFAqnKLrNOma7U+SbPR5k4dZnSI54ufpfJcjuv2h3fvIBlUrjTO8GoqTyWZL7Zd2ER
KO6pPHBIyQgDoJRomnw94P+13cy1Ws3J7fHovq4SF0hXg3gEc+lS1Fev4Yzoa0qAlfW2vYZG5PBY
H1UOnUVMpjz+AhGnLG7XyXu/nxYHV783mO3BssHWHCODE64Zbs6NLBu5tUCaoY+eII/Yq06GeRbd
jPhfecGdp9QHiqyv7Q2suNiLoTSwlP/iPJaPOU1ug4dPW4OrJJ9SeMH4G1aDbvZYlROwTMjYkd+A
Oa+DMRU8m0txw2NDoxs8uypfYLBi6ceJYFffwCuochcZpRSE8KIQnrZL3tB7EEHHHZ3oVi9fCzgU
2TuDucfVLn1nvngF4s+WN79IW6YI2saeufAC1ASBS5JtyZmpwhvbemDY5dmA3rO/B6acix4VugAW
qWUhS9mCkobupFEgBT574NjrsM41iAYtL7io28QKinw8iar5Qc088IEddZTtLajFhPYcAumoW6O6
3Ey7O5SdrYEZiLhM3mhcFgo82w6/bQrbDE7z8kJgnRnaa/hVc9essZgGBnvH6XNRisbfZqXTuR1c
xit7C5p63Xw22xHR9+RoUgOX6c3o7KJ1NTat23Z4sLSLKmWq+hj7dH2sEA300cSg9t6bkI/R+Qgr
pdMAai+tJAx5Sxq+ss3K5demVYxPKIBsN89IAlPhVcxTzuZOokMOHSI3EfbZuXzHb4roysY9hb3J
/AnRU5gmfcvAUVV5h3vSjS9jnmQnJF+pHVSyzU3nFSrC9JFQP4k78A4gR+2h0BhhwZZc38gCtuQP
nEqrG3bBlx4uBJBQ+jRo3a4hLOp5VhF+Km8RVtuBToM83kg2xa9lYvSl0no6cHPDxenWmGNDPUac
uWPOj98V3TB1j5DNqgY/VZHs4EZXfC7muqaPUq41Oy9brdezWRkK7hiOFVAlw57tBBkmclWNHFPg
n0jDhp8aLpX10eqxqPA0HddnL7YxaUFRPn7Q2sDZv64J/aKzkbzqzMegMJLqSE6Um+Uly8hYPLkl
2HkA6cOItGV7LJozpCk5OxlfKXPvGNfkkkQGLE1FcY3e8mW1Ly7LRvesVB01n8eVJbSFwrd8nwMw
jt5HMO213xVHMlEikiPrStjuPPsAL6jWZUeR3MUxNz8Y5GqsW3KZv2y7yJ6RDR/ytlnTRt3BrJX1
/irbuYlFDB8NWbl97nmyl6h8YUGM0g6ZwK7zxCfijNOWFBeZbi5HNne2vUig/hSXAl7TTy1ypbsq
gY13X5ejQS50LqeX8cCC7JIq4i9UKPmD1fU+ntPGCP8l8CpbfvgAO+XOV6zEap5kErsePssIaZss
JpVfUGCa5l3ElLCve7oVO1i6xPFLgNUNPIl5NPN71EkSyPXGUMxoXOYK9fmoqne43mh8azGMzPum
9rlp4ZtexyeK5Rp4m5G5+jWCq4VmrEE7eCbgqsizmheUy9aLkYEDcOTmOdUYGd6bRFr7lkcYU7VS
GLsOyP4hzYUJDAlQRAVCzrMpSVb0iqcllk+RuWoAp7xCVqIvUS0nOAbvj8PE9JzkJCopyrumFK2B
2/H7hS3u5xyv/OgLfJIPLIuafcAVlqdtWR+HfwqjTxp0TTnKhBXnm29oH2BFILtiUYr1zMOQ7hbj
ZD71s0o22kU1qeRFQA3efMb1yYthxi0VnTE8c2FsQxzrqLcC8i3Mpmu+nllWb+PjpFlGPrFKV+tg
Zbxl59nmsej8VBT6BI8Zah82rw0mSHLdxFegJGYZoorhiiMZjrPPag4ivbny/SjUBNY1F5LZTHzK
8qM8I9heg+rDM294y5lj09DYktpndBaV7bOd1TNomSoJN6mEzBPdIbzp2XgXi3om2NbZXN3iBAGt
tS10rctuZsqcyOyboy9twyXeaLpj1p06PvaIULNVB2HcpM4Bsqq9zWvC+Ceh4+w48TiToa8M3Ld6
VosRAWfI/IpvHMJCyyFdNIySZ8kgHsxYQfyHYHUVI8h0Eb5bBSIXYmwhlFjkIprdu/1DAGoK4gTY
2I0FjXdLdm7aaC7JQu+K0VWJeq5HkN5RbZb5NOc36eriR5FTrFUXL6Lps9LjzGy3ESqwLs9dU9w7
kP7KljIVps6M+iA4fth6IKnpSO0DhVphfNRgBJDvOlFi7cENBJ/VmKnan9ANovFz2d5AQtYQ8oFV
JUh7+EpV1DNwvL7WYMRj8+koe/N5Rt1NosYF05l0stlNQsyub2WaEeRu1p6tLY235gXmucVHho/6
pUAxG7dOHbDvXY2XNVQkiV8GbONMdwxfpv6KnNB47iKDIQsEpEtAaoNk2U0WlvwdR8MFZGRLGnXj
1wixkCpZs7KFz4eve6nFtrfURTB2HuvG8T5y3tWdkOJ4MiwBLyiZHKgMyzym+x0TuceBAEVXOwOQ
nHufZHpqxTXM/eIoIxk6YZm/AeJo6EnQes86wuWqOgUnHDnMQYK0ldVTlbeuYdParjUvPSJcOe65
wCFr3bY1Lts83etfzbGRz+uUxnFb5VP5K9YN+Yb3GnhnZ/hHZY2WCf4I1oZFdKUiwHntqFB0NHM0
yCYnS5tKUrzZwxS/JjgHHkinMcp3ZXPwL6xaIEiRFOdAD4a4QPsj53W8CXNsEDEuQBdOs4UWoHgC
Qun3nKLcrxqSJ20Ga4RvhYusahmmyq5VMKT4UGp0Jy1NXTkPji1VBEpctbDOQvMIiaw1TPZRtG8R
DtPKvFst1003Ara4jw4Ym7YHN8k2qNwTZFCgyozabPPXSIXcj6YTqea05cGsSUfRnUydFbqpWnjn
Tk9Y4163JUxmwxk5f+SpZNOVXz4W7jhBgW/g5DLS/R4JhxDLutyEN+h20fjZUQXAA8ohSoDA1eOD
SWchOlvl7Dv6MwFRb6S9vrjr5rs/kG+UdImiFBGYRwPhb+O35LnOAoObQdwcz1GeM9NT70vTreBH
3VuYxzxAI7GgW8UJCUNasslf6TaX8TAinE/CCSkS553jkO5Bj5q3rkLKCm5LBx/rdiHoi9vINRiV
hmaFe/VW6vRXRNeMd8kG15MOq2zR3QE37fc5Phm87wCiTMMeexf6ifrM9AyoRdUyavgHuabOtrWT
uB6mDRV9T0qafOdZ7I7eiCSZ+xlIIz4LmUvczWBOPZvMIatwLaPpq0j3lUGFy+KoRUcLanthFtuj
pNzJKaA7eQC3CrAnjMQLdHQO8oaBGFUeODMY9CF1tZefrECXvddQSKHxLfdXDMbXos2KkKU4nkPm
YHAXg1BpZ3ABR7fBWazZdvzA81ajwqnDhKYgyWYz4h1fS7gUWS1TL/byRxVdFaU89bRLWaUQ1eSx
b+LklU1bfW1ti2+SzskXx2rbNxoqrS4e1/nRHEBbcJqM9QdFvKYnnZW4cSdQfFSrQLQBCCJC9gYj
6mSBbqKQ6MsBHlywzdYMQmiV8Hazm8vaOVN51a9p8AT/tuUDvJQkRPkZ7OVaMJUm2yeBiAVvB/dE
u7kkGaFY4znOz9WXKEIrhAhd2fOlbUfFDshGSXKotpJzSuD6Jzjvk7WOH0u67TFu5zhVLTjSTdqR
cm5+5Jmgqp1w8L3RdCpoW47VvraVPsQ7FEA7ggEyJDq3vhTQZKYoB+w7sBVHMAI8PpbCzlVdtmcL
HKJ3H6HqkVLZrqKLy5/KERRevJEkPUGMD4gr4XEx9gVd6TeUDClkNspEP6zYWDG4RZcvK25l3gkz
STTYcT39iudd7APwJ/+Fp8KInhu0be0+QYbWBVifbi9gKhP+hOvFbY8iztRtdZT0hc66Nq2YkvnB
4JZeT6EGr/d22RU+5GqqRGCcYEY5kJWPSDm2+9zNTi4FqvsMo8YchfyFAU2sOkRbBNZCv12OLdZW
EB0HIjGdwF9bxCkH8ORPABDRtQiEbbeIUQ642GEMOuHKjNjekQKS2wHVhZ4hDuCGDjFGKM2H+Ajj
k6SlXdApwvDe24jWg3IWbzaTO2dDauL5XUmjPL5JsWNsBx3rar4vUQwqtFh0bu4TBUz/ZjRQGVxG
GpDR3KAYkD1izvWLzMIM3AWmSmBVrKkCDIw2ee+U3yo06TLNH3wMokzrVlgygFyN/JozcRtSd/xh
JvyVvcrJDYoRF3c1j4Jr4wyGFh0mpBguJSui6y7SAcju4P8MUc4+5fjTxdhDIuvNev4QRWHd+wPF
A0GNwOf4Es9g/VEtS3ZG6MQ8Y+4BklF3VR02HVryg8KMMJu2M4dHKPqvRtvirSrm6jhVGwChbtnN
zFvgofv+XVJXYIIQofnsZlJXvF/rAsaXbahXWmMBxCK54sH/qZpM+BDQ1LB3dUjta4pKT3ZSlnjU
uiNw6GGaAaefV2Kilx0Qb9oqzTXFyOkQleiOECVQXomx/JWnEhfcCuMU3iraoAdeTSqw78HliQaL
tsh1Id3SG9nsSp1X8CxeCUiWvDsI1NcqLUQ4jYXRr5o1DApQrLS5X9DwcViFYIIz4KYHZpiJbaqG
vOLVE0eyFjbwZPf4xOBnqjoc93KoGhqxDtoX/z5VUf0Wk6ieb2sSTPKcKsVR36RiIgN0xJtucauo
7OEK2yrEr/oQbiowsN5TiDQ2+L1O4Igyjk15SsKBYAdsaWO7ZkLzewM6wPis4p1cTXWL5D3u3Ib0
I4/Xt82aQsGJGi4rdxSpz/kAeBW9T2Oz7P0CuJS2Eqnw31iFkCAkheEQgNTZSOARlOAPiZzSrDNl
rm6QdhtMR3JufuG3j34a06yyZagHfglZobtZxRyWNta5w/BBEXq1ecJk5tTMC5mHnR0NGebVirpb
qm35LrIgt0HCoAT3b/DHo9iL7Ft+7XzaLaB/OKMb4AST4UXcroj4TXtfwxm5t/IwnykX5dcSA8Bf
Y0LFV9JEMPAbx0gnbRzy1A24XFBVzRsHGrZx+KfcMwTuDQho3UTPAAjgO6Ota2XB/NNybJp3++yL
d/htK4/NnK+vuaoEg0HJBBM9WIUUrxzdTtLVMpgc5WtZmQ6fjYsTQZUN4HCrcX2N8NRYW5GHyQ0G
J/TDdVd+hM3OqLsa0jI+jJhlhFMJpOdFuepqalDYj7p21PWU8aAuPnXmBcSVdepzvYdnteGGG+pV
mHAH4Tc8m9Fn4eei8FtoOn5EmP2kSCcleO1HPncljAt0t48qs50ERrIOGokQe9sYUMfawi0TejWY
z+M9T2tJu7Dn4ZGbK7+Lo/Z1+FHnRgEr2GjVV1rV/bwc8Mgp4Zd4ApiQklMeb+57gju9HIjn5Oaw
tmH96jAdwSRug4WNHSfAH3MuppPJV7zBFWazohWKTi9GlADVsXbXN5E4h1rJlpZ1HJ6Mst2NWJ+D
okr1yGuYP2K2HtMOY+3wczzQGfVkWXTRSUbrFyeUqs4qqPFLI6Ll1kZ6N/cELdMNLaatRHmf2I9z
Yfe0m0GlcJgt7avvwUqa7Xmn03zDgqqaUz3CfL8rMDqK0Nrt0y3AFru3SLtrblUOUnib6qBtd8Tb
dAfaEdPdUqaj7Bkumlu0wwreAJXO9p5vyPjqtAfDBLHncrrCbo3AnK0CsAkM9RCY3TJyjWNSgXzc
4Kuk4LDsS9RjqMTmnpFof0E9LQ7EnSJNuLUTS4/WZCb8ysYaemCWivCALx6mh6KIJntL/YFeP+UF
+VrDNilq9QEUurtGsT/UAmTUzjSp+AwrbEDoNXUjHLHVYt6C9tHYel6rsTMAJ/yJ6Mq+xg6Czhhj
uc/jVEYfcxKPX5HQstWoexjAah/QJFrgr6yFHFjEtzojAiHAyVTcZahJjw5jxvVj0GT85XAC+xZd
NHvKIRrNWgD/wrRuBumxI3ESfZ5dhPwK1qAF7MCbDvMQIRwTA75MuLTlI7z8O26iKyOPpcCfmGxg
SXSUWIi9PSAZHPI9UJR6XhZlWxoJMx3RkIr20Iubra+zGtNEFaAewGO1xWgkKlbeQvGujt7qAr1A
rCef3RZGRUl3mA0QkcyP9blCXiHktfAsR2So0/zH7JoVJKSRu7fqkJacfNFERw/A6BhvIqLX9DEC
W3Q5kRJoL65rWt3LhNgUGA6nb4mB5SAK31RwwAXoE5Fko/xxSvIlgZarjHFTyiPB3qiUV6g7vaOf
Monld6qmaVetCOv0s1Z1QFBEslP8s6Sa8j7CvBT/P09tfaHoaOqTKSZAaC6h2bnJp2U6RwumC2ct
V3k87pCOVm26WqCAGHwc6JM1KtkBUiFVd6hmZ4r+DWf0CUSv0V7GZDcKdUiafJhdNYUzwGsUshuf
LOsrWM24Jwr1L3bOwoHbXhf6e0ibNFJJFqsTXBJkWhZseARfAgpsgrUtKUsrz3Tf0oFPudpPQppc
dd7UkrVAEJr4UuZL8QlnKhZnDSAAq2+xxLdZaYoIFzyKEmjQtb+TTO+AKG20+zYCZEXbHWM+APVk
djNM//a66WxcUtWl84T6sUGzDB+JtYFHngA0/SnFbh17p1PkQQpnEJqIpYf/KpKwWz5vzUsQEbYz
OG6AH481XBVbuZu/esxwUNWs4CkME/FpcpkT7QOqumL8mvEGHrKZW0zo4yqabiuY5Xzapwm05aTW
6BNAJ2mWYS7tLlHWg2MBYhsi8DA2OGjUYbRQvEKJOx8dvApY6I1J87dVEQcvGpXVD/BTROEeJ1bf
Y4AhyBlTw4Tf1lUxsoeI+418gKxMRRewS3DlJyE/tlbKxH9uqFEYinH4K9whuWLeP2FFbGmri31Z
HmdUDgDnR4z3u7UuD0z8Mp7NA51kheO+okd9InbElCsqsveNHqd0cA4m1ZDNlTSGkzMRKNBjyE8f
row6/2gBwPBXbMOJs3ZsbOofljWZ+YvFnf86kpT7F7j94ZXDwarmA0a84luus42f8LEQkIz4mTF7
2nZI+D4zl+zqYQSP25xtOm1DfaC6v4iV40qUATkZba7z8osT2Q7XZ0Bc80XAJj27xFau8Utua/wi
3vN8G7a61DiU4fDicQzu4V1MOffIgD0wOEKAiJ6K8wrgKmnVionOvZdAHtocJeuOkDuH/zJA3wFN
OVyaipsUI/XqbanAQIFEqTncs3Q7flCn6nQHYDoX4mXepoh34cjUfIeQySY7SaTpNM/hKI/otJfi
kAM8z7m4m2qEhrZZihnqpQhrfGDWnNG9E2tuxf1EF8hcry/J3q1NKMoPFv7y7jHBCiOoZTDNK15C
sSEYaQDXUasZZuJojFFMBs4fmJP+++o57q0D185F1+n4aoE7QWt0OAzDssXUVauM1kc/MqK/mQNz
vwHDMfYlgBE0DYiQXJr+KP0KgfE+LY9HUXp+QyJjOsBBR6fi6R0aao0zjT3hvnkdy3rsmlLrb4s1
+gYnWvGG4PQcHSXCmL8EiOyix8TmaHY3UP6xY+qvCMqWr5WFZlESqIE2NX4lR01bLBHVZtzg4Opz
JtYz1WR5TXaXl6dYLjuggsl9qQCMNrirltH8WLKEPZaxBpjHUIGYNlcqRLfLvG+uq01Wvp81cj/a
/Sian8HsGFUQpemFqKJBdKwDbjWOpPquspzkJ1z+Tf5eVF6mpwnFmuv5TBiMEmNWtsVBy/SCEMZw
xtA8uwPcBVgvF/w9olyKE+CNem0jOh3f8xRe5BuoEThu8nkfdC3n42RXsbtTRps0PM0cBj9TATuQ
ARP/dYiLCQZqkIsVfY2mBIOcai6+zusEFKA219OFED9+wxhbfq1n/wRiebP2rMobIN66WXF3ppDT
tRuyrSckfqTVoMkObHSjozd9sPtxRrh8rjtk6fAd+dy4otoJ2dlxj5XTiBaHq15QR6Kz2F04YEhT
5+gVLJfm3THa7WajUPSiZ2rYF9QH/BHM1hgdWKmLi8aSzNCMmQxcTEkYlPcLnX7BW6u03YRm7nMG
46ME3VntvwsCdUJnR0l/VhN+lKII0/4O+tKqBV2OTRi+mfVxRpDnckJkoc7elK/Xn/+Po/NYkltH
ougXIYIGdFsWy7e3am0YLb0WaEEH2q+fU7ObiDeSuqpJIDPvuTfndimZNVuGwXRgsvWTnFtFd7Dd
5j+ebYm7so766NcKAeQ+FK6efmVbP2oGjfUiTiQMVQVgTh/NnCrQK/HmiTlI6k7w8ofGQS/ssUYc
3XQL0kNnBXl/34lq9pm3Z95PFjbWfyCwaoiZsFvWy0pRhF3Hzefida0srJJ1OIU/7J3lxUmXotxr
vQzZ0ZsDlNeeGuwub3R52dj4S7aJguaQ/K4EOsYy7I1XNu0LjyD9X1svpX2wjDXMu9wvun4/U/t2
CSakxvywIGecYHEc7hrB8W+fbHxLTDQ7ZmyJi1oy3a390tn8c10ELs79rI55EboZs+HZZJTo2hsO
me2peQcgpCO9q0BAyiQNbPYgVNFCBd9vPj+Vn9L8VYFFit8YrZJWm5ajvZmohyHZsrIVO7uw20+/
AqKJ51yOZIl0WxHG06hS4IbIZTjqEmoRUdtI7oJQZMEQ97D9wGCzX+YX1dvREi9t6/0IM+nhYRUT
tZ3cyHQERWHFW0mI6F9XjKbZDbJfDGseFfgM26/IU1u1qUScrkU7XqptW53DrTFg9mXxFPkzA/eY
S1eme7NyecXREuTMZtqt26M6QH5EpohAjuSYUzcK5ii39XkQLwV0EX302qFktGya7i9+k23+KcDj
ZxLj9Wo9V6qU2T7nw3iHaZHhhOjj6QwWr/Dus6Wontts6T/pZ1L6bWHpF5Xa3pmrxlhJtI0djeim
b5P6sRLnvt5UHeOsbop9mvf6ZUXG/VMsa/QgW7edKWP6/J+homTejALb7NSIoM+ce5ucU7C6lF7g
bY+FtU4/lsjLKV6A59y47qL6WjSFOXfMGUlbQeu6FaZ2H1t15fzQs9eAhq5TvzVBXRZJ39lIb+Wg
KjsufWUFOzs0y1eV1cuZ6367sknZQtuUmaoSTqdntVn8L5STGQu1sMOErTYroclzxhcfpBY4m283
bH1B/VijvQllf3GKav6QZLp7uyZladI+n9cKHYwNsxfyQStJfrYYPUyMXfHkqLmcrhN7af/lGmwy
xoVPkqzj164br9LuP1an8Q8Drh5oAhaUhQdNQX0LtcoLOhPRsQ9tm8q0is0WUYs7S96+e2FR/3Ae
AoCUqsqerNDK9rebfku4OsL0JwQJPIRhitDKNoYKWqRL+4+U1AvEWOri8OhFqVclZa05C7jIiRR0
MgAiXppKcp8tK3fEIvt5ZMkCblhgDDUfJhj9u2hbuF8YVlfDDvPQlu9BPJCNRTOZ6qUsbP0lawYU
u1natXtmS4ip7oJG1Yhazti2a5JnToaGBl+5R/ox1XHgc4KYGs+rY4ZNWqPf8xjvvT7L26TyO4m8
4Bb0DMtGZvWxo4vQDyYarflMyLM5+o7pj1m/us/DElrl3mSqqF6rtMS/VPDjUjrUfMRWUI5wI2G/
Opk8NSW/CLIpL+yPaczO20rJeFFAKdwNik4p4f5T9nEjH45m25sFyEKtHcZ9vqisU4kJhtZ/JZ1m
ZxyicWJTVHpMqsCY/5ayVCk/dMjmZab84Lkjvc8fP2gyJ0Ei9rIdJKFr7SorDb49byF8YUG4ThbV
Ya5vyig7BLUf3FVy7v/yrYofq13bdt/Rg1onVwcByhkIJeJUqqhB2W/XjxCGRTP8AammYQcYd+6b
YNveBl6nZpenYrqulOLL3taF9YcU8vluJVsrO87CCl9mzCUydqpq7E/+uFHMerUpnR0vSlFh0iVW
cOfWEyFYBoqUQVaXNhQKDZFM9Adp8LF5K1Mb40xudJJt2qZPQyVVfl4BOvxdIKe5JqEqcEf2tOae
c8hFa3EBjKxtTrqNFFxU8yqyjqvvI/H1djU8bEQDdbvSToeGJxQa34tTK5hRC/ooIpQxXZb0NDs9
xBPBOjQQbUhBUhZh4Z7pgbCujbzt3o6zchYY15n+HbaqcB9I+QQQsZ2WlV/WsDFbZRY7BrHyFqul
FNdL9pnleSh+b/RP6tgwE6t2PKHNZLNVs9XzmQvSmxIYVcZ5C+hRkLDdGwJbkkMVHMaAkedunj1/
Ps12DwXul87GlQ0lp3imW66Txq+t7wio9afwjFPxI6SDd7TpQYLbn+RuLlZex1ek1GLc9SIN+ZOd
4qQGtLFecuXPAMpYnopYCqSVJRjqX0UKW3ZPyK3KDu6sl8+yNH2+YzOf7x4krRkqDVvYx+M49gtH
QBSU9nkQ3NfHMicf9471pK040H4FrPBGzQqO1FgMMQtmeNYJz4oQSTdP/dU1IysYdMo5EIYlX68Q
3X9T5fvjMcxNKqlA8nLjwBGyv/MXfnm7usunZ1NDczIW8no3jvobVi9QdfXBS7dCPW4Vun/ij64c
Dz53RPDPCdrgAwtsuhwWJMzgUkTh8MflvWb8UTsM5FqfhVaxxbyWTLxaQatsva53FE/9vd1axbWw
B3koxTTfR21mEybAlfDQsHfgHURy8PdbhYUBKDAc3PsR9GGmbXbd5zaQm9r1HUmjF7Zdyzev76LH
WnZrmSD116zHnTz9iunPra8K/GNitJxZyGNhKk5j1DFVYVegY+0DFEdaGll8rKMy23tdNH552vjE
D1hAS0LbfICYoyid9g7/D6hLN+GIuHEiRce1jRuNS91XfgLlOatYzkZS624efXHgDtjLhSSKAzJR
1ghJUWoYopFZuuuKVP0b2Tm5HgM8RmtSRFv/FyoWFjhjtG1QNuR2mPFe7+08Sy+E15p2P7lL/r4O
Ps/aTcx8WVdF246mesPHVWasnZny/GsRTH1jn3sY0DX9XdVDcIdOvTyDoqz/3RY44itgys2ABsiV
tJKsrJu7KZdwL3qe5H7MveJjbG2mMDM3YWIB3a5xi7DzAicz/l0myEkagyJ4cv1sSmOdEUd2G+m3
11Et4WXImuiNhZbVA3tcqp8hGmmmhkyaS9GV3lPuTNNj09vjL6t1I4qOaJofO3445vytV30WHUX9
ZrxxiU3by596400F2yLXrVRefa27zaLuwnaXyMha7rvaQknkLqm9gPXd/Vb72197ZO7eTjc433j1
LxPS/axFRV1ToXg5yrd2XSiX/W1uvM9HvzuUi26Pmx3on3ap3LNJPf88jJZ+H+zBvio5CFRUSUvk
6TZLogalzxucewDKcU8bPT+Dnv6XaagaMsqjWBckEYnKprIgiQmQpU63U5VF3/jtiPQobvJT2x2t
oDWPcHD+++2FPpYOip5Y+LHnTeYn7SpzDHV4p1rm345cZUzwLvqy11VfgLzRA9LvIYqqZ12FDuom
d+2uieShmNbhqsh20Nb4G0Dhpx5nSAS9XhsQxZj/ygJr11/uhnZo3tKekMxd3gLizO95K2ivSPYc
dyZspyaBlPPfw9suqb0XDO5O02vee5kfwIi3pv/P9zfHP5R2FdxvQ9Wd58EfFJPfvoOEDxvYkXx6
wKfO083IANo71ONwYP1iM+6zolwJr2ntYOeHpffLOJt43jB8fvQhppCsUf1jI7T6b4YXp7QiteHb
r6X1OdJQ/Ba9kG9a1PYjYnbzZA1VfemUmIfEykr3oLgr7uxmqvcRc+groj5V8rg69b8GzBLOplmy
OJStvx8Bh5DfnehhNd4NNJrMnjFr9dsunXWNq8guLhVy8TGEkUYvIxv9w9dr+G249S8Oaum/qAY4
Ch5sZJIOln9kZE2d0x0AJZZ7Eir1u7INVXzYdVcmZdjUa7W1r05qrG8P58meMgDtduoY10Wb8yV6
CSq6lc5+HHr5HvKunMp5ylEzCHSlJH9V3NtPJMTyV4k+cP7k0c10sXgK3s9bL5y5FeIhW1lB3aPc
PqCtBR9QXPUdJTK70jm7gie7lNUnl3OAcpc6F0sQ8AkDsabNDmuidVzmsLpaGjIbbkho1BW7Xv64
UmTPi48vp8oL8RDocnnZit5ZYnfonMOEMei3mFL3K597Nt1qBKozxZqYsI7I9JWsgPprIb4HaNiW
+U+fpS5/v0pzRiPd5PxmIGBefOBPYJXV55lbmoq/p0Aff4IAJ/KfGltFZ7uWglFk5HS3Y4SQmjVU
2AammfdNNfhjWl3n+7np3HtgyvZqwCOvDvxGbAK9PS7khGU78DxbJN6sASHDjKOuoo/cMylsnqK2
ZLurywDxPVVD/lyieYOWWmJh2qwa9XtcUz3ir4IgMpto/svGQSWDj9c79o0X0TR4OTsk7CJbWUlL
jPh9RBn5sOG4MEx5p+2ns5mboK2AIboy3N7ZXNKMid05/ZQnfkXUwAU2dJi+rW1BDI/Hzcm6E+WI
LZ9dY+XOhT6MGdEWCTH+NHU3WzHDNevDzbrBBxiH5/tKJzD4U9mpuf7bZ60uHgMG7v21LmzHodUL
035Px7J5zLlE+QYD6VVQKaVmQTGAyVwk3VC1G22U9m0yh7a2V9lu2Vjp2/Cx5tK5YPQo1zNdhoHg
u+3QxO2zNOHMnSAbYHr6TFGHL323VuZdsAI1dXZI9/l2yIMuDZ5MmIbOvarBoveep8IzbpjtPxKs
83qXrfWYnTK6gOZJ15QLB4CgZbEOWW/X4fbQCL8L2sNAh1Go4xAwpcvjsJvaCdtdhFfttesgcidu
PLOFXxrNwac5Qn/H1eC264pTwYNVHo5uD8iR45Tb2PjZrMgNe+DYEHLBbGmHM1hAT1h3VQO4yG44
VBg62sYqnKGF60ZPYoMtdN2iEnf2M/tBIy6FJ6ceTMo3iX7T/eVgc5ifzltnT+bspCzV+KyHbRJH
6LPcjHE4we+6FO3pyGIrKxzCdWBZGH2ydQjCfFZvowi4jMORaMkHSJh+ZI4xuFbJEk9sA+++XY36
POGuC9BBqLUvEkogoo1d5nknlZMSTl7BYu5zQL/yLpOBSRM+dz5YCGdOuPzid5GB3vvz8j1iqrXe
1p7T8fcQWDV7iJe1YNwXq0HV1hdZ1Q7pMhvVavnsj8buH1pEXOeMXbpxjqRk9NDxskeP4RkoW8xQ
S1XnD36LjAcHOVjuXqLWBMeqSbX55/u6HBBnoI5fcTKk+rNxRxvpeXYcpiLu0lGjTnlr5w9LjdOV
WTlbYJxdjvkoPW6LvyCs0ZhxXbiWMBS7NcBpokIija4WsEa64fEI3fwgHDd3f2UmD8Q9IufKr7cf
xLA+pKha4RtuFkwFls4a8my3JiqeKnDhAPRRu+mp2KwgjYl+X7dzvWLKexyifEgR+AOXnmIT/KNZ
zLcVqpMIx3UBerIGY5xkcltIZMaNjVc8snCDU3gLLTCK255wBj8sGev7R5FNzD9iJbpSRQTes4Xe
O/IJo+BkW0EJnoz9eKzO+NVHFOOgRz6P/blRivQm2mbvl1WFo/0tCz/FGTIbjCp77MNtisyJA+qW
D5T20XhsFJXPvuVHdOykMoM0R3dlDaZ75kAPKa3HvGdApJ3WdX+3luAZCYZSOGJ3w+SpeAWGrW4i
ICulaMVc4y136cS4NsbOKpok5fcZjBB/twnIzhW6hcFgDJ/aH4XVuN2TByVUPKZ2iBbeMZno/42B
5+kLxWbQY1HK4LVhgmShLraJ7OmIQGHEN6BJ2v/ru8YbztphSruH7M1SHlq1dscxGOf6jjgFETFi
L6L2ZLpFT1eh0zRN7AAIdBfN0pW/sZrKYk/I/Tw/FTBM4jAwBszv+X93XrwGIXMxLMeo1pmmE2cE
qLptL5TT+jylDtE6iVVms5PYRcXDfwgZc6tPCkXTaTRvsbjWxYu6fJwP3CkOqkGfB7m4spF2CjkG
2NaAmF0So86d4WugdiqdZa5o6PTYX6WcohahdTCFTLpAitUwIjGr/SoWNAeUJTrxV3/DHAJwa7vT
PQ+syU7cB/78Pi81S9VwM/Dfb5IwLMHSY/a6zqBB0w1FXosdL7vW//AAmuKgGtv1OOawsjbEz3mF
f1w7Mt4TlbZt4J1Sj7Da16Zr/q8psDb7gt4q3S12lcXYfx8yCu4eTVAUxe/WLhTvqp1qC+dzYDn9
IoljXDZhHYlemVa0UbxFdX+s+ErW9sM3DOm/LAwrzspklvf+qQm9ofLfndTFxBxnrE7wEzsfw5w2
SnVVeNGt0v8mjpJoJ6qpiA6eMpOBvm43azumi1vOd2SQ43/daKOmp2BtuLxzwmeeg3my6YLcsl52
c0V2D2/G4DrDn4ZodRuLooey4B/yhjUfj2PU9GW9YwwqirvAK4X8CraGdZ3sIRr1Qbce6xbili8x
s/Ck47s7d76M0rs68G0GEZWlNnkRYT9Ve5cDk5MWljG6rkz9mzO4woho3Tm6ue+ctiwvAVcsCs6M
wtGwib2fIx6mbbYPvmYce6rchWWImGLcXn26olTNicFkJJzTZK+ta7/3Ewfu3yxwm+xTl8R1uTCo
xeKbGK1xGyCYWC+l42kofYigwsAFLTZzjL03MVRw6B3nwVwGN2I6tZ9ZuNTeaWPjsiEIqQyG3UAQ
av6sQ8RpHVfh0gAaIwNW8Sr6PPruSQYcFBN5keUZCYGEYh9kX8jZ2ZPI77vTY+iNejtjq271H0wR
qBx8Clc8ty2jzjs7BKDOklYomrR6Xsb0Bbe2YaPAzKgijTEIAzU3DkusrxVm7hKdaFOewiGaiuXY
U7b+521+Zy7SpCROiMkfkUmCLmpfNyuL+l+ZACWQnGtl1F5QgYxgDokq1vRYPmRKc1PyPWVJFs5I
nNQ6nb9bVFiWRzr01od58urqb0VaWPbkk2xR/4OU7LJ/7nxbuxkPhvxxqHYAtpUSLbc63Fqdh3ET
46CbCEfVHjPYfFIf+Bqq4jyCpjaPPgxC9lzZmK0OWyEDfZ7XwlADbcQ8VWc3p5Za4gArIb7OcPMs
ZGPwuu9JGy4l8vQMNc80D209HarWiALDuInW6Zh5lq2apJgQCE54NxHi09titas1lr7ed3Vv/6y6
qspn0HxvmOBSefcuNQzXpXCYjlKf4wH+1YxRmP6FTB9nEVcjFHXSQYIFYeKnbdD+sZYy3dbTqlQw
fnia0AodZw7pTbEimoQgF4QcpvfhpEqPvF4vpMlanMUPkq5W03RoozzsvuqeCTuWSMtePsEsJo3B
gvvHfnPBariZhMybPtES5OyhddYQqWu1LXW0SACDgJHtLBgg2WV64PbnYJ2YmCNRhZ1AV5wMkueh
coobLIYu6iKiW8R7287SF8eUgmk8NQE1fkEJWJTia2O+Ac2KuSb6lGNDSsOOmWRqlngMZFH9R12v
gHXJmKVV8RBh07vVNUFHFAcT1hd0n9HdFfDaVFwIp/pJAV2tHwrui2AKwXWdNKHw5V/ul46zEWMZ
eappzhR7ykgByGO389LukEe50z3gtRT5PjRrK/9LAyuYhp20ajkfCiK6CmoSmOWFH1D5/TcTK/b6
SuKtip0tJGOgGLsdBtzVqxzYbpULQgTGEBlDWJMhPW7QU8s26lQP3q1cVu27CKYF0N4b86ImK9IE
2T+TcpxBiaqlmt/wXIfrUTkkEQCom0WRKk6BaN+MY7gZAQRpSRy7dfWfddPpbCVtNVFLjP3EC+Jz
DwRvBNvPxR2ADVbuYroxAX0w5vUpb0YL7oRlGkQ0mKF01zdpWE130yf89oqXmHgHERRrsVBEYt76
TYBI3x87D/PZyURL1Rie5FYsr+RKINsd2nVgGrN6E86io6bqyRIWnzr2ehAzVPGxDBVdLr/q2TvW
3uhDUAIvOS5msmFJgeKbVeGum1On8u743rf1YVwytz1IM03RH4yonFiJFRrD8hOVO+tby4LaLwgw
+dVKe+EWawGK8rti9JgA7kFLiWPwnNHOrrajBa4vnvOihxkxDJ4S1gpV253Jemf4pPwcuk9nxoPN
Wl+uqvmusgSuTwqxoE/WEcd4deZ510OYrFRVWGmngAtU0EJNJnyzSvwV4bET5aggRtNiY3dUpQkG
D9toGQ5dOazm1XFrM88ApXOmJYpDC7F5xuM1OsNpwOxXGLKJtrF5tAPebM1sf9h4hNue5IVXuHuR
PW30zOvvEipFfHtsl1v+lIqdiueGgzXfoEstO/rma23W49r7MFA4JpdCJVbdmgXErgvpo61Jrttf
QsqwN1GsTdLhTQ0iuHAUsCwXbuwZQ9fPc9hNoosJvpAiQnKEzOb25sL1u7uNnOKh3zNjDBoN1DBM
vptIb0GuPklK8eKd5QkNNDmIg7f8F22qX/8yB7DMX9Q633kZsa0G/7KxnJ0fa+mGqYxRQmXl3FfQ
0/OwTy096WNn5QPv9zBHUxBySanZeIm9NMRI7AJATxwtlWXy6lgx5CeLwcHIfmrExE6poK1W57NR
kz1dyTHtzEup29B76DuR6pceXbX41TXgXIds3qL2wUKC82NXyIIlO7T2+bfHxD89eyDT3CPconYy
sec631mZZHuije4j3zeG/v6LtVKzEnni6tvfgLB9t0xr6PY3bHJlnVbPFYLK2biTrK+psrbq0/Mq
L3rBx4Zpnz65dHRit5zIpygtfPvUMdaS+6DhBLoanovuSMKTC93TWiQFhxkLKJJ1wWh+Ib7Dmm/J
Ahs9iJeP08KhtHbSfYLF2eTJt/2IoScZN+Nojn0YAcugdc8b7h1vDfLLxAPm+wnGgaA+o0V1zkbY
tGScM6otF/saxcYz3LkQZF3Ceo4M5KvxQtH/ISSmrsbdrJCGqeo7QSnazrZeRLIhXv2/VVvwIMP4
FpgvYxY9skYphtB0xc/sUo60rH/00+UIOjnnD16H3YZN1JubHVQ1KO9k5M2sTPYEvcVlWDaMXZjT
m/GGpPq4r+/5rVkrXbFdt3AAs+qcM/ZrLQ96E7Wh+Kg3nP8NrrXwnhpM208TTrm13+PBt/AIcLKO
96bofH3IumX0WvCRyPK/KdUzwsOw/tKSDbWvd+ja7LakBx1H8UUD4S080RBLy05KcPYhAbdURHTn
mDem4i5aslxjFXW1Wf/1aZ6X913JgXXOFnSNq4b/xRjInTURT1LadjJoP8wYIBZKF5cRebQgmGjj
MGNPWsdgm4yYLjts/MHoecr8tT8O5FoNbz3UyO18a9zA/6hX2vcf0hLC9n30dYWBK3WWAMudRjf9
wERjEV/iw89+TE3k9ocu11HzBSew0j1T3Fv537m1pvYZ2FFQyGFL5DUGuXCmZ7ESV4x4ZmdbAmJZ
1c9hPd64FbuzKf/7cMQlOfnVLII4arq08++ypgKo7xUsx2EzxTQeV7Jd8r0k6cIjmKEHurgrVcDg
LpLLUr82UrbRY1tuSI6zGfmsc0j1ZiesXBvnX3PG19tS+3icvce6YM50qRiIl3uP7z6KduWiInlU
Qdh/DbcEAHyd0Qo/Mrn2/B2OhsjGC2M+VCaPeZN1pJ5mz99d0OL++52GMmcgD+vXUvM7iA3Fx0Yk
wUzFBjBbUtj7UJzAainmQQCJVnxVBJiaN/Qoo98RihFF42Ycsvke/GDebv8wc9NmjnCbONowxs7t
SK/9o531qgz2a9TYTJ5T47IPBIQVH8ukLRcje+eY9YF7s0GJEgZPB4hlUw4TNuMok/QERekNNcyw
CztQMNjKH9JIdmKHCdT038s6bO0JVrvJdyr3ST0IKXfAi3I1k/rJcpnR88J4YSCPutJF4dLfy8yt
ovelbSJIXtmGlow5vrKO/sMhoCdmNrZ4+F/Cjh85xFma5PjewvdNY6/HXpmnHGv73C5YldR7jcFD
3nSBwFTmKVtvSWOlVSgflO1QeZxL2bHU2e8aZ22fAG/GzHuhsXJZL83i1EC+FZHlzuelr0iZnvl+
B/zAaxQwaCpy90ASnuU8V7XOzbO3MvZ+NwQm2L+sEOXzkJJOUl3xDxPaOllTE6axn3mpT55C0IYP
82jK+lLmQ4MtVOUyHPJjtsqZVYe9S7x+AZa7ZtC1zW2pKIK4U9S09p4GXPzdRGPLl5HZ9mUOI5E/
4oJraQX7hlIm0RhB9FFMLapwDJGIsS/xVYb6j1yXEU5Qg15kGDvKPqBtxUqQ9tse2ZfxaQi3Tx8m
cl/2e4KcpuiRoW6dnzhtkKEY+Akn/Gpaqt5fa985jA359mD9MR8yEsP5a8v3UayUy/Hio6bHZC4y
V0YHCix+ZFqv4jxhOJVJwT3VFbtcaQaaAVuWnJcqBU8yu0AXavsy5F+Q/sYSqAZIAdA75dFypR6n
fdTBlUIDZgy69yQEgcrV1hQOTxtSFEN/XE0R3JkYCbcMVgVgThxFlZ+c3Jg6u79l3fT7qt9W8KWB
Nkw/lgwFrPw83uqynEICI6BOxsk0gEkAm/4Yqos/T/R+D+0cYVGAsvfM+I9OGIfkDqnnhltpv6iW
1362yQE7sDTd1le6/tX62YYu6tx4jPrMEQdHLuXIVqCx4RvdNoSHBI9uuj5XbWbVL6S6hP58DjZX
ttUFp4kpHjDlFIeG5rv8YYDOhAmtCvLOYD0lQcSxxzd79kfa19bMfxdMYdyXaptfmEuEwdFqmvy/
TAGhxtvijW7A2NUaRB1vHF/uQYzR9il5Kf5LJ3KaWBNEplhMS+leS7n08z/Ke/tJSZ2jYo5ZZCfe
iEUJ01PnPC4DM6pDJdKsPAtGToe6WjMXd+YyPE/2jeUAVp6C3zYz1YZ4kZkcGXAhaMoZk3Lx2hMr
qB8ybuHyz4SX07LpyqNsYujkDO78zjkbhG5s+Y2/fvTTSoUR0yrZ1aFhNHdjUZ1xexhaPIm4FLd+
2tm9PdD4yOnWEaBSsGAZDxAIbdZBLDkLvnJYa1D5w8AVTx5GoIbgmYvH+lNVGdQ3Rh/3MntB1hwh
nGnMJ/LAHJ7Rho52N5YOrvcM31fKsCdHT3frdXMShDr9MzmaoPsANuoNWseFbiDr1Pk11CG7NKoG
2OzkjW1XXopQuzYR51Ht7PUwFONdDr7YPXvsPHM/oW6N/FS1HJ3HNGSYcRVsIO2vOaQB0TCVXzv9
JyNM6Z0Jxaou7dAtzNt9HUUAN2S5HqM0Iy2XDyvKc1GlqYFEVY3v/gHP07216wvS4M6AOEFxyNwN
v5ZvW5F4GPJqYtpdr3Q8MTpvuH1kpVfP99BDBEHM/4+EJ0k6e5LwoV0cVibaLlEtfPMluC1DQ7nI
UJOpis74N1hyY49wboRsTXAn6HNoClOneAJ5V55Li1krY8bG5LlmCBvVwbLnF7dENbYIUAk0vaaq
o3Lnya2E+SKDjQkpbG6qp0+XgakEOQuZ39vlIOSVMsq3rgoAb7wKLFASOLRsyvFTel4nLlYEmc/4
3Vsc0LdomPqTwxDf+xZRRwYcWxK8+WzKEqdpGzXlI6Tpoqm43KDc215PwUBdM3OqhDBcBLuQHFPC
ufsR51Ru8zfT1UAlF/Ui231Y6cU/VEyp5atD8iHGwQJTa5sAh5hvmuZlTkK6cEykxby+LqIozGF0
ZpeEJQUf+eB089bcjBn+E9vCp2lf1UrNwA1FVjzN6Ry5icWNnj2s1XozIMzF7xyPzoOCR8SFZ8M8
7/3KW1+6ArD6zhWkcF0XjkhErbJ3LhX+JUpkig5G5VuATeqZIR0OTmKaLPfYObiloc2ZmD/1bpme
K4487EgjaPwjd08+xCEHWXi6MS8yJmKitXkSQsxicvR9TE0EmZhHiNnS/TuTKaFwi0o2/glw1rXH
yDV1A6Qx+WhZRxqxrCBKenIBjfaYibVUvWwhGYp+nffs1mULgbJo9zkZZ0ny7K7oLTORXiFERH3d
2P84TyuIpA7jXK0vKodglUfMYxnKK9OwbT8sq5KMNZ36T7isTjvslrBrvgjuxDycB2Md3pYZGhHx
kDLBwCGGubWFZmyz6cKWxYpfeuoMEXHwng584tqbTPyPo/NachSJgugXEQGFKXgV8q32fl6INjN4
V1BA8fV7tG8bEzG7Kwlz62bmyfa4wmYxj4A7SFBxth7Mq8nwFYOjaQrP3Ldt6f7rXbf9Sw7U9g+R
H6Z3YDbLdVfkmqnKbjijcFTmSIgnfKD/mCRYPn74eFenfcqwdZJpDiZ6TKwK6MSau/y/QVK47qzr
YCz3CcaVJ7zwBYEtksMXuIEtiXGM2s6ez+E+Ee9qvhxHlPmx4Mep95VSPjsFsIz0yDKkWGf+5cu+
sOSaP3f+8n+Mi3HsnNg0vm7BHCD5cmjlxmWvFCBWzNmPWwXTi+QJ92MJLzSXvB+luhtbu3/lEw3e
Z1qXg/72M1ZALLXHsjk6+aTaU1YplNG+7dJkh34MEyWNBsIIjiEAjyrSlrsOwgS+8yyv9aPAx26O
Fqtp8CVOVaYXLq3mm7LiKtivKk+eNKtAd9t5TNc7UJ04Fnt8oZp1gZ+FW7jo+KlT6i6wsKjBtpsv
U45+GnNxMxXlHA37naBzofwumwqSFIutZKgIRTe+KMTWRlXGmR5hpiRl1ldTcIQ/nALdCAvGQiIE
HTeS2VEn1nYxSkxfb5eJHfkfK/e65SR6MCEPtp0m5oqGokEV/3ZXSUANvcOAufa4WDeFPaDAbSKy
dsVOl7mF7QwWnH+XojD+ZV9n+b8anOmHGpy8eEYHxv4hkZvv0Aehw4brTJlhlvCWT3vbWEe2nOEv
q6fqHFlguohieFlHeF3Kx5SzeLEPhhkgC5lPB8AyDOAaaABVz3GlYNcBZyFAjXmWkMa9S7KVNWDS
5wAHyhWFnfdqJ+IJlb9/JS+qDglLb8OIVYLUgEzY2XcJrJzi1EY+ruLETVf/3Efc/ujwTnif2lPT
xuOCvnJmYzhVTFQdbL6pdfA2drxotkQ7xw4AgZnvBJbMKW7hfjl4pUL5PHMc6/aKC+afBUH1Sh9o
gdwmGFLtfVQmdXLIhtA+1V3VexdWlmQqh/KKeuFolb2UrHwA/XFaEDHk1fBgEBhZ7/uVQ+rboqfw
tm9kf2/TgFzFdH41vzMXDprsRMV3wBaPdggEdotmkhrhduPkjROwERm7cVs2sqSoeIoGeWQSQBid
5tLGZ4Z8RIHVvKonngY4eNc8G5Yt/KIVgyXKsxsdzNivd42kc3pMZq86BFdFPEC0kYdg6QYwrRGB
gPympZfLc/cNP1R5RAZJOSRz1nJ2vTX4Up3DjrWL8+Z0lj/2OwKFGV4A4iX1n1kHTnEpByK7B6a2
eqRhNUh+DQrbTaKdsDuMcwHiziVt8JFhBkco5cz8FsDy4OjH+EQRRsB7wjouQo3j11SRnzkwaa7N
Ni18HoWs5YmBp2UguMWYnb2bFHihvVtZdJkv8CeI+t8IkA3xaTupswrKYJfY9J4SxQ1TTBJ9eGPz
N2X9gvLW8aaRPY8MrCE8wfNHR5saOdPJcifFQNRmyWIM5uU0rd+qIVqP7eDo9KOy1wSWogCKNO1z
ZRpFvAJ77lbPARCKQTiOuxHuFN2B1dWoST02kT3eWzQjy7JACYUO9xvWa0VlEinTkoA0r68VT/0y
6o98caoFMlC7lFsXSli0Q/cH1atmATKHK+RsE8FUx4mCyrvQ5HLZytpMtMZkk86dJ/pGpvJ36fse
BSEJO8A9AGYc9x3nFD0HO8HRqD0JJcFLjU0bffYoL9GOlRxb8LzqhD529Ug0PExSfSZ95oc/oQH1
8MEz3mQXQBNqCyLMhKgpejnlfJUsRuqwKd/xZ+S/ogxoluYt6hv0h36+5wy/NC8VoLl/gybzRxa5
q0AOCEoLN/nQDGW97fMZIzGxIJNePPyfrHOKGcyHqPHnnATkeFgneW2qw1xGi783rarMcy5oBUVI
jcLu3AMzzTAIiaQ/hKr2Sdd2rHU3xYqPll0w0NeSlSSKxrGbswUTVghQIsU/X+wx7HDalPNSPQZW
abptPoqy2y+Z0EBQqpJ3ZxpGs75duqI7d1zrBMzkah3q7tqYp5vefkz6wgp3hevry9qvDubvlTv7
psJOSkq67fWpcInfb1OhS1z/JscLmiQOEuiGFpcOd+Eoh8tC8JwT1GqpS5P2BOeaiYHtRSHQZwcx
cZDZSOMX/p96JGa1KVn4//KKTR/CgdT9gbxY8WjNlgf74CoWsXdWi8LMhAZvbWB3oE3NzuL/kcE1
psK1wsmdaCGElZ506dY4ffaggBLw96cpfR9ojJu3hCmc6g97du1ucAOud5CMxjRmeyQxmbK5g8VV
+fjGIyk8nLwjuaK9Qwi7i0MzWX+CwRoXrBUORzhdgHEjaj9+L2YipXVFNOBICihqoyaOQHmdc1Z2
qAJ8XVo5Av5wXLxWoIvnPwGb1fy+KuxUE1OGIc7MN9ZqfGiVEgTdCRsVh8wOmGO1NZFBoL2rQUdY
6RNRy0B2YImgR5Oxq/ODat1O3/ZMuvrYl3P6PRU8hNms2stLaqbZ3WmzgnDKUe96wqKMwxsQ2nYf
V9S+HKGFT2zrs0K/RGnuB/vanWe9n4u5/8kiBu3roXh8agrL72JXWyTsOD+40HTwzs7kh1fvvcLZ
X+3K0rjlZskKLmKv4sW/4SQ/f0RpJ5tt1TRusQX0MKF1dSI8NGubkwLs8kudmup1BDOBM7Jpyj+4
C9PqpgOA++YI2Dk3IIvcR3T+6g2szoqaJ9LhHIaTJlWOEQff22pmEpTJsrrVHf608C+KaipPHqi3
+Yy/ru3vosBvTnroMJICiYheCVtDUp8qotQ4r4rO3Hl1Sqw+L5Hgsmkq3B2igt5hKTSEwnpdsdKh
6am7oroSHL3Ai6K/wTTVZt57nOenfdH5KA+JAMK972glSGLAE9G5TDCybAknlvOxnNzgBBVxPDTV
NJI4mLMIu/bMcHJHoLK2d3lrLJLcHYUVJOBwogs8toec4DhrLrx2nPxWU/LsKaUd7IGRra9OUgjr
NmsRq67cc0UQEToAN3ACI3se80/0V5tL1nRTJO+qoEisJ6Qp1KNw8dV4toPeHU5Ln1Zqn+P+tjaF
FUV/lj4BP1Ex8UHcXQQZrGBYUvtIJJLTb9QgiLz0ZegjuluL9D8ImBchb48Bw4RdgmreDlo6SYtv
3OBjClwj0Q1X2TT1tkvAaUMaT0f96YiI48YmGbLxdaL4i92vM6qtHi2ZP1VXh/BmbCKrvy8VRVGH
saKR8LRyHDeHsbAlaLCpx7iz9iXn2WFgdxGvGO04OFKeqy56CpvmZ4BycD+PnLoviYIT2zYcHNjc
Zh5s8M04FEFzYcMPTAy23dTjmrB5+M+G2OO2XdfisfRk9ZPwGZ+HgsMOuX6+SJaW0/QCE3RULByr
Ff1XGkj7gM6RBzofE7jbNZJVeNqVzTaXa9gdA4Nni8daGTlnJSN5XgbjvvlhXt/RUQxMx8HS9pbZ
AgqXJwV4UpaYy7NhfIL5Qqh8uMU1iWaeLjg4CaJrp906mdXIr3WmEuNMxWCYHfKBMzmnTHbD2w5m
HclhCxIiKBQeN8VIHiMWHkDXjQSB84p2yw9cmCbhuZBNy7gPGxs3P0bAwMZjWefvE4TdbMcT0L+d
ydmXcT9XCNhzjgZxwIvK4AnE0GOq3WQ+a+zD0rB53kXM/eYWTCz5N48vVJ9HaTnpU4ASJU6LRGI5
kiAoPiuKcvw3h/XaSbOLT2j6oNL+lkvLXW+sTk/feY/iuKkzZrx4des8OwOfVjV+h7n87nyrfKgH
u8SEFwiIcfx2nHdKaRb3InybkBCnFrYj5MJm8wk3efxXCMOTUfapDr50wbIsxs849buigHUYW3XZ
lFvKNsd5C8y99neaVcxLTXbJP+ZzVw7IxnlaPbKunuV7L9k6vlV2JsLHeeS22ZacFMdzVyjrc7BE
FRwk04V7dlb2yDGyUZjFNB4kZCZyb32aZs6SMcxEIrPNjOVs04f9MrG3MwN26Q50u9xgfq7MO84j
R1zw3orlBL/E/tuWeeSdhR8K+4P8qn5qxyqZz0NeT5IIhOMM8F3x5T5wLKmSl448QhJP+NSXnQIH
+7TgBGxRG/RwigrW7c8tQF66NFztH8pmgP/NaA9giThCgSniE4da4N+GkHbzzRTi9aQ1jJKFYxlh
uiRpV0TlfrBD/GARykzswYXeARmnclPnnuU+qJkWwUtiBN5QQIB6iRHA2CjWc7Q8ZialtIupfZxi
4+Y+eAvltGncpk49b+ouqXFl+2DusKf0Gcke5gEIiCpx/3ot24JbG9PVO4C9wj4kaBKSn1yMT/7M
+2kbZK1YKQ/pivHXh4WGyhexlIFFy5e9q4E846sZcoetyjq0/jYvUJgvWc9OT/i19j7k2Gv3O2Tw
PA0UIrABpIWm/AHv4w4xM05LrEB6MJaXZIzObBkcTvRr3V3ykZLoLTG4BKxqy4Eqzih2QNEsBvXZ
eE6GVN8q3yc5LPvvqGxgQqjVUzli1IjZH3zv+mslLocHMNDe71qTzrhNZ23Qt8IyYf3fcprpBy04
pXEKbjc0eDCpQd7FMDCpyuLA2kzA6KBuSg7rlVcN93SpsKtBs01l7JezAVw60OOosJwrwEglvSKc
sNorYxAf1BEnRMI+TGOWcHJwe6hOXTDEdNM2PcsbR7wyrAeQ990GkFhZAmJxM19vBG+kf47BUA4M
V7U/FASklFRwmuApnLCi29hTMj6Q8tS8uHk3ZnAiw/llxmHyA+IdOkOUT7Ph1GCDA7PdCZezb/zl
6DAXLzguYQ3HPZimxwHnKjbBCmTKpscs5G5BQOrPrFxBiJYsrahW8eqguM1XCSlDdhYoQMuf2o91
QGu/OoskLKm5fqpWow9cMfB3YBxYjz12mYRZrejPbhTZxCh9SzRsV7X3z41sNhqW61b73JTWN9Z6
DF6+iop7vXSI8gnkro7Fb6XeMFnAg5UFXWOsQcUQl911XewQcbjGQ8CFbiN3EW+dyOznoZ7aZocW
jfe61LXgl5im5ZcdSf3qE/zzIXCh0mxE7WoadliawKACtFdDfQt8Yqn1+tmWffW9BiIDHoo+Qxle
7ZFiS8YxYWlXBgHLc9aqG8cN66dsxre6qWa8tny0KfgxIFSP/GgBbThQO3pyb3lu7e0s6Oj/Nlef
bV1m3UNfdyIl0Jmza8DlNtJfYiK4uzTCrlXscDJ70U3QP/DWrOAR+il8tNo0FNcHGK7fahuiNgNk
u77rOsD/x51ZZ7GcgvA+dyZmBA7ZmiCksEy10Y7AHwpYswWvkxCq2yckXcKYzuba4XBQsPzG99+9
TYNYv2AGFJKAJsbpFK0QmLw/Zf+uR2MQ9au9PEtZ+tDb8FkxwfF9M66lrD1NQ62H12qLXJshl2zT
oHHfC7mA1gXPG26uTssDNTNNRKZWEWYvWITkccH9fAJnF/ZnXpX+sMngWJCPzUKsrTMRl89ZlDP+
d4ivj1MpkJSqJgl/KsKzMEsCgr572QXhm2NqduYV4+sT603+ERPrtbAmH7gxrVF3cre2ErbHAGRv
3YkwqR7z1Mm+On0FDQYlklrTu/CQVTdwdQG/Se4CpyY/zODAG4Uvgre0SSLmaJlGSxsv+fUUUjcN
A1IlgjbdtZM7sO8r8h4fBd1grxhLEdqJv1yj1yZSp8nBFbId8Rj8tVYr/UvzjxKI+KE4JUG9vk88
B3UcDZX8WBZLZehNef5KGHj+qGpfhMS+PH0fwkay49adQe1NNm+tTc4p9jkanITdbaBBBaFec953
C9zq7CBwIJKjKv1zIYf2PTIstM4JX94PDkK4IbDjON2vZSbPEgdrvq9aaAjo/6PeNTqR94FvLL0b
/Dq7iHrhkewuSZHB5vC7+4n548fk3C57whiRtaEzSdQ7WJFoixMKBStohF/qBwKOoGu3oDdpf5nd
re8rmKroUM6vk0kHM5+3+MMx10PyWNYuGIzJxXK5XUAVt3HbjjMQKpXbXrWZXSG4WOzZO5Mws74i
Nk8R4/dS3vFdIlkPVD6eUL34BGR/Ur1vaG/ieDUs3U3LLNFuw8jFZX6ttH52E3S0foO64zAuAuYn
3E5wmmwKu5/aubiZlQBO6EBsvRcYo+Q+HIDzEwNiXaIeKoUrdkODEndvs/ZAJhCY0/Am9fPwG2s7
fm+3Vf2/ecJ0QCVIO48Ue45wPH9WBxKKt6mdToV3VxoARjQuqxa/G9tpFxM/Zo5GHGZQ3vqjwv6v
CB/TqLAAIsK0RJ9Mkh+xVXesEfAvTCNNrzZT7of0Dev5veEA6R+ho6JmIqaBG0bE5pXTZ+FyRGom
atVOyhwLihAK6Jpl9uIRnS1u/Mztv3IVqHAXZk4FU7kPsu+OB9MXsygVXe3YRhmHa8bM7dKMJFQV
q8nfKOqCNYnrrJdje2aEc8MTO+COfG2Eo5avX/lKe5eJF1H9lzoew4F2HERzrYBS11MM1Laa00QX
6eiPdPCKbdnHpj7RMtSYg+ia7OLWOI7j6zAHob9aCKEZ/P8kOCs1FPGas27QVeaQ8XeT+Qs52mOo
drpmuRh45hGkeEF3PF9uW884hkC0Tv2TT8CiD0j1SLo9crwWBJdT1jMnvSr1WtoFf4/6CdPd5wu7
kI2srPArSoBYMZURL9g02K3LhzktBxpYyqT8lmxbo6OWY/hqqXA2WA0DkjRu3ep/vfHIh9XAIvlh
LEi8tEBzoN+B5QvVIRr69gXHovI3Ws8RmIpG1nTjpGqRryMNhi8zqG58BG40mKOzuGCsU0p0zCEi
SN3t/Lax6+0oR/cOuUePPApYudLBhl2nv5kdlY/fKQqr/dfCqi54SwwVfB2C3ofZXYKHdGbZ+t7l
M4pz4drdfGrLsCYADimtrWL2WHn1pZE6x2HbZOSLmSlMSvx245D1sy60yXBzYZCWv5MeIf7xUazq
kjerGwFiGXyU5KTo/ZshxH1JiVKeFJvR8zuqpKA4DeKebnvGwA7e/wp/MwswwbllWeD+mGcTo7hl
sLhwhdTLrrOrRAHpFqU73/Noyeq/Phq3OnrsbCn60Cz0N1CD0uaZPHtrnpwiME8G9ypbqmUKucHb
AFgh12o+A4FfC/G8snjPeI1HU/YKyjla3rOhmNqL7YxC3GZUffO44/wDPIGoQHKjsfFRZ1QThdvJ
gGQSaePyf+2pUPcsEQoIR11Rqm0XugGjqo+4smHNngz3oVbGHPuqVTe83nnVkLWbp1+2YdQZ+ViP
8BuYBG+ZboR6TU3RyNu5pDF0a2v+j98rXbTeBylSRz5KUK5827iR2bhCxsI3RBOWvuch3jJaE+/E
F0rVhb2ftU4PTOO5jKtZoLFz+el2U2PiHb6wg7MDhWuE3TExM3s7ID0wI9NqmfpXglKAL9JQJfoO
NaD1d61mvf6pV+6Rit8MbO8eO0OVP8IXQxzxAl294Zfsg83Ym/k+G2aIRs06rbhDwbfKo1v53XKD
ntuLt3bo1mlr+SqgmQTJmwz3nNhO8Q+dYHFPirjF+DBQeNe9tW7AZcIahY2Hjxmbi/53RtLFSiRr
nBirM0jgoRqbPTWYM04dDiVEjjaw5z1SMyhH3c2gXI5dNSYf75EyChW+usC5yLviwkg+QxFk9hMo
wwncl5vYZyA0St5pzCfDpUKpPbD2aBoM+PgWTqRKgPasDgvJb9ibPkIOnmdhnfLJCooXBkY88nD4
K2VPcV2QYXkJpWq8F/JfLvRAVnCk9/BAWvEAsIKwIBFkG7Q5zICXHBtEcGDct4+4IqrwBd2PDi4H
S2W+7QIjHmYO++boAzu4zHPqvCRRKe8Hi6DArtRNfvYbm7UbckUKTiWvGZaikUuf8o6puiz9NUwS
aGSzx9pCRj+PRG/I8pIUIWYwGWg8OApH67Rih8xIMNqgCO/dIVXTl7sOs7lDQcKlSYN37v4pHQTb
T+6pwt/h8cTtwUnF5xWuK+ybf2iGx3Mp2TTQ3VZJNdWU0hsCoQy5kkDERnq8m8+C/VZ/27QI923X
JeNtH1kRZkDbyyZJGC0imqpQ7gkfQJHOIqTgEZ/UretG/Qv+puaLM6xMviI+5peWA8vMUogSESVf
m39E3PC8Q64UyEfLsmTZaWnT7BED9ppuR3AHQ6yhukIrQTm4ZdGr0OT4lfIq7kVxfRz5BLni3qrF
1i+8vn5KTDc4e2+tOaeOC7ZVcCnzauj7suW9H9Z+uC+jhkWBH2aIEM20gO9I6j7aeuhJXHV5Prfb
ifex9eazzQ0+xtF6TQnbkKNorYMneVV4Dd/whh4IEd5WHOwmNjpuy2tdkS0SjKxRZxV0viwrAeOx
zFEmVY+YFhq5XEZBDTVjGuRyOjeiWncryYWwvW0rW72aXnVXfNvq2A8Fi2LrVkFE9x4A5ZfeQXO3
q0NouOPeWsF4tRkd+HJA5qKpPBSjH31mWSj/hriHGQjWaPot66Cm22HQnbiaAZtnNQY1ZZt07TQ4
cZrljXMtdg6TT87Fa3BJ0eg1ZwwjPSmtY8LyktQ17STZyel8YEKYI0iQrjllC4ec9MWXxLNgnq9M
A3Mf4TeFbNqj5+5qk6d5HGAqLA6V3edUe9b9TxVVdss52+rwTFJk6h5ThrV25+Pvv/QRiv6Wpbo9
s0/sxAxRlaQ3Fueyup9M7yMeQUax3yDgQKEDTs0RcJK1WC/LWsDmddyo08c6GLp+b2z27fhyelHF
tLo61rEkt80B3S1gckEdGIOYKkZb7W1JwGmboIA9+syRAERBHQ8DvlWdcx0aqzHv3v/lMkW/5KRs
BTVvt7jrlxOTkJfdCtF2H5xM6+EgnMAHgjBoeOypyIYtCa2OQA7EtL0bNPPeknSCbOjKNcu+HiKV
n+qcJSPkEydi2clN027GYJbLIUFaqu8cJoT1xveDyd+NiRTXWo98Ktqj8DPvIdGT1336OTXRdIWY
QR8QcuVbQmkY9LUKqZNEdgiEDY487QS5sMaZ45IQr20jmai8oA8Yt6MsDbpHzzjVyQuq3IJq6w7r
3mE51j0E0zr8jbC8ol4YEzr1zdCmZqvFFX3NdmndThZ7+hsWtSgbVku24WGCxk/PDVmLh0qEXb53
GDiuxSVt4X30+OUJni+59eW4NtE2RB6v3mHE024eT8AmqiPKw/q0irSPloMgieQxYBPPF/wcs4so
766WdYObCWtIXSeMmmlgIcHC0CPxqcpiz+PEesC82DlxO5KyjmjzK4N6FwaenOImQ03AWK1cTqa6
0X/MEJY3/oJHK45Yu0eHQLtBDy0Jlk/AKCmZcGNTB4o3OEkAeeIw7SzY+gNeBHMDnRg1ZAU5sCJl
BlmE7bUJltJ6z7Af3ihdySUO4OOYfcieaGb4wDLARMkkDMhoHd9X8kD1HhceRORRgyTCOtw+8oCz
n2kESdZH1UsGPGTNtmFWWoibVd0Vuez7tQUEoRo/KKrDz+FgIcIM2ySvCSa4P+iIouA3XFhg4IsS
7rGtw/re6b32q22utJC1B5HcR5FxL4U18PIfV7HAUSpa+6buHKO/azuPukeb7OKegbnjTG/8oHlx
utpPzxKNuzrbLMoOXu4q3BRLI+zHDuUQu4cTiC/PuV4peShmev5av4V74oYkPA2ww3kX0ESSMJlo
h52446Tddu1SoN4UQ9IVhHzgZs9mmRJvW+OEkNuFX6HcXdmpHo94qjv3nKBMw5t+VMWTMvZkHzxN
4eYG+gVLFiQ18BmTsMnoUL6treSAjhygGQ5pIv1DMrG0RgcZ3PXJy9TyS7FF8LdnJLpAgczwJgja
qQ+DktP6io+cacN3luRX6S4db5VjJQ88cCBi4VkewYi5oFo37siUf/q/EuTDng0vSOzvKhE/1DTT
7Wz3ZEl2gMl5ctZd1lhf1kCoVwhVhvdllvtv5Dxa+xNdtQmf5obnJC5KXoU2xclr58eOb6/jp7tM
toVgdHU9bLOsDxOMIKSWNzMnAMzxddapUw6HV75gz/FAYaGHsuZfPeLesKMUwMDCISkVlRrouPZd
cOk2fwA+1SenA7WqOc+OTOctIf/qgstvSG/5iapP0pwlHRtDJyfaHdrhVg8gPGHadtN0MzoZJXKb
zK1Tbmh+8uYrZS8UfHjdMAgODk1JIxcrV2zqnIn4WTS/LxMeCC2PZ09Nz3YISuBC7g9MzEiG5Q+Y
gyjkGWAn00mpcGmOlcSqu/cAc6pzxoTnH23XT24rTpLrg9et+D0GuS4p/SCZSE+cgjFib2w0yuTc
X7u2H7ATrOvBzv3OvtcuzPEaOBq6Bp06JUHmXjOlNnxaoo9lJPzHxi3V+ZqPXXftVSAAlOE+BICr
/grDLm07YZDCKExv+Jbwn3MmERygv7Vhmg4v5TQP089o1UMz4vlS0jy1YVZZOzUv1wtdiICjA5PU
SypKmqA3MxfSF2KcJT6v5gZ3B/0wcR+cOdfRKeo4rN1SDh6cV5os/AvGSraCIbf4+M4SU1eHqHKt
Jc6GaIQBY9SwBZtSjbuBpQVv0/CagI2rwAuWL5MkAzxiLt9lXONIrvOrBbfbvffBeKE80yfNun/b
GYv8+/XMdouhXfV37BKDYd9yqMCAkVUc3PEylsvXaBrNYlF1808xd4l58GkiJ7c9ThE9OTxvSbX5
sz89sklxHKx3V2sVr5zsDualrNnAsVBDx6dDKxa+mZtHCjqH6pBNaInxTGXI2a7HgHqLeeQpWuZF
1+L4b+X9NY3LcYk+Rm8TLE5tPTRUkJmN7w40q4y9mNy9PZMEh/hF4ft29q30mcoP4Zwx90o+hk6n
eq8gCLwsPTz9GGC6pC5lmTJUuWWSqdzXuWOdKU7CriIKWDw7VFCmqW4MnT4uqPIkgFPgaqKPoyic
2kANTm21XYHnBHuXrdu3HRUmQY6IhjvWQVdfJvTZbUoQe+XbWODzkflgApkzDQ6MhUXd7FnAoK4D
Fb+SzgS9kbEcQYu7fbcoimfcbt6y1G0f0oIodtwnAycFzO2KGoRrI7BxAMzF4WhN9tmB3v4ju1q3
ryOhb3GP2muLuA9SB9cngMJbLIfljYKuuMZrQaaMUrS6mM/06hV/HYBA6T4FdXbjSpWnIA/cfnlt
it7C2TxG1k1BiVJwyW13jc557rcVgCxv+RuJTufvPMqmxzrKZXumf4eY7EYikD0WkbNcycT2zCYx
nLCPupRYUly+dBwuZrxnLKIcxhxHj4RnkTrHXdJm7Qf5w7W659dsmjPxOXrZTA7+7ISGSJ6Ay9w1
vwUjD+8MHQw1gik5pzgUrLC3vGiQ5q0umanlbmggYqBOKp+ykRJLe0f0Ptw4mlhVCCjXxl+bt+cK
eDT4HrZhR9nTOAE7kGXWVmODKnerAyp8xRQoj6iEwfJajZL8yQC04ag8VaYxLvZr5yS9N+3TmGLd
CaK5tp7DhVQljzfEvgfWB96j1bIXeEj5hqhHzxJWPB7Z1YO0CvypHYrXV1tTMbzpZqWxFUhvOVim
zm/Rk4V3KHiCnGd7mTNcIcA37yLP1xSl8AAuXGKvftjck5m1DwElNiAq20YNe5Ph5X9GrkxfKE5t
umNThtZhrkfKR+w+VOcyZN/4uCB3Fl8k5DVcuzBY819VWBSgwgHlwkcgdfv3CbfGWVq9TUfmQmB9
6q20vswrgdzNokoXrrEkUx+HBJ67s9HQsFHBIr/aS20tQHYMbQ38yQxUx+Fzbi0qHdhKTKhp1Kj4
6f0E8m45Q/EBwJ5B9/wH7FBjY0LXe+L3z/h8oczlrnShEGAlGCv9XlVJS5RaohkKOonZQKK3NDte
h8o7jLx1COWMMzZbZSrAo6Qs9KVu0KoebEUAit0F0WEaUPN2N/cFnEEEkJXxF2wvJZbzkKy7ZJ5B
5fqsZOTFg176kE1U1sVdlpXvYx0W7j6kZj6nTX31703j4CAgotT7BBWv0O0VKecR/wwCBztdFydE
4UR/yB/BuoEhMvZ3LUtxucFS0/2BQZexeUquZMOCUQ5hbCI8YwVVQT9fwRFv4xsICY/RbGMjFHbR
PbZMZfaRg4J49wftIA8X4XzM8XWvD4uNMQv7GTZsgtSrfYPhiJ6xRXVh9JRhC1C7VRSKtfAo/rER
nTneceX9MlLPZzyimI9tnsVQUSZl/7v6nimcpEXRPfdBpx9DUEZ+bFkzzh+MaVH7aej5utKweyqJ
dFn9OkOOeT1msgv30Fq85EWHQ3Z2QFpWf4kuufDmSL4KTHxUQAMgnNnMU9DtLvZ00KAnljePw6z9
mzhunx9DrE4sBckug8h3mpcp8bHOrF6eEv1Ne6o/t8hl03gDCyOEJE+SaLdC3yel0HjmeYABwqQV
ZSb6pPpPAtcRgACBmjTZHZ0KhlvauPiOMkuKHEzlklO8mGMjvUnCvPg3yAB7WQD0DKIcvUUO+YRr
tSa5dYYiOan0eVHrdJkNYnHc0tiaxPZYGxoSyZjdC941w4vfhEm7GfqxyQ/NZHnQIKIlvUNS44ML
penSa5xW3EQjDMCNSlbiAjPmVZ5TU6a+mbB1yn/YY+++UZrKw6OsAH0c9WD1h9YjoH+gluA6GVoI
7ae+7svjojD3x6aSK3m+1FE3gGSXb4w9dUVfBJPWncm1l2yzoQ1hFWus71vghz5J1ADOAf56GhuO
tgpNSv2Al1DF5/zH0ZktR4prUfSLiBAgBLxmkrPTdnm2Xwi7ys08IwR8/V153zo6urrsTJDOsPfa
VRH/x7iIIwNMiA4jOmbrG0k03WPaCNCNsZS6eiuWeGXN5OFaf6avB5Vq+bSMWxQSyMYAgzhHEvP0
sldro9qzKVOvuaPUm/kPHcv7D7LeCKxqcPxDHAYBaC9VIb1NcNJ3J+IDMcwtcMZiRul8YG/BmLkv
YNYDNsQKSxVImsQBtZGjEVwxYPRHphvt+JEEre+ri0uZvHzW69xbp5nkzeugKlxITBrlm0LEorbZ
IEnWAl+wAg80VjOg/lNpix6Q6EsYACLsEdgQ9SEPJiwg9uXw7F+GnjSyI8jzFBZdn2vnFmUgIcCK
gYEeizqadmcqaA3tUBcWPodZ3xxDItjJvlseoAg5EmFsONz6LpzUOyd342kP3oBYGMT3cLibSQT9
hixZGKRcuPqO9MobywphLr3JMlvwmdx8jVgj6D4KzdK/T4YIJ2oYtGg7JlgYDwLf0a+wc9EaLbQB
n7pvWCa36Ig51lElCTT8pFRtYtqZkEjlYXyCZkUWBT2phWNNOO25H4zq7wTN8A2sOPrmYIu6u+c1
TdfLUkzyK7cKunZSOYb1rsgX8T2QQ9Ru47X1XwdT1HTl2PgJIuUkTbdYp6uFBT/twA5co3qlOU7I
TchdqyNQRIT3cyHG4DqUhgsaYob9mpouvGdSXWTceWnJnLw25q52GrKgQKZM+36FinYtTJY9zLYJ
km3X9ETrWbmu0zMXT/FQ0baS/Gj7YXCdGbPi0nZH978c8MbB9pcCqX440CkilFRnCJgzh4UTp49c
ZsJsWGQre2fWDPll2sCZc1DC8Dh1nfWBk9/5G5QdaZqYlLsD6T/lb+tYzU89kpWGCAm+jUsnm+c1
lNnEfvSIqwQuJB0LFSZsPZphZ2FKsR3sEQl6bA+sdWN3JKi1YXp7N5Hd5mx5qQFAje2Kkm/j8/Au
UbIunt62EmBPZBur2DcM8txt1Wau/MMWvdC7WRSET/nJ1Me7dQXtjVDVqtorRQMhf9gsw+SZB6Ym
6JDpJV2UG49vqmgoxUROihRu7xDBqD3xUuzqAD16BPgAk/iAwfdXOlPwWlDWEsYMwuwHpiRqEWc2
i762pnG6d5eN387vS+0xMrRYnMBsH9+J8IDNpJAxPog2RbBONDOKHaha7xXRT+EW1wXQiIzT3mNT
NY1nrwpmERUkLN/6UW96XCTD7uOAvm48mSELnqAZMDeQTC1CfnRNwHDGZ068EiSdDYEUdPl1GBOZ
iBk0DY5B5/lIeRwMlyeiwdEhwx9zSPYjMfLNpYewfpAXxyC5TN9fZ88kyR938pFTM7f7QOiD4Mfz
cFTumDylLNmTUtbDu9fE4XqiW9MTVNEmBKUexKs4Yr6iXtSE/4kbMMkrn0jeWB4W7dOmpHjNTtjb
kmrfEpDZ3LPqCi6Qdz0eOoVfB9pCA2d6JaemvFRQ2exD3P+fxz4HAVDSZrosI5FYu3CNZX/IJESP
LwT6zoOZKQojmwgMvXV6oF1UXwucjS0CkJRwktm0ftlv2nGUxQGL4IQH0rNsh8tL2uWh69z1z+S4
PtPfwgx/KtBtTIxHD/vWmyfIAfiuoFOoSwhXFo5Y6Cfabh+DVCKnjvjb6sXiui5sRhfMPF2WoVyI
BvxRUJJ0vIIY4MHOJmb7NuKaZ2gKptkbYLl/KCxlsxvXub60QymmyLMltvVmpSD5oC1KkwNbg4lR
eOEM59AFmBdRbLjhrhzV8FovmvagTYUBOLRk3rHxmTnvnN5R//AHaw5HzfWxaevaec8nJ7gMYZZ/
BA2hFhsiWTTxeL3qvpte0FF3DfEKJN+imNl4LMjocOzRe5zwkBOO5zdDsBv7oW7wOzbFyUVko49L
08zywHiGpCBKSBa3c4HI+kBCQ/O5EtlpfQixEK1uAcQr6Wfi6UhY6fwY4u9FYGF1RfNtWSh0tyHE
A2pY1SAlJHPPYvSR9pX7BcF2LU4jAQLXAbbKvHHiZfwPoEWuolW6OGVXhZn7SO6EUTumZ011nsx6
cy3AXkLNSuhbyHoPDztaN2/469uJ95O2HS7vwBrLFWcdac/pVGOTwKBapqe0tq0/GNt7/GgBkos7
8hhicaE+j1FBL05nvENDZlZyIpO3jGBLItfYAj2Kq2MYwiK5GHeBQAOKACGbZKC9paOp0gub2+VP
nPGQHnFyLtzNKiXgs/e4QpH0gdDZU9kjj1t903nPOOJI6awSnbo7nEc4CBCqGhMB4CN5CaganUs2
MD+HgO7qNNv5Y3lTC4MoWuZbC4G1BEJJv36EkzbeyRLlkP0tigJ3olX1DmEr4PfR8m2oH9EFb/hz
IPb2bFiL3o5yvBzujlgo4vZUI2loK9q5FQYEzkCSovgfR3iqUOvDhhh3VPvhr0ZGOh5vooCRHRzt
wsaj7WeO05fJe+LWjDQfFGuY+Jl4OCyW8BlDPJu8JAhhLks5tO4vVcia7ycuqN+G7JvPdiQz+xQG
HSArw4JmRdjgsDXhCazDM86K/kwKQRKf226wn8dQVbyWbCvsfYmVypzJipj/I4RZ/IVZU5e3F6YM
dvhuFEvQMWjXqBcQudESWsM9pDZjvToTLqh4yZgyMG8sXBrlJEOyxXSs0C8VbBlxjRNm2f/agniA
w4Ikkc8UgpX84AHEd7EdkFzHx5Qv3/np1Sjs05Kh5mO+1c5WefR9VxT4Vh35H010h3Z/5is6x7Mi
ODaybDmij5RM4f5ZXk4BHvDuEY4QD704Ab/CS2wh5Y2P9sJDeY4xuuLmcBCPciI50OdjT8jWJ7iV
qI+tihnl6siZAcVCTQFxwibOtTyuMe1yCYk4tdS1BcdsXbjz0nWXhMDWdxA3lHqy7Y69M06XKduL
iZ/4HnU04iwzeP1JWZZyT6vvlczkpMKlNQHpcullLK/bJ51f3vOcxiSaTUzpAR4XsGf8sVK7DDCW
5CNlmTyfRYoIjxmxF/ivFfYGGHFl77ssiBv9IbLW+e7QzoQvA8ZEQPgsCM+hGTThuir3nzjnLRLN
FsOoFSxBfTe1ktzNbq2Q6QOvCY8DSypi7O3RvWiQwfOBEpNmu7WCgOkilpYq8oJZenskBn757uas
Pk6poSR/CVNU5xs9Jqm6Ei2BCBqatMpQF+SVSp8ZyXo07wWDAnUYO6jdjHarG5Mi9ECzgkr32d1E
a2LRsyKZJ8T0GYGVrO5XEFXZnkla/FM38EmxKyJH21cjkZjbyjYspGiRiO2b/Xb+sNZp/kh9o6xj
67W+vDJTw8aHlLKIevgk/2rdSuSMKnflqxls29pU2LoN2kLFoGlFq1Bslklgl8+1ns2uIugmJMdK
tvVRNmsY7MBzEtAClqvFFD6RhXROdBG8kFbb3jNQY2ES3kT6EQT1oSQMCKU1907rfvo5qe0biugF
SGjsIWAk8YveD/g+oTuBiL0vSgrOmaGmPjs4C2OMTYzMAcFtSajRoQolWfM4PmGfOqNnHlFkB+Wr
zzDvliOsnQu/1uJyXiIiiYo4BLnpukB7w7Jdys8Q5/oCcqDNJutJDTXil0xDXcH2i4rjDYKvgi2I
lQcdvkE0oHa9zofsEhPsjDTXkmlxWVoj689VuVp+80P18XfrOZ1vf9cDG9Uj9vQk3Dfu4N6PAV0N
HvA0sbZTAeXizC20gqOkMOTvtFVtPeXAqxjarG23js+mEU2BJlyDIDhrgGVqrz0GY2f2FXr5Tp1i
+rihTWHPmHViGhnHIoLbkEoGOXaVpCds1b4FErj10YaOySQuVi9UsJ2JIGzvVDlhIQkZzDFWzmRS
GyLQOFHhWoCiS7d20Qf3t10MWqY8q0BNaghfG+S+/iV34oQgcRA3iOGJEKdTRiIF8fXW0zTT6ueH
OahyuSMDh1dKDVBfQCk2anpm+hwAG1pCTnx4JpbZzglKNhSwoeRua8Yk/ps45RT+aXvu47tiXhWf
j+LPhg+50svwQiJen/9RqHZumh1tx9QSpOVgZ2bFeaoBYcHmA9WH2T5fMgXiCpfy3p9DhyYCanGL
2C+L40OjUpD9G3vmc7qJB9dRexHn4Moj40+j/KT9nf8I5dY2ZNoMdwJjM3UWrJcsWntLIpf3C+eZ
CO6VxC5TQvLY4WWseNg5bDdEa7XNQauu819lmNFrsqJc9/iy8T50QIBGxODsb9hJGXb7me/4rxy6
aMSxEivest7XhCKC3voaJt/5l8KXQ23EAQqYNGSIhPhCiPeUcWy/99ARkk8uWu9rzgqiqylQiIen
9yRtMm6J4wF2wiX6iDaIPC/Xrt2HblEeuWrgnKkim8HndNt08ToF+NB7ABBOEWZityB2ukWfKE8c
VoitL6yf2a7UKK2Lg2LQgTgs+X8uMhQ/vCK6d8RZzk6Yw6NXRDT3FfUNa8ORmNKxn+UX2hTwJezR
MB0uAdN60KudV17Cqvf2LqMLwl26Us0RBaXDeUsiHXpzlc+s4rRG/sWp1EJqxzPBSJpLO96C2Uh+
s1F0xC42U/dJxq/7T2dk8SVlnP3QGcG5QJn4L1l6Eh5sTOMnPE347Ekhz60fTmcE/vHAQ7ijdCT/
s7RsH6FZCY7wrmkkgDrp6q4+ZjNaWaRxkMvvU5rwr4oJVh75vZ+/iFY+zHoOy4c+n50739fFvF16
zyUpZvHhOoaLJdxjp2YJ+4MlIZNyOBAZRwQKzme691Ht2biuGYR1TfFTlktOfVoNVF1g/1ZT48es
6CrBFiELhGlfF3/81pmyq3bW4q+9NtLeVRWGB81vZtEMbenq159iQVl4qFa3nbdoVsnfTjSd4tlm
IDhsa9/O241VqAYhRF2J934qzHtnd363rwJjh7s+ty330iRh/MEzMXUHwKZe8j6VLu25bw2MzX1/
UddqodOIAlSAZEXPbULYUxc7C/du7LyEgSGirg3HdXrr8bMRnxt64q4h56SKIJeQD8o4zJ2jxpbp
W70I/FhuATcDAxJbxzCaw5tTTMzDUF1xnDTUuXWNlmexF3ERi0didYsVFVpGkGiBBi6vqAhfBFZA
8TRhzMouxKS19RfD9BFQdJ9ioFp4Eue4fKIfTj7g8TFyw6DFpEv7cSK3XiIszIlJhQa4igaCB5De
NQqw3LZPG2u8W2tft9uFbih7nryu5xCbfS+MQoRnOAsnhn9wznCqzIiP+y4uJYe6FhjpBkvzM96U
J1hVGLvChuIBn+whOdTNgB22LUlVAKIOrKlludElORO1vMXV07WGkWWdKY3811iBjWi8ZcWX35WD
azfikBJrYtYrNuSUNW1n4b/vH5026+w9/VjbvC21WMnvct12DPdFFg8Yy1WKaXlQmJ6fqlZqPlhQ
c1AokB5r7JesuMPl3K+IG/czoTnVtQtqpe7ybOR8vNiJbMhXQb9N7EjUcM5JQAitpw8s67X+YTs1
ex8xe9P8rU8rFM4EoQBP2NoD0bZR3rdrfScY4aMxq5jrwg0L4hF+VOdjl58YrJcHu+aPP6clLiiY
aywwkO+22rPOuWZ6fVhFlWaPXYmCc8MYoOM/qoxJodolBAighJ/6u9Gey/kzTxqHGDZrkQQ3iLLe
hq0cLiTSyPVZAJ5zz+1UQouy7GXysUj2SPAyClNCREmoYPJQq4UiWHZwmQ6GpcJfuiKDY6DwbaRn
lJboq7ika7BACRwh+itwoueeRavextp1VrpmGNuRDfITNIISpo7GBmVxFDrELjyJfGnbftMpInSv
/cLFhQhshOB0ZSmh9FPuuEN9RXCwDG+eoSdm4lkkSeRZM15CF3kuMBPVjH9jqMXJ/ZDG411t6/4F
8beojm7nGJxAWEQEY4SGUJvFpT4sa4cJUWPXgv1Q1o13+awBI5cmnlGgdNMNEdZAjvqsczSzmIOK
4Kfg/TI7SKOqJJ6FQnQzppDFEKiKECQ6X4z0D24XovXOYPOq4xKuA0s4asVyi46LSFTYzXiUwiwk
dJF7kKKNrYxpr3Pj0LzXHXRpAndnFIUFASzhqRilDj5shrnvDXpglDBIc65pmWfrvTVNovqCOdJn
j0QgcBKw9zcrIvG+DP1nTffWRcAXzHczWBTyjUdlckQlH3+gGG5P4MvQ4qOWE7z0NFl3U9WhbRxv
hRrhjsyhXlhDdP4Fwi5uA4Ek096abrbno0Zt4Oy6yh7VY8rDi02sBPlxb2lCHqKZa+8n6BHZQx31
dIovkpHjprcDlUd23ZbhmSe6e/RA/t0CG0z7yb6k7CNP0SGAFhmW88z3LbbGY9x816E2QMsBjHa8
9G2brPro6dWu/q1esFhn/ga/es7sbn4k/3UWd5YjvHcqQ1mVZDjPOfxNcA0oTrZtPgT2+1zJeSkO
fBdFwnoaU6HHvJGg0682dXVMkI2fv2UsWAlbK3j5MPPdiOrPrDHDlKV4WI+vcZ4kPZ57p8daCRuv
tPceFVp5ZSkdx1+8vKsLHZc1P4qGLk1ERN95M/KPlSE0GddT71dwAZw8/x4LCJ63s5K+KPcc5wY/
KTzfiZygZNyny3hAWamzTHbPhn8sT4XHKcwZyjxavjTrOJ/TMIfJ0HG3kHeTNz08M1IYIUyk3u1R
K3L1TXMmh/cKu+mZJ8ygrZ8C/Fqkb9AeEqsuwf4mUIl/cGd58ugHOUH1Kaj79r1kn9KSO8W3jrt/
sZGfdTAH9w7a8XePzPh7BA4EBgK/GsyevDFnRHoRtzMDEr8aGVwF8g1mpCK4rZws9xXlvmwOBjmS
fSpuSCDKKfKMnpSHy0ebcSqPJTT0dJd7dosbFMncxaRtEhKrhPdi59r4ASldrPgk2hnn0bDmxQ8v
ef9l8L2Dl1XC/WCrRDrdAiYxPKTKIbqZ3Vr7UfuxTZDtNCRva1fpR7hTzLMbPBCI3oiXxvfRyKn+
oSoLzW9hudwvrUc4ZpToPpvPWE6qpzrUwX8pPBJDMLtjAiSyAaisPB3rYotgfF7f/Fk6p4GUNHdr
uXR+25E5bctih6vowJo1RiBca7ApWe3J5ybolwIPFoiq3i5vFVNrVy7rjFuuOkr0fGaISNjoKRgn
xDZVO1XVPhtn1UcEtiNFj0G0kyuM/JjU37llmZyGSYNwps+YaMKrROJIbWb3RJZoZ68JK7d2hed5
V6ewNEqQ1c0fuF7Yz0+h4wCX732PdX4zq87fZhan055YlTk4xLN/g4XP+OvH97i44YfKPkh61DwC
e+aQmOG7sDM4bAFEIWzAxCNMuBIGpqmOW73UyHV4zynk5MZgXwEji2naGZ6MDhEJbFDgr851wmD8
35rBDt/2RlrFtlqY8IBIIBynAvOWPNvg21HliXB5Y99HBQ0U0IIQCagdYGlmNwh7fWP9DnmXXWTV
hMW5WZM2PVoqqa91QXw2VsBumpzNnK0uCd6SWU80YTP7nPHNJedMgeh7o3LIL1r0dX4z1obN1RAl
If4unkMWFe7dGAaP5fQfPDaAuhOsC92WqbIH70jlyZtrY7k5dBXk/uoE6buaPyccA4haZy8sD5p5
2hPIwIB40Zw2pZkqW36aeNTzldwfAj1RzUJwBs7fEAg2Ys3fBKnTsn+06794L4IrgbnIGly8H8++
cUghRkkhxUNgMQrrTvYqVraeEFn0fW17owv2rK/sR2+dM/fgcRuFCMQtWfTtXk9FaTqk6cQoaGhi
yAqp4GsvEMuFWGgW4pvS9uW0Ac9QWDQrLPZZInYi+IdXKpD8EKRAH1HpTD6hxwh2N1U2MH7A5Wjg
44hhwUSd2QNk+3pRYKUk3RI+vAoPDJXnfBe25HPvpRHBGdRE/DP5MDYjXdpu+0EdOeUk23NWfDtQ
M97gmmhyQpL61+8nc6jl7L5h1PB/U25ksi9sOgKc42R1EXd+H6I4ALrQAcfDrjI3/9FfT8txFjn8
vpZEkDeU2hz62Oy4jbtYsB/xO4cpTWqUF1/gBq9faFXWb8ya7hecY34ZJ2DZw1wPo93eR1h0y9bB
ipeR7rIeV03JsMVlgqEppBT8ICjaXvnkw3A+Es2hb/5BmvMHpsm5ekRTVQvEL1Rc3dXLHLXegS+0
lggPoY/LnEwVYID2DcTV13RJvNs+pMAetVX107XKDKcWYhPEA9/Ny0sM4MqC0ExOypMn+FP5Jkar
yYgYBT7HZ4vc9grRtcBsOPX+09qOxG4g3s/Isda43XgbyEXOuEJf3VZY/7DH2+7RB1gm/szpGHN7
ozEgRQW3WhP1blXl9zfN+ytvCQEzQ14uW7g4ucOCdimOjt0VMKyLmLyuvzhckISOsSOPmpwU1qa5
nO9UmA/ylBPNCaSNmh+8PUYk4laykGV+82aVeUUjltE1k2iLTX7nThXpO1JPzgiILTXt19w7vR+5
nT2uB9a5xXIOmGuxkQfBXP9DXRzyQeS8381npSALHnAbuGZ/Swta3rzCmsZtXtxgoCAviBdh2dXF
4ZOb855TuUqFkwzTP9QlgtW2fdGSWbvJUbBsRGN14UOSUE6dVVgNHWRelOjx/nadQ4cpidZy5HjT
vLq281KzREvZjS5DvXWJW3e2KzGd03NJJZ/uAWuJpyaBxbkRt2+ZcWc1ZgdMP0XIiKPhRC2T0aAv
MpW4EyKojoRPEl5Bi7R2R0g+yAdySvvPfPGxOISctMcJ7Su/L6K0Rwg1Kv4BRpbhqElUR8kT92QD
snRarmw1iLKIU88Chjl5oLsCjtxX4yxI8bS02aLOyu1BN47WshOO27mP6TKt3Db4+5EIoap+GVNn
wZ+4Zt11ElzPodOacJ9Km8kUa9p6Rf9bSlJvUYL0T/QTPdZe3EW/QdW53YXQAUN4wZzpO977yket
K9oX5BrEf6PyoH/prcLEEAoXne5043kPOdvDFaAmNtKs79afhvc9obvSgI4Z1ns2Xk7Wf3YI03wT
w1LAD0t2gX/EicNmvHYnIHwd7R9CLDd08oPLqVOfBrqwadeDXq71npVK5uz4Xm0s8KkJ2DiV2l13
HfOdcIj6hv2LOqD1GDkfRQaj0n5yipwur+s9yzqMjbv0B88Z+BScjA0Dj2KCaiS3FvGqpWdKmi0L
fUIrmDlFIsti/3deyzYmFooYD+RnHSS9GjA2yiszD7xiTFbLJ+SMy3Kft5iueJbh2jZ6arlMiU64
siLVDEQ1p9sBbIL3zeqDofRMXz0euhoG/QkhJbqrrICzsPXwb7zc7GEp97PVYZ6op+GaWxS4L5pR
87G3ZmdkNpyMVI1j6SAB3Kx1gn8IlcN4NhYXRoQ1hqOTALY6OStScKHXD0HywKwdKJDBvWN2fiDX
+XXKR0JUKBtSeHUJCZUfQSHKa5hANyCXGT8NNm4E4qMrtwxLOc5jqwt+JDITEHkdyt5oYF7OiKFO
9Z81GYg8YfIQnIniII+xLeLkYhdWEL51QutjSShIsVHBhGCCaLAFjVlIbhT9oOlXKeoDEE/H3LGT
Tf0naEggfZnSB/eVLUiuanCs/a4ZXXeErNLIrbiZF46qSmcgR15IF24haDWorVx5bNMFrKv2iB+g
AKqDYE/9os1DS0zSrqRB93cJeA73bgjCvtv1JJvIzaSBFOyL3KHimjLbz08znLTfLpnR3WFShLxJ
UOB//Zpgok2VD+cbjgsRK0dWUtl66iYDoTDLKdh5kyXx6nCz+uQwss9h0et3XNH3LSoT3+XbGNrp
WBTD8DXk8+ihcyL1+Zb1DeSBe7vXQ9be4ajtgumoiOcbzoVwSht1D9fph921eBIqA6AIoVZX8dUY
Z2bf2eFk3CJ/h+jY08Z8g3IqJnQIS7dMyDWBvnzGomwO8MUq8SaRiBdPUD3i/n6GjEU8K9x+kINA
GNUtNDWLMd85LKSZLa7wF1Cx4STedAza8mdV+WgSfNK1A9b5KRVxTu2Oe6lIBnWPk4JgIDYAN3LL
StrQsm2cgS1DUUzDzc1SFYTcZQUDxW51IGsMcW2duoyXlVlQyeycaLuR7Bu0uxz/7MvLhYVtvJNl
UNNG8VTKON87KbGXUFs0/OGnohJ2eMOyWMP8FCLcR3zReW01bgpCLZdkT4NRyi5alyb88qyySKPO
ttbhtSXKrYhKdMr3GNHm58yKc7PBBcugZ6aLD7YDKONrzUDyqeoplNlYDubsBi7aTQ87/1NiJRnd
jCGqfU+MZn7ykVIvhxZ0rfy06NZzQlvQBOXbycoTeH9rVgKqHKZh/VylQZ675eUuIesKxyDakK4K
v9as0vrvWszufFpsknuegwBUNSgIA6cIYE1RxmxSUZsu46aKW6Quws+gtMmUOfG99lGeXALYciwL
qxjpZMSF58k9cd1WQMYFSeXNPadgLNF7Jh6rSTz2AmEn2FEtD5JJW+AdYVbBCI1o4hrtbBx2kfDc
kbhl5d/ARaDGkcnhjESfBC6wagWBjqgVKQZS687qZme56jrx2n9MBGdGOLEtFL72xsnsQw0ZCQFf
idcd7zw86DUYdyjzi+S7sYPQ2ck5nZOLA4VFk3dpz2m8fszcWf9ShHIztdQgyj9WWGBViFrEIzMV
71Da93kW3mxVdMBvfYWF74mVpCs/Wne04Hs4crKzu0asvbebZ0gvO5TEhf6VNBIyZt+ags3oJ25g
756Vrlchc2xi6LYZfV5wj1hBCcROWd7jwyuXqb/H6DkVOw7Dsn6AHSWRGQK+S+4yD1XHY2/TZf/E
8wASamcPco7ZK6P4TLHRs6lRfz1qCuemCo7LD5frDfuHZpR1DgUk5o8F1x7q+GpoRcbyrWFhZAz7
vTZy8HOHOyp9sDj8H8G1fYezXlXyInE+sFlkz5L5h4at8/QzyMDuMe2mrbU3Ta/sQ9CNFM4rsMAU
SJFP8kY0IBYLicQKYgOeza2os7aORbIKK/DUb+4QiIcJkWvZKtm6IHiZktNg954A6dUps/w0pAn7
h0kq9qRwejEtfxY5xTOaTCdNokk27UKK3LAUn4NkCxwZALBm6xY8/chreyB5B8NAakQUwVUQP/Qq
nvozgmc3IBe3I23XXq0s3ONJAK7K4TBN7qHNVRb8SUHv04tjGlV7hezT/bMIr02O8TpSm8SekzhR
IbwKa9kkUtt6sWtTBHuHYMqFIxeB+XVkpwLexPdFOxyWNpVUCkMOCu9gV5lH5dKDoLR8YsRnWjSc
FquTARhEKYRgP6TMgZILrGEPHK+ri2MFAUI2uDM4E0lVm3yb95ZIoVxsFhbn7WcxjqN6UR0qWnKY
ekVckfFJw9w2uUndAZ85jS1rZAZiYRv5Ob4T/iVLi59aL0W9xYo3mM2cxEJ+FkHa5+mFN8d38UwX
iPYxENQcrH952ioa7ZUEmmsi+hiimWKzvgnyTsHV6yUxDizFZuBPsIzwHdA3t/wuPdf3x8wExL1j
a1GIX1Wjuqf1KEqnazYk2Cp3xn6MahYRM450gaQemqMvj26baBf54cJi4Vwp5q1HI4Ps5oQULmc7
CSJEYWGsQZ83Mvnfesg8vkqquekf2geGfyQbOYEmJKWDoCKhtwxcfMZYTyPZGPRW0vDUS7tTCky1
i2yZefUo1GPgQtchhzru4/4icIao9p5pNtS/ZYsXNAPKU2MCLrN7H46Qye+hdzcm2Deg17puhxvY
qWAu1sIXwRaOPu7phTAEg6Y9yNdpX9S5X34y+A6nS7Dm63gwdU9YRZWEmdnTrvokJQHCTPetsInk
swYJxIixBfZXYy8LcUs37OiJcf84IQ5OUXf2Q+UADTNBMOIHhgG2q7SaTyW9FRpRPp4qqlCxQehD
rcDALC+zJ/SzHXN+byqIOupoG8AkjhQGdU3NH1kmHCmNmF/QraU1cXXoqZ3N4C6k6zKw8Zajz+ZP
RKy0BIKKPA2PgpTlHw54hoxVruRd446k2iK2eO9K4eidgKJoMIsPeLokFhJmSl6MigAPAnPRdk6n
E5lR8e/QuOQrt14cDL+IRjzvm9bGbrHsoovbKsQtJPHKtTN/0NSRg6NnF+ZCkw+Vv2euBxS56AZr
25C1xrrPnayJZR6H0RC1OP0M9hPylH+KwDQXFCM5mL1ipYuyqdopiEpvxvqROFjcAhil2Mi7IrsM
Q9+EF1AMU4PHuUTdlhBl7+xYTVGq+UlChomfZzxSvtXkaDqb2Vs5D01IAIsVpB/W2GTrsQLkOPBU
23V84fVHPDVOwfg3Zev4Ikoxs/LFh4Z+3m6oh2uJ/IPZFHUCQ3Eatk1QBI23mTHRgZpYFE+/BQOV
vKWQC98GHeA9Li6FyI7qRiFAoUFJz8TN+NMDAvI8Ow2hN4qLP5eLtyMqIn0dJhkEaILpAa8Azbu3
PEBy+a3qhKlc7QHZitC/uMm+LWzrKwm88nfEZ17zbdjDq7bWBaMVIYDV1qD/+gEhg/GfYF5WCG18
C+SclOieMCpXzmklyu1vmai2AfAEchyVX7tmRAgmxmHNl5sLB7v4HSeUYeBJw3D9Q5BW+tDAgVoO
cVV53ZYN7y3NphF+s/OJdyZ1pvfrI9rjVEZ224QdM1Ckj39Gh13TfuzJqXpYRyb7z2yriOXg80mb
LaNh2JFoXAhv95osPyKthnSPgSt7kZ1OunOuXBAYRO2ARleBJe6XZMIBTLpo9TQJOTX7Si12QMhS
KEnT0watr1TZ8NzVc8E4moNnnyNyrg9B1iQPgWSZfZxc5lsk75Qh9tSJtMidNXQKiJRMY7FxfUbO
D2ldGQVtXEtMDsMYMIJJcmur7AwrgmCs6p+Yqswn37IRMGnjSxqDOsHkQwx0dw+al8QdS/k4T23k
QuTUYpEhiSJU1qHuY4IxCrQBBfNmia4JcyGbZ7JFrccmmIETwrfJ3Q3itAR1Jo6n28mMuW3fKV7c
7zjB0Bb5seU9oTSCW69rk/zpKpH/k1b+P87OpDduJNv3X6XR60s8BhlBBi9uv0VOypQsWZOdkjeE
JFuc55mf/v5YD3iwsxMSumpRi3JVMUkGI845/8n8kjMYZ/T2l1mX4Sno+8k8L1sgGnzIidnUYsPe
xgzPcOTNvyjsKuCJtY0Jaong2yMGCVuzZDEvbK/wHHChnTUzJ4uTZMObEFS9LmEGuG24RXToSSNY
JkuoAKEE9pJ4LmPO2o3plNV0Bcc9KL9AUkMaMcbhMyXe5JDjVQaPHZoPdTmokNArFA7JMTfa8jUm
P/5njNumuFzCnB+NGurlGlwxv6y4pWgTIilnQCOI3HgsRON9D9g579WYlCmML7ZbEy5+bT5muOqW
BwJ5+h1IH09Z+y5ZhHaphrULCb2hkpnc3Yj/s//KoMqGwIFbWXphqti29malo7fZNOefGjiJ0MVu
ji88DG5R5xmpqffUdRPApMfdE1JtBkhW+Vg82lpzcDcZdA/SvQLVfGkxFJTg4awUJiWFwsFTJkzJ
CGGaL4eud/HhgnB/DbmqDQ68QRvfZgEHepObKgHaKD16uNFIfHy6cbIVVy1axmjV2SP6Kk7Z/Gaq
o6FHpjAI3IkskW/sGZedL/NcV987nXRP6B2x1fEMnSRbN6BoXHetWHrCKCh/VIx/8D6JGKs950bf
/KxnEwG+1w7kIUEPiR19lVq507+iwGMgOxWG8xoMEx9lZ8kKfAVG5gWDAExrHUz5doCJPi5iRNGw
iGcfiubKyf3gTUDgSfCumxt7ryOCv1cFJjzspTDkrZ3VlTq/7iqt8l1DU2evbbdS9YPMfGBwpyFZ
3a7DjsgPkl2XD7huH4cAZ5YtIOpiLwiFgrwkCnYC1fCEodfNya+4mGtIL+uhlYgogjC0nh3AYPWl
IRxsfMxRVGN0Y4cZKb5QlhBAGz1WP7ZviIPuvJR0l6SmHnZaX+VXkMqIDMWEoniLjZlZdERF/6AL
mTyhLgtefbzxhm0+cXLD5fDoS9veRe0eyfqrX1IcroOwx0S9aOvgmQIDSRJWTg7AXOFXjIICILyV
y1TNh2czdxvl2kRjkVuVZutEovwvJFw0eldpyHuoP8CNTkQu80hat77NhGP/xESgx/dc1vZLGsIm
2Y9qoB+2C6g+EEQadxuFmFt9tZGSJJzekZncCBPx3s0Q1WpxRsUTAWGVRnG+SZWeD5iwj9gWZiM2
imbmlfYmGgUamHJIGrmxmqrDLhN2Ybuv+mLE7AyHDXEhPPiB/KqMLKMWe5JNiNTYXKH40N3dUNPr
rHSNfPWyaFS8z7tCtFdTFVb4hdf0/6uZzkdtQ6OL3R37+HSglZAQhHu7d4ybQSLNcPemT7ezRXRq
90eGoqH5NStBEd6R2qDd3nZuiQHprodgHQXXaQBHQl1E/Zw27TZ20ZlSa6h2WvwQrPno86vgnIye
35GT0Cn7m1H0MFijLq496rMIJUNPSHCDSbhjt2KNaTbbpG1JO3upwtS56lrUBKhN4BBkxEFBOd4k
k+yqaxh4U7PrhqmASQgXxmBKLwwit0x8wMMaFTszu3vAXQQSCuvcapVMFKBYNrhWfXQSiBoXiHLL
4mZCKGqgovSxf17jyJWHt2SARRYj75lpDXSbCS4xiCk3FfGjyELQgZOuE0POw9XA/hjtZ/ZpCF4E
CAZIkmEXHSCOtDSQ0u2XyAHHY+9AAZeuZ2WO38LZqyXi3yard/CJRLYVUBHvVYDmbONmOIpf2tpI
v8VkBVjXfulQtTKEgGfKSL+W3xjHdb88vl2KZK16wgFHh9MZKZBjAgMSYbtmwSyngFtU2YVTqt7d
l4KZMnAWjjZ7UB0r+EnQFyxI3AulsyvKEN63i9433JOlM9HCKFmb+ZUKu7b7yTlvRdd4RPC8YvR7
i6dOIR+spVC/hwIR+A+YTi1Q4oRFOsFnEyt6FyMgD3fDjPMXR12grb1UAWxLytfu6E7hFF0EAZTl
VdWMaMzowmGw07+bDFNCQb/iUCtiVOOkOlvHmmJ3nUNNEveKRh5QISNUPf4aavSqHAQ4SiUzRs9U
Q5hA4uWgtdJr6ZTTLcWPxdapMYm6xutR/Wrw65i+9Jatm8demMS/MQyvYA65hnvIEjyT7oaImvep
REDh7O2AgRDcqXxAiR7O/WoKlNEdw1Dp4rIYYNKuGamWJmOiqva+2sXYmFsmlCZHBEGVxbslwAJ3
8NYUlqdhHjL7tLH1fIDu3qeHPhyYlTGD8eA8BXA65Z0N8/S5Qx5mX9fkF7c74VNnYKlg8c1MCa9r
15PhvphH1ONQrdH6hWRp1zVskzeQ96pYLyf6NZg4tVnrABDCRzX8MnwsMz29UF5M/V3lEeW8LnsL
bamD3RkKIqOUOltBPc/L64BOOb4it8GNb8oC1Gfj4WcIVo30I2egA7PcRr+JKhArfsvGbJXJt8aW
CSJWWXmEBiBea74UUF7a+g4/hpnyA9wf7qIaTPxSJjhVGSeM5xu3kSPcun6kxRgIIQ1EkAE9GXNL
JEUl/dY5luhVRjwtOiTs/Im2vWOrvan5GXt0znt0UZ3aM50T0ZHTThi3jMoH/14GcdXsqWbIGBxG
10ZCbgtOk0w1Mr8dIWWH2wXsEXtTIYHbkrFbP9JGg2MDMpmkkfgS9bmfKWpUqp2GwFmML4watpHc
MZQeKLQtYo30ZRmgv9k6KmqyN/wJsLkYQzd6qvDPOdRGaTAWcYRlEevh99/ShVPHfTbteMD7Gqd0
GQzOm0/yerOumUiTQ5QYnJ+u11s3DoJDn1h21upmObycZdzqHD0LpyEm3dhGgfwVuNTAD8KLM29E
vZ97s1vMqyr0VaYHzxOsZkpKPAY0zqR1rudL30XZxJxrxEKy6rVZ4Rc4kMzTwPII1kkLMyWbQq/e
MJQj4xREREHThH+NiTPr5TiWHIuoI+vgmxli/8JIfjCuDfQOiJYaPqY1LDwKephqsl+CeKPvkKzb
d+IFoCAZ8O6BkctI8Z9glsEU3YhwL6cG/IkGGzWygkLsAxwj+9sov0MVCecbPjJ1iD4mThIXmwqO
/RNkfhC9yBkH0maRHD5DpLGIDSJR5eAogge2PdPw7+28ADuNlU03NQv0GntDBplpUujuiMNo+jLP
VrO4qw2+sQ7dzr7DNWi4Hyy/fSa5Mn+3Gpm8+pPrX1rW0OHnWMLGX42c4Sje4BO9WHYI3aqeqrrc
EjrlGVsvS+Mnr8txwxOQnp8jJGsPBoT4EE4znJPNgHrxJguJzVp5dQHpCj+3+q1JKFIA163kDlWt
/d0zbes9iaK/Mpu6zl3POquhZHdOZWKCKRICAqEcA9kFudiwzNgTR/imyQboOLvS0DExQSLsuFpB
W8ReecC5NGfDq5AyTrIiwwilJOhF7LOnkY0CWpRpB72QJWP22jme0E5UIYy1lW5MmgIaPiNF3CeL
91qWjbMmU7P+RXlVRFtryN2IuiXHwDPOLfeqhWloIqqSwN+6KLnXioibiM7C9dJLx05bNEa4LnZE
RsFW1SbEFEiKsd9fsBFkv4a+kq/GwF67eINnxmVXOtWbC67nQdzLcvJfPQbw28DABGvbzbK6aW2h
HzhvAmdPHh9JDhNkWXwxcp7TqmNPpYEzIrc+1O2ivhr6IH2oq4ZoSouzmlzfAqR2K8BZ3mXTGY8D
NOD9XJXWV+yVF6MdHJoagLIkhGXCsb4evNjKLiI/QI82ham+qtPZ+5ZjiNGtOywdoDQWBVqRyMK1
AeoHSl8PGPDWgClTHYZMW/d934Z3lS84B2ENTrgmTMF4A86R49EBf9xehfiUXaHvm1/NnqJ8Hdok
Xq+ckUYcWFUgrpX9OH4fzAnLTPpRwE6A6hpKtp3LNVBqdlAwnPp1V6v2DiyteoyDqbiOc0KyVhBl
mJapxm3uUgwgmc0E7vgukhjCCPCXc2EnbVrsWpOU8p1hkEO/hmxOjKWuxvkHSqrqQdd9AHPEXGTC
bS/ybEfNRK45333Rr02DUmqbq2ge1kOkcbqCQWeuGOwlt3Fihq8ooFwGQ0Ohog1yxvjeo7d113xy
2UtnG+6bF7d9vGElkJRV0pXdexj/8DME4p0toEF15S3ahPUcZAbjtblMvtXeBDklMwb1JShFbu08
qqZq5TYxm2dQMz0iPIg9deXhU/ZUj6OLDtnh/VMx+CwNDjNYQewN2LR3ZSRuSURkn8KbS7wEYNYs
qgJwqJna9El1VvqEh0v+3LY2bEphTvILAEP86OcOttBtXqrs0GdxdpGOGP9tRsDsZ7g3NEY+US32
aphhPlE3xJS8rlVgwmlBMQ/3GD6AiDcoXfuDzOmgtQ/LG6enCVyr5mPEqaksKQWIt4FZJZjX7/u+
p/LnuHbfSHSvh3UfqPopo+F8sB2D6GVUHxoNUAUugERo3BrIr36kYdh/HTR6PUprS1Gw9ZmcF/YV
oy/c5dJvhgm9a4WK1IQIGQTesGHg08RbE+YP7M2G4e+q6bzFiR10hYFO4Yrvmu8XFN3JE1zIB/rd
VVAHXbtmPtSXgOHA/1vYElg/k26cHBXxX+ZqTgbCzZO60TjM9SEhEVXj03kFOIjJXcZWeaPdObiC
DVOOG6zw4+A5bkL7PYLf5KwgbjVM09MW5UUWFi+0HOmVGQ1LDsAgMCqm4wg0GStTfsQCWExfmdDW
GIFA07oOx9HKDiIeMTXBvyPjALQqTD7jeSqLfV7HC9sSOwosoKraDLYGLsz9Fa6VgIeyhtbJvEKo
m77KjF8dDOwLtfx0rFuDAb0cuaZvzpQJKO9o9BBe9GrhuSY19oReXFYPyZi5r17dDJyi7IFIVrEF
2U6mJTFYYv75RXYSx036Mlx7NP5pKcA6cMZGkOlKULZlZSMpCHjJrbBEGEwcpC2X2GGYsPRUM9zs
dQechtHSQOlOVxZmxQpHhbYBB6UN3goaIfLerMYilig1g8ucjYhRMcEx70bPobc2sHoB3nDwA0L9
kk8SblNMzpyVYBu6MukOjTUuuuW3FotB3McAzL8ABQv6XrOnszPFkB9TQnJjrPYL/zv8fDSefjCA
X7VAlbwexOWCfMIlO3PUi9g6p3Ozyuy5TrM8vKKEkF9ZARVk8DIOX9EjF9/wqWTqXPoyyC4D7DaY
xxsmo4EI6KjZ1b0uHnziciiek0BdS8RNePGMzvAcBC3nNNCGrDehsAJ32zvk2a9MKyuh8zCo3gwg
W5q2FWEk/Pym/mo7Vo9QXxnVK9864RiO4xfvI2IfcmVhVsBPlV38oj3k1HZHH7nLzRBTKAR57Z1H
9hDzxrjID/DWy54hlEv82FJyMuVwR+uY4jgPDAI6jKVZ4LnwlJsEbmCHTJjEAmBWDqEqhFlr2yOL
k7eY34xYbr8FOBURdzNXUbUO2yT43kAdHfle8/ZGF9loAFjwja6spEOpktp1S8aB5/9iXTO8wWs4
Z5Aemw9siNlDMOd1vlFtM/0QyCzuABdatWaUXmH2jSPWDYjiQlMgsO7outNwIKZWmuu58czFkcrH
PkMEfRJgTTLOTwJa83U2ovTcmB1WGjwzk4Gbq/oSTj5J08O68kJcHnkCNPjTKHDvMsFPqVUSQxWb
1DPsa8ESJK0lyvQV0d/IkniHVrGxaxt8kFwsarCWdElzbQy1RXYsRQmyHzF7w7ZODKfeQsjmkbP7
uN9TGTGtDSHyMOWoSnvfGMutlZmojo6l6diysY8bQmvT4o5mClkUNa3e5Bjsx8tYBwlsRSWLRiiV
dGIdAoF9jcKGyJao77+RaJg/0Gv3r2MYJ0iIGoJyDKYL5TpnWpmtQvLEzXUwZ+ICty5ivhorsEsK
pDz5Dj29/t7gvRdzJi6qhchgxkJ5FYY4MsT0EXYfue/sJdrdoDOJUQmn7fAS4ot1nEtA1pVjM7/d
khUXOftKIyK7CChVvza6o9uCCR7D8xrS6LstUSpgxkkq/WXYGPk9HMIQXk6IzTUe+/n4HJaUWOsw
L2Fm49YoDmxY9PANhJN0Y8AKGPbIBoIbxjsgWDbDDnwZI06b9ZRkKl6jK3Q8VPhRwNYPoI1NelAM
r1kKurNDBdVsBeEBIIIVxBqGm3VtbADr+/CeyXJAlVUWxmZE9WjetCNN7sbLUzhlkwaMPbTEiz6i
3W32WAaaQIEz1EbcrQBSwamtuNvG3exjvsCSsDd48djPndHiHFkTP9keQo2cfbcsF8Xj5SvaAlnj
ukHPiV8lHMGaVC7DdaqdgcSZnoks8Ak3QSLHx6Kiqkq1xB1CS+INICQR+gqK2piYIHrFcKHFUJG7
hjgu3CBJru5d0sqCXSWc8UcTjYvnS20hDgZelRAVYHUQ3NV2xQuTVYlxgYXkZGVALf4WY2mDT4wg
QG9V5RAtNzJJcOMxzQgOSI2nNkZ1USFe2hKb6TV6fOvrjOMQbBg1kB7Vw88ihbWV7NjaW4xlmzAZ
5oMY46jZ5ZmTHvU0hWpV4rMFz4IyId23TekRIY1qz78grYvug1khZqU1Hc173MXoHa0W5tYhM9wG
v0IqGCaNcpD+PmA6grh9JPwax6H0ep56aaBvC/r80XEJQNkgkfC9m5hN+UcXDiEoUVFpsalyf6Bj
Jcz3lVkAbiPd2JTMkcDt7DvcYcp6g7Yyvo2S2h7W9PQlid0kTPFdIBshcFtT22xsZYRPs8xgeAeR
HdymfW63W/Kd5EXvmqQqjSrprinzxujCopOMVpLTx+Tr7/DTaZhZvGHxFL8I8kqXpCEjrx9xatd3
mdmBIg4z+pML1cEChaNc09OBHkQ4eONBxVjHquIXJKb5L4Tkolinpo8+gwA9MW8N6YQG6i2UHCh8
IoMxCu0JXnvUdCGRl/2GU7KmgMHb66lPNFZ9kDKcF+nMukYHYwtIl0G4RFM7Xb/3OyUhPRJil+80
he4vgsXMeGNTEOBkmujqMXDb7NjkDns3lp/GG9B5VVHZATtAwBpD59DmcfFcY3ytISP68IC6sGAG
R3w8nRv5HY+lLhY0zGy96pLsqAKjS7I/ndVgRVa3GVVAQHjA4IpZYLbQI2ZO4X2bCPMiTQsUvtrB
sooqrhmNl5hBc0wGre/awPgOds5MBetfhCX1YsPAc7hNYHT+wpO4nVe2smMBla13H43K0j+GyvJf
nLiPh3llsq2/t/3EYvHqsX0Ofb+PNprp2nbQrQ27WYX2k23k810iYshywm4SUoRzERzy2SKEfnAc
1jumLT1TvKwP090IYfHGikuNXwKg6lBi7E52c/eTuorRKB9eGad3sF9CB86pLnqLKQNb8EaEU8dG
YVqq9x48tGX5rg17x11ZYhoS4J3adH1mYL7Z9B1CVgxn7iQ0gnpTlHZvP+P2n/M6EjBj5tZNZNqH
ADf+DjCmmCpIREyLwc353Qyy1sLIwHcj1uASltHa0UVLKODIHU0mX0MlAi+RnGxwWw+LGYdNrHuF
SUibePZ4a5GIijZCsUtVt77lWsAxeAU4pKzFTtoF3y0H/aVed00xouisYoW9P05YmFU+xKQ+Y4U/
lG53RUCdJ3dET8fqwiG2MH9Do2qRcm9bZTPgtFgWzhajBqwQCZfDf5XSPhAd1vJhKhxUucwyx/Y6
1J3b5HvtkazkXKG/B1IAX9ERD2S0S3x1tk2yDDO3GA6OmKWEpNOtTMb25tIY0Lyj0RupwTxjvk1x
488uoHADzGHUyUaYyZZDnVMIyCEmJdBYjyIvyJaAtUSiKsKpxfFrwI49Jl58xhaH6N91GCJBx0LB
YotBzRMeY4IVu1VcwzOleohygSbWUTatN0XcRpJJeqOgyhPGWUP9ABypaGEA2n/UeZS+O1LW3+Hd
1s06xjqAoikjjmXdRr46AlmT09MVlhBs1aSab6ICQczGDHRqr/veqd8XCjBO/4OMF3OTWqGrh5pO
mDmEH9JqolzSaY3Tu3YQTpN0nY1gPND0qW6QKCRbdFXmHnagpZgulPV1iYhyWs1T7b266TDt8HNn
6E5wRusAJ7YMyFxpQ3AbujZ6HqHc/wiIw4u2Y27njJTow8gVA+lSe34HyLo2pDnvEUBRvmMDTOFV
jhVfdjCrTvJ3Q1/LDJELQ0HlQuqZWxSEo0NFuqZt8estvkYkwBeK7JCoz70nBubQUZC2Zs6lA0AP
O7JJ4DJ6bWbcm45k9MLOUL2HVk7waDYr1V3puLYeqOvgYAUexe9qNskH3Q4SDstKKeyTpGna8YGE
E/QhZQ5OskbMCJsosjQh7bY03OqyXZbIJkYGY1yYwzhHOBZV0GTwV8GRQitivzDRnPU3h2YVeBSW
hEVCXm8h7ILGSWJIlRCXPrAt7ccuA/qwLeY5ZYmgm+2BlDP6WwjbuAvkxIN0Ya2dfVPn7WXsN4Gz
iXpr6Nda+cwZsFPh38Y9h00qL/xXmEHN0YPgSSGKaOKXEpX9ExuwnmXiTKzs0mqxhB9xp11FLRal
G6Rq8uiZDHV3uZPWdxDAGB1xb8m+gzN/h5HS+Kpyu7y2nAnJSAQ0428JpJHeFsaczalIbBUUyBrF
70ZaCInXCqayIIXBqdM12RkMzKCWeeZKSYkHge79Cfgzjn/maQ6YnTe5cYN1U4rDm2vWl3mS46Ls
Orq6yCJiGg+eM8xXZlsnT27YEDDjddgFbvAvgEwIWxk+kmgd6a58eMBHGBwC3R6WW69hlEww+tyZ
1hkuSbNSUxBFK2a+9DeBDwSz4nFwujeMO785oTU8W3Nb3PqKF8XoMGfGkBu40xMUZmOKOw3mS5yp
/BetW3SfiGV4GmX21GOlrllvkmQ55HQjAxnaOEQBFKgQ/N1giF/MAmtWkUQ9GgQDYwZ0THN09Cbh
OpsQVqC3K4GcyxWHPm4aWCcrRHcClAYb8yHE+IEYLZS8yOHIZ3OHNxq8iRzkamyveI+027Hwo6Wz
YtC26tiKsKzEEUgvHgnus/LkIjOeM9xl6K9y6G2F7L7SRo3FBn2A6vYMHetq3TlC3WLLM76gR6w5
iePkzctwzaOpm8enFK3wPbBm+4Q5d/0w4kRerpipYJcjbIc7xuqRB/FfKNngvFPNbytcSMt9Zboh
Rhm1hzfgrivBdy4jePqEUDnoAqztP//xf/7v/7yN/x38Km6LdAqK/B95l90WUd42//qn+uc/AAyW
f3r4+a9/urYyTamkBz/SZZbpmQ5//vZyH+UB/7L4r9APUUs2qdwSJ/pah1Vx6EAPKJeCcfcfXwlX
QNM0lUTH4Aj955UGxQmjSF7aGjqS3ZpwixlfFnMgOa0DOFn9jatJ9GsKwybbMq0/r8Z6QEGoXehs
JoXjFiEV/u6T5XWXNnDC+8cXk//2EIUCPdCu40G4c033z4sleN4DkZPpBaOsRnxEZicblWE/fXyZ
f39XinxVy5SQCqSrhfnnZUqIUzg8eRJLMaRi17huOOFxgF3v7Cepff/h48str/63paFo3QQEapMx
vClcfbo0GkQVPZae+RNesuZX4aZYbUnXFNCM8Yl8bVqano+vuDyn0yvyqnBtgLaIG4335w3iZBIT
KdbkT3EHt8s3o/C6rcfszsTnEh+vgoE2/UPyyVVPHutf92lZUKFM23G45ZOlElVyLocmz59w2Peg
Wppz+Yr5VPnkYuP99vEdnnumv1/L/vMOPSiNpt3H+VOm05prGU6Ub1WvywfRWPK5ylEWffIlfHbJ
ZfH+9oWDKBQjWor8yYns9rtntIuBS0U25ohY7a5H23j/N+7RdlwbAZ+gAjn5GkIixayS5KOnYkjl
BeNT1V7rmJyj9ZxqhW2OGzvV1cfXPLtytJBocSyhyFb+8yZVHlci1mmKfVz4wpR8gnca2neRTpR+
JKlviA4kLbrxJ8/27NL5/5el4Pnzsi3i67B3m/SpxzxEUP5mPnhxxTj2guhgGe0+vsuTfeb/rdTf
Lif+vBw8SNRdBBo9AXs01ZpAc2bMIzDNJ2/w3G3ZJmETDEMtPsflz39bMmGLlnqOogzyhunvEqjx
h35OAvxGs+jx41s69+JQyNqAINrByu3kUrbJSAZ9U/aEC+f4tlBQL3Mb+GmV6uCCsmZPQdZ9cnvn
vgjbwqdJ8ZelLOvP23MypjkqVOnTwGiQUHOGoAfo7e4V0S0BnWZe1V8+vsu/tubTnW05iFxwTMuz
nJPDb8KnqnUMmT6NpF6/uGBPSIEORk8YPDqbbOkjECvROIyMkA1dtjs1LDlrH/+Ms+/VAbjHLM1D
kHmy+8xeW6vM1vGTEaCHXqGb7q6wVUCDp3EFaT75OM6+Wk4pqQTzXR72n49ZxXjzB1MYP/lQ0w4I
wUp4lQjL7sl7NtdlWunj6Jnykx323DdiYyWnWMCS2zzZ7iReOUvbHj8prBbglE59s2loOcfNf/4s
JVs5tTVUeOmd3F2KvA+ssU+eJNkQV93ol91uTOZKgE5V/ifb27kXJy3F16gtFo86WbF9MeB+7k3x
EzZ28gVXUOMSmp6DR5/ZbT++r3MfB0JAk4KQOsOzT55fa0/g7IbNWxOmJlKYKeB6DKvpFvt3mJQo
Q6pP3ti5dULfIxVlIVk33smqrLLCzFwSmp+6tsa7MyzG4XVqHOrxzkZARp5TPdYXFO6i3398r+ce
K58DkkpUYeRAnHyVuvErTmCRPBEwyix9ikqxnXNlA/FR5n1yMXH2asoikdX0lCfE8hx+21U5Ef18
Av1/gt5UY/Uuw0dLuIi73cq+MODUb9gEOlR+zjQ8SNwzsf8KHX3boA65YoissLogcYc5J0OB74lR
OYePH4dYzo/TXYpqz7JNb5GV/fXnv/1CgviKlPy79AnNJEQ9ZLv7zKjnXwmiRDgMIoG0pey73iO+
DNs30eJYH9qhtQsxR//4t5z7jB3X81w+LgeyzcnDaofBFBjaxk9pQaoXTlImivRiMJvwkzP17Fv5
7UInayCKrbFJyiJ5ajOz+THDsEMC2QshDl0B8/CTr2v5v50+YVLRtAuCxclzuuLMRsHT0VVCd9gT
7Q5ZygB/rh2X+SBGP3RxpLxB0otucKBo1h8/0zOfNtW1a5qLoFewtv5cgPlowApJU30kH9VgTDNN
ww7cSiyk+Xp4dgFzwouPL3nmfulXTFdZgi/c0Sd1mczHzqvbUh/xbC2DTTCQ7YdZswwnwLLAZmyV
MvH9PjQCgTt6Rj/99vEPWC5w8sBRV/Nt0zgpJcTyTH5b0kBdIWSjzDvCghieIfYw/HFyHR+mph6P
RUX7KSHMkHObh3O1a+MRvucnB+G537B0vrx1mEEMEv78DbWrYXHiP34M4JaFGLpawZfc1e27iqOi
/eo5xNe8QTEXydqhThJfHbQt0X++y/LqbU3ZQ2OFiPrPH2GNqFqSSnpHAedTbyKfuJiCiVNU/YA4
6pW70kMassUkgfn7x+/g3M5nuZq6h81PW0KfnCk2k2MERZZ/9DDUIH85JgZ4bWJNcYtS20S9Ds5B
IihvEBXQOHcHAyIWPjIGTFJGEa5tXAQVhxLJpV7iXnCI6AuRmvEnVdqZrcDSEMU5Yy2+0X97T0mH
2ov0gSNYQXqZqID5s5x7+d7FTvn142eyfGun65Ir0NAvO63lnnwYCYZngUl86tHueQUbJWdGyGU1
iCujz4MK47hmCOW67IQXfXLpc8tRO3+9CBuAU54UEzh0jxbPwDvCXEQu27WYjA+poK+XObDn16ZW
xTtizvRHU4r0fsRWNt5/fPfntgVqNKk9PBZ5WydHPjnECv2f7x0hNDCyxw1gYcSFBrmpVoqIPkwv
fEAV0hHJez98fO1zuyBljTCZDLnMUk52QSJTO3Qcwj/Cgh6AGDld88UlCHvTYCYxGj/IKP879yvZ
dNn0taI//fPjm2WClr/0/WOCc2Z0WfaMXWMc9T2intA/IV1hobfQogNMdsL++eM7PreuKfeRGHsI
PtXpWsP+JheoAYxjnBnWtEFLkUKfsnRlx/tetvX0ySF3rtvhUriiseHzKVnLD/pt0/Ul+uXJHrwj
Qbverd2mMb7/TV5dkxq9ROE0KU6CHqFH3RJxMINAG0ZnbvqOU+STA0gsS+nkQ8Mwgg7Tsfk1nj45
AIae1Uzir39E+S4agC7tHsISc7qnCgv2y74qpoe4nRZ36KiC2DFa8V4bOW5bGYmWvKa8MBlZ+ub1
xy/lXLFFnWUJhmu2rXhefz4k7PJJPilt46iQeH8P6rm/TnhPTP5xC4s3fdNnOEK1Dv5XeYqqCVTG
u01D7EIuonR5dR//njOfxVL2McbkuGQIdfJJgh87Dib3xjH1h76lFSXV/decRtA1mIXVG9qF0frk
UzxT5C2X4zRCkOTp03ozQmyWdJPvHvsMPsPaMXxcWQN8X+ZPTuBzN7d8eriSgJvYpx2/gL1RwYr1
jmlEbivohDC/6M70E5IMivlbFmIB8fDx8zzz0YHMetZS6GmLqeyfr9f3W9xa/JDCwyB5w5iNctrl
XlhbhzBJMar4G1ezqdiJbQCgcE6+OHIHIyIzNVdDx/QekHQ63AaeBQBYkcLzN+YIts20W9ma1olm
5s97Y7LgM8WdvWOI/ukHBJ9op8qywi45iC4/vrGzb47ekJfHaNZ1Tj7fHuhkQi3tH/HR9C4NQree
UWYtHCKT6JYpH3u5+/iK516cNKXmdFD02ubJkG2siWdXJptX6ibD0YI4Dssyyup9Svmm1h9fbHlS
p7uTpB53QGBo4E5BkTkIRjvo2J2QTDXeJhF5ALIHtV5e1OSx3UZSVu2GaGTSEAkFB1iMS/OzOz63
X3MgKiGF40o8cE5qQ2cUXQSDFDlQX7nBVhA0jlOnBS64JSYxhgRMmE8F64IZ3j5phvQIMbQPt4Mf
tvrvPH4aI45Jziqon3+uLZ33sFRZdMdumrBiId+7f0xQLuX4HhD59cnzP/uywYck4yKXYdPJyzaW
uPdBDfrIsMpAKD1NepMOOIebJEj9nYspQXXJaBVvYffk1nCpMxk5BN5RA8GucxunspWLQd797E4E
lX68ss59OL9fzP7zOfYyEk6b+/qoc9Dd0p3Uyo+m6kJakcdUp9DVJxc88yhBfxjAK+5OKLnUfL8d
+jgioflmwnOcZInjrD/53yFhfSv6oP9kGnZuvcLLY/IGyoDS4BSxSSICCuOxpqusLesia2vzmhyS
wMVhss4vEO0TR6g8lF8YTkbQmLGPIBw3Lt8+fsRnanjJ97Jsua5iVHZyx5PjW05Qj96RESiWj2nq
ovNO2Dj9jUZclt5NYVRV38YK7tknLdWZt8ulKdI9xtcU8yc7cAubgMSTkQlqSyllx474NpB0tsYn
LrsRZAPefXyrZ14uX4iQFO0UzlQtf77cIsSRo/M944ivNH3KrIO7xA8FFg9Aqp8spDNVAaX50hux
C/N6Tz4TL6n8DDqdfzRmaHYrQnAm0iSjZXz88U2deYhg0Q47Hpg07ksnF8LFigieWBhHqeHSrS2C
cCH9Z8po9kRO5c03eG6z9Un3tSyKkx0f1MFjl6X9oe47qQvgvvtB3c4B6BgxLQ9hHuitsEYc+9WA
b/MG834rvC7DICK7dazSXx/f87myk50VqEVg7cG0dXnTv32mpNE5dTX6wdP/knYmy20jwRb9IkRg
HracJVGySNkW7Q3CI8bCDBSAr38Hfotnggwy3G/RG7e7CwRqyMq8eS5ScK3b6EwkD9VsNwG5Ucgc
NCvQH8giRYh0Miwxkj7NvtAVCFyVHklA57ef59o3QP/GpdvjrajObGLZGZabmaMEJwTZtNBoUBSp
MGfs+wmq0tgatY+3B/xz+Zh/ALK9FHu5EbF6pyf66wUgGikgrDh8AHfiYQJ+s06Cv13uBqmFZIJ6
O/OCV4RPhr9q6WBtThaAKCAncevm+yrKLQefPym0Rzow2nzjtp2AItDJIdxiVKL464l7Tye3HO22
eRct4pUmbLT0WZad8kmpi+QFlih5Yhos8j7Yw8Npqu+3f+a1aUYxG2AhO6RH8un8VwawYGoJzvId
r17fSRAwlV7/QWhD9rHvMueAJ5J46FPb2Xf4hKxvD35tt7ANJAoqd07HnteZyhpxZuTFwQkKcv3Z
j6BX4GiU1YuEXO+dsa5EUNYUibKAHZesgXH+Q6NWo5/VGvx3Wqm5PtNvTFu0j69dsQiEfHaagIZP
clpaDRtXqnIBDdmM78ziaz+YBBdFARRCZPlmszhwBLpxp/HffVhDa7umowvLQbok1NAa/8ON1kJJ
wygkcTl7pof5awJnGOdpeLRwnbfdaN/2pvmqF569dQcNTypfyd4c0NzA1G1a+3FW/2ynWNTVlTIi
5IKxssCKOvfu7KVXzkILZb5HMoFNhbzK+UO1HnmEtnP990IXoFFtpHHqLsfGV10A1C60hQoBC6iC
49x59VcHZhsno8k9UrPnJ2Fvm/TTOd47QK9xM5Y5nRqeb6wCXUlfIXmGa0R60c/bE/za6nJtkyoJ
8Q6crNknoJoLHx6kwXvWedaKvjuVegj9+ntExiDbEbbnr6NPpIxXRBuXu9ujX9szXfI5RMEE7Uz+
83dd6TX1zbjx3kfsYgE5gfy3F7SLWbvUlqFchkAYivXtMa8tM4JW1jQVXU6t2a5Zy7pOzKL13x14
k8UCT4xmyeFtq0+1tLSDB/TuKx0RFr0PQKawG9Lb4e32I0w/a75xk8FBsuZYqKDU2c/OkeqTs7e9
9wjw964jSGjQ1js/2zjs8tXtsa4ek7TukQYmxIRmOlvRUYH1Uqyzf5a9G+7zwUJpRfPMjgjTdd4t
jN+95wpoI53qZgazOHe2HtxbQ+8dcWdpXUufczT+37PM4hQDnpKPGR7ZQ2D1DwbMmU+jWwd7w+60
pywXZQRzEVmiHiLOXA0iTh1mo+N/U426pfJSaCvRo4YZG5l8ABJneXfW4LUJ6dGjpNuGQTZgvviH
wEtpPA/9d7jcyUdISxY8yRJx31JoeDOuYEZiQXD7C11ZgjZzwLVJdzgIJo3zRWAi0OzgxQYnz6wB
+pgYcplrO5FsMM3gnwbDpYcCTekGDmWt3lmBVzYdW0U/gqRDRfFmzqciU14kaDjfnWwSoctAM15U
ibkBtpMI+ktjyrOS20bUeftXX3nTDGxMaVxXdfnp57/aDhxS1CINT90kWC+AvG2YCTmagJIe7JEW
DOf0/xtx9lMB/0Msj0RwQt1bZBstICpfqTSzaWsNcyq5KLTG+3R7zOlXzFY6qSzYMRofVkVVef4r
K82paXjk9QIXaz6B//cnnyxQzf/hbWq01qnoJFQbduv5OJHRYtbpD8GJl+09oo+rvrel6URrSDyZ
vnJHz79TYrp2dQXDQq6BlA93qXkOoMMdwzUEdw7Pj/3VQDAOO1/NLIhRcF4jxau+6vQKvGUecDFC
F5ktHTMUzp3nmL7axRv+6zFmv1yhVJgmeKe+q5j5xmxiPZGwa4EUx9E8erj9Oa9NWkpqpENhB7tc
tc5fc9upPVYiUXTqSjc+TOrPxeCL9LnLsG3VlfyehOXKWYUQmkDE5JyySL+ej1e4RUxfXBmdWiMx
aDiNox46cdVU6d4Ohj8Ms8H+rgLgfUSpHYZPvdpiInr7R197wxRrbR7DINM7FzC4XAQSfA+Q7CiT
qoVQPf8omzI4mbVq3Pma2rUF8/dgs1/cdLRvtL0enWCZeT8it+3VrYi1dlsNFs2K8PZoIyBog99Q
eLn20ODQhiF3TwMOanh6JygHGZb9zVXyUV/SKjncq4FffR1k323y/Nzq5+epkZgGxtk84aCaPZSb
KnTNrTCaCC6VUIDY3H77V6ec45DUc6kGc5U6nwJ4klmIaj2Gq1A1bFIdy59NDwAYVh8au3Bv2u33
20Ne/whQPadrpUdSaLam/DAMAgRg7JS6h6hxQUePfcSIZKC/GyRwvutUKCoPDZSXfSY8GzsSz0mI
lVrwmQ8qbbXjElM8dIB4BRU/3daU2p1s+rWvgNTJxRSbTK8xl1pl/H7sLp34FNIAH0NDMiHoA3nf
KRVslDvf4Opgk7SKe+gkApy9DzC7jqhtJTppeCIGH+pRaZrNiMVksx3LMPt9+/VfWwIIaqilEa5R
eJktgbKzBgeue3zCkz1MIbAQuR8BdUHZvj3Qn+zifO+cqhGouIi+0TScz61EVhZUC5GcrFKBfJgY
OubJtqTHR8dstlwiNqT7Xkevvm2iuH/wjbhYIyXPMcGzyh307m5z55Gm2/zFI3kIA6f7PoL9WbRa
m3Vg0MAfnXAa17qHIR5asWmNnnZY1Q6fSq7N/it8/4BOpwaTFO7BtOhS9srDO9vetYVn/fUks1g1
bYo2NKQan9yvcVR1j1amlC+aH0Y+OhuzLv/DHLORfRsGVz8KzrOvPp0l3FfgQ+mZKP8YvMerMeuM
nxaqhuXtt3ztp3F2m2zphAtcv86/O9GzN9LMF58yMC7qoibSx5sPQzvqQ9RNzCUCRfXOZJuef/5h
bfKEZHC449KFcT5mj/GRruUiOgkSKtmz5/dJs0U/1r1YHneSTVRKPOTbAt4gfb19RpXm9o++tqwm
vZqqeo5N0mH2PY2x7q3SLsKTbjW0jOqu4j7gNtfUu9vjXNssqB5pLmVFexK5nv9QRbFbX2UFn4xc
6T7LYsD8NvU4i0QnTreHuhqDcTSQLaJDgSBo9iHVxiHqScPgpNdt8MXt4X8uiyrdGFiqr8qg7HGU
DTXzEe5x8rloh+KBv+N5dz7tdATNPy3pMWpBhLqT1vb8F1N8poKJyv00um5rrPsujPnRWq/VSx2G
y0Rhwy/XNWmnX99+Adcm1d8jz74p1pd+C5A7OKFytPVl0mfA3qEqG/qrnwbKVhnF8IhDmR8uoY9j
dHx7+GvryFWpJuAZQHpwLrPSUK+Sf21CFNpas/FA5z2PSZsc6P/Drwu2SHmvye3aq3apbVo0oyBH
0WfJUFCXVtsHJJlziN9vPqYVbzXOWo++H/W4YrnCiNZBmyrJncVzdaaRqtC8adtg/U6z/q9UnaeQ
Zy4IfN49B1bqB4xYEa0FWanue5zKHzod/siKbT0IgYlk1o+gA6y0CZMBc8n/8NIhhU+dd8z7ufZz
KGRIotTkFQymBMMkbBPtUwMDw+m0dkWtSb0zy66+dCqaU7bGM1HIn/92Eo80j6lpdJqsJ479iPmj
GxX9b11Q2F6MZHNWqgKH6j/8TtMhaWPxWy96O3pSooBjw/AUj9F4oo7Uqq/SK43x6KM6q1ZmrQHe
vj3mtb2LapWmMWGR0Mx/KQgQKJ5WF50AAtRfqriesG+jy6s1BBip24Ndfa2WyVC8U1LO07//a0rl
usiiytWiEy4otLkKzAsOxI8w1/PeYBNDtUCzPlUK4DK3R76WE+PSSgQPPxblh6ufD11YQY5tCkxX
nbpGv8gMDH+haY3tuksr8G2WVsBgDqTSBI85Cr+lBq3jBW0PhkambyqH289zbR+Z9OHkI3ksyrDn
j0PslTfd6LGPlH586JLQ3RcKDrabhp7G70k75ncOjmvfmYIrh8aknqZCeT6gr6Q6rdgGyRercPUl
CLuw2VEbVsQ2S7i531GIXdmmOXbhaZOhMGzTmu9aLoZ1E1HoZIRl7T62CLQgeTrBABBJjPXw0raJ
Xu/wjoeGEmGOWGxuv+Br2xeXQtubGkBJOWmzJexJSCY6znvE1Iq/SgwH3wm63eGt+In325OVsjZG
zX6yTPy7RzfHNQGpXXdnxl957RzSJhINPjUy7tl3dkx4KBjEe+96Vkfu2tEHM1jhmKaXG1cPnf8g
nHAmcSitWtzjyNWcf2Uz1PEtGFJUGoHM9zZ9GpsuLhpA1aa+ajRluPPzrmQrHGAUJNcd2yCCn43X
0kKZtUXnAkP21JdaTiS4oWuk2CZahyOUF76q7aAZEDl8fCC0sYFCfftDX3+EKVPCATGpJM9/stFa
2Owk6CmQSLZHWbppsS1xmwt2utPI9iOyVl+Bv+F5h1ChCXAbl1Fe7W4/xJXljEDVJEXA0uL+PHsP
TtdZcJ3Q5eZpX+0qVB2PYGfwiPfp5tThgtzZzq5spFMQqNGRTgMitavzH41tbmjgVeO/12zp3+tK
Jhg2WY6Ky0GqFBa2grAA5VMP2ya6s3P9OW3/iv0IFilWUq6a9hKkn8Ys9hvgMLa+FduHDOkbNm05
GPjkRQ9a0ImL3qpLuQVojQ2W0LqurJZgZyEZea2ffldIselrBzl/Apk4MLsOeO1YjyU84mDEmsQs
4F7YcVxiQO+CMta17e0PNT8HeHpOcy6ZlIFM1IbzxvChw6vIMUf7UGOE8Uq/lBevB9MEFGHG4fOY
2+Kr0pLSGf0YvRhokPQoikKeClOP6zsZjdlXnJ6FR+Ar8gG5p8xzfe2gWhko1fCYBU6twXwNbHg4
vfZVVqHzBn8SPQGA3DsKpNlcZVTy7+i56VlDE0Oe8XzuZDHS3VZ23cGVmf/Thxj4EVIFSNnJWhu2
XmfK4V6Ob5oT53NmUlaRbmC1OSTG52MKjBjNVlUPA9/Ge8AYacieCjPPoI1nfqq7co2bkb2FeyKg
XHq9nRZfFKBT42rwZFDRQN+onf9vu9f0JlivVOU8jihKorOnKkZcmvqu7g8Y6a4bJx3sJZPjQeqx
aS2BW2eP9EE3k/YszIxdOMA5uRPxXSi8WcBTY6SGGozYCyHW+cdInCZqMFfQDhmkJmhhRRfZWxBj
o3IypK++jk0mM7ioXdUBaRvqkC4DVYpHyNCU7B7ZYzBhrYeI1vTABfRg3tlo/oRkf305EBsgGEix
oA2gYkwp4fwBq7xCgaE29iGQpTbGj3ZrezUCgTIEKiZpflb2ZjV0/cMYuvgaw8MYOdXiioP5oLrS
6zZVBXts6WW9gDItMyPN3kD1BPUTNtvZw0QMlL8rwxhNsGAKFPRlPUhRb5DJSX9RtW2swfTPfN3v
Se5WzZvo6XIoN+i9afZJi0Jxm5UeKNpOE4MlN70G9eWD72GuulGA28HELNxuOLhlZUtUdahZ1ph0
h3Id00mtPOZ+BL8ePxr50eqayFin3OVafRmKIW5eWs5081Akf+DYqRJL+zWr+8FaZaC4xqUd0jq7
03H94OKZqMqRp0pPGrKWCV6KDGpppTLqyFklg3hsy/5lVHRTvGIKguXxnek839umb0U6iaaUqUmT
bzYFI3+F14WSq5lmNtpBlrLbZ54PATYcBihFcaGJZWbGKX5/aYIpG9Q4f6X3krwTNoYbK8K9/uPt
rXYeAqrIqAk2TYeyKtfH+RnV5NIMWoxKj83of5B1H+487LmXkn4A4m8/+e2amb/TOj+/s9tcHZjm
eDJOLHGCz/PXoEiz0PHWrY69Z4Y7NY7Fwslq2IXIO15jd1BOsPb4wwoDpjtxwEXUyY9mc6XfAHWD
My3q87Gx0WAu9EN4LDC/8FbUtGMPniZWp3SHgcK3Se0ZH6NOA+GuFtFRcu19T71Y3NlYLt8B6S4e
BqCEZZH+mt20FB3AWEzh+tg6zHTT1/SFlophLzpcn1WzjL7FJFeXKY39n29/du1PV8r5ljF9buLQ
qV+Iqvns/atR2teY9aRH0spOSYucgZHips8GVYPHh3CwWORuyomL48+kPfHMbHyjuXFqIxqwPwxX
GLrE9PAqnW7vxsqS/kFn0+l/91WKh/0vMhGefB46v9S3MhYy3DaBjkFB70k/3fdkcbnDhvgGL+yi
78NFOFaafqgwrHiCPJ2LVVqzFtZNF6nPwo11sGGqChBXU0eg+PiwBrTRIgOrMIgM8THEey/vNl5Q
YUMPISNp64+ER/mrbQzjV599yD/Qp1Pa254EWLbusJDzNqWpxvW2xu4WKHdjAyEL7VZ1fowY9cJM
GMEePvL2sK0Pm0ry3xphbL+Ccxb7LJatsh24DuJMomOOwKvihTWPVYM8bVXoFNBXTodYdylq3Ybf
Z6ZO+RYqQC9fkU034kn22G6hCtXcJFjkVudrGdBWEUX7uhd9snGq3j3ibu/kuHX4FW1sOPGstToe
+y+WLayvZh5htw5Wt35NcaOzt20EthyPnioUy1B2spquqnLnCswXPktzqHb4GsX44NgQwvBjJdBa
uAW6wrUdawmGuxLz7kpfoqoz458VhFoNDCptZNk2GEqz/ErV0bFfKx2hyKsT1xhGGTmaHGj6Hrr+
mrjEWE6XLFzlS5mpzwCGnbjcjHLETqcSLYcMWnQWVg9HsflS2RpXIFJb6ZOW+4n9Sw7Cfc2kkJ/1
fOhhd1vw5VZBlhfeCsAzejfMWbE0wHFzl/QOJeEl9kxhvQRFPKCvT0f3McQBetiiuc+/5l7eABDH
7/Id1UPqrQbF9jHWSo2sXOrc8Kpha0PMiU+5gdnWthiLYqBddOqirXK39vC0sUJaFQYpAdPit+Ol
D4PRp+oD8M7ue5mKAPKfY03+sCZ3rE+1tEdj3+JM7mwA1SglneVN54hdmcZ6vCSJ1z2hjHTMt4Yr
FxLYgaabaGVSrhs+MBFS8a3Gg9l/8Xs9lw8KVjMWqnMlLrYOGFwcaTWZiCc6YhrrI9fioNuPpYoc
putD/cc4DgmLS8J3e5Lo5KxkWVOqxIo1xBp93edmsRWONDXwnCNF0Y0dhfUD5j8ZKLAptCCuEY76
qVdItKww+kM/uqh9K9/Ebq334kXkQhbK2gIBamB1k9QHvHFjdHBji/6/TYTi35EzX1TDVDrYpjwb
fWxE3xeJRQhjeKljdHSksCiNpRKneBXlbmf96r0uOhCWm0B+Vafm0mhnH+Hk4G6Dbsz5NPiZWDSq
sO7snpf7NskxF3KdR58OvM3Z5Uq4ak0TpWEdmG2jBrXa7VtMcuA8GGDBI9uEzTOI7sUAlUz9q8ZM
LPz3M8xiYJP6E4V9NOyzy6WNJCm2+yg6QiUkgsBkPPlQk2x4MIGDvBmdau4sY8BrHiPJQ+8p9VrB
guvORW2eOJk0LSjNicwtSpUcJOcHKdX9PvWoHkHHExioL7MIBdvjWFWD/wlenn1Pijm7FRE7ISsn
ccIsQHihz+PcVKj4F6djcSStFR5yKOe/Gh+pHp2Z6Qf8+zTj36M1JgoBNTJI9nmEmOe/sCvomS2N
LD+SFsOVTsFjs1+3Tm4uKiBMzkprQ9d9GUr5GePSeNtNXRmcITbaPSs0X2+f2pfzjiVA8Qo5GMc2
M+/8YSBhjF6hacVRVjm9001R7lkT1lLGY/EEs33sMd1lwUpwXHfixOl/fR4uYLRDJwP1DeYcoev5
0KnDAZoC+joaFHZeutZQV7202m89kunJu5bLH96Tx9u/98qgGtpuSs4k+EEEzKcXphdZbUcNmXU8
sOs2d9cxGf/9QCf3p5zk5CNAW/POL714yZy33DWRGWM+A1BhtrgTZ0ilVaj+MUntdiNEGn10Udv+
oKFXaIuco1x7GqXmf8gaD/Dl7V98ZXD6OR2mNk2kbC6zL6zUdo7muovf8PNKxxXmDOUO4Ji11YpO
3TlelNc0dBW0P6lILe6Eo9M3PPvG+kT9Y1vhTHZof5ptKdCHJSTaIn0zrVBuakXlyxJr7NU+LZdZ
1SVYWiTGBwMyPX2SsfZ2+7dffm0OP3I904Wf9/9H/fLXxSjFjrAS2JQfXM3v401qdeGwh54bmysQ
A8OKbrOOD4DV7r0L/uW2YiG2YIkj8kTeMVfppRoGVflQxMeuLYPXIooJhEC8gYzoo2LTcqG919/6
J6V89q7J/5L3pvqJzgPXo9kskzbNjwLs5yGJYCzTbJobpJVsF45/QHClbevBws/GKKSxaUoTZdPC
p9e3eee8UYp94ZZTSNYEefkI/9yIX0gWEZf5vj6+8eS4gXB8iTGkj2QwvJ+DI1okWMnQw4TRfIr5
APOjinD+zgS++Ih0mDosOvIQSHXhgM32iQQFlJKC4IqTKD0awlF2qCJHf62XprWLk87fd2NV3Bn1
4gPCVkInA5qP1DLLZzbq6BklZs6meSx9xXefBuyO9z7Yp7Wel16yo4zQ/rg9WS9Ovqkpboo86Gfn
/JuLgbDozNHABcMRjw/xsS6V/Ojg8rQNMTG+sywvXymLgdlCIxGSLyKg81caAGqnaOsFb/g/Vu+5
1L/IyLWfMi72uAD6bbLGdfYeqeRyI5q+HiWv/xVAzxP2ldRgEDeYDEe1ETxxT3SXqlbmhJa+9WKX
jvNUgppKF0yle82Xl6+WkYFEIXsmFXah6hr1Pu+TtA3fcrIyO8SzaQS6pQo++NX9yioql4tdD27Q
1JlLRIHmZr74cyYz97bIORJRldUB2zpZss2P+D6vPV2Y9S+MlPzu42i4Kp4QgSZIOBL2wwTP275T
F1P0EC7qptGyja0Xyk+3xLl9U4M3fJUu3Xgbox107NmUOBKk3so+fCzdpIZNRNtag2tO24Q16MPQ
L1eNQ5l38nkT1YOUWo71GAFY+wNmvZe+wJosVW52CYjvD1ShXSysFaMwd7iAZ1Cfucl/LkQkPpUx
3oVUwyO0fvRwBCPqA7X8oRErJ6vcRppBma02uoXNtvBSV63rrwjm1XiphVn1y63NATP4ti6aZ6up
lS+xZXbti5b09eeQpoQTLb/1j3TUMCIO+np8tS3hm0s6tq1mr1LtOZq9GH9I8m9voagyjdLOgFd2
0/fwzyOwBe0ChHD4LA0d3ZZU0yF+bEScH1tfa5sHOrlGa5VTk1gisYzcR+zPumwB6Ryun+m5UmBj
1Y/BDq4x1jEuXr2fS8xlvW0b1MVveIMwT7AlrOpt6qoyfMNDoFB+4dxR5q9Dm8QrIuW831geLe9P
PgmWfRBPTsqkdJvf/GPqB+Jm+cOzMXdYmw10U7w91O6TIodSf8+rInusak7SR99qDOxypd/GqyHU
2i8Gh0i+jrEbrhek7mrMa0jGIqXHaIK7AH9ur3Sc3WgB15M8t18GPHppB1dhB7+63ND6javmQ7U3
yZdEn6w6FuXK54bZL2sNoNWuR4ZFniLEZGFpmfTkwBMQoEFtNc8XLdZ81MmBULTP5UC+ZmmPjdZ9
dqwy8R9dtHs6ptm6H43JkjueV3wVuo43koUn4efWGfxkhbK53XaDGxpvfY7b8cLQ0yrexMTYIRJf
LqyLUEfhs1R0f+yB3+fuySa9Zf/AUwa4eiOz5lMZgFZbNnrsxE9QXLIclxQNmzXkCiJ/yEI/+tYG
hoKrbRAppA86A9ulVVfI+EfADe4dckv5VaSZqBaKSleA9ELPeomjwH1uqtHJ1qUvfedE4jsvViTt
Bmcx6oWfrRzmf4jdpTdE7x1mGz/Z/Jv60FoSCzYlieJVEQrKBS2bW0sTaEM9LKLz55TGdqO+Jg1G
wSiZI9s+uj7p/n3aCLJcVeep8BkI3nB/FgmIeXwogBZidYBJ8gf0GX2/8SaXEPrR0XI1CxRZoVzw
qAP2HrageIShoJIZG1oasKXx68kNBMyqgr9dl2BG4zg1T1RHo2E9x2HVnKpMtj9GmhN+poi2cOni
0/b7uvPqr1j79tE+8zENeOiHDD/AcbDthYkaFJl9LfCvU3ufQrmSZ9HJarNa/PQrtzFJQ7S0Aeht
rP8ozab3d6APvGyRCq4UK1RxToQ3BhXBhx4DTBxIUinMQ+iVhY0OtZLND7/Ge+CxQ2g+vsWthSkr
RtUNMZplK8m2THpg9npTWJ975qO1LFxOi10yKD2FxbyaWPthl2ziIoqKpVoEPV5oXDl69gZcUlYq
HX7mAz6xcfDoONi38gZ1GsLdWOg+WcM00laNX5kvOKE4GCzFmBBGG+Ijm+SkmRYnCu4RLZiWL3NM
Jxx0OV9G/v/DWsGXd5NNXcKfGsNv2+fOJ4VH/5CbVdte2OBKzUC3P+OtinOkb1bVc8tbba1VObR9
8mTA3x03ejcpUEyAVWLTW1axjnFew2nazPDjcieUxdGzW+rb+MPRwrLssYkqVhgfKvUiywcUvF2h
l1tgrfmvZIjkLxzFsk+ASep2h+92Y8LeH5x+F5TqCEsIZwnS8I5Vfys68DMvqhE5HbEUfClaHQsj
fBwaFUNW0pNpj69UX+T6VtGGyD2ERV/9zjG8VBZOmiu/lAqixlPbela5Lg1cZe+EKZdZdS7JaKJg
iHI95aI+C8Kc3Mb1LrH8NyvPgNeHtNbz7B5VxEULiyzfSMw9P+EK63w0SbKGNATI/ANmoKZ1p3h6
mTKaHgVJGLEZ2TPwgOchk0ObiVHGnf9mZq3cGMLMXvDFKZaRCuiIHHsWbXQNHKYMVP8LmpsUSXVl
fMUTRjsW7qjf61298kCglSkhTtoHSg/zhsrBIBvpSjP6qFWBtVfJyH1pUw/8WmQNWbiMgzpalZS1
CdH1cXgMAvw8V4k3+u+WXqjfm65It7cD2MuoErbs9KGm2iq5hFlUaRo8TRoMxpFCfLCvQysuVtAS
sFu2hvrY+QqKzSBv5Z2EymWkzrAOCSMu2Y7LXe/8y4xVLfQa78CjpNcff5kQhTEu4C9JOooX287/
9U45bcg0TNPpRXrq4pqF4fgA7Lk2jopr118x47bQu+Cf0LuCPG9rZfWuLNX0X/M0lM9tJGMk52Dq
cq88/5F50aVajD3Rm9VyH8DdpDQ3Ri66D6iLcAxWgGAtGgpbC8sDiHpnHU5v8OxmSaGazjYiZ9A2
U2P++eCRYI5bonOPrSwg/tG8LFa97kXLyrBwo28TM9pBf2yNZaExv6T09XtZsyuPgFTsT+sy0glU
8+ePQLW+6jsMM9+aPlEW+CkN5KQ0cDSLoPQKqtNjtghU6ZwwX/YwZEus7k7v5uU0Q/lLuzbYB/Sh
xL3nT0AOR+2S0qnfuGcYW+p5slngaWU+YjWeHWuwVZ9uL6c/GoDZa3dY3dP1F9oPJdXZiEXRFLHd
Ya4b4EX0UMvMfQhLoJ0r1JJOky6sorZ/BwmwRcoLivIYGMQiWqZWlN2x96GpP4kTa5lGnKNrqzTF
L82pJgqu9HH4tLymVrc0PMi9M0TiXn/t5W6ASHy6PKPDg9sxvwQFtlMXqRZWbwJ1ZkG03nrrPtXc
hWLTUrTGAq1bsV1U6Z3t4HKmcF2nm5/ED3XYCyacV6n0fDZN8WZgg8jFBndtsW1aNy0XI01UxJtN
I3U8hgZ5kklbysl6N+jvPMXlbCFxoFtTCoEbPQnH829XUvpKZa7lb2Otad9Lxo3ADuPpiq+astT7
UX24PVsuBvSgXyNMR07CeQAMbzagWuPE1/v6m4Y97HMp1WElI9N6pPhXPhqx293Jj1y8ZpiME5qW
jCKN5pzS5+NBXfHKSgtTqj5q1SPxVNxvWDrJr2Y4Wnv2qtNg1cYub1X1IQE/8q/acCgSf3DE7v8O
b8yWozfovpW2+BkpZVSEj4kfVemrU2QuHBwP9dvCKazQvrMHzOc0g/KaQXcg+COhOz/hsiCD4pS6
7msi9PFn03Br3tb8qb7VVY6gtd2Lqt0YUpTVnVNnnjxh+6U2QaWCrkxKD3OJB949iNWwaT4gYPG+
+42wn4t81Mx1DLHDW1tjrHzB1Fkxl7WNcdCdyXWhMNEm7jPkUfoQkP4hjjv/2mj18OO0rOCQZ2X/
rdcVez1koyiWRp0mX1L8BbcekteDl9OY22OT+qlou3HhEoDfy11dBIU8C1WDSc087Yk06J4/i1L6
dKOiCDhoIhoe3UIbMAAHgOmX1fhkaEFlL1rPC/zlQGSw9d0x+dxVo2/sbi+4K89B9MkdFPkrr4Wi
xPlzYBVntJL0+mHo1OyhGgbxYla9wz0QcdKPKnG1b47Z12/4pSm/SFAGa1y975wRl9PCJq+lshCh
DVIym616L3GjIE4769BCas2Xdoan8IpbgvqpUhtzWIVmO3nDO1FmL2hraf+1SWXiMRGSkLhE7aOa
zizka9MR+HSp9ofGMAQei73YjE7rLSE05dvUkMoDr+jeyTK92L/PRQaFeMw5h+KZ/W6eKPUVy+gK
EbSHuhnhQNl+5hULIN3KA5mdeHv7M8/31WkY3i2xF2WEaQmcf+UIpUJVCk07uCq+iAvawchViNr/
HU02IwG8rH8Mtv4MiIwErRgies6P8wFr0dcythBzmePo7fpuzJ7tEMuxF6Qe3QPzOPlM9dxak8N1
WGFjGrrrf//J7OrEWTSloqeanV1mPmh5pZbqYdT1wN+Q8+qGl6ANtI2fRTDmU2qT6Z2S/MVE5jWD
3+PtgbCkwW02ZoSmRdTJoB6soMXmzGrGekdqBWcB1e0cY08WCSt04ftiaeZ++PP2L54fZrxz9le2
NdLEpuHO2U85F3bh+IVxoDXDsxalEVbvBU2r2Mi0otlxesXbLCRL1UM1WOKIoNx55RdTenoAKkVA
CFnFFzBLig2FOig6BttUzJqVGRWK+YA9pbKoPPikd6bYH6n22QoiZ63RSwjcgEbfCzJeHWY6OSSU
8VnsUQYry86yx1WTm3JPDbTJt22dYE4tQGUaqz6yEWTmVtIr3xGwGAYZ664zdrh7AL6NvCjZtLj7
4qXXmSGCqWVpFrV4amocTZw1hJ9wQ3UR28o8trikFU7rYstXh+tB4LtXL0YbLSs+gpFAh4tvMynx
qCg6e1n3bmStemu6czSwmj5EXR839y7208yavwtCevT7U0Bjzr1D6i5qcqpJ9oEee1JOXX6IDbM3
aRcR5iqHH9gtwyh1ntoISlbdN3JrFnb2rXXD4eQFWrdFNaree6hpV5k91KRQnhDDcIapm5xvAqGp
dzjXJuNBy0h2bzHYrLw9rqiixXbRzZQtL7wgy9hppbcuGl0Am2cXi44xHEXlznS5iHoMPI7opZnq
txAq5uwu9HZhNfb5eNBp/UtXTh76q2jogR87WmGt6euSgMHBV91elNeG9VQ6Dgg5dK5B05ZxVrwN
nNbUc+3g5JFqPeDcbqNSz7FaWZZl0Sn7GinWpi6b5o6O9Mpi5DxD/8KJ5lIgm46EvwbuK0sP0RKq
BwRwyW+7csdVWCk0sMQs3PLOr/yjsJh9alrTGJDrNQrSOSGKwy7zxrFTD34zVl8CxAntsiXQz0j0
peEKCcQYPyHcl6uwLRx9XQaSgoWWxdWDhrp4j3f50L1GnWqfOsxgcQZXRkyHe7Dlq8pu4mEtC6oR
by3S7HDZhPBOV7nrlLtotPpukSdF5q1MGaUY8lXdpHrXhibCodLwsOK8/Umv7PLkqqbCGH2HBjmb
8zerxYbRVl1vHApM69ZpIuylbZSqu0AHXuxIMaf/w9l59UiNhGv4F1lyDrfuND0JGGDo4cYCdnEq
p7LL6defxxzpHNrTmtasVtq9QEt1lSt84Q0YftLh/a2ViX3z9th/4KfrhQaE8GeRlxBy2W9/fVYb
rF7etpH5yQiA1FA1DfKo2bT+3MvjBETa+txiKn0YvdrSH0ifYa6Tw4kwp+R1FyezP+1ipxucXaJp
TvGA4evwIc9L37yyIy5EHDwyS7GDHi1No1Xab8TOHNUlAYCcPP0ZZ/AM0YsWFeFC00S5lb5MP7+9
NMtt8vfKYJ4D5I2NTpt7YU+vViaaUN3QjQIZdUuA5OQxFouZOV5qb4+zPlh/xoH9iM/VkhSvCxqR
5VWFR6PnWwsJcCcsWYY9SidOSA+NQO79g6GKiJoK4eLCID7/3BWldaNyNPShaTlu8Fou7rjn2j0m
YunX/zIUewuSC9fjGmLjCb2RZcNQk5PHB38xhMckWPuqXKu/Qh26tIRL235BLxIyrDHW2E41QdbH
iDZGGDCltvK3EhzP/ZRF2f79s1qU+uhW88GoZpwvoIk8Irx25X8LpPXk60gDbTGwLZNQj+L6+9tj
re/6ZWfAFkDqnkIj+czqyi1bskcwSto3g7ZxjeO1XVt0R5OIViy6IMe58c3xFiwDuPG3R16Hfv87
MqRJnhqyynVm60eloGWE7CfOu8PPwOjrD8LTfxYAZr/Oc/cZFGtahSJqnzqwMlde1vVRZ3DqF8BQ
EbZh6uvkQoviqUYkDzkFo5XHDCie3JbY0+cI/mQwXrIqM//DkEDBFjFvHTmvdWShd72e9EmenDpz
rv8pFAQFfUIzLPQHpT91RetcYQRf+LQQwGAvL0K5r+vltTMOysEu8VQPtryP2r76UJIsbitbs2+i
pLXQXbTsKwWL1zcaxmwW60pcx7BrletGOL6seh1db7/MniLgVn5YjqP14+3N82pu7Fo+nUm/A8ln
UsTzI2JlOih4J6lPLU7Yn4PS8Luw5wGhyDhZHW7mlp+GtE6vKfBfG3d1t5k0wkcjNqvTwmRKQ1r5
kPqG6lBoJfQmL9VVOEzRlTV9tVmXydIIwF8XqSIK0ueTFQR8tJes+tRHHqgSoTnbDj3tbdl204eg
VtV7rzrGQw0BQgkee0tB93w8A980guO4BgmQOD0uJ7zLYde5tfYhRZ5X7N//LXkBoVJRy4FAtLru
8hT1AW/Im5ODHtI2T4ZqW1lTeZNLRx6qmsYrLXjv03sH5fyTacMhpnhCtfx8jhOUhcJ2xurkO2l2
pKdyRyGzTUJ3gHNRNDRas2SQV3LtV2/IcukAM3Nh8i41tFUUNkQVXA7Tq05GMOjeNkHR5In7hopx
003X2mWvTuIyGJwsPiWiNYTz5zPsU18OJnCCEyxLZ9x1eWyLEJ3s/N3KXecDrf0gcrJEfIFp1zc0
I55VVdWfvBphzbnT9PdW9+G8U3aG8A0Rm9LQui/NzZmhpzXUJ6+u/U90Ecp9Shq7ibzYvM1GX13J
B1+fd58P5iHchQUWDMrV3hxNB7CaFZUnVICCIzT77Ij924SOpcicO69qtU9N2u3e3pvrYH2Z5N+D
rraJgfc5GiRZdQLHMd+zMzS18dCeyXf+JEH2NCL+mQQ0I/vCia5crJe26MJptHkW+Wc9YassKR0P
jK0scFthLOhfjL3muVs0+cZvb0/00hYl1qah8Mddd22eEvmC4mbWVSdHa5pPlDkmYA9VWcbbt8e5
uKBAdHHvJPUB03p+FEzN8rS5VeVpntBVCwoQPXEw/yv16OdYeTrNY2ol6IHVpbhydS9/81mAv3zK
/x/ZX71TzdxTyFOyPEn26/OCnwndudD3uKXUN0L1AVDEeqzD0i9FBHtMaV/envrrt4MfAHYN6vmC
o1gDsW01BHWdWtXJHpw706ztR1P65GACils/muV7w0lUNyibEIkD+1wEoM9Xug64tLlncEev7C6s
dZCDofLR0OGiyr94NEjvhyzyrrwgFyZJO4IMgLGpWKylVnIckMtA+eUJVwvvLtWr6IA11kIml2aC
J4E7X4PXXzgmfFYkopgjr+X6HqrwWx5LA2f2Scmo3wCTlIde9aYX5uANr2zfC8fk78H+9EP+yp+b
epBtVwTlqay7fDcm0mxuJC2/7sq7f2GzUoyj+rgweUl0VptVFSkBQVoVp9aqG2ND31gdDSXbX4vv
wKnJM63oQxrvlDpkLlv/KdNG/ZrQ2cVvCZOX0IOeG7CL8x0kVWOkaBXxLctowhkln4HGR/4NAcl8
mDvsJd4+IBe/JNEV7VTGfMXbVYaGd2JvlSco5w28Km65sEVL7oYmQFm+NwdYjgeMJ+TnQcqz2OeT
M52mi5worriIKDZNSTU/IQaoHyUKco854NErx/Hi5EiwFiFdTsjaSNzw4hFFByZX5b28H5UNcq1W
Q1JutXQMrCvH8MJjyctBNX9RmjJoz53Pzq1NT4o2rUg4aEzDAvfBK3v6J8NXClRxMO8iq/V+v//7
2RDXEP1hopRJzweNXb3MXcQtTpNt+A9QqvTQoo3zvfSKay7Dl7Ym1xoq4ihXwPRe/vyvc2hUVtZA
ry1OXZeV431hZSlqBqMypgdi5DH6rivN1q65RVxc1T8VYJvKKEqs56M6lRyCEpObU1br+hckcH3r
0Olj/tNoTP9LE+UPOGBiR/X2sl54Mum+QR4iM6e2sr7gvM6eC2m1xUmP2vRrkE1N2Cmz9rf+kNIz
iEp0AZE68M3qJtGK/Fq98uKkKQUj04EZPBfB+aSRJqsiQ9OLkxCAzCPoMmEfNBEYlk4aO5XMRhaK
3qqvpMyXzgsQDhaayhXyIKsvTI24S2rQ2MsOLo5A+cVuUnr8NQadcKX8cWmGiwMJbRtuOs7L+Qzx
m7LKpI7LExAe8aLlBpI82pB/nCkUHB2KBeMGDYz6Co7i0mdl+y42sugIAdw7H9XX9MhCXVucRmDj
m2gCN0kEFH8z9BbBAEjwO2XZ3a8cgMXntzfUxfnSyGUzUWF91bQvZwmGv7XFqek77wGXDaDSmdMU
YQ1Le2vKot4GTi2vdBQuPGlcLItwJKOym1dXkux1qNFpzHyJ8yDRusPTEMcxYiKWAAXV1u4Q5qXi
RUuCyHlKZO/9fHveFx5vomjDI0hgL7/Cks15b+hRwy8ozdnPbuH0Jx8QqvDH/dvjXNi6jMPLTSi9
KEGsvqwJ9kA2Hs7kTez5yKuISamjnGVeIWZTlfnNfxkOPwX4/wiguMu0/7oLKb+YI6377ITwHTup
qrrEvHcjOwIOWFQCYNf7LyTm9/8Drr4kogMuqbKbnxSX7LYNPMDUSgvabzXgy43s2+qmHNPyZ94M
88e353rh3ufIAD6EEIGlyR9A8F9z9WQFi8/Dht2KO9+GZqP8fF/OpnpugAD9k2eFc2XTXDgsjAgC
gOoLMrdrId/Bd8fObu38JBuZfNCtxLN3KXSbHylFid+l1gehqNz+Guz70mn5e9jVW6r6ptQMW8tp
r8ofkDO9u9LucrTNqr75UUfyDu3ZD3CI1G0Jmr3Z/ZdlXjDVBKC8Pdb5lmpLkGUmki2nGfP3E3rJ
d00RTz863Z4OducNV6LdiweGuhNSOYitkhueD2cCZUVdKBcnV3UIulUT0UlsnLTecK4hIy/cujC9
ASshg0bff51/GkpFZYBN9SkQ+m3U1MWtJXGnDFstVocUQaoKIkXk39bx+zXcrYVk/n9DrxPQAHJa
OrQNEkky6/PQawJvF2i2860jAryyopd2Lc3UBaaNazXZ0fmKOj2lbzO30d8oVN9ustns+luzEX27
l5qHX6lmNhEtJ8OZ/8NtRNWZMtdC/HtFMyxVHFAWRameszTdjQ7mVT5mBr9s1ar3hwhL4RlpyT8S
wesCSZTAdzMSLTuhVS6PfjO3xx4P2E+iHfuntw/EpR1KhZLyAdW7RWLqfD1h+zr5lCX5KXWL7ODP
OPeMubIfU4+H5L8MBR4FgDXTW3e3vJmNS6ucC2duYJD1+WTv3cRW/T4RkOv+w10OyOn/RluFWd2U
jzr0tfxEux8SkarRa3gwogEKhciDsPHGIgqN1vQONUbgV0KgV/BBymtLv5W2AVcNgddqm9Jy0fS4
Z/RCEQuixoNA1rY1TbTKAGNg16cj13JPBc75XKStqyNyU7S3ItfENd+JSx8YlDnxLXoUwM5W62A2
KHVmTVaciqEd9jSHvDved7lznfyquvTFsRwKz2iG2ktF6HwzuXlXe42hCZ4U6K5pgcrbpoYQDNih
a9r3f2AQbGA0qdSSda4Ley6mBgC4/BRuaetv3FwGD/6YinvhZLtc9fY/KpD2c7fw8rdvb+QLdxCZ
IF1TdBfAgK+Vqx2zIjer2+w0pG7zWEyJzLfQyfEk/jU6om1ghSbXcqVLYy7SZ4B18PNAg+t8aTsv
nea005NT1KrpAXptMh5qXKz8zWjlUntIg8hEdGFIvOHKbC9EJrT2DGTd+dcSHp2PPGOrjWfWlJ6i
Ovdv9N6QWoix63iTdbJ+zFBUvqbwf2lEcl/AHLxlPCyrbSQKs1atHucnXNS8XZzZwYfWrGPMLeP5
WZTleHz7e17YtnxFviZpN+T8daN2yt1sFL2fncbEM8JAH+ttbc1Gvpsw0rwGfLo4GHQbsCoEerxk
58vp43g8ApLDCohEH/S8wun1tgRpUn9DPMOa3hvlcUDoQSHN7VIPekUkS1NgEaaBCUk5BGTQvbMI
xFWxVQugZnmMP685CQldpPT+eXtVX+3YZcPwiNHSgN6E2s/5RONh0jWzC9QpNmiEgybLchW6mptg
95i6o7UxyrnbTz3uAm8P/GqFGXgpD0FoctDsWxfAstL302oshpNXdfKhqvrbWHWzHU5IUb239sVZ
5KrjnbYBEr8q7AHclVEbJN4pt9sJX1V7fEpjTAqCHn7xe2fFUPR+uXBsRA7WDKVGDgC6jMw7KXqc
w67SoObsrMQZ74oSjv7bg706gcu0OAjEyABscHU8/3Z1BjZlzmzx4vtJsovbeP5tD+70LWn16iv7
7Gr0+nqzMDmEZIFGA19gjucDzrUlWtnl5cuQOMXOli1G63MRFHciqOfvgzWMxzLLg/8wTbJ2aJaA
CIBkrkaNos4tx0AWLxhlutuy1DU9RFFDhDUywjfc8KjZvX9hgffBL+QrLZvnfJ41JzGj6y1einoe
whEXsofCU/EDAojlvq78a5f3q6yAIYiSkamA07KQW87HQyuuHjTIiy8jbibUmVJt1+nO+BUgqNrL
JEZTscjHjDQhiK4h+W3+7r/6UlAHqKzzUlGNph8GnP987KLMEhMcbfa5NhCzKOdNp66E5GvmCgHN
QlkBfLLQZDGRWO3Txpk05baW8cMYm2mPykL3Qk3vuznNOhZqVvJSj622z/28+wporb3PVPtphsP/
5e2v+gc0//dUuWfQmlsaKItcOf3386mWVQckRJ+b744pEFcJLQ0J4rvYSlS3MKgrYBzV7NrpDp9c
fdoHeRZbCDNFbTZ8mIU92zcxTs7qV9cB3NkWXeA/e+gS//RyAFz5gjoZ+6OWViAWWOegf0Rbsv23
h7TzDY0/HYqyvcjH1a5Kf12Z2nIGzqfmLOJW8EJ5HGFGr84IGpcDUphG+n0c/DF7BNLQfUeZwhkR
+ozwfJg8Pd7lHbKHN6nV2NaucUddWLsyLcV8B0rcMD56qZYIuLvekGynMkOa3yzSuT5oU5VHj8Zs
G9UxiylxHK0R6+ljXZiF8SnP+UPP7S3nCkRidbvxyvOFOPCYGPHsE0Oef625bfXI85rpB0jR6gko
XKrCwMix6TQDFA7L/kqBkDLOehEXz5GlObpsWLbp6hjW6VBqAh+h745Ia+egtRNpV4hBQuPeGtpg
2vceyBfjAV2Vdhvg9j3tnKgyynCpyhR7mcX+dz1JNGMbBbiphkE59f6mSbFB2mdaIssn+BV6Hg7V
HH9wFG4k947fWR6IGiwTDonfGOW31o6i+E5GtT03H2BL1k330BVTcbAt2ihPcxbgCJdXCj0G3Hy1
Gi1dKE/9gYaLvNWzsmhRDRyN9ONsxMNDiSKVH3qYCf902yTFtc2W8xe7hGa7bbWe0yg80eyzaRr7
m67Q8uhQZb3ZbkYRV/eVEE2W7VUdjOp29GdJpW2w0OJ+rNCd/JVT/upDD8fNZufhfJn+mGw0CsI2
F162EUXuxOFoCM3O9q4YovQzziTiJZhYsruSXri3aYAbZw91g76Boihg030PO6dxtDukn7zvHoFR
srOaQHyAWKY67B+jzD04yPSgShpMwj7CTzDqbWe2xbQDRTzUO58t3YUIJwRPyAKYdagPThscsNvJ
o3ByuinYjHFryW1eW1O3x2VGpUepUY/BdXHWnlqeseimwhUR6dd0HpMvQTPU/q403MTftgoA632p
6zU46cgtgn4Hq19PN2BuR+8O2UxUUGOzjUoQ8lGG0AV6p89470bunYcWTPOFNMlWj3AySps2/5zf
mgqPQ2SgOK33spTjo+5IhZKOk6QBYt+zjI9Nb44BT59snJ1tVUZx0FTgZQ96bubuY512rtjYmpzn
G7joqB53ftJsnWIuMQ+0R+0uVfTcNr2eDeX3uE4WqjwP/E/Y8960adyq/sjFuaxaZsfjzq7wv76z
8L0Uj141zP/Ec5eoY9RVXp2HGbIqKJwKHXVyM0Q0ffA3vFbudIiTCC3RedA1Q4RWzrVab7UCe8MH
SCl69MXIfEMdmyYOjAdbl1p5jIpKjtUGVZiy+BIXhRajo4KS0g+jd5vyQ6t7oqu2bScicwejvVY1
Onmpnj1HaIkkSMAaOCibmwKctPNZB13o3hUVKKqj11QxkNFe9/oNR091X3RfM8t4b87A3OPNkGpe
Hw64GUW3w+CONacmxcoCo7te+Bl2po2fBt9kZObJ1nSniAp629DPnJJY/5oA7H+a6f/FoewBAh5T
LmVj3xW6+W/kB/LONnAx3GKcNyHr0Uvd+kKuOQ0/DMQ9QJz0usq+DnXvPNoaJi33juJVCkE6QQTy
/ViXt+jgBOMmdsxObvvABX8zmFWhP2VNkf2rqPkjGqJH2WmigueGI5LaM9yezDnMhp8YoS4996c7
l9a3BqU9g+2dGHLrTjMUIDhWIOoDzWvbsBJ+Em9MRF8yai0tMoT8/9he2kU9gimaUwNF+Fn98o1k
KjZtrhUf4VIHPlqYlT/elDRVprBv42jEAQNH6VuEYpp2ryddcpwtYRlb2XWTFgZTN3VNSJlV6TvC
KZL9eBh8OPMzUrqt7ZYGTj9OlRwsOzPtfJc4AhUhOetNfuwR6WyBGwgROC865pC/ot7mXEM9bnHB
kkFvf8AhqlO3QpqRfQ8jP+uLfabPtnubyij55ohsarcCCZ5k70jTxhu3iZ0vWORlw1abJ6/3Q2dw
+ioOGx+azcbM8upDbOdRdxIB4KQN7SATyYdGX2aHEoSGXI1j1nvef3Pe1Yor6lPVm/2NPpQm6ZqM
DERooKrNd+0gIvVhbhPMHAUOAicJJPk3D5tNN7GcJlTz8bz/1XlubIJZn0FzOUks2oNTz+VHPcgD
aFuuzJydNdqq3k88Xf2mdhskpTT6l9Cs89KtwylHt+9G0A0BDxrZ3rcSGMd0N3R+L7a+cGxFGzOY
PoI1AE09zF1X3sscWNeudtPRPZbGwH42isp0Q2DSlXyyU5RfD8CVencX6SWw87b2NOO+76kyG1sM
3GPj51QokT7qCA97ZeiMyNzf44YA+2UG3RCHAW+G2kTkMfU3lQ11lR4wprc1byvqZL4mvb5Ekmdh
0KJ5AkwVfjI00VdMUfrjkQqmfP6RxU7b31RxJ740yD2pD5EVccYxIpiNkNfGHfdV16GJUJTKv6aW
uEptaTPSC3PRpwBqjY2su0Q2f3WJLAQtXT1xjR+RJVKMJYLmhNc1vrmDK/59O/B7FSQxFCVRKt2I
PABAWkXv0BOyJO5q8we3Ynlqpy6+85JUfu/qeeoPteHlyf7tEVe5CpOj0wdmHi/xJYNfw7rzLOlz
QtrkZyDsxAlxiR8ejb4w7jsNx7+4brLQq2qLl78z6is1gz+lybPv65vMk5yFzgl6O68aQzL2HXpD
2Y846bSnDKuh7oH7vKq2hiUKf+vEFFEPpdM7wQc0Xmc0kfSu6XcyngmUcisT310E2Ztj1PT1FxsQ
bk+JtQv639GQ+BVa5oZQ6fOgJbq+x6Wr0I9pINt/mtJ1BXeZX1R3M9jC/ob4q7SuQExffUyfFhRV
d/rD6HGQ2Z/vmz4b3RY9OefHDGNULi+sEX/MzUTeIccv2UiNquTu7c/5aq8yJsS+pehEJQG5kPMx
pSr9CQV278fykqgwp4+Z3iqNQkZYBbFSV77gq+ECqv3AyZcI28eDbZUKls5ADw8t/59dV4/NJp/c
9KXQk3HrjkJcyff+QEP+3i18CEQiAK6bAJ6Iv1Zzi4e5RCs11X+MWTCN+7o2SvVx1NphvnNIYYad
I41Zv8eTV2AqYgr/OyiM3tzQhPHEZtJEOoowKzJHfE4aiyz9gPLhLB/NulTGDUqHbvA0N4ToaZhp
RHxlWFtWUv+bTjXs8FDvISCMIfxVPf1a85LFuyif2+Ix8EVRbEzQifnOVKbxoifOYISu3TTAI2u6
ZaQ3NZZHVZHMyRdb1o78iMJFpRZq3qiqLfhqPd5Ax9Q0fyNxq8mOqGEJKMJpZCqi3MjUdp6ZO1m/
6dze8PYm/fg524x261H6/qOYle2K3unHaquqrqRZFmV13z7ZM08YLvNxUf70Eum076xacVfRcOHe
4L+Aiay1RUiq6iwd5DC91NoU79K51JCxT32k36yf1SC0K/2s9ZPgwnIjNV5AjEhEvIIvdTIZjSHp
9BetIlfYu1Me7yctNz/qwhHxQYd7uDV9tHbDPLGaOESrObevHLL1weY3YHfFFU1zZ2mrrTYiemRa
LILSfIldtDg8ZCy/lEOFVFql24QcfXENUvSq5PJnxOUSWUQMFoWG82Od14Zymqw1X3DBQ2inw05S
QDtFrC2KEEF250MbVwbK7t2zhiHLHYo18cZvhHHltbgwc1Z+EVDisMMDWrXWCycpuEyE9RJ1aXrU
UVbY2b2ckLFL9DvVqeFarWldCGHiPtWdhdTFcr/SroevqQZncO2XKQvaf1Boch9RJMvcOxgznh6m
CgLxtuvyWRwqEhVSXKnJnUK/b97iQ2D6ezAV18wOVnVT+iP8KLiWUBWo1L6SFY7RyVMK/skLcJ9k
Y+IDvfOrRiGU1pfD96IaZ28/SyvSv719ua8bnH8GplMJo4Y7l/d6tQ1QcwDCxpX8kiR+9AyWRBZb
abf1TYOqQLBLqmSat3mUJS85Ko7f6JJmu6COdOOdL9uyAFD7uIUXQi0CxOfb0UbhPEOq03lRbe9/
zKSJgkOQuB1BYOMRdPpVrg5vz/3CmuPGRM3fIwhCAmuJY/4Kwtpa07V51N0XJCl/Z4Nd3el2hTxq
Aa1qS6GuexYUf9+HD1rWG+0nxJxt9PCWiZ4P2huUJPRCuS/9OOg3tp6YVHsQ8H+itG2H+HZcFbm6
cL2BTlwWFaUSxl8O4F/TDIixRV+Xzksp21nuygkBHtcdkCXJPSN6BIfV5Rsrc/phAxOn2ujSmq60
0dcR4TJpnDMoXSMUQLy7mrSymk4XLZPWy04cOkAet8ToWAKRZG11VM/DIrXK7TQ65ZXT/mc9z154
hgaGBe0XiGqAjcH57JVFgS2PYv8lHaN8eMhKdsRTImwH1EfumGq3iOrKR9warc3kKt/a9WTwwyYb
jOSxckYzORbZoN302MfMvyVvrEpDHNdQkmxbzxh/jfbQIelbdonxNMOg8FFSnuNP+oDg5fbtDfv6
qoTpsyifLOEYPhCrq7KRldK8SrCMNU945qguCxPET0FFBHn+aIAcuhKMvd47jIglAB0kVA/ojp2v
nhvjTdVRnX7pB3hFs611p1Hrpn2XFMVtIEzjprX06VDztB0ED+mVS2EdC4I5peuJoh9BGuflzxv2
19bVKyD25MbuS4Cr5cH0q24bJ8GIP9o4X3mGLryHDMaRxPYDQhVE+/OpJlRTp2is3Rd3kAiPK0eN
xw4FboivjWt3295XgiqWMh48XHOCm47jtjPpaAGvQ3QkfvflxM/hmcJCFAkYRGDOf07eRXYvJsN9
aSaz/5S4UbNL6knsvaQ2kMbF0s4Ttgzf3mAX1vvPgi80IEQN11DCEVI86ryd+0KI6KFVqw8/M88D
/NFC0Xlfy5WLaPm4WOFSundeU7opEVutzHL3xajM7HmY0PrFizQ7tlVVXvm2r6+fZSzctJYXn7xw
fW4C4FcaXx7ttb4DF2B7YY8D1GbKq2PqxBp+X6rYm06cXtm/lwdGvh80MdQ1a3X1JhY1IRvVnhdt
aAMkevryxgsKLyxRxw3h4u76Qf6IHKO4ct/+OZfntx4sVQblQSemhIdwvnucXqUgSxrx3R4dr/4C
jjgwQsuPDZq+ShfoBNHn2U8FYrD7prAbbMsmkRvbjDZjcWcnRseGH7AlPLQ9Uu+W1vXXFOKWn/DX
T6TuQbgNsXXp1wIjW4MNG8ycpnLI7a9T72qPRMVUonoy92/Sx5p2z8pVAL7f3t+rF58xCTUXZVYg
cpBc1qQTCW8z8d3C/0rwm21oZEOoR03slsaEdYxmt3mwK685vj2osdoFy6hY1IITAVRO2r7OaGsN
EpsUdgyGiepmtony1isP3N59/KmYYywVZFfaxhaXatluYkqdQajbQh8/SwuV6H8h4qgp2kCPsSmd
WCN0MtAtAgnB28JscUAvPaPri80U0566mewWtfD3vQPLFBaIFP1ZUPngQFb7yRx5Q/Osir7WZj+7
O6xZWgFUvLWcmzKILX+RWjbEIS0Q2du7RFXxgTK67175fhdWEitYbIGQ7VzuxNVB7u0u0mwv1r6y
Y8v5adC6wAohvLnWEdPRoNnOckCDv9Ip2O6qpnaiT29/y9UFyTr4i6CwZ5GnAPpZ61DoWW1jxmlW
z/Oi4U1ZPEP9HZP4KQlL5cbF/p3DLSYjVLIgBCAmTNZyfoz9WHo0mL38WcxCcGmhYkm3MavhpOY0
u65UQ16tLjff8vBxVxGhIhh4PtqQj2hUJ0pDlTyYPgllYcKAX94Ba68BCTtXbSeRjVsUz/0r33Wd
hYBNQQWC2PDPPzzBqwBxLHUHbXchn9F00x5lEQT3Nt6cjxUy7Bsmbd9ZiHl+MiI7ebSN5LdpdMX7
HtzlJ9BFdmiR/0GbrhX9AqfIbS1uuueERmcWarXod5Fasv5hcMpbu4lfUl7sK3n/es153BdNM4iU
UCGxulqFp1Tlm7z3h/HZrTz/PhJpqX62tRkgTG5lUg8rHfO9w2QjaFZNos2uLPzr4aFj+EsziCb6
8kadf3Lc/woovsqhnpnnH1scYT9hwWj3n6jZz78HPNrdLSTptnv0TdgEV0Z/9dlJSlBqpZO+MCr5
9qvzjD/J6KZuOj0PCV3zTZKZPhA6H38vqwd4EVadmB5LOrSfs6Z1b8t+Sn9aVTQ6V67o9Vu0/A7S
70XFbWFXrUGZmmMMwaQa/blpO0wgKNjX8jCYnZCEgHEsQl0V9fvAC6w1jzMcRIYFReisrxI1FvQ3
aVI9B4ACtp3dBx/mJvjlF7m27SFeXbnB10/fIrOycH3oAQBWhId8/qVztBrNtq3lczan3ibpu+Fh
xnICE+YgRo2sNuE2oZj5z9sX2HJl/P3Io5VIsw+1Kpt9BhJ09YHj3LEAtzbOs4XCqbUkeNk3x57w
THz/OFBBiJcZjLO05DF/JQqFGvxUpoHFRdlr6e0caQL3VVPKd+pX8NXYI/RT2LB4tYHtPx8IEZXA
EkIZzzGWOGFuRNVuoDweJnqUv/dqWIZaHKaWEihiUqu1CxS5KsAi45k2QnVvzRJ1w8GOQpwWkB/I
MRfp4AT/FH1wrUf2+jjQtVmwl7q78OTXV6EBYYps3dSfAQx6+xKBPf22IWzywyZ33S8WaptXkoEL
I1IyRyiWLUo5ch0oD3mp522vx89ekrf7yPW6fWCUARoWCUg+r5mvlHxfjUf+DMGE7ANlWiSBlnvx
r/0Sl3pfTKWan7PKFIegbfFCBVZwExe6u6srdXrn9kTLSScIxOGPtIpc+nw4PehnAJPl/FzmSfo4
9pa186Rdbv/DKETVwK0RcuJiOR8limnlKRCyz4ExdtupETY4GyTp3x4FXBV/z9mhht/G3oRqQigI
2HK1MZ2+nBWZR/o10rDYuYvkpNVb16qa/OfoNmmrh0muo+oWYu2DDloI9RmW7Cx7p1jaINAY/pmi
rJ1u3EH4YAs6kUDhgCVdtxuhFWbw0xtzb8rDYJy76ITqR9Q3Gy0hMQ9CW41Ky8JidN15Y81DVHxo
LbyPIpSj2g4X2zpRwRc3W7Q2NsMkEwdMP6yFaaTahEfQXVxHNObCeraGtDq0LfsDH45utjBVc31w
MkfgDE3ShlHlIGiygW3azwBQhA0a40bBcKEzPVVmY7hhQtcv90IipRR5vMGSxX2QAct4FBTj5LDN
C3SX853TtH5+53VRUp3SzKyqz2VDDzY7gme0s3IzuHoElGgqR6yxwtowwa6EiZJFo4XIcODGExlW
hWdXonVuGhaD0zTHFtR29m3OTAibIUb3sGnDeaixsSZ5AA58U+jONH/o2qiTByMt/fy3TrGCjqsd
N732IXImtRhakYTvJWiw9FeUumW5S4FIGDcZcF2Pv2nkG94OPB7RfqYpkP2uxi7X900iBuTzmrl3
n/EmlU1oObmJM05azfpHP7aT7t6MhZMC3bBqhcu1sJKy29GNNRDbwoxMicfOiAQ0mVFBXLrB9x7L
wDimNf5kY2pbULDjqt8FYyCcj7kEmPCi64LKzwYLHqOZN/hL25Zkk5RVfDRMrfqXUjGiXlVjjukO
I/fB2TsxsIZDEJSavp3MFp1vYLRteZgIc5NDPWXpdExcQr1tPVpRtu3LJG63nq/F9maIBjHcYVYl
7QPYhGDYyMYCa2RHfS1vQVa7/ufc15R/mqIpkPPmf5g7k+W4kTRbv0pb7ZGNeWjrKrMGAhEcJZKi
REobmERRmAGHO+ZHu9v7Yv1BmVUlBjPJK63uJs3SJAUCCIcP/3/Od4oRVEU8a1WbRrkcCO/MCW3L
0OiQ7LlnC0Zt2dnSlCPig+VIzBpRELvR0Oe0jGBiZ2ke2lk7eUtoupNfSgY7urF47NwOLSrC3n65
0uBarmekHab922kczPwjWjzbOUyJ7/Xv17GysEKm1TyFdQXO4XNaICmNEQAMdcNuknRJ0kfqQOm3
GadJeOOuRfpkbHvgQthvtba1d138lJcauiVny60edXysqXKU3oR2tVBLD33SC5LQwqMtb/kK/nQ6
c+quTopuDPQYsdpc37S9torHjpNviaqktZ2rxTc6R49yGvQGYqXJo1/N8ENp0q320kai9AjFIXnK
kIrmjAAGueOnI/koJJOtFW+EnXn9QrktGZNPHV8JNYqGnjBxyIy38+DL1DXJ/Nke5xkGQIoDd9nX
DRPBJeDbOj1VBqArN2pFX/RzNC4gXR91zTNaI8ybtCBvu+pV56KGRIU9IWJJZfO1sZ02709Kk5AP
fWd2nIO+rgAQ87jJvDT48vLsenzApEJPwRXDPT3JjcRxNIc7ni4Er0N1J1DQ3QWZlX3F/qauTbtD
WfnT10LSTU3cRze2dV+erheWQlO69F5xN1SFd9LCADR3Pm2fMczqzn+NgnN81ODOKLugzoCgyzWP
8ZumTQL7zFRwR/A7wrUAvwVZQE5/hTKvPqANNT+y7yrNnSC16u7lO3223GMe+d0fwMnWQl3w9E4Z
HAU60Uq7NSrV+KGl16TVV1LOl26VM4Hrjch/coeBLZKy1gaN3GrX+GeeXpKU9GXqpFZ/NBasQTvf
7DsyJ/TUW+/NJR2SN51TyJ89TdrbRpt+OacYlPrm8TG6KeixBuB2PsKjC4JoSITMHsuZbIPzUoIc
OjPLwiNPsYeZqQ6Z6czGx5ef9HEZndMMVS72BJgUUBigxHl637ntUJRhg3hHEyW5FS5pxhX5eB1M
QsJuqfruqxTfZoRk3Hxo5ZLONeJoUQ9eZK72bFyPXqLNr9Rhv9s0f9yycN5BS8DAo++7PZijAaCg
FdEGk/qHfCpHKz9kTqPTLGl8diZXzFnzXO37hfLCfkyKgfJKM9KM/5AChmmjTo2VaqmB68g9oqBr
/PQEbE/jpjt0h8wxliDI8pXx82wisA2603xfxg+lmOOfMsDQu7HkzPtZGa17IF23NE8mEbATYoeU
vXbYeHYU39qR7BzZEFOMpQRytEUlmKzu8sXR7+tita03tQGzYZf4lhJ7QjZrow6nlOF8ME2tL4zQ
45VJr1LhEFMsHQ/J9cvj6NlsAeKdzTKcHjJwt6/0dBiRVmGmPYkY97CgvdioyhnFcjsenMJQO3PN
xn2yOl00a2Xzisj/eK7gbLw5bDkYUAnbmLpPr7wSY5wLv87u6dOz3+wLGE2HrSyGG73WrI8jrc76
J2sBXJO9NP/h18ZgcGx/qftJrTX733tv9cpTLLn5qasC7QZ9WXHqDuZrOWXb03vyOvA+IORijvre
c/ePni7gBtkn1awQHbYJIh93rD8AC0rkru9I0ggJYSWAyiLa9ZXGxPNRzTlo6/xsLyH2t6Nz+rTW
apuZ5nsHFHpx1hWB1lxmebMWO68p8Dy8PIr+ZFRzj8yDGNLBotL9efpjNkWr1dM4yXsNdIZ+mxeK
zbvq/IZe/5LaxRkVApB+LY3nelfXfT/vMrR+eeS3eflakeL5yGLZ28oHFGAoIx93H+qy9rOStN97
zojGbnHc5FRZb6RnRSk1rZOXb/35k+aIAQOW0rFNaes4+YmMKfQcagnuwUB271sxGVeFcGlh6tWa
3rx8re9VyqfjybGpodHFoVeMQfVo0k/cpg/cQWr3dd+kHK48B+14HqlKBTXSZFHVy3XLBr++cMpB
1/A9DEH1QXTg/y6EpaVpT1Nka++GSUHIvLEXnEX0i3IRWXVWO8Jc7gckcc77bPandy9/+WcPisoj
e65N/rfF5BzvgvoU/4TX6MYdHSgvO2M8dB99ToPZuYFzQnvljP78auhcEOQCt6CBQf3h6YC0aqkr
N6vdO8gpzh32jQShvObEHRrqVwb/Nraf/ChIjH2AJTDBt4SK4+Lq4iw2BgzXuesRbW3HsHSXQ6A4
qatu3a2pssMCa9Up6y1Zzqv9k2Bg2l1bexeE9VbpZHY7mkcHx9JMInL9u4SDSH5CBlBTsvajHDhP
Uz14zVf/7OXC2casxq5rE5vQpXr6YAdalAAcdO3Bd4Y+ssfVioohxWuOsTfuyqZ4Be1xfD1GDYmy
oA9JWqRReKyqKXMMXIB5zS+j6V75/pieydIdboEU3HEUes159uxqBtowyCzwv4j48o9VzUJNfQlu
fn7wet1tD6vUcX14bZAfTE/kIl5wnL5WBdyOGj+OH2JWgNCgRfPYOfFcj3aw1djLaShX/SEIkuYK
tUNzPhQwpV9+/f7kzihVQcpgotpShY5maMwFeWP7rf6gDcn4AVk29GFS53ftFvYQmlr3+PL1jl9A
qvu6gWOXICEsBux5jsYJ7rhZiKR8wLKnh10AtW0cyTwfi279yZ0El0JyQFLQtvzQ1Dp6gFSgeLay
6h+a2ZUHHaPwgXPfpWDneLnMzRj+5J2ZoO8QGbB48MmoSJ/eGbvXolvcdfkyT1MZEsvT71M7rSK3
dV9TVT17iOzuqUlv7wBT57O+5FyUdsnDnR+UN7S4Euv1NNfM9CLDFPTh5bt6Nj74oTYEy/cMJB7Z
0VYlEVirrNUZHpY+qO79QZ35KQEHqJz77ESm7itL2fHOiGHOwkxZE70ai+dxh9nR6bLLIJ8fUk94
906B0e5gzPqEjWvw5iYeqFlh26RZnv7khp/jIg5WNPa8cjpl96P50p4EhH8Srh6CllUuZOeWhCsH
tWge8UC9MlaeP1XmE8SA7HEZmRgJno4V6XYjIntnYT5xg5MU4uc3bxjWO79KnPdD2r42fx3L8NjT
8g5sKWU8X7r3x2pjaltZZSSJ9gXGlD/jNK2a9RQIE47kyK9k0qjIW5dSmPEqyac8FXM+i6jp8jY7
XcCgEhk85gxGVDN+X+/6MS+aHgnc1JA1xRbdMENDz3VtQFtjJbURDrZdeFFVVHmgobOXA00Tu8vE
ePtz4xMTDyQBJLuMGZAux5G3ujJqErGa9NtCIs8N3tnqpAqWLp5Nt/zoGNC/X77e8avnbvlr2yaa
3iHCqeMivz4IDUAMmdVJi1gfQcsc4uosDxCHvNdOzccrAJx9DvCIVWnxMqMcd6DanHfA5gz8Bc/c
6D4KHbTnEKaUL7RqN6TUafbp2lE/NguH1TAac2jPc5h3LNWwM/pxbirycPLCKnZKap19sQa2HEKm
X796bUg/qzyAotp4Gpzw4aSgztju5oeeDitnNlaJqB4GIgCmR5O0mgR241hOuNIo4mpQNpRePo6p
hsMSZl6fXqd4f6g4lmxb00PDcl+/ti85mlA2NxJ7S7QzKOogcx0DMZzE1pJEGP1Nq2nzzrTGYL9U
fXU6t0Q+lir3KMNkQfzyIDk+9/x+1W1cshOi63qsFK1TWSRu5fQ3puc3e7+YspMKTvxZS+RjJJ1p
PGcDMe5tZu3IJaPjLaL/5fDylziaY7bvgMqKjSfAPDag39tIP/weA2bwNrGD7kZMpSii3k8MP6qH
xT948KDf9GmeVdHLl/yTh03hFG01KqFNWHG0CdQE6btqMLobcjXKCymthjSw1XunOVq5F7LTd/BL
l1d2MH96UYxutNwMbve4W6phNhZ9PcmbuiibU2xh1UE3uvxSy5sk8rdCv9YW0yu/8NE08P3h0oum
SIyeGgLt9uc/PNzO8QVll17dtGUD9Yeud4RNZd3ZXa29cpL8s8G0LUrb5LY1vY+VsVWhSdobprwh
FNnFka31Tb8v7CVto5VYkTpUGJiBkvjdoNGJMmUR2lip+9DAndb93DKJSoVpj+ImLk6qVeiKn974
ahXpTCOkvZmGwjoFWFKd9IFO/ySZy1dG09H09/ultm0AV9xg39sA/+EZ63iCzElv2pu8ytNLjdSh
eGiz17bZR8e071fZ+OX8pJv76Lgq0Bs5004nmpu5XbLLoVUPa63N73o9zXZpAOAN63t/EFnRnSAk
/PTyC3M8jLanSVEeWTwzMwLFo01HoaUeOVV2fqOtQXHN+qxFQbuOZ07Ovu7lS/3J02QZ/m7s4sxE
+enp06TnNBNGU7c32jhY9JPm/q1J1tvnl6/yJ09z04BQidjwe9TDn14FokSiq1wTN8Ry0k3OdBkV
SeLuLOBO8TjY3cm42A5dVaWwbHujE798/eNJD7IKRGiEIZRTOeQfCwvQkNUVfoH+pjbW5EpPBI1p
3cr1ardYpviUWEJ/5SD6nSj7wzmNAcSLyVGD0wTmDl7Up7eMhkOUWWcON2j0tfNsSuc0nlZNfUXk
QzpGRbf0TZP0wwOu6Om0blLtYQiy+sHI1fyl4jby37co//kw/1f62F79fm31j//m/x9asUA9yPqj
//3HW/HYvOvl42N/+Vn89/ZP//VXn/7Df1zmD7JV7bf++G89+Ud8/h/X333uPz/5n7gBerpcD49y
uXlUQ9V/vwDfdPub/69/+B+P3z/ldhGPf//bAzbJfvu0NG+bv/3xR6df//43ypY/DIft8//4wzef
a/7d1aP8v//n2d9//Kz6v/9Nc/3fOAkGFH/YJtLH27R20+P3P/KN3za5Db7lrUSBUJzXtGlln/HP
9N+ok/LesI3ggEyJeJvxVAtOnD80/N/gbG1SFoY8QgV0T/+8+Sc/079/tv/A0n/V5k2v/v63p2+o
S99oE4xTZ6D8zxbqeL7LCBsgwRRuSqevyBBaZz24Rpm8Ml639/zfw/WPq1D+4rTPisLM+nS4SgGm
AqNrGi9S3GiFfyAO+nM2e0ivs2CXl+OVZrXffvgZ/rjTH+/s6RL9+zWBdREJT72bveHR0RgmH2CU
TGm7KVmcWNcS7Sb1h+QClsJnjlfW5dyYr0W4PZ1af78mIhl+bRBhmP23p/3D6kHBJl1aBQZCaPmd
EWT9WQV+LSS2/bVMrD97opQZ8DJvZ6tnJh2UNrmX+r2GvE5NH1roZzsr1as3E+BSRCWJcWLpE4S+
+tXEmmf3uJ3laDcCTEfI+ky2FawFsg+bKIyx8GmOE+NivKtb1K44Bs3sNQnjs/HJuwOulwhqCmFs
9I8mOkd1MiVRRMbUkpyNRzrua8PLXtnu/OlVuBK7dbrjXOrp79Yv3lJVhYvjs5qTS6J2sp2WmSJ+
eUQeX2UDSFEr500DzUfLdHuyP4wOqxEWioVExlXfLFfBaGp7aoyv2beOf5/tKhtHmd7Slnh5XAIW
RmarpkpVjCrMCtvamN61VuKeic5Ifmp5p0lJBY/LwE/cMv0oOj+9odJyekerGxUvS+BGeAKQddTj
a/DEP3lsMFO/C/con1Nce3oVucwVyguhYvoZ3k7TAT5Ny5r+/I/DboyzAuI2SEXHXaNKqrY0Rafi
ScPCoOrCCmuIND95lU1xbW2qbwqsm072aKAtTsFmXRZz3CGSOykSMRuHpOeUvH95qG2f8+OEu9Xe
cT4xOdByQ7F3NOHyI9D6Dzo99nQ1x7U+qxNT08uPqQ2MHxOk3Vy9fMGjkzjtH6xHVCagszFmmReO
VOUZMa7DOPp6nKsCxFJn6Tuic8o9h4vizHbF59SugwPEKCNeMkedm3aVX3hTurxy52yBtgHx481D
a9scUHwNuBl0lI8KXcr21tEb6zGeUjRxERuRUYbaSMfnVBQ1WpudI5hqyHIvbHM/AR+uP1BDSP1r
AsPT5aBVU/q46Nhdzsyqm9VlR3V1vQcdbPdXdKp8bJBKy0RLtxSESEgCtJdjHuW0pM1lkRNW4U4p
wbb2Kk8q6DbQkcpp3DcT8RU6jDQVztZW7wtMUd5uOuD6JHOVZx7ytB/yaIaWlu22/N0+LvrB9XY6
mSN0NMY82Pg60/JVJbJY47FPVhtEa6dICMvcOj/X084ubyYHSN25wlZM9d7BrKh7fT1GKbHwcpct
Yl3eGOXaltq5aZW9f+HZS+ns0lQbLoAArVoIlQAtkHL09j1xpbmKcl2JOGicZIgLdDXnBY7iYlem
IAtEUAPdbAZdXTbOYInrdRWlTWBZjenNJ5tdxS5tQMhvYyJhZQ9Gq/ZOlSmkZxVWhLCfXc2MrWnw
7hQKWbEzzV76Mcoh3Q5bI7MojNoKPaBduW3kIaA/t1nvkPSsQ1nsdKe3962mIFY1qWVmuzroUuB7
OZRMGFJaC8TDMNc5Rgro3ei1Rw1Rzdun6OXsy1jj7r9pqwyynQ7aaHPcJOqh6ImJiPI6G9LYQaz3
KUMhfeMD6vqkZRNMI6NY4KDPdlnhyrUnfTpAXTNEmBfGNF8rIaaPKhXzt9VuWJ/hKNwPnS0/5zrh
Y7s6n7AeJ206KCQms3tvF4sP8iEJqKEJYBwXrgyCklaIr72l4yYeylFY2UlBEWzd965cKjqsrtfF
ZgEQJAUGSvwOGMJ2U7BiFkUVrPbW0uZONJpOG3Lm09/IzpUfVAN592CNbjqGjcyFHs1FEhxGRKRW
qJsi6XYJ64UTinnMy91I7+6goSD6RO1G3GvUPe8mEumq+gr+U+G31wEBQOvlEBjtMMS9ZzYHMkAn
I8ozM7jhJzPtneVMWh6XbI6mEBdk8MEtBzHFtaZGeMLTbBbnPm7D6gCfbG32pSwHN4ROQZkOWEkH
OHFAwhVNqeO9hb6FqqiSlLFCe1nM9SLN0DtejtLAP/uxpAL1Nk1JquG3Sd2vq1mJW9HPDvXAtZ/1
0A+mWQsbuxs/acTfanEDDul6aclyDxPp5XaYjFPzjpDRrqKwkYi3bWv2bI17A0q4maVNERlGNt56
Q4EuV8LVuyWStHJOkc2WbzJZg+FK0Jp1+6pquvLSmnz7o7aOJBsY/Wzo54GWzUWkSU51MXWVwo2G
FTvALmsy5xLqjPFIrwMf+WB7UOioH1QRB1mIYA4KDi2aAtzgkVZKV6WXXWEYVIHydVhDIzG8aW+2
fkJ4lwkkEGXvWIV9pmUq0nPHOvdKZq1YUWLp4iAjyR1ltr84Ya1DsImGRuu/TTY4lGhhqilinQyn
8SxzvBFZpOwW/PtBy6CcNNK7kIykX5fA7yYZG1K3Lx0hsi8tCxqeXkCDM7iZ2XkcbGQmFGJVepCD
CX/Dt7NPpaPnH1ajtz5W69x5B1KrHQMrY+0WOzCE87sqGI0pJGS1OtVX1RoHH26Hy020VRM7S6o5
4eJ59sdqgrk9LV17g8qiKHaWnsCTa6cZih+58E7+XcdlxxY10FvO0rl5AXt5gZOWlXThecL6Q2ur
rouHtOblqXgrpjBJHQddOGj/bxzTUGI3cuyqk8ResjGsnRS3qEM942SsPDY7+Gy7u0p5BdHC3lTP
0SLs9lHmg3a+lpWPBXcJjI/OigiwluUcRAX7DAH0zqzKaMC+2TJ/LLyNnlXa2akvRvvAWPbsiECr
+TPcHWVEldk3KkS9ParzAff9jY9l6huxX8JmQmYvQNkjX7VdOlbiC/RR56tWlGS5WbbmXptd78A2
tEsCndMgQEk/shLFKAjUEOftmF2RBkXiezJ7qwzbsgUVOY1W9mXolZZHNshDkoyBT06xVgSGjMH0
lu9QSgPyTApTGw854m2BJB7+6Lkw7PJtOZq5c+gteICk2IHki5NMdt+MLLfGnWOn7d6Dio+vZc47
mDtob68tB2RY1ej1Qz+P4ooCpE8ciVj8JVwXKT9PjQ7sigqgdjvN6wLvfej7qMO1voZA562v6ZR7
y2mlL2iWi6QWYyiWesHxbAtDRo2lN0NogE9QZyXSBxl6fVZcjVVT6lFdDMa1vopMhPTPtG5vod2c
Ip6EuGnnrFOhCYzJJtVsrr4F3RogSFYtwMDM15YLNVgjKCWOftdmP5Z0sJPAQMw/uYtz4tqZuPPJ
5oEYLY16Djutzz9UbWNSv/RaYnCzxVq+2Upazg7DVCsvMFsm5onmVkGKZQEX2c6Veo4VoPXK7lxh
NrnxK/oe4SJd78yYNTB/Hgl3b42epkYIFba6DqzBcaO6ryz3EtCOB01p1YskAr82ntdDoPX8Llly
PbPE9cy1g34p0SjbuH0S9Z45p7RClvfgTTEh+0R3Ty8Ifd50qIRUj+6m/w8rrKHgPdtkeDcO1eqF
WUUsGKiEDJtUK5M2CBc1aZ+kXa/3g+6tIloIXLlJrNx+a3dz6cTrLFlZ/KzCgDGyTjW4xzXeMUN+
WtxFHwCA4f/lgfb2nWuiHl31pMWQYQ8N0nHT/ICf3M2jVebaW9EuLlxm2LCPNhv5t2wD9C+2VZpg
svnsLLRMhsNOJLb+xVC2cQUgtXtkh0cQaZo6/Xst6aC3wuVSlwSrKRn39GPXHXlkax0iV7euDbzI
txrCSOM0IA7kYpDeWkXkJY5f1tqfut1gTrxkylpKWHK9X+xmr2f7V/p2EfZ9gNy+6oCdNumIDV03
k/KGY+a6hm4h7Hdwp10ZJcnarvEkdTTKvqsta7jpGpqdEMB1QzA13RS6E3RRMOs6InZFlSOE7sx4
9RLfvwL1GBBYi4BUxKsdlLcFOPgqKg27+lKbRk0bLFHGVYYAX4vK1UrAdsoJxL5fFHkRmiRr67t1
Uup939X+JQ7dpTt0WpdUsV0ro7sd1gQScFHryXCisW/IY34qRae1TkZ3h9Eds0AyalXGdlY0G9kp
wAPUZz62rpTuV71zWkXWo21rgxPLwcW/4TRtBhWyl3bHxkPz+2jO1PwBH7TozTmEhIGnAqot+aJt
MLkpUgDgNr3f62/7tQ1AOE4FGzHCVnkBePraF1C8nR1q81S/x1QTXFe9gZ51hqWsdnR1xiuvTo0k
dig+EWfTlO1eLgOoHJnkVbFvsjlr93q5pkNodaXQOHeWJEdOwdhewmpBNQ9jSD6QvgUt0jXhr7Jd
XrDwFEB2TFb3AMSjz974a+eNA5BdYdtf2zxdXYRwSDRDxDsWazFMHi90PW1sQ3s2S2Nv99aAb2VV
ZD5ZaSGWfdl13g37uUGPkq7J34+cEbq49ZV1arc1jFUznZcmbNayeZCKGE+NqkC7Kxx0KKHjttmj
O83N2xHbz71uyfk9T61+7HLRmSTsJasIbQAjX0CRyps0oHAeJeChvDCne/ipbSndhWqRygnJxMOd
bfd6HwVu22S7CWPTGPnLvLlX7LlWu8TqdYgSumrebwqbW92j+gZ9o/M+JLVffUWiWLvh0KbdaTD6
TMKl1TvVaeosLtNmNXEf9O77S3OQuoMxpvTeiS4DXSu0zhpDR8srHGB50nwypD2tu2qYO8xNErdN
qIwq+FLBVhmioILBEbbFML/n/YKtXWjN/C0jENI5lMGqPrtWBZ8YDTosUlGOVb7vuqm4sCTN4DAp
Z7z9i1YsnwUmU4DAazF8XDtf3oO+I+5sXc3lazrroo+yxjcuG1DP55plLrdOISY71LE0tOd9rxVe
3Iyp/9UvOyK97HVVrEbm8GnA80JDIkmTCw0s9tt0caxbOxDT28x1BzcyvKK7guDJAmcRTs2+mtPo
SWY79bcg1WYVacTZJaEj2/kua4PEwsuy2lNI8zOj1T4q6wGkFnLePKeHiXDbTD/DMdbeam01fpUZ
m4CwHxo2tGNd8IMpkhbjGjUwe7dJTrfYJL3bETBIFtZwkr+hwq7fzcZQZWcKJUDGVnyyOboEfp/v
lr6tzd1i1I3c1P7NdQHsKok9n1BgmNrTVEBiboNTMkpJ3/OXkRgl1+0MlBwthr9SX+QSGqI1RpIW
k2aJMs1rHhCNlkZkutJnx+T2pF3WhHjloaPk8jnxoBqHmp8G95YGkoKFc13sWDq1R15kadr8iLkI
zpYJql6IDwT6ld+MeWglif8AXUiXIQJJyandgPDtCNnrOy9ZCBqvJiDXhUCOEbJKDmZcjgHuCTka
DASXHOkiFPSh3ou1cq+LtlhgQfKdyl0rLe2j8Cb1SDIUBCGiFuHLdtUsyGrQ67dZJ5ePK+LY957V
Ij4z6zn/BiNdihjNRP9g9X36OIxzicW4WZueaGMtxw/pTt23hUdK/svoei3rl8uSKU373WRwrIkk
VrgTs7aMLPK9ZfzkuUF2N8ASAUwsU2rtqgkyI9L93jWZdeD+790BD8MuKQLrAggJtQtYkJzYNDCW
C4uXFUxnvTDEHIGB9lgecoc9QtC4FC4kri4RuyzuS1y6dcZRrG0NDgXV4MmdqZrZ28lFje+odpJM
QaAUy/M0GxzirE6oNhwT5fAiMxjKE6gv6bT3ZlWtH0oUwWq3urVeRelUej0nDN979DjhXOuE2z9q
GuzLqHLmKQ/B1qxq82/pgivb84pQqO6qqBtdu4gcuRafkk73PtuF6qzQdge4qcr0C3ens/FHey3q
sYpbINtZNHCC4WvBBKx35PcSd3ORB8q6dGuRvLeLZGqsW2KSIDq/x/ihr7tpGAMJEGyYAcvcrr2T
y2tqEJC9A/RJRezxp3fYl/XTrMyIEtV02X1ZS3wuO9CXKr0Yc7wpoY8m1yHPDJ+Z3k5i3s2ZMWc4
1HwKnEK29nxmo97OY9ftNcwpKZqRsPbm4sE1i6piAXb9JcrXAnIMjhb+G4yo1UKEbPolTpLug6Z3
Ogu6WNoP+rza7wpV+07Uu9uLqs9JfjeXmQyoDrbLxVjI+ZsZaOZX4rFY6AgW4gxk+7OSoVAc9cOs
KKqS/YwDbrQyJhCiZoGkO6rdcrrqreyqJxqSPXedyasKKmoZpgM9x0NN8+J+HjSnjPXZw/tZoc9v
opTlBu+dXDI7ZhoIWGfzoWpOURi5gJGLwdcvgrVx8ri164UZUNHDihfP4JfCQlgRYbCtrytzh22i
AttTNZmYWojwKCzOhIlfXNRFk4xyt/r1iOZZz0Z0SI6Pw+HgD9k8LyzZU2WGyZL638CkZoQrtRaC
9K7I/LNJTIG8nfNsaN8UuPHBCFdzRW0Taqfqz5IV0fGtzKZZNJTz5qLereVmbwTUYg/XRNOsybmY
PUyxcqnh9O7QUfjqLWUjpeMD7XoKzhGKV6u4kr23qmurF2AffQVT+E0qpn5M9pOZWN7BzmAD74yB
xxcPySQpbPLSosGYmzL1Nd6DLFhk6CKvy6+F6n39YFS9F+wHZNocL+EXBN/R5NnMMqnZQu/qC0Os
o1wi3UVEMe5Gt/M41PSNbDFCpFk+c6MySIvZY8vJqe3rPPC/+p62k+SR6dmkrL1vrwK67GDNgRcS
SSezfbduRxC9qtzHzNTlpTWCA38E5N+ssTFMmvOQmYW9HhZUFXk8twkPoZ4sqpNObnscvrmLhmJN
jjGp16Ox5ZTwnumw8ADb4hjty0NfDhlkKmm2BpvjmbiR4dGfxtyj+rng9KMp0daP5oiRSe6KuXa9
c6PxgupcB92zKVfSlgYSrhBbPOSeMqwIMkBumIxtXE8Xs5920y3UdwdXddLSCLgaAAh61MzMykmi
1jBSywj9ttAGMI6a3eTvWLdUiZuGKTYqM3fNAOYAWn2/aIHZHhILZyVmPMfJb+ZixghruLMVcDgf
Ev8cCcg6c54cBlWX0ZLQDNjSjFpzCZnkW9faDWznmiTsut7wTqzW1azTkl4LWHhClsx7LDzJDT2f
1jLjWVlBlR9SB8rafLoYajbWuB/dOfUP+QDWbwRlm6cWxePSQh9JUZkDE1hjS1e93oULtnTGMGrp
Sl5MnrRYlMF6d24ZI90a1Bq7Xk1bOvrePfgp9cBfagKe6Ahe1Bj8/6geoA/yn//szz8TD/yPTDcN
QoPg5XctwnfBAf/kD/2AY/1Gew1PMMAchK5IMv+lH/Cs3+DYbr0dWuqw8V3z3/oB0/jN21BwMA0p
CNOS4Z/9Uz7gOL/Rp2ETQL8Ufwjom1+XD8DPQ3LJtY9VojbI8aRN0NGn1XBHOeRLMnz44UH8Sfv+
adfvX5987BajpqQzf/LJW1hAkZNUJF8jT/3VRx+1K/N16ak6WEQDBt6VbmlXlWFpr0h1/+qzjxpu
YqDwncBLi/XJWi9bB8N/slTu7tceytbu+6FznKAWU1XulzGQPL11ojR/Dfj+V9/7qCdNKgoTkk9c
4oo54WxtKLlU5RK8+7XvvV31h+9NBNA6NdBLYzER65PbxbpzNfvu1z78qC/sLZk3cRIv46Eu3ZO0
6T9Peun/VMP238OQt+vHb776Krc7T69iCy56kq4XuUxPfu17H3VKebxCBDbbIZUq841ymuEBWgoH
nF/7+CPdi9dNHYESTRUX/jCfcwY2LhNfe8XT+RfD5di06vSePUhwEnFmPnQE5rip82svkH30ciau
S/m5MKu4KhrOWX4V2hr1rl96JscsgHxUpYLyWMYUPd4m5pieOGLWX+k8/9UzOXo5gU23QhmiiuWy
VA+r3KAThRmc/tpXP3pB7cou53aEvOjcUz+l2PRrH3v0Zia+Yy44Y6t4UuxfpdFB/ViNX3t57KM3
s8FwCauRUZLOxUGmk0kBlg71r31z8+mbOZZGLzoaDvFI/k9YzXkSTf7wGsDzr37Mo5cz4xiwpnBY
Yj/YGFH0wrAgvMbA+6sPP3o11/p/mTuz7Th1rl1fkf5BI9GcUlVUldvYsRMnJ4y0CIlGAiEBV7/f
ytjf+GLW8vb4OdrHKwtTQu3UnM/TLK6EyucQl4iCIjW3xTWWMdt6yhouFwXj2CB0jMlW4EriqVPv
ZGG/8dbrBHvkvqJKm8xgfwb2trmUQvXte2C8t569WjZxj8C9dKHigCT7cyeb5hvvWPhOwvNbD18N
TB3Bzjs5oGxFFMmvfeQh5SAd+vdIw289fjUyl8bDIYVG4lAMVb64jp5mn0zHTb18rTmsAcH0Sw8N
E9R1ty9YK082MvG2NWKdVQc8kIdAVlPse8QIPQqoqf257b1XoxMFgjg8V4iCDCPFheVIf4bFe0WP
bzX4amy2ZsGFMAeEJ1HevpkUcjLEe6VWbz17NTT9giFiE2pxAL2YZggpnhBKVPtNjbL2LRiELHCD
iReXrrxqQiayWsiHbc9erZs24W0T4Kx5EHisF7bPQ9O8k9v1Rpuss3bbCVn3SYtH97isPRswk71+
iretmmu6sKwR+OkHPLzhMJuxfU83vvVqWE4DrlLBChOHuXY7HmDyjkAz37b4/DFR/bWhRWpbP0PC
jW6iCd0N3KOHKJ2ft33K1bJZF0S1cmzEAQAdWh8LEHnZl7hzoGBt+wOrwQnRg1Hc1OLAF7NLyGfe
hxu/5mpozjEZJ2jNBNTW85UpkYHUDMvTtrdeDU3FuBhtvPCDaNx3ghy1gqn3QFVvdPE1Q7Tz4nGa
ANw62HCKHoU3PVNWBu/UhL/18NXQLFDJWoXpWEEFym+RXINDBJI5tq3Kf/Acf/XEoKTIQNM1P3hV
Mu3Dtv2CAxHf1s3XaaqFgo82MYwfKmi9DwkZUiQS9++wKt5qltUABZYvDSsfD1fVlxT5SJx723ZA
a3MFgfkW6GwK6bmP7MoeSZ44bvrdxs+5Gp4gIyBBEmLOw1R+w1ohs2KUWxt8NTIBRPDd2Fy+Zh10
h6Q0n4YyTbYdOP+k7v7VVRAabQKAGfkhNgyXVccAWMlNQ/NPFeFfTx4Z0tWWGZ/SCbMD9tllYyTF
tk3Kul4dteXUINDLD02iPQjXEPAsU+K29ZVLiOzvA74QsKPOJOCHYLZNhmJ/sUP9ud22fVsTDJgF
eG1K8HToNO7AZPyFZIv3wPhvjB9vta0VCPfagDf80BNAGlNKD9DHFRsbfTU4aYlIuuYRP0Q6EPvE
x12/32i+bQh5l5/0V39ByuBYejNePSFqt6gPkXrZ1BHXdcd9kyymLGNYoaEtQw5Gah+sS5KNT1+N
zrJzkFboDiuQFvsZOd3I2Nn23qt1s5+L1GnAH5ALiwQlHn6fQIDe+OzVuonS9LmGZI1j19n7SPtm
7Q4A8ncqu/69EyLb/vWXVDoJcfE7oIOP0JpY2PLsBUa7pVXYmuvDhxo3y0Tj4eammo+N3bRmsnVV
RAxVorHLyA8GN56qrm8Xe9j2xqsx6fXJMiWpwRvXmY8rlk1L5T8qvlvqxoEjz+uANf4c+eY6LPh+
2xuvhmKqTZtwbjFiluiqcbfh/J4I562usVoncffruYliUdC4Mn7k4fDcjq3cNIOgKuh1v5tQcCHj
CZ+wq+nHPoEkvtg0yNm6gGUCaArpZ1hu6PxUjgC9bux0q2Ho1zCwA2/CD0Dz/Zj9BdlD4baAEmD4
r1sDADbkCDXodpMqxmMhkcUN3HO5bRiuq7cbMDsHb7p06g4yxCVA4UIyvsfKeKOXrHGEYROjPEG3
eHjZqm9xovwbzlDBvPHdVwOyTqMeLhE8ftRLklk+HQ0QIJsWSRSlvW52hTSQRHfYZzLZ689L0Y1R
HsYjew9h+lbbrMZm6XlQopcKK3wtHqQ/Ado2nzYN+2Q1ODsbIwtuwPhBncGJ10AvV43cFppFXfPr
doEzDXVn7jI4myOqau7nSW1bbpLVOjmj5rSiAQYnsLYnpEfpo4eUi02H139AtGQjxRCFmGVng2SZ
PC6XGXnESB7c2BnXBWm918w47+APoOpouUbF0E+hA/q46Yuu/W2jWlQIZAXmLf+JxUPmT9tuHXFp
/PpzjkUdOEDVsEXm6Y6HxbCL0nedtG/08XXheay7ikwogzvUrjvx6nYh1aa9NyrAX792jdR9xMEw
bclk+FAnxM8jPsf7ba29GprxvIDUj+zIgwXq6Gb0vPZG4yJi2zZi7X6KPFXKxixRXom+3APG3p5n
p9/jVbzV5KvhKVsfRRW9ifLSquaY9mY5Fwb1jttaZjVE4VlAdZOpMBMWzu5CMHcOPEKl67anr1ZR
SZJlRj5WlMt0GMGAW/wcOWUbJ/Q1qcwrGpL2rY7yZFQQcbMSmcWzMNvefc0HQdmy0l2JljEjPD8x
snh3s++/V/L7xlddU5PT0hJv8UWUo8oSuKugiM59mMgPm9p9jfZWhWiRhAJvYIFMuEPtJeV1VSL1
btvTV0MV8JtgcnMX5U0atQ+aamQ2gQ+z8emrsYokVd8rCjzd0yiZiWiM3ZFto40ts1pJK6ARQMBr
o9yN8AsIa5KXho7jtgXvkt3z90m5h6F+gi8jyts5ECcCCfkHq4152Nbu67HaNKkJUHmYo+YdRTee
bG5dwMg7LLm3euRqrJKWhEi+RcugrCrpMhXp5dYDKWDby68zhLwBeLWZ4PHQi3e5Jom/b5JyW5IQ
UqxeN3zsz8CJVAqfVfMH+BeaGwVX27bz3FpMnFTDglxVfFWEJssDkb6fycAm29qdrfa8YKA2aVti
FmN00k8MJWa/OXh+20YTW43VcRgL4MoxA6dwAKNGOEXFYlrV2+ZIthqrxEiUKxi8e8gluWmQI7zz
QeDab+rva87mJCAmgPQ1yuEW8g9Id4oycHa2XWUB7vG6y4jG6DBRBcsbzyAD1uFgIOuIbTs/stVY
pcjGEj3Fqm1QOJoPNjSHgb5rY3xjrLLVWEVCsF/0HcdY7el8nBavPsVlaL9vavd1upBNWtQvdg5P
h0MpkzWrdxOsRtu+6jplKEJh1CDiBv2d2eCEDWSyQ2GO3HYqWOcMpUE/tNx6Ue7PZLybjEeysWTk
cVvLrMaqxqag8wXWps4E7F608nswLWRTbJutQTO69NN2qGN26e7tPnSBPTDa1ds2enQ1VNmIuV2P
FptURj8EcV/dsshF23r7OnWIWFT3MTtEOR+ieV+rajkoVIBvfPX1SEUZCoF+FZO735Y3XuWTk7d0
4bY0M5DoXk8E88AToy26exIZgBcKFCACF2KybV1mNVStPwajCQgKmsFw+ZXSjh47xGD1tsev04dK
T2rkFCOSgRCpD9YIm8/Ot+qdRXvFiflPQiW0xq/bpjUuvRQVR/kwuvTgdzLJROiNp7igI6qXGQqJ
GIx8qOC8Tv0mOPZSBE8SW/yNC/tahulwXFAof4sgERnFSzfHw++aumbbkFsTpEbqeDM2PsvHdpBX
MNCVSL1UyTszXYxG+i/Z5r+Nt1p7a1RwDxB+sVxY0p6NNwIgIbymrbJh1PVe2rnf18aV2zaf/0g+
Qu0dTlmYWDnwAQc6BCjxVeo9WNobS846+cgCT9Cg2ITlfoI6Yo8N0K7BILQtNrcm2EPGAZTOgsNW
WqjiHvvbdoeS/3DbBLJ256IQBxyyqo5zmBYinOJIcoqTZNtt0D9U16gud1UpsE3xTKN+Qo0YXbuy
nZ82zR//yEJisrD+ZZtiwLM9BMSlp96gambb01fj23oaPZlgAyeMnes9Sl/7X6rsgm05VGydjDTF
Ue8Y+P35AOgLitWXGNwQS98VpL3RK9f5SBNRssVRFwfdUpnPCYCiN0vd2XfCrm8M4Avs8e/jHPIQ
bRVdeuUQSlvuasyxO8BU0vsmrMJLzTwoUrivK7cNgnWakkWYXgSxjHPwR4Hhpr2665wvtp181/BR
ZCaAWV8gSlXWWmco5+Ig4uAaeltHWq3R0eQAflLYd824O39uq6nPkGRAP257+mqJZugwM52wvxg8
ALFxtWbypTfbEqwgIXr9mUFFA+EF6sdciTqJUUBnvAHwGco3zszrfCUfN8/1pVg+102wfBqTgv7u
02Ta9mH91RimyPhRNsDTkQAND2+gXipWv4fOfmOArROWZBs6C1kmHg5V40fbUv8eVKD6nQH21tNX
++kGbBAZg9yXD4FvPlgIZ3cxTpHbzgJ/VHN/5S1AYgwFZzvEOSDzXXEuEr/7aDAKyLY+/4/EJVSy
AGPepDnrxzQrUOyTo5A+3ran9leRKqHpmFDVpfkwCFje6gaVtYOMXzaNqD+o4r/ahkqWtJwnaZ4M
KB4iY5w+lwC+btuKrHOXBg/lX/4YpnkMc+lZzbzJQFWzGzv8ary28CmMCYlS7Alh/oKwvfnBUVn5
a1PLrBOYZqSEp3YM0O7AuHxCYhSKT0Hebh63PX41WiNos1MQj9KcAHFj9oC8RBckejpvC1atc5h6
qOEnIOyKvOsFCsbbJvoQI5Vp20X+OoupCYtJ2L4t8tnvg30VDRapTGrYb2ub1XrbeZEAULErEC9h
yJFC4D1zIdBT255+mYT+6vKg6qUdnGhpDnoiogKNR07K1OnG77oarqVEPSgyYAoExdv+UYmY342G
bCvJA1H/9bs3NeqVStkXOVfY1oMvHN6ZFnjCbFvTrNbXihcpjHcoXded5x1ISMS3pm3M921PX43X
PrzQR4KW5JVD0l5kRZAzi/vDLU+n65ymeEohRqQDyXna+M+Qm9d75fjwc9vTV8MVUEyA+U1D8qKZ
p8OIuNvRAZmwaY6n69SmpiW9GNK6yMsBbAjSz/IDeHLhj23vvlpd56mT0+WSLK/DOrjlPtFPvAFU
atvTV4N18XhjonEmudV2eglgxr4qwLncdDKn6Wqw0lioALjJIm+B7cmdEndV0WwLKMHD+3o0FY0D
fLVzRQ77oTr481Rk08L5pm0BsNurp9uoVURaklPL1MEQTxwBmd12+Qax3eunAy2BeObCSG6Ai17O
Gib1jwBFq3Dj268Ga9mYcKjLkOR+LEMkbDinAPQZK2/bgFonPwl4QHyNwMEl7B7taZgUn0Naved0
vnSPf4ZccMX5unUkMCfTwDHVjHBpXvN5FmdaTu+dB996+uWc+NcKAkY3+JuKFbnFGn4FDiP9lCTu
3RThy7j8t5dfjVcgji1ohI7kCR+BfizGCUiQgo1giXFZASQYxcu2wbvOhUIKWlI3dCL5DP5K1oHA
i+qSbtj49NXgrboI/uVywZQcTuGVR0sKEtNcb9pcws/6+itA/VmnpIEFanDM0auLDuu5Q0yn33Rs
oOt8KJ52s5kSTx8NFHI5uLvuJNSwcXZY50QZAjpIE3fDsZMl1FyQXrXZ0lXL702z8lotSEfGKx+V
zcc4neAIBrN73wCyum1yWKdECQ4zfBU05EhH7F15V7ujFpA7b3r3dU5UwVPoHkJWHMFZsxwhChL9
orYvN8W66DoxykNqP/DVpjxJQNVBZmxxwR3JHly2ba+/Gr520F1XJAAOxAoYMhvY8cYoWW7rlev8
qAWCyop6QX8aRkOhqgC6FVgG3myriwUg5PWokmMbNnJM9MlJ1u9Ugq/agvywseOsxiwkWJFXyJKd
EGJJj8gEUA9gCG47lcD2/frdgWzDJFxN5FRp9Xl2rP1Vg+j2ZdtnXS24fWKFa6pGnW1I66/MF+on
eHLvJV9eOse/zPnRqtlBIp0NeE3unMZEu9wi+DSdhsJ3vzvP+HIvUcfxzkY5+nPp/y9/LF6t7RA6
BxeQoTrz2YTlNbTDU+EfYxOGrL2ZoQEhKSp2BuFdq6SL6a100CocAz+ci18OLswQwKNW9BXPvKFT
o8g4WYB9JDRubQu49RzGeRwRLr7r1gGWB//fNIcZmQHFv+LdKFWzC5ci9XJR2VB+J1OouiBbaOT8
L/Hlf5mwV4X6+DGa5r6+aou0am5jHov2ipWJKr8AtasBcVMdWPAfPcipa7WTszEAteJHFOV3Eji/
BKHYCzrxkzhiwIOf0nEqnwtkE2ibgV/K0b+7ucc9g0/FdNOYaQHBdfBtYvag+sviUVnAEG47b0lA
ZxZILxWPsQbZEFDJqQTQaz+rmfWf6r4HLxXlCa06p8mYsKw0MBh0ewuUVoPfz8dFn5eepqgv8AjX
L4Gqw/Yu6fxUA7DX08jcICUDINKdc1OS/GxAPdZ3uFjTHgzd4GF6e+s3FQ563TQlMYDIYJmX+LEm
kfN4tnim1hdNOvW/L7XHuM5cokUFZm84FV6TIb05iLuMJ6gcAD1xFp46lIUrQEebW8Me+hKyFr1P
GCEBwG4sSNl8KBOsevdiaKW4S4PF1qcUxyCFH1TQbs4vULf6ekmSqn4AqUu5YI+9RLccOZvZcAuw
Mq6+sorggv/jAs2YqXcGRivA7tm0lOoEAC4jX5rQzAPAoUhAjEFJnJCmAkob6OPOZSZRbhhhABBh
73aosZvD8HoWtUV80PNns4B63cZMHIECgjRlB1k2YZCwtkkBcCE8IVR9syGcC88jUJr8WRdM2x4V
6OCqAI0dBROK8klYhvwcjUCGfa2GoBa/jReTReTIOV+CNrMRwf+2i7gV00lM+FX+cW6KoSaZQBU+
cHsAlOHvHtq0KguMCdeNyW+gAnkoIBTQBYoNdQI++wtZzMjErudLuPzwwfAgP4EmA7kQBRdG77gA
cfYQKqen9rqd5WWAxdpw4GL7uUshum87m07XtOpCv8+hE4hMeyAQFYHxDHkDR7pAnFQNTJoIbYyP
xkNq9BetF+X96voqqPOgUGGRGSc06JJk+DwKbC0tod0ZuM9+H8kpUlnP7ASDTkAxzL0e5Ml9D8yY
+eEPaMmfWgyBAsG3bfz5qkVcKb5BSfUQPCYA3aJyGAfZ+qGJourKgav6IQ3Smv7UoxqueuRk3ITB
GO5CHYtcRWBRQKWH/UNVFeIjlb4rf5YwU9JjCQp1vGRlCHp3cTvVnZE30DPN1I27iRaphI+Bow/K
W7rwNKiuILRoMHiiruwgScBkQrsDRC1xxfdIqXTdVS3K2eo9kJ+l0HtQkSP3OSLesPwiYVH2z4ON
VQrKM0dkHuzQkJrlgfsFNgr7GmuW3+5qF0uxZJhsyKSzDrmUlcotlU0fnGLPgmIEWKKOhiJrAMPR
v1F2pmBMKAEKMdB9G/BCkszQOQmQejUKob/A+QXKXT5hm1mnO4BtJDjC4H2ClJothGoQ3bwZGKMX
KJbm9LEPWhd9CWdiygC0SKT84N2cdfR3bfqwe6j4kOiXqWs6oJLpRNV4V3gimL7BKiWQwCNmT1VH
6IJtD3qRVgA2Zt7Im8rPXRnFk8UM2gO4fSOt71k/q2kLau++T0D8nsCwJ4MPEqSboaWBS5r+HgmO
h/V56Eo4DfJY4vYk971g6O+0FWPbZbKa7ALvATBkHzmAAd53fNbRFeBdJ6wCQxWlRumHSVWUTfnA
oZD4uYhJAzluOJidWRnolrawX7RTMB6lVlDtgHOjovI+4iHR+8AwcDq9ihqsLnFkIeHA4ln8nGVt
+YOMazdCk6pZcETTlPRHndDGR4FhwpLyGTuQUYDoncgG+H4+NK07J5ouekKifOJA18Wdm8I0Yaht
A+C5x3osn3EQ74D87IPBvQy1oy3ZaVZx6aCFmjQo3spNnn0YNWal20Hw+oKLQaoKoMCJJ/dlvaQJ
IIagrj7EnBrIj+u5CkClpW6qP5NijJbuAYcOgZubnqUgi1/PsVrig/MHNV3j9hR8aMgQ22E8Ig/c
p3NWIGhXJ9BAgEv7HZRLWgH2nHLnij2otVSJbOTg1EgwA0p+L+LxQu4siol+A7eqbkG+tMJA2ICi
nl5FWRvgGZ8vmonhvpFSdO2Re4LLBLZd20MR5Jc+qa4DWMuG+R6A5cslfTrMQbnchsuCbwVurKn7
ClHV2SvgGAtIA75mG8m4bXdaXU79GexWRD0ok0C9AITnMkNJtjhEH9vM9Kxsk/tau/JLAQEMNhBT
D474L8Dl2VLAtBAI+5M6lyJ3bBr81mU1AYP3RIPEgQ5LvMJpWAeMSx690Ud2bJkOlU0z3IYh1vC7
KhY761zhNi59xnzpBVVmKcDVuRdE4xgd+0hZKaCl5sH8HVRd1V8XgZy9K6HjxT219TLYW+rNHRCX
RsuKhdiJLJgDJODNDjPS8+QGdJBdMJgY8oKQhabqdvMEaPAnrAGCfB3jOQ7KTARNER9LoHz5L5HW
bf/UJ/AwlEcKum3i7zRoqukN83RSwjMyQvoNmQ9gy9VpbqfKS/cwbbRQJWiCyenRkdhiaqZU0/ZD
iKyu8Vykk4keFk96QEdGccVgoA6AKoa8u0ebgCcKHGZ8OUG3I4wJvOxQrwQ1d1h/TNsOC3/WMc7M
V5DYbfkLakw6KGQcN26cM4sMB/EllQr8koy4WoSffZsKEPR13+FklRXJuJAug+qhQU7SsLQK9G18
gxDSElvTWVyzyPbRIy68w/RjtTBdG3yJwNeIDke6ahGXgymLZ9FSSnWV0IKJT/UysvZHHFQKiE3a
hoATQ3jU+9EPpIh2Fjz1Kqqrz1BeF32ZAbCKnRKImKzQ52bgAv4srGs8+DTUugJavAJYlqABI2PQ
tYoZXr4jq7DrDWBN8hKgR2rLiI+CEZBJQLk1Pc7rWdXUqjhzPg5oQTlP/g12KDT5FNaYGnO1+Be4
VbsAXPYyd6GU+aQD18uMDrg5+dIsaTc84FVYyYEhqJvh2nndEHyIGlh4wYyeIjiAGtgkdiSVxgct
GES44hFu5qk/+1NdBzncAG2H7bnt0mcT86lHLeVQzl+KJYZ/J5s5CeEK8LnX0VuyYEw8eLNQ0KIp
nS6yy1AGwOoKdVK1QSqwnjswxLFo2LYB/9XRispDmA5l/GuQYHapTHkMaFLwxHFpfWINFqnPy1zE
8dUEixCDxQrzyY+lQ4M9yN4we8+7JrR3E8H+5aqo2xh1fDjXu+QKKpTe/AbAtrUHD3YkeJ7s6PPu
VNhQjC9SgYzxMdS05hc9ajh2MML0/vxJVoPUJ1xDcwd+qweY9qfew1XxT7gb/NY/hL2dIpcFuBt1
TzLVAbb/tnSKnWctIBc5NaWoUdFacTI20O2okf3yoaBiWF5l2XxymETQPggVVgxtMJECXwHjWevr
aWnq5ZunlHiYcQZkN/F4kehYeDc+TN2Iapaw6qv0uaoqYZsdzlM9uyUylfJLAOaRuJeIjgR5LzAO
v5WDxpjcSVakDOVeUJmhONOnv2wBuc3DDEDAhKOWIx47gSPrujPu3hPz1EEiw7/PaZ/g52Oql/N9
7Nq6wWirZ9PelmQGsTsouWtfwgmbzkwpiDXPQpVK3/Qen8KjHSsovxhTvJGZlXPQnGrobjRmgSH8
NKY2UvdjYa08DsIQojPrtQl54kqXwS+JFLXxiJVPTxmUXODgYlmM0St9EUDKYKzwbnowcdNPrWpr
ijk7YWrvV2OinqeWjjWwt82CQTAssUHdwhhhR/ZABmcQEx9l0YqDZZpAWpVYEz8C0zwFVz1Ux/FJ
LK6uUe0wpfVdWC/wOmTNgtnnaUrnie26th87rDZlMWRLJIbx2vMcjx5Bl2ushPYlrk2JvPFkpI/S
eFFj946CLJbTBVrVowJYOz54arBAmKPqmboDCA28vcGuM7ZXcVL60aEZxrLMRYixedUsbQT3BF2A
Zw/iytc3hZXehTQ5dpW8rhrqamTW+E6aszebMdkHOBfXd3ZhajiPfMGlcsTrrimzEe8WneIW9UV3
08WeeAOCeljvGTjYKhcTKspiiCSSxbsu+kh2P8qoSYaXMUYu7L1fh3TGQQ9VT9E9lCcS/ovB9PYm
ckGkzhQOE8z2/mi9c0V7f7pBUSrQE9CVGJp+lV2lphzyKds+SYxf8BzE4utjD93Mch/ZgSpsqhJc
YAIiDDlsc1vLNljubIQmbuFNIZMXiDN8TpQsQFAXVVvtCjKD1XyoA2CON91J0nV1F2uQ9dsJWp5R
RQN8fyphrcoaXJR/3RTXWdd36aDAiLI9P9eTp2Eyi7w72XZy2/3Vur4raMwYY4e0nKGwGTLIoPTT
jGqDh23vvgo1xmzpNeDm7qyjyr8KeC0+X/bK77z7n/y2f4kTRex1PE2wUHYl4fLc8YJF5YFGy+XM
RvvizJDZ5cHs14pyD242Qbefm4XlHoDJv6pU4pAlupLdVehI8K8F2HQt046qFMR3QvsZstEqQUXj
no5Ngn8wKFoWx0B3qcqEVEGcFfAol3dJPFb2qgThm6NbD7imE2M1v0vAeeMmZ21Tn7QMIeOYB/Dl
+4lc1VWXErYH4Mjr9tCqI4aSMVgaoVdEhCsZd7j5wakYWYA+JGaw+3hwX6ShGw4+M6TPp7oY+lPa
QPlzE9mCyJ1qUSM3HqiRBJD8WAN9P9zhKB5hf2SMGhMDPu0wqP4eOZEOlQqq4NjLIxddX11S6DqU
HBYSZ9xDdSGWs0M9dSKGo5LPMHM4TAbBUUZlMB1t2fvuqYEv04cCMrINJG5FXdSexNkSp+n5qEPm
I4qiF9D7d14B8do+cGAAHZqLlcRewReQ2rsmiUqo8KQbXFvt//TT/xUp/P/JAH9FC3+TKf7/ISn8
knH6NikcLszKVt/+5oRf/of/cMLj/4GROYXz1EfaghdcMrb/r2c8Si8I8SiGQi2ilEE0/l9OOP5T
hDLFFGQmimoF78L5+g8nPAj+JwGxJYKfPAwDSGuD/w0nHO64S+j8v1PARUbsM7haMf0yFEZC6vx6
KgBXqA9cGHsHO/aw1Rc4pjaomwz60d5i9QrcE/lzRMKZGzO/x7to2feIq87fGbjd30tkIsF74hu4
yoeUwF8GO/YMkmJESxh/1LxIlpmOtI+mS3mVY68FT0BmBKp5cScPylvWLXPr3+s6MelumZRbINAJ
mb6BkpMmateEMcfZzFfs1gmnW2wne9aFByvZMtHdYjTswMbqWULfprU8U931TU772P12jTJfRdkH
cZ7gOj2r5jg6ABok9gg8302AFTz1I6wXBe9ijMPungCPeZDN6PBPq084NHY/CEow97D2dHvUTn8H
1i28XjCjlF5Z7HhsvYwbnCmXVkKRVQHaezm7H4HEvPb8RF1LyYZdXEqT+xFOFrNNr9nA6vtQtmW0
53G4i0P6MMxLtZe90vtqduXBIhH5bpEogLlYhPfwIjwgpSGCCqy/Y+PEz4bP/cfRquiQwGN0xvE2
2PkzMznUz78QwJv2vo7vcRLoz9qSKwT7f/tkfgiZXHYMM3/eT9VzPdrxiNPfksez6B78OvieCkF3
PQJ7e1oo/awaAM1l0LQHbHC/kzL5ihBuCGGb1x0jb/kRRhwe1HBUhwDh0Iz2y7SXuE7Jgq6yHyEP
eZkxCB6Vwk/tEzLicqEsniWKwb6CRZqeUM+pDmSIpp3B7nfnl3CvZAlmy+mpgnTF++kWLT8F1oMA
Tbt4jD5CtDWfgTsowqvBWhP+LCwyetEhO0J2Q9gwF9yJKqRpripmzBE3jN6NChaaHNK61PyKj0n8
kUymhYoDLilbC9wIaGDe9iFUQvN4m0AZg4y62aSwTCcIQrDkt/JKM883ZTwOafCB05K4ElEkOLWq
q6Fnqt1jw2mhY2MNyAm0XMZHKHC6+TrpPL/HEtP7H3FeCb7FS5zsQBycTqPg+sGH0x1ALKwssOLG
OyAiIPqBPZjvIjgrXtBtw91CRljJwoghaO415sTBNrntC6F+I7p98c+0HULYMApcubac70bsK4fh
0KmiJsOnoSpmBLiELHYSm/pdCRnjnT+FH8q4C/c6CpudSQgETGkTcQpTvEAvTrDvhIwQ80VyFfj1
rBBGQGh0OQ0IWO2QbUGuHfRMJ4CVpgxH93BHCZlhLg1gO64KPdwMOFfgHlPhXLSHegiVjNBXzun3
FEHfU82sGneOF8ZktCyL01iQEuKV4Zn3HftKHIhbMMNwVCg74vJ5VPwDfBvzMSY4rqfET/MuaSGW
0T2M42mpdkkBNXjQUIhhuwo4bkShCtPqs+8Y2fdCLxmEOgVMSZV8qMSyXF0KNSlEOJC8JPcDpKzX
faFgoUaC7DUuRyecQnuXI7DYv3TNTK4748K960xymyxOfCvLqoUiE92+nBc0RoiwLmWXf7LwNnMO
kNBEOhieBh/2PAl77XXS2+TodX1yTBBuPWMb7e3EyBZYP1R6IxE7vOtaGu67VHgn+I7FteOOXCc0
pM8VA+0Nlw5DNgzga88LHIN80h89jBM40PAnpZn1Rwq3Tualf94q/VT2mLEyZ9Mq2uNz4O9Wpn/5
8wW7QXmnblrCfRJcnkAi96uf+hanf/5NdggBTo6SK5SfunPJ2+kpmdEkmHuLe4PcIQQ8h3rHe1Wd
W2tMPtAIv087lyPWkR7ZKBf4Qf8PZ2fWWzeSpum/0qirmQs2uAcJdDUwXM6qo92S7RtCspTcgzuD
5K+f52T2TFd5cpluJJBAwk5JhwpGfPGuvnXk5lxDp63mHV17KvYqVk9ObCiBfu43L1mLt1+/f+O7
2asSbrUvB/6G3qX+7a/PEMh/edaXejx6vZ0tl7RysledV+8jHRzvIq2M+pti1B/wVBZvg6hkNFAx
9VZOVv9V4oR4X+q5jmqBNjHw5pWtD4fBt9LQliMMkP8ssH889ZvUXvI2A2xC8xMUuJ+4eEvvRhno
dmvTU7/kSksvJcApFrjND41e+q33ajmOr4kjUQwL+C/PmErg6zRJlduJ1NK2oBkR73dKg6BpmBkA
WTuNJ1s3BqqbhFMeNS4jz0PuWCeK+ghCUu5d0uhPAI+PqysPi7S2iDrCOHPU3qyGoxTTzpzWw2RZ
73SdNaFepDZ1ZIM86eLaitx6d8qiz9j3jHsv3V7pJW9Cq+xgQ13Qq602hj10LqP5PLGYwGZ3eT/2
gZ8O5c6enDZOGs8CzgTS8bQ8pVvG1wN0o/Z5sBC06Jmc6CTLrdCVAiArddJD77LEB+XWFAUP45vo
DDOkk2gOErW+EFSc8/yb59JMvk998sMhVC8ypPZk9Kq75Szxaelc5cEwzJr5X7G6BVvxBPcTz5sH
LTmW7pelcZbIzLbh65rBuNDuq537fNb2Q4OmT3IB3rtDdoRyXdm4be+XRR922yoOOnxuTd4wR1a+
PQ7UyJ+Bd/ZDYkXYQa2oXY3yziw1cWkdmDFPjWk4iNw7rxTehmU5Esfk+uAt2ZdEQspq19ZE1Q0n
7t+v3bjtW4hGqpFmdz961gY8Xv7I7XyFsrjySnQxwzgSBqnZgx75A4nbfW4IarrWwzZptBs7oo51
f4Hdo7tHs5W3S6Hs7HWmuK9wq5u0AoMNaC+OGqm8WFYZ26AjtNOsbwsc3nTkfS32mGfceDLaIyws
e3WTheTHyLdihd4ZrNF6oJDD2qdqTkLgUv++hpR8NAZXkQdT6ZH0Ku+p6Sm6x9VmHUrKK6kmr/Il
SushjwbdEASvCFuSdW74D0lqHZkGaVHNfWWSDAJiz+LL8tttqKs7vzLqHXs1Ah8s2voDNFP/2q+2
26ERy6ejlws/YiD1KMJrOEbc1RxPwk8+QK3X2wR05cJdkyL10jYir23rh1zvmnDruvRocEjHSd0n
FUeeO0aYVK19LzCtevacwYrJbtfrRf9c03Xfs7U1TTSRc/Fd+lLbEwXWR4vTD+FGmcBxnmv3tFrF
vKNfSgPd8cqjIwfjbLmFOCj2K9q1Ghg+UWh3JEzPLNO0vDH8ftuxLxpHWu1WMOxFLRRXaz58i80m
gxnRWmGwID44DoW5BcXYrlGaawoM2838m3yj5k+0gkrIumkvTd5QiFWWAGGQQIFc9P5JqpzSKYuJ
kTa5lE5dsX6fTfrmisrM0zDtRfrI7UBFwpm3WC4KmsFpnFjJqdh3XVZRDIdsLp6Q8Qe4Fp1AZ1KP
kk2t99D5/kObDNcRGnrOLbVbhVb2B1+4vPfVWMVjx/4/6+P2ZV7WvZvYI7XbWnGExzlZarXhk9f1
MzVr98Nrhb7XXAH9k5ZRXlr2IS+A65wkUfuFIHgOROgJpGQJ9Xk5Z5JXJL/4dY3IvaJjlTP561iq
4ULrY/Ngl9IPlWxeaJIo4zbTl5PE8PDsMzJGwnTyowttFNJm2uzHdXLjYuULeUL+won+uP3als1R
RrOpdzv702Oi21mgTBKZOZZNAop6TpPEz+oH6NocdmVhV+sW8Vr543PBaH9CLfEh/OmHXrnMXo5m
RbJsbThig8MsNTeXxsVU9rvZLN5dVfjRlBZvoto4/ba6oci6u+t5xwKqhW2q1idO2hYjHqPGEKae
awZuSZMi7NkWA4ZeainNm6sIZi8XGJxFr7IX3baNa19d5Z1Ti/24IdiOUdkM/auAYsoatVsk+2jP
3S5INdnuYLrePFjPAwOXfMPEyKboV6e1JXlao4iUjvS8fUBQoSggrrozgkHJr8mkaIBK9xMNdhuk
yPpETZt7sDtifXNLmME8qCpKKvtWOu6bVw1fCmmbO12UG6z35ITkdWi7gQrGlGa5kpd+ax81wUxJ
7Mv1l/pp5bjt8s6d7slqXeKx7D5Behh0u74mBxoSaiD558nMxPSAg5pqXTge87RpZhs6nVew2Kbk
BUZbayMGLDxqTEvB2qK5KfPe3vv0voZQ7D+w85Rh6dI+bdv8nobeTI4zR92hsrTnsrGOlgbskthK
P4xW7t7NZYeoydj2WlanJ8O304jqb59dJPMpooN/bLXeDCua1faKxxhwbFsy5pKeUoprs5yZwKMx
3/THBML6VV37R+dkeaCh9c2gfe8Lfa2BPdrt46BZxXNqm+Z+tnvrG/eqYYf49KPTffcEwsReKLo7
WIm7TW9uayH3ymPSkilRvPAS8kid53o0GsIpWbjvNLPf6DzX18RwSY2GOMkLKF5qqPxTCSQX9Am9
9BTLr/Qi0iNDOV65d0bT1AMfSuBG2aN8VLY3ktBTdPTaISmgwFnfzf42HspqS2Jbpv55TlLGM+27
oLmW6vCZLPNamz+TwutfQNHqyKtzf2dryjmwf6Uclm3yYgEb3lakqe8310kuytA4whJPj5A+VYBv
zDwJD9Ml1vleCUtGJPo5d3mTlS0KD9TJCCfUxRnJ75aG5VwcqsHDrJ7G24LNmQJai96xte7A2dZ6
37cLWJvBLT7M9O1D2v5Gr2A2PywE7O6X6z2UYcUNVgyUXLy76d3O7IXxzSTBwqAbm1tPJsNFG9+z
GRrXEkiLSAQ0927uTDcQZ28K0uqbsymoHwiwU+50NusfEyPQx9dVVWnYFUsZwNnqr1IT/V51iXiu
BqE/pPNo3xR+C7iwKI3B3KdtGvLynMvyYSZ3GimZa+2kWb16eeYePLulBH32BC7kbj6q2aM9O+sU
24abdzsXD8M9ny6PMTbc2ts1HXKylPO0Ffa33rVpXHRLSoan1vbv5bXWMffN4b2BeQxl4fHQayMp
A0dnEpkmCaUBixzQe1MdADj1s3SLa4wodyimDf/Btqr5afBMerarojCjtrHWx6xJjZi7cHlorl2Q
Ii2mG66oY9yIVBznzKDwt1flc+PXzaMlV44Bm3320kHtHGq0LGerccpb2hXnj3Up2cfrDolNWaVP
Na77oMK/TPekrX0doWMOjT+RPnEttam1svumd3Z7ElNjf8+ljk9K1Go3colkZKJovDAdfZdBnxwo
25mijv543JRKwqK1orqpVqe4MU2AD3MGaa6SdY9aYruxkZLqcO3nVGXbTaJMBQo+LQerXEamhEkg
rONV8ot0ONjSSGNHs6kyTtIfzWINcVIk73OHYqPq60vPtWogFOWup+/1Qbir+0uCCh+WJ0UozCT3
oNFivhf5tOUBtH37nUrN6oZHkkcCBcterKYf6Xo2PAiG7PuJS9TBaxLEmoAJ4cRQZARON7lUlvIS
BKONIk74vgmbmWw0g69oWGjSdZ1oy7o1D1ZysR9xSi2HOZcCW5NBQ7hTq70vhRb6fad99dvEDnWH
ZsymS+on6LiFmtG05cFk3allzNkB4DMDF6Yauc84JovLWuA3y46Q4no1531jFeS5jkl3WxZTcrv4
JX3A2YowBHbwe7PyQ8HAFQP4RecezLarHzfGZaJ8De2LO3LtyPpljCac8Xt5vf3r6aTvtIJTdC31
o9/p44GfKzv6CyARGEJ1seeq36f2mP9SbXn1JtGn7SDlCElq6mE/d/X6bWjZVPTUp2ydDc2mnbez
UIVu3pvnNGVctHI6bM7oHVwqOncrcMzXSp/WuECLSc/pNBof/qTLl9FrB8Sd+eQ/Gq2n33Vbof+Q
/ghPOHt9OI7C/pyAiaK0XNOoKbwlmNZC7vwJ5MVMKgdgZGlfgJaS90kWzW1SUB8uR9HA2qENTAkx
/5HDulupXd6qNO8O0zgwsDj+0nxfl8V+NBcS/G0qSr95iCnZGmzvfc637Nxq+nwoOZDrkLw+93Fw
tOJpHhI214b+dVVfL9By1U4NfaOISDOkkS2HS5NxGw7SWuq0MDeGdylLLz+jnczfrVJVlDLj7nAh
B+vifuw3EdHQXrSBO+Rk9g69uLVcxBFntfl5u89ci87n2o01cywjuxWDhTyB+uSyMOYziuMOwtIz
uIOlnX8nl0I8gqKVFwPp/FtlIldD5UPxcq+2Ppwzb36tqViKqGn0f/Rgac926iZn3500wh81c2f6
qTo1OQrYiVp1ZjhN+5zaBtWZnt8PXTrfm9Qxn5qkBheDC6WwpWPPK7eLT7rbfgZHvClEmTxo/NoY
Nlf/3lxqA+DS9cIVvfGlTfTkxJ5Z32alYcW10y13vB5jINZ0/PAZcOinf7dM/x3J1pMNaHqjSfk6
GslTbm3MObM+Rwhdl0iwTLzM/KjraQpNy//uTkVcVWhVeqtOz4CG1fNo2CbTjRnppfjiqjYPyXUU
ob6mO8MYrUDZuhUZvA2xtZqRw4AaaG2WhlllmgFNbjuYunWP/JWtu1UMjmt7mpt0fKKHgGUzlJc5
S022u2rbzYWkfMcwzVNnmTPZNOtLKqevTecjUnWmeJDzruGWiYpCny+GATKYJPWBF3wLSGVKLu04
mhElG/IsdCkOi1EhGjYVYxj21ShF3En99FgcXdcdD+syrPu1J3ZE98tT0yfjhetPkXJm2++zKIoI
V/fCu2Y+WE2nDh1KLXu28tDMrXTf9pv9SfRq/+SWgxbT1A3kanFB2taqCC2EQQeV0SeiEcCGhtcx
Y+5MBOKKqbwo6YOpoq9WQeegzvSK4utEnGKENE+/L9BAXPJOuyoGt8mOvan371wBdOvn83OdV0Zk
DCKBBlR1QLojci3Hqnadm2QP8wgqoCuhRYhmL1vKpD5UwLLT1KdHf3CbiwQj2olecT+yuDz3Dc/e
052wdw3tRKwIn4zl8LzI9dGXjMD5XNoB8yTTXNf1lCTIwPSzOe4cnW5OZzklk7lEg5DtrSqaI7L3
13ZIL3OrfbQzPKtG/1usryK/1dMBMRD6xmuxVZjqiTigznYjPfWY6hzv3XOHnluI/Ap004WEqLG6
UE8fV4QIYZtc5/Ha3DULuO421bFGtPPD3FosAIXmSCJGHrgmhNTOdWGlzVpAaXvjBYvy7jJe7tA2
2zyei7I+eqiHx3Eg9qH5irDUCVbCeSg/98LSzl+HIm9irgVJ4EL77NBmDjundDtYi40Ksby/2EXz
vDgF51sP1iot90b6ZR9YPUwAsQYq7iyxxFu95PRptju3skHtsnYImgSZotmX1rPQhm+TD/xmWoDu
qSYWTkzUFphJwmL1FLYpbzjbnvoyrH4OaNXou7rVvxaelbK1lPPBnfznxmWU6kZruZgZOiWS7Pq9
b7XWqXWmR+G2sB5LNd9i0kwtbvfQ2H6z5DtHrjvfnL/Pmf/k0HkeoE/es9NPUTmaCXtv6x2npdSf
GQuLfe7/oLbcApeTgLm6/8x8+Jrmyx0XiAaxdJM95ZP8WOFpbktD6LuJrLeLrRkfIkHg4reRnm+B
QWDK3u82eVDWlJ0sb9lzYlbsaSwJYeRqv17He9SIu8puP+axPmaN+SXpEjtqSv1xQ3d9KtK6uOlr
bqy+UUSmL99cfONBX3OfMfIZygql4LEk9ztYE44PTXryZiuKE7ef9KSE3u5NzfhRGe1zWuZvc458
IW0141CqojrUfgVDxCB6TsfU2VuMaYjMyz7jvqwOA06JeHU3/261zA/Kx6snbB7LsdG6NSQDpX2w
PAwe5Fo0UZpNWcilvH9ICRfcSzl9wx9U5zcqVVGePbOlq2NVqzawqmndm9gJ0fs36fd2aY1oaiRL
XB+KkLnriGy+4NNoRPI4896S9bFS27d6Mm6GdNpt1rIE3TKdqhLR8cQCzJ0EQXRVfFsb+4HnfVws
O3ZwX1isu8BaOz0GTd0PZf60DEm0FFB63SST+zzjL81Tfe67YY20oX2EQXu0ln43mdmxdbyIRiCU
mV0SG1RzBhvK6LOdjJGcsvvJN160lFe9XY5liXhy66aPslrKKNGM96HWjw5vw8zS2KupuLS6d9RM
78lwrSqc7fpEaMTJoWVZ2Faw+aV5T5e8EcCbTSQ8KC9ydf1UNVRK+VXnvmS9/OoUI+OvbL91i3bv
lFloG8OT3WVrOGzGUcEwZtwCY/jb9qu+FbdZsgRaPUYcUdFStV/0DCcPU+xOutatZbSIKZA5Hyc/
WW/TpDk0IyWh9O/ZcV7XCYwrHJap5ZFKl/fNptdO673yNGt4A8Yx+UqKuhU4GhOUW00Rtg4VtFM6
xNW6fKszXcXLllxMriPOTMZB3yXsDbxHlS9gZsl0SiEGdl4nTqmX+eduMHJubpYUrwBdDhbZIg9k
Mqo7T+hn2gkAdrlCxrU75jsghPYr4pbxfhF2cdKKPL/4GsWv1SQKUFKSlyvL3YOf5Mds0AjrMysk
/xCG7QsBKerd7hjYab2sIha5rN5y1+EWzlyNlgs6AO1/rA99Gy+MckRefbjubId1nmYQLcS3LP6G
lN0d4GprfYCnA1LKZlvEFr8ZV/gFFhWL05vRxE6MSAx97EwgxCkoRT6LpxyJ+mHGCUBq3PTDLksQ
BcgnsIhgmvIjv8GQabABLJ9k1KmmZ9NwnJOp6kejdmeoCqy+0/piJ/LUiXIMJl2/d6etjE3RVmGd
dC9VNt2r2fwCxVlSFAyvr7l2EXVG2h/l1q8RFsEffdoZXLh1JO6F2zxPzSxQ/xaP4+YevcS3dlNn
JSHS3zWY7O3BbLc2rvu5QS6IF7JaK3h24xuZzgNql7YIHUD3wdbLB4ffqBDkxyLiZHBNxX6F8Aw8
gFcr84ewrpIyWrzkFk/Ao5CAEYPAG4AdIeD0OcxZpSPXIVNlcr4PnvF9mpcq7OEK47nNr96X8SVt
ph++PkZd4kORuE4822nOOrbusT60u6aixrSq9B/kfdcHzcUMYAt4N1FmgtHBjGdv66Kpqs79OEfp
pNxjI4pvWgPJUJLcK8bxtteUtbezzthtQ/foJQZXaedxdEV/ly5iifpkcW/6xp6iZAS2nmtOZbZP
6+RJEQqVNhHccnYa59zeofhrcHUxtkOLA5InXEKF29Rhn3ovhl8Mt6i2nUs25ucBz0GMVPGA1veu
IJWMcYKDJuGC0RdljPIohpFES19aPcgOzGxpFndKF3nQDLoZFIK+CpXn5W6CiI8zm0GhpGWLt27N
j5UHGK27pog0rgUol+Ybh5KYeZvdGC/YA+Il8EOhvxCDhPAsbW3+1WTHfDbfrAV4oqkv6NrreDVl
ddFTu2IA9avQsLmoiNXidlNrQoLOcrHDWKUK8EzrZbbaparvm7Q1rM/NbJMuSjpYeTTn5McdrWYS
5XnBGLiinB4q6wLXiqTfcOayPw7UExg3XduTBgAE0cEw9ammFTtn8BWu687u34o2q8Dfx2F7zYDg
locBiKgNckBGtecPlXMZuX82MTajNbvnfE/6u15r1l+2cvH6GAq9BYevKYQ61LWDxyZP5IwDaIEC
acI67Ro9KpxeM25QdTAQuqvIvpFQmxIN49iifTQhu5imWfdlfrM4eTM9zn3iM7hisCmiCe2RPMk0
86edD40NKO/4kxu2Vjfreyz8PRxyuTWldk7BVNdbtSR8OKLZgaocyx7GqPAKbgt4kmYjX4J+pEDo
q+zUpp98KnNwwRWLbYwxc4/r3eWIIljHqiYvAbf+GmGzyefAqD3/HpWEd2sL433pnHuvR4dtz7Mb
Vq7M92M5qEfPwuHZFW2HNzZJEMDlU/q9LlR7r5Ua/ouemlkzNHXO0lCXhndEwPG4zcJ5rtPya9qL
nVtkANtGEpr1NO/S0rr3VE3NLeFXKGuIeFp7+wFCvDmlmtd6IbvhtL3YyJi9X+a+N6/ff3bPRPR+
US06btVlOy1NfmT2ZOzrSuzJe963MzNwX92sTm5ESUGIbF00ORRHtkGu5KCJwtxBSuCemvlDWVDm
YNQk1vSdj5xHjMtLt2GS7pfmnIwmlzfG3rOqVxnU/mKeayfLInF9SNKRFpB2v+81qzkOCKL3ymrf
pebdZmh2uSN1J9Uy43E7wuFeY2/itaTeSUvZR12z7UM94w1ROFW+JAMOTG0x3Utl63YEKrkiUSiS
ozb39uu6TPir1PbajuVHw9ARjUu/L4YtOYiWBvJ09Omj2Rw0qK3/Ya5ecZya6bbBkLBvZvWcLfly
nkG+HrrOoxFdCTyMuf5djjILMa9xylgaOHO/tSituaDJIJuLhnYhLrT+tu3sBf57yQZ6L7IllmjS
uFR1EAzdeoKMsw7C5xD0V7ONbUOt+yqtXKYEgVew4KYsh+UBnbMbuE6dhq7p09VmJCk+UeFf8NQ+
2tJrn4WPXbOYNvcBrZ5/UF0qIkiT7keiKmKocpLf/Y6uoNQajMMwo93q+4G7RAEDm/V4eiw+Pf4r
i2gpxLlH3nbwVM8754hkPjoIAUD7jSYcpbY7z1z1UJYYARJHMwOVlN9Kl/vnkHO0NWbxVBbzEtb4
5WLo1adtqeuLXybQtX7HNCim0Y+culheGtuqGWbQPp0gsqcVBQXPPsD+gdeGrKvtDdmX+V75ldM8
jD6XQxO03tjJCgfCvbc2xbAb9Uw/OUXdvm/kOKMjmfmgN3YFUhpqlf1a5kYOc9i0X1CsOWfEjBPe
WYjLaetP23XLCsYhwZLptRKaS95UyADDTgdzaX2ywdR1uDEGbTswcxQvqHxJnlwyRYBKspzYwBis
vaQqw75lHcQy6VUW9pPB1DVI1eonw6RSO7DGafE+uPThYZonh6TDJZE3vV9Gjd2p05I29qPmuMPJ
m2ozWjLNvffrZd3BNRS345rJx6yVPygzNC+8xDIs60p7oLz8waTG6thT8vME3YGwv/p0+sKLiGZC
y4tPoNls+6Gd0NNHuZFo0eamRYK2J9vGM5rZ71TqfYFRnKKV2Oup07VjkXBFNvP8cSkh6OwVbIpz
+OB1lvYpO7QDjS/CYW32hSmbcOk2dWSH2DkOYh2PlySuabmcWOSlHRlOYnAyu+UlFfrT7MPZ6RiR
YbTawLTVubVH82ha2hAmum+Gc652m1fy7JUa8nuh2zPjvIRnHDOB36dOIwfi/4vZjuI2dWtB9RDm
gbApej0UlPAcjaxcgyEz+y9bUb5YHi4/NXUfXIDGR6R1qBca9ZSx7W7oqZbl0xX2MwBRvpvgUWDg
H9Naz8Kk9wXzt3pmBC3wKLJPYKBXOzKdXje/9oFnK3VKBp1fjTHCdSsX35kfqF7pSGzWxR+Lm9Rx
HHzkSnyxMJ5eKuVUOwQK+X5BF12g71n9eou5LAd8b/Atr9jAwSe3iWt0s+ONyDCS7kxDe590z43B
ibyjiX/u1ptWm7eOFZYY6E8U7rsQnZYeDIXjHixYfxW440qL5lYat1szfi+dTl1IACj3VTGsMZZQ
+wzJONziubGvfpkPyXqMWpw2565HjhrUMv10sxwFUBercdmB6JOxwJvmd08K+9auSTOO9m6+EZqI
DH/ODrWFUMMaN4NhHFNFY+k5S90cmH98JBcuvRkQDQOKHij1kz8ZhwmqzVzHKsKnEuLv9fgExpOf
jrf0oN/UJnpWXF/zrq1ThLPYk7AO22KK081vb4qi15DlFFngoECKqNKBJU2VQaxI0gRd7iWHAR/p
YQJ44/Mi6Mr99aU2xiasiLcrC55SOeQpct2CpIGleNQG7YVSiBXeCj2/7xCsNap146h37hs8OedK
OnBVMOGkeQ1nrVQSP3h7gILD5W4wkjcNQKWFbRFRg/etwoEKgqL9sIz1aWsnE1NuSk8DXhelCm2n
zc7WBOvG9dDxsFIBPh/VJj4NnC5eaLjzSI1mzuIytu0oeVgXWqAkN5D/urz9D0Xr/yRtv2s/5dPY
f36Ol7f23/5Jz/7v//yfw2//nX420dv49k//EeOlGNeH6bNfHz+HqRr//d/4Jv/xN/9///BfPn/9
Ks9r+/n3v/1oJjlev1qaN/If1erGtez1j/XtMHnpv5yv//ofj/8r/p//z//5m9CdE+FfbdvlHzSh
joDM/j86d8Ow/tWDHLc9HwWrZ1wdKLLpx+zvf0PJzryp274Lzmhaps3/BIH+H39kOIjjOYdNFz2T
Z/xXRO5XM8t/Ktx/S2cXOt/+n5XteprVANOzfgaPCMvtxL07NLXfjA+/Pe77377Mv8iJiwLc8/D3
v/3RF//JoDOv2Mqxfupn5TaBOw0vbZ4eZ3atf3jav/Pl+WX87s9+/bb/EER2BXCZ6gf9jMQBiiNI
9Py3Jf2HP/g1KO33nsr1O/7DV/b0tjCnbALiYFipkK/NC+zp1uxXIE7i3vP587/3EX5KBJKWgQNr
4xv1HuKeG2H/VSPCHz161s0/foJmMjczN4FyJ8iAxbT5pfph423/jcjG67L5yRCRWx6IU3d9QEvk
tl9Ei/vj/75Av/Mr/clx8Z/r8adwHkCjhKCG1jgbNiOvlZ6u4PRMeiNs3cEp57upXAhQWcA/0oNm
dvei70JMEWyz7c3iO3fMuLGGKsjrxkvBJMFZ47pNCf7e/kWC0O/lofPZfy6GaYAgZ9Ho+hns/Sv4
boCKNdrKX3zwQ27G+z9/En+wuH8uiDFIeRkp59TPhvxu9UWw/FV62R+sjJ+7YVLSNodq4I0HTVix
pLvLrvb+IpTuD94b+6cXPl2gRVydH7qerJgwRsHwXBg/RHaHc/aQNPGfPxtxXcW/837+XBKTjg1x
PtWmnx3r012Gc1floTbQ9FCRr+Ek9b7SvJPVMFA01anRnV1qTF/qUsYr5FfqDTF0CzJkBViU7CfE
YZrY7jqX0z8vI/ovdnjC4tyWlyJRkefheefSf1h0P0QqBNql7Uw0C5utgXj4oTVXaJ1elvUV8fIu
W5xz0l7kynURwZWD5HLV5d1EFoDXbbvGrMJyWsARSn4SJ7CcU9OYu6oriZYYY1H2ezaeKDfd46A3
4VCqW236Pvtz5PYfDQqlOV9ju3dJ2v5ADYc/rgg3UaPKeiw2Kxit/uHPH/IfrZOf9kCpCifz4PHP
q3zq+u92cWM02l/sr+Z1f/u9X+BP+15BfDK1SrxDblfiZgYGHK/+eiXCbSgOy3pcxyFO7fscDBfY
f9dKB2bXi1QO3oaYyMGH6FXas0XQnDdOp9KXp5WzLNLSAlj2r6qx/T/4MX/aReWQkt3Ts55nBDHK
/FpqWdCv3418DZv+64YEvLT/qqPs173z957JT3sqr+WyGdqon69poGth7Abv/spFXhmkzdeOa8VE
J3i1nLvRJY571I2I5JqzlaPxvTI3CLOrSX9NqyrlUpIFKQu+N5wzJXaBhzSurFoqa0BFfJsb0hY2
phdCSvlWFwj7G40AAdlnN8Zghk77i8EX6Wf8Ri5lNxheShhBSfYsVU/hiAgg1Z+U8dI0l+QaUZE8
e+VnYwxBTQjMn6+/P9oAfzoJEgynRF7x7E0ERoW+hPAgf/6Vf62S+J0n/XNdUEMVwVJrBr/W1Amz
DDe3NMk8QGLD5zTiBZuU0XPuy1A3vnvrQWzojA07wlhAfJUPOvpKuNJVBsfxYtwU+YN0oUMxyksT
N++f/5R/8Pn/N2fntdu6ki3aLyLAHF5JKlkOcg4vhJeXzZwzv/4OrnMfvNmWBQg43ejeOF0uFSvX
nGMspUN6HgGK0q1xzy54SxjPVSR8/F7ykQVsaROyQiKQyMxlaQkuNZ5EBNUJlb8Q9qT0FNL5yOSx
VApx/xoR984i0wis2E9d/86h//faH2uX+U9+25vFBSeomufavWVxF7kdtRML7rFWWcx3RVJkAI8o
F5yk67UtlzU8aVY78rO3anX/e+WPtYvy38rr5D93Us0f6b1Drl9H5YcenYG8Z1uylAflEG+m3B/F
fVC5mbJtNPf3Kv8zgP00WhbzErcaPPZ1AxF2UuCk3O/yAMg9e+JmIlShyNwZ4WsFGIe7kpCsKy6X
o1x96JvGNQrfCYWa5EGw3qHHtQYPbF24tmrtIlRTV5OrNW9D6w4ntpD2ThlL3CLqu7A91OFw2xnX
3NUSbvFeq5Dexh1isqIpdiTdAE8s/GfVj07s6Y51qsVkI/DslwJ0YVNUCWuF/AhLOK/kpblIL8a6
CsN0PqTcReMlYPYT88OR/irPe7Bv46AIPNjFkj7t05oUvz5ei8QaBvrtQIbbnLBy4uv/vAIu1UXk
7xBo7sVMlcFGkHfVKZfNsdovdoptGkaMODYAcQj60ic6AqLOF4R8O06lEy105KP+Azt8ayFVzRuN
PItpn/gfrbT3yuzEAnKs4Pmffyu4iHCEwLbg1BasIEuVpzCoR2aHf7ulb+X2QyAZhidPe70mXIcc
rzELbgT/vDPbvyPXt9JJxatqBRLFPm1Ct+nWSm6daI9j9V7MEFgfyMmLrWmfe/d1LfBezy68z098
xmNdZTE2xZmcXY0Vm30Aokb8MIhkF4dOxJot939/7+ZHfsHSTRSOStoaw/w3qm2jPhox0ZqNfuIH
HOkuSzVRmCdVO4K24woJws6KLMrfK32s3LnBvn3QYOrSxkwpt30n2E89tT06VuxiaEKlE8LS0iaw
XNtgXHmTe15157b/Vt3BqvyhSqguyePcRd7X+omV79jHm3/It4JJhCHObC7Y92868VbiDKZcn1fn
xXpNVFTYdz1tAdtW6EjQujuvXPm/VZatOhKi+dNZnGumraadGInHvt1yJAJX85tirm+wMe7ydnVe
dRdDULY4h5QlxcbhFZmt3bQ5q9ylZSgu2SRWNeWm/u2gvJX953nlLtbGJi5CTydqcJ8Y70N8FUTV
ee279AqJQw+aLWcONQeXfKggPrMhFmMu8YOJmA912qv6vTzdN6cOsEfmTnEx5oKwHzOjoSGi4laP
m9u2BifZ+65YmTtS3c5slcUA9JvAgwvCXwnEAF4EkfTnKHnY1IqL8VeAk+fNvBD3U7Bqxt0wnLcW
/o9JKAhj/k+hQyfbXHMi67yBIi7GXyuQH1CqlDtyaCAizz9vFykuBqBCoJLA6x9zcnrBYx7P6OcM
FGmpDeqbVALODVU57V0t246nTKY/X5xI1mIAmrCazTKnHSbrva++4N9txrZ2FK92rYpkhXIdNofz
fsJiFQS8KwG7MSbOyVwltQ9S9uf3gucx8r/nHslajMm07AujKRiTgIM554sbeWQZ0Na/l/7zTC1Z
i5FJ/riViOTK7gk4QRevOsEZRDdDJC3zv0tLpIhKkRk0Pahv3dh67ZkVXgzFJtPLzBtMNqeGaU/y
TXhuhRdrIWHMusRGhrmvOCjprm3PMF3MDbEYi5XSpuD7+H5ZsE/AKQVjdGK+O9YzFqORhJtagQXP
6k3+vMHBtiXjyz81m/7bF/7Q8ZZyINGQe9+cN2BS9FYTFRcQyBe065GHYUkyVpaG6KW0SzLISGy2
SWqwfeluxrKra4WEWGkUtyH577/3U2n+UT/VZjGUwzbMBYU0wD2QcMcDnakWrT1IFwg4bIuR0USh
0xp3Q3eO7JrvZi4GdJeH/IU0GfdeEhww895UJyb9I5/NXAzoASRWUCT8EqPdzHFJuXcTEL39ezsd
K3wxnpuap6t27m2NMpOL47Up3ofCKe+0PHfan77CYlQnhq5UZGwPe7niLoWw97b0CRmHyZe/efAn
BCsj8164kMd2rxONmGqRW5Ba05MQ1BSGrcnkrEghAB0yxCLdjg3xohm7E53kyGS2lBFNOpyMtGcI
ByI5edFuGE8d/o6VvJgchskoEzYrzDqjI+W7zDgxmx37XIvJQZ1yr25jyiX1YoABqxLiKhK0/3tn
+Hc98tPnWswQZVSNmT7PaT15kWGUrEnkFYG1xvDIoV1sYO1+WdGz2FmrqPuTGQ+qvCEk0NYy3c3K
v6DV9526HotnkphXNRh+PY03hay70aQ5VqLsivpJE+5+r+3c/3+o7NJnBAukJgs4HUmhhcQU3tYk
hBDfQibDORRThvTSacRzT1vWijjuczWHzvE1NufN8UubUaJpIFXI3tyLvO1xMDnvaC0Zi6likuBc
jwW3dj3vJADc7ZEg099b+0iPXiqMwqQYpCGitcd8r8VO1p34isfKnf/5t1OwQq5CNccL7htD52Wx
d0wyoc+rsvLfossExjTAwHGv8+gJrvj5vGIXY9vCgF7riTbup9qVD361Oq/YxdAWePMdgcaRepu5
2vXZxS6GtBXFDUQMjyDehyns/hRJ/fF7fY9MRUvEb6GBLqkaHlq7ahsJr4MZrjzlHLc0I2/J920j
EH8BfLG9gH6G6OLzNplLsG8H764hPWzcD6HNBe4pOdORPqwvht3ggRyTcopVLrW7aDiv+y5Bvr0o
hEUFZIGN4EEzjLdEICX6xLc7sjv6H3OVrvz/UefVuSN1r0BAbK1xSvS9+rQTQBX6tX8LbckWKs3W
cng3jbUKzM/ay5wGcFLs3QsCmTH53jJv6bjOyAOH/BBXz3rJYbohyjsa7THHEQTRhfz2VRZ99JWw
0wBkEZtIhmXTX+jmtrB2gEfgNUL8IbPQtirVGUtopOC7G9DgiF1SEepPIDlC8FiJL7+3wLFPtpgb
GuhcyMH6ca8SzKsT8er+Xq40F/DDqqQvZgeoaGE5opna+8TV6MY9xAUnlkg/7V884VYM/ybJp5De
l/2z1r35bH9+/7vHfs9i9ggGsfGykpM2gvQs26rjGc7oeSAupo847EXgKwI3Du9dvh3PXE20+QD+
bdbHbxj7RM9T7JeWX5DT8XsrHNkSaItNPyueNCbzV/WiZ53NXIKMTCcJ4LzHfWkZdqikk6+bCtXO
AeLo5AOduM+Yzwg/dBptMYHoapHpMoRVnrZRV4k4EAieIHdOy1679NRm/EgX0RZbfStpwGYPXAJK
3cYH4lec6PJHFgJt/nvfviWuIwi64OT3cQo5VrQjOF+qf+px6VitFwM1HskI0GNqnRPAke/6Yvd7
V1GODFRtMVC9pCCmrGnZ3HmX+FRu5fHC71XYFA9i8BgQjDWpvSt22jrJo0MoSbYgXUsEU4cE8Ud1
udWCaqup6LR4uFT8eFUWrSvmxq0Ei1wQOKUUdp59tsW2Ch9EKcCHRmIjD0CTX7lJPDi//wzp353o
T31nMfLVDvWdrHCqT2vdhX23AhPkmrw59+XfyJMchAi27ys8D8NbEklPIOdlgogYDzv4urbWGruB
3T4GqK7oCUnLXFNt14KebGMW9kpfyeJEMI9PlJrqKoRuFXJ2qWckpalOnjNhx8nKkh4H9S+KH2Ju
XoxCuFelbq3J6U0e/xGbJ6OVVzV8s8DXbNLJ1kpWrTL4E6P6UYSXQSAQ0UJebX4IguckWptqeSWR
FDoMxIdpO3xldjfddgmVBCMGRtWuNGwi5qNSpG41vCcJ4fPiawIEtxZJa65EzpSVI5AmMBg1yA14
TOnjpB2MXHa82NhosyjI9FyYlJOIW9AkI09dxaJ2rZtP6Bzi3EIpgqhntFZGvxE8E82beDAj3Rl0
YVXJkp2nXyJ5okH0pjTxoQaHrQDH/f2bHunyM1n8+4CaVM/PS21+ZVEcXsi6/FRfmbvED13l31D4
NlJ5VAZ8SDj9vigecvPS/JtfotsxQxLA1oW09eOdl58YXkcmhWVYx2zJIaKQk6SXXHTAIOpgo5cn
XyaPzJfKos93ktDmkFC54xQkW6/eDbYZ41eiXBbJQ5LvLBxKym0DwssyPmr/Pi/6i6S+F+I1EGlY
EobT4YzUypLs+CsOTVszIV2ybbeBxNWDEThmUSBCuqv8nGT5dYLeXa/1dSoj0yaiWrBWMCg3xKD1
hNe1KzkrCU7rXVW+CKKn0LjN/E1jbITiVNzhsQ6xWIQb1Rg8cJt0CORHJDE13e1ZPW0Z5eEh/Kp6
gXZMLSccD1X38Hu5R76+tqjwFOhSWM4XK2Z9GVXohrbCcCJW98gV/TKMmfDwErkYS+WMVvHjv6U/
E5ckyCHRumPGHnVyJ83/70A4GlF/ZEOxDGfGApmPgGGHfewdtPqhIlFOB3bVnfgxx4qf+/e3AWlK
YTF1OWuQN6fgCuGqGN9qgCXQJ0/sC4+MlGVoc41HBjQCi7OY7VUSqS1z59UXdF1y0n7/1kc65zKo
Wc4agSwXFmiOakq7TvrVeeUuZkEpCRMF8CDbCm09BOu0OTELHqvvvB/41uZghlpNAaq31+PdIDq+
tv29vse+5WI/kRVFJWWVP+65UHWNKiN8OnVq9QBV5FTs1LG+v5j2KqEFDzY/t/YwGco3VbiuYhSA
Ys07D3n24xxwfGpjcayZFkM41+NWyCKuqODpO3Jrbgg0O2/WWcaxtjhMMjWox70JmiLcR6deG4/0
9WXoqRQnSOLmV8Gwqa/IJd7leUjiokTrJBeioLq/f+h/a9hPy+hi1Op5iPVSZnYzlMtMIE9FuYRD
4kzigWRDZ0zyTWH9acaDQCy9GW4VFZxzfaN1PXzpCZElEplx7VWSLUKN6IVwg4bMGYrpAS1Dpjab
CQ6NmX3iQBTM2BbCag3mG4LZ+vf6H7vlXUa5Djr4cbNiZGXNSwIqs8QiGrWcsdMOcN+fKI3Z5sh2
ziNDie7Ru0n0W8P8U5F2XrLURSlRx1PsynG5n7hXEyzL7WbxLoip4FaKn9IRMPipGfjIUqLM//zb
cB0GwUSrzYMj4tS+cWH4ROddwi4jEc0Ak1E7L1J+9acdWjeq2hOT7pGxs4w+9Bry4oJy7iDmR5Yf
hP719y8nHQkBl2YfzffWmEj3bieLA27FY4kMcdmv7uL+LZVugCik9ui/+bwIJMXbrWZXreYa6kVS
PEnkOYNZamXyeLnsMCZxo8qh449f/UjfjF6SHmF8DW4ifoVP4eI/rctN5ENyIP+3Nzr0kzBRDNXW
fckefBJLhvHTEy6Tah9ElyIkmeJKS/dFdiVOV4m2b8bPptoW6loSXvX4PpwOQl2H66R5ICMeXrUw
XpkSsJYKepZZSc+xGnO+u6j017GH5RO5mvnWVJeV7vrdc4b0EYuLtcIet0qnL6O5UxvI18HVhDow
UDmgwLmUNAdumKuoFnTsGvYJoOPmwRgfwuIg9w9lfze1LUTng5jdk+ZeejtRwBm29dPLorwZy/tI
3evKxRSabjCB8A72EDZtq7+JwQNM1WOs7gvlbw1EVQcWO3obrIGuWf9FsLcSVePGLOvnkaSnQH8O
+s6pBSixz2r79/cvf6xHLUZB5ys9yBA2aiSWRM11KJw5Bua/9210qSDwAUlSbi+TjALz7sRi+G8Q
/TBHLmNCS5JBAj8YKBieK8+ittBa8MVu/VSwA+0RDJ8Sv0TPr94aUqtgvArah4dcYjJxsT/r4ac2
pHdFldxqwhZqyzYw7qWoWmucTnOfBLvzAqOAI/7393tiA5QRBD6pT6mtGXvRPzFU5xunn37/Yqku
p1CJIjJj9lMCywGodLnphkdlAL3uDszv53WLxSIdlkrcAgBg/17yfu7K0nl7pGVcqalnGRCaOVIg
hqcJItT9vb7/DgA/NMsypjQGCvN/ATYd2alVlK0s4z3o1jJLSoZFspXuBv9DMT6AgxQhrzZ45PGA
pxD3qmprAJ4qSZU3oK2EnWdL059qvOZKIwHo1UA2h7gApFogr18ng2jVgCkSvWQVyl9wQ7ZZ+gkc
Ztdm2XWBMiaRLuJBcDwT4j8om6l4rKubxFs1MLH9G0251rS1BcLg919+ZABLiz2DpQujlCLg2pfl
XQwTgguM8wperAigRiTomfRgSV7pH214YpNwrL6LCQe/gCKk8x2EKFR2oL9AmT+zby2mnNFMCqEV
PB5LPgRfuh6M6kTQ65Gdwr8b+W9zWdYOvthjPtnXZo7uOKbaD91wyjr470v91HUXU0WQBYoYaCpH
QQHbRWDs1Z5kqgRGVj2DqpVPkwdML4PXg+LMhvvFdkVM7bAEYFIAxfBn4Hr4aQHkPu/LL6YY/NBW
SpLDuAdj91d5DhT173kFL2YVH6KNinRwInLdNjxXPrWVO9KnlmGzvon/WQEFvG/ZzgZu8HlWdcXF
pX8o8FwVIYzby/pzBaLjvKBkaRk0myupXgo51U11ezDhn21O1Hduxx96krgYsp0YtUWAIGrfeIRV
GBPy6Eczxf2bXcaQ6/zuKxs5WIDoKgVHDW65yHQilczR4S4zP4II8Ek/ku8r3+QRWSjJSzF297Pf
pkk8l1XGA9icSVDyJVts8m1N0Fv3MsmgUA5+uUkSwCObqeO03tz09QvklN2JH3bkdy3mjEhORAWG
GZuUN6W4KPvzpqIZavF9j1KPQzRBqOKCIb7xu41Ynxg/R46LyyDdAO611EgK7/jqTa+NsT2Dd6wA
BqhqYjEMzhtNy5hdv1dGhKEB05KcuZ2BVMt4OK+9FxNAXk+aWBjzeMI5V0NnO2+GXkbtCrnnIwWn
XEm8bF9QV/1e3Z/bGynCf7/joCitDxWb6PbqQSe3FxW6rz62/iqv73//Cz9PMOIyfFfJ5UIHMM/d
YJNetTVXsO2J7dzPawuC8//WXStHQmFl6q4rr2U2wR2+rEzrrCUcN8h/C1e0TMUIS+GThtRnXYsn
yj1W6cV4lLHzNmXIHlSLXnXrK+E5pTKC1XltvRiVoYe4C6UCGxqysT1HPVXpY99Q+W9jGCL7ZiMn
6qEBHbfNilOTLv/z/51zgWn9t1gQe4mot1TX8N596VL1z3qrEZfRupNQVVjrW+Y8yEciBLEz67tY
g80Jv0IDwXEvSK4M3TE5EUx6pHmXQbpYHsdaMSJunDfeoXs8qy+YyxW41Spx0im0u6xWp4Afx2q6
GHK9hfMlUf+vplz7/F5T81ipi7Hm1UAWC2kY9r1WOFFsEmGS6n96qXVytb5I0trJvH2jS+soAdEI
hCZMef3MfF4RDwUwJBsM/CbnhBHdguB3suyqzJ7S4iVR/S2STjfUJjf0+w+C5VYIa0lpBb3gtY4G
S9RJFPmiBnmghY9meIjIOKl2WnetyFyh3OToNtpCc4zqOenKXapwPR29EiHiZOKkIFLXCH/VEwkm
otFgkzJAgRY7DyB7l9cXARJCbRiLq7q57uXswmw2jXc3DFyo7AN/WyfyRq5beHGDTKir5rtcXLqF
Fx6mPt+HAmjufiuzotj1iFggnXYWgnLLyjaqL21M8paz3nqwQBvb+An0bQ54+vcvcuSDLGOncn8K
Da/PeSoCdo0XVD1v8ltGT5UivRz34pxfcVnLLzrcsEY8LyhBXIZPWX4bFpnC6Cy0v618P6YPvzfG
kRl7aTbHayJGTTKRXTGuO1MCNf5S0al+L/xYSy+mwDqt+lGTfZaZGaTrhuqJu55jlV5sQ6p0rIpO
oqWDbsNO3E7T9byL+r3Ssxf7p4l7GYBUhUnVAFBinRnQQyiS2+DyUsSnClTxlHWwJge7lnw3hRvZ
ml+C/lIQ9xrX3gYK7a16knNypPWWEUuR6UtNBBZ7L5ovQv6UnrlnWYYshWKIuYRoh71cPNXmjdKe
97XN+Wt9Ow1LbT2A2GX6VNb+4/jn969xpBH+zarfCs1FSwS5HRJyvfPW44n+c+QLL6Pw1bqwyrYL
xr0xWa7KnfbUECEDaHg6la85Lxk/LP7moudrjaeUfUlqhuLp6wwMkgixMGG3H9YPyfhyXtsshkFI
WCkeHxo82ZVX571RiOZiG4BOAbvrHAMK6OGx5F/+eVvlZfC8UIuarnIPv49UIOXKXUFyxe/tcGQ6
WAbNl21foTrkTbup0GCoPCERlh+dSlE40gOXkfPE98mD1FLvrCYo5x47+ol16Fi1FxsD2ZjGwB+Y
HSPjrRSmWzNpgfkm6YlWOVbvxXCEoo+wLKR3lNNNPV7j/Pq9tefD0w9d25j/3rcRKYz5EAseb6me
6TkFUWo8CuHyitzUix1BFN1KDlfVqfzvI9GtoqH898/5bT4hIuRVWAk2U2G5Tf6GIRn13LDpk3qj
pp0DSnJVVCWXsrzKtIfYc3//pcdacDGIFT2fobjMPfEdTzYn9oP/3jx/ar/FqK0igsysgsknM/19
0OKxRMNpajcZN+peErrlWG0zVVsV7J1An65EEYursAPcy94v24ymSc7JKyVgm9rE5lMq3kz5ReyT
r9w9RWa788lK8Ygg9KTuT9+9x/V9XG/FadeW3XpAXlNZfwXjFFpSOtZIi/kiAkKbKVo17RWJu54L
lYjxvEhXPQg0sc32ROGo8W6Mb8heSDFk1dJtKN/9/n2OTLLLfIAowFZbR5w20+Cq9ZEBTLtaxtCx
783z3lXFZVbAqJk69kD2ivHTdBevf6/3kSZb5gRUVVQnCUKdfQKANzVW3XhqzMvykfw3cRkwrPbE
3GAfZXerdXaDJyzHLHvpiy9m/dETXZgqW7+7iQvLyYx3XF48ul8QQwITtHLa2LC7bhv4l2aBsMRD
pP5solGRXuixtpgKG1PK3VoglxHcmiUepPrSUHYK/5P2kHlE1Gu4jrA65O1GIMAv17fwXTHxbKB9
XVj8K9HvBtW7APS9l6oP2OJ2WODbUiTbG2CtqJ+5Vu9k4wFXy3XeEEWpXnPFvjI1czPMMqAQCkQe
ul0+3k2D7MbFRYOfTsq4etRdL/NcUUACI2w9g6OVXpD/DexZya5yq3T9vl7x5OyQKu9W0V3KxUSK
dGWAXtb5Pbhvca0JT1nxWRgSD9r8N2vTQ95GObGSvfvMv/ASee/14XpQDtN0SWCzk5WoY2rbEK7y
/KJTJSfoFafpvkbhEsOTk0tbnArrSk1pzR5aMaIq71Ps33tUY6pBzKcUfRU0kd61DhaPlSBeW+lW
7KNVhXAjltCEj9VgFyJsz1HcDVO9GUWQhsInYs0DGkq3zL5K8SJu6q1ivvVz5C3yUTVYIzPZR/Jz
Wuyt/jMUd3X4hOzLEdOCi8bAHYVrnKYbANZPtXcXE8OPzfhOS0n+ZQAjaudIuYaH4Pax7mrtV58X
btYU5CzKG1E7WFFrh8p1mUy2wLRk9+Na8q11gmpPM9C3MRsJHj5Dq6HeH3F0pRaw0qGbF2Q/SEPh
muHkqsY9t2bcGOGyMTce/Ow2TByLdzpZBpcfowj5NMoQPyn4LLI5e+V6goBo1hpEdEKgrfdk2BB/
7PaVvpkCHPKzZmy6JRoEL2lprdRVpN4jmaytB3946KLLLjl043rgvzbzf9aEGSfplCVkyccivubf
M/69e7A27Woq17ycVtbKiQM34t487XH2YUSXK1vmnN11SKHnF+ZVo1+n1b6UX5qxJKqGiTj7MuXX
Ov5Q6jfT3HTe6+i9Su3XrLczpE0M+i40UidJhKskwh965U1vnryNNOKEUwfn4JDcFMm1nOzYTjsC
DSrh4fAlojFdr7+C7l+B2BfvrFBEK0TMjHDtEUsRBbNr5YZ7nLUvlNsSh16dvmDpY30hU4rdRYUE
A7B1deUlI6DCYS3K2bopCa4g6QXp+NbMhm2q3hAQ7DTCtdZd9XqDLmnVp6RUp8guH7IxxwiUuGPV
Pgygy2TuJKDkXbFPWjXSTepT4fqimgQnjZ+nfKf9Y5nv21x2db/EdnVRZZ2t0kmF2LKxkzvTZO0L
nuaFV4M0v8jAwYPPsaO1+yi229riVoTYkmlwTLl2keAoqGdDhlOQtFdWeNDUG0M8pDDZO5dYdJ7D
pDYAm/BuVLeSPFz6qnw3JASgKKotxE8RV6oTQU4Zz7oc0c3sPm7CrVUJLuSIFWzUDMVCRgBu0t6l
xd9qiA+6qV1ESW57SrRRlDsPG08SV9iu4IPwNjJgktKF3pZTjaMoaokeERsimFpdGeWrjoslnv2p
he82/vCYcI/Szo526R4kr62pvV1Zjy1yiHnYmT5CjWCArX8d0wJW+h5qxNyUhhMV6ZbnfYROsIrJ
Y1a0S50g/7x6xGJhK3W4HZKdRsq50aHZLoixit1KebL0e09+asPqWoY66ZPqaBHRISvFmqj6VVG/
+R1XLln9UonDH4lgPsMSroaa+T+bkhmb6WD9tb2q3Uaoxn2l2VUclrqY9AOxeM2Jfk+G0haJj2gT
lMPmjG2K12r9MJaZbbXeehhbt5qQ0sJyj8ZdnTT7IlkH/roRuB3WUZXfTx0ZqVin2n1Sv/TqTVs+
6TK5+7dC9sztqVBcaOx1+P8YrBT5x1sW3PZ0HtxJnNxmWiw+FqLpY+VGosfI7b2f8xwv+2u92wTV
ysxvop47qqcovFcZJ0GG6Mi78GRrz7uYk1kRCvq3IS8umKct0s0EJeByTiT0ejYU33WSvIlY9Drl
UTHuppo4y8RNepLOyufcI83TivlLu96/yrN8pZYqN2rBypCHh1B5y6oLxNW2EhRuKnARR2YZAVrA
Z4X+rS7+avJOqdnvFbtcuy38D2lCJE2A09Bvo3LbJH+k5gKHhZMjFu/zHYh6NoP7TpNtL3pAXiJ0
iCS8J4KHpFxyLcSFRbEWDcKuwo+B/Dqrv8Wf5tf3VvlSmet0uBFQtMvhrmnuuOdh9UzG/mNSJbur
opUsCJtkohe96tl7zTEqkNC3jsYFOmYbnQ5OnZ0ckVB9lWUSQIWcfVe19VF6pPk6Ga/zFu1NxsQV
uLV0kOJ8kwGCLetp7RmRLfn+KtQO5AHuEv964vI6qbe9gBLiWiZeR8wZ/RJ3npXDDSGHIg04n09u
X5aNTpFa9jzVTHi9vbp5aFnf69s0Xo/+jaq4Q3yJN4awl42obFiHCRtz4hB/ErZQ6V0Ut9hwNPVx
am8k9UlKDmj8eBm7LQVit8hdblXbk28601xLPD+BwIhYCfvgufHRHGx5RYLncBd2jwLLXmUCUW9w
z6RTxb0tf4OsDyvzb3wcMXokYOR69zuBgYkzoqt2cuu5ETFlubjqLPZiHVrh9spMkKs3CNZMtgRT
eSNXXkKHvk5SniDYsKRx7EIWxpazY2a+Nop9y+yUF4UT+tharXqDLN2RjZ5dFkTVrFvJZMW3xb0l
+Ou4u4r6emPhWdMlhHzhmhSyQ8C9VVBzM8uLbxh8ieNVjCIo/4QSKUiHBNNXe++lra2Vrw1mR78+
hCVz8HBVhE9TCA13qlxEyw031mr4WqfPkbzG78uqu25JrTFjZjCflb2N1gaYlrwXmcC/qmhLjhIu
9pBOZKBugYnCDDA8W9ZDglK0uS613C1DbZO0e1zf11LRX8c+IVowgQYhvCzBiTWE2gshS4s+IKZO
P0la3gx5fVeUJaZRzw2nZBN0xUczlNsB+xg/2rMqJ/fKy7TvgeLesi9kKjDXBNroybs8KyXC0B0b
zKt5vZbkBwJ/7MxHyWledtofWdql3tyuyqH2ZLtjDNVNvG9oAp3DRShs9Ah3pLrJxALr0sfE0pay
cZnYzism1w90YoXNdakEqKQ1pBt/BDbZOiDgtroe/fecfbQInMIIthOtnJU1ytzpptXEVaaq8wCw
gnbr19ZVQ46Tov01qnodG+YKcdis9to1o4gh0nJK+k1U5NtEehuyAq0dQlkIEFcSsl9Pk1cVwkEp
1Fddva2qEpMieYRYEQXrIm6vYr29j/QvXT14+l2cYsDZNnW9qfIeD8je8okskUpkL1v4MI7eYjyY
WuZ3ElHSq0TSXBUZSKprV2oeu3XJtjCXt2mBD2ZKNzm63KpMNnVJJpgmMTRybL7ciau0WiuTUaVu
Ou1vj4LbHnlz6IziWUEGPTwW4wvbhW0n9m94IPjzyt6XYhRbHpNbT+jWx1hsRF9bRdzCTvr10Bm2
JLOTb+mM7MiLsjuEaeLU8m3W166pIbcvGgdJjtPqA/HZPWeBYSMZz0GqrKc2u+wynLLBANmpvK0A
VQaVdEDmvul6tDplvJeVjGOAsfKjfYj5jWsIK7EctE5OmcIH01Uug3PbmtjYVCZaW/x54q6s2CjG
FJDSKFXtavF6MgaA0sVhbG9K7EdFXF+FRoa5KdgSQe4IgC9MCjUIzYjwXMG9433P3CpFfNnB+lZo
5kmYLq2M0DFVe02YUCvIOhKbokn+asjx0z3DtvJ0V/c7DelgSfLQYLG5h0Eja8lKSYe7eOoxo7PV
yDv4K63dsYkfYpxy0nA1NXA3FE10muyvbuQ3criv8vda8Va6KbN49a4+1lsDH5IcXNc56U0mezcc
Vmm7AqLHsZYUt3wD1dj2vjovRC341OrWViyzNeTyvWJd8DsS6TnQgk2A1XZYKcqw8iAOdcpmTM3P
qIOSY2WrGENh4LvFnCx92fYNvt91Y9wYChUnoS/riVFv2+uyMFZ6fydjbW24/slFE9+xvh5C+RZN
22XZEAtZEb1qcmYsXFkPeBd7bDgd+vqTP3uniItn5xj5qLX9fBVOBpmq/a4zyy8DLLjdoz9khquv
iuIecIuty7dtHv5J1eCA6GxFAmRWbsIJO5h4maYgkYfLTOrY3EECl5i1w3rIdnhY142SX1vmXiNF
DLbO7C8iXSsnMNncesVdXV31vs7s+BJaf2DyFbiwEhAjAUsah5+wIXqfWRwcsNJK173JFc9U+SjN
hrUk5m5cKVc9eAFDUrC7yptiekTARUY9lqj+HoLiqjChlHu4izQk7qC7WwRavPeQ07ippQ0GX7uY
MDAP46Ul9Cu05ms0EcQIOG3vrcqgtfXoQfIT15DxVSKbyjlD9viT+v/H2XksN45EWfSHBhHwZksA
9KREUn6DUKlK8N4kgK+fw171cFqlCK06qlQNkUAi8737ruEVJFjLJ/zOaikJcoJGTXPtJAoHuiOt
yErb5GyVaYftfjPeO4QJY85E8KURPM1N6pJRd5x1x1PljZym9079aZOQpKPdbLXRm1Emz9DMCa53
SURfTHZ71KeHWbsrRLCbO9VXK95HY+cEp5l+PIq6VeDQAIe1p3a6S8TMqoiIlkqGfVXqnzqG9Bj0
1+V9py2t4hgqW+ygF47yqsZPA4HcTrRwuj37FkT2Jj7UCYhG3UOCJofommo7PUhR4gaB6qZlds+E
i/qhWjDhXZmTcyLafB1MzqZLw4Oei6URqr9TKlRziPbCepqGmkEVFQOJewUsrLjRyFKM3QJVbJGy
eZjSSnOirQwLqx0menGwBSzb8IVWFxru83oekshO3jtmZWYg7QLzqNFptBZzZPHQWzPRNHT81qyt
Qu0wmGhvrzb25bjIzMZXSYUy7MpN2e1UXbmLpeggmBYL2dNRgUlUOiTehYTHSyoZA5P5NtqfThaR
bpsS1/yrK+JHBjJ3ACL4NihborPDBZm1R1tvHtouWMG0o1u4t8vyropOyXi+9qRuTjEcd5qbiENW
MFu21IMpJtfWO8qzmb5oF5rNkdwrkpnecUR0rYLw64KQdvstAU4UvEVARlBxs4jp+DAvMobDxVuZ
oVi/gjjRuSNAE6TG1HUqs8yrw0+CL4C0QrflXWvxqJ+09xFOpMrA13Q+Aiu62AMrmKj73iaam1al
1vZRqnmVSZbNVUXT+FFurHLHb/hklvgsLXMhtdbaqI6Aja7Co8dFfBXa66iwFmY2uI4UL01QN520
3SzjnSARoLORZ4/XjWejEcaFUZHRPQck/GoGyZ0SWAzphkF4zKVhHVK0ZsQP9EoK+TghlDH7HKvW
hZVO7sDpiogonGNC7y6JSjzckXkbAhhczYo/cf3utMEulruVUnPuKNN9HeW+lX1K88rIjaUakJ2q
kYtIqP3crGRWbXIN+B0NMlHXGb2xos1+NM3sebK2qS2S2NvSS/JwnWfDfeG8FQopjQBRhqEt+oFa
PZSPMx+tQ9naksIQWy/5vJWt5wF2Tij9Kad7EI3Jvhhe6ov4d6PaewdAKLWOU+ssU2qqQqQIvN9U
4z0PtgKQvVmLrli1+rJFhiylh5RKbmhfkmJTgl/ovW/IhyDuFh2MWBH9KvBQTiJzUfEyNdeY2vlz
pGCZ6S5HfLi1dp8qpLuDDSf4KRkonYDWYGyLu1xIzw2eln1aHBP26TojN4GgzahGzOIQf57ARKtO
xUDCeKyRTPsi5tHL6bShfe/DwSYtTlvnlHC5GS6c8S3v+p0c3FUxMbbFXRnanlT3Xue8662OYVZ8
SJhayHzeUDa5+8Om09M7yaipjD9ze3C7YPAHsr6JtfPSYfCGMCbSJwCpfAyIznTslc14yyTQJ7ay
Xd48VUXgOjO1VWnsehs1jQyI2137SONAqvaWnGIkAW5jQUs3yYHOYJW0uTtBUXdSfV+NbOJOszCj
1i/LEZRJQfcg3JyqgIw6wDo4qGSt1AMLsFaQvCBSpnJqSjLGiicrvLrSJ3fhRGS8wa5hEjFZB15e
Cf5p70VJ7Uaq2AubhZKn+3A6jmp2TurxvhmJLSTxvSGRTVfi1VAG4ADI+guxTtmqGuvNMtNFDfVF
Z7moMmWIFHM19g3zuUOSpUjKqdadJwNDF9CJRwS6Ljbvh3p2HtNCbPRWOXT6cJiCcdXCopUBtVVp
Q2yzm4A9Xv95oktU44VvjckiG6QNx6E6NRE9JuVYOBy66dd4tjtt13Xdqypgoah0oX0glqEagOaW
BlJg6RL1oGsNVDQFcMSI1Hu5IVNvbmYOeOwYrCFei6n5kJ1qlauzV8uo9XJ9myuS35WGtBL52xzo
OwOmwWSQWkIEdpyGiJ/Q/cuhN5Wv18x3tZ6OKkncxbAv8ecYXzWLeNbgwQjJqnW2fZXusLV7jWZ2
bkesmpmA+4QXxHy2B5JulM96eK6J5tAjy58l8nO6wI9SwrBVcUf+7LiwCI6nKYEY4A0FjbrzEnX2
VkTFOyHjLgOQw1ST1pg2mEnIEsGnVsc0ihEUjZBgI0oTKPCC9TX5Qpdcq95LithrDfd4uoTT3pbu
xoRHtm6jPHLl8DGx/NKkzHc6Egqu+dtqaXq60ZDjMstu3ZwM7Nt6iTxixTLcOTie63j+rPRV1VSk
qJDBu2jpM5ymWwr6/sh5lJuzlZQnqa594ui3RUticFovWxx9Qg0i1HhxKFfb2tk2lUpvxgqzBwev
IDKc4zfRXnKAi8BRt3JnAWrW5aJriJJuZmKw9WOSbkJbx5dIZwE05VpVT/p8jKDh20J4JfkMvpbV
GUzqsxGiYBmKd/sqakz7ZeSozL/65fXP5MQsNcZUNf/tmA9c/3yViQbl7JNMKAvFXlQo1Lq4uPY9
GCVx4ZzgxoBjTK/0KxV7I+PUotX7joKhnaOTpfYLyYhcSTE+x6DEWAgXmja3XbNDzmLeo2T0UiY6
6U7kgDANpfSoNZe2tFajINGXgXMwysuwB38i1j7WPBm+Sy/Xbjf1F1Jc3isH6UFTuH3+FjBtHT+N
5sEKPmZyfm3JWnZGtap1kGBsPobqt1U91NY2dwbO3NZvxGGMimXbx77W35m2tLT459X8h+7YH4xq
27f9qnV0D59X5BPOggJg1/VESB3qJlmF01sxbSJjl6s5EZl7x3yq5davhLIIZ9mTQA0S2bcJUgek
c2PTQpX/3rL2KyBehfGa6lCHlwDGEzIKBcKXEq1iqXkhD/ypIiCU11GsgL7Oub2VqnVqhaRvbiZj
fpcpO5uxw2MK7WO4CcQ6qOt1L+HpWcjLKAal6vtloBhLmReBUM1FH/0e0+I9bnPesMyTTMFR+9ue
Rrcc7adYw2HSsdILUb+uksKjl6CezYl6wAuGhGmF2no7iB3HxoYFvuoaedMo7APp8GmyS5VttZ6V
h5DUEpPPX3P3p7gHYgwsb7L1964bIMnFJyc0F9rAGW0UGGmVAEjzXKyLwc49i7TmcT6REaS4DnDf
OE5+ocV7DFtOxMXsRZvubXNeR7G6CSR5LRc2XZ2+j+LipMDh6rp2FdATDLm+rNNhrQ+EjjCxULJD
qD2m03OZfDjJRyLeQ44ABVuTdN9p76UAau/uQuMozNNAz1ZgExyCRAKYSFLmp/NH0j4703Paf44o
rYrpqA9rMHwYgrK9BEHVIsM3UxQKh+vkulFI7QaxMs9KU3CF+1A92aAyjryRuu0oTmlzCKujnh2U
6BArB3n6GNWrlfeFZegNFcnyknTCD7Rga5rlxM0CNMmpmF4iNJ2tdRyMu+x6Aj7UUXqeTBrSOvez
enC5Gb/L8qMxlpUGs7HlxB39MXD8MXbZiWzMW6KLSb1rAMIXEfaeoVdrlTvDSsEbcEv2rbjKZLWt
lh2v7eXk3KfSXdODHhUHKdDOs9bsDY60UGcKuMaRnKnbqjVQDFP9z/eG2AT5J/6kMC32vfyhSOFa
03ihxCFJfOJUx/ixGV1V2QIVFBhGpeJqUdPuVGNVaY6Xl9OW9j+zr89711vaUYqPbXdn6LiWMOhl
jhaCXu5Eui16W3tNZnWFsGiXlW/q6Oy1/qy3IzbMhYwRjfPel/2dQcig5wzvhvzURcqSTmsZOjFh
hyRddcSP/mLPP82hs9Yl7XB1xsn6kx095z2c9v5Rip9yRkXdxa68pLK3erS1Kc3XuvVbEhfjtUg2
UtP67aSvCP9V8jtU/Iw13HZlDzBNQz8M8OpptYcpV9yM/VgENev2qGXDKU6PVhv5eKOvMjV4NaNT
xI4gG3j7UCMyMKDxs+NFYa2aDe1Mbupub196KdtIGv2PzC+qCGV6gCTpyz2opHSpwt95mH84denP
g7OXtXBnqvNerZg6t63m1ha0XrxXM+pwJ7Z9g+07rpcmc0dCUGJQgEtKS6oXyVJ0pOd0du83EZSl
SPPU4ZFIQCyCW8bNO7n7UBuxhDK1UIE+MoAMI5e9TpEuY/Ub5VXdgmVU/KRIHntRXuz+osiS/yOK
wq09mB6FbdMLOIJZ60kFo/tvFBlfUB+MG1JSMuYl5x/Xtdtl7Rwq62ek+FtHMDmO5dKYuG7CDLNf
yz/lSt6wjwrSy9TKhvw1NfhI84i+IVF9oe2TjRtuUZjX2tjlEoeSZm6S+G2QBl8xFc5YhrGqvhrT
2g0zdZk7f+xgvGRRu6jAX0On8ULU7sUvM02/+SxfPZMbQhICfyNLrt+xNhhNeekPH/UNMWhIhUmw
OI9Ezo8Toyxm3z9am7d+PPZsOkOc54iFFK9PfPKa/37dL1iht847sdbYaaAibeawKYx8pdlH2vZF
kM3f8H6+4uboVyLTx/s5LkKygJX/ieWwkwYCyjEwBa6r3X7uVmFFjc1cfFA2ViIvRon4QU3b0DHu
YsPwdfU5mDLK0LvCYbYysA+DjChBeZSb4a7LvxFpfPnRbsiI2ZDOchRCNs5BvUmKRaa+xnYgrKp9
2v9mBr2p+3XRPUL00c1DhXu6iYGFVFs4OKSLjB6CTohAwH2QP6jGz5S78q3TD4+jBExwcKjNPTBn
QlL//qi/WPL69e//9SBqO+/bVobk2jGandQ//c8s2WX9Zr8QZVNazcyF9ZXULYjv+dnnvdktLJEq
uuSYuDWqrqzRhno/u+7Nq281elqLuOHjTqoXQjw0gEF+dumb158wPLWYe0SIRbeTs2U8/mynv7Xy
iUgSKMJhmnbKx/xc/v77h9W+oBL+PyOfWJUsY7LYjnWIWdA8BuNqRAt8Ms4xg+vsLs41SsDg5EjX
mTWeIA3zRZHtK/2VEYQk7fVkG1NNVAmJWKpOJq2Nro4cq/l3MeAoK8bjdTofy85qUF7k4H2oz44q
r0zpIQoHuFBbZTZxHuZlypXz37/WVQ31H1TTf77tv5a5pSaRooL47zJxmbApEc1ADEMrXrWqfo8r
vmIUjD9bov/QXf/1u6bUyM2sZilZyd3cLC376e/f4YtX9daNRyv0vlD0mN0+3JfJtVf4+3W/2O1v
LQ9Nva+w2eTeDFLJRkwAoxQALNmEf3/nDfsPRfy/7v/NbjAksibXBu9AokbuXJyKci/rD+Xw1mUO
KGPAAHkzaPu23FvZW9HecayXxXMtSXDc0gUoJtB15pb1Rz68OdIlsJ5j9ZVkdXMCsCVMgxD09jq1
lHDYCYF2ymxZ1n805qSEYJtqxXH+GKdPRuxBY17YjGwSZ6Xgu2TVkdtZB7VfWeJeBkeUf8XJyVA+
nPkV9NkdojtlvJ/Nawzbfd44R6nZjckxLqEdlDVDxrcKfMesm/uw0KBEwuAJzzgZ2s1MvG55GXXZ
q/KnIdjWULOdbdh/I/j+ig7+j0PWv5aZiR6sS3rsiK62HDSDEJ8Y1WCrOY0A/Sa8R8c1QoWwjdKr
6IR1wHcnjH7kPCffukC2o1NKAo3XbqwPYbAW37Gov1rkN5ulWoZ6JMEf2PWf9kP1zZn+1aZ267U4
xVJpDzVM/WJ4NkgWhQUKPOZiuKWHiH5b4Li+WY6h4imTuZDlmXBpJhKh5VXtJko3dPuiWxnZBGjI
zWaqYRnqISznFzlu7xy9gG1gnuwi8jAVXCmAy2NsbsJ5nYeaG+XxfgJPTrV9TixLrH0n6v7iXt2a
aHV6Joo5VagJtpgPiJ8Z0Mi3DlpDyzS7ibhsfGQaF39nlvKFyOPWPuuaM5DmOSsmMBjL/UYzsTab
H56Ft7mdcSv6psZ2bhfP2C/4efJNofrVh77e+n+9ZIqUI7auuG4U5q4zgHRAJhE/i00kgPf/Xl0m
qSOXe/zKlQ+moz/rNm5tlVpJLdpsRCZivQQP5q+/nxFfLbWb8ig1w1YaoOlcbUnaxGt/2HGpN6+7
KdoyENc7ML/Mx+9MPr440G4dlPLedhw9yKnlnHrVOFDR4SBZMjQJu/N+dD9uvZT0hA1FZNq4K996
r/jzs4veNEUJRsxybLPYmpfa8kFxfnbZ62361xrOm9hy5JI6ERYjYy7nG1uGr+7yDYChGmEjCVWl
hdP6tQUBOA8r12q1lZZ957371a+4eftSFVtNGyYulvIMJf4M5ikho95JvzEt+qLUvTUt6uUk0iSl
Y/+cxH4Mh4WTiZ0NnDmp9+h4flamKzcdS5LpwhxTTHPVHIb52unC5c+e6807qdb60E+tgpz+KXyQ
friwb19IvWRgKzMiMJRgA6iPnP3vn/aLnfTWgMgMQlw3r91KnK5TSE7UV2VU+H+/+Bfb060NkeqQ
JpwjdLyitWLYTNrP7satDVE1JQbIOLe4bZfTlS/+TYvwxcq7dSHCvaBWsQ6bSIODFNzhWZ/CmTvV
U+IH+vzNL/ni7bkN8lTN1A67hF8CLHrldTBf0GF9ae3PDppbbyDNICokbLFzMOs2Xpi64pXQDX/2
QG9OxtCwlbS3eaBGgBEcpg/fVM1fLZSbl9HGSjyfJj6zanjiQ0pWf/+4/4Q8/Ud/I9+8i3onDCd1
xLiTkYNN2AEmcNLGcJ9gzCqNv+dwgPGIpKhFqzHVnjTKqLc2JpxLWV2YjLOyEjbXnanaEICRedTR
Kqk0hp75SsyPejFdJ/27yFZdyJJXY1Ctih6dXPftyVyVM6istlLMwQMwc3XcM4Li11UdIaUyVIW3
mSaLIIe9iVffOGc7Xe6gal5aqN2xyfwcI9ncemdE7yt0WSFQn8nIJcqK1ZyNG7Vr/A5rP7vwpNnc
Z+G0cRJ+3P8xGKZ2j7MSLiNESUN+32LlH+hnW4WZkKtIUR/xroNd8Ovvt9mwrvfzv+7zzfaESlhR
qE0Fpt0dMtunYHw04BtJEChL+1JO3J/gTSTSSnW0zeR0yy5ttlNrMsPYWt3EXF6sc+tQBJiWw0/V
MS0fHUbl1WKwf19RibTcNhY6IrVcXd1HRs1PoQGE8haq4CrU0erw02m+q9PfifqO9AGFw0PB4LDQ
1zOz57Ffjjo8ljnE2dATde7F8Lxj8VEi+cK9yNXbdpFBFrbGEQnQWleSZcp0Y4aUlDGoN34TGG2K
nda/Dpmzym2xMiJAEhja069S/ZUQUjKKTQIvQ7nrsqXkwLthZlsrblNtRvUTmN4VZv+YtsVdJXW7
KWWoNDCpRJ/caqXbQCkL4JikGvav4mlqYUoP9xOU+TDnTiRHi5kc2jQ4UhigxTjuS/25jWo4YPo6
i3R3nKRz2cH5fFeUadHTbFZRuUzn9Gkk+juLn8p59Mtmp5nLUmZWj5VjrzSexQ9F/jSTgiwMcZIQ
j9c6/7MaDzBkJdnTIIz3k7rgNajMIxZYi7Fam1W3aNoT2RluEfe+pn9k9d6YDC8xC1cTynPR1igU
4aTzqYZY+2Xi4E7K1Dp2MFwXQ7+UZ0Kt0aTkUXse6+rK/tKM9jwNnWejpOhVyYO3sRrje3jTVl74
Gd7klqS4Ih42Ayz80MpcEiXnisSJaN5ICKz0I9l6XgYd3TFSMjJsV+EjGPzqGibLEELFug4YfVUP
PD1oNkrQLgdhYnLqbBVUnk4woqnK/cjq1j2zti6O/AyyQtqMq9r87IZgGcfOuqiZeEXaRxFCnUag
FTKgtXPZN2PVK7LL1GhXdxjXlHD1bbJjpv6OrfsJKQMgqQscAjXVITovd22r33SR4U5XyeEcQCZ6
yZzqZM/YMTFBMRYSegRJOjhJd6gY/Najn+svE8m7c7y3cL7r1zRC9+Bld/Ys9opzVqI/Y4hQU4GS
UMFsN0p31B9kIbZOugJRYi4arAz4FvzqxRgumdJZjuk6cNChBTkt6Q0HocjQxQpImLUvsvmhtxEE
1dBGZX1R8MT04rkZn2VWItSokSFBMARuHpRQpfJFG0puM2E/QuLL7FgLTTxjedzGkZuOSExymKlz
vhTaVobmYHYRdDamlhVs3wwRwHuZaigKN3WiLSJLIyIRh78cUWOzj6dxiQEUroN+kl7S3IY48GfQ
7AXhNEq7lQp06eBE48ADH0xXwypIk88GgmuEOziHqzhntcZbW+bLiGmGnTzk07mVIZiHjsvDgGO1
UxELOwV8e4d1DBjZpc9S3mBKpKHFUNeZsE+h4VwGawd9K4f2XMVbgZl5NS7Nxjz0bNBW+yJlaAJT
ZKJx68kVPs0JpRVmW4xNYM9mUepn3cto8H720HQIGxm0P5g1uqqMAGvSvcp4r2G3duNTNxYrObaY
vZ5SG8dMew05SOlSt4+IjbzqHod0W853CkeYEj+3Paz45N0x9XVVmdANm7VjyaBzw6JExZlB/JRk
XjoEP3dmfipTlvFoLGx4/bKznpxDYJHU1lqYRZfu0D3aCuxNOPZemUZ/5CTbhtElZ77Ou3Q9EIUB
Acp61kXBFln4cxc+B0y7OmjBuZMfzPDNDqHCs+A6+HOCaJjFBGmo4hWV7acEpkdBek6ZzvdmLT/m
cOKnHGXxWLAvJ85bLrEjRmParLLR9MxudBsD7NloytdmMDeDvIeUGmEUg70DqmHMR81iqcW7bvil
NIc4O6jyqy3GZVJyKo8MJdurW67YqTrH/u+pqzdtpa3S5AzX0J+C4kAH4Oo8N4JgmvRiVNgxIwPs
HPi1HcOjIF8rlnNo1MPQ/KqZyIfC7fCtNzssDMPKn+yN0YyL2nrs7DewJS+JB682n4z8UzMvQ/JK
ZJinIyUJKTr64peFjmEmdEdtrVOT3FctSSnhJWme8njJG7USAVczsvgQptO9IA4slrapsODSsQPD
wcVW1WXighAPVlOatMiB7W1byK7IIQ/kbeL3yTkou91QoNOAi2NC867hbppUJjRTpuO8BtNZTgt4
uBBYwughnC98DE+GdCTbwy9tCPaNfJL0RxGvOjBhpFRjLDaZtLUCMGHnkDJCqiCxX51S8sn66EtO
nOFPiTYvnrJl3o/7zkLq5vD+1i+Bo2zGiClrC7NTYrFmsoxeJlgYDOmuabZSPFIKCwq1s9F/Z573
D75/W5vwpW7t3SJyEwMEMWLnTMeuVbyYvbltEIXXn7pIVgWlVQfRJW4K8p9QsqMfIPjXD03JFRHa
t/hzVvNzGnC4BZcmz73cCKnzVK/k9UxKcEd70/UDpCu07nHnNpG0bvoSVriDVvPiZDBDi3JpdpCq
IAb/veRCDvAfJRdf69Y6suyiPq2iAaR3gK+YIXjHt6Y+RWq/bqXai9mMURqvhbaqq3lvK6+N/RsO
7ELNTM8qh0U0o71EiFXB8hgTAzH2HeEiixlZhJgRkEp+rfc7aIXxeEqqzK9wmzfT+75AtJqou/bK
JawoUBn1dTqCeKtys+IhVU4dngdzJzy71Hw5mDx61d85IlQnnZdxiCEVQ4PpRFb6skTIGW8EOrG4
uzdgMWkT8UPy44Aro4WYJAkOWfQBldaohq0wzwnnVCIKP6SXtHvrkKQw0kDzAyorBGzMGcqUhESB
dLrdYhKkLPI6Rk2+bFDbC6bTDaQgtoO5eZvrHXY/VELIla3yWZZwvQZKvDrQ9tLeqMNzx8Y1oQQY
26VTHxzj2DReF5/Ucl7LyWbiubeouYIQVrFUrjU1dCGnURdsg2oVZBtVtK5pRt7MdmZY8DkRW9g6
5Gyl8nX7rmBTlut+oXYluziUT4RE2rven0V+jtCfgcKWV6g6PlUQ5TDLcBpnGacUoPZKMtGpafI+
zo6z9MaRASNTeBqVUzWcp4Q5abiUg8PM4dnUF3u2vVBdSeNCnK32UI/zIrjOWuRdOJ/U4sFS7o20
8ck5XugMyeP+0FsvLbrMbDOyrZmUy4bCSr7y4rESSHnuc/xm4zORovhvL4F4kuVTFP4aml2cPAdo
q2PWQs7604xjFf5yGrRUXDh5KJv4GnZNrcGGa6PaZ6RFtEIQ2vcRKpzRgrdMBprfI0RscvlhzE4l
c3WL0AGItr6dqxtHVZa2GZzJ4/ZTZ0cGhp02y6qCfq+q+66MNgXdTwBFvMxMmFM8HmdiXFA/le1b
Hlza+FHJnS0iIbwAtYdg7F8kudplvNKl9TGb42kg9pPQBRLevILMsxb8qS8f9I4dQkbIEJXbAPan
FnMDUEvHUniB4OW2yEQHmUNgOpV5QErZuBiC40RwZwXTrX4PlPOglosGIYZjYV2gPxp40+Yxalk5
3evV45Ct+vElSSev7Lc4lV0zQilbYWHpbIyKdih4FbXqRODwgpcMDTw6ZlIbeNnfleTcU17IPH3n
EX0XkSOdeG+CncZUWL0HLqHc91WIxN18MPR9PIwr23Y8zD86eTdxfuT6W4LSYXSedPuPQpqfGZd+
OJRnSw8fC8TaMQ4j2J90OMB7fQA1PuIESuk/Q2y9V/ylkuHnMEWrXPkIusm3R8oAWOFuo6/1aDWJ
GiX7TmGImZn0vu1zmpQIolN4cz2i9nE5DO2jLbU7uSQvpo46emYzWM+U12XfvkR4Y5tOjwYrWukO
RgZMiUw0iEMHzzPv/BDVQavXD2bvbLDTPwpU/dYEqzXzchPnNAXhneK4gnSd5NqKC0oh1P+9eW8g
/o+C41VFg29KYC+70WE2xzYeolbGWCCfoyWCppoeQFyLORL1HGlcRtB9i3D0bEQTVruN5b1aPo0A
aFo2IRSZ3TSgIkfLoZj2uZqJCLk+T2daFcO6HTbXQ0jN6s9Yz9ZJoLlIzl27QRChXyYghBy0SUKS
NWehh+ADt4pN3EODNtfjuG0T+87Sc4S18UHT8MfNIBXWnR+FqwS/FbvNz4GirzqUMGHTHwNd22KZ
ttKDq2zKPs+6vbF6eddmrEV2Ixv/ZWG8Skh+goLNqT2HkPub5m1ogqWVw21+IKqnmoL9VFiXLBVr
xYZ1iP/NN0fZFwfZlRvwLxwc1RI3Ar30bkJUiCY6ar7B7f8ZLPzHyX/rUCyUwRS6Wo87u+8e2ciO
Ae48o0kNqmEKQTTURO1v5xA+7T9YNVB/mC7Cst0sKXfpaG/kdn6K7M/ECY9O8Pn3b/tfeOv12L6i
gv/6ts3s1HDnTdzCMn2RUgBd6cmiKr9BRpWvrn/9+39dX0/tYagzxnmVrHndLD+KcFuoJBSJz1i6
hL3CUH6jCFjG3VZwHvZTcsysY/1t6u4/s5b/uutXjO9fnwBf8tJk/fENwVBm1PXqlKMFqX1YZNtA
OCguCJcs70biE2JUzi3nVK5ywhT7rtpBcx1xVLBV+Qc4//WG30CWESKwOGUovouklSIe5/gbbJGT
lS/0X1/0BrS0zALtBmfVDuH9oiZaFyQOTeIaWsSFxhlhSLGj+CHBI3MLJv5F/FFn+NMrnjy3l5LT
ZI50r0agxjng68ikRzQLWUHrexqqVy3Ul4bZL/VZ30bV4EfSqw47vNTsO6d8EdXgTmHs5/lTPVuu
SFHCVZu23QfTU9HVHqZGDmpYpbtrksTNMRRpAJnr4F6ztzY7KfuZW5l7VH91/ZzKPdAavjZkCI2I
ydjZ2xIxUDq7VvWKTUgWoGTbdgOEIdmDAdLnFoUjEnmpe47YJEfURmOZX1EEN5DaxdVhoO4rKor3
NKJQTCHpYp6RdahCI/vQmeNG0mHzX106fDvbO7KPgFWfkSrWx6jctFPgGsCDKhjEqOXrBP+tlJag
7BDSKxu9Shf4uKFPLafHpCu9po82lmNjsPVqaZTs8SattxXwGglLcfg+j59FGe4qRD51BHcaBSPu
LKq2MsTewaW6JM6A8dh+nuNjE8ecxNTsnKhCSXhXci8cUX8LpIzhKliGhoLJlMWjRvY6via6eijK
T62s15k9eVl/VfZvq+ghbubXVFD4mGgGTcWn3XSrmNMGiV5bPAzpQU0PkETxdAqSpTP90nLFn+Tk
bHV/nOhDVyOvEnjG5RagR0KflS4aVXbHYi1V586qvFmrPkVbrDtppl97tfQdJHKkrt0+1zQfLxOa
eN3FTGkxmPn9jJBcoDVqhnEpygDwKNsjdvsnWDyMslcbUkGUlUTlvqSAw/1VWol/ojUnQEjWLleO
0XzoqBybKXw0pOcpaXZO8ceKUNQauTdqtT+hKeiFc9QjbduF2q9YA32AtOHIf6RBQ3dMmlZr4FZb
ka/+nKDZwlSsr5YO3hpFrt8nlvzNDOS/BjnXnu/mTKnTZGDJBIKKYwAxvIzh/3J2Zst148jWfpWO
umcfggQIMuJ0X+xBs1WyLMvDDUOeOM8zn/7/qKrTLVG79v67L6oiHLIFEgQSiZUr1wp3hgt9JKQz
bj7FbviLWOsuo7+IdIi05hYCQsN1m3zMcBdWzY1HS+vxg+JQSWR5hdVB4c05FxSyqOvCvIgDfPLG
6dTd8XDccldHhA5EJEF1h+uxedf1HzgBTvziQ5Wt5ZFXkd/x7GLINSh5hzRE788IgqEdh8dxbp46
3g4VGpYhVtFc6TxtklnxYeniKJMW60AHqOwqRq4kij+G5vmUu8SZaOtJd3v8S/zVZ17F+XzGB2Va
XqsOn2y9ZIX089H+f/y3/9WkrUpUbhKG2dzxnQNlYkB+PVotzadozw0/jg/wzOQ5cE6tBXNjv4VF
q2xOQGdaIvVlVEe3SSm/iQCAHkfeiMjaiu+6H7napreZ/9mtuY4sBng026GwtOtKRMOC6SIpuc2a
xTfPyS5bei0p3J3VvdjHcXqdk0mfeOK/+Mreak5MZwpMvxwpM9Jd6ISUFJziZkg/JOGXofwcjC0K
a8GXGTkuieCHl6Dnow3kzNqNMcDoKmnrbGhEcguTctJTbnyP0X4//mzLWj4wmd6q0tX4sUBUzgVH
hHPIITKBDR7/zX+F6Kz1hyvuwKKTrIQ2j+8yNZ1XWbD32uHScqbzgpY0Q5Sbpkh36NWj8IMSR148
ejQHCQDtIL9w42EbO19FDIuysK+oNG38ED5qvC30tyAmcicfqkWkBEhTCNIMrEBNuoMHdKCCBikt
Ezk3P7lo3HZvh18S/ylR5Z7euItySh6LabxIoBqn0Z1NIT/HXbXzvvq+3DbeeR4h+zCP3+Qo7zGL
BiGwT8zKX2yPtXTylHhhUKHEfy3SAgAk3Y7oBOPxRhX3T+76/7xyNG7++b/8+XtRTnUUhO3qj/98
F32vi6b41f7v8s/+9dde/6N/3j71NL0X67/z6p/wm/8ceffUPr36Az1lUTu9737W0z296Gn7/OuD
n8XyN/9/f/i3n8+/5WEqf/7jt+9Fl7fLb0M7M//tzx9d/vjHb4t3wP+8/PV//uz2KeOf7b93Tz+K
ev0Pfj417T9+g0/+d4GjhCOU1K4SyrF++9vw8/lHnvV3E2MPbSobZVfn+Ud5UbchXSJ/d1xhk2hL
IaW0l0tXU3TLTwz1d1PYSnquKR1Xq9/+77nu/thYf3wLpuHPP/8t77K7IsrbpffkNWNcCVdrk6fy
pG25ngte8/rsNcaiCxNrRoMjKc46nTzY7bCts1+5ohw6epdFft6lT3n+mOobVy+tS9hjjjSJGN35
WFnnIZHFROnnxfQdeKzXq3R5KtTebVtw9kktrTX3Ii1G3608zNA7ExmTnmZbUMHW2zeh3e0jB9Dm
+HjPicy/wxADujRTaw5CZsKxrDVjxZ9l3MMCdtAFSpFuqBz6gm5bZ3b8TU8DvU1ruUTlacgNDR5p
dlS46eo0PjQipjuZAmhPSS2o0ttuniLQ3MCn+9DsVIPHKVoQ7wVQzKcqGf16nycx1ru2YxKFqlFa
n8txpv096MP5Uxi36qvR6ZEE2ZumcodS3RB/yBtvhvVpKZgMcRFVkEZ4E2ffpB1SPIEh0VhyBoqk
iAnVkXtlowGATF+8SM2o2Wrv/UZosS0mOpzKUfQKISM3AACFAIQcfpfKs9QK6WDP0KzYFKXtXFVF
mg/nCCjQKzZ2efwpUGTDqMmEAiWkOI8RZ0E060uFlA3iL02FQbQPxW9TCItWwrDUDplEImvgHTV6
FMA8HykBLwiqFrHBjOb/uC9ynHhCCZIg/Wn+7voV2i+ev/TuJ0GJi0qUabRzYxvK7i4Phun3xnY7
wFRrYnrp3kAiYDbSwtn0rl7gq9obfBrDly55On/VwnVO1cdupl1hOxau8zgCVyG6lg6ivQjMMr4V
Bu5Ip1bTqzPteTG5LqQsqRyBbcE6uZrtUWKNPth7N9Tme5olkGApDBp7kP0ey8t4Drur0KgR0eD2
ORkn0qs3O5qwYdFvIPmPaLOO9I0VlG5KhyEkBQ1wmKI3lm6NrjIm1IqM/KEt8gCweDQr2DLa9Zqz
43vpmVf4Yi+BwkvpCj6MMi2i15r2O8NVqLs5MZGCGeyHLqmauxhm0G7qsvqm67v80kuDnIZ6mECz
H7k3MO0H3AAz+r5SlMDCvtUn5uR1lqGUVoIwwhN5yB3xRMvPX9wwtOGUEVdCQRLmp+/oLOp+95RT
fzz+5gdHcTzh4QGlhfPccvdilGAMrDjuIlyV7DG/nqI83af+bJ+4yIjXOMnyMrYjPOHyHo7tmeth
qths/YL8aVcWiXvn9a6675B9+ykkVaHZlbfe5H0mJlMClwj7tVUSngjPy6Hw6guvnoAD7eV0IuJW
yCjKxK4Pu+FqLh3jKq7k1ypctAraEhpKGQfTjyl3ICxkkHPvjk/0aom/mYHV7QVtcnOOR4QUhlH8
0hI1xKJpMRqP5k3hoKA7BP60iaspP3ENXh1Lz+NaHBXCc2zBabAa18iNuAwkZB4WdXDmy8xHh0x1
d3ps0is92afo6OJ14v7Hp7al5WEAJ1hSzzyxFysqKozMt2bH3FlenewN4glikqX1MVzQfwtJm0uV
Jh4ol9HfzkKNPycn0x+QnhtPFkjffnKa1IS2FNkI+2i1gyxpl13Obt/VQ6q/ycKofw+FmZ3Yp69x
huf3ZYdaHow4WxCjVkjA4BbCLspe7GJpxg+tN82XeTLqB1qruCIUrHAqR6n/HzX5LKNKMilLW9qV
tmk7q3frDG9K0pLlpEqAu5iCMD3/0akO8NfX3j9GUZIan7DE8v/VjQfisZr4nEiwoVVwNmZjdV70
RMRMxOmX4/vj7TqVpuPBAXQ5fqw3loKzG5JcwZ3azWE/vMu9oXg0xrzbJKUhkZYN4hOY8KFX02Rp
lmJzACmvYCJjHFWO7giQZlRU56qHijsn1Gy6MQtPDLUqQijCMkFvOVwxMySjXrfChNqpSzMJnH1b
Nf28rxpyKoTYVPSNjEneT7KKASIdC+Eg4Vboaw2xHC5KdEGoEJMefeuHMf2GDRrttZkuzXbfBmhV
DUHrd/ukbE35bow0RL1gMKDMHf8wzw0fLyInT69tcgLiBym/1GuauJg7VEiTyUIyrjO/ojQWl/Tb
qOZjnXfUbBpQF2xXwXrt82gcbbSNUSO6EjpedPQ8aaKG1CLnvnOi2XvKYg6AM5n4brvNRls+NE1q
wqQpGkvuZq0QzPDFlIoT0X/1tZd3UHg0W9K1uS84azeOLmilrrGH3UepP+7sFp34pI2RmLepYh6f
rwNDOaQTjkm/mae5q7w+aJLEG4UCPNmLyXZvLLw0rmZraT3tk+7++FCr0LO8FcGNHF8oi5vXGt2B
mdcktcNpLdsQD1shZ6Sp/IYEM0aWBB0UVLiquHt/fNRVyvA8KmHO4w0tbTveMgEvAnzutkMzmCT3
ENjad16H4Kwe53B3fJTVef3HKJbLezmSwLMu4GFAP2Qlnr0w5vL0xuk750fhxA4i3a0bXtl+ViHS
N8w3eSe9h66akhMB9sD4HmtGEFqV7cp1gM04shpacIk9QX5T1/Z1aVGL0dVt5UQ/s04iyOzqR46Y
78ffexUHl/dmq0mkYl3yYHedCpeV1wcNznT7eW6bS8EFZa9LMe9UBmXQVq068Z6vl6tjc08n+RZc
JbFj0XqdHwxFUMghc6hpzKDNdA847yzPSm7RxU4/Hn+11wvn/4ZagIHlWirWChOzKKuCd2eoBuV+
BNTxow8gjB4f5XWi9ecoJJusHIuC3XpTQL2tS7noToWjTuMzKxbqi90E+TWClGre9MD2vzvPHjS9
35yKlfbrlIOv55JsKYblCbgErtDLonPNoCrpxs/yqLmPqwp+SAT/8zGb5w4vCgcmR0vTDRx1LUcu
N6OASphZ6ELGfgiemNhN7ly0cy0g0PqzcxU58VycZ3Xm7qOgEUhRN16Uo7dvpep6DFKdn2NAU1H7
b3sXVV4RQwg6PqNvt4JL5LTYh8AtwltndJmsHC8wClg3Y1ffeJhdfpBZmF+GTRbACMqEu/cMy4Cd
MQ1bHdHRcuKTrq8Py7RKaWopuZ6xJ9aHNaQlGVm6Unt7SqjqNJJm/n3ptZAzCqF7oB1HwFDM2mry
oaNFE2L3dp9/rOjI/s9soJfDHEBMa7GsYeZl3TxWh9xwEF+Qe36KIjYWN/aM5uzxKX++cP770GUV
CyE9Yg/XYpAdd+3XqZXRNnlJbdRMYqopVuCo72UTClgnfq4l/MqZamMu6BdJW+1a9H9K1zofzDxE
kK1Mv2jhFYv8/Qj1x8iUB0Zi6uY69OaoObPjKLfAxQqByGo4p5+aJJmziyBxF6g49jC0mJt2+nn8
pcSbAEB+DPznEmWWbHI9dSiGFmUeSWvfp9lZE1jcEWJn2Iguc77P4zyiMEPIv08gySNn21cd9OEY
To6YYYc2M9KIEu3B99I1khOh6U0UtIHtmG9zeTjO7iUqvzjTPINvPSWIGbs6ooDeupC4LGCx9/hc
qsfj0/BmFiQn9RL+wC7xb15HXMMK/BS3er0bp8ze9QPK0Mqa0hOb9s0bLVcwx7SANrTNllml7l4o
22meOncHPIfW3Thoeh+wJFU61Seutiv0ZAm5jAUgTLzzlA1q8Xr2Upv+xLlkLDMvb2eeat8aXY9c
lNDfPRv80LWB5JBbovejQ8UyJAyiaQwJ3e7iErW+QJ649b59ey5F5EZaiuUuupZhoj8qt0WjeXtD
oiYgECir0NK+dOupPxGcTgylVhONEjc+RSlDRWEBuRGsiJbbNL9M2jk4ERVe53vPR5tm23BYk3cp
sQ6Dlhtnnt9hJjbnZo9oWz09Fjow7udxct/3DVoJSZrbJxKEt7tWgjKTibFoTcElbfWC9ZRPodfD
epiCQX/AktegR0TGl97cWBdBCpuTQi+8j3Aq6INpwhsCeXEXOlH9oxe1haKdp/r7Oa2s//wjc1l0
CJKg7vLNSY/dbZzkCYqogzt6Z2XVzrsRYbizOvLN/fE9u0I1/sgqrOcsCYTUVGpZBS8CRBMkM7pz
ncbSwe6uwNI7VDErSTOFX+7SLPTQ2lbqEXwD7ruu0kty/ugp0ENVnVhvr0/jP58EsNTmKgOsZq+e
xMwDGO1jrkGqp/RdM/vJ98apxttsdJsLG6HlM11Y5Uc9mN1DiRry9fGZOLAGXcBIrsyADwSwJbq9
mIgkQpMSTNbZeQqBuMww7cdR4qQUd+0Df7s7U0kXfj4+5uHZV8ICn5QWG2AVnlNT+H2aNpBuSmf4
fXYojhI8rd9D2CqlU8V7ty68bVppH2ONyO7f1cNwlqZwsI8/yMG5f/Ecq7udA3nPcMeM0F2gWJ14
6PsX3L8vy9A1vnEqTdeYFWWPQzON53HmjA/Hhz8QalzALIcsTAALr+WlOjRiY2+s9M53RXUWunZ3
N2aJjwuL1f34b4biZsCXXm6xq00/ySnoIhgdO3Oqhl1bsenNoPjFoT2e2FqHX+rfI61S5tkI8hyM
X9MS5NENCtaGXAgSJ2lvVic+38GhllQSVFBwcZav127nkHARMjSE+anezYqT1xrwWhhF5J4Y6jmX
eZXAca+ybdJVD6SOLG41gWZZDLWbznrXK8T4ASDUVREjxRBQ1rienJCOpETTFZzO/XulB//WDMbk
S24XNJMlU/hfTLJtA/ALuWDB6/BlOFXv9AXhiw2EEyIe4meQY+2dqJDYP75yXl9g/4hPrBrlaekI
lusKWPPSEguUkVRqyCkwytDJv3pm3V07Xl6fAcadUi9YPtqbieZ2YNvSBmh77v9+EZCCqSOb7Qpe
rRJ6i9lTu6Uf4JRS3KGwB/jF3gPE4xay2vmj3Whd90vUVSDoaRO6Z2niZOfhoMxtQo61BaM51bt+
KNy8HHQ1lTqTmVUJXm2e6XOshtm4tUNAQsOsbfoJ0GL32sh+l0kbTdlhaE6cNAdnVgHHAoAAvq7T
OtUHZmEQVPmSMt6lMk8vJw7c8+Pr5dCmhBnAjccGQve8VfJoRGlGbzMzG6cmPgL5qLBPwihQ++q/
eR9NJQDcd4GYV5HGDKd8pOCtd0nolduqDbAdymzvxCgH1/+LUVbvU0qa1euGUeKem4451BVuK7b3
rontCopke0pt7ODKBPyzPK4Urn4+O1+s/16kqMtqsqBagzFwg3LLvT1Y1XlaTu1Fm2TDu0naFLyP
f7ZDi0NSVAJSdchH1yqVbT5kAn16tp0zh+ddUOizppyjE3Hr1CjL4nnxcn6GAJ5tcvA3qZGhqB0H
O2MIzcvj73Jon5FE2gszRUnYLq9HaUYAmNxgn0XgCleTDiLchqp4+NJPFMw2CJdXII7UEuhGrgSO
RFbfnXjRQ+cFtQ/wRgysXDLNVYBJakCxhBvjLvFSopdRATeybMrzGEvjXe5H0360+uJslnxTiLqV
0vMTXA9zAghBm/f4jBzYlJAkJXggK5kvvMzYi3lPvdj2+yx3d+MQdNdd2GGSiN74NnexKDw+1IH1
65FSAS9xUAp3ndQ4pl+bI9pNUNsC/CNSWl9ngBUkz8qvNSf5WVr45tnxMQ8sK8ZU3IoVNxqiz+vX
axBMMNKJMYOomrEDicUVKsinqmcHR7HYHZTolLLWy0r3Dn14deruuibPd64FU7xCQf74qxzKjSm1
epQ4OZlsvSYL4+EVtCkKQZhBjsljO0e1v50tQ+abuXHorwhaUzwUVi6fcFkJsd3OZnQQylkFJjd0
fZLDePB7vnie1UJOG7ubMC/hPgzR2OeschNs1JT+MuvOwkoySN4PsTjFETw41/DBXJOzitvRagtz
JbGdsGdUtF2Td3TyyOskPFnbPjiKMrkDW8pirldJXWPNtGIZgk06jAlKLHZ0W/myuXXh8d4g7dE+
xLM9n1c5zsFc389zOhK3UzjjmlNa2MtaaYKyQ1WdgpQOBDCP+pYHI8/k6Z5ppS+2axiF2iCf0zs1
4SNulb3/czZQfk1ar0IErIqnjcaPcTO4atq2I0qwJxbhwQfQJtkX2REMwFWm0iLnYI8CaJ90GgZJ
59AaZ7Wpcctt2b2NUkN8HjtJLGvTbWz51EBVN+E14GCXNkj5s6n9L1pjgWPEkbysvCA+Q3ct/j1y
IvogQtfvT6Aah74khD1KLIQQj/rv6wgwqdRwM6ncHbQXe+sEOrw0fd85EUYP7QV+OUkNnwd+0WqU
Kswr2zRj9maK100ZDbTi0gM6nAk7GM9bO4G353ZxUJ8Y9234lqyDBc4EZHTtZ0jnxXrI8yCONRL/
O3dpu0SiBytGHaZnMdawu+Offvmyr9NvhrKpkRHfuGGsq8NDXBqdB+VtZw45akMDCq2beOhHDBIJ
9tk+sc34pmtNnX3VCT6RJ1be2+8oEWmkhLVQ16gmrxIEj/KqlcfcNhIVDXQu6fi+Bpf6j5EmRln4
CZTBCVVrNL7sVKQCL6GmVHcg8Pnsnam5/5lY2al+kkPTafE2nIfPFdbV+7iQ7bymYyRImyWi67b1
0ewWI62ypnhljF31y5qwPDeUfXf8Qx7A+XhJaleKagOQ7hu6TJvILFu6m7heCDQMcHfbE02jc9uc
EK4cgupcOwgWBq5GOyciANYUoa7Z0zQBZJCXjMR/r0p/OFFvPpAaLbc7UvaFwWRDEXm9V1v4/PDS
emCPqaEjnruQ9cGBD/kAaC9vR1UGGfwDkX6fAtvocS524RDOLmtwO45GgCKG003/MQzGM0kuEs93
XLFWm4x8hxrF0l7Oqixu07hF8bjr5x8Ctb7dWM0zhslZcIpJcmhfO9xxKUBRrbDXXKPaCseyl4pE
dc6GbWAplMdq/UOM4lTDyzOk9mpfKxNygcNSIDez2EWvJ732RUPff4LxvOmmVy6E3U1pj8E9Qi3d
DVriMToe4WB9TdsmO+ti1dGm4Eqg0Cq+t+as/I5TZvgDDot55xgjjlVpI6MTsefN5l+ekYUBLYii
AnSE1TMOuRsqiXpI12G3GGC0NffhKejkzdG2GmS1+vwgMGjBLJkI9OfvOlUb3/3a95+axJlbuvki
Go9KrFV/dbz/58mam/PjG/NNSFgegGsJ6Z1gf64R17jVKm4Js/TkGTfaca6SFMff0bBvatVft1Ld
Kxxaj4+5pEtvvr5DSsnpAfy/VrIeKlmGjhEZO9eh0rsZggzphpx2emPAUTYPjM/Hx1tVeEGNlpek
cr5kL8KSavUplQGTTxvaxwYKVZGgC5BcaTzEyKZY1r/GPqu+IckAK6LPeqzt4dM5SIUdf4hnEOfN
W794iNWnzmq4A/SGI7rQLRZa6RDbKGtNwV2cA/NuMC8rryeWGc34k33VT+18YVRpf0Eb/XCnZndx
sI78D5FTGJe4cc4XXhfo+2z2FAdH5F/ndY9RTo+ZcEFnCEbVEmG4nGZgSPHdrp6x8I2TBq+1svp4
/NUO7hRSgYVUYnHJXdbYi4SAKlgA1YadkuejvMIw+56yfXpxfJA30Wn5hi8GWV0aR/ZpGKjCQF+P
8yPkwKDmZ6rbrsT6/fhQh9anS8GR/xYO3zoQTlr2Y2DExs6yUpRJ8rmc3Y1buea5nzXmJ/rL7V/H
R3y7CwWLU8MSh+KxVF5ez6BhtFVVxJWH1YcRXoSJaD4YQSrO8jlDpooupc1cVg+yMuNPxwd+G38Y
GMKBS4gjBOjVosRQomgbnXk7H0jg5+BxGu7gAckPxdiau5RupYcwt9PPVjcLfOeV9Xh8/LdflfHh
8nLgSMsW66Uzm3nipjHqedC+sk8Zt6Jm48JSOWcDniRXHByMk80VpCJwIFaznPht0KdTjdOj56En
VYZI9qe0XNwZU+OfSHjeJOcgANyY/zXWssZe7AmjmZDTC/miue8318JNp3e60en7dAxodZ67OOXj
0t58YjpXivd/hDrXA32gsZeKw/quNIhsot2hD/ah3brXAYwHsQ3GAvN6vF5NE/M0UqhCl+r3OBAj
XduqHcutGQ0pkmqV5aB96Ro09iSqcmie7koa7mLbTD/xBcNPQEt3hW973aakjCL3YRPWaoN5MO7G
nl+grwCoO0V7Pyrk57DrvPB8tAu0Vryiqe/Q0bOR+sMg871Uvfl7Z9dJtInNrO62CTdffOQbRO52
VeP2zoaKBeTjLrNhoZQmlJlNVvf2D1oXaLqHQn/jzUnj4ZZex5/GFsu/TU6lFKh8ROvELqfisR61
yfuUU/WoEo19bq8R+qtSD5fHylb8P/dnykLIj6QoKcAe/z63Iy6xymkRIKObxoloGinkeKUxUsV7
16+ncCuKoRwBlCPEnbMUR1U9uxn3SKfsghsDtoXY+WZd0cvqBsHOqWbzEoZC92mEcYyMXWnT++qU
bhG+R0+72WZunLgPiT3VSb+vhgq7SWAI1Da2yjUuTGQEKb3TbA9NryQcaOujaCZR4s3O+2UVclg6
rYatykr/YxTYIPaRaxYPIgxcV5x3uk0zSmwDcpO5HeJ+gVI6phEiTDx7a/o6cXaIQYh6E6QhwL9R
mfqpHcPkK2J4Mt7Gplfhg5pK5J207ypS9y4Z2k2mRu7Os4iSZit0NP7s4a29Lynq/gyHBM1U08kw
hk2NgF5gl3aA+bFxswBbt7xaWkEdiVDVPJtticM5xZVdKQyEumpEgJGMmJr+g2jwIEP+p9M1rgyK
m5+VVNra4BPdztg7d818RQLuouKoJV7epTtZ1s4L7cCAzIahLKJEo/FrImhuRtULYCkZ1HcgVDUA
YKL9BpvYLDTO4tRvWep2jwqpmmccrDuztrZhgZRiXVKGQfGpWVRPjekH0LuOd5Otg/vKjvNxI0Jf
3/VQ15pNi25bxTXCxhrZQFLw84SOT7rpaytFHqJw37dTVX6gsF8Wm7kqSqA7Kxd3U7lIZDXWWA/L
qhz6m8ovGudsQJSU309BHrdTs0ADjC/nhHtPjeYX3LyrjyYKwMNeWaAi2zlwavqvTbPfxKqQ9Y4k
a/xGra9/sr2GX0RFjU49I0tmPJ3Lfv6g/MD8QC3T+qqAlMJN3CfFtJm6GX3btFHjHkS5R0rG9h1E
0DosvDZdOeGFCeQQ/Wxtf7qKe2Bb8osovPOlNbZXtsiyK2Q3CeAN5ytamipEItEMjQGi2FBha2oE
sLUrbWJq4zZyvDdqQ3+d+0TdqUa34YUTYxNPCpYo9H5dK9mEXHXeIYE8Y+Wea/196LzAZv0NPaYe
Bh6EmPaKGImQic6fbUZNcAbjDXG97ky76XZTbsufVZvMOBEaNv7lQRgbWHyZE5azKAVa9kZbYxFd
hnWSf6msMv8i/MB+bBAZDtBSq/tFiEl5X13UEgq04v2y2nllgF9Ulg0+mGeU5O0WSAwxhaJVJCa1
HZ6T3g0PzphYF40KDZohPXumlfkKBc/o2zjBIcKlNY0/h8qMpk1YJjUBWKn6W4bo40MAp11sW9dp
P2Oo6ogLRyEVsASGztkmXRJ+NAPH+WjFXdKcSRd1zd00RNn4BeTJHnf9KFWyn6LQej9GPqpcbAqf
p45ss/se1VVqbbMJgjVSwlGjr6NgMtpLX9LgQ/kWdAeDz5H6Nb7qaDtak6+NbWnA3t1PQZpEZ3Q5
FUg5tqN5tYB26cYBeTXOeS7zaymTubuYZJGJTZ8aLdY4glvMJnZ6bCV1IyGjjV1ZoN4YWXQj5KbC
jdItW/21H5vgUaoAvs/chL6/LfuOfq1pNA0wzthJzcsilMiPlFBz1UWC1MS5Gzuxu6W3IukuROrY
j5bRd/55WTh1dtnoHq0YEy6wt4Gi7PP/IQj0WWf6WXRtOaNxHoaN+cuql+48OZpJd5OqDG9gNyat
3HaNHPyPSWs0+Z2eiyS5SB0N0hm1UsBJghc/grDBFKWxbEYDwc1z+1MiS4q4A/cp9DVEUkQfbVpJ
sx9tEg/DrnTHKEecuymvRYdjdYCvz0ez8ubPkszA3hNBkejC2jb65Cy2fMBd9DDcJi19QPtE5nn8
zTc4dTbCoikZkgGSO7nZpeCdtkDwMJnLzttqHRpPvdF4GWAO+MYuTeJ63M1WGH2F5jXezhmybPcs
bWTywqAUPGlkfK+l7LpLu/OLJxOYHT1Y1cz5pkXMn9jhtZiuX0VdyiGAqmYrCLzeIM8GuCkKm1CP
inxS122yV5MzfYqyVjwaNhKZ2yBKiBMGeciTG3nBjYyS2trkScbRbspWPgSOb3yuGtlz77dHMm+j
6W2c4UEa221cJ+EnO9d43xZoD3zMYMBYu6roxS+j6tufgz1P2LWaiBXUlYyvtV+jW1vmk8bhYZaa
3bVI8c01aOxZ7hdTcJ7qKL1UCAGhW5Hn8g40Jv1q6dC6rVVujWhvoxb30a7j6F2bY0y784q5um34
W1g1e2Xp7E0rTL6FNpJ22yjOM7SW8eCkqdeN+5+WGDisUZpwbuLSLL92Rd0Zm9EUuMJyr6ON1y3G
xcrSazBZRo+vPUd4yEBVOs0tqCPdqOut7EPipzfPqj6jQ0a+l2E+fvBzd6rPdRm55W0/y8HdOQOK
BKRxHaLItOyQiMASx6mq7oap3ZB8Y1I00X/loxvdT09Jm+clqU1mNHhdGSa2wsXobXRB5zUN2ykC
h1U8XvlWPWwHO/tp9yGaRWUljXepHSKMCaVmowaHHuGIJcRpAxDVn4dtkVynblm5Z6Y3xF8K9mO7
7XGUpbxYlx025K00PruNYBOqNmyeamT51bYHBsDg2MD/Ni/sAjEpw6RFUkBBe8pH99y005ZOcJ53
k2WWhSxqbTbfslEH5h45JCvaSjfzwf7RQaa909Gu2mZVg5BgO+v5yo6HwkTtGZWummv3Lbz+HJXg
Vsv7NMIG3VEYKzpK8tZZEpMey8riKBmsEgX9qUfmb1P4c9FCfTSGxfK4RDfKLgKU32LX9M9jg27U
vR4C0W2I/GOy44qj91VWVO3WCaPqBxKEOFuZFRlRHjjZOw8ivkI+b1GxSafYQaetdY1s20fe4rln
zTUWZqP0kGzxQfs2olLobtP3mJRbMl/CmUfFuj2j1ufInQURtdrQFmgV++M3ibd3eq6iQDOLRgP9
gOtiFApdaFaGFnrmcYQHupk7NwIzwMvjoxy495IF2JS70HOg6rXcol7ckgYQNne2en+XemjLeyGz
gHkPLM9omJHf8aYswIR5mjhYybdPIApvmcWKd3wx+vJ0L0ZPDBK4tFD+bvKs+LZJ3UZvezTOHhy7
ubEqDHnytCovpybUH8oszX4kera2Dvzfq1p44bVqqlOVxgNXVOlRAuD+JkCs1sivHr0BHa3U20kr
bbeDGXf3xCLS9XyqTsy9vdztXwNSXLvpByKPo3mabtrXrz+UHXCrG/i7pPM7uU2iKvmZGB1EEkpw
8jZOLQ8d0s50bhQTNe+ddvhgmBkdYI3dcP+IRN1/NfjzQxpkyZVndpm7k/UcI0PWqvqzpYfc3vm4
1gXnZtXLp2gGYN6Os++3Z5TjrVt3Chahah3Vwz7AsOke+pP1fiEMPyGPivqYwCejOMvyppZoqVXj
73kbN//FUqf5ZGmDgB8gqWu9ngcnk/VAiRe9Xae29mmSVHsDgY0TG+rgl6WEDroD4RHs8/UoXpTQ
ZR8BPsh4RFeuoFZJ8nrvTVy9jm+qA9CD5KP+a6QVUlZkdQhvGeiBTzdehNovLtxpnKEkagi0QUmn
UJiED8cHfYuZLQgWtWswJNo4nzWiXuwl1Q0+xgAI3E9zLXaTpZNdZN6G5Y3w/VMdO4eiBhU5xGAo
my09Q6+nsowUmtqLWkRcey5bo0AGH077o1+L1t9Kq1DvqtxBXi+3OJKPv+cBLJmeb9LLpelTamfN
Fq6w8B781vR3S8MHHiyoXkoxC9TdpXqHlGy8TYUf33JPX7wz6J+8bdDvP2GqdCA6L0irhbCEkEvh
6v9Rd17bkRtre74hYy/k4MOOaHLIyfEES5oZIedCvHo/Rck2G8Tf+Ckf+Wgv7ZGmugoVvvCG6xUY
0MFMefyUg6EPzpc6y7u9Y8T9343Jf9SD3v19FyyEihb/+N/ULXpb/S4+iub3b/HwR/X/gXqRyfb9
r9WL9lGc/X6uXST/9X+0i2z7P/T0oarRuOCI/yNbBIX0PzQ1Af/y0aEfSTTOP7JFADb+w59QuZQy
FWDMZRP7/wgX2f/hX5bAGrBCvLOu9hrtosUVA74J9K3KqXA8A1br0qPTcDIjoWYw34MQV8k2h8Cc
Olyz81L7HIVJ+eezRflndzyXSpL3yLP3A5CjiQCDRDzygIMaX9xo5lTl9eylMJBPb996+/MjUuwb
9cyFGhNImMUYi7ss0NFUSMrMvUP1GHmPs5NDjUU42cbi1dGbfWDkB8/FjuKjhgyoSvtGIaoMEHgh
4d8Z5l0qPV8Qmft/mvoS4FGjttMHGT8r3/2I9p/E7pF0Zn97jGV4spz7UtZksv/3+rbH998ePr1L
Du/m/XdSvI0rbeM7Lg0kvak3K9viO6a7bz8+hbs3wW7julrCyF5MZXFfxaMV5kHIejm7t+Huw9c3
jx/fb01jeTO/GERems+eoNqkvWZNzOMeUt/hU3RgIrwBG59lcfWy5XUwYOxMIjRO81KnrwqDecw9
R5xLxxyOyVi7lzpUtlhvi6P8NApwelixDkAWjvX1XCol0IkCSQwNgG3fxykWXwaPsqtI6y3/isXL
beq6Zqh0dom+kciiLX89VDqZyZzaVu7XrdbiTzbgW9R3zYF0q7jLCc7Ot/f1k7bQs3vjaUC5ijTV
qQkjnXI9YKAktd7oOgPmXbTTG9M+mkVjo/YKMsVASv3Q9511FgnGEJGonXuqYpXfagN1Hi+soUYh
Ql9ValPthaZ1+6ACmZfF8Yi4bEyco4xB8kGxcfJprdx7cILQpo0Ql37YVO65GntxjNveuaAMkN8r
CeGeyRV9MLq6PpHSWo92amj7ycnxpuhz63R7+sv9g3iDSdxgkXnThXohBlWK3AHk4GGRVEXqycvw
JyrLYct4+8Uo4Igg3sMnhqpIPLbYPxMIniBV5/qE/g1tYCvoTyTAzcZclrsUVLjKXGBOSXgoYJXr
Lzk3SqpbU26ehPCaL5VbKHf0Q4aPne1o/u1lWxmKHAVWNPxWntMl2E1PkSuO0sBEWt3BT4WRP0+5
6I7ubG4JX6wNxVNO2g+uDhjMYlZlPrklhVLzhNGddawbpO/NuYhQ5o+8V14mwI34SigIGXwuiDOL
o5Do9JaDOLJPMic8zm4FGypTtuLlRUIA+NxDFIEIQ24FD97q9WcK2i5uxeDh2hpo+l8Fgg/RvsnM
+K8s8LjD5tapPnpt722xhOVCPT/oBEoMDeQBPBEAuqWWByUytRYmlkNhiA7EzgZ+/S2z0iE9AUuI
vwrLab7HxFQ4uoG62oodlvca9wwhF8I4hGrccct7jXIRyBqzzXwtpYlGg6TULH8ExIeMQJOqH/Se
xtrGU7pcaaDYIBXhmtB5haq8jMDcfGxyUSj2ua/L2OfCDb/BKcyxBXKM+9md8b6IS7FxNF4MCnzH
1TWoqsAvJFn6+vMmlO6cOSoqHxlK0q5A9E50Uvt+do9K2IDeR9NW+R7WyNy9cvsCqoekgcgVipxw
7JYYdLL1mfasW/p5QaskUq3yoS6jeAMutDyPT6OAD0BhR57+5fygnYUTR7/0a9Bg9xqOcDs7s8Qp
bcctqcCXQznsU3jdngobGUDL9VJ2bhnQsRGjP6hSvd0yIvyB8xit8yF7lSsFbwCnglfAfUolUX1Y
fLW5UzCVsezJBxncPFpB1pxVqLcbkdfyHZCjSOVLF0EvqB/GYkIK4LbQydvJBxegnMSAdRuCjxuJ
wMoggHPAkUhNCaAkiwLKgPhI4Er/DhFjJ0bJdSp2vaWJX7efgJf7nDFIMzyuTF7RJRi4dMexNrVs
8BVO4dsW7fqj0hf9qVbj5EM1uTNqUeP08/ag8jNc3WEUP9FRcMHkO6AplgRAzcqqsJvK0bcLM3xv
0ws6agYsuSSn9V57eNuISuhHLKXsizDicuP7rWxIkA2EZdzg8vWTl9yzmDalQEtXoh9oIsbKMahi
Jd5BUaIVWtv959tTXfmMqMwxCBM14LDKP382FklNnhW9NvhhgR7ybso8HGkwuXhljVPufEcW2sAd
EQO94FQGVWskieFNPoqMBQ0JxWl9t2hj7Yx1BS65t2e1zD1M4i0peoT8m0yJ2ULX02rjTsQOJgx+
Hw6Ge0IpsHbfqUpYfgFpqDzOc5G332mKuZ/Yxe6HosEI41hHdApxCIKrtHGbLbGv/B7K3QChAXxL
BaqlGmg42omZDKrqh6xDjx/q2HtnBY5idtLx7aBzLyarPcY6kemBraFqJ8gmfbU3E71yzmkwiuKU
WQ5o/1yZkwyGkVC+aGE8vdOhGySHV68fmQG8eN41HlTKbdfrN9pOAghnnvwEPcZfBdatwz4GmLbX
LSt8GHTYFF7utg8Ix9ZvxkBE78t4qB7RRNsic7+4AJ5yFBQZpNoke2fxSxzRVZaZ15M/GTVKPKgv
7rWhB0Ke5823oDfjNwXLsLF/1gaF94PiEhcc5OZFetTWTYXOArvVszoSDBKJYpdMced7TPNYAh04
itEMt+ikLw4+c30+rHG96sjigUQqlMlv9UR8aevEHfe4nWB42WtFO2885KujadRIidfYkUsYXjWk
I3Afa/JxSeshBjgYfIdgXfZ6pKtbB2B1MKJrmzIx5JVlfB1pRjQ7sOR8GmvNrp6jrDuDYcFBJnYH
E8RR4WcTJgyVk35Vw6F6a472MSyQZjckQikb+/hBI9eggJ6FQt+Ipl6EjSw8wYZGO4C7ieLW9cIr
saNk9F1UIAzwrqOinT5lXajg/ScEJsdqtpVurG0wQijVcgl0GFcu17NrN3AS8FpDrvpWZmfg4Arv
oTba8nNl1uGxawzzXA628jqGwdMlBHeI6BjkN7nb4lJUM6NHE1qf/TobMntXgIM+Wr1ef8y9SXmH
4PD0V1KVhrMRH698emoN1E34+tRr3MWuRh+dREjEqh/jmkjLKQLwhyQwXtw23/br7ZtrZWGlYLpj
UUWBhrUkESujF2Sp40zgaVWFTSSybGfFdvc4RG1x5Hd02GJ07WvjOkgNiL+a6CpLjdplS9PujRKE
mo2ZI1W1atdoJpZy6pA44fH29F48108D0bYCoiXJSYuLyY3QNM2o9vp5onYHkiDQKaPabXyxtVFs
3ikmRagBdeh6d6p14IyakIZ+c1P2BysAUn7glc3zjYGW5U65JRFV4n9UU4Z4y9ypsDNPCVJF83Wj
c7D+RmGyPQw1mmJ7+vm5cnDyIf5cevGERfAsYoDsjd7i9BjBPtvjIas6O7Wy0tiHQGJtNdXW1oHc
gEIZJCGWYRFIBx4WdnEugTKgHHA4TFKrPdnIm22VBNaOyPOBFo8c+WUGhJCBrGJEPnQuagUz27HO
IKjXFPVvbyL5s6/CW+5hykOqjcInAtpLWlZdi64c0oLLR1EckHGG8tVOhH5pxzH/mIPIexs3QFI8
pO63aJ1yIsuhmQ0AewNq6YsraAoGJIYc7oIp94pP4ACEum9qb/zAs4CscSY89Q2otenO8EDMTH1W
bfXyVr6pidgSsSF4aWLexVI7etnVnt2qvp0nGfBYtW0H8E1t5W1o9K4MJNlOKIXBCHe5/a4PUYHN
wJOWlK+GFiymDPhwO4n89S8XuQpVOC5YekFLnm5roP/gjYHjB5b0XPTyYQTqDirwJxcR9HrUnMxv
t7fPymaF50o1nMcc7b2lsp2OmF5VR5nj44OHRgQosaMxTeqdEG2wkQlpTzzIxYbhiUSZiOuVIGUp
YkDd2MqRObf9XBXpL90rla8pljnNSWiifq+ooWk/aoiXSM3KSiTnGAFhgOyjbv3ENMxTT3oq7ISd
VPRAjmI3/ZKEUV0eWm7S8hInOjgqkTWRe8TjS3wpihhcehwH+JOGvZkAeCzm4GOpa9lXTYnzRzUa
2/qbMaeN4XupNr5F6HQA29VSKDmA78ntM9C6oDopWYI36ARtHquktBYubpyNOey9fsIB1XJz7VfT
9OKvTCg15qW6BTYrG/T0S61EmEh6uXActIXbEvfq3nQwl1AwP6vaFvuRUhfmz95zkUOO1UDkmLdq
LMkwKd43SZ0d95aJ1zkM1l5xTyM7ZNgrfTI2AJ6M4C2NDMxYE7QjIEcZvQcLlCqOhYZjDeTZJC2S
XseuHhznwhx/aCJSxNsk7pqHfrBwdbYjq/mRVASM+8zRlD/aoFTdy5THw3RoPGv6IvoKpTBAZ5il
t7P2yYgT5ffU6ObPiDSoOWuZMr+30fXR9ynazxAwA93D2zkl1yHOHi3jPd4NuBj3AG/fN7GqgBMy
Q/tDUFmJutMQLPsZFWJ0dn0SkHWogPx95tR/LrvOCt7aXcgtatmJWh+zsskfu0KrAN1T5sH43RiU
5jhYRf5jUHmSzkbrZp/HAbD5MaiH7pep9lPod/wd6S7XUMjcW/iY/ES3EdM+o66K4j7KhYoo3yzN
JcMypZxvm52OvV7HDzohYurWJ9KlJHuvzkPZ7fKi1nRqoWPb7d0MUOpFyZMJrKOuDvouMnoA9WEe
6X7aVKV6HtnnAZpDeWscwnqA+T72qfGztELLQ49VG5w9DIg+v3OVKvtjxBn9J6HUfJkc5DZ3BSjR
cmfpdWOcGncM/kRLsfzTNESunQAlZureCVSlOJaTq3xT8DoBZ9tmzfuK55TXtFP5GewzLJJVMag7
SzHQAVJU4O6HIRtz8xjyWPz1P3oUIMc2qQ2ekVb+1ZMNSjac4mpLunQlOidjQPCCXgAgqWVRlzzF
1TKhmfSOhPiRp2HxzvACpT94dV4Vu6Z0mi0JnJUnkqcBIg9C5bKUtri8E6PyaiVosRsejCbaNWpW
p4jVjtG3JhyHbhdaTeE3IMsJJ3sRbObfMhRfXHvSgoeSMpxtqlGLCMwqm2oCemf6uT7X6OBMsw6i
tc7Td40W1ffzUFQfwjrs/jKFMUgXwlh7X/YZbjO37/qVRwwpEOJoEHP0YJ7ar8/ylNxQgmJQK90X
2DY9NhQCD3mWRRujrATtNJLojDFd2exZNK7GqRNGaeS6r7dKDx+BGEHiZcGWzTuVVzTbdwZ+C5Ez
YbZ1e4Jre8um6At6gkIprOTrV9rsypBwwdH9KUtqXHpinNJaQ50/WJXrnMfW/n57vJdTReuRfgzR
Nbx/1A2uxwuqACpUNFj+HOR4cEY90Nd9PWi28iY2Taw7lNaaMYQGcbuV778cWmqXAusk7USgZsm/
RlJOi2sFt4wqRcZl32saVrpJ1+PknJdO0R07AB+4YUeRt5V5Ltv0BPjU4IhSwJRSU4Llfj1tMUW2
OdlJfgH5HoV+b7uR9AMsynpnhITZR0jHtgYQOG4Nf3I7/AVHgYXQDhBqkb668EHApBMAU1+lI7ss
fKRKXBvQatNL3bQ0jL228e6nVrPuemyj/rj9vV/uL8bic1NdYI+90NKqQng2pZqllwJtRfh5cXqk
P9w9ROaA4oOLbPft8VY+suwqykoj1esX7Td01+s8oD3mx6lkVhVN4A/B0B2hWkAISSbtHLfpVgfs
ZUToOASCKkvK1qa9ef114T4Bm0DExeetyh4JXeByTPZ8DDvQ1bfn9/JCQlKe2bEdbEo1S9JsE0a2
I6zW80ur0k+K2aV3Ipm2etwrX42/GpUCS4KcXhgSaMFMmoD8sO+hTcujGeBxFg39MR7UgbOpRRv1
gye4zfV9D0IU1ROa6yhZv9BATcbZGEbyNerDOiwbI3K59KhkGPU9RtfG+7Iu0BoeRNri7w26EhR6
pEVv26Fx3sWKWRo7F0tXLMiCRvkUTE4bHrTWyLOHRDcLaxcY8dyd28oS7xNV9MGjU0zmdxFM6BuE
BH+n2x9pbT94dLmA1oL3AGJ7vR8gkKQeKrKur1dGA7i7NM3i5JI4v6tnQ1jHV4/mkh0gViTp/sYT
5PnZGxVPOqG7JQJ/VHXJn9KCOjqClcNcdQot4Pn/YjhILgjwYAjwgj2ttK5XzQiT+FXduU/0n1w5
UpxuPplZXm558q3sd9R22BX45SCBtfTsqkEKKw5+Xb7IW8L3sLe/d3bevLs9p9VR2O0SeMShWpb7
vUY6gmVT4Je2EhHspUbSfVZHLvSNgV7GVQ7bAtVjV/ZbKTtf74wUln1tm1Xgz07szAfSEZ3o2m33
Tdvl1q4J7OEIWwouwDTDark9y5VtyY6kkYjgibwg5al/tlGgGyDm0uqBr8JQ+0SFQejf0sQoPutK
Y1afXj8YCAiQTsAgwIHKJX82WNi64eCNveIrjVB2fZ3g/lfWtXrpNS/eOG8r1xU6f9QzaPyyM5eY
C4Tu4Qppk4J2tpdD4BfioIb6cBLN9OfE8di4g1feGOkQCehUk6XW5R1sqUKMXq4pvgk65q0OW/KA
R2T2pkUrfFdUvXJptNze2DkvK0cg1SRfVTLsQaDKH/VsPUWPlwVBgsKdkkOgCXM1CvZprbUWLkLt
GB3sfLC9nREXwx+KHrhnvW0n89UVdNTwZDyIRyii9MuFTovRzi27U3wKpLnmR9DitX0fWmhDG1k/
YTWFtWO7d4Op+Xh7O62dUFIB3naqPfoLKSWOYtR3ba74WT3b9znspn1IuWBjfmujEAvTpQSDyFiL
i7tVEPFr3JIvC4nYwegzUDDn7Tzoorens7ZjAY/QAqEzDFZpETHYvYeJdBAxHYeqVeKJau/F/S+c
+sJ9A7HkX5x8MCQAIgBwSlHYxebx4iSrYMSAWWnNg2mU7XF0hI0UDIz72zNbORyya0+EDWSNg78Y
yrVoqetdFvhdKoCOSWr7ezXC8eSQ5l0OYhimKATP2vNefwk8qc9JXTg06NzFhTOjKVqImTl2WIz6
tG0xUtFm+3PWU/+iqPtKbosM6WXF3nQBGvJ0LMezMor3SP24fobl3k4PNCjykWtQ5GxfKRv891Dy
ppFWniDn5G56dvYBD0B5y2rPrxIrfsz0Irrr7H5LG3ktSSFSJ+uW+BywgMb1MFAlh6ywhOcjXCDm
XS50I993UDrm44S4g3KKlDyuLyPmqf0lD9u+PKKTEtcU68YpO9/eRyuPFag98GRgXqjXLxPTEGjE
gIssEWGajfdum2DsWmvhby+0isPtoVbQEoQzFHM5IpDCXsTviuHFZYJJiw99ubozqaadxknH3bf3
8uo+E1gOZWEHlLDt+10FYuZrY8zh2UnqeaPguxIfEFjxiTE0oYm3JNpkVLDyZpSBSFthz526ZYWy
UdPfhRRM9zH6OMe4wdCdgpjySi33p11Gn4f0Qh5c3rbrzx+DNHO6nLFpLjXJm8EegYO5fGvngt7Y
+EqXj3+Gw5iLZgzIpqXndGzEeEkaFmGr4lWXyB4NiHSmPbwbqsna0lZ+ki9aJBj0IQglUXCEPLVk
oiWD2ZqJawZ+mwy5ufeoudTYC3fBVzNN+xL+8JDqxwam7byLssQNjrHhVurFnuzuW4RwidjVXWaH
O6jsicYdjejDWRWdczfR6xl2XTDUwUZgv/JIyCyCCIrTCC9yUSvBxsYb3J5tOTvg07VxREPZQLkh
ACyDAIW6pda1Nh4+4ITZwE3QgFi8figih6M6R4HvJU3zu/KM+LuapuV3IHrZhN1zb+kbJ+/ldgdj
BhzchVjANboUnXI4Wlak5a5PzZZyE1Si+FNgBbV6MFwhqgOZdVUcgQCZH+e29fSNZ/Hlcw/a5G+A
JY8xQ1zv+AigbidC1/HrMHTPSoTHTCfMLfu0lzcZowBIpJVM3k6N7XqUNgOPmpYto+DoeNLm3jzk
DdBqEIrjxqW5OiHZGydSQrd2abGHX0wXASt2/CwAx4KYYu5Xet9tPPGrE4LOSS2NGh7GbNcTApmq
zu1kO9Asm+LQelitNb1qXByleX3gwtoRkRFzQrXU7cWdpBuhFY/VQHeDB2jv4sWCNnc07mdsYP/N
rCjxunQryaOXsV+RE/NSAHb8ORq/amYwgJse2rObVsPGJf/ynMF8k3BpAj/qRksEcYyXZQrR3AHS
VaKFgLLzSc3TYT96hQ53y9gqEKyMB2MNUVmwgOzzpX9mEBl6Aa6IU1ba6l2pBilaM3N7LIy232v2
8Pp7xJUwELmMyEdTVr3eH0VaRLyewvXp9KnoO7rze1Kpun2D+Lz1Uw1wDd1IjlZ2pMaK0iWV34g7
5XrEcBBN2qGn4EcKIshxiWQNzXv8laqp2riy1oaiRE8iRvQHJHfZPxelECjou/5czO5dZIn2QNdr
PBRm0W8MtXKaKRvCyJDBAImf/PNnYV/q1QYq0MzK6CnTYoGQ4sakbLnvre2O56PICT8bxdCQMBZT
6/o4iYDA9PSJNufUf5pctL7G3LaPt6Ot1fFoZdtcH7C9lsHsQCAz0cDmW5XIrJhoUL6fbFSMEUpB
e9VMEG+8PeDqF6OJhKEa0Du25vUEFbd3KPKVru/0QXh0Wq872UDxaOyNW+SPl0m6lKSmxM8TysO9
BGt2VtISFxSsJRZme4HV6CE12ZFpPqf7eTBUH8Eu4H+Uuw5W0ui/bs90qevLYjI+9CT8hWHrUg25
nqooMQ02bNZ2cBKz8mMtTH979dyZhzR2nWyf63ZbvpvqtEFEqMH/kUDIaD/mtt7eVXQMaLAPEVog
t3/WyisPS5fMQsZeRMdyRzzbYUUzJV0zGg6lIGuqdnTptIekCZw/uq5uhz2ddk8KIPbdXwh/0PW+
Pbqc83XkR8AnQVaUvWDeLYnzuXSdrD2iKLtBUWnMaAvAv1Uut0dZ22TEaRKeJqPMZZ0yCh1zjJWZ
TZbW02PTFckx6QFtueOWne1Kmoa4Os4a5Ne8wRR8r5dToPw6U3NxfVAe/Vs0wnU0I6zQtfdjkdnf
zaJNyh2KQ8NFVcl/PW2gwS2UrS7SyrpCVJboOIByVE0XP6ND0Q9WyuT5hReljx0uort+Kl6Nz0cb
VALmCf+kIeLyVW5sM9UHhEf8oEji4KlgMeyjyRVbrg8v6xYMhFQO4QxL+4KaEuWhhJKEtIsitUSb
pVXQBGmyJv2SZYEd3w1JVj8YmlC36ukr9yENZvosZEIgb93Fg4ICIul9mbE/s1R7I1jtu9GJUH8L
G7EvJtfeiBFX9w9mXXAYcXegyLU4jnjZESOmGoUL0+i/p25QPdi4L9EkoZwfDcF4tGJiVIip3rlN
k/w0aGJr86xNmuIp5REdd1BoTtd7eDTFPLcxbayusdLvY1K23tl28sRDwgr55CP/x5xuPDwrR5QQ
nHItwgTcBcvLmdx/MHKPh84VTrdv5ijeGaVXnZIGm8Xbt8HKjQdyFJgdr7e0CpVn59mNp6rDWFgT
iYXdRaq5VwiMv3dz1l5GYBzFDg1W7R2QE9fZleB1R//26GsTfT66/PNnoxvW1BWdFfHCAuP4nMUe
bhA8DWiW5lKo7/Zga9cAGSPYFNC41OAXOZRO8xGXYsX1FX0oH2MzHd4A1tc3Qua1KZFDUdqTPBKu
vespqSlWAlU3cb1OVnM0jTjcj5ONFmtdBf9iQjTTyIC53DBlX8SSeFKi0Inlmh90SX1JgxkxP0zk
/sUoUhdDferk/o37e/aNhEgG1SxS24+wujzPaV4e5riuNvbhCu9Gsm1kuR7EO53pxTmjpjxWmDva
fllnFaw7rf0wGQpifr0Z8gym9r4Kpuhc6WN8aKtARcNTdd6Al6OPaHbKQVUGqXhXN495Epa7YE6s
jS+7du/aVPgIcqlwUBG//rJBb/NpI1iqXqJ3e7XMM3QMjpguq8eR3bax7KuX3/PhFmcDxmiOqGdo
+1Xfa38EwjR+QeJLYPCNTo19D0jMM4Hr/M0xauzAB5d+CN6USCNudADWdjQ5OvtM9m1JA6/nXZo6
Whd2b/sKOkzfvEiL90DWwrcp2nUbu2DtiBJ4IQXPOgMhXexovjyWge7kQPBUjH3Squj0YbuxkT+v
Xek4M2LPyKeUIIXrCYGgHmKXO82PosnByRwHbQOwGGWOsnhXo+y3sYArG8egGUSxg+9B1L3YODDf
KlF5gU1YP3f3QY9wQjPnyiMvLS4VFkYOVOK3LvaVrwZsm7UEqyA7qIvUVk+9AKloBjUEqohpUemH
AecQX8fPZAM/vToUEAyKf3RRsA27Xs8Mk5KkR5bURy0TJEus64+YAo9E7HWy8WCsfDqYDv93qMVe
jKK5R2MjYoPElbcnaYsPfVWG58ht0z2kQXG4/WasTk2KBtFkg3W0LP1WI0LGQIwBNVdoHIagfN8O
tTJ8Lu1gY6S1mbFLCOzIi7Ahl7/k2TWLVnlbA+oKL0MZ97sgHupj07rifh5cZJ6BwGwEVysJIM5b
FLOlAAAHe3EIeigbBhCP8GI0mC9dRNAXn5NC08p9WhrDD9cevewoCd/hjs67fi/SPtnIRFZOuywr
Se9C4EiAxq+nLCI0NwvdDS9d1WpHqyL54w2qN0673BKLrIo4jGYJZWLCV2NRm7b0DGe/2giJaET1
BlmP/sF2Z+fBaWz7TYiCrndghUS4c4QXfri9fdbGRqOCzIdgAJLiYpE7sOdGZXm0+5EIiJBEUpxT
0EXRuyyeBZJ8AH7ctFWPzpS7x9tDr+1coIOSMkx3igro9eIGThlkrhiRKM/V4eB1s449gjUe0nIc
Nr7jU2qzXGKeKkkaAz1IbHU9lqBqkStjEV0ip/Rq4h0A9XR/ctd807UD2HGtLqmCjhU5M+o1iAff
WVlPi7VX8qo86OgbnpvRNueTFKGYd7WbON15UFw3PVhu1SAPoUkIujOY9RZHYu0cUEOl3QzHhaB7
8YkQ4nPVvJjjS4HsnneuAWHg7txUmfhhB4b+w+0N7fuomIBC4sh036QaGdDrLKZkMYTYm/Iq+Rzi
ZUuumJF5ojHjLrq42hgfPbcJjhhR/mxxj9u4ZZ5K+ItPhT+vlCyiOUvZR57JZ9dM6s4xMYLFp2pE
lP+qw1SL7yPRwrYzUwPvy9jQQ+9uEl4xnjvVmZVL2Q0W4Gna5ckl1I0s+VqbZpTspsZohvug6LvH
aIhtsRdGX6G0Oydo+hYw+aY7HVeD5kNMMGb/VjhkYjfk1cjnrKZwi4u/8sqCUaB6hgQztMklXjdJ
k1A1pxgYj1d19i6KQ8hfcac08z7KSfB2ve2J4RjXAyKAt8/ayt1NEE6WSLImacGLV0kf5A3Qt4pv
UJrvHvLeTRA77kvKGSV/9qE1o65+/aPLrYatA5kblUJr8V6MUaxXXpIqPqjvz1ktis9qln/OhfuP
zODP8X+Gv8t3f++N5zpya+sKGgOoCceEduTils4cq1M0vQz8DHtO5OWVnKwQgupdPTh9s0PHxCvA
aJT5Vrlh5QYzGRFQIp/Tgnp4vVUnVROdyAY6zJmIXFwUlULd0XhJUIQfm9f3syXBl+hM5txomMpv
/PxgKD12IK4bgMfQFbmOlPe0Ad33XUtcMb7p+M9LHy33srnU89ArX27voZV7iPvTRhkUpAat7cUe
ohZZalOTRJck753+F/QUEd2VbLgeXfABHgko96SATZKiyoVFUlPtNK+ttpoGTzXm5QVBKkmPgrgU
F+/FvsLIK0tnxVH8praV8MGrjFA9wQjACaqfDPNSOiUWGbsOj6PsFNkIzn718jAZ96oeZs6p7vMm
OWPkEd5Zo6J094OiTI9jR0NnIx1b2x5YUxNu2lLdZOnoDEKvntIKnJWCLj3i1l2yc7MOjpgT5v/i
rKFACxKdiqUUirzeG1Y+VKqHhL7vxkNnIViYhj+Uvm/MfZDiP7K7vRPWbhNZ/KfjAFoWsu31aHka
IKeVgkeMCpuky6pLa2e60WxcQqMK/4jRdJpOt4dcicRkqYIQjFuMu2QxQeIn5AzQErmYk5af2srB
a3iw9ePrR+GllZxW7kNYidcTszWlVQfDji+aE1SXuLarfZSBJ7s9ygpGBiMGYMYcZAl5WgomDqY2
YjypxZdKT9rgYkB6k44fYDt29TR54UOXqFWz1wPUU/Yd8lpIGFtmq59MnBd+6HWCwv/tn7SyVaVU
GW0JaqdACBYTr2vd7RvbjS85dm53KvHou1TM1dmJC+377aHWviRhH1Ro2ZBjz16vMcYBqBjj+3LR
w3A8jwAS9hqUx40JrbwJ7BLqIIS0UhxhMaFMrVOVwl18ER1YZ8Vh4XZDQze/rOCoVaYuHkItqs7/
Ym4sJAVLDZbpU0/p2RWdzb1R1IJdqocato9IyivJoazdbGMNVw4goqlPGsIUuemdXq9hWM/VaKZI
lZhTQ16CzPG+zuvqsWjUwC8ELii357U6HiJzwCCAqgKiuR4PvYOwoqQYXXLEuE8zUFXfnCvjEE/R
9FUdcdy5Pd7KUwMA2UXlGiQ+GIzFFR8MblvaYZZcuGoa/RSFGERhFzBj5hAjrlzt8rQIxrMXuHH1
SHOh/4ysS/J6KDRUa6nQSS0NOPRSwh7IngM8vw75FW11zKLE2g1JXJxRURp9FYXojfdiZZUZj4tH
wncIaBZ7FitFBe3pILw45tx0x74NjGY3e24XnQiFRwwNFEgqW+J+K0efDjLWzC74ctV15Ul6tmcd
Y0BXNajCy9Q3gEFEVp0m7toTdNktasr6UNSDCQp1qn+LCILAPhmiOmWCBY3RuRnLt7VaaZcKWbHL
7R20OhQ4DQajFgrA4HpW85hoWamT1/YD7No5abP7oA7dOyXvhg3CzdpQpEZgQiSF/cVVk8K1AaTR
e/6A1cI+hIPm03/L7oh2t+Tl1kquZGJPVXtwL/qyBqOYdPfpUXoSKKs/YsRjEnuVw7HXwxLfCuxF
h7wdj3UQx4e6idR9jaTa4fbSyq+0iL+Qg6MKTr9JxhpyPZ5tmLZ1hyZRG9lGrPq/ynLs71B7MA8B
Upr7yYyHD66V/w6Suv96e+CVl4MInwFhwdGUX8JF5sgqEWmlf5n2gfARubDfOeOwpZ+xvsZ0LyV5
1HVhC1/Pb3KjsmyJYXwkOuoQmrxi4vAQC46hnhvNd1Adydd8NPDuyUNgRxdljlL7bKYmDbDbM15d
asrNqkwwdKLu65/iYH9CcAmMtBkrPTx7wominTv1rvDLxGpKNIRd+3fkZOHHAnulaSNQWbuQJNLd
kC1O7KUXQVemZW1E8xsQc9OkD7ETzn/ZXjijJzRhlzYF1bdXT5ckDmVktJMIm5cVoWhwQmCLtIuG
htaFZ//laPHbqLEf6tD+2mjGH2UB4uP2mPJrLnazzKg4uwaNE66m6yVuB6DuTToCDA2N8nsb5NNe
dRHkC7GIuQxz9UtNbfP1NwbIEuJnKW8KWnPxWW0jjwTlBSgEHk431Fb2LapNyNHMzcZZXXlIqa8R
asoQCETXYnZ2Y9moIpv0hmOzj/eK0CmjtHZSjbu6hqm9K21h9Ycy0uo/w2Zug72Hz+zrEWXov5En
APSSh2ox3bLJlD6u2cVapej5zklV+7F1rAC6iy3qcmPTrlzH3E3kh3JMWHyLR6aPlT4c8z7w4zYp
znWnfDeqZDhNWjpsnM6tkRZvjNWOc29i8EWpv8uAjZThl8aKkn1s9PXGEq6cRIe4C0yMRgr04k7K
UZTQk6CDCZKPCmlDpL4hRIhO7lSKvTu25vn2qVidGpAY7j/4dRD5rk9FZRgUbbI68A01RcoNSWO1
O+qtwM9Jm/UtkOPaGaSQwlGgt8CxWISzcaHWaitsblzbasOdGOM8efR4CNKDPk0VdYRE13DVBMC6
1dVdmyiAecAbRMnSwOV6ot7/4uy8duQ2unZ9RQSYwyk7ckYaaazsE8KybOZijlf/PzXfxoaaQzQx
PrENCFY1K67wBmOyxxitk+uC8dZJOiQ8ibJQD0Zp1qe3zynIOY1KLjgpCrm3QylTYvO2wOapy2g5
97QqD60ZqVetd/eKqFtfRWGd3hqRD3Up+ee/PdFdPKjVRPf5mpVj/rHAK5Gzh/3fsFS8aPc/a+ON
koBz5J9owZKjrz4rMjNlGQuLzArHPTXQ61D054Xk/B81j8J/a0SU22M05sY3AoR8D5G29aWSXobc
gy3RTavRPbpQsKA95+oUc/GhK+zpXLktCvSgoL/d/9DNochbZfyBXtpa3hSHszjB89K9lugcnJvU
WI71kGQPaqv/B5Qx/rtEiXIgWdK5XT9Dn8F8Yk16bT13eVfZ0soOmNYhxlrNH7Jmb79sPBO0RcG/
UV6Eh7yG8yCdYIUA7kAZJ7rVgl6yli81OLyGYnsZ/bCF3sYHRy/SfykelA9e2M+/7k+ufIhWzzDX
DEqCkJOZ4nW8Pkddsxgl0Be9spxD03b5cUCw/XR/lI0lpORCp42P5D0yVxeN4aLhp8cAjvvJdc74
yMfg4PXpgkOgvXMsNm5sAPAkIIRtNDLWNOi5wc2vl0tIlUE5jGNaBYqRIoYkrCUYdGG//dljPKrf
FIdhXa0dRRICitAaodBZo+o8l1gTPHQVSJRB9f55+yQSmyF4RbQEEGL1nHdY7tWIbkZBbJlZeXZ6
gaOmlkVue9axMtwDRckTvN4ZMhrX6U/K9HTVHZ1rur/cdcq1BylxJpONPlszxtMporbH1DRNjJTM
cWf1tjYKuQZIf4JRzvtqo9R2U7dIn9C7GMY2YPHCJ3SU7A+QMbudPbn5fSTDNGakmO/a+Kp1JnMe
2wYy8gKkH5vSFkle12oS20+7flE/1C2yYcc0BkVzvb+SL+CA9dxKoQOuGPBMcIFv75kiaRyjQ/33
2vDAzp96T5R/0s9wKt9sMm86UvDHHKfXQ5E/LomSvos6qtoIvWT291ITFhbTC8D6Q+g68XhEw8qm
/WIBgYAeoZjpcxLZnjjg3uIkvhL3zZc6x6/9MLadihhUl+FbKLQ5+YuOa/qVGEAoZ6g42gP+KBgy
j9ihPjZRiNHi/e/eWl3uV1kYINpgC99+NlzhApg8pbIqHqMvYCXFgYqL+7VQsNO+P9RWt4IQihSO
/ikdTW8VYGhWVusW4PGgXNBjvoDtRudpcr3yVxt3+mOGA3V57pc6NI5g2md8h2CM2WdHxOLJNZqh
eq773nnX20ZlnmwrTZ4i1TLjr/d/5saMgD6QxS7o8ERBq40wca0oqK4qiJQUX7LM8C7VbCOVq07G
zp7buOiJK8HR0XHUyEtW4Xk3pLoH453jnHU5guQFOm9llexNu1zC1c6GwfwyAiHXqxJ7iZua1xQm
Ozsxp3d1iQWrbUnxY09j06XCNH9WkJlPk519H4c4QV9G++f+nG68APwESZagNwgoeb3yPZUn4Snc
IdCpr4qZ5bhQJtVyAtahnbVMRG9v0nMn06F3oPrKBsbttm4XOxvzFumGDDAy1vRDfjA9Jbn0Suge
73/b5ioSxnInI+cFaOV2qHqZjNTqDeVq4aZyRYdpvo5eY+3A0rZmUJIVuZ2kKdor2Ut6xoOEbgRj
Hok/cKcen/AVT/7SzTD7XOCMuqchu/VZ7H+J90FvkyLl7WclosbzYwyVaxuZ86HF1fmkd0A870/e
xo2PYoxEVFDlkKL8t6Ng0Vlg0pJQcc2m+DrD/jvgl5SeCLgQ4/Wm/mIY9A3ePqhsl0phYV61Nayi
pmFRmNFIhzCOUMNWlRCz9Va8zxGURNle1H/ofd2d7w+6EVdKugjRFrAogACrbdK0dWJPExoQUZxU
X/E6Nk5RVwMeW4zkOClN8ThBJD7EEw+4Jv4LMh7lPVoWEBFgxa4JD/ii61I0ixNIy+a96Cpx1Lzq
n9ClfCXJkDtT/Hr3cNNLmSdZu2eFV7sn1Tqt0vU2vMaLo392jDmWNMR555S/yrcoBKB/xQjI5NEl
lL/it9xu1uuu7sYB/fiqdZ+boak+gLRtj33eO091YTiQoyrAYoAv3hw+MzSVOUoQBA0AAVYfiOtU
mKL1318nDNxVf7Hj+s82XJbZd4QV7jGKNz5UJlp4VMooTF3DOnDuttUoFQOjCXRFMyDMxSli/G8p
aknfXbXuzXPUGs7oz7Hl7b3cG8NTGCQmog9FrW5dR+qX2BhGur9XoiTjUHbUB/CEtltsx5PhXStA
flV57jzofbGTaG6NjDwtBXYEeNA4Wt0PHi4yA2pcI5dr2KBbUOWPqjBrBOwKMV60JXIfm6buj4Ba
w+D+gX3ZPTfvJmI0uORQcSYwIiVcnVjkk/BB8Kzxmi7O8JA1nZkdZ4Gsnz7Ey2XSWuVdlfbGD2/u
sbyuk/acqkbo13a7wKVHfwVhsPjvPhR7kiSvy/Lyl0kddjY9Iau1CsmjGV97qLC4twwDV0jdl0qO
RGi6RB8GZ6rto1YxmYdFVNns11qV636uj2Lx+bvSdAdv8eoKl5o99Hr4ByQ8aE63h7A0IKzGqT5c
+1Gxv7oCtSBRLc4FbPjyufFi40tv5uOX+4sj/9LV2vBiyL6LS0mD0vHtoLVCdRCUdH8d0x7lXiX0
0mBW5/TzZIrRODVovIqdp+rVlSZt9iSiBHIFscxaVAA3O6Y8qoarJ6oOUH0yn1Qqnqf7H7Y9CsBX
KcqE19jqSsOOXEtKt+Wke7n30/AIfTt9iXYeo9ewCz6GvhElaJ4/+ilyUX+7Oas6gdcIb/pqjo57
6fUyao4itLWPueHwn046dqo/tsJ6WpKy/Ii7YOkeidgMWI64z4/Ht381lSuAr1JdAFje7c+pzdwV
TZIN12Z0rUs7TCX+Ld5eOXxrbj2ppgjkUL7/q53azhVOhugDX0VVKodKpPZhdhtnJ95+tTUp3VBv
xwVSOr1AXrr9ltKBW+1o9SJJ45nuG6KDEdblahn7tlfqChnP9OaSkRyTxpgjeW9IJK2yuK4q46EF
uXnFclz52Jtd+1RU4bizNze/jP1PnUPyftYCAzj5WdaQmAshDCqqpYkLXton9R/0IfWLlsTeHsX6
1e1PYxdtIoBO3HUUqVaPbDQhB42Aw3xdcjM9eeBQ3zmiST9NRlz5kxY5F10r62vUJdFb21JyZJkt
8eAxreuExU7oMNCgV6+KUldnszCSZ3OmQG17Svdm1IEci9cVUDFxNhfM7YYhs3WdrlIWjLdL89SE
3vyua+z409iYxR4L7fXTwWASTczNQh/z1U6ZaDs5nY1ZyZgr9Tdj1ONH4lE3ORdjM3j+YCKQ5Het
1f09Rp755A7e9CFNJ6/deTVenUVqcy/oaX6IFJ9b3XOKkoJjNgfjKpQsPpox/Xmzb/d4GhZTd/NM
yFFgEr/wwFC7WZ0LWU0CH4SWNgao9UGf8/EwGlP1KelNsRMuvD4cNDJIOWmgArOC9HK7iryMxgQb
0qBB3GeXeWndU1cUydGcY+/B6CzvzYdRykTIGjEay1KF4HY8HgV0qfvYvOp23ll+WaboPkZVlJzS
HGdXH8iXupODbs0mTCxCB0J6jUbx7ZBlX+IOUqCeDeAqPoIqGfBnpyVVKoa68yDIX79aOBwQyNwl
xINW6eoSHR1PZIsKdagye+djjWpz0Iem+px7pSj80pm19zDG2gDhyfHHCE9kTyB08wd4EnvPQ8yS
rr7VQogxqWJoUqOeNH+hauzUD7AUAdYaVVGirommtnXJmwJfJyqygQCu9Pf9R/GFUvNqEtg4gAMR
EIWucTvfceH2pdV73nXoVd5Ga0wk9qsjXP2JUcTofSOyo5yR933e/BMpnfVumczkSatCo/q6mAjP
n8yhcsanEW3+6Tx29Zx/VcbBaYKsmx0N84IyKt4XWlx8KisqDH7aNMuTPbS9cpjHJlveDZWmfpoA
dzcnBWfM/rLM4fzLSysUlpOw1Y2zPs71sUcMQBzGmacuKHOsXiX8WKOcRegYP8xj6DeEM981Z5yn
ZwVNrtSvu7hW/bgtBu0okjb/pC0t5sItMp7DUW+98t/W7HM0LqqWcCsthI67iZ10fyllrYf4Y/Q0
8d26jf+wM3ee/MrOONORZyXJoyyH/G3koaL5ap8SyaAGXo8nragsYuDKNZ9Sb06zb5ijGOrOuVyF
wzR96MGBGqVuQumJt+t20aDfgq5IuipY+kw5tv0wB7jc9KexNIsjSoWcz6kzdk7m6jaVg0ooFJB0
XGCAIq+PS1pGuEIMZTBGqnE2wr70vWl8IzL2ZRSgBLKqxumnkHH7aQYSpNS/QhHEWm76WVJVl8rQ
EfdQlGFnFrc+iDqFLfnSEsktr6Lf4tOpiKN+0WaGGibxd62PHYweNAd2YrXNYejcMGMwPdGcuh2m
n1pkNeKiDLK6bZ6jMXMCDLSUncts494kf1QBt7wETusuUaiPbV4lAgmoUFP83nPwH8xC7eS66ZuV
uqikkRMCcQETQIYkP/i3eZv5GKFHELPRrYwvcMrs40I9YWd1Nt46pox3FZQk7oFr0LbR4Fk1UOcl
Lqsd7ggLMYfK6o/A/6sLZhYYa96/CjfWiR0nYQko/lIDXR0qh6tf0NLLA2pI7jsrRMO4M+O9vHpj
FBRQuPApGMs25eq+zZseJ802z2F1ZOIJ+8PmuJTuHs1w44LQ8W2TBHp42jCNb5fIMessq+huBKYm
ej/vM+2EhsNPZ9AWek0z6id+xPO3M4Or90yeXQnEBhUg6+K0AW9H7btOgwjW5MFoJeIzZjDtwxDi
HYoYbVp6fpnVksjaJwCKEX0xPmYuDcz/8hsQGZYnASbUOoNWDHOeTHPKAyR93T8o7E0fsFhy/DoK
04OdLM17RfFq357T4ntuNtWX+5toa+LRxgZpxuQje7W6JKucN2gomzLgvUNqcR6NH6Fj135XDd1B
V3TxHs8lwpk3j4ptvLygabKDWlot9zI2U+vNdRksUJKeo07VL7U9tV9bdXLfp1X2TwKG4vv9MTc2
MhxWQgYHoQmqZquMQitF3i3NIAKvrI0PdanUfqyo+fX+KBtbijK2NLmkDAVgYnVHoxUE6qtWRADI
wP3TrdM0O431mFVXATYxOhZ6JEqshKLU9rPSQ2CjasMmeb7/K1aXq9zYwMBoylEHkjiG1fyOnev1
OAuXgQjD9ntoDn/PYrZ8Jen1z/dH2ppVhuNjsXoEyrA6QrFWLVjl8VjUYdidvTyyzlhpZJf7o2x+
D7APngow9a8g1HGbxI3ZLCJoU5JsOs2NXxqhQ06m7MW4q/T6Zeoko5vjCLPAWFMnWssqU4H7TeA4
k/51NHKIe73C2X2PMKvVBoleDnYQpXGKZCYeVXstprWu2P9+AJZxtJ1ReqLOe3spwWcIWytSRWB1
SVf7rYpf1yMuIsXHfKR+c65AOb9ra6wHjk24uMOjDh1WOeHmOWXncdKm+FA01S4NYGOhKYrJZE4S
n17RcjyMrCKlXRokiW3js2KV44Pm9fpO7LGuwcmvJ8EAkkpOpYKMWT1qVNVHLOiLJogUU/3iKU34
oWpU56I0WnuoMpMSFRZhB8znuzM+Td5Bz6b6s6UU2U4uvrHlUNgAG0aqBQRgDSZPpr7RuzhqArr/
4gnvWvGNIkSNdlo07OzuramVXWBOECwBNt3tiqdVskxaatdBT8fkNAhUBAi63tjg4yaAp0LSRm2T
OdbXvCo4j6FCGpsFqiPQbMy5l/ma0RtaP+HKUqVpRvsx0sPxjUaiLyNz7xKp0GYDLroKKHNBlS6t
YetQDYv+MDp4jrDV+h12zJrD/zIMzzmlMS5fFD9XkUpYiVZ34jYNRDUbE7mFyrs1m1FB+2kC73dS
i3AOqqZcHD92U+9vg2c39MFeqOljGCeyc9Flma82uO/5k220P7QZIsMZ+6T4c9tUmUCgI0v2EOav
lp+FgdaDyaF8nugL3i5/6DWdcLUsDVrb6X0BScwXc70X1b8+WXIY8CVouAA1odh1O0yRRwnhTJgE
0VATzc8FgG/fagqvehqyYgy/6HG3qA/jqLfGeVCHBOBwYQnlRCF6yVwf/YBUD954r/ObCHlk7EHl
hP+8/U1mP4gYQ5UsQBVhekxtkQRTmWPDlxfeTjb46jzLoYj+zRdpfpD8t0MpHi3IwluywECE+rq0
se5PZeZckyX/8vaPerm+KXQDsF3bSEZFWaVD1KUctML2O6PpgjycDCjPuXK6P9Tay+dlzyNYAdqO
WjDY79XRGtApjfANygLed/1XadKFgeFjeF8UiC8zHqd58WfNxPyZpmqWPtiQ4FxfwyvpB1ygJj/U
TW8a9MoypX9vVYP13FE3U05OnjjlYdJd8VMNQ1Pzh3YyvpYuppO+nhcUGcbImPe+ZmuJZOcYGQsq
XNiT3y6RXgM+poGXBs6ILxG4SwoialMfBsr2OwHo1pnjhZV0LKBXoLZvh8JXLxZgPdPATPD6W/o5
eQcEaK+jtDUKjFkclGlIAj5e7TnqMJ2XO04a2KnngtBDBqRMZvt4fxNsjSILgiARCY1gmd1+S4sm
E0okfRJYxWwdgR8YZ9d03+iLIHca9VtYVRKW8rqakgCxj0uM6wK026OPk4sWL+4kxc4lvvEtjCIF
MKj58+/VjM2KPQqjjxhFnZsTLI3sjDq0sRNlbGw0alFSqOgl+ViP0iheOadknAFs3Nk5OdL33g8n
1xU+ynduer6/QHIz/VayfJk6Sl+yG4zZCQIztwuUFTHCa92SBrSb52s/uFRrtRwikYcf6rdJi5EC
VlPjLzVP96JZ+Vevh+bCI2xG+x0qmJyJ30ofOW0/Awn7LIjVobgYU8sVJHnnf3RaKj7FWZroD7XZ
vrFSLb+YEhXBDPVmia1Z3et2aGVCNF4WDKIo5zPBntuAS8x7N7C9LIuwCqub5xYwVX+a58UwzjMF
jj3U+sYyA5cllGaV6QSuQ3lkiEc0Jy2MAEfLmAGhitryEwR9QZVSQ377AwNpFdgi5VtemXV3DC/7
1oktIYISZzrd17Dg/aN26+jXZMz2Xki1sa43g8lz9Nu6ZmZYW1YTkqX0WfGouGl0RB1b9dv0i5Kq
38vQKnc2sTx5q51EdidDR2I4TAtWS9on3Vh7lZkFFjqtg5/l6fi5FWh8YnWbqK7UGCmm9/cPzutc
iH1EBC5F2cDiom90+5lli4jegLV0ULj18oy6coQqzjRf0V7CrdYW43nALPU4pbaGm105HNKobk4A
BZuf7Sz2IPuvcnv5a+i7UKICnYcIxO2vaWPHlhWhNCi9xjg2RlQrMJ802lsTrrfvtXgavwrggP8i
AOz8qlXr1/3p2Fp0XixieLQ10LlY5Ubs3mRqdZfAwkqZcHXoHybPrd71UZweQ/Kmc49h9vz2p5Ly
lMxNyFEA/KyeSktVM2ErZRZg/rw8dyVgp1pV3J/3v21re6EaR64FeI363+qiavQF6+iOQGaJXeUs
8MM9A3SuPzX0tv/I8IM+3h9v626gYC8lajmvyK/crqXdEeW2nsJcGtT4hmUqT1bUY0xhF3uS3JtD
AdyXRplsvbVRhDrZE3L5RRbYjW75Vj39rExtOcx4qOy8a3IDrs8obyb3newew2K5/ai0TRQlBw4f
xH0q3qmOMj6E1DOu96du4zkzXrDxINC44l/p/KhN2zsj+Qru3cvwQYRtNPmTlyz1KUGLu8F3NTL0
oxdOtfMg4jL+9/74LwnR6jNNwl3plill7deQ+cVsHaddCOUz4aI/N6jxHJS4yjrH3Iy7Z46DMmN6
3XvVo6ElTv5N1CXGri41zdFPlBn5ab/znPLLnKQojuIu3rSHxUpNcRK429lnr/K0PQuejbXhR0sN
Rrk8yBberg2AVmHEDceobUlwsjwpHqlz7JyirUFYespXGCsSQK82gCs0RwEWEgUuvqiXMM56v0uM
aKc0snFWZTNAspMJZtjRt5/igGTDN36IAqUs62OXIMzXTdH83lWWHwZN/tPOesuK13q9qYzrkrkE
9lpdVcSobiWgg9DZUMPGCTwMZK5iMswPg41UhOVNy78IPqm2n+B99pQbSG4d0Uu031pTBaOMxCMC
7IQSspN0+9WlLkw3slKIGrM5n0YXExEpmnYMu3beuZy2JhhNKOCdSKlQhVw9ezm2YSPdOZQPJ025
9HYXfqrbQfzp9EjBJZmi7wmybw8Ij5+rl+7+GqcRMltmEeE1OGq9c4xK4ynSTLIvsx0elkWpdr5v
a5uS50GolyQxAv3bqVyKTO0HFXZAqKrtMTGs6FhhULFzT22NAjALNCRPNl3TVcQCOwjZUBeJj9bI
u4OpZMXFKZFnub87Nx5lqdH0/0dZnWtc4vLFnFAbMxSzOlTRqP+0hlp7bIsG/ee5JeCv272wfvPT
qONRVGO1yGRuJ9C2lyke5ImI8qbxM47ohY7CnkndxkVPvMepQ4eJEGAt45Un8ZQjoR4FoWMgj59p
yglqaXIGZaA/FHYTXyI3V49RPic7GPat/fiSOACDInhf+/31aqdDs+Cs9dOcwLOIsguO85rvZXzu
OBTWzsP5Qn1ZXTE0F1DQemkQAzm7ndAqxKFjLIc46Iq6fDbsJTZ9QByxdQQ9JD5pYziU791QtUGJ
8HOvY78M9FPMcX6w50W3zkafuelRIBJr/ZWmhVGArkrj+Wh3xWD46pxF4aFLxWQe+knXACZrRhyd
bC8xMtoIrkERFu6c4osi1ZRDyRejmSuFd865WpRnz0mV5qEOXaPzmylPjWOROk32JRq90jk32lQm
O2d0Y1+/aIpSM5ZOr2solQeulZTVQdLJnJVns9Xcc0aR9DxHWFChEJEDvZn3iHebg9KRJU/mLuL6
vF2Gjl5YnlpuHIyaHp6ycRkOfRNbAYIbznEore7qUcX075/gjfiMaJqSE0VY4HdriVuntetQUVpY
RLyfT1Vmd4TyTv9VGTzj/B+GoniCxiNhACH87fehw2EPrnyfRZK4594Oc79QiujJrYdf/2EkivwS
2Ctht6sNnQqvsIoK1SbXquv+oCW5WflJXRY/Cuzz9kCwGzcFrBZiAhjp9BjW0gVRVTt1mSOfm2g1
WzOLOxyHYuVDMdUDw2qle0Dzh5s47Jv/EB2A7yE35OHakL6YpyiuuiyOg7br+3emq2RnB3dsXMrd
yP7UjkiAnaxiWYqDGbbmn/iX1+/qpSj2Gncbd5YMisiSQByb5Ii3awuLQIzWhEpzm/UwOFPnV2Ho
LSo1mUWuaDv/YdfS46V4zgOAttRqgfNyNPWwlJ7Psv53LKc+gZXWxT870Ll7ankb7w0vAA3ll7Bb
WxfMpnLB+6GslGtSjOMBXljzMGeqGrx9z9L/e7EuAtu8zjTnorZ7K4dkOlVJOxwtMDTXOYNU5A9E
sT/uD7Z11UCSAGMMgZu9I//8twpKPKp2Werw3YYGnrEflSK6NGU3HdpQmwONDPsY9TB5dpZta1gg
xrR7YHRbECRvh61MZwIFApubxMaoHwBWOUEx9PFfTqnVaChUtWcdrLxw1J0nbmsJaYFQvEEPkLR3
9b11pfDU530UpEnKUShMD7C6vTfK1ufhHUQ0RI0CZNfqggvhuJCVkBo0Qulpk9tY1l4aaFxndzC6
x45+BVbBRmxd7q/mxh2OGiegB2CGSLWsV9MbKYPFQmWDWqn2EMdlcsqM0fFDkoedFVz7fMjipmR9
0auj3EddUc70bzsHHa1l9tIhCYYYZ/CLXoRdfSxEHi6HftQb5Ws4WrV9Ngq9SK7CtpT6EIoW3IK+
hAAX1FR1P6kuQM8zsoXlNeuL4UtetKl9Tq3QUndCqa2Z+f3Xyj//7dc2ypzmXVsAQQUBCfB6QJlr
7HQfmMUb7aj/NzHwjmCJS/2adQU0b1M2IN1sKkXL8FmdlvJQCprMhtLWH8q+Mo9t1/U7Ky/vuVXk
RoUQNPJLavhKyA/t7qYuG0IGR3jpczdqs28rWnzosW89uHauHCnNmD9YHvU49F6xkxVu3PqcZq5f
WRU1+A230zuUsd2NaRQHti4McYyanO6ya3WFfokmhPv9WXX6vfxw47mVAmgkNTKeBN9zO2iB2hIw
OdTWPUVPHrW+bM/Ywmf+ouQam4hisIZFGECu+I0UkJclprrAkNzTIO1XAdoUVWmmg5ALlCq0P5SO
WtEajLWDnjbOzsJuzSyHyyZx42biuN1+pDPbIKkK2TVJQ5nk1IZ2KexMv9gVNc5IrZedk7I1q1RX
SQMkOoLE+3bAtC9SA/xWGsTREH0b26wCOVynp8bSZuchaXuv9LkyvTOhvlLsDP7yOet9jJOh9v8E
Tdc3mNVrIf3vmpnt47SHTqlg454LilsPRota+ClKy4HO6BDFR6PruvJED1PV/cZwxQclbscvUaMA
WswivRUfIGI2FtmoFj44FESy5zBMuue6ysW3umkX1a8qt1rOjWuVYudEbDw0VLmozbFPpLimXNff
LpypiWsTbcc4qKt0+oAJoRb5PRY15/s3/tYwiLhRU+MV5TTI1fxtGOg3GUpueRyIQZnfuT3Ye2E6
8c4oG7cnqQ+EQLYgCh1rSqXdWktvj3YRVJY5LEcjqjxke5UKqLdJAfnP+9+0sQNBQfB0wrLi+lwX
1uok15vJq4F+DV5m+ILnxz4aRZ9q5y6KxwdoM5Pip4OSXkodb8/T/eFfGuyrPShhOnyuFG145Z48
4HmDXDxdpdBo3egcthVO5Iyjf0oKc+wPdlyJyOeUdJxCbfTMYwSxNMC1d4AxoVvpcmYWk/w4p3P/
y0DPazmYk97kV6d0+P+nQsFAoffcsL2USzQ9j/Bxxg+mGkfjp862o+xgCiT5D30dRsoDAqU17+XQ
549m1ItnbNaW+u0LjGGFLMoiXgxHaXXoEf4oeqc3imDQ0ryhLxgW1zCa8gZAbGvuxg4yvFvPsFQA
IFEBYkjX/nbXLrnoBrzHmOFk0NwDPIxcO/SF2hS+sPC9p7qnZvTyFuyJfTtyEvUA0LB1fWVotJ7m
gYHO3bgU1RsN6eXFTtDGnQ6vACrouiQnVK1YpgEAtkhd1lyt+rMyza1v5fkbtQNfhpISJMiIg/cG
JHM7B51ZxjFODHmA8KR2hqbT/R0WoTj0+iL+vb+jN44vnQr4YEBTibXXleNItt4rdE4CtSvd85wZ
9rGjmHywM/H5/khbR5dX0QAySLXNW+fbY5j12dIWeUBJ7M+8SNyTh5qfr1KZfja9cTigx5odR61K
f9wfeOMelFpzjIhoGTDy1WyGHVjRwmI2y7KrTsY8O+9nAF5vb24TYBFwAJkBnuOuosi8NXPRNi3b
Awep65Ip1SmesCBSem1P5XojhWAowinKjlKfc3Uik04NC01N+SA3ih/iYhSHxiYdTPpZ481T4kNe
qeWX+7O4sVE8Yik6WnwiMKpVWhZ29G2sAS5FMjctSK02fEw1PKRKJ9lBuKzJpnL7s17ozsu4hrbG
asG6RPcaTdMAnyxxqgbmsuBSOfSu+t3L0qqE/TXN1aE2JqD/S1pO09MAJtb+FEWuHu4khVu5jJSa
oZXD+0aaIBfjt1e0m5tCjUoVdodqJn+HCvVFrG7j9LNm5zngY8cuPsOepjhWp33a/KHMFSyMhoDb
9nvLTD7oHRbDlwFWzCNgNEw2qzGKTD8Ph+KNQmj/mzgHdDAIYdqO66g3ccyhTzPafrgihJdCn2y/
VLPlWlrGcsgL0oswmYYdzvPGuSbclaq05C4klqsL263KUQ2dIQt6Jzd+oJtpfp6jeTmistFdwtxq
Hgt6cbxvqhXc35JbI6NoQSYlN6WzfipirZ4FPpNZoDtzXPpzOauBhlWAd8wR1q6P3Od5TkbVo6g3
xG7f7OyNrSMhq/4UxSVLY91jYEfmA0c0D4rIURwfk1f9exKZtX4ewkbZM4zduMYkD4TskTSem8y+
3Yjk9UVcVrw/wBKdY9u3KCEiK3e8P6db30Q1GyCUpDNxU9+OEhGjUC7sGSXXnGeAJ4Yfq7M4RTyL
p/tDyR+8eulRi0aEgzov0L81Kg+nsKxWOhtGkxVml7YonORgTLHzbcrG2KBn04sv90d8/XGSPE4/
DfARlbq1DxjMYOjqXloEArizOEyxQicBjieNioa4cme0jauDUq8OpIEUDb7bWoVGmJQglZCrwx1c
RJr7MpXSvGKMP0QgqKeLWbRufeggjFXPXjnGkR+GHtD2ubGU+WLzDs9+4vRLeBorr0xPdm2O4lQL
vQv9wjJq880LQk1CisDSwaWRvD7JeouChkBnM7BAZp0Sb7IerKzCqNXVsw+d1y07420sB7wBrnl6
qtD+1gVasH4VlZ4yDcImNQ5EHc0hdVHmF8bgXO+v/AYigvuJtFViQIngX+3rrsZlSevygAmY26NC
cK0f6C2JS9WAVDt4vVpkfpi3dXlZnCYhlI+aDtRGmWcoMoq6yuAeF7H9GKMhlPlFTav7qEfjGB2p
99vjcUhH3uCdny1T+NszImuEqDqjbMlTvwZyTChajk3FU1ioKZjIMeQ2hO2nL/ahCS3zH7JTD85w
4XHpZI6ZfiqyrJjf2SKXMrfkwHslgNeHFg0UDhA4Hap7WJ3e3g9MYY8lFT9o1Mrqs5Yotm+Mnnca
IGR/qfrp2/0J2BgOQAGUGhlV0aZetQwSRR3HfEhyyFPDeInRfX7q0wV8lWdTOTKXdC/De/2mcFrJ
P2hR0o9AXfH2+1KzE4aSWUCRki75Y4yBiGvZHB6hVXmntMINd7Hr5Auq0elO2PP6fgdnzbWO2Jq8
3de3BeSMEtp3NgRVptanxW3zQyN0Z+fNJEWWD/JqT8l2NakcVyBw/9Wc2kUSqkOWe0EbNUZ8tmHW
RE9idqyTp81K7BcjNsuHEbuUH1o3lu0ptqbWOaKJMcx+4SrDL/wzSL5gctvfu8mKPlRhDq7Eqlts
/xqtGOp3yFB17WEU01yCK2jiCGyRHgG4mUPExuqom4aP7ShyICkL9uCHKQtzfFA5hA3C4Y73V6Pm
yneztoqPRdbZEQVDPfzuRlG8+HZOBHUEiqn8u6AsNh/FMpRPWhF1f83zlBfvvGWa/ra0YUhhqliD
OBgZlI0DnxLnPhpzqOQBYmu/Nt6kxv5EAdY6150Vz4fFc+bsI0ph+WdVFNl3J9XL79q0pM0l1vP2
a+xSQT9pybIsft6MY1f4fZhl/yCKEpdBTxVK8V0vj0e/snCX/DSGosOHAY5cZl7G0aZd4yn9XP0V
JQbVyHmurT8UtXR/JqNXW6cEhaDxouOalaGTkXXNu0yhJ/uugMIVHXtryrPHvlBm9REgu2H8HHIP
N0cYP+Py96BWGfpSda4DodcWER4Sb86pOdgKjb6GS+RjLsL6U2EpYTRA3pk89dcy1Z74P47OrDtO
XQvCv4i1mIdXoLs923HiIX5h5cQxYhACBEjw6+/n+3qGpN2Wtvauql1FVvpkgvs2UMC4xHVa16ck
J87AiE/kLmLdTz8Va1wgCBssrW0QfcJhDPEtw/p+6fZj0sWKGjS5smBb21Wfbv2nqPz1HWaaDkWi
9HhZXTwhroANxJajPDVD2S67b3M8BRMyX9gDGInrEmYqkE7VX+kwBmGBRUB75Osg+w+114YlX1kb
6JEpTZ9xFPZ6pGlSvOG9PU6svc397wW30r7wU037vQfMF+juEBOeyHCQU47IwDtyefS8+/08ZF0e
sTn9WdUYjhWeh+SGFYF6r0u0c1lf0ijZVxLJvQco5OU32oZlOIlRd/Np62sz0zWk25rH2Lb3RZrh
7FvM0aG/IGGickNP82PX2dDkzb7Ed86wpsj/EshOqbzOKyBquqKtxngttkw0Pxw9Y/IbYWS85qx7
r7ddm/aKwDs1v9ZT19+2Ec+VM8jxvz2IZXbxu90bS80+WV9keA7/aBYVt7kz+JstOP5dS6InCHU+
H1Hyz9uC6v0gMuxGtbaxJzZ9CCoa3D7oy8U9quBOTJPPwks3hjcCZFzl7mj07drgfZV3SV398A63
ec9WpkB8Ppr6p+qq9pcbTceHcFp9FFEjvL1o/ar+S4iNIGjU3/qm6LBKqHOHTKS9rLpkSK9Gb7Gv
gT8FT9mIHC1vVN292u6IXrI6XE1xTHv8sErUrqVoUvNXhc7u5+umQErnNFWC5aw1YAVcjy3O2Qkp
6qVQ277mmTo2h3++Uq3p+CsM+1X7iPit9vjJmmRqy1WraCqDXTf7X1YJuco6ayJRqiMN+ytnmcI7
CTn3eFQiKyWbyljVkI+65+gfw6PAf3dTpQJLkbnEra6QvTbPThDPpKKtafjo2q79jS991ZZZP/QT
eY5L5eQbManvyZR0X7g80+vV32t1RNHUycIpHEgl3wm9LqK9Wd9E3eu6mGwtj5wYCS7INtsFH+ho
mP7rIvKK8opiJks9ARWeFxHHr7Hbmi8dp/1rMKydPS3xtkRFpmPxFOFgVl/Q2LOctA/TWpein6Nv
KI3+vKTRzzyam7rSuakd/xLqTtbnQEFX5Vut53vb+W5HpZPmpfJ9MK8hVHxtKmmDv43b1OK0z9Ou
z123pyA68Dy/g2NoRZmCkJEjyVb0i3ZEtRayiaM3sLx5ObVOPaucXdHjyxkW9b1VaNMjPzxnfyO/
eJiLrHbk1RwyPxdm6jxMB3Ai7cqYM5PlnjMOT6wctu8oOVDibXrZbJ5l7vJR19VEBs2g3D8xSOxb
j6iDVXbtdx99tMfTqcY4Ls4zs+C7mDT8XUXbNN9SdTbgorytmvHLNMi3yjmKW3naNpskxZS6/aPP
isQPj30RWyxWiKWIWxG8YskH9Og2azq+VIsbL+gCt+HP8a1k4Tp6znw66oF0NT8h8i305OKWmFov
c4Hrt30d2RzSJa+sExGaM5Ao29Ge44uBrY6XH7OPcSUbR7jaxsNxJKfUMQlin8RBMoFgFtvQMBwR
+LpVVF20Gr8XMJOw4UvxLdxCEXWd7xT4Hnry1BrHfwUJUFOOgAyZ5KpU8Klllt2zEcX2Z7Kzd5NP
Uq0DIX/9/iOw23gXdUIneVjPCMt4IrvH3Z/3l1B1x4vqJ85qTTbHV1rRzJ3UQRdN7ej8G9t2uJz2
c51O59Di0J1n47rsqL2w48ydVob9XTBt4XVTQ/DXirJAQJwQXbG32/Siw0B053ZjV2CDUFA3eCsd
E0RTqK8teeJ/SELD6n0b+RNWnMcbyvzq1qdhTszXuB0BdtFeyAL6IDVl0NUqu2fxo6rLfd2Ti+cP
eiqCKoqHAs/N5V80gFfkx+gKcW73JZHcsjr7gnWYSTummjj5oXgtCxKtD0HeZEMmImy3/FqbeDvo
LYQCglZ9SNeIimEpvHqu+9wzQ/YoaoF5hrtHtth7MoLyMJja961fxT81+mYrq0SmO2C2E/+oA1dx
/yMnHOC2+ogGA1dRlFA8rN3E7zkP10E/Hqm/6mKHq3smfGLdz5raf73GtspKKys65JGXyAci3NcU
XXeDuyfrg7y6cVzNb36o/IPllLr7Ne8HUfCDQpeXk/+TPo5Y9GxlYivOpPIXq686Nuj+BYMzPHXO
EMg8wj7aFHWajl1h2myz5d59Vy0Yi/2HrVUTX7V+29zjQ4aVkiZpLSqGaN6eOqIb9suucOo5UyXc
p5QAZ0tT4O0ntcoxe8Bdr/2B1VIrTnM4JbIcoh1N3e58CzN4b3Yq8lH348ltsJXMx9rl2SH4SiQY
o/Ruc+c4NTjhMqt+LAwLILyPmx25olT7f8OxtE+H3rE/80JBeCY2WYd/dSyD/cy8tb7oeIgy7sti
f6l4V7diD5Zfrit5BjHYb00+THqqcuVTYQuCHKTJZejy+Dtdh11GmqBwiGcT/+7TlhvmHnNwU7Uy
XfgJADzzaqYoF15vxiEPHbGpvPZVfM9A19g8wUB2LMM2WN3T0SnfB6aYqItzYKOoRBKNdKnH68Dn
imTpI8IjIjGSSlRd7pi9Gjh+wrnT+DjJfEQTzb9stuxR9SB4vDOJdPLKZMZctgV2Eqaup/FqyQj4
N/rR2uAWQBOLlFWS1dhrn7NS7Wv3SRCorbCDFd5PKcf6xYnW7D3BegFhUE9NX1sbuRcjRDWf52OR
WNQgzZoBpkdHFbO2scOBHxyYk3hQ71vmbmPRwwlcEcAphqveNsEvOa99wPzhNUE+zj7iyWydveHs
Tk6IzjRCDVJi/7/wVpihegzTI7G5COGkmXUjzB2ZsPo5H3dfmLOAoVkwmXOm7243cdcc99fuv9Uf
jvlqCIXzLKWLWY1Gov/ifUtRimjGHS9vY1StOToM/2og8h6uDo9REpysWX9mzTi5RUcC94d2vfpO
JFw7ouSDfrrCwt5rC9Y8eEkchp2O9lCGD3NYDW3epcK7MbvjmYtEZKfzPjXrL+wyIj61G/XkJe2x
+9GNbXtj4sp0xZBgz1ks02jfJiR6Sy48HRsSUQNrC7HO25LjHFWN5BObTpy8lUa8yAYmm5Kj6g0F
DNL8V3ThhmtN1iRtzivjuPeeg+TkluEg6XO/9Wl2g82Xz1PTKJ1jAeP/xQUgogXJBsyik2mUJ9MO
HLKQhBSTu9kwPdVoJ1WOG0L1X7B6y+sxytmWluZj4Hv6ngRmvNTmctu7b4OO1HZzXkFQovOZpuan
bo/sEVkD7/8R77M56yOVYd5OWf13mYLqDxSnJ4sondytiKtw5K/FOPdBQR99zmFEhy3c+FniBjnn
gzN3D/XojqTVD5H9g8MdXuiZZ/20CNWoTbln6/Afu+Hz27fTlHM29CPvzuGtX8zI36iPBcmlSMt9
yTu6lz+y3/jxfL1vbdEjT36oWGM3Z9/pm7+MaParH3uhwf57jmgox7ljmtgmk7cipAhXNuIDG+Ph
c9YzY0jt/66qYLlHOxGFRTeM/V9CgOa/YZ3xavQhRl/5JPTRlEvrhO/hymxWIJk37wy0FDIKFiLR
lPJ819UybIrdazZR0uaN39+PhANfjn7/iGw8jTm5OcyWkX8EH+zb0fk4zbbYsosy6Ns929R7UzXm
M1olopFWMjrlyGCcRzr2iPF1nfrqsk3SM/m6LpZfcx9NzYlYao1wFW3nwqto99+ywYwsX5LZdQoe
+PamIvuEajN3+3+OqZtb5Vvd/hg8REfKkfGrYHm9O49mz1gJUWMW3GJA3oxlqmV9SStEhiV954hU
xtu38SI3nBdyO+9BTZ9dqQGBi78yOcvQ51pL2xduFX8DxbLmGSeIZf5HPkja5WY/GmbAepn60/ej
/XE4oV3yGBFSV1Kjqwc7Bc1XHC9hW0ba6Z83322G8vtQ3yqSU2ba/tidCrY7/LsAHTlom17Q6Rm6
x5/pHkMlaGOsWyA+cXj+nG797KoDLWTmHER5M+Taq6HNJi+ntZpf6nRPbZG0mEvkzjw7f3oejf8q
G6uPLqiPLDd9tlL7IxUxEcd0XV5ovZTyNzpZ0fajftv7JGry2bFzcubd33+2rmr+IMiZfuDDIz/m
+PCSi928aSlg1xiUdLyPvBhyWFUhDplQ/iXi31wy4TAcdyL8s67z8hA0/L15Q9rFpx072TN1H6bC
26ANeGp4q6PCnax56vl3z33jZM4llt7+u5Iye662pc3KykHixU2YZl7mEOA+R5RFxyWQMFxvbXWI
wunXAOFZekR+aczQvHT0vpdMptmHOeKQOp4NbUS9wyYe7U2V/cO4b+pymsF5PmVzFfZnvBrStghS
QUHdKyPf6Bq9O4Nj+JqHY+QxgCWe1mflTukfW7X7R2j85Sbyvr3KSMDcPynXnJV0ifgLM7kOVEm0
iXXuAQF8LnuUPq7JMR1FELfNf/RHWZjvqTPcsK+yJKAUK0ID8ICpuhbjAY6kJ/cwlzYzLVC92/J6
xMecZAy0gby0TOb2asb00mFRP3K8k9C9vkchs+9Fs6SN4mGagKBIHuW3jyf/3OfaH3qes2A36a0z
GvdlFfP6yOYszdARSnFH08y4tgsCPVBE6E3m++YD2DWHE9AXoinsczHif3+SkV//cEnKuBp8Xz2b
Q2uH+AYiVfLKS60qTSWSMcchyQyYVqRpUwixcztW1lmAyzZ/P6Wh6P87Ni/7cJ1lbslPyzy41+nI
1nxLd5901xRsvFjXMfgVuJv6aJfMkuA4p8bkwurRvWZuXA0dq5mbgpQy1ysE6HKdR6kdf9bhyLwR
b5N4cJ2MaZmOTjhnliVhOdjNjJ5bEXtD2ftE/HCsJsw9Qy/Gf6ZNrPqM+23Reb0lB299lurXrrXV
s7FBReATxMU/zU/z0GU+i42J16c/bLNYPqNsvze0/eSjQvwl865lKMt1BbKdh3NW/1mw9asLqaaR
F6YW6XQaRyf45wcmFSXG2YpnZdmCI4/GgFVVlfnZQxVI3tQJgEafvX1M+5vlmLZHp2+lQHm4ZE9j
PK8UaMc9ADaSOVhKB7R1OB2RcjgM5Hx6uSsP/0atKg75wFX8jrUOSzZQjfKHE3rinkAMeN10tuot
2VcdFm7c2F+m9Wu+r3qPb5xZOckNq4mpB6G01hYH4zqJb8jCtl8jHl3ELqDU+xrDHVimDl0MnGWU
UTjnpV8/hy3tGN8qqe/pzPb1Ir+XHPOsAeMp7DDax5k29mPI4hXbIHj3l4ycNsFArluFL+CafoxD
1v/ayDbgqbD43qK4TJnFukNtTxlMlmDSVr53CuUhYxbbEvcnRKAzXw94dk15VvnxQx9VwU3CxfXz
dKvXD1tH8j86OP8rkDuEgCCOlVS4McCjZ6wSSJplObz5Ug2Ne8sy6zgj4a6ULVNTj3+aYN1TqLOs
1hhLZLE+LUc9v25gbT7Ne92NJ3oBoEXotkbnQorpq3fJ04L6qeTfba4pnz2YbVqaVDncvMPKJ915
4gthDjO2P63br8PT9nEPhfnN+QieWUMO/yOn1u9yq9GhYpFYTR8SD4v7ula1fzm6rf6z0zGmxdzu
YEJZwjCWH52v3mqzDb+PznPft8Ebf85YN707Us/xxaBUfMTDIPnTNHU1nka9d205gcAN5eHAKyJB
c32SMbX/70Bv/lvjT/TeD1baAhcjBlc6Vf9T7uD8Je5WMWdu5ZKsadDhNet63a84rHCc7fwKLUnI
++/mGb7bWb7LPpuLyLXWXrIZhIW2RS2vENb+jzbJ1M81EurWm5qku1qk64qyw68kLAyPic0XEbik
kPjeofPdhPWvypn2OreJ376ZTDiUTWvc4KTUHP0bnGQHToX3eT+aFedF0TdjCLTdueMJ4sfcjLGx
CQKHZHn1al9MFLU6SC4D/uBpzrlEXM1Ph/3Cvrp3FCLKW1OpCsZ19LYvRItUFXcXGBrDMCnnzPf1
TfJxzH/tY2KZFxamnOtgtCZCXAB/mI9ZZ9Oc1mP7mFhSGHKye1KwuJZeNu9hBYZ8GpuQYJGFCpNL
pN4NlMnKwQpqv/+nARjAsz0X2eesg+EcIiP0inBZA8ZnMbfACQjY6nxyekbiY8TpJY+GEU9kFi/4
rvqq75/WbiL5VxgZK95clWVF3U7zjfGxnOMjtltbSnKg7/tJZnFBPJH7Wtk5/tLQFz+HeqPHWDrO
54of8QxOGKmQ8qSdrAx65K/+YjBKtU3SvGxrsAUvBKmEzxMKsnE4pyNk9xtctf63Tr5DjdfpSsLl
RfPWRRcc8Mf7zodNLYJJzndeg3bjih2sTZ72TVUfK7Xjms7QynM7JlFf9PGiPsOmao+Tqvp0xscz
Bnom2C5jdFbb+jJpI0BZqdnisiXLep8tC0vphGlvX2Iy3xMbA+KPaO/Gp73xkgH3hTkwNP+tvDej
5z91m3Wb08QmWJOnSu9frYyDWyWS/VcEufomOaURjreTedptMP9R7RS/DhDsIGhNzLg5BO360iPs
VncJuTUzE1FvGCsnn+Z5k14LJLRtEbMEhbSZHkbQ1dm76lUabB0gTLRHAdC+u6uFQHl06zIGLJh1
fYIVGBK6nHanc3eRIHcnMXsVM5cXNDcjaX/844GIsNxJreeWM/X1pXW64CkFOaXdQHXzz7i+/7Z2
2nmf+SxePrhZtcMLaY/VUKb1z2QJWL31GZFhupVpbxYwrbEUevzGAakyDxiM9ooVNN9Mp7bi48Bq
2PiGJYwhPLsiyLzP3mOJMg/beV3OaVxtdDIZDSUuYUz0FAfUZ0uy5lXcVA+RDV1bbLvMfg5mstOV
j2Xrftkkbp/f4II7XvmGIe4U+dJupz4Y6rfBQRMLfDED6fSHEXHhYv/ZlmIXx3LrxnVbnWxwJFk5
DHG65I3GpLxU30b+tCXL8MxuyN7mMx6EiL4TwxfRZbP5CRChdNFmvZt+CrePYAVTMbs3evWOKE94
PUWhx4D2bEmrvuMy0aZfIIaOK1+vDA5TPE6ynKScdvBTlkROgTe4DIANOg6gpR1hxxn/cus9sYax
odjkjXvz9ypN8dGJvmXIYxhI90SMiH3dknXJSCpMFvbIY6isnOwZczzy65v8Yolh3MplS8dbHm35
vs0muMrafvrb8YKJq013Q3dOzS7bczxN2aPctOxKLgsQQusn3xtSbdxlJ+Wxlpo3a0SD2ACwj+fv
59G7rk2jkvuWQeFv1YcYA0xb8FstYldl23vDkFsca1SR9WzFYAJ4eF/RENLZ5MBhS3zxktFfnvao
WY93QA+r7w8g8PgU0sYI9BOm/scKY71fPKg7eSsJ+WEkWEUiXxVLUf7Zm3AxKAEFw+k6qMO2Pm/J
LNRDuI+VzWtzJMO1AU6fmURDApe5FzTBoNHNfiODUHvvlC0mmmxk36HJGzOvcd43vMEP1u2b6MnJ
MGMJcifb7XJiS7X/RVdVxdc+MH79GE8bg12XRrtfSlcdn6oBCvyzfm+JXhYO2sKVdyHuRON6p4CS
156aGrFusS0kT1N1B+mdEX+szKacH6hUz2As12Ahu/Bfqiq8wSErXm7RJ/vqhaSM1P5te2fV3GCK
T94xPvJ96Ubbhz5MV0qbctsZz9Y+CO4Ta+PmhmlXdoXLw0gnZoxA6l7x4sd/VRyN2QUoX9ZFn2r4
ERHV2XaCm8hexZ45yP6mw/8b7KG2z30V6/WkTNdlsKrDou9NuLFOLbJwci+98H3vHk92x7s4bQOp
58yU3jN1bvqygTO75PtWGFYscKHn/vDM51i34CBdtVtD85J5Xxt/+HYHBDd15wAQc3nB+2zo844s
AHsnonYLipE1CJpbXImCgh962t6xLFrvPBwq5k8ektQUME2D9+RUUxoUIh0z5ymkYRvPwXqs20NW
mRRKkvtufnhqnc092HQSvns4kSQnbXUIs6J239y0e2qWe868txRMlSNeoQsXoAxVmvj5tunI/evB
a89l2gDFXwem78drYFw8HdDW82gsUepr6hSPw9UcLaMoo7gx+uKvyIZyEmt2/1cPHKRz2RkXMMcF
Oi+mXdnhfkg0tb9nbtWlmQd06Bb/HJn3OAD3OcII99b1thaQqQnmvfDHMFsYhTBpvckA2j6PcYdT
ZjlRLycG1So411OFGyErBGa7G7KJcwOlfdhyodVRP1t8AXzepgZrHrva1SkVaQYdH3Ot2uyEBiC2
RaWW7cPvji0sWK4Jj5wDtsRXdZ+0y1l3R8zUkJEzfvKHbViKOSSattRk8O2nCscRvxRLOO1vXSp9
F3IyXONfkR695CaDS2UoxFuxCJyBD07S3PIyT7byi5GIBFVsXsAH0IQoH2XTbxvRtsu+LPbm2895
L+0RNu2JfR2fHys+2NQRzmzUQ2aG6Jk/nAdR8cO96sVorzyWNcNUBB7/k8lJE27v1/vVzGV/jRt8
onOiLVL3zhXWNecxM3QSkaG/hKFzaOtEXMvxpq0X3sFOOEdcovg4YLvRNY97AWw6BTek9IQ/Q8ZZ
VHbtgsleDjjZDYwJ1Xq8Ii+dZI52KK2gEwbjP6psraqzi+R1fIF40PxitlbWtwAXsP66WRYwZfis
+NRb4XGHe62hruve216B3UV9PmyFcSh2afFUjinLyTciShf7MKyJcx8hp0ivgQ/iMXdGt/FuI7CO
F16jaisXcAXqOxjST59vASQu7EIigJIBis7t1nQtal9P5mZJ6ljmbcPYeDMeEYbExO95z0CwzBL+
nrHAomOHtUt+B+2HCD11lMocTVXI+BiJMp9U2JTtgFDn9yglLW4AD9XmSQC5fTWrRruPWcda5llu
MnXvXRK7KNUb2ADkJYQI7Q3S/yA6YZja4pkJzdWfUjuwqLbOmm0h0faguR5yXuchqJCX/4i+DVDe
ukUIAeu7QcuexrZiwA1RU0c/x7hxt3LdcDf+bJcqnWAFKJg9jThADSisywnHXayaLuEMNvlw+F7b
lA7K1uC0RCZbroY61Os5Q64sfq6znekbkGQNZ+uQsjH2266ujNHLL4l88Xae23Qu/WY5oA8RdJSB
8KLhLglaNV7znMnqKrYNWEizaBjBuQk2clOCRr4DbFVx0UxpJfK0itYveSxxg+VAv4bXYz3jCLWx
6vE5jp5+NLBc73jC2P8DJC6I/7LswRlM2PGv68b3hp98bQuUlg6TqfTH1qny6KD3tTgww24hIwjO
w4DV2i+8M5ChJ8Ts/WtXbY+bgepnTo5pUuQe1DqMz0f4GcM9858RWijlFrID5/6netO3F8xAOlnM
ENZJ6Q9JvJ2nED6eTTXrrJPKE8KYCdh23W0b72tnGza8ksFi7hC1Nts5btX0wRmll8MGxbLdgaMo
eS5eTdS59g8fBmQ75jcGBrk9zlEm7lhRnuuLmPctOCtwYICArYOa1dnhDShphqAqR7/r4nzGvh0B
TzyD++nJDZM8YsVN5tYJzH0DLZ9dGkP9KDwNK1hE0vr7lT/NDGyro5v1PHTTeFnQU9VF0LNlcOfD
i8myWlk/vkrx5UJguw/dXrJHvY6F8nfvKJc6UmsBjcCjzEveBFDX4XfkTZTU95a4KJzHB5MC3mWd
eFiQaiIWEmvED9Z4xyluvCW47Nkw/26HuX7YWIFG7tLwuT0smOX5YFR6FWKKH3Y+91BkFUE+wJaN
ejO29//grdA9h1E/ftSVJxFXbEd4PH2La9J7L9jAVZEnadyCwLXHAvxJHbnBuPYj6PykO889YUC9
i6bwclhn+Oc13OVzb6tlOJOiF0UX7t+SnnyRbP0ZDwgEUIva9/HiO3FnLzFqAV3opk6iMzs+uvq1
rQzC5RyG38V/WNw3/jBvvltoRr0/JKhm0UUpx/NLJcwhzmMa6+y8twRWPK/V1ryEbchtbdRc/e5I
ZQKdsGHwAZWDRqudO/Nz2QEDT7Y20cdcsxSSTwxv8MA0JNxyatGrBk8TRSXm6Qs/KFeWDbzPA2hf
h2QmXpInXAZmhAtptLVnmHO7gwyIys3dQDVoidTqDpgj1jGot3SHF6Fs9tLu8fiFEDjs78PdbRAk
SxYY/E31skiUAD+LXMLP2MHjk/1cokmJK2RZJPXZDVT615p8ExJ00euP2Ez7fx46G4m5Zso8mpJD
9An51jZ3RPzxuFdxrMPbYF+0fjdoIZNz1fk6vMyCknKzD2pqLt0gidqddLChh/GNZJG1YmhpgYvs
9doky0+sgDmbjhOPH5L1tP8MauofToZzdDHUONWACJONfNVaTAfKODGjeQnqYUM7FazNfiV2Mp0u
zjbZ580a2B6AfJxlFtj3rPTTHV6odnp24lPRbHs5joyuCDXMrq8QKa2m5H91n/CsBwlTrCRiaMos
K84opeU/taUW4mlPIJonpA7T7eH7iypigtue5bocn1W12ekaUR9fBI3DmGuiIOQ57fah1TnQ2C5f
YbFRR+i0m7nEqYKrzlnvUDgxj74WpxVotb3vVNu8CtP1XTkpjFhOQzKl6r3vA/HOksGAbm2OsxZ9
oFy9Yq+8ilqOhcVy5XpLaDBvku5/S2XQ56C1jw6UU2b7Ty/OgT3D1KwLphQtOQNJFJGglRrCV8rE
76JHNxGz+eyJVA3zNYCFK4yrWUnuB0eoYgJ9ac4i/JZwZ9i+YAwYjOOr8THZPs9mJqiWutQFpy7o
dzRFh5v1hY49jrae5EI6bxWPy10/eGuMgNNHJjBYVXucdp+QVjdz4htvqJW9p359t524feKRkUSo
Pmr21EFIa7dCVgSLMlwPpKFN5TakNeDo4s+inDw/lvgW6e8I2jEF4ttVNqEEBg5CT4ibdZSvI/tf
cPMQuKXdBEQPakkXGQMFmHDK2h5+eax9Ml810ON/Dt0AgCWgvxudWd3RQTRi+rVtTbZdW2G9f7EW
cXWaQbB/tIdGJsQbKK5hU5P4m2CU6wn5eswyiBVhCSMY/ZoQxMQnlhGqfzgcoq5h/d57OmJftpe1
qeLkWpDLiYo30IHPCzBOzLTR4aICYiIX55pGML1E/E6/3GRieatul6S59EiN+z96xn8/p5eAVWbr
YvCvAPbrG7bonfU69KOs+1ayHGMRS8uE7gMiTs8qBg/P/SEFptNt6tlbqmNriigb01P6veiVL3AC
3lWEHa28MOoI1vTqTvQ3aI87i6wy0iyxJ2BlZ07z0N17SEQl9wyc4sRyf3UzzPt8L5a4oluMV/cn
9Nf2zPJG9jGjoZi/iTyhXBBmV4S5PYz71cyZ0+UL1KQooXK84NxlFnoCHL1H02WBstepmZ8TE7qm
JP/Esov5P87OpDlOZVvb/+UbXyIgE0iYVhXVqZdlW/aEsOVt+p6k+/X3wZPPLiuk8D2DPdnnHFSQ
zVrvehtd1t6mh/o2Qj3uRhGAm2eM7axEwAAHZU+uMoK82H2t1UeM4kGmnlUpK+M6kbVOdn7DIHdr
mxm2fyIWxvIA6wLsrG9C392Nuenc5LC44se54i9OSYIuOr2FV5Lc5P1klXdyGVvGdN0c+wdpJMka
TdBZjyYCSly/jERMD41fRePGNev+v6nq0/FqAsWt7qg15tX/wAspdEuzMg8MT6k2bLdvxD3YUgUS
ACOBAC0xNddVN2b2RoaY4D4tILjUSVkEuhtSKBifraYxhuuZOLoStpdvOLcAWPmwx+rfsT8aVb7I
HcSsCfDXTaS39h0jEgxoR/Guo2JNNtmY9gavqfbvU1ouAGhGm+YRSrL/RcLfTve9tlk3vp9PkBGl
nF/04M/cdFnD8DiCC8OiCvvop4E4ZXiMpMG0zQuzQt7bsTfDAwXuGe8XqYevUGKzFlIq3LtNMyxu
cbB76EykxPtGt5PL3HXbalLD/aJTMVChhtWXnjonQkZSGV8It6UKzB2Bl4Mvi2F8IvDC719cYF3I
4PbYo2+plnr6sODWZd73QD6QHoS27eaYjAPXUASn7UGo2bZBMhz/c2nl5rfGb9UnCdder51b86WI
8tT/IMIU+jeiltS/Hs06yu+nRa6Yk5d4zUFEEq03qA7ct1owrn1YErCh67ZtGv/aqhUTArsfsg8O
+lD31ui1SA8UOKEIRMYohMwZfzBAqoywpVd1o2S6Th0QpWDU7vDic6EO2y6ua07hrjJLwksbmvfQ
sjrQe9zz7lJYhcXGTWoNgaKkt72fgYCqHbZgZbihnij6vV0v+bCB2Nri7Em4GOj7tDof0FAN1Cb1
QlZv23uQ73p7CfutaucKMKsSWm4j3juGV7oZK2oI16u36NXatUJF0bmrCFfsgOZhQZ5DtqC/nRNQ
yG3WFF5FlVI35RZzZ/5Cz6/N9ucypVLEK8NZzwEqJkdsLYDtL0k25uMGBa0UgVaxsm86fJuind1h
SX2DBwYk6NoXdfeUg7Iu+5nkk3U1+sBqaCvSfLu4XZnvbcgmM2RK2pYU1w9YTRIwgHPfdZ6tGqho
SyFrFYfM6Or2ahyy5Mlq66LbDl06Gzs9wbNlpiphHdsg0HcL8RjGnvi5QgZlHUX1ebSaNL6yvXqg
HpUDLEteDVVmmYzzbYnFAcZgTV5Nh25Kq5Rusis7Kmt/PqPoSPNnpMrqiBWhfmzI9k0B5Ov62+io
/CfTRO+JzBtAbS1CCPSLWG5QIWZ3OZLl+7GsyKacmDXA0dSzeMwpd5laM7B+tAcuIaaS2CVRAY1t
vw1zAYHZ1N2wH8tO+tcAjZbaaS/uvrIbmmlX0NQz3LZGsiIqas0vhTcMyB3mFkLbHDnez2jyRRSk
SZdNW6htXX3040b+LAwIqoGbQ4ugQyQ9DRfeJq1dJsrZ9F1D4v88ddwR61Ta7fb20mTmnTVzzm8Z
RIj2JBMdLofMjuQXeE7IGMRceE8Wab3tXQ3NrgeEUtYIcuKF1Z32Zg7pzhtwvBsmz/kWJ1mqDoAX
zLuqqEvOUs0+sgSsvPMjl3oPeVRFZqAc1RYBrFTob13eWldLvTBjSPEujc8FzpgPVd9Vx7CsoCSJ
JuRHzckY9kFYmfbZUwWnrGyr7stQGMLcqzjlfKch55Dlj6QHypLcbb5ZXCgfp9jt2m2MlY4MTCeW
3rFIKOMD9Ex2DdekdPCRCqNKoVyp4Yal7li8TLmnP8+z0eizocyRqNJosB9ry6lnexMWWvyIlGI+
ZpcCMH/EfOzLsAhwvAZHaGO/cHzhiUuyFapaLMb2i3ZossBgp7jYW8ZkJUgRRn0fG0b5A5cO2t3Z
NNuvVZKn1R7KFbzjdBiA6Ctywh1q8dL8TBRWFz+hpxk/0o0gkJu82d/NC7cn7AdpopJpuY1nyvLv
RNeNE8JEzXFGtDM0K1N60JgL+sjbFO7kR2woGZvZTdy8oCXI+o2XYeCsZEX+sxdqsJpuyZIrkA1W
EYaaU7f1iMb6SuR1+mlOvERtOgYf8aadoWtskiJZho2dxwl8qnUIeO0R6TMFVtjBsVC9BeN7YBDZ
bEdpCACSbsYvrMcI48leioj5A3yHF6VRK5/UMC75KTMXt90rAeF7G5qTbA6SYi1c5/N+sh0YSASN
EVOD4c5fvSRsx/jcl8jPAAmFyHfGKDlmtVHZoFH8oPS6KBhNwMhv4IjADIQIXwo9LEHeeUYX1H40
3eK1NLrfF94k3ijUjeZVrewCtVOqxbCPE1/LwB3lnB1zNdkN78vhpMiXvEe5M8RTsqOFwZt/M1FO
shxMZhqA7XX1FbcuxFt8CpnsmHGuxKHa9L+bNQyqDQzwPLldzC5vAsP14GhRl9g2L9cuOaHLZgj1
vkX00h09A/CckewC+7XtLdZcB4e126H3rHyYMzNU3aSWgFx+hH9NgFu4gKIS97cZndqNUn0X7VTc
R+ralbP1XU5YozIhHUb7AG40zYcu8cf6W9apTmyTAa77eWV91TsLCmV9AMHzhp1rRKi1KDA879hZ
Y5reLI1VvdAIz4+callyQBGT3Bidq0njnKLEuYLs7T9haJW8qLGH2d8xoB5vKFOTmLYdN/BNoQau
ZnhRZRJMMcTRLXIBBEUMYCPQo4pmcI+7Ghm2TSK5mqHSOcthTIfevkcaZSX7UPTpNf6uSx90lLrZ
bUeHsS+1xKPLN5qW05Iwu59EA9npGerg8OzbYXIrBkZ7u65w9AsMX/9rrGAlXBs6HYdzMcFw/pYX
fdHBHfAaF+GmDy9ZCSQgO1rCweeKyid1Imir/I9jz/o4WbgFM6wrQ3vLNb9kG+4+jfkozVKHi69V
2gdj1LaxQ2dQPgJGJz8rYzBeaih45Yb+Be5WG+vim1GU1IbYBjTLkXmPmwROnGcUTukUB6RjruMq
TyaQi6hjr1sQg3LXmFBsN54tMzvILGU4IPCL+l5OMYM3a0DlQ93SZMtuKlGIBrlK4AIOmLXJo2vA
/jikehFflIYNtbMgVecH01Xhd5d45cdWhxo1M7O0OxQf0KT0BKVlNbCBh9MX5dyfHHDsfebOUwNb
gfVTIGYr289xOhjiCAURn8JWOuN0aIAzGw6CwvuGCFg+QI0Q3znPB3flQWXRHvywiT9YsalrePnc
zv1DnI0V0xgYomGQFtM8cvE4SXa0RCSosN2ZtpLmvqx2BlD3c9XEtj7ImSaLeVRUFTexIEcCXV5Y
6XszdupuNzTzcJ0NWQlXFGIjTZNkineDaKIyobQmC4P7QtYEKdt9oqejYYFYbwBNraOoc9eEozWh
zEFw0aU7PHzKKyctG/uODI243bvGCrN0g5/c8weVX+EI8342CzMuKrXZisEJSMutP8hwYoCBz3EP
RRdffBQtYzV351RVfhFgo6a+Zmjl4NHjf+wdONfM4WjEkE8hNvgdJyL49xPk8pnK2WlEdBO1uuxv
R39ZNBiFYhWiN41ohFqCtw+dRh5/KNowVI/8USWQLLKbcDuGpvwYVgxlt7WV0OiqOPZDiHQlB7Af
Q/ebTY1ufGD0fx0Kw1H7EsHCVZax6B+USXDSkQ4dcj3dFQQ4t7GM8DnPJg3QWVbjTwcSwXKi4Wqn
g8GIVp6hulNiumUm99DUcxZSmmQ3urJGmKXw25/sdUNsl5Kz6IGy03+Brpih+VWRbrbIsQS9al9F
8ZPbxNE3OEJq3te4fjr0EGT9obayldg3xa+GEz89yb4DRn8RY92OG7iw6c2wAFueSY4ohu1UZN3P
ScQA15kCluRMX/kMRlPytRNK9mVvOrpezhVbOSIFIUnuk6hIUVcotvInbuQSHj9T/egmhunsnSGF
J3KnM6SkEB0Zwe7CuW+uilym4RaEzvvc4JaTHdD9UcPoAmeak2qtLD5bIqnGLaB9jriGcREemxF4
3yYKmVlv29zu6s9jlbHLhEixvsSLlCwFpzT7PgDG9vI7SLZkBLjTjLJkFnV0RwpfxU075FMArm+H
QZGOYNe1Ib2PZQQ3iV9KXPoNmwx6xNrGfTAj29LHfPGoVkLlcUS4DiIjF6Gut+usjuvel3XlXutJ
IRlQAAAcu9aobsbMXZ6T1oHr1oG2+9tChkzQ/MykmxHpMN8XPIe3gsogYQPX9CAgzGWyNRn9O4Ek
yWMMCommLygt2zApLHXFudPCksJWQdjZASpN5u1F4hX2YTIYfGKjVbYH00ugxjbdLJOj7YaJvR+S
WK7cLye96/sxrOCnZW59txRtUj6wfyv3FFrGOJ0QQQAH57a+ixUq2G1VxwNkT14iVTiOU8KsLX2D
kc/knf26LW8jIunDkz/jFAJ1JVvoHpLZg7kSpj8XVKrtiVEljRNglJ+Y94XhePUGK7TMZrWlS74r
+tipdi0j0e9dwRg+UJ1RtdtGgR5RVi3RQwenf/rW9JL0jIQqLQtCiB3uoR4YYB3roVVUi5hY/pRc
jugzFMFPO9MVaXkYtD2M971VZS7CvHz+pEaSEHiEW3iIDWR75VVTZB7MHs7qRi8Rcwc8GzjYywit
IQhUw81TZNBYNlPmWvyhYcpAA1guh2psGu4PP1ZRy5BwipOt186NFRT4Xp8mn+NzC1MSM1SHCrnl
/pra7mM3RIu7GTvSoioKJRt5VaTnj10Weg8RsxuLcgE6/s60e3KZLUhFcJWrGMlyid0ziozc6caN
E6rmGzMORvB+6Uu6VzuGJsjLSUArqAWzI0RwKwuEVAsgjavthMEWguAAy5tI7a0WcP80Q4MBriqh
jlJ2ZWYHDAg1bteoMTG2adZxt4X4Q9qnaYEMfnSmwvvBTAEhlREiBAjk1EwyWKpi/sguZkKIkHLe
eNZcWQdZ4liLGcJgPzVwB6vryh/n/hw1zvCJDb4m/g06Cgq/qn7IXs4/odomqL8aY4bP5VEwA20L
hNKIRfdcs0USmH7VM71GEOcfjKlb2u0UheEStMTrPlQs9/sKftNPBuL+Dv7eqiMCbm6fl3lYUv44
l/p3pMVAFjJEzR3Tp4aScIKvcqJaHz1q8bb1NlW4cOpJH3uGLbKZsgqIHnHgrqxNzm6K8Y7fUMjO
nwff6T/Ixuq+TIWajznWQsm56XJxpYiJXwWoI8KZnDQWOLiK3ATQrDC9buCvPYu49UrKycqqoVBz
cLPkVTMFWE+FYJlktqijNxpetptljKzHH23vEHsQFw41JD3sGIzGg13gReU98WvNF0xx48dkzowv
li4Z3BSK2+QaC6tcBkCUg7OFtO5dq3RCBEKCjw2JySQkUGYKskMRivG4zjWZ2UGYHzf4m8ubzp7q
7yZBwGOgJxsTAcwQ0Hsrr4rcw0QkgM88BbrQYz+7Pk0dd8+GBsn/1MGjS9C8hNrd+WhDnxyYyOkB
/GB6oi5sPrt2RoyWtKr4W8+pNwV5YarvjQFbawNBOJoOWNeb31gS+IvSmpj0Qmqc7jCHsFeTu8Wx
iSZosyzofN1192XTtxCi5WK9uA0X5gYRPkzeSuG+vYsWVX9IyLGRQVPr6D7B9ukHl7lyd4bO0cTT
mOKTgGwr/14yiZugjzeKXmYZbRhyMmNk1Q4VVKBFzpDQa/Sm8Fq9zDkqQUO2jeHMAxsJnJoZ1OIt
sRVWzJjCniIff4kEC6Ie8pY+ZFE1hFzzo/uMQ+eINkUWzl2kIvofK/Xl8xAqwUS/UtNDmuRRfuVC
QvnpqiF57oyavVywt36Bo4veYVJXqC12RvEnVVXpcGySBa2FipR/NHwpxlu0XeSWDf6k4UKKRM5n
z4UxSvE4gINUGZmom6yf3C/zODH5n7Tfh4dM07VYCO6SfU3+jElp1K2AMWJG+7AYy3ytm37UJ4F8
zt+5GY0qasHRV1dMQbuCTdjwVxi6AoJGY5lmzDjxg9g5Vp/Wt2UUYk/B6jU/ZpwW5QG6FdlRhszm
7jFzdXqfdfPyYqFUOE0WikimbnpGSjhUTUTy9+wsCIs8oGo/dH2xtWuqgFPpNrYJrcTAGs5O4iw6
OPgqMGd37CraTTb15QEsPra+Tt00PlX2YHR7BInuzdJHRXtwsXP4kmg6C4DVuniEjFmOm9HhxbEM
/BKMkfM/R+zhLo9Vrp15A3gww7xtDY+qxHJhpmhjBmOiw5+jYwQ6GQhzSli+SWHZFC5D86MXHk1C
D1ug3/SjO9l0O0v4UOhCGnsJ+f/FZMzmnuxRyP/0UjsFcIpr3odLVkCXrzz9vEZSd3C92ppSwS59
57xAkkyCFMePuxK/KRuRfsTSWg1N7hof+n0wE7m67NGMlxBeEcVsHCLLvo3o4EHOPaf75rtFbJw0
GNuHBplBukHZnNz2kIHTnSVr+94CD2fBzZKBgJirJLxBRpgg18xa/66z8nw6IK8k2lisYxn4Mc0H
w+pBp8xS+HHg9HnDTjLaXt/5YzRFwTzmpJR1WMVXR04qii+/sIhJZmXmBJNMXpaztBSWIEkJMySO
GJFxKPWePNTCdtBD/gKIilXgCbTBjbWdkWlfOdU0sPgKyEnUUDHjGKxYNAw/i8HV96yN/buUmw6T
F+6Ury4qrfacxGEkAmNSwA/gEaMMFFYhyQ4FrXoU4WLBXJd1XBBv0ar7Pm448DtNvWcUDSJXnG1q
jnKcDX1GA2TTy92ShTUgm6jV3mQ4BXWpjKWz1QxgACFNs3qkXqOmGyvTQrHWcWIdFkfOd7nFcboZ
ZmZpo5MmazXdAjovg5sCjFVJvE0m6LybISSq5UrWZt6tqhKqyu+0N0ph7OGIO94z14rjmCSQMSue
H2x8tT6HVdPhoRBL6PRLwmGyn0y/b88mzcxjNCrkpbZTJxCA0EUNmyqFVX4D9gAOFlWd/Sn0svC+
j5bwxmRcE17ZlbuoLdYZxhj4/mgVm2W23Pmqjmzsz6beLH4SrFh/MWIdfprhgC6n1V3rJxOQhIC0
ErbDxuuXARvxJgYas0K/uO7aVVUm7SH+ji1RrA7EBpEDOc/57NLh4m5wMlTd3IVxYwHDu/RggdMy
7+MzxCVyJMcN5VEZcOGR1aMj23lt066nnCs2PQKjs10WcFdJb3PIUkoYWkCDScOdvSgPYhqsZUJE
slyXj+gX9P2c6uFBFlXHsQ05vYNZH0+fW3vtV9CCDGd8FWCGeVmhxivOvND8wJJEFOHOshygo2HN
GUShh1+DauGmbWhUV7t+sx+vQm+CB+kYDiaXjPGKretFlhltMkKr/msYo698NFTDG+D74Yu2PNjc
9C3tY9zX0O9xtrmqIEI5QTgzjMODKUJbFsoo+RE12pp20L+xcVn9L8RmgeIR7h1wmB7xv/Q/O6GI
P2HwXn3IpoTdk9hlf5zdyjQZyMT2FWKbSGxSVg6BAdQ/aeBkEoeIOTH9Q+Wn8pr5bF8SdA7gfVfq
HPINkLXz1Pve0G1qLVt2AzyfEHgh4ga1KSe72yVMGn8TYTzlbDurXBXZEXVOYERW+ux2abPsG0Yu
+p4/dXpsuayw8webAkV1HdkHC9IBuJLcZS6vy2HWWdhL9wn7JuZAee7VL50/qHZjRa7H1ZFrVBiQ
NuCI2G1v9JtojVTYpjIskkNrTjXzAt0S/QE6JLtbsfjJE6C/69yyGnOsPoWrw8BqHO44xgAM0SMN
cxrg0mmiwMxG3F34nw5NgIMxHgSpWlr+rQ/AseXdop8CTgJ8xaZBpbt2GPt03znKj2m44uFWiMFc
DQG8+GZZpOF9iEJ7firWHQlckdL11pXvPpktYCYUqTq7ilovl7jl+N3zwPhzOhTo5W8LLggSm0rC
dyMGUBVXhR6/9kY6/of7gX1tG4WNTZHyQm8b2RCiz6jSTEyY62o64TTknNuWSMcNIpWo3y5UWqxX
+n7nqwUo+tmCfUkZBccIUBPKpPrgilzWwdAOLq41XNDbDsHQCVOJoTnw7+Js040Tg4JcuLW5k6iE
YKLYev6aqxF0exliP9oJOuLiK8CsFyDXXSEeCfPgSLtnyCOcQX0e5ACuZHiNww5Wjv+NOZrIEdRb
8XpJYPCM9iEf5ROuauaHqRP5i8E6+dIVU3UT29G8SkBCjlEnnMsXRPfmqja2gM98XOn+iwuDvCwm
Me60mbnErnxW+nyV20V+b2Rp5mwXOL/pxlGQDp5xuYhQrhHNitIMh2Ww+4XOkcuGsfOun+rxcUrT
pX+sGNyhgfLb/lMBRgn707GdZ7gWo3eALiYbWD8lxyVGpcrZNA2N6HE0K6P7yojcLLdiTJr6Gpyj
OlfUW8uhhfsigtiMDOQJULYw3Cmm+GF17/5qRSHVaLlAIIGP3UN2W8y06bHGIS9i0zBhqgCYZZ0e
lsWfUYeVOcV07Zo+ay4ubcpmDsBpP/tQe7baiuf+3i/t7BZhTJtej3XuBJkyC0hWWSRLmMCpHQUO
qHJNSTmsE9EmVPYDjmbI0B0r8coTZBlXbuFhhd9w04rS+1o7bbonQEOUQSv8Ed6lJ5pbMm2bZmMl
Jn81ohkhzsKD2g0D28sPuVXk8RnAtKKOI94IEnzZzeZz79XGD7rzkrc7VuphdgsbduWctu4GB0id
fGiipdvLaJp1kIsJBGARQwfHVYbVHhZdem/hWoTtU1XVy23SNJJYW2QzpPdBsI2K2/+BAugafdKP
J9cb4jMWm7W6GUQS+ptFzZO1+x8RytaG91qclnAgXssqyrrEPscu82DEzHfawzA3K/6vFugJVVrP
x7qdSxXkmmtr1nw4RBDZ+I5D5ytmoK6rcIPFSldYtrzwl2YMOjPsqfXJGBZzazmVhCECRVfQd77j
22u94qqJ4YdJ8sJqdopQ7//94emcTpgRo87RJ43lwS7EwChIXOHdzhi9bEGM1FcjXOgvfIpBpttQ
niuqc0R9qXzHNfw100clCTRgNKQIabhwlzZY0sBnpj51aun3GoPLc9wlw+FtF831/+XS8REzeX4s
+St4118YhhsRsO5MW3LSYfuBDxh9ljG9oyk94wSeQFPV5Iir337o62/ZXq8v6eIxb1/8thI54xgC
Qp7GYbDuITR4B/7bxtZWOWssNHAhgmkTFJ277OoRzXGvFn9bj9V7ob+vLS312x+yen7+ZuGNc1Kr
WpeXPBQFTnoQrjzPSq6Qfg7v5L6++jkh1BGDjUkqMto/n6Tcyc2V3eqTywz5IFl6t269eI9vv9lX
PyfgMj9JkqemLraK7CMXptSkTzXS4xOZD1HgMcf5jN9VeU5beIxUY8P/ZaX+9tALm+8Beoy2Oknv
TLAtEJntHKuxdYK3f9ornwr/cm+1njaVZcqLp/hUuQCPtj4pvA0DZvf9rc7GECM2JHxvP+qVb4XP
PBkTLsQlX9gXftoa4ySYIak+kbgn0MIy4NzDmGSA/q/PEaY0PRfzYcuy1eU2iEuOc+gsrL60k7fV
IuCDLlP0zpr42yiXp6BQkOQ7kR8mL3x5MV6EAO6w8kKsE/de1YiPoT8Z03lJUnECFwzFO9Hzfzvl
kmJl4tu8finoHxdPFESUKLyFuhMlgv4UO7QZRppnwVS6kd60q0V/5lY4uYVCvGNi+8ut+c8DjbmJ
9HihCE9NVsyf+wwbIInIK1lO/WC41ikLSyQyjBp8uuC6FNVpUDAQT62mHjsyJXAb2hTLOWuNDGGf
mX5DcxWiD2ZOjweLk6u52KJ6CJ1jiTQWIkGBpyeTV8+PzoVymMTXHdZuOfL6IiBEqsdFFP8SOINk
2z6pdpH1O8fn38sTp2q2tw13Bi9/uf773w4ty8+rJEnEDKc1c58wfYLLsMTmw9uL8+/9tj6FWAxc
sXGZvrwJ28zIbGYcM6MrLANiY+y3xhCL01gv3TuX0Ks/yAeq9O01RvkyIdFEdrp4keJRQ8iU2wap
XUmE7+zq136QbzqOz20Kt1JeXjpG67etb8+nlfu0nTsHG4OFpg6Nwr8HFWKsZ1pc3Mg/CZq8OKtA
N9NC2810ArMwgPQK5qfVCGGOtv+qacx058qqfueGeWXXeZYFyGWRzOx6l9kYUKtLhJDedIroyqpN
XowYTOlx9UTCAVHE1/i0xt9GX8P6Fbkxx++cZq+8X8/CDIQMJOHhf3uxLOuwTlLVt/MpNZL8HLtj
HqhWj4HEwubfP6WHNzwnjG0KW1wGxkRuihF8xtpM7ekZ4q5GwMXslyOweOdJf1+ofMn//6RLl/G+
MbCD0cV86ilCH+FvubelX81IYcRwanAsYUbruft/3noeG1uQ3rzmR1yGb0NXE9JNcgZuwm1waSiM
XQxrZk+SzP/l97HDOU2gnVjUYn+eJajr6NU9tCIdvJHvEubFS1HTJ8VJ2j/0vWd9nhn6fv/33+fR
BsLK8y2hfqUj/HaA4SNNizrW02m0Mfge7QaxUTL8p6fRf+cmeuXzET3iAQ9yiPGfi6qrme2qHCx3
PKXd0N/jCCr3s16qj4x6m2svjCAyJubL27/u1WfaYk28NzGM/xUU9tuvS2ZgRWsdlw4QhAumwF1+
leMZv0smTJDQ+5tY+czwyu3j2w/++6KX1totkGMBh4cS6c9vCR+uzPA4arj0nBhpNMP33B7yH1Wh
q/8khiPRO5vj73ObB0rqdw8ZKo5JFydqy8YbY5Sk+NIbHT0jvnBFlnTvfMNXn0K6jjCZfKi/Mn+s
rsSpceqbU1FN0El8CPwPfuqKd37M38cXP4bq3KP0Fi6BlH++PQvo1B7Cvj21I95ksHm65eCCJ467
GCfin29/qlcetiYYUTRzVJL0d1GnM+2aVZPE/QnzHOOqJ7RwH09hcTub9XuZSX9fC9JdM0VdFyYR
8bIXnv7+6DhMFcLu5IKhzdiCmBNe7hgNwp0eGEQO5xJrzntCh3K6XItr/u2f+srnw8yI3CGsE6mq
f/WCv20HnByXMANOPTlhrK/NXkN9QXL06e2nvPZC2d8c1tyBSG7WvfHbU7xkqQiHqvQpLkS8D5fi
G8LcIlA2nOO3n/TKLmNfc6DwONOxvYvilunCGFuTak9uupgHPXlRCn6NqTPz50EfsE7t/z2umn6Q
W850TYvveJkmVFeEIkgsB05ma0z3HM+4A7mLfyXQ3e7f/nXWuhz+rJ8l6L3iOSwX9tzFiYmqL4YT
g7mRjc6zOK95cy3Tc0Q6G7QV9rlz2uo/9K/jN0IFRMAZaD4J7LrfOcte+Z4sGNPhHJOUuJehLDCb
J9GIlcMAp/cJD1pGll7SGce5gGT/9m9+5Yv63NKSYtrkl9vyz7WjVJG7Okn0KYHpdWWMtfMxbHSB
oq8DN8HOkYiX3b8+0oZGzjqy+afPvvjzkbB2yjJP0u5EVAQODY4bMIftdib25dtyRJD+9uP+3oM8
zqWKxx4Z0pJ1ccsvI8Bk3HvtKbZifcLIAkUnv/Wdp/z9zXiKIv0SRQpBsJdPyeEV2+EYtqek95db
bHO8Qx75kKtXy5a3f9Dlo/hSoMgsVChPLuDg+oN/2+5GY+PArw2G6ZirnrtKdrBWVbWPnORfo7x+
PYpqRXrgKfzz4qhm+AKjrM3NE4kg5ZGC5Rn54Lhqs6J33t/lV7p80sU6tGbpZ1lfETQR1+N+1KG7
sw1sOd5+desG/n2Dr0/hzkFwC8DxN7gxpLNlQemzThaVCM6pjvsJ6FWdqNdVgG9CGuDu6N+QfdIF
E16F7222y/uI59OXYwVm8hcI3714n9CaZNKpWBJ0HUXzfqrbRDw4mpCrK4yBMYjBtklfCVOZP0rc
DdDGYQMCIbXLnrC4M598m/tq2xZpAzUSe/wy3kIJVoiK8NpCqN/1VrtLw977BHuReaYVi/LnQr/8
Yajp+fYh9onGFVaQ4Yubg49vDCeOPoI+VsW1B+PW26RaCYtkDHyftt4Qui+5zhx5IE8me1EOQ3w0
mIbzH06u8qXF2O0O303ve492i0SbePXeyAZRY4zXqO4Q+7VWT+CXmKFkUBOGx27K0/IqQ97/sJTO
mO3DoV5+4LDXkp5aIQDfzSNLDZlGI55GJq6sbdyOqy0nRmntpzHDKYRIyVFuIubPL3kWxkNQzWkP
G4XU25uMTAdziyIVtoHhZNOA4LP3v2eIYR7gT7TxPxZov74orR9LynV9KrQ/N2NGXjbZUrh5Cjg1
59Lw9DFZ9SNvr9vLU3p9ikX7zvHisQsvI8jwWXPthMviVGYO1gIFAuPEXEYifhJ/65DU84+hS+vz
kJlwogmC2vxfWUm/HTF6MShuQ8M8Mec1hy28//S5bRVWgW//rleOMkLU1+aLBzGkvtj1A2Su2Shd
gSxJQ+kPsbvD/qoHl0c8hS/FO4975ZABIBPWmle7Nl8XJ6dTNcgCkJSAgjioy5o0vSYZT70Dw/2a
yVycMhzMWNazUckmvIwGFr2bgo1AsuQY6PxPSVXG4FV21T01tQHFzyNwLwEii+J9aXczwSSNEFRQ
Cwam0JMHsTVIQYn3vadVso98sz1yXFndtqXGDYFJY3au5qbEVYDx7EPVlr2xw/vIvV+gYoHE5Ya0
9+6YJf4XPLPn7mtciwF6PUIRwYyTDJrzFOKGg6/TwhlCgJKJNABC7/xOSfXaB/bYFSxe01eeuf77
3xbSFAksgjCUPcWml54WhKSb1MgrYBo2+dtr6ZU9AgruSJc8O9sEgvrzUWmKAQlW/8vJnOLhsyJc
6ITOcNxpW9f/TfPwj5HbbBEJtExVKiD2SfuirPDaUZeLyeNITsQCaomKn8R9/i9pZ7IbN9K06ysi
wHnYFlmlomRNtiy3vSFk+zPnOTle/f9QiwMXRRTRfXploAFlZTIzMjLiHeyvISYiLrrE6iOaLNh/
51jJXJ+ospyK1f4iOyRro3DOLbKOBnkWJm1dg6ajVB8ad1Whx/8Ab3E+95JtLO63NnKDURc+0oev
Xwa0+m+hbZgvdVCq3wbR5489FeDj9V+18aVpTlBuoO7Hy25de85HRQnjVJ951bXGGZPA9ha9lvIr
AMlkZwG2hyLkkgZxzNa3qKPPyE9IJl9ayMh5lg0ILCMu7ksJ0NB/mJVKhqwaFimrvdpUea/WCa6B
Mu6iNXQ09MuFl0lR9BkpAfF0fSxtc14UgXkT895BLOZyB5shc5JhqfulNKoVBPFYf2sczBh8YdV2
c4NpqGWfMMxJ4+PQpBEU5RokOzip0fhngPtcPAIgT1UUnmOYCUGpD7ZXYZyEzRwc4fTUQt2Uz2Xd
J19zdIoWtYtg8esGRtYCjVdREQdUO39NUAMEZDAZJkAw4Cf6DxHCqXQhGYhfs5hnqN82PX4POHz9
Mg2JhVKqXY/AbDtUqe4QwNAw8bi+POvSEgdu0ZMglXWWU6csq/dXKHFQ+4OIkI++Du83gmssKxLA
yBznOXT3UiSbo3n+lLRT8nZ94I3AoilsNNJgKufc8ZcD1xNv+6S1Zx8Yzpy+hoYlfx3B7Nx3GfJa
v1R1kvbyxI0Drli6TIFXQxF+XUKPpDwOlbSYfWWoLEQtUGEFbIo5UhfS7sjCPQ/3jaXlFqYhTeQ0
KNmuNl7bS5VVp2Ly0yhUvVGFZtxXoBZBQeUAtMNfsqOZ//KRu8RPuou4j5o8Lljby1V1IuDTeWhw
MRZW+RkMFgRqkPc35ZDF/59Dra59UQITCZHJ8Wd2eHws8Ot4zlMgeAcpk9VpZ59uvDF4smtUIWk3
2lTTLieGAkBX2DWLOSHvewssaDrpBV2zeLY6l4ZJ/rqwV87hXFWvHFb1y/XduhVEVIuXLsxO4vE6
+VigsNVAscs3YP09jKhz3gieGTdLHWUnS9x4zWgqLCyFEg8iHfLqChTo9ybSVDAUqFy3zi1Af86E
Lu5YOGd9VLrffdQCpWnMsthJu/eGXlVqkrZB3aFwRsQ5VBqSYVmfoSUr0KNThPwGUmPs7MJDAfh+
Z+T3l/z69tW48jl2JvHWWRV+a6PqQbykk+/0TVOSa4mgB0c8xb2HxnZiu3EX6LU35AA00dgGtndA
kc5WDjK8m8i1Cz1EFR45AoH8g268GoiAY0jeGVBDIacoX9FcdML7bkBY6/jv9wb9Ka5nlTBG2+Ny
a+ZRHigTEoJ+ndnZaXAky0O1IyO/l+2dU7AVNI2leEWmjaLSuvIq9+ij68M8+31TT6ewjNozXlOl
J4fT/Allnunm+tS2QtjScscRlwGpT66mRmUrDFFO9nsncNST3mndPWCyIHzqtVK1/TxYBF2UtBWf
rw+8sRN1LiOd4rL5fgouB67wAIl6IQ0+aNH2J8fdeoN+l/6mUQ95PtKQ9wNnqaBM3kY9Za7roy+h
a7UZdUq+KDywHXVsoy9HRwFS6wPk/P0wxwUDBWdmf4CdG+3dvhvfkxIQ/XbdcDQygVUMbUKaDmPD
NCfdCkgNFMDyghNwMqRx/NLLzs6yboQxhOkQDNPpBgJHWcWWeUhaUzZoqKrotOOvYcaTc8TzSOuP
vWqoO+3brdnpaCuTcxHIiNqXy6ijgTTVsNn8Wswd0lICZVU9ltTRs8SMXIyJAvzOWdzaN4YMI0nl
iUkldDWkXUah0KJ6BgaGTum9SBeOthmlJjjT/A3l0XursLTRLWwR7MTtrdkCE8FMxNZNi4z9crZj
UrQmEgYjz2DCk4vWe0ZRKI2GH9APkuzUdl1cn65v1I1bUceVRJMViz45d9PlmMjcFXLLw9UnA63P
BJ3smAuQmI2tJz42wPrZxGvMK5pEmg9VXzc7X3hrP5mOCTyAHI6K72rOHKGctF1hzqJ4tvF/8nGp
+DljnbMTiN6hBusjyVuBJyjBj87FKhKlRQ2Zpq4nioqQlCE0YsD5GZqJVHgIM9H6QrTLpoqHR0/x
o27r4gwQz36V80IDaQqb9SeZbm3exmCThA97Iah2ChTvRf31T+QWoNRJixYczSr3klQFL0bUN32F
KyC7Cfq8q+4AvYe3HU5L0Mb7odFgOSnJnYWlKapbYTF/p5Je4vM6prCLoC8UN7IVQ7mwrEb53crg
6tGoVjXsYmbVEi7KblJxg24SLB9ehJimBfkE4yZxnMT6aUotcsGIa8vqHc+5bDrbbY19NW7v6YBS
bG6hv1yJqfLiOK2wMhAEz0/9NCU/R8qMz3ochn/UysyFFwyLYWzPVgcaC74V/kDfN7daiD+sl0vm
VOA1NKi3mtzmxffru3oj/ALtp5Skq0vr2VkdYhBdwnLycfb1COaz2gk08Fs4/NdHMZY/s/peKBMC
n+S9b1lAyy8PDxEkCcqM4jhNgbS5ET3sHURMOmxwKaXKEzKjpvow4533xUkiBEFL3Z6+QXLHyQQY
QgD30rYD8xjOs23DeK7woEIVboAYMog2OlRzPcaHyRkaxQPlXDXHdkDi0G1xBjNv7LQcF7WAGeZb
qAXKn9xBXQnCUjhZWCxW1helwi3sMIPRfwg6xfiTWooUnYwRSq2vUbd9KUPc2A49Lg1s7rb74gwA
q04OFSvoLcKQcK5vJkRWewtrEtgsZuojpAHV1qDj5ptIkw5/ygjihk9DCscplI2MwmsgUgWugs71
iHlLDrnYDevINHbC5Ts8dbX873A6Ng/rz4G5XH5UTkta1rbpDwjcSy4EZuNBA/unu3qtOi9drCZ/
eDdjqKrUzlQdlsOBE1ozFCakNsqMh8EMreoE0lEqb7CIGBTMWcMkPfV2B58JAbPG9kLHrJqnIRdq
5ymLYcdTgeSI9DjNM40IHuEL5ZyuOpwe+j+Da82m7aMVjBlAlaTaL8rrnfrr+s5TNnbeckFYy9t3
6cOu8uwMxWmkWUKDqg7T/KXrTjX8r0NU7BtqDlH7JOutrt3XeeSMZyhFyEt3I+rDBbXqyKW4O/2x
4KHk3vWftRHMgXNyIEAqOAD0VvHLVtDMzWpF97USYs0hNJSvVJ70J6xKx53n1MZdyVALqou3OP3R
1QmXnaYYysrAileiw4hupKjR7UosLMlDAVX9M93MaKcQtJHLUtqjp0DIIqtcg1bDOVZjnEI0BGhy
0zxzHTvxaVCxrPrHHOwKElaMaSHJQjj+vr6wmyMvaQFlcmBs6wJ51E7AGWZF83MNBQkNjtRNY2Ie
gmdD/g2yyHDK5er5+pgbiZCtQDYgf4WlRiy7PF02Vb5eFJEOhsYC7Y7Amtq6g50PTw2nCa3/nipq
OKd3CDCEe/SKjQBuG2CDgVRzDQIWuRycRxqKHzi1goFH6x92JbJ9ODLsXbj8lVUAYTUpddB6pK+y
RkUNMa5LiPaaftoZA662VuYlkZLsxKmNUwH+kEIllXYw8OvyYSIMJ9DJ0/0R4wzPQUMQk0YhHbUS
rML1b7Yc+/WE6HCAk6AhRQ6xLOtftTgLGSzUoVuTl385OScEGJz+JCHIFz+2je5IBwKYdVZMJASR
BLDQJ0OXMAn2Uq1la6x/hsNmZWkd+NjrNhXcI9QLsJj3m95CYcPMjU+6LeJjLBnz2ZosLkY9F//o
Xa95kWQn3qz12s633QgQC8qOU8rNsID6LpfChHeFol5i+QZUy29ZYghMGpTgVNqD8W1qcbDYyQbe
D8Rq1uxXopEBTEWjE3A5ot1mXBRQ5ZenWPEiFwYUwbmApu4YlUcPHd/RCXuvdBhRmg7jAXPZ2dqJ
wJuz5tX5HoZlHt6XvyGd5GmMMtlCmNjRTynKBC5uX+j0AaXySs1K9qouGwcVABUYC0qxumav6wmI
f2RmEnSWD88zsRFJctJjjaacJ2ysmaxK71za1/FnwF40fm25dR2LpthkJM2hpy/i0Ui3b2J0uF6v
H4WNkMmZ43QTu9BeWlOVDITb8liOTV9OlfDINfnDdoT6bRz0tx758dt2ENrOQd9ai7+HXL2NlRIX
j0GWDIKWrX8mD8HCtOvDnSXXtr4x72/eSxQ2AOqtblmsNiA52Nz9VZN30qGypK45lcVYYeeEo/lB
YEMFNzEjy3ss2qiFn1khsnavJl2hfUpl0X9Hqno649IV9N/jTNLxr1ELRMgm1KIQSgKdisAsOgWh
2wxD+jkwB9zYUrU3XS6MRTFEysZXGp0SDq5h2Bq4ixqt5QU16bCn4VoOwRpHEtyumkQJPEyVjOCz
HYzAMEttqe+GMI9Crx2Qtjm0pqHvoVY2Qi7dRpWugAakl+9/eQycuFMWjyjTn2l+HRMzxEwxUbEC
dHJ558RtXJMMRWWLI4/vibV8rb9CbmqkEBkpN/t9GEe/U1iUBxtHzWMeNtM91Nrx3KF8cksmZ+wE
nK3tBlyZ3JJ70gEguho5r2snmWbTb2ckJgtD7V19jPfat1tLCQeCFrEMzAGA6OUoSL1Oaczs/WEe
sVYNlZw4kmjfEMX+ev3Ebo3kqDx8qWLRZlsX6PHawVFKy7mNIcge0jQu35ai6X0sAG1dH2orOBC0
KI0D36UgsEovpAId06pif+Sjpd2GhlS/mHmufoqpMH1SRwwcLLPZyac2p0eXDHwdDbMPkTJMRi1N
YhbS0sLOOkrQonLaen11RNEp+X59gtuD6aAHKYWDnVr+/1+7Um+cOsfsy/DjQlsOY7k4IijJGVE5
fecAfBxKAb1FW4N8g8b3+1Plr6Emkl5M2wm0jprNd7wXkcYPjPlLNUd7xeuPO56hgKVwqJeb1lzt
RRRmUkKYavgGch7oL3Cl5kirnq6v3QcmKJgNGuVL05a3BX3fVfSIhSzj2ZFqPvywOHirlirkQa4j
ghXW54p+31faAAwkTbBKjUwnQ6WfWi9y/AiXovhhV06zc5ttVK+AEMvQxxSmvnTzLz/oiGFDKsAW
+U2ZPJtVOiNDkyCYh0n12NzbkyWOSoRqEUH9f/Q5HC/SowRFLE2j9yOlnpqI8WVnnZYAc5nwgLTX
ccFb0jwSnlWKNecleqdZqfp6NnUpUjZYT3+KCzRiAKo54TdewrpzHotYlw8tivyJmzvyLN1CFRPZ
bc66Jic9zrE/3flhH29ImqawCxVbJhuGrXK5WBj3AX2eStTUorLsEc0LquSYTUPt3E+O3L3NkpNO
h75N7dJFbVQWLjZgGKkddCzqXtVcjPJZQopM83h6ZhUqJUK8AS+YHqtY6X9f/7Ubm5qnB6kaIH+Y
ifZqtxn4xuK222g0lXP5S4oZ7uhOGjqjO6uyfI3V11IpVvGA5X3Ay26VNvQdvEA7kjVfHgrne9aH
mIaAK37UyCKQXsIgKUd7fEAfa2wzNLm4zAtlp4H+Me5iwbbclctlAmBgNVcJKQJUrGoOMP/4wq+3
ETDOVSRwsDIIUVuenHMGUncnZdpa4mU3aDxJ6P2uo2FcITLWiplqydyruDvnyS1cMXXnjG4EQjIO
Hl7UongEGKvjEGQIS8Bb0n36I3jSUAt0fnVOFT7rgPaTvSC1sZS8WeHywOeBk7XmK8ltnDQBrB5f
G3D/8DjoZvFlSKumu7MLaYTCNEZO7mZj1b30CBu3yMjJCMUDKYjF9whO6eAJCYm6M70V9ANl+Jv1
XZ0MlnacpAHRMgV92b3+8MaX4FeTTJC9UiBSV+8T8sR+LBCZ98sqN/yJOPc8iyTcaSpsjkJXAyQ7
JSLojpfnvx7sIkGLWvNJncLbgEfwgb1YP1w/uFtfgPNElRkSBMDv1fcuZmEF2lAPhD+qf88Fmkcj
aieqmXpwdHSUZVuix31BO3pn5I34Rm/T4mXNNUjEWOb/15VbzOZoW2U9+pFk1Tc2boYIcBbJJ1Uq
Qn8qMbe8PtP3fGgVO5b3BsguaFxA9VcL2mo4ucej1vt9iv3Pfa7WYBTxuqAbBoyseWJ98HzDfVcs
uswhnWuE9IxjaLRRtbguQHEbqggrnjjPE8ULESoNH0ekAL4O8QxcqNOz7N7K6gIjkDSqlJco5F4/
jBDhsSFPuSjeNIyI0u8VRYw3SURKeU4JdO2pRSzEOg1Ziv5yTgoZfs7sPjcPUbnPcd444JgBEkDg
e1ECXFPLIuySKs1JhI/QKiRL1GRwARmLKfyOjn6rPl5f9I3txbuVBMSmfoG5xrIJ/vrIVgT6Ta+F
8JNEm74EEhr8MYjtGnCMUE8j1x7ORko9fL4+7NbeAs5MO5D+Lu/IVYiOihoVRh3iiQLz8SkLMS8w
sCN14anbzwALxM619PH9pPCKpXhPD5I+/ToVh7LfkZPCAInHyHgeCqX9hfpe5CJ1gnpwI+ZfJvtq
kWYudnb1RpRYSPnAt2HwwXpb5chGpbZVgM2O3+lYB9AyEDdGaIw319fzPRCvzg71Rfg0SzBS5XWg
rmc7GerKhFgad+gMCSOQ27OZKKpvVvQfOB5lOtP2sSXJy9AOm++Mlj3xpcMFOD30nRaI32OmmOWp
wwG4eQrURgU7VErDVxU/eH3n925sO4PoTNkOZRuAlatVwR0I8/AmoSELwwVMn1k9TVmGd0YvtLQ7
xE2Q+eUoMse7vk5b49qQxKk4w9qktHG53atEQ+0Jjw5fKq3qnHUiftabElPuPlUeSSZaVJWb+PX6
oBubnQ4KliXENjAYxipR7PsRK4SF9KvZc4XMqYwRm93bx7ErXwOM4Pzrw23sOGI2fUKyEFD866ZF
U6Sy3uMl67dth16P1Tu4qOhVtgcK2XrBAIKii8wNwX/rq2k2arrIuMr6Boj32RtCLX6zaohIyEDo
hjiNUaP7CiLcPaCCNP4iS5Gu3vR6bXxC2kuf3q7Pe+PbWrxeMFfhulKw4b38tmNQSIhCy63PG7Qe
b229rSkIqnRMO7W8S9EGVI9KFpX/vnaxhDEIBRBo6aprq2xjTlM5prIPDbhHzT8IcDXN0rA992Qh
x+tT3MiuF+KsBUSY3JaH2uUUJ2cCyBtXrV/OkeIaoakc6kZ2XDmJWW6tCm6UQBanmLN0irC6fLk+
/NbVpOmkVfQDKbtrq408Qh1CIxWa24jvumc6wMoPOllg47V92cg7+3ij1A0MFoT7AhJdctBVPpDM
8CVitRI+Gj5z4KlWh2pZgZvJUxlwvt3KyoP4VFvcUUctznSKkokSfpMjxMJ37o+NI0yuDbASVib5
3loXJ68FWHzRQsocSlB/IurOPEa7g4MFlofPRbFT5N24r2hs0t6k7QrqYQ1JAplRoUjaCIiZnXA7
ScHrwlBKv0sU6WSNCG+PlGOea0TVdiLkx5EpVcEGBfBM0ReNqsstZiaTo/K/Jh9N9Er/sgh6OH8w
TOuiG3TvwTlEeQPJxOjR/HZ1sDvlzg/4eIyXHwD4mfe+zLtjVTWrwwiTPkua/CC0c/kFpoNa34dU
qm8otCcPIETaxwli8D/X9/bHL0xdiYuTDgOVOme9t+OW1sGcajMy2kQI2UIvVsYV8DCgg3OaBi7J
6+N9PEs0zhbsHnj/pY6wOspZakX1sgxQg9riGCNKfzQa+X+i7wb3+kgbC/r3SOvmyaiqRYwRiewL
fOmPYnQ63LR6fA3KDIv4CCcnY5zqm+uDfryEmN5yeAnERIt1Y0QkE5ICEdNTA9BOQ6zZt/2YNjsh
YmMUVm5pHdtU0gApXG7WuuznCU46njV1kZwXpZC7WS66nR25EYgWgR4+BjeLQfBdfStRWAkIFoNh
zHlEZbOJn7qpSb/jmYMvq6YKRaPNlNH8SFtuXLWpy5tWdMPObDfKczwCSfK0JZP4CIu008qIkyy2
IZDGYQ0oJ7JPeq7qb5jRm19wOtd+VIaR3TeV1tzHcWif2lA1h4PVGNGPsC/G4Ih1oW0dUEVXdm7f
jfPDG5UeBbxkyprrPoFkxqo9dhJs2iCo3cpQq9PoOONdITfTndwXxs6u3vj0aGIQkBVSHF6Lq29i
ZlVulhp2RVhMLoarSno35Wq4E4eXv3KZVr83CoiHSE4R95ez9dfzqAPoL5yADSZlGqALKP/BiN3H
oD0UGE+/NnVU3Olgwj+hChl+QS44+HX9HG0cXgesHq9BdFxMihqXP0CEWIuJik+ecNE/NxYusQeh
a9k5iBbsVhGbzstUBt3r9WE3ohPDcudicquicLLKaagHJapoGBavC+G1+Bzhlgu8ZsTM53x9qK2N
Q1qM/gD5OJogy0/5a4llKFby2KksMc+AQ4BpMFedpByQwnYeFADjO6d5c2rv1DkqDKQWq/vFDqua
KqBu+VY/YUkSmvWt3evl59JB/Pb61Lb2KCeB1iA8NVguq6lBt1ZTlWefD+gfkFs2KA9GP0yfr4/y
cYssKaFGr5lCFljiVRAMJlOte2W0faOV5LskCSUcESOLVRTVmVJL6Q4qu/b6oB9XEf4jhfkFmcgj
YM3HMmc7j9Oet4uKywuCcSjPkxsbwDZ7ZWcVt4cCbLAQCfQPJQpMBupAHhrbLyfcs9Gq0w6Rbkw3
eRJEp+uzeheQuzzvy7R4GRJiub3WQGV4nK3V1J3tI5gm7kEKW/Srce98blWJ3+YG7SSRGMhCrQ+l
KBEryOW00Py0kLQB/okcKjitmvMbSFZ48IAkQ+3QlolSHiAfiRw997lAwZpsOTvaadLcVoJOu4uP
V3xfU4fC8yftmu9mTzDC7iCyu94DRV7LR7DCzi9bEYg+4NamPTg5jjMHoOVS6cI5xhZSmwt0z9At
dnaC0Md9TCxgFHoHoPLBF10eUbyZ4gjjWNuvI5C5NSC/+0rP6p1S1MdAwCgkvST7YP5BVF6OYuEU
NHU9BzPLjV4+AtoKs4MG4Q4NqcRGZGZapAyvf/CtveWg1KJQWl2Kxas415gRrida4vjqiGcIbodJ
q7gWzu+uERv1TsH442WysDuXLiYNLeoBq1gugXGuYQoZvphF+QMhjzA6DxhsA94ZgIV546jZ+EOP
uI5OaDIFntJXSr6zxTe+JbghZIkQD1nquqtvmc2WVIEg0skGlfkYJ0oOSB1x+evrSmeJr7U6STyW
kCxdAgTjrVa2yKdB0Axa0FlJMbxqPX4SP+auzsY3C63t/E7WI3W4gfpvIeQfN3j5BHjKYMmUoV9+
1FvVqX0qCin9NfgCyaEyJzF7Epd8elOW+WwcNEVU9SHDfncRp66q5C5xMtrBoZlWHdqWkF89wM5d
7bds1/6JEsCs4rVl978rPUB5Joprgc9LFMwSVluKUhzEYk57wriiSG9CfKJ7aMyT1j1JkUWBCPZW
NL4AgpW+mnGC1nyYhV14Z/Q2ds1OMIR/8FtPLU+vsIDw6i4G1aKbUXuYB5S83Tkp4uRGls3qAbRU
nB2X9tiMImFsPuogAyJk/ETxq6R+c9KNQHm2YdU9NfzgO3VwlMgLo1DmimyGpvXmmaYEfjdJUn9C
JMhAdANPpVdFKHbqRrj7jkxJqA+DUObkn3bm/B5QBRGojAST5fByzZvqh510dvNTZGUAQLvPnOjO
QIl7ephlKXkV0xQFXl23Q3nCQsC56dVCE78crY+/IMSfpzemifvK2cYSt3ySS94vvwr8uhrmK1Uh
hudmi8+ZmNUveGWhwNsOXZIdK5pF5VNSow3gyqNhx29qS3/3trUbIO0SC6O5St6oqIQbRe+cCXNB
7EMqwSBqxs4OZaZKYO6UNsp029d0PF0YT0J6zERvDtCUC0zabDz1gu9mlZi3Qqg45CIMgrSJRr/6
H8lo2v6QmUo6vmRzpTqeDc1VewziRK+OMAvz1LUwRbFfh9Dqhk9z3Q3mq4nHTfkWpim5iWo14qw1
KtsPQxZrPOgJqvufJBFgrMP5JXTPwKH0u2aO9eQc5mVDqbOF3n3AaUNSPLCLZnwwUEVpTwiQg7bP
7Ab9EzkxtOpb38bW8I0sqFUPGeoQb2GtRe1dGRd464VthEDoyGNYPk+11I0uRicM6AitfKToypuV
9qwln7B8kxFIN7v+ecwhTXt8iKLxBFiCGEMHU9GTo2gCnHcSMWe3cpnnszuTuf/AtDrApQJraohQ
mZiesabFtdoG6PnTwQtF45/meF/m6QSfBQ2Jzk0BSv0Mgsas8Y3Pk+qusJ3xt9NacX6k9slnp1k1
andVZBmSbwmYiIcsiaP4NJsUO44Zvmsmt5mB0TWUADVz294WiqthC/qzMQC8HVG9AT0W4DwnuznZ
b+6FaiPHXjFKcX5W8k7JwWYH2GHFlZO8lmPZ3Zk4JeP6ZQfZs2xAWT3aCYSnW0DB/XRbOUrcnqzZ
CnwexOnwSEYQ3+PlJ5c32WCKxs2ngoPFfQCUZoymPPwkK2LQzlkmD18yREV/ISgl8E/OEPR3Z8Ps
Im8Y+sWcspISVNTNpktJGhDdv8HPa76fGru+Y9VYdPBayPjUyO/kh8mWC+U4Jw726QAdze51lEVj
/dZkuTOPdtthocsjPWgo96kUQiajWOyoebTA16Z+8LuoelP5Napy/zrGonhSMlX5asC/DW/iKIv9
YWxzxZtK7ILv6q5umhv+hOb3NkXRQ9kYgE5Qw9xrLm3c6Dz9Sdt18JEf+QPBLHBMglwPQQafDCOb
h5M8YG8HN2Q8Nji+PF2/dTbuNipW9Fqo31D5XjMDcrkZe30YLD+l8fswYwLsAkiwd96EG/k2MiNo
tMGgwiV8LfrjZNriGYFuFEHd+Y7Dd+jgMqi43QxIyI575YzRTf8fMhXKRRRykARAYVZeP1uImlkD
DcTPRtwI4kqiBzuF2Fs5kb2TcG98tkXJFpTcMjtEZi8TMUqgYDcK2QHIMJTOYZDS9I+kSeMDnCLZ
rzrb2AFsbBRYqN28q5otLFZKj5cjjmHNImp54HOhQn7GafI34BntG0feeRnBxHhFKgghOrQxHLvq
f5IJP/idzOidHL9KWSwQZtrC9DE1JFYuf0WCxmI4O7VEwtEavyLDLjiNEtIPvYKb3SEdKL8fLLuV
/ydLVvqUwDTDpMWZ4kcZM703VZmN+SWP0iQ4mIAdItJJYx4fyjgvc7yOpqR1QYTHi4VzL3AaCKVY
OQmhWAH+I4mMH0YXOgQazJPnYw9d4lMLeh8Rjy5DX7Q1M/xuInOyMQvGRj791Gfc84cezSzjXIWh
8gIcxxnOipTAHc/CXvvcDm3wDQJ+/Fk0RaZ6aYxk/JFUJhI3E0yL5xmhCQxDhsXhVvDWmw/ZVOvY
KqaLg2Yf6+MXM4Wr6KaVLo/YAnfKIwrqJvY7Rp597osoNz1cAYuXvossHMzsiqtIBBIOLEYMLsVt
xrwBGFELq/Xy3qlyV2CrZB5EqOCeZJCTfe5kpUdZrIqw2om6sSaXKsfi2SgjHEjQFscc1y6yUX0q
ErQEwJxpGAImqT3dFqao/+SGULHCBiFWTU6YHIewy3+gypU6h5HrpHVlCGs/YbNoL00e5z+p7wbf
uyZsftkZWuK3SZfMX0HyYvJkM9UGKZHO/gRZAwZBYknZCfsb2F3BwqXEGW4hJGag0PWvuWSZ0U6N
byOEAX5Aoht9Z23pKF3uQZwC7UxqIscP2z4/akg5nJSyLHZO+Mazh9MNTgndUPhN74XGv2ouQp6D
PG8by0eirXtJh4TsW9Xa8UCaWof//o1FqFzqICAdCc+rcDLglO00sWP4RUGbX6RZjA1SDEdurjN1
T+NvWZ/VGaZ6D/7VIkzZnOTL9UswKxOhDKVHItd1O2ec/unn5RVvg9R+0qmW1nBvLflTrIldvaCN
jwde1FyQFHRFkZa+HFyT+1BLTbgZtaW2XjiZqSsmY69IsTUKRXVecSr2JVBfLkfJ+zwAPJPYvt21
2XFKR+3MbbgHb9zYInwyen3Lk5VWzPIr/toipSMHZjhSz43RjXBHYREgqC88JvU07FyomxNaoEaU
T5nTGvwdj1ZRAtu3fTNro2OqJ71HK3XcgTNtTuivUVYFY16hSa3rKcumxjO4uSo/hWPQvyTYzO0c
4uULrDch9SPKtUC/ZBLpy7Wb0kjRZiO0/Ulq0nvCdE0er7T9T6cGAwL3vvOuJz4blYUF7Qi0gFoG
4KFV1ID4XiLQV4a3pVlZpZdbyXA3J9OIKAlSDa8RbRIHR7gojVxHLUJkEZWiinfO+cbRQ4BjUepd
2vBw0C5nrRvo5UajI2EXNcf+COrhqcQb0u3jqTnHETQwHjEtuwgXxevT31hvRl4CJhZxYN5Xn9aK
cujzCGH6QpHn6eDIUj4Bp5WmP8UccDIiMyp3SmLv33D1jd/VBMhuwSPRpb2crSxiKh+yLvnGrFOv
oRd96EyjukkVLGXltL2fJxl3QCV8dVoefJZAgU/pE8kNmuAZWNWPwEj+PUieChalGJTXec0iR3v5
m6bObjWl6ySYsfG3ro3RL5aMTD7qehHvpNobpwkQDYRoajus+RqlVuP+DGRb5TTVTfdMyUZ6sPq5
8mPMb4/Xv+5GeEAFxDQoJBGNkG+4nFU60n3DUc/2Bc/dc4rt6cOU4B7270eBoLkUtel3kPhejkJy
FiaUSiBVT+hESFbf32cqDLPro2zsVJvEEuwRDQEHgsHlKCZeXkU5WDYOU4r0T5Vr8j2dFnxKFwuz
yBtLu+x3htz6UpwNQHZ05bjwV1mtHQ1KHVsMObTK7KV9Pnp6N/zS5CHdCXvbI9FTWdTOly91OTkJ
7laRFTI9Ab3N3BSZiBve47ErIMedr6/j1p6gCfr/hlrtdN2UMtOM+FoWtuCL7yfuslXw75vYXLAc
Yu4lGFDgny8n1BW1neJs6PAA6IxjSxH5dytZyc/rc9lYNnB7nJUFbUGLY7W/1aAHTy24mID8BB4U
UhB6bT8iB4Xj+fWhNkI0NGTcBHhIAuldYytCsyA+qxMldkq3kothJwW6ILUT1EEh8xfHglsNowGs
OR8U2hjP14ff2P3kRQDXVTpfXPWrrRhpiAflM50q7KnzgzRJeHwOUaXDaqumF7QEwp1tsvFU58PR
pIU8ykN2XXGfM8rwCSVhP4JFIh86w2z0YziK4lHKAGeBDJcf2r4J/kPyRA6oU+vnSUqNYJWFzgjs
xN1SiAD3N98uk7ZPi+XTIwVnXd054BtngWoEnA6wMsAt1tzAlnMWzFZpAQ4KzWOjOfmDnavZzigf
dymafazgUs3ny61zml7rsEps28B3KLaeqau2h66NysfR2nXz2LhbqW8o6D+xdugxrU8EWY5CjSwK
/KKmZ+bxXJ8ib+nAxWQPmv2VFKYZXGxgzcFrRd6ObpnjaQ7IUS8wuR2yro4PdYUQpidFdfRNNmY8
VK/v5Y9ba/mNXH+gw+lJrnkYVl5KqVnHkp8P4wSOJrF4vdYVyCk3kVuhu+oUNjHFk0aLj9eH/niK
GVpHVteGyUNFdxUwRrvERUNWAj/uOiN3scKeelRzgIgfpLAt7/pB1r6VqpYFHsWp3Ztya+YLHma5
wnh/rDtIKnJuU59QrIkgoiDgYvdeLFrd6xNd8mYpDl/0atyjdGyUiMjvFiIYSg3Meb3eTVPXgBLK
wJc1nNJ7XeTyAWKveTN1uJh2ipCPhpIorlrZwxPOxBhH6kP1+frKbx0CsKWYcXK8Uf9bnWu+St+2
TiP50Tho7uSMSJhnojiqhWXsnLePp3rJZ3njAR0Ah7HG01hpa4blUEp0JjGg0BNyeUvNtf+wlbgJ
2Md0XjlHqysbf82uKgp7WdVkOslKhkGjKJLjmKLg0mGM4mXpoHmxhbrr9aXc2kWUMXkjoUK2OBte
3q1RB6AhmPXAR2rU5G1iOm6HUtNNmI0zjgYSIRqC0V4tYmtVYaqya6lJs4dXb5QEuZYc31sHo6DY
Vo5lhKz5uZDrrt25eTZkmnUEOMkbQAYDJVjvVxzk/o+z8+qRGvnD9Sey5Bxu7Q7TPcMAAyzhxgKW
v3OO5U9/nuIc6dAeqy1We4NgpeoqV/iFN5iaZfXeZUHCQtbLikz/htZV1LxY42IXp7IYys9O3xuf
lhbT7YCDWiXHBaXv+LgkRXQZIS+9N6qu3MNubOj68NsM8MOUeYEUrYG1VuYuudrWgIpyKytO45Rl
H1Q71V3fHozmH6ONq+mEZUD5TVW8yPTRZC/fG4mjt4dpcNIlaJRay3Y2/OscluQcXTpKzhYZ7Fps
qMukwkDrOJc0UV/EUDxVgHjOiddZVxFp+bGM638HV18OUd7kX/56M5I0AUGSMCv4MKttYZd6jDQr
Jf1Is98MZXbI4jagAZM/51VMu2/0xM7+2LhJUDEwLR5swGtUc263fzWgBhVljUc535oPtLRQNrS8
6EcqJnMnLN/Y8wwloelcnoAHV7HyUAsoKGhTXRKnQJBFaYcDLJR+5/NtTgipiP/3MKxVyrLEoHZI
6ftCezKi0+tkGNPrFWbNk0E2cP97bQ0Gd5IMlyKbjQjb7eqh66Kb4Uz2Gdnk1vTcywMyE5Zv6+Fe
xrb18AAJBn4k31pC/NXeMKMkcTuFg9wU6lAgv8av8sMZUwYf96q5ClQ70UL2iBt96MVg/8JmO/os
vCH9dH/Sr6NnbgyXrFoWbUEJrCoOVHFdwjx+iOoqy8FFku24GH1zqJwxD2DU7EkZb+0bBFWBx8iT
Ad70dpGh4umakLnq0FnTGwkXRNg92UOKbM3KdgH8APYGWK6vDoIYFdp2ZEaXSHh2crUirfpQJAY3
v1o74XCkMPj30GuIR0DlwNfztqLccjuxCb/ITo94BJzJ+KWrXftUF0v4hl5Ivsc729qouByRRlK9
IEZfvXJCKQZvYrde5lqdjqOODHtLVyhQY8S17m+PjaEAe4GGRkRLMutW20NdAGcZwjYusQOo+7hM
NCppWljK/+q4y4rj/dE2yD+0ImUTgfoXRO91fDIm2A4qNEkvGY+8GYRFlH/FJTW3ECFJ2+q90U4L
kuJRixTE6E3qeMgyvU2DuoNkd6TMUdg7l8LGfnUlo1Aqw0mc9Oqew/imyYoI/nVuKu3nRY0+z1ap
vNyf98YgFB14N4lFeUDX4plqHBoaDtP2Rav1CKGaKrkoAnmy+6O8PhQSRg03EgwPVa81gbkLG20w
M/L0wa3q94o9eAIPsMT2tWZJvyciMnfWTqYMt9VMBkRYn2o1rQJjfQozJO2cTkPHCnpR+L63zQLO
Q9p9Bo9BITMevyDvWAZeanU7tf/NmaIvI4tusgMgw8Q/2gydFvZGqo6gccE3nAF41jR9DTvQoQGC
GDD2GO2vv9/vMjlRD6GGlNS5HU9kng1SswFCH47zuZpD7aEdJ+evX3eKsNIwQleZFTvldpRBR0XP
oO10aSPK7EI1oqeyXX54+lj9/foxF6nXwaaHIiU/7B/rZzrDmOkT6GkkoPVnffBAhPQdIqqtop0W
FbDh/Z35OmyXRVLUzqgzgOtYG/K1zpjGdmpQ2ZDiwamdtMcZun0wKuF8hSfsIRDSp/9hOVGsJcvG
wJji7OolAmDr6UtXg31oPfuQVFgggFuoj9KL4tP9+W3sD+kJy+fj7MFtXA0FNnKgFzaHD7OdxO/H
bmovbq1Ne5ZOcgOszhvD8LZCtaLltc4OhNHbtY2c6kPlmkodKJpWHZBCpDGk6tleAX1zMLJJ4O60
oyi/3e4R9H5NbsYifBCqnZ+7oabaZzfhQ6w1e6yM3wDpm4kZmCgCoNYAUlC/WXNCNbzT3MJu46si
XLDCMeoEzlEdMjRsWmH2P0VRT/OhwsTD9tU2R6V/sPrye7l4aXmMHKvES2Sem8+lVRW/ppIk7jQs
g6iob+TVj5ggiFoLONowMK3ByQMso+AmzIarOG+NiG+m+1GE9a2fL6np+NIUJg+qskJJs9CRQTos
QxaFB5q44rPRhM2vSWQpoq3gYPFnKGgFcrELNEwl2T4w8GHjH5dyojQ60MMJ6ils3lrKQn2tWCKE
1rvFKD7zP+CNtrTl+L8ljdoH8OGWdohLT8P0fRpysG7qkr3MiwsC8C83rFxwGLgcCyDFJHO3H7eh
0IqBlBZhO905QZ8s3sPYxHst2ldbCOA3J5A6hBQhptd2OwqMp85q81m5INWpvPDqgQUhp/gno22x
8xS9OoG/h3IYRipZ8gTeDuXGkNMtawIk2HbJ0Rhb/XEpi/n0t8vGhMi+aNFC7CI2ux1lyYfBRnWA
VtmUe2cEK5VjCXR3Zy6vbkskK/5v7Cxp+cgX3Y5SL16bjq4VXmjN6cfQ6XMQr4oUES4ps6eunh6a
2Vv+uT+3jY/FToBbT5mdG2zNEqaB1dkLnsdXjMKRg+xU5xwSf/txPO5mR6/eb2ZIeYPuBS0MYq/V
Olaa0JtYpekb6iKOGaKdwqBvIvv9XHNLHJN8yCeQ3cvEUYnt/opdXfSS6un8opez+mG2jD7GDW1W
Br+q9NQ9cnDLH6B+2r1uzuaycEgwtpNcozW3A1vTPlIcQ7lMtjK8V4ANfYlVNK/bOWmO97/A75z6
9hokV4M8hbAtvTC0H24/vBZlSt7YHsBSV0kAQcXR5PEwGyQYogUr/JCNs7v4XZggfyiw91EeIkBT
/YOu9e73IvGM+L1RRsqIhvlofcFiBcRojNaP8ZCVWSt8Wni9c5xUbtDHEemSLLBiq43fa+GcWehY
FHaKRKPeW2fiqq7kskonjEeixf3gmaJLjxhmd8bRcoamOcUGymKU2VVQbqq+AHbSo6wdf95flI2D
jUsitVvsWGF4rO8QxUo1K2pEiHGZGXPNNuJqhA0o+vvDbH1myQlF3I+hXumqjZ0+WeVQhpfGVMqf
g2XEb2otn03fTkb7r1GZbH8HJgoXI6AtEOSr7zwiOqBOeXjJ0zEDa73ovqXnxRNY13FnT70uRMix
DJJ/idyynXUdx5vnMelIQC4uYuH+ZENEL7LcPQp1GZ86FPDPSomr1+KCsJ3s3ANKP+yFmzL8We9r
ShDMmDI88l7yOvgj3CzbAv/xbKaWRP6W+LXIrIek4DXAt7MJcDYYj7qda8E42dZTN+4ay2ztIZJK
LjYKhC7f93b8SVvw2R4672KVYXydYnsJYKXvcWS2rm26dlQdJA4Uzf3bUTI4AXGrh96FgCD/NDf4
oedWnH+V3NsHRZm+t5PT7TwVW9sW0hNcVsqgVIzXgWflxQu+3eHFmhbjXLeGep7Bl0ISq8vz358Q
5DpYPt2SO2l1OXXmiDib3LSh22ZPJQHEY9kMzqmtx728cuN7sV2h8mP/Qei+DqeFLNIhzRBd0ent
/mmMSGLdi3FHee1V9iol18hLkEalHkEadPu97CqKxWwiwmWMbva/SB+n85g7+BsZTmdAxdAKw/EN
q4zPRVaHp/uruTVF0JpE1lKugbvtdnAnU1y3p/d2rXFxOkM3MiaUAyBHHu6Ps3X+Ce+QEqX6AJZj
bS1i4yUUdT2zrMquG49a43R1ECWdkQeNM8FZ8Qotsc4arLE+6ERj5XABy+LFzNqy2LlkN559XnwZ
3AA1lGiv20l7/ZKVtDGi6wIt+Ah58WEpxqOX9PMDbiF7nuEb35e7VZKRJW2O0PB2NGGIxNTjKLnG
Rt0c89zxTvUgbDxk7PST0ejNRXeL9ksPi27nqGzcBBR64O7KVgnd79XIc1Z5qBm2yTW3wXrP2mid
+zzPPkK1Nx7zpf0fPKVwp/izOabLfkIIDYrBWoSz8UptmHJ4TpSX6RkVi9ZrfqF7k+V3RVTb50ng
vxjMadMaO3tZTmd1vWMFiKY7Dyht/nXsvXRKgthvEV9TZ8j7cz5mEdjrLjKtlyrr2jeaaU8/FD2z
3hJKDvoTgpb0hHb2uQyK1z9CsiM51Kij0mO+/dr4pst6fJFczaYblH9yy4Dnm4PxQ8W5aifPH5CR
XAIFy9sfmL9Yn4a+RlyT/dMhBNA44wfIPKXhYyNTXe7/tt/F/vVvYx/QJ6I2AJBLfrs/3r/FSGrW
jXDXc9tZXBMkNDS/siun98Eblu0joDmYbzgoWdp7q65MJTAyzqPfWbKNq5MhFn6mp4USiDSbP4TR
YgLtB1o0+/Og9tdB68zhMCEPVfk6pifFyRvIk4M0KvM2iGbhvknigWxa2LW6QHbLkp9Zbw5sxMX+
UQyL8WJVYgJr2EOL8tUuTtJjps+ufYgGxeoOXe4m1VEbGls/TCOH+wQnYv6nao3C5NkW0UNVWVPv
F4mmfmvqJPxV1KH9rNkCDxcswuyP+PYYP2iUYInSl17tPYYlFCq/nuouPIlsGb+2S1woftYkgNny
SEmnYzGgZPnkRHUk/GoCFHHwsA74NMe9kp0WdP8uIsvVf92wdCZfMdv+R9GMoggqyggRjAi4iT77
NdHepGYz/6O1aOufXHq41mFKhZHs7MGtc0DojvmJ3ID48N1+ZnMARkKdIrrq2BUdZAv2mNYifM5z
msZhYWOOqZTlIZnn9pDRPv/7SJmGHRGILAFzD6xu11CM1dR6RXQtzbbxXUVYTyGB/sf7m3kj4kDi
GFAPvSSe6HUsJVxSU0DyjBKRAoMEg6fKKKepWfau0e2hpHI5WjCYF6/CZIqXnRN6Gc9FpnvHfpjN
90aqTQd4hXup1/ZQGAMzLWKcdceljgbiqzSKrmkx9fhHqeahKJfFH8Zhr2O99SKjzsT7RyUPY7w1
mrOd8rissP+75GVmP8IFLo9KaFgfDaXsnuekQr5JLUn5EVQ89bOGlIAR5v/c/4qvm/k0IdikMAKo
29OhXF2XDf5dSawRYg2acL7Sgk0iv27a+m2n5insUqwyi/OcmWTnfcbz8UZoU7UcqsiYvlampni+
bmMxv3OCth4x9GCoPkgVYBbp9gSpWbE43NLRlVt0/BHX4wy9KY/UT07Yd48oEOKnpE+TvROX/NYV
Wl3QxIIUVal80AZba+3htDiik6EkV7pBTYHOntf/qOAqfa9moX4t9aF5GYWTly96OlawSRt1UH2Y
Gimc57xVMI7oe+dlttz004LGae4XzqJ8x4pvLINyGbSPRu0B8E7Kphl91ZgUM4BZrA0H1wYVdUiU
uj2NlakjkOB1vd9wKSL3MKTOB1TZaY4ZDSBtQI8tVqHxEnff6KuU+WOBx+C/0FnGbyD3nPqI79pv
+tLSDAGs7Bgqk8jTF2hvzb9KmlRTUMENgzQFB9WCLR2nxjGDRQHDTIjqe+dqleYnnmjw6EqN4p0H
Yrb60rlW9TiFXmd8iJY5OxZmt3SPTTenPxs6d7+SKJ7+vb89N47jzfdYBVDc967IDHbnZGXf9TFx
jqJ1mqA0s+Xhr0eSwRK9KxurAhpZtztuECRzU5+kV2ECBbRG3ILKaXQOZTJb7+4PJe/f1SajYy1r
6bJvBTL4dqiyaxDGVfrkOlZe9dgvqKvYVbsnhLaxdJRcaR2TFAI/WLd2HHDBtjDm9Eqtfvhshlny
XHoI3pW4ZeyEnL/169Yz4slh+cgwpC7O7YxEYcNwdPL8CnupDo/AKxSk9twq6nxncof52FiU9wCI
OaN+Dme4LNcCMh2MuTGOPudNms6+QLv1JyR+3fJHMynrI8gXHLJ0b7D8vKs4DcZInuZ3phKdNWXG
sa/1Wsslg7fUt3UnuvERdGe3PHZxG/Y+QZWrBwnK3f+6hUATRfESQFFDq/t15SXPTYoInL2E05cw
Uqf/JZGKNWnUwBTwY1SSf4J0zr+WeOBER7sb1PjZskT3rc8s86VHEPjZIWEjOVxUWwSYCjQf72+S
1x1yyYygmA3OGhArye/tmsJZQFLWitLrpHjNdxVbx28IYC5frMpZ3g11P72d2rr4rjVjUj8kajzh
VTMZQ32coLl+u/9jNq5jYhnsuyTqjb61jLn/iFtjC6Lf2CTgK0yrfXb7Ba49hhvEfrZztKpU/+JZ
ub1zTLY2MEQUeROrSAmuKcsThpB9mSzxVfSFfoWKik5kFNbXRVuMw3+Yn2y40gkk8FzH5WhPDEvE
BK9pklBRlNLcHyKtdPhjnoRfgXeAKjSpORo7D87WVUCuBoQRwXc4X6uEoFdHrdcdFrbETeyXok1v
aMc4O/HgazAhW0m6idJ9oYbCDG8/n8DcuncosF91Qxgf3MiR+lhmjjx1H5roetRR/k6BEf+zKcP5
0o11jpZIh7PscSqmJuh7NdVOzTI2/+ELSyAwwQ+7nK1++7siHTpJO8SkqrqWPU+KM52n0PWesiXb
65huLDSgJ65Cjg0w4PX1XuHd5OborV1n3Su+O61unKp0UHZIghvnBDliOqUUcyUacHVmQYw33uKZ
0bXRua9mYzng5x0INRVBmJGjDZhB7mzdjVOCvyT/Ud2VEvsriNA0s3PAiRKGW3l+MO1IPdvalPk2
ylp//0Qi/UFnFlcEfOjWemQE9jH+30NynWynfr8kqSKCPDe1/rQsyHkF98+k3JSrNwVMgtTFpWJF
EXA1sazHe0MrUo5GU1bvGzKYD53jikesOtVrTBb7aNmdqwRZWGt7EPmtRaVcLimywMUpU602plqJ
3mns+FqnjXf0XL7alHoUx4T7XzYmQ0BR43zyAK62jMhAkI3ybFbIzr61Vfe7CqJkB+axtftlgROc
NMIEXMq388HyZTIW3tqr1qXl44xYaXyMDbNVz/e/2db+l8pn1DOpEL+qfHc6fohpNHHKSmPy0Xhd
rgrOjzUSAWodeFk/JgHM4OY/nAFSF/IFKcBgaavp2SWWplipcY8oZviuracicDV8W/AQ3bOC1raW
kiAHPhNtbA7c6imEDmR0kV3nV7ihc3jSh65J3+Z06MTRmfvIPBiUkikX22b3y9MRfqJBGLefOpBf
P9UoGj6UeY98UFFaqP9MXu3s5TCvfyB6i1KjXKX9TaVrtXe1JDE7UYj8WhMM+dUQakfseuud07k1
CukiO9YAos7NerujXG8gR3AiIr6pTA4psmBH0WT18f5+en0OZbDh0I5D6oti5urD1kNMiadvUBda
7PzE7s7PbavVl6yFunN/qK0JQbmGGSIpIhQZbifUtG6qd9OUXin8W4c67+pjWxV7InWvDwgsPF4f
F5C4zLZXrYZC9EMR9Wl6VXvky3y9b5Y+KAw7fzP0kUEuXc9aexyBEO1BazaqDWD0ZK4PeQ4Ixro4
23Ztj4JCmV41t7LyQ5LF5s+0tUPNF3CRMl/1BDqkqNv/GLucYql0AfqpRw2eyvdXeuujSrq1IxG0
tD9XNx48AWClhp5c67JPzzkO3ke9qrOgcjJv597bWm7p2S5Rzyz6usJShyKeFGNOrjNKVz7AXfsH
7Qzgzs7YfoASpAXu3P01JBlsAOVLbiOKYhIGdruTxqHXjIbq5VVfdO2hE/CN1MrTfJC7yqGq5r3b
7/VDKTkARDeg+Lji1x+2SeNM6cIxuap1WobBGIroI8X9/LETU/Fk92pzMfV2UA8kbnsNuq1vyeKy
rZiyDEBu59oCCRP6xNhlnnsw10bUw8LJRJosV3a2zdYBdckDODvsDshrt0NlSkMQXvAtQ5TcjrNb
1g+VV/Q7N47cfLdRB889SGsAHhJCtNYFzoWxJPliZ1ddoXycF8U5pKHhqw1iUPauqIS5MSkpxSG5
6YwIk+p2UjaFIZTLkuIKCNOgQSU63Q1GfWjnQ43/DCAfbTG9yY9zgnCAcF72iP4fNuGRPS7/Ouz6
HyUadCPhyQDbfCEtNoMJ6++fTdFrpq80UYQtMrYV0ZNXJTFEAzg5v0h457cWIn12AN/NfGt6cfLS
aDYKo43utYXvVoUxH5Zey3FS7Dk3RwTxDPg7caSLM2CGUgSsE1r6Vji6OTI9ndkiQ6QVfeC2Usw0
7wozCapaNf9ZjApNoNGzgDeklaCiZeatiwOUxV/fv1t+8+zX3499TOWb9pcKG/92QSPc8BQLesw1
0gfdhIqs2VBnS+ddUk5mfpLDzwcr6iBkuyP1ML9tMuVpLACMtUmSB6UyNNWDZRSFGziV1zymalTs
6FXpG6eG2rwMoiVNlXfg9kfOEUsMuoJnLUIT67yAbALkZCQJrkM9QpdPWm5E6rEZ6uFtFM5mH7B7
xuqYDHX+URNL/itrk15/tNWkugD/7qVYY2tiHpukztFOhJceVCD2EFtzta4uORVE5epB9BgD15V2
R6G7ZPOxCO0uuyppOu7BEbb2NfEsmTT5JsDsVXhgU7dIxMBn0Eov/2gWpucbqCPuSL5uvWlUrgEW
wl6m17IuEQg7xhIF5cNL2826b8ZqcSjyJLmAwVWfvS6taPP15ZtC6YdDT/4SOM6wZ2f9uxa93nI2
TtaSN0EOvxaeRSPdKLJJuBfUoQzz6EVjXB+atGvaZzupvMFXKNRmj5nnTem56Hn9kPJUsuShS+fW
8vvem7wzeKxQnAxjQmyzcNCwypDutnyLerf7RC9CDL9UjY8e6IVNLbmgI/dJHawuf+jcJUYbM2qh
8czKqFYv9eCO9anqs+lHkTtonyLwqFVvXHfx3tiLsM1DG9vtu9RS0i9urVjcMrmZoTGWzx2/vC+E
CJTOmVJfQdXpK7LElvOwxGYxvcBnpg8pUH0sr6MAHzR1yYBDKPtsPuSe0N6qxoIpluPxAO48ABun
RlqkoNbP40pGuHpXzTB05jwq5UEV/ZNVDP1H6R980e0xe7h/jWwOBUWXmFOSNNZdIEQaKdUMmXKp
6bv+spzuO83PLKGDn+U7N9bGg0OfHhC+JGXLzsPtXYAFjmpWaYGEcEeiENhAmA+TBqFTybrmQDCp
vL8/t43CIleCpPrDxZcegKuzGVYSY9wqqBqg5eCnNoCTKSuqQ1IP9LmGKg/cogOF2XGvq/QxHxH0
a89GJ/Sd6GwjcAEKRkURKBa4tHXIjS5mkdIU4YfAhztMTbY8K/rcH9kA1nM/qDMapIVzsqy9cubG
52Vg8lPEAejEryUYHUq9nlHLE6t65SnsUjUgzzdPUoDrvLPam2N58iWCK0ufZBXttpZwgHOP4UVn
1Dco6eB7krrAxv3OWOgO20W2vE+TEYFUp1HpcUJeG5KPw6Qs3xAHjyPeqXASn4wQepbPe2oLVAlE
sidIsHFj8yRBqCaGJG+05Tz+KPGKGeOSSSrHuUqbH7OkWK7GPBWX+8uxEZBLmC89NIqRULdXz7Nj
WEUhiO3A++Yo9M66qP4HqaaVgIPBu85D5rh+asXJXvT4O3Bb3dKEdAYijPSRSTtW54xC46ShPcCR
XrjHQJPSOrZSlBqRuy3MpwWt0/e5Tu+srjT1cQ4jvfWBh1oBdDDzmeoPkrLKqLz1jFk5Le6gfohE
Nz0AqVG+GGY3n+Nc2VPE+Y3/XP9oerMSR0AOTFP69qOkOb7nHg6GF9dKx5e+KszqaCMin9Gz8yx6
Ju7kmDAj+hrpfGsUP2YrmX/xKvQvqIjTOy4zoWF0Gxu9d7S10GoIbTAVOIROPX4WIPzoVTqpcuqF
o194lOLowa1FNOzcpxuXHAqdvNOE7wQF63ra4C1O58Vgp7ld8ku6FPF5qs3iVzrP2cekULSX+9ts
49BRYCHhk2UDEAqrdYuzBnJMz3jwwPKfOVSZJqjGoX0XUU/Yo1BsDiZlP+mMIGixHqzHSgNfMFu5
iHlID9ReUNpO9PQBOU/rdH9eG4eUcWTFnJIhIiqrdKtCQ7RSauZF43kOtEUfDpWw9rohm18LMCJb
xOZmXisEupYKGCeWD20OVKVulvxoUhs5R8BoDnGl7+HzthaQnqGs8dJxh9J0u8sVODUtEs/hZS7s
4WCByzkqo06O01X6zmu7OdQfD/vq/kFaW4vnKGUjIgJzoiPUByG84U9RmPy17wT5nIeYJPcppHYa
sLezcmh7Trpqh5cUAfLYH4TRBnqTzA+Ij4w752vjWqWoBKuUerVsp8hp/3F5K22vp6A1vEuRDdGx
M5f0OS7G9OBYy7dmiH+ZnTbtPGwbK3kz5Opdm8rFymZr8S6ancAIK219/lAhazwSoXZ7zXm5r1f3
IARPkNsIJ6NFtm6TNRrRv4pPzaV27fJZQY/7MWs687HQUqBmUGQgXCkfnbEQn2eEhnbilK2pAnHC
yUamGoh/3K4uf7n03RC6uD6q2dWOB+p01aKfIhzed/bnxtGTHrZQoz2wcNDRbocSOEpqXU9sVo1K
f1hQwz1MRh8G8NaSgFxuz2JmazxQd1iQI5X02oQYYnA4jCXiDtkwpqekn5Z/p876aiJ6f03s0dtJ
2DZWEgQjYnyoLwCJXT//iZaUSt5KOEcc50/cp/jhojd+RtF3zxdocyiEu34/OaTZ65NeJXAWa+Ip
7qvpySgt8UxZwH43uMaedsUGhgrSM58NPQB51tfTsuwcswc75Fom8jghkw41J8my80yb/qxojiCi
XyDVQk57bo26/6eYsjLQtVp5jCJqMPcfia2Z07uCuEWARZ13NXOjEYVS0Xq4LIhNHwXktwf47sox
oi65A/zYuHek/AyIVl4KspjVHTe2hKbOCK8PCwjxVHdV9KAlinpqlyg/tp31blaq9Nv96W28gYzp
0eAgoiaMXL0Walfk6P4K5ZJ2ZXT0RJm9p0TW7tRoNhfxj1FWi1irRWWPLlqYo50mZOc6pbPUk7pg
yQg+6P6UtuoYNGqoFbtAkF5jPYYwX8we14uLBmzoO3ok6bFxFu9gYkIqgt6r86OjJctbrclMJ0gW
A6BWE/41uR0Ij8yuKctLOMLazcZoyehTg0CmFmp+7W0nv3qRtyc2u7my8vgDt0ATZV3yVNTUidKi
jq7YgmGzmjfYQVhx/+x5xX/o6bCcHALaLQZF6lUYOIHXS5sGiKo7xwAcda98yMfiw/2Pt3kGiFo4
91Kqb02HQX/Aa91QWrjjH+gLR7RHy87wVkkRHh/zpAuGLP5+f8ytNaSRpAMthmpMH/L2mQCros0O
kuRXU0TdYRr1yq8XVjML4Qr/h6FoYuhcbSSxaxhZxc2Zo5NGCgL9LhAiK4K8U4tLiFbc6f5QG/UA
9AGpFqI/Qgl+DfokD2ortSFFQ0g1Pw8DbgHONGSnCWmJQzFM6VfyLutTH83/oVz5G2kkVRAdSYe+
Xc9ppkaBPD8XeFx75wqxrYOTDGIHHbJ1c9HAl3V+CWpd90yzKNYmy+WUA+tFAaRV1Eum63u4ia29
wWX8O1wimV/rpev6Es+QS+Faj6q4Lm6b//RK3Tjazqz9h61P8ABWml4g9aTVsmlCbenr58olqgr3
IBEqfmKrw7nuy/GUZfjjFVWV7rC1ts4bzS5g2DKK4B24/VZSFTduVZA8SjiNKDdq2OegwX3MLOW9
7Qpg9dCI/sMhQPhApq7cWiCDV2NSrIh1zIGvjhaZH7KqTQJcBNqfwlm+/vUZoFgEdAjFXbKhdbmo
SBet7lIQREqJxhAkCLN9NJJIe4Yj52FNY0XFB7s36+UMv3LaSSM2NigkcykdI8us7rpG4qR9M+Ee
FV2tGZCor7UqYDjE/dWd5dwch/oPzWiJJlpLQJpVaMdNZ8Ewb7ManIg1OacJZ+gff7+WpJRweakA
AB5YZctxgRTDYo6U1HKrudIjRQ5KFIlPmzK8YpnRB14Ezy7J6700c2uCzI5DTvpHurLao3qtCLsL
p/DSDsX4Ag2ngRbR7j1vv6+lVVokWfMcAnjpAH1XwziDRpfPQwRRaa0l8pGhayjOO2ZsHdMhSkIJ
vtVfOLv079pFm+tD24mxPRf5Yskq74zNDP2g3juwesDSda3UkpMdcj1D4Cn0vebqVumZGwmtLleH
WuGuK74hGvqOaKT2ZywVYIu2G7qDpsRsAqUWC6W/qaydY5F6RejD+ZgQfQ/jiYbJYgxOYLSlUe+E
sFufCjwgdz6+0WTO8t//SJ0rd46stIJqX5iqeO4UbwZqP+/F5FspAgdUI0WgWUIeuboqqz6K8i63
vQtaIHXQLFYZzHpbX91yrg6RDYHCyBUdgGARPdMPnn0vHsaL2nsNFk3pntjX5ocgAAOjiPwskJfV
hTZZgzJy1biXXEHA5FDE4AVgfVtJcyht4dgPKA8NyDeqDb56OjnKsUabpT0Z9PVdP1PsKb3cP6wb
z5a87lgfGDEArFbfgau3aIWVhZdMJPmppWX8ZKSzdqJg3v+HTy69QBlEcvzXpe5iqUIkxRJOp6PG
R6tv0qMyN3v0HvlF14fTIWCSCClEq9dlwVmUodE12AHZGT39uKmjh1HVMrAubXiol/Tn368fxW1J
J5IBzDrf9cijq7ySXmT2bAZqixhEXY4YPI1Z/vcvMGaqpO98Kxx317BdShMNklSRgnRZEp47o0sV
37Tb+mnsFssgEo01w8+seE+YZOPl5xKH18qFhd7mWmO/Qnu1x8OaLIm799wOSnt1HRE9hqmL2RCK
B9e5M/burN/ksvV3lFGh1I9SEbFendy4htauQR++UtZIjVNXUYsPkhiBRsrvJekYNNThOuBiaPip
Ebc/h9bFadVpgG2MRhoSnqgZ0sZQPBzx0APaz/wBvnEVNG0rhqMb59N7sXgKuIQ2mydfS4Y5BeAx
lDUGR0mI5WIBvvbUI3v0BYPcLAra0W6/qj3EjnedN46YcYLjekjr1nWCkYssCu5vLvmQrNdAhiVU
FQiRkdK6vSQdbuikqWsqtEpcYfMzO9lTI2rv1DgphVqNnva5b3Pz+2zVyfn+2FsXNBVb+vzI83FB
rMbOLfjapdagHK7ryXFojP5cJOEejHrrtFKtpS34+11aVzKqgk67OvFiK02aP1hqq4JnxOcurC1c
pSoj26kpbqX8xAb/f8DVfdfWcT7EmOZdOqfC5TTpisColuhtNAOF40+ebwqMy3Iwe74eou/lJDQW
7i/t5qRlAMZ7RP95TdvBTBEVFWhfXFEOfuuEpGfp/Bqoo9m9ibyq3LnjXx9gcLOMRRhNFA3I6nYb
VSmQEC8lXoHUtwQVzo1vlmKZAg99o4BumvGsLtX4cn+Srx+W20FXTx2kNeBc9JAvca1NAYcZWifM
nWAc8ux0fygZUN4eE4by5DPG24JvwKpoZLshAIWObxorbfR+Dr0kwEW2P2Ut4mF+bnfV+yyi8ucp
HXpt9rSn8bI1Vckm5f1Ep/eVvjirC8ajH4CtL631IZ6X8skdmnq59GOWqTuv6OZgkNdQ1XOQzVhr
FFn6BOUKUYxrXXv11Vms6kFxwvkdFQJ9Z99sDaXLhxQsBoWcNfRvNiNhpm0OjNP26kOfuvi6QdE6
dpn519LA5OUMgo+869LMW6vWqm1Zq1EP8RSnZeVRaEr+b2eM/cERxvzx/m55ffrgMsvYneIClf61
RRYWuIqg5wHqj5RZ6XguLGOKTlk4ZQdPd5fj/eE2Yj7Gk8ecxA65E1eu8h+RbtulIokmRHLRtXU/
jm0Z+vMSgrtVCu04DoOA7m8bp//D2XnsyG20bfuICDCHLZsdhqORZAVL9oaQ5NfFnPPRf1fpX/xq
DtGE7IUFWICrq1jhCXfABmIJ8BbM3tQ4B57mTDMO6iCvXxM0X0GoAzegovSK8mDnUzxiOAqSc+rT
915leSfDJqU2UsU5mfNi+UmDq2lTjtYfB2sgb5jtCf11aHlD/bIGKBzl1jgsWdisqtoBd+nq3jqr
Vpa9rC7afH6N5e7o04+Hn1torREOpF11OOSReul4mXtWrzGOtMV2XoOfNlCcJTju6JhuHrkZQbdu
pKwQ4uyLW2XZ2ddeWZNLOs5kqUVePxtjlwb9OLp8tDa+ptWkHjzye6eMsI65UV5HPl/ebr+sTWdq
eGSwR8Kst5xTVLbqX9ow9CcbQ8mD77C39ZFv4/UjHdTZlPdDjapoSC/h12T1+gWlglI9uQi/BEpX
Ox9LCiAHd9Xu+hLAMBI60xBgNk0DIzbHhsgxDqN0yC96rJH4Jkth+IMW2UFlRObZavv0udK1+J3V
ULTFuKf1H+++vVkTyUg8AgEsMeX9rJGod8tOTAlCp6n7t9r29rtxycoLojzds0kEdyQvtjsgxTnM
CkDWsM73Azpamka5x72puWwtq1DzD4uCd7ozKTFgF9c+CNX23neaeryAMpN+pQxVxUNm1C6UrWJA
CMKZJtzbSjBzfjmkC7ntGAVtahoHD/zuLDmFEgRKnX9bBYkFoX86Iu/TeuP811zHvV8qcfp2siIa
tSgcXR5/xr1X3iND5eYCug02535V9aYt1L504xCGGIanE0o3WjH+tdiR9eRFeJCDs85OWD+3fpkv
/zwefG8ny3NDfRckjWptPUSssZJCrXj1RfSoMHQVGuKWmgbL+qr09nopMJsK9VZ3LgJP6hd6B8aH
clxj5+BNlkd0c5NKhzqpsYm+O1i6+1WwG2uO83kQYU7Nw8/RL/iIsb16ECbvjoIMB9BeHmXURu5H
cVlhN3dpFi1JY/wDjfRzU87ml8dr+pNKuJ0LUC5EvzVZkNzamBgUPpqhTEhoE6pkvt2m6/d68rK/
NU9SKZM16V8Gta4prlEsCFU3dr5yhvMMR9uZbiAElNak9N3zQZQ4Wlt/8diWPi6JBJqrPWM7m0Hm
7oOhHKWxb4UN/NHzLrfdq0mAedIpdxIebEHluezxJ4XGJGyz8U7KFK9v0jnu3GvVF+l8adt1ioLc
1vuv3VA3TqCoY/qsRVn9TfRD9MaucrcIiAqqI8OQnQOKhjVJxs9iwauYaoLgnpeWAhpLEdNlbnrj
Ei9T9I+eV+ofc7keqebvbRrE1GDB8ZACn91sTTaNo4zIPIc6nOXQ0iOz9Acolu8fb5sd1QOwebwp
Ui2ESGabFSOso8QUxERY5Gnu+jA44m9xZJufu1VvMl8pIqQM4VmJb/rgaPOLshjFDXGgdjytDcWh
t8ZSZc5ZL2QOBCFw/it2bHAChl66ImhA++EXbeVui4bPuHxFYsn53o5pr161mRsgsN20wVh4LYqP
lRvh6ez34+L2twllBe9cDRWOvBZURddfVRigl2k2rfa29O6y+otZVc+A4zzhT6OWfYyipldCLYUS
2neF/pcap0NNmXYQ7VUHQfG3w/8u+7eP4TKDXG2Fc+5qgqczNItGfDxY2Z2tLP3yTJpLEiu6fbf0
NavWpYfPqS5GqDae/XbquvL2eJSd14qWIttD3mPwp+S2/SXeGb2kgixOI6lOK/W5rafm2S6TLszX
rHgLS+azV0Xa18dj7sRYUAxBTMAM413evsj9WHc61l9gBVPMrefCLJ4a2sMBQl5HHOa9U4eqOyJU
EMOkmM399MAPpnmzAiVamupH7bnjixpny0d8P7x3kfDK4SB83BkPQbOfKQaoNxq49+MtkSuAmhSg
ByJj0X3NWGoMxUp3onLVepAeoAWp6efH67k3KEBFWu/Qjblg5Hr/8g2xTM+bZQBd3SeKdl4n/bsT
r51vLzVijfV6BNbf+XxSFEjKZSMUaW11MBon6eC10L8Y2moiEhfyNqduaJmnKjHS8+PJ7dxjpuwB
8u2QoiKOu5+cMI1aqI1EhVQNagIqHn1ACo2DJ1Yeps27AWHbkCAJSGi0Ee9HMUxovLVNv7hVabJc
5g49gT+d2syevVE1Y/QS7f558dq1OtdtJezg8SR3lhQ+KlB86eWFNv/mhceK1epQWlGemslsAt3p
0uvgicmfVlH8/lCobJlQT1HoN5CYu59p3i1pjG4YqJZmrC4OKe5LnhE/naZySQ6uMH3n44EGAxNG
9R9s2FZYHVKmreirkYcOcszleYw0CJL2qlqjb1lja/sJqeaPdnCSv5OiGArkRcY5o+2Wm//LsrR5
4e6t18Bo4dqd60xH+nkWsfSBTNrKh3RNGRmCN0gFD463znvfd9+1UVf/MVxhZxDt0umji9vWkU/z
3sToT2PgQIDP5SlT7F+OnDkPlBFmJQvrxGtRwl/qIMJm5OBy3hsFiVn2I00z6hXy738dhefJmgWJ
umWu+a2e3PXkGcsaPN58e6OAzaUaQRTLOy7Pxi+jYAwmEtcY8xCoYP8mgcZ16qp+/v1zDGz1/4+y
uYmHhmEmvcvDxAImYcx2fNHtRj0YZecgcU2AHiOSRQFgCx0F8g75Eu5GWBeqcpoMikp06aqLCXr1
t68McBB00Og5o5JNLel+2eg4z123plmoRSJpT6Qc7TmyC/fDiF24CIzJci7oAt8MJ4sPMvnXs2RY
5FSlKoAJb3azLzxCRludzSxcS7PE7ilRfcMclzBWhuUgw3l9McqhkDLFsUCCdjZDxQjAlaTmeWjE
cOKucZd2w6V1Zlec8hI++Q/dGaHYmoURhf28QOF8vDl3x0dcgRIh9TpkFu5XOWmziaY1q9zXVvls
rpN4G3W96rudFd+KeE7fFo2nXuBudQcj7y4yqjK02OQR3Aa2ve700EvlyKuqracaL4Tv8O0s4bt6
fbRvX59B0mheIPJpohXeyvtpllOdDx0y/2FCtu3DgozfIKAxXB8v5utgDyYfxXko0WDxX0FOUqOc
6AaXUG6RtStR0JutIoCW31X+GDVcrk3cRy821ZmjztJO3ZWh5Y5FAPinEPD9BFtVlENnZEVYwZr+
HFXt/JLnqa2eCySmfsS9Nf7Rd6UToLw/PGcGvn6nrMyr3LddvMb+w6eV6QrOs66sX2xuPAHkOoUG
nlMArT81ceE8xVasB+jAxp9+f8WpOxFUYJQBo2yzfYEh6/1gx0UIdD1HeM1T/1ggPfteXnefWiws
Lg5YyYPW9E55RDb2aYJIEjjB7+Z16saGAm8hirAcq/qy2ALJBc2a308ujiqDo/+zNIN3zdoeYcQc
x2oKI0cd470NDcWMIh/FFel4fP+9E2WKoMY7WdhSRb8OjWucUoC/58fLuztTqUCD+yfZJ7iJ+2EU
0xWaGllZOHtt/ge2q6Pnq/rspX6u1bF2mZdpeQPuJD67dlJUflnb0+cVh8Mj9PLrGJynjRoQK47s
Mvn2/Q+J9Kk3B4ixIYYr2erXhjN9rzMIln6DBu651LKjw7y3wtQ00fHCrxq5rc37Q6Vaa6wuzUO3
Uta35tTYIa7G7UGRevfg/jrMZi+1A/5BA+FHaBq58S4lxw/RGjS+zeh7Pnvt1P7j8qw/Tx2ghFM2
RXbjD1kyZqdWHyF2P/7eu3OGXU6Rk9j11caeqayKoon43J1nlSHkrQj90UQMXvB4oN3PSXOWGAKw
4ytQZ6xOXJ8ez15k6s3FMv4xreQ7zmD6qfRQjH882M61DO3ElbGkRJxvqTVDr87CyYw0zCZdTz9l
ygg9r+4h9b/JbCe6YptQPanqMN8ej7szSTh0SInIywKlJPn3vwR+vbmY9LcthNm7AfD0uJIznKKU
klmiZ92zXg7jQbVo77zykDMW0QQduO3NRJ4+1klLmdouJwrz/tRMevPGVXqlOxcYGn5YVX00LqJe
Bfr0hVCdsEP6qL8Uk+jNT4/n/xPPcJ/1wSglekOIRxpMblvVXWP24O66NGzG0vljrsz0h+IZ8NwB
EY030pTEuuaxkrxQn6ubm9c7yZmUeAjsuUs+dWtMbwp9koPobu+z0BeEnM7lDRVBHoJfPgu6JXrG
uiShC9L7BYpuFdR6OwICrMSb2BkORZHkEX61DDAEwCJAhgfPtBmQO5yWD/o1rjFg+hVHdTAmi/mm
pY9+bR27CZo4Q9hk0buTjfftCXff50wR2l9Eor/P4gNmSfcPGoH8LFtUP9r5g2lSlgqrOButIB9M
pbhYnbf82bRuEoyD2T15tSaGg6tlJ9AEz4V0EHIdyAd5m+tUTFhDZAXdOCGiIjDXMg9a96IVZwvP
mzdj7703UufIkV2u7HblqRYBusQflvLNJhkHAVW7zujRAlQjNEvq3nnrrdURv20nkiV6J/+mQsR+
2tbbYk8vPHI7hD0tRYIxRHtZtSUKlgIX3sdHam8oYK2U3iHpgJLZRFYlQB2UWdHX8tYJTlfTt+uI
5JQHfqsYMcR8PNreSWFG0rYE8D152P3GbRTIxl2spGGhzjjPJUJHpjN1b96afF/BiwX/Ybif/SaM
yPAu2G6RdK3MpNXTUO+K5on2vRuUk4H2Rpdn5zSyuoNwfW8x+XDootLSwzFhcy5LZFIGXWG8ceri
MJ6i9dwjJRNUIHkPAqndoSR5jchFcmk2GzHX5kVJUFcPlYI4ql5L/ZzNnfalx13qYBVf73maErw3
FLy432Cy3n+0rhOel9ZzFiJmT0hMsnzWeyiej7/VzkvDMCb2pOB7ZZ3LuB8GRoTNxtcZpkW1ANfc
7EoGZp5rT7jIFBjue0TdmquDgqevaLMZ2GbbHjzsMsi9P97yN8CAJvD3ZEHi/jfMaY8fxUIQbFkD
G4Zb/DaPyvIm5XufptqbLZ/7vPIxMMOgYUmdg9P4+k6T49OchSUF4Hx7PtRe2CjsuYRL6Kqkvm23
z5nbtWdB3/I0gGjyx3pd/uidLDk4mbsfGSQuZT8DYZNtfazXugF19oLVL+L+vKK2fu1K0/jtXSvL
+pK4y7YlApa7+peXEpxsmTQZ6k1zrERA6TT1NLWaE4iuVf7DUkpeG31ewk6gxfdDMVFU/vuaoaK+
uk2O0196a659R109CGGzegEdOl2svsP57fFWfn02mSUMPgqAQOpe7SJhjGOpGBbhobCbBeRXGn1Y
ETnrAqVtQR0/Hm3vy1HxoGcoZQ9wsLmf6Czq3MFlOg0jTKYMHzMT91Pj9t2RAOLe3gTMigzG/+N8
bsZJHBr3a1KlFASGdkSTrM4+u6O+jshjuPMz7VrSfn5eLvzcNKKDtGZvTXlxKa7SpnlN+bacJCqq
MkvDVtWLsMjmOehdK7/1q3G0oD99n7e3AIEcUAVN4jO2NUnHHPO694o0XNe1yT7oRT/jZWOIVQSa
lCT8wndQhpsdjdoYwj3BeGZKJ30JDJB3BnwUlMz8xDXrGMwkDgALkbx+nq3O7W75unZf+1mv8R0Z
6hGhxSWyCZyXObmp6mhE/rqYsXFwr+0QObBlJqlHmJjiBkt4v0mwddOabhzTMAaQ9a4RdXPBm2Q6
KaUaX2qliE/I2bSnBKWHF9eaEFiCSfM/t4+B92loz//+lqXbj3o2NAbKcPr9r0n7ZBCWhWopoMX+
7byOyskpCufgstk7GPISBdgqw41tiQ7N27jsXZAPRdaMT5bTKjekyNyjQsLezoQtZaPe5xGwbRGl
6+iOlWYjhVy3mh3EamKfuh7+p5cL54De/Tp8otoPMQzRLXAf8DPu142bcoLmglBxvNb9CxrsGrbv
lDZnNmKwGu7yX95kmtn8w7PMUm6ijCGbUflD4Y/usqF+R1JoGc+9U47mc645JS6iFM0bP8cXKve9
MqsQLBxK952a9bCiHu+ZvWWm1yaVQolCXoP5+0Qo7oJieAzlKHDNNgrj1HMuKTZ3B9PeHQq6E/09
RkQi736ZTYAoEM7ACFcQwcdAy9VOe5lQ3jphtEKr+PHE9j4qOHZKbqBgeDg2hyHGxkR10DAKRS/p
VeCjnkUKXMFLIvMHiM4jrPBuoMXUqF3LJAOJ/fvp6TWa3ZTmcKmJJj33cSvJn43eNOsbOp5rdpoq
CgpILYlPSxmnzbmOWnHL5to4qtnsrDNoNIt97NEvsLf3bGe79mQgm0UZZZ1Phbbi/gIKIb2N5dT8
/vtBpV7W0qn1IbK02cl6PvCp8Y0JwUrrN9tL27PnQNHLNCgtjz/ozr1DT5gkAFKGBapwM5SYWjOG
qsj2qVb1WhRdfYnU6IjcsgP/gk6EQojLsZSyR5vPaCwz1GXYGKGNLqjpYyU2/8ADSvsbbJT71tDK
Ch+IKdLL56Eaa+QSjUafv9krp+aMHHj9uWptO/s81emUQUQq9BGhUX2qbynox9FPSXRbH7uMTKJ/
XOdsLjX2qo+Xam8HoE8ja6KSorFVOsaynOsOHedQsQ3MfBtX8xFxzm6ZnVsHh3rnmCHdxkoR3bO9
t1+lGBNj1KckDyvkrF80ZejdE8XQ+q9kUOaLYUaLdnCwdydHZk3DgvIn6cT9OYv7FcGPgmBXt9Tl
ZehM99oooodmMXgH0ftObCZ18rGyIeYEe7F5GOqlWkfogfSJXJG8V0ovfVrbzK6uMkt9gXpHVW5N
m0sNU/MIH7y33elrIlwLJIli+mZsdKnAeRSMnSAFcsZnyz33VtIfzHBvMaWtDI85FyXQi/vFrIxR
i3rZb/OaorF9MFAW6sNK+q+9mun18a7c2yokJ6BX4I7ZREv3Y2lIy6Kq3ue4qdnpOdHj+nlWxIda
H6ugdNzpQF5obziTfJcuhOQWbJVYJ/SL6gksXliCnQs63pk/xVDrOAKO2bUwrKMW195SkmcTfaHq
QBF7U/Kh0cM7hMxeKGLnwxp1wxP/5bOnV0f6eXs7QxZ7JIkd3YgtDJacDEUWAF2hGo3Rs1aPzTkV
xVHDeXc6ZIo0VSjIcdjuvxYY7WEwXWpK/SKcE3bRSCbVnumvOCp+frwx5CbbJAayVwRWgccC2O7m
ys3GCiBVnWeh2/brReFWpEcWu+9KZS2uXddlT3kTqQfNwd1V9Hi7KP1zS27PdgnYr2lExjXSECJb
gpxDbet/Hs9sbw8Ci+aJpGUgNRvvF3GG8NXqEG9DQ4zAdOrWR0V6uYhlbAJFKw/W8WC0bRPQbMoO
YAs6y2OVWG/qvPiWNln2vufgnWp0Is+PJ7e3Q6in0MaWUkXkQPeT8/QFckYpsnAZISsMQBJOSgyH
VVS9FjweandmGJYAMNLxgNre+fjmrugjsxlNRfEuiaHnN70T/SlJE/XcxvN4eTze3uaAmU/9ECQo
xfDNdzP01XNKlyoH/rH5BZ2mOoykSPPjUfYWkHI07xQCSNIT+H4Ba7OrCm+oUJFzR+9sweU9L5QF
b2LQ2//wrehqUG/k39qrjMOlPptPNpehSPXkUkVJbATKvM5ntKTH4mCwva+FbA/bAmgkHN3NRV+J
1WmFUeShEqsjDeh4OiUOGtHqSuvOqbojhMre/UGFBggDlmSEIXKdfyl/gUqBvlLyiC1eUX5ui77z
0a9NLkndqZ9VDDvPeqIcIVx3BiVMlGhaGu6yc3Y/KPuwaDNZlKa40oVVjn6xn/d2f1rsXpxspcAJ
bmi7r4+3zO6o9KGkvhQ1sC35UXF0bEicNQ27EjvChMz5mtOPueA54zwjAVLivlRpv79PAf/AhqBy
wz/bp6AevXWs05ZBly57O5Rr/CHVkiwo9Nk8AJPtHAnyfV4C0kTenp9d+F8+pe7EpjdG+NzNTqy5
l8jOm3ci4xA9VTYpzUFKsbNRuU8QzYJ6BlNiyyafMTTJjTgiD89y5+8mbqLrODTd1UompfPpt04H
j87e5yPTJjVD8BAt0M2jyiKu5Thiwwi3TjklCXYquonMrhHr46UESX8yVXwEH+8ZGXhsnlfiUSoo
0rCPjvNmUL1xh9HGVj1sSq1+72jzW9JX+5I4eGc6cZNcF1HO1xkbqE+PB977mPIOlep8BJnbvo1W
tkMGMIXiIvJg6QkLCvr5xQQVarTt6D98S3TYMTmGjEVUJFfhl50DTCCKbcpE4eCIYrgsgzA/1EYd
UwOroGW9j0E2uwfP0s4zQWMa8CPS6T/1XO7HxBYWtx7XhVIn+xq2V+YvrjgE4O2NArdEKgKCiKaT
cD9KajdQq3rq3k1h1UG2yHJjPZYHl/YOwAUaGyUgZLSwzmJGm2FEPtXIP2fhaHSV5/coh3z3mlp5
33IK01OG9EXpd/ivIfEwJGYghGnFwZqAOVEdoz8oLOz/HPSn8VIgtKAqd/9zuHirAoAj0YUB6kOM
VXEqMTx/o62l/aXWqvpriUo4lihKccvpcQVD1vQvYkZ18vEu3ivywtAgjabgSSVpG57G3pxzcDWy
6TyzWtzTi+LWR6N9WqfKqFio3AtFtqyfx3YSt6WylncoJqsvcbskLuY3/e8TZmVFyyEop+FLZLmJ
TrDwtdeyos7bZvGPHPUa8ra081Fu1a9TqjQH98fPksf2ApG9HkpJ3JOAQO8/Rcc7X4mcDajiFjCf
V+HQ8LFXuyjOa1NhTzEmeTyFs5FVGlTHyf6QWn0Ma9iiln+anVr7omkChXXXnf5VpzjHyqDTx/6E
YXv3ktWRyKGGIofst1jjOddxncUfiTb3Jm7zff0cVdmq+lWfihT2SFd9NdtKW65Ebhgw0F/rv1GU
buILJfX2T3wWE9Mv6Z3EwZJ7iXsrLXtJgkIT1fu2KODmLTFyu18owhFKQj9fz2s/mOI2N5XQvuh6
v3zCRLE7aoLuHWP2MqBWwj06v5uvhuITuB7LJjrX0vWD5TTZuxiIxcE1uHPnoiOC1SqlXPofW1Et
xFDsRSwGKpd2Mp07w/2xdHF/IeuoD57qnWeF6pgUwXNwwHsFUBFZNTpIWcA9LXKEasy4Suenwu3y
typiF7XfxUUJWKfBj2TR0sQ4CNH3hpftOcDYiEMSad5vSrG6dZdT+AkV6td0rsEJpU1XXTSMM24o
5dnXFjeFsx6DnX18IewtMaoa8ibg9OHXdD/yIIS2LHlBu0DNlnPqKG4QO1F2rdq+OriU5Z7YnDzQ
3pQNYBSiFbbNH5HWydWkm0SYrV0fqmrf3jq3KE5FJ+ZP0GhKNrq5XJ0YR0ef7vDvkzUpZVDc5Zqh
mEXQeT9VzDAmzMpVGLdjdoYYtF7WfoXe1HdJwJc9WNid6IjuIMI+MpkkzduMhsd7hSpmGz2VqYc+
lmKNb1x8QU6t2i5BRsP5HE+q+PT4a+7sI6l9hnQkNSnEDjZfk0JLhql4Cr0QUZG3a7J2V9B25SVX
6vR/aU03BseomEtPEwcfd2e61AYoulHEIWnZ6kjGkda05USHS6/jKmw1tO70OR7+oPSB0sYoWrRV
syOA/c6OIoj/ucj0e14RdpocS57Bg01ZDKI+e2uuBhmi218a3cgvyZrX11mU46lzQHyNczX89Xi1
d84OcaiDniRUKKn7cb+hKmdMM2ikuMY6mUoIWuIKtgppsj0d3U879y2gTpVmKJcTSdpmqLqYF9db
MtlkGyvh4xY7BlVezgdlxv1hqKuwY3kat2Idabe6RB+ABq1pLQu/WETxrYyrI18J+Ws3NwGz4UjT
cIZCtoXQCCl7w6uET2LsWS+123jXpDN0v7M9K6im9ahbvzutn98JaALVU/khfwmnjQkLKq8knC57
pQ5Tt88/zvl41G3ZH4UpkdBSM90KbTVCHdQMy4Ww6ywcCsSiWrAxaND8/qtIf8KV0hdSGXM7GyeF
Cw8AKA6NyeyFP2oVmVfldLCeJwU4/ONNvjcrwOgyZAIlB6Lxfu3iStPTogGqlpeF4rc1OO24PRQu
3Lu4pAwauGw6BM4WP2b3A8R9gD+hKQzlLWfKCVLE4t6sbtb5nTM7AddKedK0+fdFu+ldU1oANobH
GQfsfn6r4sEqy0BraistzKVS81O6KsMf8Au/Pl7JvevCIuvhdMl6x1a+mK1gzMRsSYjJ7vhXZZUN
M0u6TzPg6YOPtnfAuC04W7y07Eb5UX/Z8Kk3Gm7SYxuMIyr9iNYLez3PT3a5/tnH/ZfH89odjJIK
Vp2k2jzs94PB13cVIzPjcBpE/+JZSewXg+peahygzzNr8fR4vJ0dKSMWCqcU83GLka/CL5NLVlPP
J6NC8aZIlwvIx+VphXYaPB5l52uxeJAwuKZgE22NR5I+n+ZFm+Nw0JGnnzu8aGy6gm+GbjoCT+5s
foSJbarqnDBY+/r9hGwV5x5MVeLQLHLPDFM1y9PAXof2VrmKZ/kVxc5ryyb902tW++DK35sne5FT
R9cCOvcmUy6NSosdXH7CecrbLIimQvsYpVNaB2qsL5fHi7qXCJM1wGGi20k/f1vYUHIRlXZjl2HO
9z1rixEFmTrnfur0ymV09OiWaN4nqXzsK1bpnRoKroE7ZAdHcWfL8lVJv2Stgy202bJo1zdRm45F
mOuVeCoR1jnNQMQvVuGRQI3pUaCy84XBSyIoCuNdFpE3W1ZXK8VsCBDCyZjVNnDcJP6qzoreBY4W
LYQvif2uy+IkWHSIXI/XfOe4SMyfTLCJDNFRvd9djTvxmEdmEXYFiD8+cGS9JyjsjySZdiJA6HAO
olcgm3kAt3Ms1t5S4HOG+TQK5I5HSLSA489lB+avQdj81LVdcfsPkyMcIpvnISU0up+cSGvk1Vqt
DM1I7Z4Lsy2e2iltDrLDvalJ/UOubbhvvFD3owD/NOtMWcqQHpH1oxtX/RZpTvaXV8uayShQhgqG
KTuCiu99OSSMiS1BVjH85mjCuwZiGMUl9fFsOGetk6DhqU8HgLGdCwDEJkG7LKpS3NwsYUQJHD5S
XoWqUVeqD5DH+KtNu2rE+1JQ43z8wXZOAiI+nDyq1EQUhlzqXy7vpidCG5WoDN1o1EXgjEaMF6hq
j187T4vLwDHANp4wdR008JHLXFnXxz9gZ7oesSc6HmCpDPLQ+x+gd0CnEfKknyPQP1WFu1wcIzdv
JHLqwVB7tx07BsEeQNPAfLZ4EjPSMnaoy1jrDP9kHcxM9UGltd+62EvxsGuser2NXFFobaRZL7kV
uptSyO6F5isQv6OD5d+5+MBRWTxnSLWBr95cfAqIeZvSTU4M19SBhSbpG9wJBwzJpFc5pOyDy2eH
jYVtEPxgSXeg8vnqwrdyAf8Y5MfgRf3bLrWt98T8jXvBvnUhRoj1efWphXrupUM62g6N3G4/2nWD
hv3UO3r6tHiN+QzkHVXM398JILCBYUPR48/NTij00intystDu3LLczwriLRqSJ3k3awc6ELubTpU
VXAtko1zOHL3m07R3XwmzkDBwEj+tSLTe+O2w3gxKAh+/v1JUWj+ibLhJt7eGTMEnSjRrTykEFAF
i5okZFXo1BX64hzkIXsgQfAv8CDwZZN8+k1qkCqjtcRJU4R9HqV/T2W7/tFP+Rr5U+ZlT9rkmVe7
bQrbN9MCoR63ss5TT0n1YE+/XlzSBvjvaDbwxPGu3y9uqpWKl1ZGETaGNpmnMsmHLADlJuFsi94e
qY3uDadxmn+meVLl8364KhtGV41BfjvyuqyyJf9zse1vaxkbv/24odvGtU8cKi0Rt4neyG8oI0Ts
Qx0TLi7JaH1qqvyI1C2X5z4ZZxQsvmSvBODbli8J8HIyRjehN4GM72f2iXqrkGD4G/0IU5zU2B7O
o4pW/cFXe30T0cCnDURPCcQKkK37Zcx4q9MmxfQ+Ue3m7eqU6bupq7q39mI24joaiaZfHh+N188p
I9pkztQ66eNvTTOcqiUxs0zKNYmwAmoCRaDUjnZw6e8tJwQoCJeyNE5N+X5eRsVl19GwD7smF7e2
qrTzUgzu2wR7tgul0f6jVAX9/aNI456N8jPhY0k3RzFOSFC0lSw2SUvdzyKO3uoNmC6jRPCxRSD3
34l+6ZM2tPkFLUPh13C7y4NP+lNiYbuVCKdRRjCJI+gL389dAl7BofJN0yzJ21MGrftNU0zF4q9G
09GgzQROS8JB9OeScno+4UVWiO+tqGIg43r3ZbTxhVf7vmiD3m5G4+o6nZBZeb/a/hpXpuYj+mbQ
EpmpsV3c3rPOOG/U3VVBxfBcd66Z30SMxM5Fm1fwGp6WVA4KVnVq+gKBWOXga+/tKS52kqef7ast
g6h2zYltQPeKkndxjWIveiZOO6r4yNB5u64SjM17zQqSN92vK6CWRcM1Iw1rRVmG65KY3k0hdvgk
9NT2Lno/qirU/Dj/ANo4GU46xl3vf//wIIlNZVk3IIFuy9nIHIq+0GOIEtEongxD0YIJmeGDd3Lv
UpAcAuisktm2bc4NLPLQ40gU6q5YT0sxD++zVkdJXojvaQ7C5/Gk9q5y6iOyXPdTslee5V+C0RJp
G1JiuBKqxn2utIaBDVHsPvW2Zh+cjb1rATSgPBe8za/oLECnDU6cA449zutg8Czw9Ki4rufEsWOp
T92L21ouw5+PZ7jT72WC7E+oLQRgFLjupzgsSj2pFbUFYTVzdHJBF53mOVLfCFC+/1pF19K5NBft
atH19XzSYjM6N+vqvsOuTKEPUwr3x+PftHdmZEIjK+ckHNsmRYFipNsuYxx2U2J8z4RbvjfH2DlY
8J1vCwGGNBRcKQrB28dTcRVoKW0Sh67VR6EzoU3j6ePyYrfqkdnAzoRQ8pKYSASqJDDlfo0RrCbA
U0BOzJX3SRty+yVH1P0gB92bD2hS8kCY2DQC9PtBhJHrfdYbSQiXqA8IAWkA6GvzbI2TevBQ7pxC
DcUDl2YOoSrJwv1QepzVSyOhLuakaujRr9O7qdfjF2dd9W+lCvD/8YbYH4/sWn4p6vNy6r8cw9Ep
dWV1eJiVHBnFJLG/lvAIbiOlyneo/7oHj+Xe50K0jGI2OR002s3nUmpvRB8jRr+uVQca5dp8Funa
H4yy971gk8vikjT42KI8G7FqXQXrMpyXHDHawa6DStG1E0yw+iCDf51Tw1ZgLhRF+ZPq2v36VSg2
4mBCMz5ureVHhhrlaeCtu81DPpxqxU3fOHhNvacneOTTtTNJSN/sekSbpb7D5naxFneFAI1mGbZ/
o+HPAAbQ5/Pq7K0pSu/onO3sE7p8FHlk4ZD4YnNd262xIMwsWQTqklwwgaj602AC3yizTmn9tjT1
A9WOna2iU5QlZaO/J+2Z71c2M4y1nJO6CNdYqU72WBpX6Vhzfrz/91aR+wPOmlxDmAv3o9iKBQlx
TYqw7UwK2iImKEa14gRA/0gQY28ogHOEiuh20UjcLCGCWIOHT2kRItC1fhvVRUQn+m/21wRS3j+P
p7Xz5OkWCF0LMTtZnNvEpCOBmZla+K1W+pS/aPO0tKeo6PSPSaQnpT/rWoWiapVf/8uwxPkwhkBf
bhOLQXKT6wUAbevO5eAPXCy1P8a5RYpvKtapRWk6XNACOvIY3FtbLhUpFSWd+bb0kwXyxviTPTTN
gx0kmCp+Kg2MU4tZ1T88nuPeUJAPZRld0g+3BUkls/Q5Kxweg7600HVBnt53ajM/F5MB8ujxYHvX
CyVWHjY4fxLseb89px7B28LGzUOdLPtLl8+ajh1U5zzZeWs9pWtt3DRIQy9pmZpHLOC9iWKOLnUy
KDRQr7sf2wQyu5g9GYXlwnapGnM9q03SXJLEFQdnfe92+WWobQsyH6Zc1LNGk9gt0kuZut1l4v34
dzUSHIuaOPr9ziqVUMkeApaCiuq2FmcoXVMn5f9xdh47biPtGr4iAsxhS1JSS+12O9vjDTEe2wzF
HIu8+vPQiwOLEpro3/DOmClVYNUX3oCHwaBNv1NzjN7kXbqXoPB/Y4k2ycMqpEIyCpaKy3qzfciN
pHQVQPhEdWKZnwqw50vlQ2BXIOIOunrMl7Rz/CjSRR8gWWMNGAh52iVuojzzLaMsi8DRBmU+2Y1r
18EcW+r7buyMr05XxI4PpSZrcSMopBWqZt7Z7+ZFtL8FzKQMD8bW+xQLqywfPBtRh5PhNmBPuqSs
Ol9BzvuSaxp+8F4hIjVISjn9ttXSxb+lctVvml16ehiDj3w/jlP0QYz20h0mKnd1aOtSq3wvi8c3
ivS6/th4mfHNLRU5hqYY4iYoc2MpwhyhHi/srGYcfDx4FQV31WV5K3Wjts/1NABynxSw9oEHr/U/
qyO5+hBBo+POiGyhnfS67TQKSQtV3BEtumBOK5EHfaQ40p+tng78AlYRX8W5KLu3MI0wKm5yN8c5
qK3kjwIlQlSwKfSARilj+UXGUnzmlnKW585zaEP5gPxz6ycqlBIhiE5L/umyJp3ORW16p2KELHJW
sCSKD0S0WhYYQnXzQ6Tmwj6oRWziQWHGusG9lhpKUBlZ+nYBHpCHmFJ1v7g9pP2o5zLVD7GitMob
MWXl+DmbCfTDxTWL8t1SNd3HOmvsJ3T34sJf7Em272a7Tmo/b+3lm2sJ77/JXuajJ8HQ+UMKqP9B
0ezWOZVqUyB9OI3j20GUuniaummcfAinIJTJrSZS+8IScbgU49ghITCZy4OKtV7sxyqv3gFpfycP
tXkw26CebIwRa0pS3YNQR63w47xuzLDtvfSxnKdu8CGBet8oB05u0MvS+tx4Vlf6a+DsPunKNF2s
WptyNIcpAQUqD418GJNqbvxScwszxRylKzS/p7DZwPCppz7MwUQ1Z00kdhPUPBaN745x/7Mx0f/z
o1xB/G40aDAHHf7z6iPgbOvLoEQJWEwrK4N8KFFbtAUtaX/G2y9+N5JQYQHq2o3ypZStbgcxfOqL
UnfLRyNDGP9dibfw4hO1ZSOH0pvHs0yb9vM4d1bvm3VvfK0bfdGOKLDa1W8cLfUi0LHi2K0b3dyv
1L5t3aUhwouFudYmdNRtxa6QU6TFlOXZFK55/ePcet2PxSzdX3ZicqTUwhW6X1K5/aHULg9ahGJS
9DibtYH3nxJjWzeMDahJNSpV+hsTQejLL9DdX4nuJSkWrH5KhtevAJKaTdQkA9KXeHpeuHu0s5Kp
WgCYOn99msUDjqIpEDpQbNuCjsxkt+RTgwZ041XvZSLns6ZHE7lWu+epdjMrWEVr74FAlvgScuz1
rKBQl7GnQtqLpqEMizJefOpf1lFXoj1fqjtxLMuHlRlFegRvtnTONFmqbnBLOrLN1Pxc7bn+0wYa
Ta/cppUmxZdGxxLxM1K56wnFKaJnWQz1URojX1q7yMwLXDez/l2lYJfXhyXGKlW/KqDhU7Edzexr
Y/ZKsh4Bm/6NlxrTaQT6Lk+2IYk0Gy+VZ3MstUOlanLvw7m3d6SQ1IFISFAI3Xw3ZQM8DlRFdrE6
vCKL3mxVX2fcc6n0/euVbb0/PhyrfxY9na02f2mnap8slP90DV6+0LlV3F6eOjxHdtb0Tsi+1krW
OhEtWhqk1ztYCxkLp4WRZQ2F8Q40fvTJazz3v4J61cem0362sp53xrxZypWJZdAhZTUdSpybEK8T
7uQ0UIkw55rToFth8HWqZIdZsX68fD5vyqh8bJwVIDZ8eLRzN4l/letqP0u3uCRxPvISSK94z+1l
gzn0sv5bPdbeaRBdxVM8yy95Ps5G+PIvuInF+AVgMVzawSube3tm8RidTQxW+QVRWwZ41/N0dctk
hHnt/TvGjnFwXZkHUVTukbVuotv1ooEvRSkC6DQrfr2zlZYmU9xwhc5qJA+KURaHvK7HkyWc5Y2e
WvNeUedPQeoq7lxHpJtPR45W2Q2ACsucGXiuQydSX6LR1yeo5DhDT1Ycmkbf8kBGjVv5hC4rr7Ip
m/wyzVn7XRdZ9V7FC+qTbqXmHC4zzMWHcUBO2y9Tq0seDK9xPhddZ0+4RtTiOyiB/J9cj8AszZKH
4jDqlbYcpsZY/iulgrZmPUaAGvR01HIc+NpW/8KXNPQ+gFc5vm8TinYHp4NWSpcNhr1P/GNTXwOd
908Tx5b0yQucNMCoNPN8voGx9+MKq5i3dGDFxxZ5psjXZnf6+vJxubm2WUKEIcCrr8VSOnTXmxap
SoM/KvL6NeCvwCQUeXCRYNw5lHdHWQmuq6UDat6bD1B1Mky01Ly4qHmvc3umylNbNHsikrdgCCZD
awZxFgpv1k2VNEVl2M7Bkl4WJ0pPeR5NBwIfNZRpNrD/WhQkuW4+J2mfYlZnLd+T1jGekczak+65
ueTWH0JRghAQBa8bQJQ9RauSIaiMVJjzAScjnhClozetGjIUrsKZ5MrdiSvufflU6WBY8BcG4eZm
rWbVW1YQCMWQuPwVW8V4zpTYdXwSTecYmZX5HYpY9hQh271HKb5zw64rzqS5c7h8NseIo1XzkdXl
xR7m6bFV8xGcWYTD2uiNO22iu0MB6EZFh9HoSV6f2EypyftWyBKi0S61TiWGX4FcgBSLe3z547iz
jQSEKvp5PFaQDtZj/VfVmHQiNmaUei5z51Wn2RT1pRaOfdDoNwZ1k1SPqhOVO4PemR9oLJ1zQ0sF
BJF+PWhrNDYh+lJckMTuvxsYW57SdoC6l+qLs4eo+wO92lyh6H0Qnq/NMFDRm0ubChqpxMihackf
/Xa0tLPdtoXPlYBmcTqreMmU2aEVg/t7om8W1ilYO2Gr3UMGse2klIt1phzWr+KQix816p6O0Z0n
1aUaS9jH001zcrPfI5pBmpQ8K6nlAGVKhg4Pb72Ys0es0apPOAd13xZww0cpUIdCbyOfH14+Bnce
Nhwncb/km4KJsQ2OGhe4S0vOfVl0YT+qg/UOCwuEMKcCfg8eKDvRyr3hVsoCbzdlVF7x6wNQ2025
0HYuLrWrKZ/dqkN6wCoQ+qzH/LA4cy93BrxF2azOdyuserXqWCXdrkfsxrr08qIHqxrZ9VtwRPGh
6OsE3SVLZP9gXzQd86avncAovflT1GfjGf5h9d/Ly3zv4LPJhLwIi8N/3jwSulTytjAB2RR2lz4W
MBKRyR0bv1eKdOc9urvEKyONeiMJyxa8XuTq0rhiKi4u/kwHJ069E4op+YNXx85jv7TOP6+fGkV+
QAv4grDMm+tRT2Q9TfYAJTZOuu+MZC2wYTPzszWOECxfHuze5NZaBKCpVQpwe1xXz+oYvyuy2KVo
TkITy0lr9OZUAZEJBkcm/8PkVngC2LsVf7blKOVaKZxowUuh5ks5LVH5YfSkPKSmbX55eWb3Tsjf
I22WEVSJFi+EQ5eejmsILExQAKMAhw3tXuX07lCISeGXvX4bW40MHYJN4mkkmnNXV36VTNVT3vUY
T8k0+fw/zMpEUpCyKCX9belhpjWEpy/oqEwt+0vq8LGHlSsktWGd2sjLg92JxP7Is9I+IAnjOF5/
6oKamUq5KLsMSTwEk2vMj0ntLjuhyL3VA+vL4kHxWs0Ir0eZOjs1e6CpyEIvxudsScRB9tZyrJdu
L7e7hX9yefFuUbYhdeWK3swoGpBkLBPQtqbX6/Eh0yNbUh3NzOOYwSgHIuQWUK4ViL5+VXrtcKqq
AoVaIfDtxCWpKHzaw8OZ4OnVNZH1p62hw3qLU/xav9S/4ocx90hyG7qJXZyjmZQ4zQWUzR667k7c
xyGF5Ua6Sea+1RXCY9zOZINZGgRvlGjVLvFNd+7O1mgnh8Slhpw2Y3fCLGnvGr23zSvsHwQh/Gku
7ev5FXYOAooHF8mwLIVDos4PEF1EkEtRHV9/bhFQBh8EA4BHarOUnS2xyFp3mdAf/vDco/Q5OnvA
y7svIdnrCveHR6xuVYzpNCeyc/ABSyNvOGRdtlDNVZOPs7FkR0qctCtQb+oPhlgoH0xDhyezU+3w
Ze5tKM0agh1yGHZ18xy3Y5yVkU43oAQu/TjZDd0M21HeFWn1Y4qk+q+HWNv3kd7Dzstx73JAbG4N
OlYE1tbQQY9cWzG8Or9IdbSfnH5Kv6484J3H99701neJ54aKzI36Pt4PeinqAkyv3Q6fmjh6Xugj
IIDYqag/aMsJTI30PSn2jOLvHdcVw2tgfbN2xTbr2psY7bg9ok5WYalPhTYXtR95Tm/6YJT0Hy8f
2PVAbgNrWDh/rJdJBbdG13bbuYtaMBg/BjqtkU71iawmIkZuE/NURqDxd7bv7pDI5ODgRL0C+97r
zzGp8xglTq4bmkrmh0ZTfgqZe7/x6UpIf4ex3Wln3jsuGBL//3ibgK1NIn301jZ4n2tj7pd6P//w
Fv1/KB4AdYVqDpKew7nlrlFCh9GYGCBAqkp5UhooyqRqrw9iIGrw+oJIWrkLm7mojmj5nInQcA7+
blgCq193sAMAj9Xr30YcxChTcPJXnUr9epfUyGyNrEfWcRiK6ktfudSIygoOXj7b/8M7jDQA+CM8
c12GWnfw7weInrox5JS9XLQIPtaOsJ6TrI5CR47Ow8vn/d7VyVj4wK0VjxUFfT0Wmv4qzV/0HMdE
H8cHZJoow81KZod2mttaqNh2qvlWOdi6n7R9W/ophk95WODmttfTv1cJQoRhrUeuNVCqW9c/BsON
UrE7JNWszhygncz68LsQdfWjVZv6jcy06KjlXQN5H4O1A3ix8awb5aD5Ewi8nfvuzrXjkcACFKEG
vQbm179l7traVTTiY91O4q9DO2uBNVXtJc/j+fDyJuwNtTnFFXbI4+IBlkpwOg2qYWhCFKuKt4pR
7CWNd2ojUAYcpCdIswHfbLa7MzAN7tZYPBEauCUHaoJMsvTsyV6cGkBrD3Oyh5+4vXBAL4H+Xsvr
9ES2QYDU06bPypbatoywZ4ti6xMpo7onB7xuyPXVzTDgOkmh+GZ4DK83TJg0XOYESJat9NnPPmuG
KHB61Tq5kaS+jAjm2bIo36cu7oSvvsMZG+mktRFJGLItORlJ7FiLRwlzHN35kMap8dRNShlGSmm/
SbtuT7fg9s1YUWG0mCAr4Bu1ZbbooqkM3lyqK0mt+V2tRU/6lIi3ujHa4Kewx3n5hN7bQnBaq88q
MkiwRa/XtrSl13cNtNguGp2Pg6KJt72qNTuj3H4HYGWRjFv7q2uCv7ljU5MSgo0Gw2Ui4/gPqd7o
KIZEPhmq2FGouzsSZW1oHSQ75B/X8zGjJClmvWS/rF59F+uzgHA2z0fRJHs4m3tLh4DO/w+1mRSw
EbjMBhi+Cq+kcyel9iaV9R509d6BgCyztspWk7ctqDQbiHmJ+VE4nus+KCfFyXzsJOLH1B66U8d/
8/7lE3F7kVDusQFAIodN8LnFtNmdoUUT/MhLqzXStxMHiA2SCQ9RL9rEd/oV7VB33t799Wci26/c
XNVBYLDRG9yaJEsyt4E8pbhM2dyDC3GInPwet3AtGGVSfqoboXF7qqBQjGi4CDkob0CtYxWFQ+RX
qNT2v+iqipYmX5EVKCpF487ZukXWw7+F5kNSRwS5hj/Xh8vVhYWzn0lzBhzIBxSkxHFqx+gTUmLj
G4yklwfgXVhb52XlN4Wr+sg0G0E8du5TXjnJzkf1R/Vgu2L8DjSpqYPeFiYtFSRU2o9QzOHul/5g
FxHybsIwL1Mxua0/JFaZhrgfFvNRmaq6Cl2J7KefakbuBkCazMJ3o9Z2A+jb2FFPWEdFz9OiJW1Q
6bacfadYwF2liUtRX/atru5MYb1dtjPgmgMsiivwqql9vaBJ4yZV6tnFxaNKcDCpGx0HFIUCZ3Db
Jz1CzYdezb9jgkoIXK49/do7n5ZFHYB20IqNBbZ6PTrGvB4m6jrE5LFVnid17I+alVuntpppvbnu
nsTjH9LOZroWiTl1cxoJ9BQ254fvSinjGKOaEgu7c0FN8BDF5huEQQ+SAsnJE+7yCDe7OQ7zMj2W
navhTDRCswzURs/eDbXafkwidw+4frMNFJnB7YIJWnk+NxycqrSxk6ejecZv9lvTmsU7qO/22nq1
Htq6LZ6NpQUSpi75Cs6yzq+8cKgeUPuiSw62dQV7X29DXY02RiHSPnsKpLAKENkz/aPxiWWUx0LH
jpQC6h4r+k9yebUXVJmpkcA9WCXPgSNcjypdb3EzNfPOnonw4Btuedhq3SRM8Wha0vuC6LR7MZZ8
SH27dZt3I4tv+5jbZ0kokNt75lypykPkzXQPl0jEH0tO81vVRh11Mbvlkadc34ujb04sPxrF7z/0
HjCMW3Y5xWop80pxz2OTfM3wdDuZTiyOHZdV0HdmsxO+3hmO8icwXNIImvpbQW58+LooATZ9Rq9R
foicrgvoEuMSPsfKD7dpP732IMCWomq9aopRLN/2vl0nVkcTR9hzZZQGTS0RDW+MUf+m5JH5rkC7
8gFYaH96edCbgAFBAgBFa7gF6Bg55M05KOpmXA0izsCY5rNrNm5gzujiTROyfC8PtR7kzZEjAeLK
QdoQCvVW8m8cKhlHneTI2SjQhS6qj/GDCTrj58vj3G6bSUQOxJgnfFWE28RAo8XXRL3KOTdT7oYZ
IIKzMwAcipY0PfZ1o+0ck9vrY2XUr5xwqgKAiDb3aK9PblPonXu2hrh974mqf2gAVTzEVl1dNOmN
vuJU1VtXong+G8VeCf0mYMErityD64B+B6nuusN/JdWNmXvq0mvOuTDU6BmphfwfWpcDo1ql9R1J
Pl5pz2ni8OVVvj04f5RB6M7BaaMKuv6sv4Yd2h7teAgX58RRlhNeUoCogZgcySWynYNzZ0Oha1My
UFc6LZiC66HiIkYN1BgVPnv1M2ht/TylqnMkiCrDsZb5l5dndmc4SgZ886teLLihzYKiIlpU9M34
JOx2KnzYX90/kyvSt7IqkOOf5lcjldg2kyIPQCWsh4g7r+c3d/DpKAl4Z3cq3Y9KU6t+hhbrNzDo
dHi09vfL87tzYJBlQM+ZVBnMwvYZHrACJmnVvHO0plcT5NO3sxi0Z0NxGr/1tOG8qMZwfHnQmyR2
nSPXGwdlZWxvE0k4KUBUltY794XpxacYn7Pa94oV+rGANBLnCg2K71Zeav9WRdvvmQPf3j0Mv5Zg
0JsilbbXf//rtKIiOky2zVXeMunj7BriIWKSO7W0e6OsooUrmBbUj7k5OW5mGEPUu965aRvza4P6
5aVK470C5J0vb+0rcYOCk6KTsx2lNc2YKjxSZ7PXHRqvBs0XGapPcr734N6Z0NVQ66fy17IVcSdj
T4G46qQlVX+l0w9DLfYi+bujmJx98i52Z1uCjCuOvRmjBev0SxNqw6yfjcGNwpdP4N1RVu4JTFLk
dbblaJnU3qRoSGcie7ucNSkAzsfLnqfgvc0BsKqCKF0jlG0PSos1rWhahB6NrPyy9FF+KlotDRrH
nnaSB54YVv/6QSVy17k1IHTTFr7Vn2omXaa4FHeT6zw7VRN/Gw3FftYWNcn8wRCoC6Vlakp/qgoE
1sCG6PmXcrTgmEfjYF+qOUlADJtT+oCoB74LJtXJ50TJs99CjyGE8EkDJF5pZeIptVEOC5NsUP9T
q8QefHgb+gend4BvltT3EoBdo/mUuEU++4VJHdUXhLT4Jiu4fDjgedPA69NRP+Za3+ifuHgLOizo
8IwHVMgdAs28ULOwavAIDPBapU06O5X9zl5EqfpzrTj5QZlMXjZv0NyfpivUGipDzHsjWmm+c+cB
Ge0uXrzFT6Zmmd8S5FqPVteiFjlKV/23kl72O0kM5z2M3zgi48OoxrfxP/lltnn5Ic+RmzuV3P7P
aBZFVTjZDhhMdVCEEYx4v3zNlLL63o1D4QWTZRVumI91NPnL7CSfhAvNJuzh4h2MyJ2Gh2iQ9hMO
8eX43l5c42NteZLMvIuMb1kPK4O6s7GCdxKhHKbBkLFvI8SoHIWWNm8KOXVpMAlFfE9RrEofSnS/
pO90Wusd8aNOysD1lAYgKR6kFowYid7YoFvNMxZnWhNGstdrEJRFY56XLi5+LjjEf63QiG8wYUwg
vSjpMjS+1fWu7dsiGZUQjpkzBFnFH99VrPoZq2FFhE0EgTi0id1UdspWqEv0vMJv5xYwVDg5s/Ho
FI5snxRwUN37LjbUX2W1aEYgGsRs/bFpluadHglxyuwKo40Y8JfiA3pp/6vZ7DGYFhFlQdOVsEhM
V1bvF0dOjm9lXtM+KLre/IafnyfnliHZDx16jW+lbua9s7NaV5/H0aZYQ3bSveHCRVgASFwNhtXJ
nX/xSUkEtKmxyD5EME2rHQWHm6+Q5wyXMSI/HhhcnTbhX2QmxZiY+Ogouduhq65F77toGD688vb6
M8oa/AAe587f3MSe0S6KLVy+9UGvQwWJqbd2kY0/XzkKFxYRCBH6Sq6+cdSw00ZToc6ll7mPp0fN
6CJ848t2J+O9d0cSd+APomP5wDN2/arMPF4S8xWkW4YpDeEuLTSwhyxso2nPCejeUB4SgNhVQlpA
oOV6KBwHEQVNc2TGFwWTI1IpkB+pOJHWdTuc9DtDAW6iAYHS2NqB2PRVVL2rJitrlHOU9UaQNW1x
rBs7fmP0o7cHB1p3e3PzcwzWUiHUW/i3m4i4t2ys3sBp41xhDgd7VsXBqqz8X6WI8zeTZk7tTgh+
c8iJ5OERkAMzIjCudfJ/BQI5tF69GsvovDidDAt8JMKGK2Ovwnh3GKDzIA1Xwdht+b8HAJ3j5UoA
RWgY5s3gBRjwtoGLmIVvT7r5nzW24sGeCyMs7Lh6HJv5B3YteRgvdvkw1foQ9G01Prz8WdyJmHlf
6S2T8vD9bQP0VcfMSNC5Pnd2jSZ+7CWA7xsVBR+3+m7OtnUiwNyDmNw5TyQ7ABL+iJtzwVwvecTl
uuRgpc8DVeEwSrXmOC4xXftBcXausNvjxEla26R0s1j5LQVsXty2wpxEP2txnA9+Esso/dKq0Jyn
MunSf6sp2lNwuJ0dbVQ4k9T1USBGEet6dnEJb1Z2o3ZO5eSGLZKWh0gHkp6VzRi+vHu3h4qoEgoI
8eWKydrOLnJBr5pYUJxJv6x/xjjqvxD7741ys4ZMBBsDwEA4dK2AlesJ2WidDuWqVoLIOJDkWM3G
g2tRcUib0vQ93qqdT/JmBXkRaGzT9Vyzb7Cc1wNOaoKbag/DLc5glvaKajwiMbYEMUybnbzmztzW
GhhQBE4I27W52pwxUuB+YOZSxE3x0IhSHNq8709NpdYBfNzd6uR6f13db+vc1joxdPGVNKRfz42m
gmX36SQuZp/mc9gg6aOEAo3794WSLe0vXa+bX64ih0/znMHttkrpPAzO6j/48tm5t8hg2aiL8UvA
9W2eqnForKEukacwrQr732b+mTtzGZapsWfHh2nVzaTX7VzRMuvGQiq8nnSNHvjsNnQJM3N0mwOm
4/ZRV+PIDvoEGRB/lrXzW5S9RoSY95nrq2bhuEejiuoswKrF+azToI1DKshpFMoJHyWfrEESp1VO
5QtD75owGRyxmhlX+nOKYIPEmrsiTUBf2hRHpZusd16LZ/VJdGgQhA4E4DeWN8f6yaPf453VGJuY
NwaPqhkUwBoIxjyp/7T71uqOmIdM35xKk/NDjc6Sc4goJf9T4iGVwoLPu+XYG3l+XLRppLfbVpZz
XjUI6qPmZbMb2iPNg0dl6AhzY2dqzdAy89QLVGUakD3pejU6JJUEb66RXnwvoKBXGIQUTebTVTOs
MHWVXvdb02s/dh30ecJUF1wHCpGOFlTRQHUKTwEDdTRnpJenyL6KfMWzZ90381ho/8iisiuYFF3O
B4yrxA8rbdMoIIIU/8U0O81jmXreNzjBEKG8uMwfO82L2lNLlFwFuWl3yXFAveGHKLQoP0Jv7z9o
oh4yfD7SSvolfMncr4zBeDMty7Q8GrWXxE+eUNwxiABrfLOm1CYRShy0ywtPLI+JOk956CIP1Aej
2hqKbw5R9bPHzhhXyAqdyVBLI6HA+jfqN66XizFAsGg2/UzGxq8lL4rvou+NR3xlqumg57HsfMfJ
4uYhE536gHOr2vuDVwCGmUrlp26jn+lqrfV9njzlQYx6/mNou+ZbW3a9B4HmA1pM1RCl5kMeGd7H
YamH9DBJbUZGlPcaHjxxaeknSzb+YtObp8wYFu2dmi+2fXD1ccjfY6KGE+4IMbcNG12ZP42phLJW
5ON4UrI5NQ5mVPSofNSp94xwltKgZjClTtDbS38oXD1LzuVgRFUAtq7+nudQ7H0zba3+2HmLKh4c
OzJ/VbL2mpCykAKiNulMEebDAv1RCis6Nmpcl4EOBi8Ny26IOQKqItvZnzTZfYgQhVit4yujeaPG
ZJ5+X3aWE05qZAgf10okDOSi9A/2mC/eA90u1D8lLsLPjZKYfA329GGpIu+pq0z145zQi3+o4z5P
/WK08890dfOZ3TTj9tD0rhufOsfovsONgh1Yw7Qd/431ZdLCwms0UlcxW80pSWGXFGnXCn/pmyoJ
Es2tp9Ctx+JBplrdhoQJ+odeS6zlrafI7p+2sr0fDmYWyqNcRrV/TJKY/FSJ0+pxSuzEPcR9NoF7
kkau+TBq+udWGDk0W0QJlNOsoFEGOzXyPuPdJ6ePCBOylHrGCef7JAx5rghy+4+aJJd9v+hlFwdD
juD6hV3R4WUs/dcI7TfrZJZL/amu2mbZedpv0dYItFDK5PWDNgQpZn25/opLx9GxqqqO8I7snUae
ijK1Pd9oVK8+OHVURr5BRdF53+Jo9Mvta02EvUddBC+yCEJlLlyot31iO36sKdYeC229sK9fMX4c
Ce4K3oXuvrU/6JH+RTsVDVxsT60DnEk6ZVNjnwzuxVNPEe8zApZLIKbkpCV73gu3b/aa72BozHMN
ZWzr4ukYE6ZaNajdRrGqzxizKn6cKb0fFYYQPhL46mvzH7aCnjFWawQjK/r9eivMbFo6RO0EesYw
7caS6gWED8XHKHqvk3xvYYlDuNNZVMDRm3ikBwWhopkKKKRCzyweIMh40LIw/dHdr1Vl2595s8dz
ncYw1BQl3kv5b6MC2iycNup7ZGGYi19PFfEVz+gsm/AkzrRLvdjmiZqQcqqwmtsJQG5SD1aVpjl/
4RQjq7YJClAamSmWMFUsIOXRLbT8rV0iOTZNdCH9JKIQVXXLXlfw3qgcW5ouEJ9WBdnrCWLypkZK
D3hSWlb0ZUxiJcDCIPJFPxVPQ50taxxR7xQ0763qX4Nu5YhgTTqOmuFFv6Ahe7IQbn2cmpXi1+xK
1t6kBOu1QYcQWiOtSHMrLQiirhlcKFeXUeoEGGT0z2ok2tcC5/+MgoABxQCAvFsPRCMZILBFTIiq
pf4BE8Li2I1WGaBuYmp+JQv7lCXTN0XrvMPLYeu9+cFOWIXqEG6mQnC9f3VCsQgvN3HBUlq8zdAd
/+6k1v80Ci0dtgV16Bs71GIUSuRQlbqMVOshWLUDYbKXvzb5ZhX/KLhTbKSGszU8cAsALFDRgeg1
aSAjmaPaPpiHPG1R81k6+zBWrybarkPygbOCMGbgkl0vn1OBKAJ1CB+vmKZjn2KmVXdtEgKmac/O
4qThaGbzzvG/t2fUjVhLngwQVpuaTllXf1wrUA+QXfRl0IX5nuLvnqLgvY8MgAGdMO5ISDrb5rhm
pEuLTPEll00RAKHSAkR7mg+DWY2nlw/hegtvnz8yYu7oVUmQ8a5XkWwbQCs+CxdSB8QnpqHGEq0V
8BuQZYr8Hts7kNBVfhRGGn97eex7Fximo4g/cC6pMm52sErp9XUDgGs8Np2gq3uHJrwpD7nTkyzL
VCgBwb76/eVR7ywuTIc/7+2qOqOuv+qvaKQoEhS6Jt5cpU7dN7mC3kLjKNl3lNL3uv73hiIrRQmG
iiMU980TmChuT87L4i6LKYJxxopDM4oyHPCs2sn+7xxMTuRKdFqfO57261kZbtSZMscFSy+155T6
22OLVNNO6e/ufHhR0QO3jbWSfj0IhoycIUtnEOH+xkIh+UQW1p2gbpavv08oYIIZBHQH6m6LfKoV
K41zXcEcPhrapwQP04DCOumniH4JHXcqR3Gj8+sPBrgewEQ4casobV3PLhL40QhoaJeo17OnWebW
+6hYJun3Qk7pTmHozn5xfa3VWlrEdLzXpf7rFKJ2YHjxhLyzbgs1mIwkPRpau0fzu7NhOi1Jom4u
Epgjm7M+22Kp6NRmeKcr30VXFqFUCv2M8PL04eXFW++JzT2i05ZYO7d4fQNYu54PWMGKnsQcX7ra
Hn7FFE4WHs9WAzmgAw/21y5U/Mkj9OxCdOAWGZIR2ntsrXurSvUbUMhqzQqz5PpXaKPRwNAuY8zG
7RmFviQ+mkq1R2G8Mwp2SSt2icNOZ3ezd/1SScqM9CsyhBAevUkmVuBktbsXa90dBzrYWmZaOzGb
NQX0IXsbLT1I2amG2WweP+fwVXeetPVYb3YOTCVFLfoUBJNb5oLmClufCkU560NRBrSBPfzDtYWq
QqO/detMDxJ03N/FgNN2Qq87p5O3hXQEbCVk1G3opVuJOqbIKV/SOEIaz1KiAyphbjjES7KT99xZ
yhVQwLXFliF3sqlVxsY46QTn+Mmij/CunRztXwts8s4odx40EFDAFpA7Rsf2jxHBXx/1kjbpoAxR
fKlc7CoPWhPrvyxhe4gKybx1j5SJa3muYgrNr7+ZAfmv6DYKwNzMm+s/L8e2cnXgJv1EPcVLRBum
81KHslSS11+T8DBtC7YEVzRKQNff2KR1aQ5UDun2OsVSlXJuCQwyTo/YJ+n/w7TYLMTpV+suSLbX
Y4lRYKsQOTHqifGAgUue2A8zVFea1mk57XEh751H8lXgVoiGrJfm9WhTa3mtknbpRTQkbw4yUOHU
RFbopspes+reeSQ5BhSCc9pqxnQ9lKtrvZvrC42IMoqfKEDNJ8WYfr98J9/S61Z1XAri8OvWjdp+
YJXXWpNNuQXR1KQ+ZIZo3yNMhcl7OxkHmfVNSG6AyWmm2IconSyUQOdXY234Dav+ApJbvHPGtjif
pM6QqRHF+UktmnNuNNrJmNBvb+Ju3jkt9xaVhGC9zYgYuCquFxVqgKdmJeKtIk/6B1dm80kKN91h
sN5dVdToVpQjamEczuthSEfo4sJauKi1pv8fZ+exGzfSruErIsActiQ7yrJsy7I93hD2jM2ci/Hq
z0NtjpsimvC/msEAo+oqVvjCG/yoVK1jOeeza8Fo9zq5y/wBAUivROvGbaYu/1gH+l+TlZZV1SjT
LRLgOrLxt78hnqY+C+UqhraLqUhM9wlMZzm44GqynVXdOhVErzTn0PgH+LV6hSIsoquubXA7H0Mc
wrrJQmpsbL5P7W57bnOoJd8HpLu0llazqi0t0g2o7Ff488lBRXzN18YYqnWs7SFj37I90efg0VkM
16ieaOuAuUD+QXMyJb/iZjb7RTpG7pjLhVdrxeBbxahRODVk16It8T6IOwig9BVP5owKy/1TumyX
1ftLZxDgI5cp19zad8I2wlASGkI6kWZHbhtM5VVtEunEI2w/50Y4+ffH21hkxqMUAIyEvG9dc5Sl
LglVmfG6as4xeLNV8U6jyvoBvFiws3eWD7aeG5AbwDALcp225O027fVqgDSxkC8BAiS+QSjoI4Xg
FCgkpDn/QU+TE3K71vP9OW7ENGCe4R1hpEAivS4dyUapVUjZwiuuRHKIgijwE03OnrQevYBCSVoa
G538VGT58PcxzdIs5xLA+huk0eoNGfNcgh9hoMMghtE3wijyMWbMDmO+a068dRFRgwCqv+g2AsVY
rW5rTsiJZfia0x3Ua9eKzfFQqcp4TArTRD5AUyHpmKV1VSVAX3451p35UDta9/X+am/cuxSUsSom
NVyKy6tjW6azNlUmhbooV51HtCn0R1El8eF/GGVxGlIBuHAfLfv6j+AKE8/eGmntXMVYmb6jzJlv
ybBs74+ycToIgv9/lNXlXoRZzXNFF12lwvNZkbvhqIbTIvqyK9a6cfCpQizzWZiTPCi3E1K1qW9k
KppXPc2LAzJZFlWeKPAWbr4bM/JOyrlxKG7GW30mkLVR1S714nQY8h9wd8MXFdrQqSIQuehJESeu
UIyCdp/ZFS/3l3XruoW5C+GDJgbQ67VgUVkn7dRKCEwBAA0jesFhdklEan+lNYQj4NAhbeW2YIt8
eQpCfomTae+MsJwfIcbkeziQra9MSwJ3C8pPYI1XeynRZ3IF7PmuvM8I+Fs0xx5Rom4qV9eG7vP9
uW99ZyBCZIp0CLBgWz2g9DtGzaE7jY5P9b2gjHaMEqSbYT/GfqaMfw1JQrcBxRLuXIq9TG51A5Fi
1wBUJ0SVY6e6RrreeomlS34UmsYOJGlrRwHcg5ut0PfmXK92cFQHQ6ThqKs1NMlBjAbRx0EqEVKP
OlALgxUC+2hiMxh9IE3pzp7aWFdiSgo11C9hLK1R3LSVp9FAWvAqx7MJ2qL+JU/I3hhq1X1MrCTb
OT4bewbJWMJYnrLXO+h2ssqg2VMGAvnaN734gEqT/rsOh/qfqpe6PSTf5lj0BLlQEd1CcON2LNuY
0whrHlRSLGN8VwSmcQHOZFw6Awnp+7tzayjdYqtAoqGevq7pFcHS2VK48CLRR+9naZiPZpj3nxOp
Vk/3h9p4JwhE2SscOOp6a3mbtBhMuQxQmshGI/kwgg0+07f/H74TsaO1YJOQY3pDCFQC6sq1LS8g
3Dr6Z2pF7QlwF49912o7E3rrLAjiCMEyxCUAAXLWVkdbQk4uCZBeuA72bEnglyurOeCLrjvHEaRE
7GlNnnQenDPgMhi7mj+DQkfsN2k0+buYMWcmfygngKGGkn5u85H/JRKDiWOK1Ldo+mYh/y6MyYDW
ORCsWnluJweNp9/xZatNLM+JHCn2sSBiw4dlrv3C03pIjrIRtMh/ChsAxv2vuNHOh5MKIxGpNnYm
B2K1OSdDa+IB3W+9rNJvtMkywx3ieQbQj0rvAXYP1KGkSeHxCUca3Jhg9EvQtuX7Gq8E1W3ZBarX
9lm0FyJs7OUFikZS/YrPWn8O8EId4H24Fqi91gdIZ9PBQRfzKWqHD/cXYePmA4NEDXARi6Hivrpk
JTsN2gYtd7RiVASYyfBP9mimJzwlSvwk89zTunB05Rbbuvsjb9x6NEO5FxRSeoW39Hb1O0s0Qa6W
rH6f5IeE9XDrNB1OiQiFmxfynnTuxqGlqsRx1XksQdetK2dRMGEyBQ68M/XwUJbB/A3cv/N8f1Zb
Xw6cKa8Ipjpc6atZYeEYzSDk4mswQyFMenX4JA3I7qEPvJcbbA1FokX6A8+Nfv0qDJKoM5JyyRQk
GrP06zhsjtBYMjdFYGDnW23tkiX7UKlHcxOts3RMMYdJVgPcZPREGk6m0IBodV37tdZlcUjrCSpM
Pib5R+iwVbhzTjfnyU4BCU6ACSD8dqPUg2LNYWIzeAT+DGHN8Z88GN93gVV/+vuPB/KansmCgUBT
/XYkegsggw0D/QMpTBBTDHUPZVTdm5Ry74Rv7X4e/dfRqH2sNaPF8IoImGLEiqbcM+H0/siCTPYM
J5zeWTVVmPtTe31pVxnsYl0H0h3e94JPvp0bBmgmEEIki6whMr5pU6F+rQFnfpQBT341qjz6PGY1
jkKx1UQ9qvGB+rsE/fqMA10he3JnSZNHPIa5ptXXxWV06Me4dovN34BzqTh2idX/6I3WrgA91SN0
rNGoc79RS+NBnwv9r2UUeLGoBC48GKpH+DHezgcafa8jSZRci87uQQJI+X+VWsU/Sytpek+fdZsi
UqOO/kx08qINdjvvPJpbFwrmlwAF0Ctcunu3v6A17NFqagsFgtkov2omze0yDcedfujyV9bfDWjF
AkV49f1YzRMek+iNhYojNVMBHi5uT2OcvzjOWJ/BpDae48Tq+f5m2Tpx0NnhSMLVpyi3usRmS9Hb
QKeB2FvST1hRymOVJtFZzUS3U1fZOgZcXihDLD37N2s4h9QxCAihM82y9N2WdOWH1mZpiCrcXL4b
2mJPqW3rJqNJz/di88A8Wk0tcnAsMY3FXTxqqieOxOQ5MQZZlWTrrlwN4ovWStMhy9i79xf17Ydc
FDCW5ImqIJfZsuh/pP2tBmOnLLmuhTNkB9yiB7C59niw8YT1xg4bzjo3or/ePQyKgi9VTzIpZy0F
R1sPA7Se592pzRp9t1T3sjlUcWbKjCdDbkPfkUMsh+5P9a12D7ELhpU046ALUZ1cHY2wRiePtJCM
xkisL2Ali9A1EFUPfEPpi19SmckjVhBp8nkm0PhhAXDHu5Cuf+wJNSfSo8OXZzvvyNvzyo+CTwAB
hMSSp+z2AyjlWEpZRzwt5504az0iuWYDM/H+3N/uaKoaqJeiVLAINq6JNPisA7gqCWucIDeuhjZX
34ouDz8MqUYHvtOdfM++5u2WZkRgXwxGWgfF5XZenZLHdidxE6ZRLD3kGcVeR87GAzmlfMplbTp2
Yak/6Mj/7IQFb++JZeSFFkYEzWla3U0QCOBAdnTlwQcC7u7BSDU1r4WkoMl0f1m3JqlScYNbQy0S
NZnbSdZam+RwKomrwii/RMD5Y68IHEn37UwqcIqbAvtLHbTVQzKj4rqzdbY+KjUIvin7ZnF6uh09
TEIz0SusBGttar0pi9OPVmhF7lwOyUlX0+h0f7avKh63tz6Ue6QueLAtJHPWduDgiqe4LhcP515L
HmNVDCWU4KoQwOYbFOGhS+QNHxecvDeXdoWRHN3FH1bqtPZBUho1+0FnbvqWjZHzYEe1qL7Omg2X
Nhri4X2vzcL+2seDJA7VQBHtbKZx8C20gNh5CP7BdyPfM6RzY6ZjcMKgOE6Xgr7i+JGOR95xrJ1W
O+Q9rCAkXoOidSlddJo7i75+HMw+EbhTBSbyYKoSPORpD4K8tGfzKy1kO3TlqC4WFkSpPwZVF8ke
TKK+QlJAlJ8yK0Y1cxglrTw4ZZ3Hh2YG9u5aWUMNLeQdwu1Cz/oF06whSNZTHZOYfVzCpQA3h8lX
N2mjZ0xm/9OAp6T6gzFatCWbPuPEx/ZkeUU74zerGqKBYNdKNEpmHMIB2499arrVbPSqn7WBaR/V
Lo4UN6vkfLz2wO2rq5Rgm37sEMqvz8RN2kteVHL3mIPir/x67OUPMm352O0Cs4/8WQyK9un+7tg6
dovHCc0eov437d0OzQdeCnrkUxJqPmUerAsJx071IMTOo7U5FIkurEYQFehG3W58QWuijs2MHrkz
58de4ppGhyV4aEv58/1JbR0xSsiLbSCda/pHtyMZkNrnPO5pRiIxobldYyafCPrNkxht8dOo5T1M
2/IH10cMU4LFV3mpeqyDfWHN/VDWNezj3CoMVwrCGttHiTO1c3VtzYzHF2olLr0c5dXMZLMzaStg
vz3LSeMN9FD9TqmFi2xqTzA9jTuX1dY3AwW5LCLlf3yHbldyDHR0vG0cdjR5rk5YLdV+mfbtp46G
5OH+R9scik4JORNSYnRvbocKeXF6uYiSqyl3/UOI4vxVqbT2ME2m7v8PQy11MBRdWMc1LquYIC1k
ycgqFoV+kNpUd+swag6RDv/x74daiNWkZUucsG59CdMctahCaXnKR/T6pGFMzsiLBQH5Dtr59wfb
eNgWHuzSUSBgoi19u4SxroBGlBebPc1OPW127M6FyNC5koCtAdlI8wQy0+/Jq/cQDcufXp0AAKt0
vKAVLDK2qze1ykq0QWUCh3zU45+0VepDqiu17TbGiAk31f6A/oUJ+hhmn2O+hFLn7OXBb2X6Fg0i
Dj4yw7ywbzjzltxwL/O+XAFeW9RJilp6LzkD2rJVVGfvEGmx808hK9ggPg/i0ZsoOfJ4oGbxpAoj
fao1O1QPrejK77kkop3OwMYOB3hIAE0tDgDb+loalVztzbhk29nouOB+huFP1KQHUwR77M+N1hJi
CMQ4NHyXgrm8CuScegABaRFlRGqiumJyxnPdzbabVJHlp0adnk2rrI56OIeHdJ4TyrRdwA/DT/D+
nty4GumF0NtCthkE2LrrrPSGHOc2SVKSZd3ZCoz4o5PrwfH+KBttX54w01kqLYsH03ptGxp3LQh+
vD9s0R87Cf1M24HuhSWH8dD2dnHRhr53KVA2x1TMX3SK0juB1tbnJc5aRIdBwhBe3p4+tO7K0kJI
4TpOY+gvLl9ubaSzhx33XgVm4xkA18Ymer3EYGjdDjVWuJ6pFYuaVjXIRIAL3sQXf58Qbfxnhlb/
+f7ybo3Hvn1NCogUjNXpzpVyFlIdU56Q4jBCwMCC1RuQ7f3XF3L7Ke/tamfbbH5QEmtjcUGkdrBG
1OVtHMQ5+PqrHtRa78plaxvQGNXmPyLF6gnqRPJSxp1xthppfJnnULtkk7WnNLos5Opa494GNoEb
Je/tWsBtVE3mOld8U6OVIE1GWf9Av6v7YHZxdyIFbr6Q5497D9TGsBR+NYNwfUEPr/tPoRDUxKhh
XpRixK6wnO0IB10UT48NBYnCg6KMsFBb2Qg73v/SGyOD/6HYTKpAcXYdpFVW2Jq9SJ2LbgjrqFZF
cXEGazxJOtzLBAEgrGeKv5bR4tkAGLKIjwD4wUDxdjtrSJ1YUcGgMQ4PR8Ar2cHsqSzcn9rG+URX
esFiINzyFqIGS8qmc4jicwLi1JfqJPQbXTu2cGN3Nu/GncdNZOEEi52OTi/2dj7hPEcgDEs8y0FI
uKPWqB9EmKg7o2zMB3gyVzv7kyKBuRzaP4pACL0GViCL8BqQqh1LGOAvQ2oZbmTNezp/G88JsEyy
A7p6VPHgINyORTydAQ4DD20WeJAWTjBPnm6Y6leT/5q7dGWlp0RxanLAag6ecz1B2NSOrOBd2JFl
7sQ5G5cDP4c4A0Q53gT0YW5/jl33Ud9x5V9hvQd4PJWx1zSgCFwabgFyC61ybKNq8tRYnfw8HlVX
DXTz19/uJ34EFwOFTcJxsBG3P2KqS6PCh1a6dHI1+yG/B9km2/Rq5LV2tu7mhBFbpoeH+RGZ/GpH
VWWuR31oSJcUjCdXQVgnmhuXGmatGUCGM0RtVZzKSJYS1wp6IzoCkmuudWOjuXR/2pt7AYgnFxPP
LIpxq9CC4ZxUGEZIr6iNgDmXlfmcIL32Pg+r/t9E0uIzXRb905Q106UrkaI+4Nmpa24xRyhm3f81
b+NOgIp//Bj19iNUiswLOEOxUAu5+BTxnMAwVSbrXZ1Ug5dNio3IEFxpxw4/VKh07ZzBzQ9D+gxc
cpE05NK8Hb9uK63rEaO7JqSAPnW8FK13kMQ/MVbIW2Luynk/9WVwRF5v0ZyTnCtrIRWH+8vw9sbB
2BF8KLVvkifgzbc/I9HZjKHZhdfUsMQ5N8xJ8uYsbrudcd4GAowDZmlB8tFFsJc76Y87pxSWE0mD
AvtCH6FlWwlIRaPsjrNhRi4SZdLH+/Na/t7t+8t4wBao8dI6AFx/O14EWXvWnZE7Lq8kvx2r8dTM
fedOqebs8BS2hqL1SfvsFVu/fuoLuw8Le+BOSQwpdkP6V35oz2jmFcgd7Fxgm2OxjnwwsIoIid1O
y0qMIi+KNLyKJGpdI4PTZbTyCMzL2OssbQ5FT5zi39KaX4cSRUpOOkYmErSZHH1EnkN/yc2hf491
m/Pt/sfa2oTGIofKjEjD1mqYbSBhtW4m4bXW++GgV4F0tNIsP94f5W2EQoK2PEYgWZHZ0ZYJ/7kF
E20g8EFzM3ZUBujG56LJyu8AvExvpr3lGsM0RTsf7LUqu96ICIqAn4LbZANxuB1Vy0OjDIYpuDhx
N8ZHK6ZZ/ThFE6YKwlC6r3GTZoqXWzPd3b6qxY8Yek1yQrOpSL2odErD41WaYjB8TvI5n8Y2OYa9
SaOoFpP839jwartVMJYtGi9NnGIEIzL91BBHzH4/T1Qq28gMf8d6AiCPBxBbmkiLx8Qrm8zqfdFK
SCTMlhFHHh4l9u8CKSLV5/4eP2BTNgYuZa9sfKqDkjMko4spvMFRC9VTksayzqEt17rXR5FZeAmi
YUdotXmNhl5nNn4vxtE5UMhIe0wawBI9yupsvyRKOubvsPQVCFajjHmY9ATLxRbTrHNmFTkgDKuK
kvOcmtp3M8MlwA2KLgwO6djn88nKBqk9KKJEubOSq8x+R2A/ncMQzU53kfB4r0kl0ORpkLovjZ3l
wSXSmuY/Wc6d6CDJVfqo1qJGLGfI0T+BgS+6gwDKjXwP4HQUgRF9Kt2WztQzbSMoplEYq43bqti+
uUWhTGgAtQ3FwFjSyx8U/eNk53XaOHxIIhEdgIhBqd5YCjZ/7NUgZj+qyJhcEn3IHthXOPtmIbiK
mery7h7lj622KKaA6GkTdC5AmFWMEDRNqYVFQ3/ODOMDjYTRRTd89vMZXAXSNn6RZ4gWWtHewBsn
UuVkLJUXQIf883aWnVp2WmPZ0VWX0/RLgifD10EZEvTYVVtcxjwlABBVaO6cyY2nn0yFW5TrYCEd
rhbX1qKgq1Od0nVUtk+Az50z6vNPg44XQ+Lo/9qTIZ2asafwXnb1zmuxAfiClcC0X6EDpBXLZfjH
p3Uw2NNz0cVXOJyFg0xSX50waqLY1gmIgm2j9+UVGUq1deEc598B83QfOs0hdUS2NcWlvtFOcdQN
5/vX48aWA1rDhqPy8yoScfu7rDzM57iRgSaVuFbyXpMtJt3oj3TDdnb31nenPuYsCTJaDevYJ0ZF
S52TJkJsIDbhfc6dlzn5L1kLSzfpHOcA4G2v8701PRq2S9sOzyNUK2+nFyVTng02bEJ0cdQjF4hy
CdCWepdIyp7w99ZQwIWRxV5ycTLT26FSAcaLqI5trdBnNej1+H2j9NhjF9Pp/kdbTsjq6EI15ezC
PiHrXuczweDYgD90Xs5kCjS3zJzw3dCVvQAzmIhTDH9L3jk9G0Mu8RTJ9CL5xza+nV2IfQsOcnaI
7VgVHfAaMD7TbwqPToS2VWqM0s6B2dgsC9dlSWAWWPK6QJeBzLbM0SGDjOvOa3rVfJKmYvCGsc08
pJCFN1bVXxsrLsKJGICztos311oOY46GpmxraFpTNQQIDFLjxHfMjoI9waSt1VycKHRUDSlfr3us
StiWJhpf0kXDK9qlYRJ5WlLa/qLMdSrjTDrc3zAboRZE04VOs4DZwZ3efr0gDfLEEqN0adKm+m7Z
RefZqbH3zTZOwFJQB4BBO4E0d7VHpLifEyu1pUvWFuppmLrCK+fC9tqyMf7+BCyTAfxEWAe4ZPWG
JOB7TXqlJNORE7tRZCinSSuEb0SZegAZ9df2cOyMP8dbLeA0Tk6XOUxNV8PycZDgmeSa8y1JavuA
z+ffS15CDyZs5J1iGVH8uv1eQovayQpG5zLp8+AiA1Ne0SrVva6XxA4Kd+ujAd+A4bpgKaie3g41
VTAqlEZ3Lu2ULktXVme9GplVB/v6/i58pRet7i2KQbz61KEp1q7TzrYxqzC1IkzUCrU4mwh/d/Tz
k+EyFlZSerj6aU9D2jjpAQfn5L9G75rBHRYTZhfOJEKQujbZ81kUGtraGcmz+SzHziw+W+2oi4OO
tYvsqXSWaj8vZ9n4gKmZerKL1Pia6KIcPAOMzEOUFeazVc7GV7QlCaNNc86096KWrODIi1v+V2Va
jkxhb4vHgFwo/GkTA04uFAzct+IRDJU3qkqEaiRwctkdpMB23EoHre6ivC/snyi9C/kA6zP8HuMf
MrmZMcj6xW4KefCCWO6/pWoydCdYqcYXqnK8FyQLCNdrEVIxuqSEqdtb7UTbf7KS3/kQqDSl7n+M
5buuvgWtNzKiJX/lMV8FJLNpJmZcoeIcqan5kA1p4E8KuueIkpvkASTNEiCNXxmU2J2zu7Hj6LvA
LqDTzru8tsdpFWIZGZdcLCqM8jiAzPOzqKXeMxnjp/uT3Kq3QLKHOs1wC61Zu93dopKEWZSadJEw
1ztP5LYwxaR0ItRlB0rZJLmkf4PXRKb+pBfaD1Ts6r8uSuCvQn8R6wKQhtTBbn9DjnVgZxSg73JR
OZ4JYtULGmv+rIl03nk1397zoKSXV5o7EVDWmt+X53phhSat8AFBjDOBpnTO0rr7fX9Vt0YBzMZT
QvGI+H11zxsz8JmqIJLGBVF5V06DfkEXVN3DXb3GxLdbdFHHBboAZHgBLi4b6Y+YuaDDAvyI1D2E
7/qjp1aWuyX1pPQUaN3ww0QVuPIkIA6h6zR9+wyOgp4dsBHxwySVFO9EiCbAqLe9DuyGDNsfZ0f9
WQGjwY/XhgXgom41j8colAU1HKmsU7futfYzVnrxV7vJh8jVaBCeJ3VMMj8JA2VJd8vxO6CoWiM1
bOCkVPRUHV8zZySzW0lBbSrPR6QXldCoDBgrsvZDUHOn0JeVRuP23Ba/x6GMbFcgm25Sep6S2lP7
0Q6oO5bxcx3Nzm4N/G3IsUjKqMvuMAHWrt3qxVgj0QhwDAii3X1UaPr9SPtxNj0khbPeA5rd4j5n
oY1Jli5eME6YT1MM6zaeFfMH3Nj432RonJ9SY84P8SwXGOrI5sv9nbXRkifsAsGIqtSCU5VXTVEQ
lJlqF0N0RQG8vZYUviZcKaL8dy/Z4Zl0CYlpFcrju6kIe/L5fP6cz+lwqBLJ8o3eko+91ZlPfWTO
l/s/7e2tRc8JYTZoV0urTVv9sqib4xHfG5To7bY/YanYnI0A+57CVDL/74eCVA6ZDMGaJdC93fe2
ZNPMy9B0EVIn+3LWYSdR1MEh09I9CaWNWXH1O4sQGzEvlODboSR6TWkbIUSS23HvqeNcHFQgyh9H
rdzDBr3NvxeKIWL3BBoKl//qNHdOZmiBQyo2F8l3pdOi0ywZwrNzrfFVu5U/OCD/fRziZTcuxB5j
f1mz1V2CqiTpxKsvEq5ptxNVwDDYXUZluNFS2c8bR/hQdGsvdBycd+FAACms97RstqYMaYU7Enon
F/JqdcPBylMJxeXrKCf2oaEBcxFmq0qe3g3BpyIIJgAvQR6coqokx6+7RlJ3nvnX12U9cSo8dDHJ
uuEGrdJStGWGyQnUACFhkXIdOVl+oQ8UOL8n7BqUfx2KPp3b0/m4CO6P+IwLEq/iTANbOjSFrgIf
Tuwv6lwYv/WhHHIf1LiKdLKc64f7+37jijKQjaHuvAjjWK+P+R/3fR5ptVCShMBAArbhG5ITfRpD
SjpeOZUNdjpTYX25P+TWF1oi36UoRDi0PmpOrYNMs5rgkmNcU3uVDUYOqeGYuLNCrd10RRyrFtSY
eWzOlRlG8osSt7q985U2XlQOPLExPRmYset0pohlsrG0YeaaM3nILGUf9EJUf814wPHAoPdI5Q0p
oHUxJMwIMpE7Dy5aihOn30iVeWrzfnIOIH+cZ5u2+sv95d24XoC3UDOA9YOc07rn2SoB+O82DC4w
tj7URNUHoVFyH7M036ljOW/jWao8S6seHSyAZWuUtpHWQPgnQYY25sozVebYgLONG4IXV+P4k68/
o8UOugkAV1Xk0yVNlPjnQB2l8KWian4ge67VLvQy51dgItfo6pKpPBopSvGYgoyD2yp1onizIo9o
7eaS3B6bXiqM66RWVLCslmr2L6WVS8tTw2Hk3Qqq0DlXxth8wv4Ff1F1GoPqJFK1ejHilgIn2Jko
x0GF1PXQ93VP8z/oxE/6LWgLqaOkf+4VIDQIvznFB4lW6cWhtkTGIiTd+bQAMx4wFFMUX+91s3zk
+h7FR+quIJztLslnP1AygNe9Xs8fdWJuybMLJ4USmxdSc47TAmlwu6iVyJfURsdYDafDU4Q49/gp
LwMFuflyQiKisZ3R8GStsoQXd6rcYU9ddU+1LJqcSqZF9zTK5JcOUupzhw5S40qR1D/GWV2F7pxz
JXvzCHyyzB37WdPIqABN99Z7DXTZF1tpSxvIChqPflxatX6M6OIANp+TEU2ZeR5rN296ul0YToYN
JI1R6t05xCDJrYsgsn07MhF9mfMg63w8aJLOh5IgZ2iUzI4BF6zMYICooYQQTVoV/0BXwCYJFedk
5y7ZSDYWDRpMoy0qLBBuVll7m2SGEGqIve4kRkpVpJSfEsIFkLdDGEtubigsSy+6NEOosKorpOvt
3D5MMtXunU7z2/cOFpVB5waK2VLLWr13fSMMm06kcZGpMh+EpMbfMowtjnLeo248GuMR+fm9wGWD
fLNYkdL4Iqs0eGtWkUskSK0MozEvE7pdaBzptY5KlV5OBh1SlDpcU2vCX6GdFeMBcvSUPg/oXv02
9L74qkbNlD3YCWr9Ox/m7S10+6tWa8HPZMtIODEraR76BcaFh9Ks1cMo73rvbSw77AmCbEWDHQtG
/jbMsMyc4z6o+kXh8fIA/MvXziijHJ/L2TnOHN9HoSES9rfXLJntElotZTcobatlhxsn4i7vtUvP
ZX4KTLn2ET+AtjHsyc1uLOVSL6AP+BpOrC01Y2Hi9JLgZtMBWfdrYSSfhBzJD3VnRN/uT+pNNLCI
4716GC6wNntNkafbF1e9GjqXSpU+zSzrVRnaz04bIwU4a+HeU7U13FJpg6nKDN/QDZRCL01l8Ykm
yzMPcyR0b8ZG0XOSQPP0fN4z6nyzkkwPnDz8SkJhoGyrb4YlRGQE8gxmL7Dyl6AXARbgEmaoVTFL
ewIVb8KcZTAyadBl4Hwpmd5uS70DDJQRElyMNI6DcwG8yfCyQs0PtWq2nTdP9Ri6PTYMIXd3lD21
3VzsaL5tLfDCVQXCQARCPn/7G2aVhgUGqNbFprH9GE66lZ36VlFrMo6seKi42D/f30Fvm25MGwog
7U0UoOGQLz/pj4BS503JwRs5lyi1zfZcK202+xpdNpy9wqBWfK1LmtrrnK7QfDpFjulNdi8aFC7T
8KWKowG0RdWmLcT2TOxV4N4Effw6oL9ASFD34susdoBkz7yFEk6xNWjGzyqa+r+sXvtr+dplFOI+
Cq4gQBG1uV0DR4W/hsY2hrBFPX6vcvzerWCi+R8iZfRyf8G3ZkTYjkAPj99SHLodq9Qc2iZ4eF6Q
QRkPRMvdQ1zFqn9/lK2Tw/nkslsQ6yTIt6MQauY5mRObORlSL8Xr5ES1t3IDhwrv/aG2zg2QWirM
APYW/NrtUObQ4saIe+ClVQo5dC2j175VBBEfuy4PvmbAFSLsbMKGODoYwROaNHGmndxg69zwhi/0
P/jzUFpvf4OCYREmSJN9mUArLn6h1LZghbV9Qlm5kOQLbqV7817mdZM0Wui7IoYGKwSJB1pHt2NO
eImQJ6jmhWTH9osir88aUtWX+6v7mnCsh1lCJrYEteA3MFG9UWwpkRe7OdpkVQIerpnaE1D45DmH
yS8OCRQB21fauhVYA5kIcOKplDUfdMsGWzPHRll7qJ9LxvcG45sPXYAIukt1NAw9WZnF9N5BLyd6
H1hR+U2UhpAe5g7FLG9yrPC/XtdzAn6pmI+I5TqtJxvYP+mBhIlSh/UXZkatomWXaiiDL4IOxX92
l6bP2GRrto/kz2SfVR0fGG9o6v67bE2AT7B+sTEnTOISme3O+uu+EA6nS0eUWoIKlNJYHeZudCAy
F4VzyXIFdXkli/weF/hrldR71/WyrVbfZolfwFhzaXPOVkFTkU1RY0p4dU+E/x5YEcdt9SjxFQks
jqHmZHGojB3u74i39T8mCFzVov8KYcFY1+spK6eVgbjhBQUf6UiLrCBDoTX3XII2vsYElKFX0Gd8
HPvaeJrbNH+UqLE8CTNNLmbvTLMreAe+O0jqRuf7P27jUBj8JC5rHi+Dq/T2UPBqGXNSUStQJbP8
N5CM+eMUjvXx/iib6448B4BZlRbZWsoy0VpLxLXtXKQSSbkEkZ4SenqkN+8smA3dJZHa8t86SVEF
/x8G5sRjhILWLVfN7fSC0gmQw+mDS+8Ix59HJ/AmMykOQ1LKVzFm4DPUIvx6f9DXqt96m+EfTuED
mNmCT78dtRLOZAdFFlz0hcTqCgOokx+JBI+iwpJb2NVpJX4l8xCx2Kn1T21E+gMgh0FB7HfWxrOg
ofg9CHSe50KPww8jBOFqZ2k2ngGD+hlRL6Q16qWrs4Cr8JTiKeQQ9Rrdhd8ce1KS5ees6SqEuJTs
XePk3aHtBvVYZYa609XZGp4kjjePQi3v0Cp6mxQzyZQ6JjS17eYLiaf2ZGilzLawEDlU2sKvlax1
ybcHb7TkPTT5xntLbgGxZoHuQEFfD9+kOF/3RKpF3NTfRzWxgCwkE8WAQQsH//6G2DhkVIuA6VOV
XgRjVkttheMoNSFRvwq2ln6tMH6bo9z9c3+UjTeVYB74M1ka4IF1S66IlEyWpNK+hOlsntG7Ul6i
SYijHOiS7In6r1ltHGg0sWFgLXEot/ftLk810VRDEzmXIS2CU4v8d3Kw8q7JT/fntfGpgK8gBQ+Y
ayE7rFYPV0QLr8Daxm6wmY5oqQcfVUyBD7UMnOX+UFtX9c1Yq5M7q2iYBQmxEdBPOXcnJw8/dVkH
jJCGa/hUUOL/jnmHVD47wdT/bFUdpVzK1OKHmsU6dlmOTtXdKuLqmlhV3O+c2bfVGNZ8yTOWCBsQ
xdqVBQ1iqykr2b6MetCdhghIVAwZ2bVKpzrnnGYP4ofmcnWg/BGN1My6Ikt3tvPmB7H4ATRXQDiv
Mc68y//H3Hlsx62kef5V+tw9quFNn65aAGkIOlGWkjY4lIO3EQH3TvMU82Lzg25Vl5jKYU7Vao42
lzfJDJgwn/mbtdQ6QYyPev+d7WqQ0oY2uUZX95KXz7mhKOyCqESXCC779vkvyU6j1mFxauZYa8v0
h5Cj2mNkLj94bvvu5Vd/Zo1CFEVfZCPMo9Wzff7LSIZDYS8HVhcLR9j7OknbN6vIvAsqwGfWKAuU
14fuJ6npac66+vT+nIG4FxWo9YPOmXA1YffxkPOo06gMlPvl5ds6s80S57DJb4qmG07z+W3JopZe
qjd+3AoQzOHmGfhZ0JpePmZGHXih3QbZ0zpU6s1cwUaORuRVL83ac9cAfApSO55dbBYn14CqMk6k
zeTFaIJOn63OrubQH62mCBPC/yyEz9estCmG4Qa0wnq9+FhuXVjZ2yZxciRzysGf4P1Slzj1QVjW
hJaW0p04yKjDpsq3QsOZyn1hZLCjukq+XtSqRY5I2gsH3e9cIdpkNAgpW5LuEBKc7CkeNn7elPZu
7Hudt+7tWdiHHv9LPzRH0xpvUb7sqC4D+jlOk9M8ZtJL3hWBt94vokwuLd7tYZ8+CBCWpM6kJujp
neymCelVVlWJE5v1ILCg49WEExSMnZu7wcHohm7v18P69PI0PLO6IDVuuC8UNjgKT6YAqSDI+b52
41q5n/uVwB5WRHahGHNmswA3ygHhsoI3habnc52UstJrwa3JHDOzWp97NL0XtXxZjcTt9y/f0dnB
6LChgQQOhwD/+WBJkW7+3gu16KJu4wb9luvN/HMXiMm+enmocw+PHfBnlx5s0+kEGvTaTSp3dmIq
OEAb6k4eFt0pL6yQs/MUTPHmGUhk9FuzadZra0qWwolXe+7Lva83NZFqXRVvqCoVMupXo7hVeVuU
Eb2C7B6BZMRdmnnC7bbRa2SaX77tc0+YAJrdi5IIzLCTdRN4rRDVUjJTzTa7GSkqteEEA7Dc6aNv
q93Lo517yBs5CIahR+x0SlOgPGnPqy/cWCO3jyRNrc3jtbqQCJ29Jyq/ZEEgpyDqP581Nv5AY9My
Cu1baIOWM0Wl3S8HoCvq33l8iDCDbgahBV3t+VDoB3ZO1zAUJIEyrHAjioNiDnZJOhgXhjr37FBY
gPe0IantU8J0lg/a2pmuG+ueVl+PjAfmcr5kpnkm+NmE7YD8Evew4k71NQLKJD6UcJZcXgffJDbJ
SZSsUk7h6i7oHxuAVr8RHbkIHdVrhRFz25Q7y54oaL08WX4/xrmSbSsDqA7/9dS9XaT00f3ccGIP
BNLdWJaoLU3STUcMgL361lykeSmHODckG7aNug6IE+qrz1+nC3Y2TwkOYxPO3BVkpk37Bh7WIcWK
8nq21KVK7u9TFf4MaHxe6laaOSXNUTcfa8vPvRhWwbgr6iFFOzh19s0AtvHlx3l2KJ4YuEls/zgi
n9+bNesWWE3HjSuML2Fx63iHohN66EWhX2gh/h6LcFfogBFHU2zFj+H5UMRedLwx9oytbvD2ejKP
h0WOT0Y+2/uy8CiHZn6CflaPecJSXIT/nZvDGzkQM7TND5bF8nx8vbC0DBySF894CoGMSIe3eF0Z
N/qY4AHYG9NxtYZWhSWeSXloNdl0j0BP9+7feOAEQuAlNgj96VWM8OcKx069WBdGfTBhXESgkKsr
wwQ48PJQZ1IqKA+bJQ1l3m1CnWzjSLr5HuxzNwb+jWopKmDm16rIFtIVX3tXAaU4ak4dvB2G2Y3n
ucHKXEEYvV0rfboZfKs/qnws3niqnH+8fGn0injaz4OhDa67qRSgvgCU6WTi1ZqpryO+Myg9ZNpT
h85Egmhljrqiuw5WBaFe6WUkm3EcIyxZ9TUshRC3fWLp1MUblN72SwoIG/lWrLViBfb6yRQIrIQF
cWYR2qk+9rtBn9SyS0arRYi514OnxRpW2PobYXlXeWWKHZBtykc7HbX5cWp6s4w6u3E+jnppc0Bo
eYln3tq5yIQlqGkDUloL/Otq4FXrILs+hAqZ5DswG7m2L81AJtd8S7LedDa7RZgnqTHsso7+bonk
0uS/Sqj4LW9E7/n5Xhvrzj/OfZU9DJ2+2J8Hw5otFMZNBOsMWRjp5lTvQNXLJPabu6oLUDvQQbEm
x1ZqGCrB4x2ug0C0m5rZJmN+X9SGmq8oJJkwr/JmJtTta82NdF0mamfnFpomfqFrxpGjfC53o5Y6
7iEPZqPZtdXYKBh0bt9e9bOXyUNqmkV3P7oGDCugLX3x3kN1QAt9JHzyG1Ds/eYXbnewQTFZQzPd
Agv03s5N/dU6A7iICldaKupUscJ/sdD0C11BlY11t+gPc+2P1R1ddOft6gQg9rMADPMe22SMY40g
bTFLQ4EvDel4OfZVN7br0zyvxocEyqW9H+quS281wxNNSI5R4ldXtzWEt7zOhyN9lP5BBXa7hlDF
6iCs8O7bfhFBjL2JBjAgVQKOLFwSbfXJwdJO28txyGXkQSDOw1E5hYiaLhCvNcuvsTqvNOI/TfY8
g6hsF+td07mVSsM6cCeJJaWq+vs6yfvhR7EOzaOr5y4IF8de/Jvc8NNb1FzwEimKrlTIV5gJAgll
l6OHrvkIgehVK27ryRTO1aK5JGcA9+sPQVP1Lpge02EdUCF5HCflXncd/stHsRgFUPs6Xa5l5Qxt
2OVOMh6xsDTwq3f96qPKQQYjSzHaWYiNpvVWOV3wSSVZ8XYOevMmJRnUIpU5dXXb+XQpw6FttOAK
voS6q+wFvOhUrl5xhW6hSCJREqwdZFWYU1jTA253mJOoLmSp6hBhe9O/LzPIpvSCG5jlok+bDuva
vL73Edp/7QejNYTOYCf6zk7rbGL1rJ29B2yrkxmmKYgluCrGGplgoxyUNNrxjdIbu7zVK9TNQDwv
yaNd12uNKKKff4SE5FWRWznru4AA5ce49vq6x+B8fleuc6eOGhQEiRSetX1ngX3toRxG9026yg3E
o3sSfeXGae67sepbUlDH+laN/ardLVOg3k4NMjs4sgeavq/8vC9Bdi2ed0x8lVehqJEMPbRUGr5r
ldstgJ5mewpHq7ZqNB6d5Q0yCH0TZez2Zoh9sKrjoGuGYy7qIIgkKnBwVJYg1eGEQbS+mXMaBdCi
9ZxXpiQ4nzVQVhtmmoVLdNklQahrbl8eOlFZcLtx5OLVas7BmjJFnGkk840yR1VEhIBzDbC5o6zg
tXJ6N+aDT7IZmOJdMbSeuaO047qR4bR5TA5QqXBFM/tjKlLbPDp9Ou+SYuxghwPhzCKZCj0uB2se
9/UwaCoqF6rs8WymiEMaY1I8oPrtfq5NlQ0XErAzx8QmOwKj30Auj1jo+aE9jltnKiuNuPZqOy61
Qk07qZdAf6yFoCFM9SS9EUiq3hbKM/oLIcuZ6IiT2kE3eiO2/NYfg3SpV0nK6EEVLPvZT/MHpy3q
sHOLS7oCZ4ZCjQGWNjLDBLan7RK8KupKk7kdI/w67dK5TCIvScTVIrt/Wa1jU7TAOoD+s+FsZ+/z
Z9paetpmE/JvjbCcfYI+8SFlE3n98hF/JmreVIhIazn8txLYySiyVrpqJyeuEZjg5HRU92Gexuyt
lUzDwUW+6+vLA/4ZrP4WU9Bh3HjZtBdOYwq78AmnYLTESZkG41MbUPB6PTmVoUWWZnn9wV5dpFE9
1FDNW+jDEh7Yoi1LuEm3Goc5U4PXhY3TIyqWl8Dz3dccdo3obp3SdsoH6oci3/c1Xx+Ow9xyRnhl
/wMCh99+XxpXpofegJ9zK/WmMG/7AJDYO4fDMA2VM0/+NftZChZ60dv1U1YFoolcYSNIqznBgrke
zJPiicZ2P+1Ga1HWUfOs2riSviGtKOgS144wElHJDw/TzXoMzRmV14i5mxZ3YpwGtMYR35l3I+Y0
pLh2q54qNyvKg5xcAOpZjeJtlGpOtkSNr2q5gw8JxkGgk7+8ygpzBAigBYKtbSj6a7XkU8LZ2fhz
iF8QyriISZoPft6CyBhEj1ZfWS5GHZlWLqhnQf7ywTTP45fBaUc3ys1MZTu9V/zlkCfZg2e2vbou
895IroDL6OYeT1tYaSINJvGhVFZtujuPZrv3tE6DkR4aW3jJvrOgrbH48gUPKhhCa/UI9tTH/a/I
jeZmKpylPQwVZcYvU1vPegR5zx2jZjbtdp83CnnNFnOU4bVedVqFaPi6fB56p7F38FirtxK7G+0L
HuDtfdqWlr5DM6hxpliswuhkqNxUt++qpVd61NvWfLuRsIGKjtL54inTSR4MV6TigHRu/+i4/Vju
8AkAGW/IDLw3ujGmHqIzi3w/cmb6eMSnDhjQEoj0vUSY1wkbc55v6x5ZiKPbMX/eIPVRP4GZ8PrQ
nqYyC5GcMz4uiamJV9DCZyMcjEZatwBHrHtndNcJsU27+KYcN+0+ZGlVLUda19Ot9FFuelgJxLN9
njpmERZjuQi6ou58jSvemBymtR0/IDFnBsSw2vTGSBznRtdL7UOw8A/3gWUhsc+9OlJLlnxqqRU7
oT4k5bib5LIi+BQYDcAElXvZGsFqbZ9qMGFpZNud9TDQMxlvXCQCkUpeuMfQqpW1RJ3V48SZkbS8
96ZGPknhK3MX1AVQCB00sropk6G2jgTglrrKR9V89wyPjbGRTfmlDlTZh2XgDFbYUd4+rNLNn3LQ
sp9rz9Cc0NUrFEhTbQre5yLDus2lwa3CdFTza63TKDARhOUiJMqBL616NzcONrSV4ICAMkZ2Gn2g
3ZwkgLay0TMoHOd1E8uCxu1VadVdwkXa+V0xLMk3OflGvzOMbn6v0sXNdrRt/AcX+d1m3LnDbHmv
ZyOp7cjKE+UcQOnBxhzsjuja6JShP1oCXeK4qty0vRkgfCZaNLjSW3YWAi1wCDIHHHnTbWyLwfaI
CyeRBQmKX5NDOUlZlvbGs7vauyH4lu9rCXDoyV/KqggXQaR3ZwyF4X6Yi6W8ogIGWzBvMwE/ra/m
Sd7MZWolrzwzz4e7wum8NkK7OrhxXPKPfaoFy10X6POXsVhp+SEmVIww1nr7dZeVUn9YvQCTsXFA
c46ttLK/GqApyghljGC+tnxhj0eQTeJ2prvghpXegOBuSQjJjCBXyYccxHIsk7HHIHmFAxsmljGC
qx+K5nHCuhk+p63WiWCHVuSDIvC519oEyOGYdOW4VzSoUiZdvTio5+btm65tDNh2C0+sd9b+rejL
dvpgZCqp9in7yyviqsKDzavpn93O719ZWiHt0BJCN1CRaSX6GXS5lhCfitULfSm9Bw9JWRs6s+2p
W6NDROw1Ej/y4zporA8r9Ye7wWVuHzIOBKgwQ+lHugsNOcLXo18i18Juc9c4LKRH/C7L5ZBagPVv
2tXIcZxL57x9zDQhjaONFs7bTMFKOfBu/eCeCsKiIjdzx1dd0qZzBONhmu66xQNoL8zakzsrH9YS
JSwElMMqX0Qd2r2eVUR9xLGHqjTd9NA11Og44wxV7S0TaxuqHEZ7cGo8TaM8HcG2j6XpfFX2LI2w
UWaFlQul4ZC+IJN3wSc09JaqfTODoP1iaCr/7nmD9VDVCOmjd9QU33IxTN/00nOLXTemwoMFC6dv
R/Jtv6UFX0CCMVYdDjDz75ETWdS7QLXLp8Dok7ejO4ubdm6WH8TBMzC0alHvR4r57BPNLGWIGXL/
OJlrVV1rxBLDgaCwee9ZovvUJUb+ls5xhrVeWXV7hMMNrLfy0f/slPSFMbxv8nLXoE/4w/UBHFwn
eja2saGaNtsRjuivWl8r+xgbrPx+Vf7kRlhNp0kox8DNIiLS7D0WGp1HpZNZHRW6V3exhNxS7ADS
ucutbF3nMQNanOD1pDw9xI5j/jH5ACxQ6MQN0ydNuRt0KozkPg5GBpXrpLd21XRlCGk3w3FlkQNV
CsF+5pTeSmeZfJ9XBvnhdT2LBsCUTMmmtabIv65dstp7KpW4FtrSFp/HtDW6xxns/wdgSpMG07pF
c7BxMnZaPBw1L1ZLl8V+miUt+4YVfJ7Gpftq45dHFs3eoX9axrl3DsmQGFgvZYtu72XfNfemVw+f
LASDOeUnU94pbTA/0qSQa+SAA51Da9zKHK3J9x27dsndXS9m4LOhrNbOv/ZQZbGgvotxCMuhyhGg
QiYXexK3bV5Pazo7dNLrSkWJ0JOY+pT30aWCXEb07ZJ3foNEfuQvvRgeqEuZnC9V3qEPEhRBu1s0
bf3aeKPuhK3Czm03wP6lIO25i3U9S9MvdqgCLcZ+1qpZP5og266EIT1np7XFmN1Wpre+Gca2t4/g
t5njwKfnDxRfLBkpaXoqyvyAogJUIKr4JVIeG6TZwR2XgKG7x7l1Xa6QKeX4LdNkfS/TjLsMYA3B
dsknI7LdCdXpebFqLUNyJFndb41ED+Tx5bj3XOawKattaCKIZ6dCMaM9tPVUBaD1CRb2xijN26nx
UJ+syksy22eyMYwjQPFB8ATBdKr5OY+Q2034asyn1uj3KxYE+6RbkuZKJpo4It3qY5Mnp4YNrzOy
S0ZJv6cUUEoBTm2tKZDf9klfpS4F9cG2hS0gU/vg6XlyY1YQL+xg1HeU05cLyedWEX6eT6AySF2B
gjVYKRCsz1OYyoD2jlKMFa9b0ENHWOzMMQ0ulWm3y/5tGHDlMD0owQMteT6M4TVsI31hx4BjVRFO
jhCvgqZAt1SWU/OdCmrzahGNcywzzTDCwC06d+O0mmg5WsWnl2fT768Yng+aGjr/qFHr22z7BYzh
r3hAe0QtMfZC7W2QcKJopqmuCdW910TlBcKOgQp9uy6PL4987u1u8tU8ALR4qAw/H1lWvTA9IaxY
DKb/elazwa6w1Adb+c39ZCRa+PJ4Z+90g7HjJcRB5p3cqZ0htzh1vRVv+WvYBrKFimrlhyppPydB
7X5kU6tJL4bx8PLAvy9YVG0AfgKOZCHBS3p+o1oxQpKEYxW7Vboij+Wo3WyWPnGovlwYauu7n04t
6AqAgYDtW3Q2nw9FMFIWhYM4NaiHdVfVIr2TVNJepZv1SWnR+Rxdz73QojuzbICR0i2DuEbV5HSZ
ju4iWrUWeiztvo8DlXx1Fv2SX8OZ2QJshEVJex4A8ymypRuzNsdMQI9nQ7p95Kup/gJlVN6hZh/0
e+HnzgW665nXhq66TXGGEgJIopNnmbtKYGlnrfFSUr7TnSy/np0mR+3dry8AV7apfvLa4PIAVgog
f7Gnn8Ap8D40x9ZRRowZyrpfB9f8ssmOHWGz2dcDqgYRyP4BAr/iXEbP9cKOdObZbrpVrAl6ZQR6
JwWiPCsrr6LCEo8oxO2HceT4c4uEzshaRGqy/40FgcUkUNCfJA+gOs9naV3SEKulvsajOehRt5bt
kR7vGDvOWF1AgZ3h8EDcofRFQ9cAPGltk/eX/W1w3KlxlKvHeHOxsnXNE0+bQH8fGlM2fA0qfHPC
tLAa2JRFoBURdaxZwlwdjHsl+xK2o6ePWCjPQfP65X3hzGNHnAkpCBI1VK9Op7TdS+Eqyv9opebO
mwEv5S/GOBflbvI7+2tnEOpcWKlntodNTIAmIZu+Dzvu+cPoK/h9rlfCywB0EY+6mHfLamGG6HTq
ejMejBQ02pfv8kwf1qRbwwpCiQftt9PjDianaY9wAmPibG+D/Q/UkKrBXx9hvIIo6KfBSXaCk/fQ
5TPyTIas613ZCO+SY8eZFb0hoxCMhQvjUQp9fvuaBHNv1D0H77KWh4TIOzZ14eyNXlxCUJwZiq4z
2wcjMc1PbeQaT8q83vJIu+/uk9yX96UhEY5oNHP/8vM9s/v6wLzAOnJLHhiU5zdlCClagWBGbJLA
9DstcUjcnbY2LuxRv98ROSXhmLkFYxygJ+O0QTMbzrpasZO0cm9MDeW8iQJPgPDjhSlzZiifii66
kuzzYCJOtsNN9DdPKiIDo3ESCpuTqo5lr9xlXyoEKC4sit8fIBq7NhNwO7+QNN2W6S87BEr5WP1p
vhmvI6QIsjb3bpW2c+Hx/b70ACUClUNDEoob+iXPRyls3emrPtXRy9Lzu8GhXZabtXvrLNDUR13v
osWqjKd/dW78REL+ZJ0AoHG3W//l1tAKTTw71/UYCF99I+y+jNtAeRcCq3O3BlYOng/MPR+hpeej
+DCiTBvnzRh3Wv+VCWqF8qYUD2WZ2u/6PtCTcMmYUP/GsD4aTuhIcWICKH4+rOQIyddc6bFhdfpr
LS8Q76mc/DBSfrQjo2wQMW6DYuwvjPv7fPlzULYSVMjoUz0f15yzKq+xromduWhvgf03u2U09Qtr
YLv6k5CAYADSIIQJQrLToJEGTaM5na3H7sxBAJ9mKNACXYrCPKA8bPZh7pvUwubSbVN4sE156a3+
5EqdXgGeVQTKG+eX7OD5fULUsFXqLgZhHUlmKNBShh9SNvSdKRZWXejoy6SHgNLNN5xuAXoUvWV/
RbUu+Bi4nfVVL+fpY4Jn+opKjVbfq54sO5qzTeB8ouD42c+G2r6figyCu1tPHYIRhhJvgoHye6gr
vBhiC/WFVxbZ0VOZ+c4nLUWPbI9qxooCs/DU58Ep1htLlFJDWQ/ux65bQBBceONnDmoCT8DMUGho
gJ6y8p3Cb0XJJhxb2C5QN5+RTtdSyrY0fSMYZ+rq5WV7uv8R3gLQgurMDECv6DRmKcCHGgKeQTzO
bv8mgKV5rBZ+NFpvvnBrv2kqblrtsDTZaiEGgUA72f1Q6Kp9QDIzp3NBwU4khrivNG8279cSvZso
GGZ5gwIDVgpammefdMvV2tAZA/sVoYt/O6/0rEJYZWj/SSrYZlRM7dB+LOxk8e57YMLRAF75Cf+p
IP82OFVwq09SYKLq95nrAmSYHOQWR8cod6hsONkrkc0ORe+hU200LziMRWnlJimsc0//tC7Bis0h
GqfyMFc6Oq5m1w/zThNuJSJt4zqFuK1BudbXoU+v1KzPj45mZiBpa5cblLXvp7usmLrmYZomcXBm
OS73dlLTUhdIuQdX9hTk1kNvpgV7dDqWCLIQsXYxkJM8PbZ06t0r+mwL3oU+MKT3L7/8092UF4Ji
LZhHjnNO9VMhGvRfKo01ouLc7/x4bGZBGQsjyf5W4NzTH0DBmB+DNpvTS0zh3yI1hv7JAKGoBG4O
VefnKx6DF9PWNHeMLX9ISwxVOqyksqlNP+tt6Y1Rhr+Jdu1KpKhjQ2rGBx89zCXUcPTSL5iXnXkK
25QkKaJ5DeX/5FI8VYCUBw0WIx0/RAXAobAthfk9sGlIuF3dRbYn0gtn9G+4bB4AJkQQ9cDRBYhh
bAvzl/MSViMQlK5V8QR2jrGt1LpHohOVeUlpvo4SdyqfsiVp9bt6TuEY9mkv3Z1WdIKOm5EWlzQM
T3cC0hbCOjR3Nx4trJKTC8qavMiR1lxiu2mDV6nSitjXJ2u39qK8sBOcHmsMxcPe2ApkB1vU+vze
K/YJEuFppdaniitb1tCC6Z4fX57d50bZgiCa1OxvpAPPR6nLYE00c9TjtVL1LlvL4WgM1SUKypmZ
DKoCAXzsg7bq1inFyEGQavJLduwcWuSmSK6ju+eLvdcrY2eWm2U83Js2728CrXfvjaa5JIz++wTm
ChifSiK6dWD8n99oOwm6bvaix2qqkisa5vlVDzP3kHuJF5fWsEStm64Xgobfst3tJUIy3tDLZHne
KbTeGhHjqybEC5HQoLtmJh72tRpk5+ygmlmPx67sbSB04I4McwE8Odo6z6BwHUwC2Ng/jY4lf4we
4ikXLu0n2+XXcOLnpZFAbKqM1PVPNcqqNEDAI5NrXBmVedMWk7tBG/3+i7fiqENHaqxnhOyAEe7E
BqGjoResTayPg51FgLDTJgLTgXoV4tpNHgpP1ObVIIk7Ik1iGxq66JENkSUJdaMkm9xHyxLuHA6d
aRk7ZfbiwSXfniOdDswnPIhFhwZ4PwLnA2H2NLH2X811VgxhsgU24SD7ugn1VJ9+4H6RUxaVXpGH
jgS2FlYg7x9sxO8/6Up2xf7lRXIa+22PimIsCRBvCSSU+Xzu2G6X5IEUazw4RnKvO413Wxcp5hv2
WgbfGlrqP7A6VsPBawf33ctjn9kDN5VPav4UJJAXOa1FBdQPBMtnjcnM8nbvLabzo0xRrgjtsib+
oFOavOoLVVSRqAGQ7rYQ4rGSM5YPhi0pnL98Qae1MR6GCWmJsu0WDiGw8/xh4PyEsl0v9dhznEkD
7LcUI8pdmLYZFiLXocxKkIoG7dp6t9hWTmypa9aFROrMPsxeBVsFcDXZ1Kld+GxrTZoswxR37VAA
2dKXva6VyVvCwO7CDnlm46DMiQYddX6K1T8Dtl/OIFskCXH/OscrWMFXvSwBPtd9F01pp183bPy7
uiyqPx/yf36d/yv93j78uQ7F3/6bn7+23TJgmyhPfvzbq+5781YO37/Lu6fuv7c//Z9fff6Hf7vL
v9L9an/I09969kd8/9/H3z3Jp2c/7BuZy+W1+j4sb74LVcmfA3Cl22/+v374H99/fsu7pfv+1z++
tqqR27eledv88feP4m9//QO1+l/m2/b9f//w/qnm7+6ellbK77/9xfcnIf/6h+38BaMEh/YE2kfI
7W+1gen73z9BooYjEWopwDPIdn/8R9MOMvvrH5ph/oVUGOIpKpM/8fh8RgX8H5+h9wJNiH7LtkXT
b/nHvT97S/98a//RqPqhpb0j/vrHFgX9c0/dBsYlmYrapmTDxnq6VrXegNYIcC1EXiM7FpwLt8rN
yoNTWl+RKbskkridWc+Hoz4MYJEzE4IwVaDnSxFUzOQkCgCIxGgEUKiLaI6TXxKbOjm8t7timC0I
I6lnEdgnw2S0/HutkkFo9IG798YenzHMfiNdy/Nr8NfTVSIEIDNHae79nBs/2tm+JBL0M+85vVfY
K2hHo6RhBPZJk26A0ajmbsLutBvaL0Wlp6/X8rgWSfGjbVvnm1CjHWptJa5r12zC1cjGQ6E1wwBr
p+weqHSan1FpNEKq6dhKm3bRvR1B4lzX6Wx/7Gksv5FjSXetleVtLjSUs/S2Mm4MjRpc5BHe+aB+
/IOaBztGl3q2ooE+dtRnOrj7Qq+B+8tK/+YDzbJhlHpcxOSCT05N9TkjnvkMn/vBBkV4j12iEflV
1h4Cv57eeRpUAUMbCrIunIEjw0Na4M+a2r+0n/xfd4lnO8uLu87/j/vJJgTwn/9Ys7/tJ1eqSYf/
/b84Xv7cnX5uQduf/LmhmOZfKFiBjqWyCdkFot4/NhTD/Qu9Qf4/NTST/9gqxn/fUGz/L4iu0pXE
aBs2EwnR/+wnbFAerR+EAdCohyTnG//KdgIfaZvW/5z2m24O8TJa8xtB3yXx2E6nX06fti2EaoIA
WSRf+5zM8KSqtxnMvyvRVs6VZVZNtMhaP/i0DnQzucf7Ub/Cc7HfFV5mEZAYTlQ2WJEUJap05uIe
vAn0ivJAUWsT5aIEdYfDjCDLXhmpdddZpkTj1H2C/1Y8eDApr10AL6FsIW07lftpmZxvo3esVfI0
CLPaA0hUNynknAdqKP21PyKvZw5NdmPmCA4D8jNQYvfn4JrIBjUXKHtbSGhuKzeW3UxMbDgPSAN/
LpYmC7EPvc2nmYh4BpWLWPwR77punyhDO4yaZt3NrmZx1PdDHyIj0O4SP/EOkLrrY6aL8s0MWnSO
VFD479Ks7fe6FCWAYd3/gBFUcmU5BQKWlshH4kk3t0wWqtLfgRGtqUS02rvOR90/wue+wb0qHR9L
gTgsGk20RXLOpStfDT6346VVCP6EjlnnBdo7xW9sj7OT055aibVXOlHvvplXquW1PSU3uZYhnOkm
BjLymzY9qv7pbgHgW+9SousZlb6m/Rhk47HxWm2ftUv3eS3n9KAZS0rVo7A14L+gnd/ClLITNrpV
ib3ya/N60Ys02GvcaBGuSa7dErmJMAG4v0QeYtD7RPLq7NwtEUwd0qSKFBDefEPyYhutPPNxXGZ0
iLKljrEPW670pPlqLdb3tlrvqOi6+6q1lx8VlJQQAAQa2y02KXfTut4YHcLzVwX9od1cOnjR0dCK
wCXC8lEK2pAHmO7jYmTiZiY5etKUfmM4Ne5nswTlKKzj2tsh5S777ZK2TSxG52vfd0dN0z7NWy/I
S760ZfqqHNYjydJVDTZ3CCCcEMDwVgF7PtB+ML7jjGfDm1mH68Hh7aFTZ+9muVW0KpLLtOz2wIJv
zMKvjgrlB/IE1MfY32dn2C/JVZADLEw7qz76htaDFBy+UOm8WhtLf8KxCDmRIgNgGYIrJV0c9QbG
hhncu2szz2GlzOXDYiq+zgK1e8BTr7qFsT7s9bJ/Lfqqi4A5+O/AUNVA+ZQbNaPjh8Y4aVfSLsf7
YEB+xybu36e2lyE/ny03iJV54ZweA28wYwhE6b4wcygwRTW/p4hWhoUj81vVVR5kY3BbrqjS2Ewq
/+OotdbdNLZahgVXN0a67N4DZPnkqUCGcyfcNJIIYoYK2MGu0V0t6jEyKOziYzfVbWgNvXEMNhBw
bXt5VDvt+5Gy3b3epGmsTHxYyiqtolbiozdbTn7r9ePXpdoatAsVKgBzSwZO+f9wdx7LsSNpln4i
pEGL5UCEYgSDDOq7gfGKhEM64NB4+v6ismeme2x60csZq0WVVd7MJCMA91+c8x2do4L9oR9JOxWh
wXsNlsAOAyIoEb8aemxW0r2kMJNvtaPNZ9jk+qEiVONcisD9QqTzoglG070sXnLRnLTWAmYMICdi
8uxzfkziNleOHntG2xwZpl5lExB/y2+NPjtMSzNqh8tmEeliLZ77gDihuw+IeIdfpKoD8q7cPlIp
Xke7/BsKmBma2tzEJWuDneNn8oo6/jzqs7tnV7ocrc3zbjnr8/B+TJ9azn6eQTtLHDqwC6uVCoE+
5ywj6LUpWcOhb578gyvNS2Dk+85v9lUuOSHuM6zGuqQD71s//wItBIs0cHbrXEBFHrMtjbZ0ihtP
nJ32WaDDDoNeJdtIhE6W1wzr/dI9p8qJrdX40/loDfl1TtOq6gg0XhaTUN6+qSbriDZ0b3Vb589B
szm7yigZH6X+tltcS/52luzOHCznJ6fOi4M+YbN1dIVaf4nz0sVNqCySOOr31W5YFqAILh3n1ExV
sjXG12ro9bHzvYeh0uxIl7nCIAgTZ8H1G1qOm7+KeqlSMhZ1oiEdLNp+EzoNyHxzZq+mw0zC4+fb
K2ou720hijEsfeybjED5DspiieTYCz7/5mL2cx6VJRMb2yHbwlp/I5yZ9/rY1nteuuWQW9vHNI0m
t4OTxTM2gQ8nqLFvyMkJp7mfeYiD6Ykkum8nG7Md3UebFNOQJwMIWDXNy0mkiA+86o48autw2MzH
dcX0YWXak7H261PakcfZGs2VJdOLn4qH0oDN3etl7PX5E2L2r9la8qQdxJq4Zpd/OpnECpmj9MZM
cZ9ztxE6TlyUIw+P1Q/T1UVvHIq1i+1NJiUf9iP8OGu/ztZ2CQpjeZ+YYx6qirnRXJR7R9Bg1qM+
xsJEGGAJPQF4FZbjeQXbEBImwZRE+K2xT9fADEXXY0XkCmb+eRBohMKibj+nfjWZmbQvda/8Ez46
Rsno4veZWtLjrPKeSXqdcoarOa6K5rnpmwTR43DKrAYgZ18dpraHHLdu9utgPE4kHsXjNrmxU20D
6u9CTySu83NffG1+o8WrnnpeWMjhZrHnP6Qrz5YatA/RlxBXLGkcPAzBT2N5T0XNhxauk09wKEdI
RM0c7NCqE6PGr+Du3XlOu0hTOuZFLSv4uwkixRIab7gk2c00V4xDb1aR7y13SDq798Oa3BbCZa5B
Vv9WpocqFlTHKFL81zV+SX/4wm/Kny0Ae0O/TnfulqefnTbNN3DW2yUtdAff82rst0AsGIqwougY
c38IVCsIjTeVJh6FWJ4UHDfx5ueHesusSKBpYwXP07Rk445j/WPuYJagLl9zaJVtcV7Kzww9xVJ8
BkP1yKDv2q19Yi9y75ChGCph3VxiaXrrY5HrS1M4z1n5M6gRyQfVjniLH7XSYqO8BNiePetYyvHT
HLlcpz6eBnm1R+vQ1VPclv7Mk0DyF2Z+zkVruM3pop+Y1MSZsagw99SRtN4PW9emONfdG6nqw0HM
oEZ8xOVygcw4STzSFoukaeqTvN1bM0nzbnWy888VufKoBwq3a/NdLtVV700M0uaLFsyfLQGUjj0+
9oN9VbJ7GnhgtjnHogrJJO6trU9Qk6gkJYAiZGJ8xBOlR0Sy5qiwsVk6hpE9EllzwBjTxr3Gd+RP
OFnr5odf2mUocv+HVs5m0vc8Lv7A9TBJnxEl79oSlkjEd9xkkiFmnyaplTnHonPNA7S2fdmwtEJa
HQUOntR0SZ86T8sPttswlNTSLewW+2Ws+CpLfR0Tz8q7W6v4Z7nQ73/lmvohxIRXzKy4sVXpPDij
bPbBOPih1+A2ECrd5Upc6lX7IwIPZcHMw6U1sdWp32yzLiu74mDBpjKIHQlI0cqSNsFG0EfW/cfy
OgXa1OefwZ6t7eLcp2JiAbV+VjiawhLx4icPGnlpWvtRlfPj6Lu/mlF/qWljHjW9+kN11p4kc7NP
S1nPWH/4qSoTfoxgJPti18azP/U8SuaUXo1+vnXCuI1psye5ZN/L9f4hkv/rLM1+5V900HErfq9T
VrwEVbYc8+LPKG1S2fxdug7Nhd2ehvvLjUa7X3/otqgvPm4GxrxtcK2rsuRdqbsb79STX1e/Z6NI
SMPRQqnVjL/XckmIl7uHGjBxjGEeuGcr7ecQZbwD5i57gIQDAqCyvZdB8wV2B7yvb37eej+Zw/hk
K8/lOe2AOBEcnIXdiqLJ7XzMdlhtKOm7MTZmPP2OZ5Hm5qnmLhDPmfW7V33d1gQrISUGKNxJmu1Z
ytJ8pFMiSFiW2LTTG0u5/CtV4uxx0w/tFCSipQp3RdU9sBRud9zIKrJLfkZDWiKS82h/W7I1D/Xs
algdTe2IwYGjlxkzxyGcg9Ar5u4ho2/QmEJ0LO/tGit/NT3AsysSw5OICpUznuTcqpdFbP2Vgbcb
stuoX9molrHrdUTMYeAG8uTBVuS27B50FWRsM0BIGqsWJPB98zEJyuAH8SfZbshMGTGkafbbbEOS
r7HWc05OYKOlRNAvx1NbYarubPPbYMzye+X9mEIwmTcM8HoCeqCIFm8gHk8XX9CYrJ3mZgZ7Db85
1chNDUwwozpSWxtvNgFc8ciK7G5nVL9M/EW7sl8fcB8pchxKI3hTjOmTCaNXZOuDd7I2U8TSr9fE
9+9SAgS6MHsD+a4xkJURZlnvurBixQVheIfS6+3D6M51OLXokg8YUtMIN9zHjDkvzgAiQMAxqvFa
BPdE6XL5EltdgdUM0MaETbd2F2d10yvqXCISK28lurdbEtLltks59kFsbG23X/vN+hHM0tyN7jCf
jIJiAAcWJzGad51FfJazapUkfbl4ordmYqXTd6c+CLRTMNEVm/325hml/jEjt4ucfpzfN8rt92XN
jGjeRhVyutd7w2/qg5eR4SlFXt30xZlYqmSd/pB2Yx+zC1sS5aU9JkiQaMtYGNcuYPHLc6T+BjA+
R11QmhdlkRRrNLcl+KgaQfDQUL97npTfhqjJ3PY6jZs8NQ+mVjEea7pfQdPb+3nNwKuma0pATiba
vacv1hm2V4oz1rCf8tz5wkbrvMnJUBFxUlWIESb7WM2WxsZxm3OasSZKBRi3DBripRQdDndnCtUM
rQjBTs3TWn8h4qT8RBewqqI/AW2oQrOnlF+V7j+Y9zdyKYP30mjL59HSl53elUbc2vmTlfV/40Gi
tLPq5iw9Z7nQnS9P3WQEyTA2nxPcuv3EJuvcTuUQN+a8cRxl84Onc28XOEAwzeP/zMGIFG86ASiP
1Vro3LPU+r3WzntuEHDRS+RPJuIXQ6Wf/ii7w+QMbpJPqbMDvFSG+kxMOlsCL/I8YTDaC0KG1MNJ
w9VFt+0Op4kF6DGdSvfZyoL10Bgy3QdaWWoRcDTn0+yC9VkahXmjUHN+stIfHhcdwAFFoDVfO850
TiJh/2ZoGblWPR0zq+2SLk3r59r9JbpDlrdP3WD8yuYgrruj2d2EJHDLPVhD83PlTj/V2yiiQLb1
IQButwu8LqDsxIF0DjpHe65wxoYZyKZ3y+aqZcbZ/OKJXBgkKO3ATh+ax5jHNrnHt6K2sk8++OIB
B2X5x07tJVo15ez9MqheEdpwsN4hQQAfXs2hoV2o0uVd1Ebw2cwDfctsdl/LlDdHIo2LH8oefUop
1CyRjXVbRZpXy8PK9reUoIemsat+Iw7jQRgcW+85loytjBS7bz3RhPTYAvrWJr5qq3CROGXDwyCs
zExcn/nsflC9XUY2a6HbQlFLX4cl8tO2WVVR/1fjF1xnlodCX+StIUDyqeR33FeSsjFygAGfV8ue
vcQhOwenH8r53Kq7Klz9DsYpgBzjYi6t9eHmRf243DEmEcsJ7Y40sYUiPSedX8almQkj4F8pEskK
W8+N6l1rkdnWhrbd6r6nMzW8qoV85MsgXkSXvgrSMjlRO+k9sUp0/qTgVmPy4VYuMZ/h8tyXbh9O
TuE9gMjL99LESBZ1HSk5NKLmT6eCbMEuVtuVSBkPnEtt4nQa4Qe4RWgWJC1TQfbgDISCxFkNXMSd
a14+uOUstYgWPviZBdtTnXbmm0Q4daqbrn8wVcrIhtYq5JoLPIZkDgwU5KhtnHcrXbVRbf3eTP1v
R8jjNAZwNEapc9o3dWQzCDiJUZ8ii1jJS9YWy9EZp9NdSO0V2kMjrFelcGd15hr2WbcbaEfGrE+f
SWduDxDYs6gDFBeNvaJz3whRCpSKCYrdK/uCV66M8oobMjWf+S2OpjN82q4X5isck9EX8eh292TW
qJD3x+CzmzHMesa+DuZoTN3Iz8lpnB8zStfb6nt97DhaiGgtCHO4giXXuuysInLyiitmzhsz1kVT
I8IvWHq/lxVIgnWLzXre5av/aut1ApV3Isf6MFd/yp4LbbLnEKLkzdl6+UpnOO2FkzGNaCR3nTtH
k+9geR2tnNEIrJMH/KXuCUc1jv2i2PlwGeZM/EHfsp5hExycFVIe+2kZreY6hbldvTO9KMOWwSK8
AcAygb/unSVv9nhWHxrdp1cUzoNvOb/8/l7T4SKIGwQ2VPB6VN1bT5s74bkUmxUVjf5nNSm+PZnX
N25gcELrEhlFtx682YeM0DLvgMflCdvcUURd6/uB51SgENOgWMH4G3boutR5KNy/rbaMcySRTPeS
OgCchJ8pXFRVYVHsWO+n8VjSaGfOzcGdjQAhIZOTCN3+t7l41803LgFtfN7MJDqV1oORF1cT48eL
og3c8ZB+S2Vb4f2ZBCCPpsxZH2W20p/4WWjrK09Gg6XWYsf5rJnrzgY6TQ2jU/n6C3YNmTCBf7Ed
mfgCcWPvPCxB9sPzD11OaEqHjsALXjftPh/zH4yZ/E5c8WVNNeu1D5s/FQRS+29p69w6Qn1DpXLK
Du3KAn8/yuVbF+WF0HvGXSY7QM9N7HX54SJVoHZAHedxwdePRXpWAnlEn4OqqtSNavWxtBkUy8ot
kib1v7rcmeNtvZ/r2W1qxi7Ey4rTPjWP6ypFKIk5YvOH1M7GU9Rp+wbKPAZJFL0BbQy0BST13Pzv
BUb7lOljPC39udDbG9LmrDKPBr0/fWIsdUeGNHlBlLPlCJ2FcOrctngi6ySbvBPjGju0lccRpFhq
a015GLLhhEO0YXiYOlRMErIHHg3gSKsvD7PXnF29PqzWE9NHSv952bWSGyUleXWdG5jufDTMwYZT
VdLjuj2I+B4DVDU3QLPWFjGJzhRr8ZyIAeDT7Fc7tKS8b44XYQhGIsSsjWHZccoQrcJL2Cx973Za
nLnfMw6dBActF3rwG//13irKIazKPxC/GNrb23DRG1N/Vv06xZ5oOV6hRURL4WfvQW3asbSJS2xT
cILEu7QhvdB3ZY68OoInXGoXt+bQqzBI+9MUqyxJN8ZsY3MSuOfXwP5S6h3KFBzh4KoHZgThfUf+
GTDNsdzdY9eMLrTslzQ/B7kfS0hX4WynsduegtmI5+6jNf5AVoS9wYvdG51KtN5/KhsrPWbO8iAr
0mxbTK8Py2THXqo/1UMHMoCxKwf9z0ZfrnQhx3qeP/pFnfX1A9rQrWFlGzJl8pK5pyzorfKjyIu9
oFVxW76UVvRRlapTjooyzBbtTTMvuday11gipY8Peu2ELCXjDXmJqRPIXp/XsjlquX9o1JY9KP7c
4k4HGFg7Oe01dQZPKiiB7JMfNPu0emPqANLvrZvBmHGeeNuLYY7M+QegZ/uJqWg7eBSgLh0jI2rd
i9Lav7BQCUmbKboPDiJIE/SHE0sNoVhh3HLq0cWe49XFZLtZT67z5o89AqovZ/1Z9m8sW2j1aAa5
DXqLF2tbHhRxvV676/3PXteioTUi7LGsOrgjhuZx0Ji4oTctkU/GdJMfiwapxZfVA6Z5D6xXsLwi
HrNi4g/LxGRXE5Fr+zqJwN7BObnZ3rheul7RhZipjLbhj714J7KKEtscrxUN3i7IVXmyWzYNVC+x
JnzjQabza9v2j909IrNDKMMMmi9LBDUt49BHglDzs52qmHgsK4avdBA6TaiZcvCt/nOx2W7iauvc
8jvQ3a1u9oBe+0fjILphWjZ6F6seXvXZzg7+4Kxnhll29WxVwx8uIGYfHnWMLcYzKQE6gWb3c3xY
IeQVw7Kf+6CNMILx4Ls79hmfKTKrll6+f571N09r8M+AvJot3mJhudd8C9wjQhcGuOOLXTIbdmlq
uo6LA2BcvKXZ5zDY69mbnR2VNdu66bNtVwggrrfrpTyb5tOmuGfNfZmX66Gfl2AHsnZOjMV7FRsX
TWA96IV+bdv3WU3Mt+vXUvNC2N6xOVR+2OjGaS7s3YwNIWy2f41MzTU75TMCBafy0x2D8OLQbJkL
0qt3H20d6mI5tJdcdxjltrHQxa1ljMuQBUlZ0ATPoFQLOhnS9ZqNQkxj3q5b7YEYKiZKwZxFkgYp
1Eu2HH1PnbUGRXXJ0ofCdMYD5q6MLiTtDqAW1LMReJ8FRP9j33cos1QeXBsIU6fcKyPBp0A4Qutd
gq4+1rm8CgEou2ZXavg/JX9b6JiVvteRHceOOd8a5TWJ0rTqtqRC37eeeLD9MrGEr8foYJMJ8BvE
iaaIpbSPk10dp25MWhv8XWv370yyX4dhLUI5i+1doyQE52VU0RJMy67zqZbmIQEB/O6Pw2NGFf26
uo3H3V1QmHr1bSmC73q294Y5nWewDvvNbj7WSntktvBWOuVBc5aD0frPW5HZ8MJGRljBxLjfOW3C
f7ao88ae5W01WqAVrTzBn/JWd+huTN8DpjPYTIMBAdZlN1+MfjATx56nxJyWvwU1dbgVvjpssvyJ
9peS0eHymkoKrVHPv+FQelv37DlgJ0abN0xfL3lmv/m0jhrz+H1uUUZlsHx3NPdHTEAgsqD5RQUf
T6Ta7iWdNQm3zd+qU4/cax/04lfls9sTDA8MrsVMf9l8cWwwukayzoA7rjyAhWxCf+GBB/KgZ+UZ
eNTKqTOzVKi1RpzwQZyYucH8kROAoC4FdFP1VZTZ1l6CZxSu4s+sMnLdcT7mknjPrdr0twzMR7jM
7iOuJEodl9D5e8syiRRQS7Mw5WT5SjbhfQfXPXPt5rCgzBwsS+fuofP8aUdmFiNZVlFaWsZu6zMI
dSX8gAyg1mNZWdccdfeRHw0gPSql46Da+pR1FkdQu4wxysYxtHrLO7jG8CMVW7tjgmHGs0pJGu3r
3aIZL7yPTypndsNgS1BqmUbSbQS8bxujsRTryaeLhZaXaZ1p3VT3QNx48dtVtjxiPFCnDb5KuEwj
iC25mrvcyLXYKXWHvPIx3ylXzMducfqj5vogjxoQFTA377VeYYRmUYyRtoHYspYFZKRE/qDnTGPH
vOkSlem/yyX/0GoKPFUUe2NChGBaM+RCha4WStMngp7xCXVuG/tMp24+vJyEOVIRmV2l4f8ctQuI
JxYYEtJBXSxa2AfFyzqqVySPX9WoE26ktuBMndiG6Bv4wdQ2RhDG6FZ09yLpiPM75R+bisIg5RZv
EvzquR9bhzBdBtygWhk5A+U078vlra2uEh3THt2p/D149nhYTKWfzS4Lfq5zr33Islk+c73Z9mDG
VgahGeuAuvthaA24Srk9tq64rsK8aRBCmNLyA/hyky9LZ81MQ1lhFKANm6VTMWq232VrxQLkQOKZ
JOgxl6YSyssAzQL1Q01xDoa14BixKx8ZgTm7tyxH5FV77ZsbUNwUpo/cwE6npF/87ZA1wfo6LCo/
+GXdv0HOutSGnv9gq6IOSwZawVDLpXb5DKVV7Kc8b49enhLxq4oLuR3si7x8Cq0WNB4pYSzmLLgW
TX0Uw2rEyprzoxTFDlAXOLlCXWRaqes8j9+p01cJWghOtH4z+4icEKr5tu/joIXUqp/XTP8eGCeA
cthpvcBI0NyHVbw9ApEnoSGjhbI2cF56vR/3sqrkAbas9Q+v/7+lx/p/TWmF+vC/1ln9D3Jeq/w/
yaz48/+IrAzjL9K1LISRbHAdnImImP5RbWr+Xy4ARIIpKIhd5JD/QWVleX+xLgzu/7Fs8IX3sOn+
H9Wm4f9FiIgB/sh38IpSjf93VFbQJP6zyOoufkdNSjaaCdyPiTX60P8oskKcm6q6JNB4ZiRWviq9
t+3LxCC2ZPO9rOa85LEP6Yh4ZN1iW1zsGZqUS5Tdf13GQC3UsMF6BMerf9XrnFm8bLXbMrz1pt7K
6k+ZDUvgJYGdrzo9Q8H/p74LMRr6s0dGCc6A+k77Q6EIFXZqvoSqgCqHi2Yu8xJugpCsN4+IFi+u
DMDnLxY0kjqe69GZYpo2Z0r8LfAWND1Nx+lqMs0tjGoSrLv17WUt+9KKUaRmjy71Th4Z9r2nlTDJ
t2iSk/idWX7V7dH16OJoF1yxZ8Pl2GKUYUpYqH3hsHJciK4+eH4DU6cLcCBe1oYCRItsCK5d8WUP
C3KuKBOKCCbP5L55t2n69T6pJm82XjTmCv6+x8SWXboR3WMFuqw/2NpQBk9dDnY1EUMDNpVv3dV3
zBDdhpkkIwtu9qHcmVx1LBSE4Yyh2bTg6zo8MTW4QMuhSxVre1jI1b6rfuqtwZJ217IgQ8dd1nq8
5Hvb6kGuasugAdz0/cUdJ2ZPZQ/Ere+QFI1JjU0/206dxtgX/MCA3fOEg3U5+oy2q1CZhvpZloZg
4l5jd0gAHTPoCvhxGmHCnpxWIQa4SIah+lPGcqdiNZTZzfJCW4v6rVb8tV2aaQi+vKC8ZxRhgG94
uKamqx8BSzOzGlplzrsa8psFQjJjpIYJsNGbAwNC+h8iZTcKIzLr0Jdqvt8ii7I65mEuM/Nd6XJS
kwEAZzDK+46aa1v7bj5llK+PneP3GtqJxS73U4O94zCT/+s/o4liE1ZVlTERkTB1iA0n3yQHsSPh
Gora2ry57uo+wxsuvtoyGLhtXN98czd9wV5Yeu3TplXwbetMDmctVeqyCpSTISe65aFgsak0AR+7
Y7yRzYKOmOb/ffAnYR910WZ/e4Jguv1qeExNUOXY+jktzJLGtFgWainRV+7B9de1ikUKujfupauh
oZCdwyxgzg2anSJoTk5bic+laNkLY/ZXOstb1x+BjUvA6k6Dh2ynQ/P6VW4OC5gNrRSMQlEj82id
oYkyM4P+UzV60COIRFUOIrh1fxhEwWEsc7OAnQ/wiibMNNi3ke+n1BNO4fCdeezadPpkAbFMUvLy
cwlPU+GGnvm759/5OS219nfJ+skNqVi4qwHeVizoadepAIdhVqFC4slDlDXFDQTXOMaIYqR1lssi
virVUeMGVFSswpc8zxKrHYNvbfE8NFmMVLudpjgxQwlVY+/oTYpTZBqrdwejoIECtG/IuNOq7aFx
+44aGTclKxjDtHH2zpy//ZjoYrOnk009mCfZwJ4VgCEtZrdzzaUY94iQFhDxQTv438InIwH60VZP
TPZ0afBfNu/anMyq6t3XcZJ0amk799WzvzrOwCbRSxugc8E01DJRfoV+dJ7maUmjLB00eu/cyoT4
vXScErxYW0dB3LcN08DA1YLNufoiLxcbtYnSrQNSHrP86CvhN4dAMztaV0wY6y2HGcDuHwfz9lDL
th+WpF3aoXspheUxgplI3uOwtaeuzo68mZzbnBSsHP1kCUyJLKNn7jojCjfLSsYevFk2Kl7PyZ2k
ja15pzZw0/adrZJr730Y0sEjSzcEkJN5/8jCvGPV9BMvVeBe/bRiYmUMQTlD3kt9LKuLaQzeh5eb
g3m4H7ps5kYfq3wGGdTzs9+Q4jdULvO2AvZc60lzUYaai7UTqoFDnPu01jQqhSLcY65tlsIsD8Dh
NY3/PRS5+TXNpqa9TJPD3DwwRvvZTukmntalNr7FppWkv0KibPddz60SWaVhik+D0qxHg5aOJvOL
uWLsr+kYq8XozNWj3zJi2I+uNdqvwV3/mthszxdmV3P24pqj8Vrpxgo43MxHDwx9w/K1LXOvoIPq
0JmUpoUz9p7sdGZDBNe9KjRi222jrblIWnOml2+ctuNVlK0WK6AIz61tinpPVMD8BodHqF2w2F1+
5CsWQbjNBOKEo9/laQLxeulj2yyRxhJZ4LFuNJwUplRayYAZh1B6O4VkcRtfTs68g2n/PRm7QC2m
7bOOtydi690pUO4ZGMZlgEiLprNBB+K4NlBNurdU7sZUu+uqmsrns8HRdwM5AB/dsXO10+0ZqeZc
cXWwtyDr8NCIO3fJK6XxirHVsGODlYxLH2uPNiN/NMZ7y6q2v2ufDi10UmX84DkGh+r3uUmgfZ2J
7DpOeD8R6dRpwXyway+zUa1vkPRkuav4NMvHdcLNkqSef+9L9VwYfcL6kE9c1/MqOG218ndZ16FO
MfNCgdRsKtFGA8tzl/iPNiitOWngTgJTLoSurvCTbR3Nky34jvRpeincYiAUsrONv0effMww1xj4
xDrrhzUBO7/YYaEy76kqJnqytg6ccsenO72ucK6s2G7y5oW8DfeH6Niq4h90xYL8dEXaLbaGL8xb
WN+je4VWcC9yXJGUHEU3GO33wa1Z1xxzvlp+bmba+DtTS61nY2lH6zS2jS8Tg+LKTSbscWyrKH/U
Nag37vPY5BSwT13QLfl3FXQoSJLBN5CKgxSCa/C2FLMq9sj40l+b1NAX6EhREbUFq/GQoZlmIDgx
af0lF2/+204NvtlJmC7sYsQuggWdy4J7tLuhZfaDTy0qnM455Gpw2n1fKxzILQAjRU9WG9Vzaq+l
diidPPd2/iQpALfGdeUVuX097fpqXjxCGZpuR54xbrIU+FTMC63KyGIqrkP2XXMvrGXVVmFZz3cB
tu9m30Y96TJuSqXUIVMSyOQQ2OVXa27rcDWq1mtvZg3XEimt1uPqtaT6m3nD1iU2efGApYGD6qcS
Tma1a2uz4d3N1eyiM5XMVeEjV8UpJxc0+EYVGqClYUIkn7YCS3aCtF85n41V9hWyf70YX5yCIhq8
5FwrEMdaohEsR1+/F75q5TLuXcmv0fMia9aYIywZdFHcF24TEqMeRaso/gaMrTM+APAp9ibJChVX
tDK3UOvk8NgqfWPxg/pYhlrh0b8a/rJC6AuI1Q3nipvxJCxlWhTqRV4dVO/aFy5amMgUQIhRtc0V
H4iVymeKrHTgyrZGI0yz1AcjwZPlhh20AYb1UBm+/JJk1mhxpJkiA3PhhC4BRXREu+5/t6mwBprp
AR2NkUmtoMaC5Rxyz80Xb5rUFR0I24k0NSZWQv267Njrkyu9rXb3g/WaevWIkSTvFdX4c1nNoKkl
fO8NzQrz1Zhd1/bF8dgN4RQIFozwANNdSlAIFRbw42rH6tD7zBmgjJxPts08pJ+hLqOcKP62FnsC
BTrVgAPp2NX7slhIvKHc4rVY21V+dUar/+R/mTicLA31ZV6jm9mNncVthRPF9w+klrdZvBEj9NMA
2NWG/piuXaSyZn2B5Fo2HOKj9dsD4UlLlN1VvZ7bsg2rZNYxnfZybny0PiiZhHAZBxBWgaihsSfA
QWSf5NwtpfpcJZUz8kt5n62qprkrNDv7e8gX/U+RptXdEY6oKCmqgsLV1qZxDFGOTy4DII0h/78a
1v9WT/7/p0fKwVX0X7fujCil+u7/o0Pq/jf8u+PS/uvuMNQJfwhYsvl37/M/vbtt/WXeLZUAmgBq
A/4BUPC/HJfGX5hlDZe/HDh3qgCWwX/v3e9uzDsAzg+AaZhQVeA+/k/31tM/zqd/jLD/d8flv2BG
/9sg5TMywNp590hh+YThGfyfvkCglTqSddaj2aiohzRnPQzGv7F3Jst1I1uW/ZW0miMMfTMs3I6k
SIq9KE5gIkUCjtbhgMMB/E39Rk3zx2ohIjNKUkVG2BuWWb6BzJ6FIu69aNz9nLP32vF6p1dhIz3O
oeoaHcAQd/Aq2K2NS6GSzb3bDgGB9Cwr513bfq3rrfT0c5UzO/I5/ODzKAjEYdWACDo13U02qAZx
TVBEV62TbVOeOCRWNBhy/WCCIHsCV8pIH0FW/SJV21x2kHm26aGVoqRXTF4jf2a87SfrvpSZvKor
e31eishHblr5RGnQEaegfETJ0X2xDOv1DmI+1a7dOxgRshL5G4lSB4S92RcRdO0bwggcHD/c+/+4
wD9aWF1u2w+Os+2CwheCPEpjxiG4eWvW/NgMYfrkAHlZAvQQtfOwopFByhvXOB3ZK267ZXC+g0Wt
D+Hqr/TXRgPxv8+G/m6tN2dS5GlG1LWf6P3orJwFhfHLx8Gd14uaqozKiErmfW3E7HDu862Y7Gmg
pn//I37x4W6/wed8hucXsBf+vV8cqxhW87pf2oAUsVkeTBJkp9ZdkJoyt0TzLez933+e83MH6feL
9tMHbl/oB5ueB9S6iLCk0PZhxknt0zTsUMjwOTXfLn51VFEgU3+OL2yNcrJoL0kMviYR6YI0qi8I
JA/DtuFU/0S9+MUh/PuFCBFekLib4N716KH9+L1cNcyGBz9IS2j62MOa7sKq5uwfyJx/+SlAToMQ
fzwtr18eGWkN/RBFkkfGCsZLpUBj9p6e/uGm/u6e/vlVh3gcbdQBkIFAGn951Ym2WoVf0o+OiE/j
NNqxI6ScIBl71iZ7Iu3CcYG49csXO1T2E6hJq2XuYZfflLf2H4UdEOPDJ3hQ4zuEceW4IsNumurd
caHbMSbPHLw2M+dQXeAEQ8zcTWd2Uh9M5l3pJNc3jgdWgf0oxzxcD+1zL4vwgiwf1NvBhrgXcCqB
IWgzpHSfW2YRTn0+g1Ks0YDM67kHhv+/960NRrAZdYHY/vAe/j/e3vv39j3/Vv+4cf3+b/yxc9Fl
+40OJhjGjd8U4AL709tLJNlvAZuWz5OEoX1DG/65d+H7ZROhDRyFbFJUHsBA/rPt7P7m0XRm0wtd
hy4xHel/Yef6eclAb76tT3bEcXKLAsIy+POr2WWtAO2f3YbCcp5DIvceSWamYbjFfaOKHuP5lfoj
O/1whf5ief/5Vf3jUwG9egCMSK8PfyUU0GNYRM9ke/JpHsRLI+77JRf/kEb8lx8CKI+XFUQbQIaf
f1qPUTDOx/gW3qD/vNBEeajynlCHv/8pPy/yf/wUApVtDywVZKFfVx1N/01pP75tdIG9IXZzmh2x
mA6k2dhndhu9/P3HbXvG/119/uPjCDbikXEjoHO/cE+q0jHRqqNbh8npJ1TS97lxAgZ42Gz+/oP+
6uqBpPzPD/p1mQvbxNWojW8Rhzn7AkRwait0rH//IX/19IGGJgabkcd2ePr5FoX5MDUczW+bLE7u
+Etgd2YsvQTZS+u4yRjqHTqVYv/3n+r85T2LXPZkNgovtn/52LpcxVLU8e3QeGpvfFUEdPF9koCK
wDuuXVLda5Vkhzaqoy90q8Nj4DX5q8hDCj4v0xy36tVHXqHjC1MQuLavSWAU/3AD/vLaxAB3kEg6
29n352ujib7skzK67XQ/HD1EVT4REn60a4Aif7jemtxI2hT/wBj8i7sOsZDZmGdzNAb79fOHLmsB
Kmp2bz1l5CfpqgLnj23+Aaj2F5cfkCsvP0wxlp1kO/v9cExRlpoKFNW3ScN8IKL+/v3qv5VKqEdP
Bcs/xbc5P5OTtpcGuC8fxiIcxSSr/fKrZIEcUkkBlXCKgoOiQn7Gm193FypuYo67BDzgZHLKSNNA
dTTul3YF7uz3nqPPFtvuP4KYwJ79SpgPorjIl3FqWm7OSa0DzT7Eltll2K9xsjfdjBJx0yHdVWap
lxR6XEa/ogVF2RfjPKZJIuRjFDY4ZP0mJCmQ4fdHMQ1M64I8tmnmWx6AkHydKzQFmI6/zJOa2nR2
x/JhlEBM48Z3zuHUeeMht7VT0TgS2N4wb66HYezRXvLuzpcEH3m3co4zl+ATUX0LnFLMO7KDSmfX
ATU6wbn3HjPjt3GKV8eDNd1783FopUc0EWPG29LiZcSrBo4B3aRCUjqYwLyEjqQrX/etjRGql43a
QUqOmx3BH/yVfswQnhUtwhHgxtZbrt35A8GDj+kYVtY+oEwhzkNZxT3XMTlHx94AsVybxN/xsuWf
yB3t0J4txfhg0+Ypj3k7ZuetDX5sJwcXP88QFD3CR0J9ilNL2584E7TIHzGtLFo31H45cuhxRc5l
BJpUwWK2pCP6ZyAQg7Le1Yzlix6vH5wldOyjiwyJToyJKnBf2iwUM1meM1gHf+uYpiouyJliNpPc
e0jQb/Im76+7hk/Ypk71Q1uGoA6wV8WPbC/5if86Ut9YhuZrbBl9Gcd17O17r1I364TYF79p/g1T
Ho3nsixa5xQq3Jh0XtvyKKqAzLTBn/WliIcJld8kVU0BKE12stHzSMQOialQSRi5p2Hqc/YMQ8s6
RjGTxj3ZX+03OlvYPz0LfkzqrEa+NkMWTemwBN01edNjScd9S4bUROSSlFJGTABBX+dvwcRQJ/Vb
vGXkyKrljb6+hnWzMbe9uXK/RFKH+F2LEvlp5McgpbveeATsdhDJukq79VVvkN+mTYCnEhVLbO5H
UY2Xvdd5H5Tw4XJTBY75hALKXHel1/+eNLT4TI+ghaT1UiD+bbRDmxddUzWeEGGgB0pMBnqjDOic
URcbGsRmRPacTs2CiGYdtX3XO6Bx8YGQjLdzmD9k+ynpJo3KGyUIAZFF9GHill5VP8Uhmgub92bo
A1uww4g4RsFslyUuTT2/URT6j0xehhcz9uI+MhE6n6lk+LhzLe19M/1SP2KDC24rbxWvyYxnZS/g
Xag9iTTAlGee5vOkKebrfubVO4kWfZEmbgrBz+LLV+EabtCKp/LVRvz5lW8wfGmnaAzpTq3RxeQ2
pIzGxKm/JLVHONwyqVDuZDI2Cp+OXr5mLVXDweXaMqrNkwpTg2XbWzGvXoS/Gofgu6Z8R7TflWnm
tNMDydLdW1hZ2de4jXuJ5s7NXyTuqqfZI7kXdWvZfi7bfLKZrlVIgQJsiAJxN3si4spyvomtwKWL
0EZYEa2iwHyOBBXhdRZQC5m1QBoP/cIgfey9fN+1nmz3Vh7h2vKn6YEITZ5BrEZP81BaOf1QSqzU
EdsIfWTehs909QnpIgL6tieMrzr1YssnWx1dCXwTCTqw1kzFle0JGnWRFQfLvhsQFe6I6s7jHUCo
Lc0igPxklIYVC7QPH8uiCBbcu8oItDWua25Gmde3poPpSiiv5VwCnaIoDqYRh7EOqNsQPCR5kg51
Wxku01TfMlvWcTrHskbuOPrBzWAay2Ngmq+PDvM7/2IqTXU+rbSurmZWcvnSaFAgBfgWgS2GPiFd
/ZQhCAqVXdiBO7hEhpUPKezdtWX4Z4JGr6mOlPHuqeOowjt7cK9HxTGcxdkrmr01QQ+6sGj9DFfC
NwOMCEuXr4F0keJFtOqzw/ZSbDP9GP9DlKz9ttflilXTNShXzSrqw2RF7ifHE9FH2xGLfEBIvpJ4
jkNh54u+G+iZbFS5CXLLWQBm5BNhU2jlbS8Pv6qgxgwibfya9hpO7U5D/f0+VdbwVOOXDo7DvGDC
Z+gqXjQF7Y3d1tO7VQQoynO0vuncCu68xHhgznWWFyUZTEM9H6w+9m+lWxTtwetc33aeYjHYDzgk
yxp085BDyYznfDysyCmJhvA64hCtQjHvK2TDQH6c6yA/RnXpfQe/7RDCG6lqPtv6M5tftATFsRJo
P5954CYs7Foquq4H8BOkatalcyAprgNTkqC5OADDrD2sqT6q73KMCGwck+ZLZscLnfCo1OOnLOHp
2Vs0Oqq09bcHi/l0kOz6RoZR6nsFmspunkj7bdvw26wwfB8y10TQaath6ndJbrSA/DNCwQkWbPLH
2W8WdvhxwM5BLB4R1HaJffXga43Db0AijKCkqLM3+uo+xiEi9FLUQrw6KHjRsHPyqLPD4pLoDByE
jN5dlMCO2/klrHd8rB7kygDMz7CrpjWE0qFxUjLrdt0xNSI3/c4IHvpDVDF93VOpVj6igDrvd6VV
sMuHWLH6Kxsd0HgcHBNPp2zYwj3DOl7KM5G1oUU2Mxqei5mdIDkQfYnfqhk670vEwew8LAZgAEhe
1LPNSQEHvr3k2Y6UM8TxEzadbNei2EgeGg8dj/y8ApgSadOo4HZtnOjFxT9F42rwzedqokLYsTHX
A3uQB2syDUwFZqHvB37ZykgT0wTm48+MyhyssoQjkaDp4bdLPVqoXM5s8u1jrkfIQ2xGBCUTTip6
3DUbZmTwGKTS28kdg8Ivcz5m7Wl9htydrOjZcWOmQpk134jFK+cjtXvBbKibpXVmnLK5BwylYzwk
JgJqI+KIf2lgODRdKACoxSMW1yrBy7cmzUklDsE/mj2kPdaj0kxzeDH8vbRHNrVBiVi8TfHS4Vwp
TIanzjjJYJ9gk/Z+hwoD+n3qrtCrqiMSrqj6vJQVOo2qvSAKzprO59VXiD9pLeVgIl008n6Zy/eB
C42viXn2lpjWMncU1iwVKz2d1p2nFwemTwhNM+SgopF+a+0QfyJzVLRWT0U2jmv4uXTYXtMmW+vH
aiWILS0QZrEsu+Q0n2YSbw9zXFgPM1FP6lMTTtN4LsuEuFCgT+WzJvexPv+9qvvvwcn/8KnS/uvB
yd27/Pf//VqLt2//tn9vujf17/9r3P7P9/f633YdSWg/dqa2/9QfjSmPvpQdkK+FBhqIPWev/xyp
MBpx2Id+IFz+2ZYKfvMY5AcgsBlykB6ypSv8OVHxfvNJKvKo6gBB/t7N+hf6Uo5n/zoCcENw9ygi
t/+58G63WvWHMpE0Hlhrc1JgqpxNtk+QmyNCY4Aruw92R001wjkBYw2LQI/pgXCwva1c96sEbFOl
TmhyKL51gtk+oJDI9hn67fNpxHHO+b6pyVps1lWc8J1EN34u+m+h1vl9UVkEvXuVsHArZTPbcqlq
xAgqsx2PwYq0zwOWtwite8iUsXQK/K0r0BmPKsSISz8vx56ZqaaZoZfZ/WL5ZF9ABqvrxyHKwWh1
ni39HfB6HzDxxHtzXIizLGBCTyNRw0VDxGEerriti2z+ykUf409dxdmNDbSrv2cqqsbj1HXFlbY3
U8ZYhTVn5DVSF8iYWf7UEq71TsWccg4tB60Jbn6fPQpPtG9siavGVg5YL11Elzh4WMb6YegM0Wpg
xnSM39dqX7SP928TIrkne3QBLM+LbI9q3lTLSTCaezr4OGfGEXt32kam/8LkVslDO5Y957rBDvgT
WXN+GDPHLDus38ty6prVxsKFSJODuEnMs4Hfv7ksyxmYDgeUl9gnpIYyXPE5EbOcj8Wu1s+Ni98r
XfOCFGogEpXHobaLHkaRyA+Ogpadopyd5vNerlZ7ZmW2WI/Jgoptt9pgdlLf97uZVrsKEPUPVs11
cdEL2HNro54ILftBllXwIqKJBAsMe/FTMBXDdHKpUZ66bECuh6oYgUs0259WVZfvnsqnp8mbQVKX
KluRzRCSc1t0vv890hN1DfI4qo0ZND1+hmByxr2WHvnedBYUrk8NMQUZDhGLt8WY4dqi7vKtDOcc
sUtYgAXniiuUDTYBrE0e4bXvejs+TCgFjkSZSO8ELNR66cd5ubbLMFqzExiyoj0LlUTpVGdjeaFA
AJARONmLPV7FOYGgvD9r3qY+wrcoLWELwvqOjICHkREpEN9mQ9QzoffJ87Av+2YmZ3mHaT3IrtXo
9tlhsn3+jJN+EU+tSpR3rKcA/3Poisq3MYcmS/CyoOcrkRkrRxy6ikfy01oiubu0UcGv52zznX2U
bm9pvnGvq0NSt12063so+xcyBiEEt4y2HSIhYrn2YUZVc2W1y4aSaXHT32NiFgHUfe0HbJPxCgEq
K2r7cSI9GSlx6xbZSw0mr3lC2eSaa7uASftJV1aJWqQTSf2pNXO1uqnUvUxe1xwp210dtSiVZ4i6
/p2N1aDfIEpZf7Ln2ZhrKXU0fZJV6/ZABnWEFTBLIEGCDIiNh6uRzJN7+kUTD3e5AZTaMlOfofQL
PsYht0Ck2egFX2s6KvlBN70z7NtBhK9QxmXBiQsxzte8FgWUrNLUT8Zy8WiDLcHJgyJF7XClLfHl
Eg4mLSOwjjvCPp2RKKSBZstUYVY0UcUZMt9OUDtiSmfrc2LZMeISFpvxiEnG098W3AX3WSkiXLs4
WMR+Rv4srqBU+dkhRI443NktfnYUFJzII9PF1RHe7HQbzqCGuO8FSxM4KUNROQbmUhB9YD5yTiFH
poe80wJmF+5dIFEgbkbTaVDAlnvPLsXZKACscCcq5c5IQdf8zIDoQ5+kpnxCDjkGK8pYRh631bAM
b6uI9bNfFfINEZ+tj9jfzGscWYvG2mIrVtq0Bvj5ms9DU555VehirkjoWzJrw7md5mMdWQfKvnoA
PicUuK12Bj6JrG7MduMiuEwWHe7+mGcODiEfIMtn7j40EqEBeaQg8ZurAjU9iAoOedGuzd2oJbC4
7j6P9G0rFiEJTePDlQUpmLj+45kc5WymFEVSiWW4E7E8TQQrX1Sy7DmxJ5mfXVftWD2GIFPVYQ5d
Ft0ks8ObugojjDA1sd07UCce5XAhxPPYT95X0DAgLlrabnQKgPIfzPJHgnbNvJucZ3kJlW6sd47T
hDO3zm19VD7QRPY1L/KT0yd6QaZWKCvVrjBf27yM7q0xVMO+QAa8XDkyr64FGsOPbhBBlLZxvj7g
FhjMiaH/YM5AnTUb+wKiTsqJuXnI8qjVe0E8J4ph9pwkXSIskjv/99ZT603dyaN1hMCp3L4qvZQa
nF85iuUYaSswmBhxC6bgoaAOF5msp0OVeTX1KSDOW4fD8teuFj2dWDeS8y6YlmwnZDa9Cd+y8wv6
bFtjbk6SYZd7GLIQ+OjocfYKDeVuiSZB+8sbcRfPrnfWWQNxAOvMakayuDbNoSjB1R4Kq7MvG47b
FG0ot5Nd64oh3I3uqsKzyhADsBcSKuG+WY0FKmIaQrkHIxCd5sCOo/1YgtR0u4p7qM2S3NVAhDI0
SaJ8rdmdW+g6JYsZh+TuZgAOlO2W0vEeJ7l6MfFl9fCZ58J+KfsAYxB8pIXqgyuCKqoOrKOJxvlr
3RJo6cTAXtiVXbjTVKqQcnTrWQ8ESRTPa9Un32uXhNjtGAC9AWAKXyLoQQxSBDZoANwiPi9Dxfep
KO6DSxt4J3o++ipTiqwGtkhCb4Bnf27gAbiwQw+NcKzgHus02eR262wlTk7Zvh/mfmguo7rNye9p
HOu9yoewO0KcxfKajzi21zw2mDp8h+lhTMHyPCVl91njDWx2Mcm9rO1Jpz6j+yYgvWSzFodN132T
RVk/nsCb4HmcRw5YQCWwbx1csUX9VDkrkxq7rMdc2mksCRaJfXs9tbY4+JJ6Nc0EZARMdxpzqOgl
ZxV6nEV2zKuivjRIh+TZUDHb3JuQC31aoVy216uwlq+TQgF5CqZp/fBUhFXAHwSchqA3WXOJjyyc
oaThgWY6KmkvCOtLlbn5Q77kkuHlaJJX2XYUzKyQy3tjRxkGg0H2XzP6SM3RrJZ3qTI9oDZcfAUd
PMHVBgph/eYpHQepC75yBAPqAe1YUTG2HGtt+aSdiPuzICu9rict9U7MLCg7QzCSJltclZ+8uceS
2gP+uLCDqfcOvZrG25Yj7XeTNxJ/qhia+0HV/UtCgOT3zf1T7e0JrFU6T5546fEkQ+kQqn3URbu8
ExEgb3AywMWMVzt5ULhDLujn6m8cYTPun2PUG3uyuu0kbFlMOw4tvVLJ8klsbTdXLet90vXrmbGA
ce1Eb7kvk201d9pyNrNdV/sLoW/UMv4wdpzKaM29QuuF5BTVwbdI5wl3Xw/tq1wVbW8QNMnl6IWc
rrIiI6yJE2b8FUzMeDVHGvwp7jus0aVnINi1ZI3Dg7XdGuzPKuNLEy3NhrAq536fdJZpdjZGwdew
743aLRV2nJSqWz7k1mzOaNYiCG5pFt8wF3CRNLrM3xBjrMn9QhMaJ+6wLucOyz6SjbgyX1jXbAtY
QY2ouWXxxuy+wigCZzMALMSlGChU/zwtyMJjxiKhqKtD1AB8TlHZBOaoFjm+S3dQL2CAhnYXmi4r
D6boadn6LozKbG7MG853+6FkxZC7YhwtdJIc9B8p9RXha2upwbePaBvXNfM4KqA3z9GVUOPvsnEm
GnFzPURpJQuBEzuzVXcmgxXzCx3BPN8JR9Gbaq1qTM7GUtEiWPvSK9KVTKtpp8oKS37Q+ThQMyxM
gM5qaT1kAyDqnWP58oJ/JXvqRQk5z+WUZcFhaZcudSpGMbg3+sW/AsEKWEwla8iQFeU2h0ukk19C
x2fI5QUTrWdo3bThsWRIFwRrCxkTMFz3Ps9TmABn5LS7d2Plc2CFjcrWEXrlt5GnBGiDN7MByXGy
X2YL+W06FXIIWR2aAWBEFuERkjYfeoDm7T1zn+WNUwETU7Hl5Tutlbm2rKR+zkZXuymRM2N8GP24
gCCV9/ExWi0cHNSXWDKowlDyt1Vm3lcb4A1fybFLBlL9mB95XfRZRogiSnhUQAva6kB2KRZtd2B/
tCWh0vOmaJdZsIDor6GtMUAjLuzoz6ZZ9lPWU1wOLpJ1cmtqV57FdgN/vwtGe8RV0kYWrBTWmuMA
9KZPXZGjyQ6AKSEED5wGxfcyYyFznDE+MmujMxqgC6TmyJeE0ADf6l207NDerhFHDf2pTobmKppL
4lXLnEnDrp+tjIZOwFK2H/WCja+eZodc49bntBlNTj0cKvTBeSpruEL3tVfW7t6zcspSuv8iP+u8
jm1qzkIE6QZ9bHlCBw/xDMOcI2HhNmF7Trs1xuPUYuuBf7swfrLXAN2EXDOkegE7C5BEDxjviQPN
8GCFVVddZOFGE9patywZFW4oCJ8AUmgcBsF1sjaAotvcAN1qONieBqUJ3FpCwH1XBNRvGKE85qdV
Jkm+l8qCR91HW03s2K7MjpJagwFbgJuAPAmnF2e1P06PfV1p6ySxuSP/TQbXvQBPlOSP9IhHG6B8
ZUAmLjVKGdQDJcwFLJHDnvdls4YMILv2OAGggSVw/9hVobB0p77m0cJEPgmLixuXHD29mueXjjFc
9oEEJGtPQdgzugoyOgRKT5OD5r/W8QnKY52hLR/wywwALeVZ3Udlce5GBV3snI25u87QapRna5zL
5spt0MGfsf9j0mo56xUHVLILTTjatMAySOEL07Hf/uk4z21xjB3BbXYDuEw3TKERW7th0rvfMygJ
8ihDu21AMPgrQmnSFvvrufDYKZnTrSUJI6YpzuQUFs6BL1h1x0rlyqNb31DsjzoY1aEahkzuIdIF
H6VtVucUbdv7Htp94l0UfLUV5nEXxJ81lXp9DSMM3s4MIhXJ/0JyzXkSLDBdcoxZ4mCtiyuOsBjQ
bTOwb+TtADNbgAWvAOXJuIwc2vN21p18O8uY6icth8FNlIcZZfL0YM7N3EXmM/pze7quR5jDUJ7M
XN+CrVPiIYs2ZPoossmQfZXzPKbCWdfoblopNS8Tr8bsuRi4/McJou6XRU6qvDA81TXeJRkERy8R
WfYAfkg4QEFicInpqvt2OfYUuIoine7JgQeqT9K55PfvGkaf+rIaewdfZe9BZK5nn7EWFbws930T
jsUZ2ZvSObj1SCZmUq9Fvx8KgeEmZMBdvlays57jqGn6C9kNa7yn79cxAOMS4zRlHIAo0huWkR1V
LNZpXHJvOay9NvIE6I8aMybYm46UnFpn5zoR2sS+NC2a5dKJoWSvblmgLxiw7ob9HMpzAaJ0OGeD
1zxpgVLhXe/5RXmno3aDDAUreOyo8nrnGBj8wrvJ2UBmzgo1add5XMqTl8B5tOJZL3vUeMDFZJgL
Ur9cT92VYV1+M20OGE0OstakBCiOvmpYUV12mo4D0KJ6uAbXHd3Yc95A9Jpq/YIdTp3WGfPoyeWN
Cg+zWhUWFb5xd+iIDsbL3/Gsm9Zf7oVjQ2XK1hJP3+JiwToL11g+hHaXzDQAHEijtCDb5VDSFBQH
VUXgIoHH4/vxSbi6oTnAgC6oYbjQfuvMbulK6PbLUDZfY2yjOD5MMl6LtWuWo0WZ+yxUnDyBOFhk
ygwNgmemu+jFEX4FPHFZGWGTK0qtZS0BW8QkpgvMW2IzsHGdWS3pI7KdN9SzcwGkDjBWvUhIcCCZ
a2uEhrM6IacVh8MWW0mJz5LBRgfZbBktIAuR6pcLKEbO8kUJ6oPzJcnnJ62bSXDxlaJyJCeDo2g1
Gd3RC8srXV7xMrVAa5dpBlpXS3CR9Ul0auAg1dlUz95Ot0Ue7kOrETVkLRnSXjuRlzEr0kHCdinv
JoCL/Xi+aR6bRe2AgVTyWCWNHI92qAOatKDTB3lvkwUI2Y0eUngIsrIybzpe8SsCRdPKe7csH1oV
SJ/W+oStzuLgnomefkRLpmf74HRN0B9iD1s10IjKF/s8plskjx2Mz2xJB18zvE+HwpU+sIwwo91Z
TMVEPrASlmYHSHD51pGX1fup76BiUQtO64HBnUuPwsNzFZz81glidWI4uDrfpnpJprs6t5v4DLBN
4HOzwzy6ayt7md+ZT2cbvKfWVJWfjIiC7kRzAPl12vR5wM5DkVywXFQSvMdbQfaGubKlorJTXmQz
pItIKoCux6mdEU5qjOuSsKH7ZulfM/x02cvohpV+qDJyf2QqbAZzItVdSFsshV+I0Q0iNHr/Zw7U
xfAQ5GtMvJDrxsV3V1gG6RuL9xzed3R/YGZVic/4yx8TgYhZ+FP5GdeM6O7YkLIA548qpdyzTY4H
HwrQBQyB5VEVzgw9I/a6kfGjjq5ttTV5S4ZBqW/56xnlfx/ue8QTAVR11ZwjFAj7C22RjrUfixnS
rCE/+d1esv4dUpvzNDqlXSLa721Gwr3P8VD0Ib5BXEqlPOVjBWo5QaVlnfuVaNu9IobvMpKjci5q
mUCjMTLO8AU4PmSk2Wvj+USmCs7knIgNgQqaEfguBAZwP1gxaDyDPX2E/6trlcab4pqUqSrmVISa
qgH6BNqWsswZiHRI6CjRIrL758SRxXerrBn9jpjr7mXRMRMrHXxsh4Uu07pLKl7sc5ABxQ38E+aN
QH3GK1pFucGBYCz+7AgBoJ05Bzet22GGYgQARVAByZ0JOjHwSON2fhpW4A57URP+mk5WMePkNYOE
0x5l4sOhB8pPiAoL1p0KZpoA7owgjAkGEgMw3tNb7414wXoXMiLn4tFxDiWCrudNpMEPrif3DvbO
PO0dwCZvlGkbw7mu7qC7FGZnmOSl6xj2j9BAy2an0TkwzR2RltNG3+YrCG7KeM9oNz+aYUSww9NM
NT57To88R67RSzcbVBZR7qr3KdLhuO/tqbpdInvMoUZE5eelWjwQVILcQ6wxUfA5ayOiOQn0mO58
ypRuT6lXvI8cFO9oinCNplGhLkrIJU1Z2rKKCzMEN5bI4ZcD7MRpYJW8zzvOEKU4ShXrJQ1bAdGi
tjrzpQnskEpD+utVEgkGyGpeOWZaMuM8uk4ltSNTHR3Bh8psQ/FVEtoj1sp7tURiSIewZfPR5XDM
Jg8nfUaraL/0LBewBwI2caFb6hmGtRZvIMP1fJdZ1vgEYTVb9n2HEA1ywmIeMoYwxXlSW7lhICXm
eO867Ls7bN7miuQXOGF8dPlONSUCrnEXXxIpEjdkejktTVtXxgxUeEDPXeHHOImTWnwEpKqQGDMi
E0oDGdBl8b2S03JpHHsz/tj4+LnBfoluKez9g0WvxDkgqbKKCwVejoPySBupg3nHwjxGTOFWJ0DC
QQab85DnNTIhgGD2eEwa8J5pwuLkp9LKOe8zFSN+hD4NgyGUFhSeUlm0Pyh9Q6hWnv0Uj1myHpvV
K249Zfc8S+Vaoiik3/S9YrWnKQIKR9LNASqV0syAgKGkBBY99/Ojw/vkpxMQ32uYUgA9I7CIt/Wa
o10ro27RiPxG5l+6drMH5TuZpnXrIQXwFLlBKTBiS4Bdy+JbOXeakB46jVt7fkh6sFG2Q+hOSCj0
Xtd98Yx7lzyVZvLCszUD5Amygx4xbsG+p6ETLijDxqnUDbmM2r2nfkNMmHNQPgxoLwjDymQT8WQx
oUvdqYT1X6Lwgofbe6r8OhDz9lH2E/ggGyHD98hfm+ouHIcRxRLibto9ImMYFMedvhvlmlifwqj1
rsckwK3bo+R7DpvavjVUYePJl74SxEHbzmUfl0mUGp2tTz6jJ4mAywXxO5Ow8uFLUpt2tnE5awyW
jWCIKLHiDqtm9y30AoRn0GGGpz7ZUFi2rLu3f31O//8bdAiV/X89gP+fTC/qbz9O2fnrfwzZXR96
UMSsCqEzdCGm2X8O2Z3fCNXGKRhs/ouYqfqfQ3bLxzESMH8nKDLxPYfo3h+m7PFvNop123ZsnHH8
o3/J/RH+bCeIGUr/YYDkO9pM4JNfROZdYY/Mi6JjVLqjfVI1uhQ6gn8c8PCB2DdNNgX3y7BxBnAO
jef0NANr5zL3+J5bYcSrVcTNt37ZqkE9wFdTa0FdFUz/h70z2Y2cu7L1u9ScBsnDw2YaZPQRUkip
NidEKiWx7w57vlM9Rb3Y/Zi3jHL9QPnCwwsU7In9Oy1lBJuz91rrW9rPDjRXFZhjPL6q1Gksn8PI
eGcxi7pnzkOUBVke/IqNQZXI78HCz7XxtNSbNn1Rws9tMJF4kNJmJjGGce8H9xOweoekN5R0uueH
LY44Kfbh6Ebeq57gTFzdgtYT7iNd7dCOwu8o06MiYH08oYDk/ej5OkrEyzynTUV+POEnOEmdPjmA
WWi118D8Bwj11NpMa3lYMCid5mEQTC7mZGFWje/WvLn8pDR4lGOdmk419q5i2+KRxcceVeyJNg6S
YXSloDaHZA/ZdqISyK3Xd7RmpmAGa5GW3/9wyf0/EzV8kdKUNn91OFUkJ6X3F7PEWNeLOdv2ERab
c5/hlX4Nwwl45j//KX+9XMjLOmRswYqTSRC6x0X7j5YMVL2uZ+C+H2mvFJj3rIbV3lqTdBgiSt5u
//yn2dZfLSCYBExyAkQEcDkQhfhLUgBPcBaGSf8BOEvlq4U6fysxTv9KEH6qA9t7mjPBAJvN1mnh
1CFqxjzEcSGqcRtPSX3mGQZ6deni8T1VrgVNhC+tab/gLLH0eovYjpV7ijCjG6ouamVHYEiHqDKH
7hnSQAdDu2WzxjIk5NqLiLqKDc9ufP2JmqaTUBNu+7DI8d0BzKgp2oq17iY6o3qlWSoR7DY7AUbZ
ctztskSWAfm6mTwqi3B8gpdnO/DEK7GmB0tZotguziKAebg1Pt8+aXFdcKZl16PEOJ+cxB7qQINC
x0SdVv2nXpDAn7m2Ml8qd1WdZ2uIDy3QrEO/sF+GKC01dy9lLr86N5YnDmFjHIxZDw4xzSBMebQP
tdMyMd83MGoG6h/MOYVbHhvyXjkzC2e1cJoEprIUH1mzLJyhGyK0m3ayqeyxRD05ew9A740tSeud
EgoNMZ8vfAQAPbLso4vAgO7Y+SYuc4eT0ZdGf3XjS4weDeq0oOojjma46BlFRxzKVWIxoGlhscsx
fZiPy0Icbm0qdUY+joo+H8F692J3BeKaPozhqSWcgQMNZL13Vmbu4vYkPf0aC48366wcDoSVy+8J
+VYsUNW5+y8LyZ3iyD6wf1Ks98HeRkR4ISRn4nUZTMqbQoiIoH1TfB/bmBd75WdWwWSQ0juC0PBn
Yuj+TA+29KYfdRSCu4z/zBd638Gsnv/MHZjJmUHGIWUeadxmJDKq5oiyEer1LlVHmxAqrJg0oILr
VBMtNRVHFAUx7ThlzOST/pmC+j8TUbMORxl0rK8RO9RXbIGm59y7zlGUMTJT0W1SHNWfSStzW1al
PPqWQ6dL5+J6a+Hkss5m7SLvzBTswalOVGrsXCDVp6WZMNa38yJfhbtMz3C96lOhw2ClKXH8mqCp
vSZ8imbgWIyBPtHnhOTFSEZjky9FX/i1tCxAa+agbrabgYOE4lOW25H5HxdE7w5MeyY7vjWS/RvB
3n0Fs8FsGUdqOfBcgaRpKsQDf57nQUOjUwwesuk73B5JxFeSm1gqgWpWrD+UWY4/ZoCf/a6mhWs1
rczw05OIcTDUe1YTmFOTbNeNjntEImm+ISCzUwGQCui66aR6XlxtMralMNWTEWfTl+xHki6jsNuj
nAyN6kPpKAmFpMi/GCEzZoE5GlvKezRwkO48VFbQUOHyUOUI6QesVwNiaoERkixMPhE7sJNOYWaq
3A/X7POrNs+Tce5Rp75jTuv3Vm6PX/HCzhEPtJAl/rU8R1RqFBn+fMzLhQ4OkT2zGlRXp16m777g
yYdDvQjf6mJosMCWDAN0aaHB8vYbzR+e1daPLDb5n3EnibXwzUvmYE5q5z7SM9A+9JIo6ko7+Mk7
d6ZPqoys+lXE2YwLw1k6GEaamXvUia21LvKPOrO4qJZUZg3GDtKW9xiSpSCj4SQ6H9gwYcbLZ0un
tzLUG9D0DYADDZ78l71IO93YJlsg9ug5cHyL1felM0XFvqOcSqggWtOkBRuvniBBNbaFe4lNu3rQ
aT0FItuQjzp4/3dnEpERwFlQAQxaziG2E7Y3PaWwm0WX2nBqegOUfA6JC2orTIi1fWag/s0qPOec
5et2DU9s/WDO9UhygWfBgGJlJveLI8caY74WXSccdc62hgj9E2Q/Sx1tzsuvxI6E3BFFZNvRaCHO
LVcrTR+uTHLoyrYtN9i20zKoIhCkal+2or7z5oHpEaZOAtNJ0ea3zzNW86CM1r1SLDgQkDjMKlpl
EK8xC8au/sL4bHwpkqufspB8qmxp43uSw9rbNKQmF3moJd9pNNOKEdp505+SlgnOr/kgCRi4bUFk
w+0lGRhB+Qg6UZ1aPAMkkiQQiQgCvY5iQhFbrEdb7AAtQNaELO5mWFYT28iAlbLWty1G19BmYwZH
fhUd56V8ApKn/YZxZ717S9fd8//nvFZK6b/LMAypE4OUxtlHLC72MxOUVJC3xtj5htIHGaCWEq1w
+eBbH5JM+po67PJ824skZP5hGGH4o6vpG/hnrPCw54iP2C5M4ITmjMcom01mN03v7kMewmhIVIEj
B8WppZ9lUcmXiEbbHx0XvEKslNmDykye/nWuh/cmi/Sc2dCSYUBxCN9TnOXjex0NkjFRW+IqgDtG
DB8zVnGSE7fXBq+TRTluWma3MW17Xj2zVwE4zuLuRikMp0qPcqffhSjZoBgclr6boS/fsiEKP91M
zynKRVh7c4eeb98oNd1esYFRtzGdyv7MY9lylsRBuTbqdaW5zbPJfsJZaP/qwMq9Fx2a6AZ3F3Kz
niEy7iTYcXqKowV8FeQjXWzILXKiGYAovhXE1t469Hd6gtjhORplZVkz5edsJGpUrWZEMIMSVtM3
YI2VxWcRL5m4zX5WCOG/pTOyKYh56+IJsZc4CmjeYRREaXKGS42PHTi/Pcbq1rpeCkdwwUuDCgbJ
vIzj+KIpthqohPEfvyBQgh02iCzfepk7LMhN7M23cehmNEHIBoEemO1iXFD6FmfvUODZnT08E/Ur
mkRo+ZOWaAMdOqU3+NE4lj+kRmfU3aghcx2UtqwyeGmZk2LmqBjLkRak1RnDusGWxkcZNtGQbnQT
sjQdORwyOZ7ZK4mj32dNas4NPijHs9C46HlYXrOEg+WpkURJQt7rLpYRnAAkHRE/URQIpNH9m3wk
ErDZYY5ywfKnCkN5yWs8n6xZC5O8AGfHISxumj2P9Yx1zzJNumekjFnjA3xio1NwdiU2ZOeJqd3m
pV+yi9t7Whj5kw4I75O6tVzbFaWVOrcMWdH+LDGsGh8uIf2EqM7Mo/FI+kb3yo0RY2ajLYQYqukD
GajYcIWmqoMKbxT+n8QlgrAyS2dn3zp9kzy3HnAzEMnsBvqXhU1V9QxVsDB3eZvpSFVpIQUVqCTa
7B0HEhOel9emDalU8kjmQwJf30TxcyQ6T7IwgmAfiCdO4NAvHV6jWslvizlywbO34RFZtc+z6vq1
NDxGPtzQZLo4WyhmVnulSwn4SIlhZbziOHU6mkI1N3NSYgSMv8fQUo1+3zcWbK7CkGJ8qOshZL9C
ztS+FirKTX8GoP7iaSuo0MhCOALZXHDIwcpU+EaYWuJ1jKf5u4WCivMjU8NKAm3M/MAyaHxrjboP
txLU/LmxZ9p4WpR9DinYen+DMWy1J40T9oSPk6jTlmJtBDxbdmZ0SW3UYx6U86L7RMVHpFlTCL92
R/MtXkxMY6rtLePQxFa+bKFdyxrxEonvZIwNFTcNgDOwmIIPn+srtHlGdU7L6GrNC3G3gp3UfdPl
IsY4DUCVDSgHc5A8f/wW5NDp+vSglVYGYCPqVlH+NlXZqkedVNlymFvJ9tkCdY71xci72+QKfrPq
nA5FZPHuduC1c3BPGBZG9D6gOXEhAlrm80dIAv1vM/XEJ9vTPnrT9CZ5y2sVPdCLzX41qug229ii
VSx1ieF8mjr9q7ewsnhgSzNm38cl3s/81at+W+BX5Dbl0v5SXBLUDGkTIG61LGA4lSsZKQDWM3+7
Uk3HIXZ66jRE90K3Dav/eWlI1KN/kaiqknZ8cKuKwI812bq5j1uRu77GzAvqDWzjPdFtmJLIqdGT
ruzifeG8BJ6LN4QWIBiIfNdQy8wtFEfLB9tmtsc1gkNDkQupMB/IMmt6U6bu7yZ0ooc1AhyyJV14
p6LUssHLPaHzUkoLCADQ66du92fU/d/wyr8JIiL/8+5s06u+/PyPf//H7dn6J/4zo6L/DfY2/waw
QXQfUsTf12em9zd2YK7tOYT6HZvVx3+tz+Cj8N/xjw3T1B1drHH/v4dUrL+trBXDA5ti8S8JV+pf
CKm4rmDh8Q84Dqjh/GKGxUqEFI1p/DWjkqo+4U1cv8zUxT0QJ6ZuClGHwVo/8SI5xHNunWIbWWxk
HG7Gd4GTA2OmMCHd0R5vyx+D+DGJebWUBR23g28mFAFyT4+D6bvaY7f8gFi901Vxqooz2fpL1ZNq
tqfIeBXRSZiPhvYr7+yD2YVboRBW+n7QXirjsx4M+iDPjXkoYQ3J9kNrFKNHkR1LZeWBY0DYJ6qJ
NZxYTWx0WwdhkCNfIGz3K0TtLY0RNa+l+RplL8Vjn2q+Qghoovs0F97WavtjvmL/CjqK07vJVZSN
PRIyQbC3ydGQM4iG8dQM2gnfywajFQcQbEhGVmmbokMC6sEd6cyCbPl02nRJFarmoHX9XplF4LQ5
lWX6uSHLEw4/B2dQDJvtwqtVo9sn+qwKfD9deh2ta6WbfqmOAuVJ4bnidkX8XkR/agd+f6jCKbYZ
o4wI0tEwma6AWAy2zE09zRe6OZOc/eZNFrjFdx8LpM1qX6ln1/vkpYdMT+XRuHhI2MZdZ5BuaZm3
97jgyP/310zaz8tk05NlkOifdDQwT67lEHIDmRXJOP6Kce3DYA5IxSPkO+kLI/2OePOGPefBZTVI
WSrCnGY6hCwpIdiA4j1pxcW06DSWb/SaMXOa2jsbGPajhFuv9CMfhzETW1F3SJaG+RH2C/3uetKf
bWG1d/1C3LGU2EgHBgUJM5ovWUKFwocbR5Jw7WgHThS+GGUe4P0xt7GkWXDZV+14V/SDjQjstECl
lptH1HyfuGdIC9CbvWMeMV3lkTxPFgYxaJjiKgZrOw8jlhzkFGPaxgsFdgZCTNp/NWHOFV2p02SX
Wx1MsFjVv1h9Gzh1PbfYWx66KO0aBsuNTY3W52scwQFgUPcRuldsIKuzZtNQ2+aE2Zr3VtpeY/Vc
WOB9PT3aG/S0avSYd6V7cKhq5FsmuFqz8R3xaxMS7tf2DAiZ2UPvFTZGfELeHBNcd95rNYXwVnIf
Oinx12FXDMaDaQlfd39YVEXrajT9SHk0jFzBmx11BkdeXgcTpi2y3ikZLD8VQa4lu7L9TdVe62xj
/SWkWs20Jlon821lhd6N6GZ5ZKfqc8BivaGda6IZfYrnvP+5jrl2+QCb/GjGzEulvp1Hu74XBaj/
Mp4Pkz4+9pPcGwvN2pRGSc48AuovYfw+RK9+HKvXMNFOK+oNOTqw4iEg/tLu9OmOzBP/C05x3Ept
Om1hyWrLa6K/maOxyUm4PIxFFtRVTLipH8HbXsrp2MnHrI1ivyisftf1D0aK9UQvdmZ3mixaJpv0
SAVTxc2fDKoL4KZf0qk4JPG8CZ17c4C/YYd+b8IiXgxe5mwBeXHGoz3Qdf1nKt2qmNs9tY+rAE0m
+0bTsR2b32EEvhO/Qz88TWHyFkruBncpuao+CJn5ZJUwfVaBgnk4Tx8d4zQnk20Rc6dJw+VwhVXY
fKY4CB+Ng/nT2MzNSGXsV6h9lxRJDRBQa/k42Oa+Sx/SlOXhcDfIxDsvwnijb5FLG1OZEX0Ycwbn
s32ubDSBxtG3UssuhewAZpw4NvtTE6MZz/HJtcabgpMbcrkUZF5IpqNEOHF6AG/FDnNkySBok43R
osm4bDDDb7qBjyZ76JZXz/3lYezBZb2h4nGH2wNn0ehBdhn2YJNDfnkLp7PWZKHvFMO3o5YTe6vL
Mv2gJiHu9vpKn2IN+9R2BIUj9V5bzh5j6CEzGOaqorSPedXwjI+oi7i4hsK6asV3SibdHZmbhg1L
kn+AVLlpJusxx2tuTuH9xNeCytE9kIdaM+n6e8u7RpXZ9JNMTeprpWdcoqzdEkfee2JtubQY0DvK
7otCPpgcv0opsXuPY3LGSHxHr/f800t1X2+MY1i013EBUMwwQXogGe6qqsaRWY3pKTP7HRxd/dBY
Rr+tkhJLU9Q+0oFqUNTb8dnpZIebkSSqn7aDvIg6nl5tlbT0YeTqWeBeEwkvWZ0Y6NcweuarobfZ
QU1gIwa7RcipzOxNlaSlmPdPodSnICrDgDi+tR3wKe7BO/Qb/oI7C/Ke1bi/cdNHZ/jF0dF2ocym
I+6+Tdr3J0ol+udQ0vTNwRYByOVJVCX0YSSrfB4PLktovIPxCFjTS17aEUKfwcvfc8YHmXvckfG1
mYznUAu34JgizvIka8gSvngzn52yHgmJRXvmz9uwuOMxX8wg1a1XFsN0NTbmRPV3d8bU8m3pa9lj
pZcfRlM7J5pM9WXj2mS3WxoyAbUg/G+ySo+4n2Lj2ZThKRv682zFh8lbXjvKTcMF9knHQZq/gbUz
E6p2pX30nPqIqzgJWnSWjdMXASfzrcVLyRdS63yMugmWOkCbTfyql+NbJc3Xmrh6lEFoqcrhGBfN
rajVDtjDq3LGPemFOLAZ33E66NDBy+ZQRfcT+HpkGabVZX29MB2wE7NJYUDR0OgFphacABEfZqJ1
h0XH/7H0Zzzu7nfheuqc12Ub6FVXvtSh5u7mOZwCgjVia/RaSww+92beq11CP7Vlt91DpwlYOlZr
3edwnJddlsQsogjw9E/QWmJMj0n007YaDFJUISvDr2MLa3uLjZ3RNoepgXl3U888tOvEGQNZz6A9
+tq8lSG5REp62ysFoiCirNl6cFWGZMLM0b+EtW3FRyjn9UMoRYUnTaS8/GcSGQcCMp1PlmefUYis
iIZETs4jFPTDpkxCoiGhVnknR6s5UTqomfmquRanrOE+om5Vc87c1cSKQKm9W7PGTq4tuotVGPRn
YXqWP0sdW0YAQB5sjeeqHaWV/VvFxbAd+q7TA+qAjWjXezX+DsX79YR+lV+sHu5YRSz2yDNRbq2B
msVsiQXeXNPhLZrN+0LLlnMnoujBpDfW74y5vGod81lm/YbrkDnjWXK8eOnZUx671UgxZ8AuqtgW
FzHRXEwLEllnfvs7ej+zYExDEcAVcLZu29oPFd0IV6+dqgd+lfCYpNOjk4cDJVis5MpUvWSz4R1T
jwI0SCoWrie8lL/70Uz2ueEc8a7lAU6V8MbLmMJtfNTI2SLkPKifKZ3S7nqjKj/Y1JYv9B1WFzl2
NrceskU/u/y8cplB2rT4TXwGc0Gmlyx3QgCybvbYwALmw22m5cUuFTj1hXSbkw48PdBk9hzl6nU2
NGq4w4jAkA0CJVXbVqYGGO6lOrHMwFlayvlJo+rwV8Hi+iWx2nALgGc8tDonZeoiQLL3c7gzZ9d+
xtAX77SxMsFXhQYmtRHnl6Jp4ji7WrzzsujBSw0JYagPr6xSejIMQ/qI2vA7qcKTKrvXEctjQjNe
077H0VNTLeNWpzWc5vT6OKZJxREOI0woxyNw8vgew062xXD9lLiUVTZsOLhHvfhC2fWT1qESLHpz
1cKRASh0cZ/KkEbXJPnCmUnxOH1DG4HaZTbTD5KpvrUeSDgbHpjaw2PNhuaS4I8CDfE7SgB91Kn9
ZvTOSzro0idyvhtSecN9Q2f7YF3S7DvnuwzmPHkMU/zqesqbmFQrNsBEy7YpKz1Cp6+lnDjapnSH
dzG9DsCSmEdI6VGOymPwPHv08+SslvBnAF/qbp1o21PXrvURtG5jrjL3XsMSa7DeMUea9Lvpm8jJ
TgY2chbimm/bY3YdbBxbpbfaY7FOTqASuVBs7+S2Tv6DhymHYmUsu0oDTVZMvdyhrbxEyaSuBf6I
Y9fFXnpzPIofF67bL4AtTQBBJjzSqwiAwNAgCoVzmexoCGiOvGTliiLwRrq2ZXvN8r6/o7g+3fdr
ZgZTaZVxZxRekExNGUTKof6pytcNRgO3bGPHA/EHbzC29FMuzFFuYV6A9lQmn0mrPoeRHI2f1xX9
clzflOtV8QdMOT5tEZ/qWWvbSzfAZllKK+pRa9ShxnuHBEdJXnK224nI1EGibbA9WrJtg0HXno2v
VK/3qm+cIKMsfsPa9J2hOAWHP/3CXENxNerr8V9fqfz/5jMyMFT8k2VJxdX3q/xvVqP1T/yn18gD
zoHTCNsQ+w/J4uPvyxLDo/mMNbdnOw5dOlgq/mtZAoPWwdLBisXS7ZVgCqzx78sS0/6bxwJF9/hD
jgRx6P0ryxID49BftiUYdjyHbYkUtiH5Nf9qUnG7SFfEvDZSLZhNlVBt9qHF2UqAgFuug2IjUMqU
J4V7r8069xGsidbtbyN1Ckkg8VIadG5HYKEiPgT9ylq0Z4qMxigk2AFuFqWeAOAFCSXzTnrX8kJw
p6Htnp0JzsdRLCp6TfCltxj95y68Up+a/yKQQncV+X+6q+lQoEBcFMzysUcudXKtXw6ZOPLJbfaW
OBUy4Ag9ucni7N0aSkRbGRa8TceEiDErBbSS9I7LmeFlYtfKnupbJaNxAOceY4Mone8EtNjWouzr
pvKk9IGH46YmfcunMENiwBkY3xCXwwTl2UMFmm1NA40IF2qj48igHFCznjj6NfeqwCYBuq6KHvop
cs+Fl8j9Yi/TnYN3Epk/7dC9emZSIx7EHWpcC3qR8MYnFr93z4wMH4NStwlHZdzaaCSC7ow0zVQE
fbZzmKKsYpif9mjCxeB3HA6Imva0KtR25d63mI8/mFZxwIBBlNAnjmU8RU9eVFMSAtQrOggbVPzM
fv05GXT+nCradCvd8Fu59XuhsoxUB0Z1vl52NYZt+XRAULgYe/KoIa/t8dQQlhfj+rYLgGsgvosl
QoOm8o0lUCkpX+wpm6sTinpEoVFS3LbPa4rmnmLSa1JlUE9IB9MozAxvTkmE9KHCM0IcCmcVDsUn
MFIS/ljfDoYowC1o9Dld7VHDY23aqvKd1OHkye+GimAwlbftMJ1akICbKV/dMFWNfbcPCdcj+Wg/
PHuAzw9XLzCsNNvWpV3tPYqg2EDTmULZiTxhMO5Y+A0ztn+EvyHx+HmceyIcAz3e3s2U0e3n1Max
FbMTuIO40nKtBXbmzRevse9kU9JCHDPe0Tal0VClmGZzM7pCGavhUTrFXYgX/xM2PsySucWeCvV+
2LNopEDKipsXu8z1x6UE9dZ4bvy7bUlTtwsdmGVZSfYoenrX2Kx7Zs3EUTMlt0S47bFF6GJ1tjSn
cs6SnSqKy5IVNYoKeR+sKOsLcmTTT23aOt6aNV9CgSrgmoxeqZz7ra2Yukg5tE+WdI3HRhvNfZpG
DeVA87OZEDmyeHggnVbxzDG1PPWUv52JYdZBaRo/R05eR+ImES9+j5hlRMrWJ4zMeTGvp3uc8hzO
sGIEBEMkTmh9vyx6cd9pstxhlhBX5t3wPrWW4Y5GiP5KOcOCWR306GdFAa6PnWQ8thT2nBvKTXaG
074ZyoDYQxgAwgFnWspcyNUL+yUyXXti8lo3jSMeePChfOsnMsHkC+CjcBaLrCekSGBbXozfAkVl
eiPjBgA/mbfkN/i2AaJAvJnM3A9T/linODIa1tT51UIf42YyMqwsa+nYhGuINEBQKnYqJOfwwmhk
wIGp2A2ElCh/He1eENY2rHM2wWk2KFs8wWLb6o76NIfsIzFq59bMiE6FRj6oZXIBTUZC5AVQ5DLv
lcez0aNsuzhQAB6xvAW/MvYfrZGxqeHekh1rl8qpOGEndEsFbSSNg0dBxa/MmiM/7zBpNallX8Nh
yHXc+jpB4jhpjEeKyxwOdXxqKttmg2NcqL7jUWOKlpN6VPCtPUwt0euNETH4CXblAcLrTlT9dVr9
bFjtD6aqj+io9xoZDUgUfcoKDkuFgXiVJfMLWv6poSzP5mdcdPjbXuh8WGtE2Yp3tWPt0o4dcWPN
Bz2P7yLikcTXOaAJFknTyjGl0lrn2Mc/3beGvisgTulNdaB0fOM6828r+aFTygV18p2Vlj9F+s5Q
w74azKtrql3JhE2uZysKRt7UPdcpjCkrPw+FOIcT22RsteFCLi1ujjMJlrgt71xF5BjLUz142yIS
O+q+7hE1tyUEU8+LeVYgAWh0Vxgdez3MeTXm1faER7VBp2RnCMzzUaQTTwLzkK3L7DK8jPTFadZ8
IxGxmTChPfE0g/GkGUO44bVFVxYzEV1yLHKkTxBjfhDFCE2pr8XWLOKHhmpBfLXlfSMo/YvSH1lB
bUSu9kpLFTFE3TxIPbcojZBkX0zy8SeysAbIDt6usZaBtXFD+7kx2ZluKWd/dmBX4F9kIZdCZsaL
aVNHPfDk3LFHKnaS4MO2yzC50+Elt7Lzvk1aKIEbUXS4lMaFc+ZvCLfYKSqayKibtvwB7fzogYMJ
p7S70jzeAg1Q4pg1cXhvT1XJrCuUX4rqNMGw8KeYVk3ss3gjUuvEMzDe2CMH+qRuwVugmRtVfIhq
775yFG3NHb0rmQYXGoxpva3Igm5xGHPvdsMnKI+rQRWn42b9x1IK7gjvvhCLeQhHT+0iq/oh9fCH
JIDuc1r51ZEGJPgwwA/OWZjAbPZ5YO6QHndMRnfGpC9X9g+zn+bjAzmCkydL4U+kA4/5FL2mwxAF
0+Cc+pkqz7B90CNxaUaTJyJ8TrcXbH+VXryOBZBAjgzjoWuy8krO1Pk1Uh98ones3IcdrTFwp6dk
J1bzxdj1xnvM8hbMH2KGSKIeMIHH2WfAmIYybl7soii2skmyt5hW6XeY81deG5z7ewTnDUl364si
rZNd6oww4BO3PPVGv5SM9I5t/QwH0/3Dpt7KUadgsifYvR9j992YIulrTvhjzL0VdcTzDme6ta4/
sLaSKIxo9KuKm232FfvojnmatxCQ2NfQK0YfF/B9Rh9ePYC+6paWp56ghE+JywBr5ZS3ClVEezeS
ZOfqTe/HbruLpyZnUSge5FKYd/RNX4oeh2lhGqgI6cKTwtS+2xoVKVrGx0XPHnvpkWAnaUvW/Nzl
0IL7KphiLyO6zEtCWzQ7CAWbyAi9JIWDeMiGwQlizqUbb5jp1lSdt6ar5+cWpupKv8GaMiMMdoZ4
d43im2CjuWuK1D3MdU2mA4LrWDSvNmVkfjQQu8QwT7dbWLChqTORBIOFFr9zY1Vf63DKT0s+GYGz
jE+myXmJtrxfoWtMgE/a5ZghZwcOnFHypo9x696nKQjfBsLAfFGx095oSVG7rCPwwxEYW3Wo2fvM
zapPQE5QNwxIDs+G3nmjD/cz+iVb2B0gjbCcJXBYxKbU5rUPtHuo+MQ2XmI1OoW2+ouJ43wjXcr5
0sVcjrM28J/7sVm0g0HSk8V4ZGWHsJUahIHKqbcJ3ylEpmaYabjFoANBtYjh3cYNoae0rMQDRroc
PEbEDzQX9548qLp2EudOM07hXWRPCzzffBGHomyW0QdNUF5bnGI/9WmMV7eUccwcvedtNA1H3Bdc
aCY8ZWjS7oX5WuIixXJ9dbRM7Gn5bXacsp0TxNi3tOigCJkGUfUW4e8MmtV6a+eG0w2YMTaJstlN
aCxbGkFvS4y8i2j1MY29cQBmN5W3iH1aHYDZdAeoxq6W7usO6FqmafZIqlS1014f0upOzf187g1D
w/1oTOTRI7+tSqfdp1O1GJ+TXNqD5mG1uRqdgYusqNzH0EqK8UAScS7wiU/qGc8EN4zsSgKpXhO/
QI1eBp+eRnmBs6SxfraGDquKE0XqU2iZbW/GDNBEMFO9mQMJtFJx0vsioSS+oonqzLMalY3HeKIF
Gjv4DjMpZuXN7FqQppYBLEWygSsXdntlW6m+Mx3kb6waduO90ufuto95rPhKYgQ40Axtio3dopEB
KXPCctlzs9t2s51glTinpU9q841IvGEdattNEJpl6MgALE37c5pqF7JoAagmyAYa/o7kpBbzNlgL
2euCauGyZ3JiINs0i532GB0NF1BTHOG2CTMpPwh7FU/ET9VwpEJ4GH4QucJPxmTJa9ohJzxeypka
vI3nzFkDCLhVw6+yr0ra3UDDJw9xQVD5JGJ2MMdFCVcdhiQn0T8PycQaPav78xhythaq4O9FfQs2
a8C+eJ66KFAlYFSRVsnXXA7RURDS/sjxtgW4hYaHUOvk0Z1L+xYXLo4iCsN2fD+anzqt64dAFchT
V9QNu5MW3yZzyJ+SCFw5qA0uy6MrtYWlymJvUpjmQeZoz2WuIR0OOzMz7GMoWufQ4FwWaVvd89qo
UaYZX4tYvaXESbd23zRbin55THn9zmmN5rFPkq7yrcq7y8aB2vDK/QUB0T0AbnkpJ9H4BQygoLcq
40bHSvwj1MGBECLeqLp4Xvq4YgnIGjtsTl4RIdL0440sUEBGxdiJXDsbGT2cqSaeyFT7qQXiAbjF
C4onS+FkyraL1xi+XlkPcyXeFRW/jAShjwWDMH5d7c2s++oqcv3V/DKO3t04p6/sRgEjN/1Ev4JM
X/iq35EjbgT9me205lde3aouO8ry/7B3JruVI2mWfpVGrpsJ0mjGAejc3HnW5JJL2hCSu5zzaJzf
qZ+iX6w/hicqIxOoAnJZQG0C4RFy6epe0mh2/nO+0/5IzPKQO9NlnnN16BP95iR8AKO/ziFOyMil
e5HJaFjVx6SG4UIP+YsozMca4HbUW3edD2alzYsTGtyX6YOAqkK/vAlDP+H3QlE08/tQDo8o+HD1
QN3p3gDfV/XIePocuOK+HQ2Eb7P95QuUkDoldD5OF9umJLLs2b6XI8kkuDFh3T/MZfY6+d47R/EB
yF1wdGobnyUcMnBHawdVbXkIFvEhr38lQb5ynOA+83iU2faWYcqOxRdxzXTeM6wg8AJG4o/Ua89a
7owg2c8cMMLM+wSxwZ58OnrCfpuweFBzEb9NkR4JLMfHaQ7eMi/5IUnanC2zeEfwOGJLQ8LN200+
hfNWlPnLGAoI6rLfd6b7YUBk3GDOw5DhxMOuN4clD1Hi3sSAEbY3t5I9xisxf7SSyxENn9fdY44u
OnnsRpzONc3vnTPbyO68ZPBCK/LGb4BngbtwSl1Rq/ATvXdXthHqMgv6WljJeczMi+camLeYOxsY
7ekisCCxmvbj4CbPRaoedMJkVanmIcaYv3Y93mXPObp+fBTsbj3CkTP/PV3GqF6bPVWGPrR4NSq3
2OPufjLZuoObuCXp+DLCCHvOunybxZgTxHyz/fTZNvsN9dSnqDePdAnv47k5uLTRN01N9zOG69Gl
o2vQxd4Uw7lvgwPtayevaznIp880+K4dL9sydj0iKz8Jr2KkPWQnSN8bq5fxhYjqqa2svYlnzdbG
cwDFeV118dfINGtLRMfem7I9IRpvQ+E/2lOgMSJxg/OcZ4CHDa62UqZYyBHZ1Nx7s+Hd9U59h2hy
RJ95TXT8M2BjOPOI3nh0Ed9iW3YXc4BGwFP8rYkm++xXojiYwt0Q/q8fE5AhtFFMw4ZAjX+PZZdk
NWUCDPG0s+Uc9TKOeB+kLSSh/pHa6KDNH3DjLY1J1TluePw2LakqjNN3WP2fwFZsvcRYwa+4enHw
TaVqNwPweeygxu8BVoFGq8z1aNWIGv6efO7aRdI5zZU8WW6I0YhxRdoaB9QcksqZwOOhnlpqGSZZ
wbRuwk1t1OcZ8PyO2Ei+R+N4gA14Qsni3I0keZgxGY+BgemvPyj6ffa16e7EQKNeW6rPWUav2mAW
l1ZbxCVulBhXNbjFm53Y68b0jwtkj/NQSwjEPbmLFRT2ODTEY+Ix3feygxxN42o0t6asL/mweIxo
QU0Xw7e0vE3q4w2Rwc+FTE6wfkXOymM30W6SAN9rE1Ybvw6/Q1jnitV7zSObGPnaVfKe9XqFtXYz
qGTjtuzjc9c2rjQsPwaBv8sKZzu1jzTzHpvaezbFvOnn/FHwhku/OXaC01rBHt1iSyrSHRHPhTpi
IgyWtk8mQEnO5vOw4wgOZSGtP7xo3oZT+K0ZOIrD/3R2VoihAbcEsWOzPvSl+Cpy4zBb8y/iEmtS
WuS0Gyfjng6WH7DE7kYmS25/DRdYDqwIYE/OY0RHLbWM3lYXWLFx/ter2K1/9nWBH2h4Jyx1pXBv
11rjxsnm702VvYFnowGPFEJTOUgxRYm7f7hfYGSFas9TUV8H9hzMsKlbp/hipoEXQsP3JE/venxH
stPnoobgkWCxUjlrhwoQMZrUwRcRhFtnUm9TI+9S1dyKSYwrSxCzzswMfl9rHdlIvBDP39FET4i1
fEM8O45ODgeF2XUahPSBB8PF9DUmYAddV4C34uQqnsOg3LQ5gHWPbwPta7wmdHytiFA8eSYgmVQu
8xzmlnBmqcww4dbb6tSqwtpZjKFJi+UfmcV4R/Uaewlo4aMVQXBnI/Imx8VqUoXDLpNo2tTMAKvq
q+ZU5ZK3JSoiWHjxZ8dHsIFr4O4HRx/YD76lhMPXVtRsiZkEG7aktBJr/yFPsuci6Pzh1ecYxVY2
lkzSqCDIyCuRP8uZMC7caJc6Du/g5aGRmU+5pk0AizghvKkz6HxqcEx3S1pgR7BIwK+psDjsoGwG
jzryJpvZZBmXZ5ngJt9nuLmf55wQKJ8HxY8MIh3rGxXEUb7u66iGbSXK6o0xm5XtYlZYzZFrCH6W
bjD0uzRt1S+cLO5jOffDY216Kc3fPskvGj2U4a40vR4Il5nskDMrY4anFDbV22CHVMRUzWSUnKTo
Ltrk+ZDe5gTSWE2O8lWBwRjW1AvX9VpM0fTqB7rnnK2jKd6lITI8KUrWiTVYhvhZAEZL6R4gGUSJ
9eA6a7BSc3BIF8QIzfIJKEvcb6qp90U0u5phdulAkcYPP267VHeo94Vn7MepzN8BQbUPA5aTO2tM
GbcXFnve31nf/7Ek/8WSDLn+8zHb5UuX7T9R8//4C/8xZZNKAZyjU8wHky/+A5sv3L+aGIBJKVME
/Edv2z+mbML7q1pGb3QEepbrMdH5x5TNNiEB0Ifm48BzaTb+t4qILbH0Sf7JkuxZHjl0cpZK2ZTn
Upz7L/2k2gU+Z1LZyNJJV7jjhKe0LDrGV4PxaslmK6c+u2SmaLdgz06mXb/XeX8MnP5ART1LiBl1
e4URUjRsuWyZE0F0gID0enyqbSiJmFUujfAee9RqLtj21pvxtwle2x0FrDu3tfFkuj+92v7R5+zY
myHbwSa6b+IM9n7yHi7Nw10g+uOsgu5YtOhJng19zLabF2CPDNApEYsDOADsQu/sIsL1bEuC2+Wl
yOI9pq57zuhoExGBH079xwKQcA2E+VxI3Aol+76o01/Knt/hVW3TBO+xZgvKKPoXky/WQYACOTmA
JM3uWGtzDhVZdpJ1C38weWeV6dCkmp0bFTglk5KsTwc8Kb/vpnxJE7EbU/4PBehfhcc4ehmNun9P
TAWHpPVIFqkZYY2+DTZXvMq+XZhwGLQM5jK4eHrk5rZm4mW5j14Ko6UiY7OuZlZXVc+vvNObFvDb
3gQ1naG6b+wxOtva4gTZ6Tt4vA+yF3e2XLLU7Vpb5ZW0V7LKy+Jtbqxs5VfjCf+Hu27N4qqo91xb
UF225HQIrMIQY5C27Pvd/CFKKkJnGdwmHLLh/ACo6sr59bYA+XQTdbhbqydYio/hBIjSCI1y5xAN
HeDS/DDG4N5wHYQSTwO94YuRh/CktlO9N3jObHrfJqQ059o4czMAG/bYTzrlAXThLUtAMtpVd08t
whP5aeMpbRj8FAEbJmsgjy+6+cWQ4Vmm5VPd4IRa1fUnXDFzrUbb+mUEcHW6yRkOvUudEjOy4CX2
rHBT2FG4K+PYPpIYPHVg2LcZCGBwmzWTrEarNQiJGhqE3CMo49kMftWWfcW09b0AeI+WK4n5qfSO
QKS4gLLbCdKjO3/SsNsCNa6T2r8S3j5MCFcb1br4QBvFbLG7LSCjVYtraqHyGEB4+0e8TAz9gJBj
a0x4XcBkUsButqD8dJXGkmN9pC5p17w2mf8MpfTqZtG0i2qT5HIsxpssGNvNqttAOHpDV2IW1NT9
1iRuQH6fwhtR3oaKlJchg3wLPP7TTrortQgAal0n2ca2efCTayZRnwMao45tsqBsuppmHTlYgjBN
eTbYO6xxWE17oFf5Jrb8HHwFpTqRl/0YLExrsNPJ1DJCg9LTnTmFPJPZBNkz5Bw6Cbais2Ekx17u
JuMPv0gvPWxW2okUkH8NKoTkgjvW2P/Hem3F4rPoxV7oOKV1JwOtHeMiizBU+1hiNimIpjbMtlF2
F4us3lbcIFH7UCwdWv57Ak2KSyH5EQ6XvrP9jR0395Fsu3WWiH4lZVNcun7KJcZqN3yyRV9xZrbq
i2M4yPF+lW9RpPROmGhIVpQdG0ZV75lTDbvJCqxXFPwn1U2XKYQ2TgUfM03wg7cK3M56GlXxo+xo
EOyKztmw102O0hjxcuNPHf2hX7b3xaZwyzt7Hq/pHDKO8iic8lR34SKo7gfoPXAizzrzf85u/w3O
/0tGdKIhzrrJR+MrdhgExbnJzC4M7kIK3+QsTrKfziDdUqyQU8dSnBAt92x+SGkcSIeaKzrehj3n
AJifE6cgw1sy8PE6RzCgBeg+8rpbUqasA2aYHbqlHD4Mh3OnvJNODbGpkIMOs29eutx4rZ0Wn1Pd
m18JsTGO2KxdlfBgSxYix9FW4tHF4+TNzUjfE5TWbkm0arfg4KdHMHa1u5t68ppu9pY2j+VkHwqY
J4vXi2tIZlt8z8TUiWJ/C7IjoQCW7s7q25cJGsDVCMWpGObt3BUnzpKk7FymznABmZQOShLHjEFD
kcVz14M1Vz/MlKVzgnp+TZ3ozqhopu+zVjM3iKJtlbXEZtzwbsg/RFqYGwUafO2m042guvPRd9XP
OGz1vrEiDqatAlFsHaKSWAg2yBJA3YrpEKWRzmmgpcm14psRxy8UkDnbqMdyaaTHmJgH3EzYtkvf
jEP4hI6wr8n1cJ6G2dkJMLcBPwRIEhK0K/oKqCLENORop+6uces9Nw5Pgi44o0D+NK0a9qJPJdVC
A/eiK4npr0Znzxb2VEIEjdpFDcSvUmEzRBVkbxgtDP6eQxROFkrmGAlqTYazHuvuEEU+4x4Qsuu2
Gx5lb76NdKKU4ALWANg/UhPrLphOFBe6E3ZUoqRXH9gXh8HhLXaDClibtqx9jf94ZbYeF7kXNLup
IWGcGPQJFNoxD6Iw5tdxnr9jNMa48gcLs8p5Vhli3Batqg6jwocSFSPDGWDdnwRb+p0E+85Gw40U
kNzFTkiT5zpy4LyYeEqPM2DVxfY4HGerBMEvxfRCdwznKb/IH8xUbUnWIzyoOzrfpmUaCn6DKar5
ZBvye16k+lti9lgSXRjdqj1CjZe7qJU95gS8/ZD5Wc5Tt92qDEFbD8G7r12801UF2sQcUNTraKd9
hocmx94C1IbGpBpYHhwXQ9WbflIfSeLvsfKoIxB886kO2+/Qd3iYuY+B2+3bobe/yxBcu2qMqx0K
klBiObZaLdiB2kIf0jwuofi2R2BP1P8wrE2jdYANui2IF/jmooGtaMIBxwLTU2GRjgO1aehDwTO6
Tt3ykidUgcAtwQLxQrD1EkAlKHAS5CBlg0H7uwlCGvUsMfWNXnXAbvsNn0MJXQkGd423mkHScNfa
xCnb5aZ0ws3CKkunem3WzjZJXB6a5cXsDER6jhgOd4Qf4EXonoC9vU8latA08nBtjkNs7mIpn+ny
Q1tZBLTE2PgToesEy7TfE9Omvj6LrJtFpqIg00DQeUMnAREe8SUIepXiUpgeB1D48B2Nbml4kOo+
LOIfsLDPsyYq4OC9pZ90XSE3li75MPgceQB2O65OZS32mafX7Lt2neOcsKR6e8tv+MjRinYxvJVN
IGd4hs7NLqn2TRFc9vhtnksL0lviDApfb9cdoOG+eIS6N3LiidZOzl1HJ1ylzM/QddA+eaABSPkF
ruDKZC/ZKWbSQaEPEISOdiwQ2Av2fHG5nmeDyLm/GxCqs1weeh1c4675bPSjYQ5PlXQ2qQ42lf1U
ltlbX4XfiVcxIfJ2PSrMbGQXTs5HtzZvJLY2dAo3m3IBbo8DM7XKjHfwZ2CINtOvMvVeFVHWZYFI
nfqNIfYXA4+zIlHSBeVFx9l+EN3eiOU+AtVComafqgGrZ74l0n8CzPo214clR1XWIbv5Zmfn/sVO
b/48vPeTuOjwYspHGqkeytE/d1hupNQMI+GaRs3FMeEyYB1ePFL0ZY7NuZFsbqawu6L0fDhsdtMx
pS/C99g0VcWnIJLoaGNTpdd2roK1GdZq43spv1fBt5lMh6QOFzbbaUnjDT0bs38lCnNX2s1Db6gd
i8iVc80K9/C9GoEmNY/ooMDq8rFfCwTEeAJaWAuydHCFG0Hng8ETpTYZarDqHP3pbWSnBj/jexxn
V8lOVWnrDK4N33X0XBWEiaAJhtsJjGPGZC+Lu3vyE29xiI28L20Eq4hi6M6+wxnS2+QG8bKCHJ4w
PxjQ/vxjV/gvrcPupW67E+jZ3SjsZt/ZxgMuxee6enVH5zI6/g+upHiTt+mjIGNNPIW6Rk4jITUA
wyc6gL+ly3MnMimveALsfVHlh3kUtyQx7wfqnnM9oU9pJ2BONUD/dL+ceDEId9NLvOQtazpIiaBz
G3BZ9v7byGYJf/TaLIxLVrg4Fp9t19lXBsMz5dPO4cj+sYh7GID6jmAKtununPIgjAzsObLnOUAQ
7RgQY7Ic563v7/ysuk1hc7UN78nvgk3a2K8SXc1i2ePB0YD6FdVzN3+mzkeijK/ZPseGujedrQMt
bVn2HqZJHfTcXcu6sx+aMvk5ljGRTvVC9F+tCRFtUxoyBl5dFBg3WNLb1GtPQvZboDa/fKt8GMN+
W1avInG/sPYf8qQ4hzHhtxATPN2Jd1WNxVT39oknN8e1eYUZHJMHuKV0DHax1R2t2F3FM8QFDNTo
8OXRKG0Bv8jFgjPoK70H+1ggdNYROn7znnoGgiOU5IkSSGUS5cXNQzqSR0OWD0djCG+qYU/KwI0c
Jhz3FRl2hl0RcKOgGLZwF0OCHj1mqqj6ZYBQrUQAYIxBE9YTb+tarOYooi0K7mAfLbQe/ggiJYMX
VkVvFRGJRPcYXS1xq+r6pZ+zHN5qMaDAMSyDgPLC0R03C4WfG9tOiMrJp9Kwyz31Qx/Ah9KV7ZX1
vreK5x5IxIpJ3hGPOvqh0bxSR/CWpwX5Fk1agWRGTvIu+ZFzal0382iegrJ0d3Pn0fjkOZ/hUD4y
FlEbGE/3TZLQTxBgVp1KfSdMXHahc6MdDPRSYhGnbbBEZBCotkGA1S/RPnJdHb4xnFCkLGV+oBR0
2CdS0aIKmmxvehOyXk837VDlxNVw/mCkSQrsHhQwGFMcfLes8FtUE5zigAw2tw67u5SVGBA3u2TR
AN0XMeZTg1iCKQISUB0qO0ONcxawhTcgHGRJux4H8Vh41SpyqJ2IdbXK1LClz+TLdq37DH0yyEoy
aG6QZassBF/dDEFxdWPBaQJz4cb14A6N/dTuIqf0wQnF7lPcy2jLWzqyPhwnkXOIDNmtjOV43wYI
4aHTB5e4zDXD4gqzpeyKYlflVb3C4Fis48UFCvGZ7VJdZ++BN+ZHh2Jvzmg/6H5Yg0rY0SqDOdB9
LfE0DOSaaSs4OSr/hUVpZU/5exSY3qGcSkrM4cq6K2bI73k8vJAnOhrS4ewe2qdZ82iDmoaabV8E
quqBKf2Z/Wm2clirNg1goZSIXmXIiwM24+ha5bfOqkx/O2VqqVY1oiOPFkbDHD+sgIcf+CVvQg6H
Bh9/WBhWtmPaZ3ufwzUEZ0SYMeroEUFh9Y8Drs18a870pwEzJorK3cfqEZyTMLhO2qY/kdk+0J9l
luqKFyj8nx1tNtZonXu3uGE+XXk6+gi51OjKIKai3Y1VpdsggR7ZFLuogIY0zNaWEcqKeRugl5bH
cpKDkk2DtGFs0G0Liee3Cw+ONZxDMLirxp92FdyKTVfGoM5VcbYsm8kfyVhRnDCwfUlyMbHsT35s
H/o8Osv6M3OCZ8L/9/3Q0/+sdp0nTm7TrfoO8Fr3R2ZWvwc03egs/2zoQa+z6JxNbyGR5rLAkCcJ
w03pq1FUlyqtD4DyML+pNebuk/JMSBgUuMfkxhrKPwpjuMgyubcB0Va6uw/77yZQC/yMzjnR8Ho5
hG56zV6RvhLJ2zkE2zmhkgvHyX3He73uAgnROzGXbRLR0n7ZHWPFtyiP6YAeE0DGXkEhmLHLqglj
qSs+NQ2NdWLdaoN8K0CW3rQ/PAq1tC1/tgP1VCjihkDviPNiZ2VgqkuPMzp7vtmGVkwzLMeMrrhR
j0cYOHXrnVwqkwuXTA+VtTZwAZD8K7/zL3VSP0RVsi+HDvXfTrchFxiDsm9YbM8z/KKVbrEvIrzS
4WUdKrM7e71/KLC7bCKiqVApGQnYMVMM/G1WuoOnezJl8NBM8dc85U8WRqFNZ86/iHQ+4uX5IMrz
igcotQVavjsDYzSY1LiPopnkA8uFeadyqFudZa4Ky/6Z0ry4ZjyI8Tt2XoaizgKQg8v6kqiSg8ip
CQ9q/D4NF6Ol6KXuSjwK9uDhfO3MHJh8ngYPuirFVgsmGQCX5E459IhGTEkoCJ9S9g19BXio06G5
ZjIZHnVYcH/OVbufhyH6H90/bqfjz7/9RfzXKJKv4v/93+LPIJLl6/8OIoFDoqBMUiDo+Y70lmTL
8KXbv/3FJD7joAn7rk/oBtO6z18qyqaN/vYXinRt3/GZAUqyKMpdICW6hA3xt784fxU2aX/YJgSG
YSa53r8TrbEtfsifRH93+RHSNYVSUIYXqO+/JGu4SoIeixlPyIiGsn2vgJ0CieKsWewUoMmd8LDp
rXvADEyhrEGyx+iDofwajJmBdzro8QcxUSz1ETNG3EIVWFfk1gC7lvZwN8AtTSBFcH0zZa7nWtAt
T/DTAn5ljcZGFJ71rR2Vc4ugbBOWQTRBOsq8mofISO8uMkeHMzWFOSQ5ngIdA0HNtzzMUTCVa8Xs
kEiryobyXKoyJkbWNWF3dDVP1/ukNnhUEnrlGNE7MH2RuSKP8bJrRt9FREXFWsN1QNEa/jgeMQJk
Ng07C6pnRbs6z5gMggAvfhWMcjpjOuvpEBFOwnpGsOhX7cbJY0dCwdnyLaRed7XosGLSaxDtalvW
32RhYQqtZRM8B5GOcWjyEERqoQiGnK5u9BMs58pYTyEUl5Vk3wSEqyqHj7hu8HmTnKEQB0GBJhkY
qhmTcqmtX/ghmg67dReCYJqTrN5HRi7L7ZgYIay/rhu9u7zoE7kkKtmZDIFKup2u3PoT4DsdTYgd
YmJAvQwZjKqrXtqatqr9yOrEc0/StLJVFM7eoKUlS5eMQnMxZG9QMDx4AAzdbAqmrWi0FnvhLaEO
NBQLzXsM3HfgXxxzE9F94fIX2Vk1Sd3eLedeDNeCTgs+BpVNR7/u3fZAABG/rj0P+FSgQMJwAio1
MS/qIndadoa2s6cIJ/i11KeL/cg7+ooZs1X4cKL8vVRs7AksYxvxOODW7vg8jDpFoME3Hu9bgXq9
nmO3TYlq6yBZU0vB+oisk3MIdAP4cqWfvM005oGwS4GTAlTsB4WM1drv5VS5H4lQltqPs13fS8si
4SxaR+Hn9JeuDBzwDOBrbLA5onTvXLxeVdnG1D0KJwWLUFYCCnJ4JtQpbbXsi5eoQkdTCA0ZWDLW
trsrprH1Vo6AGEA8P39WydA9db1dIsZ4DGUQdFK8B9k4ej+TXsvvyYCpHYmcINUqqKbo0yStfoNe
F5hrn7wIm/S+H8XaZ5v+2s/CfoVfh681qw2PTtxqtA+tFQe/CLGx9eizkPPLJB5b5YmPtrdhdmHn
Dz5bo7B/xZC83kTX1ycdN/IZuah4M+1J1wc76UNrRb8jse5S1SLZNn4xnkwO6QQ78M2z65ZmOHmb
ltp2rkvuR7AU6FtvbulMBt2vI6fkuBHEdDygmeWq7HvgaXTu+enKpZ4Y7p9O+Kue4c3EdtA/+7Vl
xRRI1z5xCDfMAALbynY3ibKyeyoJ7X4zMP+KNoRFo88y8vpX24vbZ6wfsIU68CYbIDIQCQJv6r7I
tfJRA+fRtzAfxD2fLqcXTUNuHlWoLomCLiBG2Xwy8OCXamKaELg07N5ngrGgidgwqi+4mi1wyKbk
Bo8qAj2rlAKn99Yu2zN1FwARo1Ri34i8MHB5wfQy71JLpYD68cl8i82WXAkTSjuAotJEUOXw3/mE
kBetiyVr5M1Dm5ruvHa083lHQLDJth1JsQjtmkR5fF8oaeNLL9M7TYUDU7gM0/FuIOP1aUpY88jh
lZbQfrFC7+YwzK8+cUAHkYZv3siKBp/BKazkMYbgDyd6opF175SR0R3tekY8IiZu2dR/1KJO6Ego
03ErddFDz1HS2zUQ3dg1h5bznFvV0iZIa4FTP3sz2Y8Ng+zoiA6OGbnWvR/tq9jzImS4qbG+c3yx
ph+4FcWbXTdmRVEVq9vBp9DrnlotTOSpB0Z5XbYGgRtqObu7qII1uUqxSNJOOIBOxFsu0LWU37fs
5U2qSGdVQ9AIBio3Od3BvcA6l1bPMSHY9zBIghfBfvueS52bJRB466l9jG48cmNsykQnrIuIenX7
97PF1/hHU+ryV/t/FkvFD8oxmziM2j9wYv/403+7BPJiTfjPvRHH4mdZfOn4nzPIy9/5vVGypIUL
wreZYnrKlWKJJ//eKPnqr8KUgs0JuyFhy4Xy9vd9kvormyCKCMCVkg62lQI7//d9kmGZZJCBp/ke
Xirh0vr0b22UXF7ZnzZKjiNY422+kcfoyPOE+pfCA9Dp8ALrxLlieJ+09gFaNdChasgyxqoE8Mu+
QHOLrXQlkQxourIhMhG5kWs3BxyypYrZcE60XbODwCY9TUhIXljDI8VXsXIYFSAoeGHH7EhKc4aM
IoPPiOM1WpPQ4WdC35dP35BWLC7lyLASj3VTu0fPJgWr5207ExF47yhJrz7dHq/5Fl66gLLMXQcZ
ZsKRuRorf4ieMsro2vWEaZd0Ga75Plkvv/98QNDqsm/L74EF0Ulbaov4JQvviSLE5CXoKX3+ZHBc
lPO1b1MrP4d0oMwvtA1p4ynxU9PZI/VApGJtppJUukrwNcqG1QuwXVBoCTyyN/OzsBOTI5iRWoWj
MHHlzOKoc+iMJ4VVBEVtHKOGHJ25/JU0dqb8zLC7wEOhFi1oHwBlFG8Yc4fygZfJf3HqLMEDLesJ
jFXaiPTKGm82r0PrVd6Z/GEonwKYCW8dO6x0nTo07LEBgxPItpKedXRMjvND98U2aCqvLUUNtJra
UNKCowtLOyck0cTm1jQSAMi0SaYjCTg4L59RDUj6zp7oJbvit7XSPZDMwPresY38XssMRlVkatke
KBOw9a5KRqV3pDPN7gsUOQ+qmT+cUT2chEQPQPtjPJBze8nzKRuILdJw8+WXgymvs6ULvR8auxz3
qeate6uNeDCeBiim9ScPACu9U0lW+PsBiBrRAhcAEhvoKsl3uZ0OwRMw+folCssIhwCCcrMtUyTc
Hbh9wbMoht9TvNoUPDOOMVWlbsok+fmVxRWfdRGaTvrTNhttX6JOyuSD9zmaHzScwj8+WG36OBBg
/sqXztMpBgO3zjP91kB8QFpMiokLLaVbbcTHgAW9vMtBZYo7FmI/OhQC3NAqmDgw7cO4xX6homDm
ArW4y/NzhvtufKjYQ2PsJnoS3YfIIOgBRVlEMEW4F3CDuv7dpMO+OKch7fPglV3nAmk8z76bPc9K
Pu8i8w9d5vBomJb22hV4N6PFHa84NFBEy29LwSY/D5dS3D5WngIMBiUVJqJBw9z3nJFjt0cl8HdW
ZTNsNUtwKnt3jKLqECmszpchjXK5t9qZj1n88U/IfPn8khAikD8nQEq3sQFQe/39ogs9c/l2wPfS
q8t01tlnYz3TdYSj1l0NWTrdS6cygP5YJp+CSUgfsTAYYWn1NLXyxvXm3H1Zf1yRqO5DcZ6XUuy3
siFP9EAHcRxsO3RbA57jMDknZmuD8a7TKP5ZYnPxUe5CmTwWYbZ4VjsVG5YNVg7q8Tk0er4FP0qo
41T3FbgZ04iQUqlDCLaVndIBZMXpuHR6TSmvarKzvWfBP99SwAcADcQvXWLHEqrR/PL7N01HmY/Q
eFK7/qzscLn+HeoST+VEP2oeJtp87714FheLuvdhz/Cdt4qKC373IDX5ZBL2AfFmwuNs7/0QPOLe
m2Rrvo5tr5+b0E8mOHcOhtxAivTsxlkR4UHGh3D2KnBTR1KLdnrN7bYkjk9nq09jfVNEW1dAGsB9
bfcPJiouXRI5GbptS6f4+GBZs8u7o8lmYyeAk1Tu4tEQzn7uWJBx+cwWd2BccRV1GJgDbvw+3eOb
Zn+bQArv7uOh+zlXoozYYJXJfOp6U1CV3ItaU4KZUMuUdbXNxM2a0Nwybsir5c9G/TjJMI4+utmO
SJRNYxjwM4X1EcZVRq97lDbFiArNb3Wk34pr2Rhz1lE5+BM3D9YbNZ7koOLu5OB1K/jeQ+k3ECRx
qdKXSHUGC7E11QaONGxOzi6NGLvfejdIQlhZhlsAvZ1lF4b3SdN3/UV5Y8K5J21FzA+mgaI/F0mu
i5yooEPpHfQCQ4F4mzi30ffI59MbtH5vnVGocYvOOyLKxhNtX9jAbVYBzmb8E4k2Zn0nyCzqvda4
obZckijqMtL6OZexpMm4pZ7995fXE8ft3e+7bGomrg5rQF9/iiGMO+ff913LAjgdABfH4Tqaxsx/
KBjoMP+zVTs/J7XQ4OWzqsWGNTap+YCvKONpawc1EWasf+S2LasdMeoElGLjXaLDj7s09Gofwb4z
x957QGsMuzcI1m5+NxcZ/9scvLy8A4VP5cS6ArcYHCIGYBgrR7fm8/l985P96nn0lX98x3quuDB/
/7vGDWY8YdVhYU9SFBti/9hKVnEJx+NiTdQ+Xn8vV1hWltWCCej88vs2Wc5/zh5enRqm3VQXyw0N
E8IL6Q3GWN0C3gkZ33abP23l7n9ja/9X0eX3QPNajR72z/U+rue5HioS3HoBvABWzKIy/fh4jIuQ
r7b+dyL0MA6sjPsi7XNYSD5VgcdcEMLYRWU5lsekMHLgdWXBZ4ZHNhsfmCpw3/S8qwyoETfZp1SU
0m5yH91gS7sqbYSlGP4/Z+e1GzmyZdEvIsBgkBHkq9JnSimvkvRClKX3nl8/i9IA3VIDJcw83Mag
p1HFpIk4cc7ea8970O2qWJea8e4OF4kHhpZA6GBrGDkyZxJVeM2CqtVAzkLLzOYDUEg7A8vASfD4
998pliLvH2ovv9O1OStZ9JEVbTkykz7+ThvYVNHOZCW3KvDKOzvA+XFZz+aE2q0iWv1UlsoDDlY1
sn31Gw9rsy+nMj0TWK3Sh7EmIud7VXeZu4nZpjTqDVtjDAkZbT2RgTeyEWTEx31x3W9xR/9ct0sr
UVn0GoH18L4sDceP1y0Ds7ek4TfH9yXYqzTvYUCxpCEvgBRYVeYAJTUTMWHWhFtidbGVXaqT03ch
TpY+GcljRhnmXCQOceSISzMhaRwgpedkq1mViy6CRqPivqVv7ltsG6LrWZNQM1a7rkL44/l1qddE
M4liOxdo4HZOZ7npFh0Sa/OgK/6UyRvLFxTwvD6KJkD41Yv66U1VAIs4BiP1XxqejgBR9PFO5HNA
rGqi01PY+JHchfxurFOBPcZ3vOEgMgvGh0xYQXskW2o3Xq4wZLQFE41YkqfIrGtJNCzhoagzGlpB
hihEjq0C3F0NukRR4vSshbiwZ12QX13GHlOuehDh1Tz5KACDGuHhj9Kybe+Z+W22CLnA2GdemUZH
lrn53oard4h7/QuvSb2tnBQflZdtiJFguGcnd+ixngnnA39ASbBinW6B0jorZFNnURTfcDWzjCoD
ubHAyxluiyy6YclfjRoVB01Z9HlVe6YVdNuVFLHJdBwaHIW0F5gVBd6tOcbulewctmPP6i7ADvar
2Z+SI4tY3dzFpmhG1KQmtiCsbT1RiEefvXfl5CMTDWuggeIm/W3f2ocZhXieq1ekkk9NkY20UQlU
cwNxJ+z+ynBcTUoHYzsDfeJFo4AW4kCzF0UIQmyhO7EbiPlANmnNwU3qQ1v7SfCPE59DwuCa1XtF
TUy7294z+jyDGd2qSTn7fEyvRq1vdG7vA0xMdh6SYeMaq0ga1a4spx9dnZzUKMjj8tzf8eh9b3JV
31YokXZOTfyvjDEeOqQQXAQIqC/CKQZOGDKjQnX4aOIiX2O4W/cyuQn7+t6Yo5s0LH7JhckcQEy8
AMT/UIcw0wTnQwIwTh7UbXeobgzfa44q7Y6WGGmH9vHPUGJGq+pVm8b5Vnq1oi9ckWQenCPD1hdT
om+CcXpFjHo/zlFzKnUPGIQ83hVnJYmmt/ntDsQwMX/YTEHe0z9xnlyv+UNkXbOZw+4X5u1HS3bd
CiEJ+c/j8Mfy51ulCSjzU/dWzugSOw/1bOHflxHnFWN61i0w2rJEVFUlM/lfC0CU7Mp2Y3gWyqAG
I3NOJI0wLthvzsJ3d2asT41j/iLvoQe/gXYBeYsN4GW4CjpiO+34KiwBvsaNPyNPkCNca8fdNZoO
qy1+z2l5WyXy3kn8Z1JV6KHliV+Ym0iAs7Ny2vGIXk1jjOMVOWQsPINdRT9wC6OfGMnQRqFGzlCD
8pDoBGgQWFpXfhot5PPKGL3jWDiTvk5rn+6mP7Xo8D0DS6aFs4KYBF+IvZRUEhsjS+JfZWsZzHsD
pwXOKwj5qwmLattXHWfxFSaAgHBNv0U+8/cdZnGBfNxhTIsEEShni9mDjfTz+tS35Eu0KFBJ4NCM
mYXnqmMxwEG5ym0avfsKkofK15Mq/HrjmXS9fsysl8HOGCLL2oMD7v1tkcwOsYlqDPWdYefdczP5
bYkMhziUPa57u90Z7I9ACOexjh8FVRreA69UwzlYiJmHL37VpymT6y44fToI7D3L7qmW+uFf9YFZ
R3WryS7eVvlMST3HwB7WGWE+5lqwHlcvAw75hjlyNIZ3PXm99EiDUvjf43SOSRPtk9QQ4cpSwlP7
bIoWNYga2S9aPVBxhW8nQU1X9vdEVFSH6a53++pyiggBRmMVcoIISzP37kCfi2ov5nmur8iNEsG3
smlQm1CM98POsQna/eK3i8U288/eS80ghGVajNZcW0ibWeDH397ObsHMwBi3s03kzTpJyCA4zsNk
DigVW4TwaMNxI/radey90AmHr6HprQxuVKFt94sX7D9PQlHDSJMXixADDQXu49VAdcT9WYL9ovlt
Fk9Sylxe4Lzo/K3p0CGAMNPG4SHJYgMMHDDu4n1KTCcz+I0XPp2Qm/27VpQf74erXGUJxd5Lj085
Hn2/j1dQg0rIuEvqwOyK+mA2ufPfbFVb24x0NtQORuDkV1GIpvUUz2mMH5qZzoBWwIOw6VZ8qRdB
gr9h0xXOQ8k+hSbYQwpsbHUwo/bDkGPMT6nXl2gNnZz3ysSo89hRYOSvyYSSxgpnrA0DpVxxiiJ0
1b9NMuRCZJFeouXPMp1k+TtwYYEdCB2jsfD3z+ENV/jPK+Hi/4JiSCoFBaS9QBQ/vRIN+uuo6hDt
vHcA4qJT8ZEktrK7tt0+gK9vOPgckCpK2meNExVH+nbpKxmDWbKxvAxguUmEAJrktxMnXYo4Pauo
ccrbchT1faLIbEcERT7RFcGJCefE2GsY0lKnlz9kV9flMfUbjq9ZTy1zJRsALRfOnI8j/SnH/J5J
l7/6vVWlhiCfr5d8mWpbR35k3YO28dUpw68+Xf/91rz99I+3RjKUNpXDRE3bjoQ4+e+VohqdtkVT
qE+VNIxsJ9Qod4A6AJkhwi6k2AuKUXFtMZqF3j74Qp8bjV4D//hkim2DZY1eHGwIvbYtq0TUL12D
HhTKc1ddEqftHslHzjNvFcSAmV8gUfEqTD3K92s7d2exrlPBvyF8lVNH5guAeXwQfXA56co6muBt
0FoxKiKcu3E6Tnh/vwFLB/zjcqH4JmgwmxymTO7Cpw+01WWT0NlwdsWEOeZ5MnB4opdln11w/GHP
XudX5QukARcmsO1k7dX7XhDFoWkcZ9hmxfDFC/vfi0LCSkYsD4R9iW/z0/odZzRwyf2Idu89t3QK
WSfjDC3KNoxJzb16/84IsG+Dn34+kVUJiZ3kRPr9zXxJQE7M0f6LO7W8Cv+8Ksuhk4GBFlQTlkd/
Xn/qyLfGFMVCJNGuTryw/dkZaV7/qsJhacFk0PV2QU0zANa4b5k3vux1vEfKLfPLDIahvWsAEQwH
4j5ZIEiJ57X54vo+LnTL9YEGcxUvMfs4GS+fXmXRC3OIxyDZmcjnm4dW53ND17UgopjazimxL3q4
Vx6cSTrRsqa1rr6tlGdOJ81gGjzpVxdkfjy/svbaUuIzNZUlPZxz7qfn2LTj1AIBDQ4B7zqc/ioT
RY+AeTRJGFzhG9P9nWqRkB4z6Q0cT4F6o3Mlp4udwXvbofhsOJZBV2qs68GS4fhIvKA/PNZ511nX
RhDX8Z8SICB/BPlfPxJNmu7Z9UpSMaSoqkMwVvIFXzrYDTtPWJ+SWfbJgeNpx8DA69gEE98U/v0Y
93V7LhLRWteFzXEUZqBdvkZKCEUIRJl06/drCZVn1Bt62vTA+R//4Yw7295XDCWcZ+WN9rkBCa/v
3i+L8DvV3yUWONl1WXHgAsREw3E9Ox5B0sNgyvbWYPNpNs1bcWGbCdJmf3Sot4A+cjVaO8y6tK+k
8See5wmwOf+M7rtiMdW9X06SqMl/VBgk/C2rNjWZ76nljs5Ry9X2HsF7OBZCboBvAFDcJbYe9wT9
Vh6Sgsl0iidVNiNMZmOkwQZrlfVgg76rjP/Y1rhUfW/lBIuSHnCn8YO3WF8M8Wx2KHj+JOEyAn9/
ZHNtsxvUTpaJK61qha0qGVvv6MUGj6nvwW8/ZNXoIy+vuLbMmfjPc1qZ1nVYYYbY4FwYJxQ70aj0
E6d9F/Yc5t30lbG1Wf2oiQMrELBEv8sg1/mNaAOFFs00nmmUet7hvbCobOIWHk0v5K9YCt/2ROBY
NmylbJYFxEr499M80A1B2cxLRzwlmAsgrT5MlzaKuZpOdPwolEc8iiFru/AUwnT9hZmtz8iSGHq5
VzkzhQvXaQy8M1JXJf8kN/TA2bmpfrQWr8cdkxBv2mcy1PTyWHD5aXCUeFAZmSnI5JPW7J8yQ1ET
9XwYE16MMV8SUoBgxZA4QNFtddS50X1Qty7OS3jDyVVlV8BlmX+EsUJQPkABad4qOxnDdmPUNUXT
IfXbZZAwgFhA9fUtZRE/iBxDrZot6x4AT8WZDqHTqEvSY3wC1gGakm7Q2qvE8sEqceAHbCR/BxYi
3qYELzyUhrGWLrqouZTOJidi9pRFU3lpzax+BM/xaBKb0VTJ2KVNnZb+RZuMNzRp3OjCdhqyKcaJ
TE+v9s9OpH/PnHq2GUSJTS/Gu6Qf7B9FDLktrRr3fg7Gbl8P3kjsofJPYTAiJ4kgo1N329h26mDD
aXI+GxJocUWA4G3ZENFsmtNE89HAEr2C0qCvhAOUC5fJnuFltxn5w47pYh9ovc6kITx3mITQprw2
cTaTX03IhBTAWOBL1FcinEN1wVDEfrb6yPxhxwi7M1OT0Y6aepsbBh64obL3DQbw0yRxRcco15IL
YEL5U2dP0wFR9ENCTySAnBES+1tW8alTrLyF4Ug6Uo1/xoxi7qbcz5AgZTZG6MDa1mOMOSEyu1dQ
iOhwzcm99SsjfrbnkFqR8wnSnhJ+oD+5WCVlZ64rUUzXKG5hRzTeQESIAfhLkKcTzmm4UREOyKqW
nrmlj2nuzVr429mb0HlJom/XZi7tnyzCjli0x+2RGPhuS0exuTVa1OOepGNoYnBewxP9VmXYwNyw
tLaeJAOP5fayMKKbbO7KU9rnI5rmiU6Tjuz5furnfGtOc0+3slAtk40GmGNNtGEkIvloJiDFJpSk
WymM4Mc8JMjEBkEVXYy/4ZmO9EfsfRS7+XcRdea0HrTfuvdIHUICFn3nW6J75KtYJLFxgQxtuc+I
T8oxQ9PbDDczllysbRhoaOpYay+IXbKyRznvuqlo1abLeoxL05hVLDuzi7gbAd2DyMAAOVYye7il
S4lZZnaZsUTeKnRoL3ctUt0hYn3D90XPiFytUz+H9Z7jl351FsyZIzJv7xXGb+bKwbGJHbXydTVd
5Zg7EOvaxmuR2PEjPhTGW33VkrMdx9/wLWpcCamVn2zkJDALu+9ZC28zkIW7y3G8QRU38PC3Ld7f
XLNIwSBcYDFWZGBqK3yyy91a38Ilt4d1CGjlLu5wnVYDzKwmteD6QHgIVjmm2t+iG4JfQ2TfxgTx
/MpiPd44pSTgBfr4Mz3V3FhBx/Y2hXCG8ltHMvM3f/bcjTd4nbrg/YoftOi9y0LC+7RbA+Sxz7MP
yU4pE0YAyOquDW3lxd7qMIBjUoLXYtQlyrjaqBxYpHa8mwxVHNzUSM64C6pdq/FrosQgD8z1zE3d
6/nR6WK8qqmHEctU9X7So72pBQa0cnG0Jkbp7UmEBYcbO1mHxS6GknCRpyn/T9221Z8swGTbehja
hKjqYxaoJzuq5I2kIkmLgZAdO2+wp9fDCtvFvEq1jwxaTvccmP0XTlYjDxtCFwbF5p5kleYGg0zP
EHcKbsLJvLFJQkGn1NWHeMAvmTWtYG6dL7co4Gybz4TEos9rABkAQS2n/n5K0vBWtuq3208j61Hv
HRzfmfZyGr09sbRYoNnFSEeFCvlKMu0W81FzOZCxurKKUXxXlZiJju7Q7+dJkGJ97IMH0qJZ7Z2C
TBus79ZT5cziHFRm/0gCZ/3osVPfAaZO5YUth+Ic9uhsbYtMsHrxSaMlIaCKz4Cel052pfBoBCl6
ka5TyJUT9dO3EVPeBa+kQjc7Oe6DRcbdlmBlVI8sJ1RZQfzqBSRGzSVjE2m3A/G6lcCDDB0wes7t
nNmDDQTIbRk4F7NRHOxmMLduXg73nXLhaMnpIMEr3Xhj0l47g4h37Wz6a15ueY2cFTJZH5a73qKB
g02H4F94pN5TEtHD8+oG10WMlcaMHfmzg8196EFF/uqazj3pqiaSGdNvva11Do3M7KKzLbihypiw
NPaYjVOD85iMwr69mAeISYGdfc9qM7uMqxiovet7xqUx1dgxeiT0aZPFOyscsp3pjfQMx7I/dzTk
UeSE3lUehME3u6297WhyRzodmy8Qd6oV6uR5x9cwgYfqk8V5nOhNwlgECJjsDHyfqf45pNY56vz8
JZ9MecjKQUChBeTb4r/WNoQEAMAcyUjXIRAu3oo4E9+dIKCug6C2SQeLdGUrMGrmn27XmBexIEYE
P7OxtLlDrEcybZ+rqSpu01R700a0VRTsME+02wRK/z1EZBe7WrfP/cKGzmtV38yo2TiMrDcQPfE3
uON8SQcRApiAK2LlLOxsk+Utu2OzZ9Q9rVXWFpcJtehFJwP/AslItmXTSbcFYadooQlNCmm/QQ+l
jm7BajJKj3fcp7PB9O5BJCXjBii0zdkoI+Q8c9czikN2ewEQYtwh5X1xmq7bddpuDpbQ3obMGXlU
GaMPMmJeoJ44O3OY5nXkLFgQ1TrNUWTjK0cedUVNcZ4G1oUpGIxtpaxDGQrS0SpN6Uz5SXhaAFWP
GeZ3TjKcoKb47FOcEQ4/kI1rmRMuJhwpw+iaa0oABOkqaF6IQ0vPjEMg5FkqvSr6xjjzXtZUPu2I
KVPN55pgTBLlgVxjNyuG5g/ioXzn6mkJvwpAvyZOPz5PUvx0gtj8pjLjSVnJa1d0ct+NdIXh09Xl
Y5ci3SXPug83yB9AnNOl2VO7krSWFOoh8TBZovsE/F0hAw70yIkgLIbrzAaCWo1u9NMvA4fEH9Gt
/chZGjcTMzJX5P6BjTE/J/U07rMaB2QtiWgqwu7MsAOaAxqqEz6X5oyyPDy5aRDfeW0vtoDYUgsn
be3d914DhCTu++jKtAObrGiGOvA9iZaOFC0SfGMksrcUE8rBCj3Uy2Aw7+bFJ79YPgWcP7sXO7h3
/ibu7OhOgG09l3ZTbqaqeolsBNtVxdSjdTKy5SvPvLHUZN42hSJzsKqz6zoR/VGGScUnwjIiw1w+
stjMVzHd9As00y+iB/ky0vRa227xqlxcd+AqcORB2+KNRhjecIxsKp9UQcTCq8Dpbbg5GnUzNrpo
2xJcj4J3Fj1pTyW1Z+zO9wRSZD+Fqo2XPDP5ATSATr7wowfpVeQzhNRIq1hwQsgxN+w7tDTPyKqj
Xef0+as3VsnV4FT95RxZxrrHvAfv1J52VZqjcJ6Q9RBNBJF44+WGAgXvBvVuyBiPlJF/hSeP2o+T
8mNlQcrJxpR3BdQ+XQBUrWcAhdNO+bHDPrx4qpmfGFXBe6qj68GZytcRlAiuQZU951boUGxTNyTV
wNwpGhh2SL4V7U6r0ZuIcvJ666SmsDzOc8sO1qZXDmepJ0ROzZGAAdBApq1/IAJHCp76zrknGW2P
nKb57sGOfDHs0AJTyH3CvYVDjzz36WJ2uOBqBP57AaSNeVBq6rtJWe65oerawVhxD2pw3cu6Ixwa
/52/TbJ6PlluQ0JjlGrCR2R9slI0ICh7GbDEQjHpBWQLgRfBu5R3KrdNurUWPmAnwA7tDUWAtIEA
s0eRuekxNg0BxQaGhAsCBS9XmaACMzFozyTyRZrsKkK2TgGLGMiEEuZaa7U8Q2Taj5nVIz6JmAoY
fH7tUSSx2GhtIrPBkVre4EaNHzBFEMGBUmKFtANqYtqF9naMu+m6B0RxaYa1vXPxpnYvc2LPa9+q
2ER1nG6ylmqvlGZ7hINThXfo9CFOBsiig6x5miLT3alIW+uhDX+V8B4eU2ITvqsOdXcTwHiji4ab
AqDTQQ+ZsTE4dhPc4pfxRa+7bm3rksHtnGKqm5mIH0MbswUJeWkO2rL0xsf35l8jTfY+K1K0T7Ke
t/YONAWKJFB5tXVdG+ResV4bRMvS/ZTox4K8WtQHQ8zV02uO/F3tJV5+Ht70CGZQi+xmAEULi6fv
3WyLjt4c1l2IxWAT+iSdbeCmS2+fMNPwOPOkIlq3diRxwHBISh86WjmMFID0oe8CuW2coqUViOMk
jt0tGtHljW/CSZgPRiCKR2Eh879QRm3kjzSBp/5ixHekNsSAu+VTNkzGZdPbnKkrL3H7u9oraKnU
sx+Mj3RP6AfIyMGVbHazd5iREwa7SMJguTaqECyVn9B0Oeg4Tn9Z3KRN3fQleUC1E5mnQI7cNC+v
uN6AVwU/Cz3//NxmLqCqCNZWs07KCokTAcQtrSMMAvSY2lj47bGQS0zLEEZBft+OTeTCMiPSZeO9
tYvybOT/1sGoOGGE8Whcd02bop0aJYbtTVb0kgW9ynO5DQQsjw3bd/vizS5BM9GULc/yrQsDoaJf
3I+iKrnJeTo+14xK4j/jW/9ofpvbjCmCwf/tkIxOSCVn1Ki5Lnu2VXuvson3AMXSJI+eW/XqWvYF
jX+IX/TxUkxLtC4y/Tb/bWNlnNSAoOm+nEkBIfqzHDdE7QHR2ZpMzfJHpyqj+RC7Pokpi/lgfMS8
zd1q3x7R+1NvFV507OlmqLJFH0erKUXSx2/yYrpzUWxO3/txLOJzHCT5eIoobGYY303Hf2kt+OpH
g6iA6ndGBvxYUkKPzeVIMWjs5eJHWkbBM9t9HPKnFZG5jD3R3TrPYuoGWuZpbvCvvmihLpOZf3rO
SwNVO5zDtTJx4aGn+dTTrXE2GB1dwwPrLm+2SaybuArStO53zJvwjaMU9cnGcefMvextGg5X7OnN
z0hX1QzfPco0bUVHkh6aOwk9cWpmE5meR98R7U86IITDLeCb8I5LDBID0t7mqx9hffoRnumiAzKF
YgS4TCcXEOC/prFdafHzFJTt9+7uMg/OLtsS1dhFNanR3RZG5bdbCmlQ7cVIQwM30NiGWzca8nZX
uFS86/em4he392NLH52STYOaCvltUoqU7NNgLM1qJOfogFEjkO2YrbwRs8hNSpzGbeECPEZOGgxk
lJYFJAIXTmy6ALxQn5SD82PoS6QJq8RD2b1D740k/e+XZ/338pCqm/DCIYZLbt6npz+05EInrusd
SWuRm8wFlXdyBwtEhCbfDshR4dPPbS3Ne9zIbjiTUzXCeVWqLTZTDf7vMrADz7rMoqocD7S2/fDQ
5FoQSsq5QqoNXY4hv4LIlPGHvk/oSC6e50ssXIO9DYia1Q94NunT/P23/XdMrRm8aXLWpK0whX6e
pkSJbcBeQLNaSCa4Z23qEPDbgM/nuhrgD2xsU1bB93eJY8V/onYWmZhwiBi+/3+GO0wY5Zvpg04o
M5SP72hdoP+3QDKSHy6Z9AEKCcttOeTyCmFXDWkfrXUDkLlLfY2IjRlR9UPN1L9XOCa5qvfh8rse
csZMm1x9cb/+M6djGKZtT5i2h4viPyMxAiIMy2Er2CVdm3PUopPGJkkpe53HEVCGwh3cBjj3QC/9
Xavq9cq6yXAo+XeisOfs9Pcrsj4Od5Z5k4tpQCN4tpjzqM+3TPsd7DN26N1Ua51sKGbQr+I6m2+r
CbLZhY/7tkGNEwWXKYppJoxvw2PJiDvd2YVZeAGSsSzdppkLHEYyiPV3cd2wzmXJIFdtE0cgndxW
6MOYt+WhmGLThCwjoCQG7gg1sLRHRcZQQrsIIjfz/F3DK76taeLkX7yw1qfxmmcRWsj9x5XjSHOZ
on98Q1Cyz8JBCkJi8eIDSAyTh5+B4aqvGJDg0ZDFXEVHWjcMgcu66zBY+qlwD2ULf4H6dqA9OFuo
fc5IqTlz5KJ2TiXjBkJ4ZzKyoH8HqDwvELgZxR+U1Qn1a2ILluu/PzmxjN0+7CqMvLFg4y3j8TG/
+jTJFBj4SrKz8qOnJkmPRybpEftF/NCYYkgftY223sbxGW5mL4+iPUL9QIB5bJgRWgQc5nejz6kE
4gSzuDtsTMP1+yTt79f5UTvC5qdZnLGQw661HIaun75J1ByZJQmgONoCLhs23bdpnYhrL9pEloyW
iNs0n67buqJMivCjfPnVyf/sXRbibJOpEV76xff1aYdQjjUS4ZpC6axgjA3Y7u2bcobgsiYmZ6JL
Ss6Fy4ArnHJQdn3UdtQDdSDpiWNdsO410Ghr/26bwclVcmrMYu/Fc4yhf7Kt0FaP1PL2uO2Vb16z
IedLOuNAlAoT1URg06lQvTN1Yl00x7loXnrR190lVZbXrOHXL1YnPsJlSZxoyqudPVQ+KTq1T2p3
h7b0udWEgG0YUDFZYuhFsnkwxVX/s4CwXh2Va/Q5q8ciVsrIVF+j3F2EKcoNtm7hBDnY/hJ751RA
lYXkZ+bTr7Y0R4uJmD8ZcIFKEpZXQZ0a8pAT8qR2WIhYbXTl4D56F0w1o6SsqGqFfrzJ/OKP4cVe
/N2N9EQVgkOFuLUBgNu9cspq3tjCqaPjaEcFiLdcjNlazbOediECfX5nSuAJXf8c8c3esAl52yRB
Jaxtz3WZDHxj2l6eZSRHdyTMaEvfBvXAQHPUO0Vaz7Rw350WBrggvSPw1odo914esfO39AsajgJP
Fhbx4Gyx9IHHE8BsVi5uGb5Pk6HMyad8WTo3nDA3TL9J+wKXmsKfLZQKN30jKvsycupM4HWIphov
iJGS4mE39b71SlAcmc5hWOIrzPXBYVaAX4nz+jbRHCEOrukZiNDfij4movm8njGW3HpZnLXkNCgS
wwingE9kq2i6nao6j/fl3OYZ/JwmDC792IjJ62haj4wFl+30RCpRxmCcHoS9T80ofpxAU6ZrrQYU
xIPTzRh+6gGQ1uA3lASFNebpawTVNbqPSycjTCmD13896rH/Qriw0Co+LEceajVU0uZSiaEX+KyR
JuQrdSzTo65CI+jCX2yqW4dS98F4M60ZpT1EezrBqfHSunCv1j78h5FnUmIQUsPEXgEoBmhLhJWo
owHFMf5qagNezjzLCCzO7TrJbjiMFDdqUeod2E2LZFNaCIpWLpnbYGVydWsPMNsa1yqyXcFf98gs
uEo2tct6fP/3le1Ni/HPCqxZ0ZYfqhzKOrZ1FHgfN5OgrmzGNlZ3fJcUjJ1u1K2Hkbi4eB+B928D
6PdjhieypDxUKJjucCHJF2r4iASdlkk2meJfr3qfdvalLLYUhaclbGgd/O+TZE4Ood2MmU8EXdxz
B/yxdzF2RK1VksUax354ipm8Rrdo16k2Esn4eyvffJLvnsySdAtUcGNlzZelXbQ3sTm2wV1oyCY4
Fe0UyofAhbJMQ4BAn03nq6nbIlRpSlIARKUfC5Ie++deJ5IwVXMwgkv8QISRDHoI6gu9HON2f38i
n7dEfjJGPyQ+jG0XoeKnB4JyE32YZ9pHaJBef6dbi81ktjJveHyXP/z9r7M+lXO8AAqMkRAoipBe
/Ud35sAX4nDSW0f37QPsRZFlR49UNMalmLnXM+Oi9kizhhupG9LJV0QnLdUvWWz6kJOk+1gjexp3
nkuP8JQhJHUObt7xpc9gyPR6dGRb74d07pPb2KrK5D5N6W/mgR8FX9g9Ph9SqSVs0+YTRehjo3L7
tEcOIdlhYTkREI9TdD4n1jjHBxjFi7C+Er+8ANnHKlhqun2HZACFPPjI/u7vd9T+WJ/x0nqWMCnh
TfSNJgrYTy8tOTo5/gdeFYP5LbEXoc4DqEyySLaYLkzAg5nj9q8OUcgjCYas/XROCSQ3flV5ZTAY
5qTP16fqxLk10O1i/nzbrzjwoxeBxV5Gi5IzjqaVNdL93Ofmgl0le4uhVVE4L37L0wN9QxaXymgM
rKretvQmSm3bQPdYhtaxnwXDq0IbOqGb4XrxtrGL6dnEBoTBCEgtfbu6u+kFUqBD6xhmvjbGnDex
9EIWIWeKUfS+tzv+fvfEf+ocFmHYP9Q4Dguw+7nWKl3VzAp+5QkWKHWtHREWdIkzvU4OYlQRZsfO
u8P+5Yq1FVf+Q9Viq1/lbKDFZZ/ZOeNYRKjq/1qp8lA57qA5l0qxTLqfHmoyOQ6vjPZP0tA0oBo+
32KVFwVe9ynNImI607hrf1hMUoPb3CgV3sq4lA+yG6nRbUhlRYBjBYjuFU8ms7fdMGN0dCug6F/J
bNVSj/6zqC9vIBMd4UjEtnQ7qFs/LupErPXLhKO6HPyxi58Y1kIhwb+Rh8WKNkKiLstScVnvKtz3
ZXNeDEh0FVC/qjdP8LvmCDUsskLAhmzO78emYGLR3om3jUu9+YQMKeJph7JO1zs5hUl6xmgOxrKn
/envO9r1wxonfDUvwyqfMDRic9pdQN65sSpIAH6vu8Kq6PqDw9WVl42UBXNTuLs0goein34PZpUM
F+xn8neOX6lbz5Y7P/E11f6lZFBXrUMj5bp8rwWDXBQB89Mud6L2MCUzrPZ5XHLBUb+XlIimPUAC
zocxXThlYUIUUdakW2U4iVqB4Wdbsew0AuTBR3hhB6FhXll1jDb9wjKrprt0BqaZsHVcdh1sktyb
iBmv+mIr+NSaQEFJP8J1LFtBQvIwRXzaC+iI0C6HSQkdEfkWwy/fAmja+HV017EUCqj3Hd+khuWC
2ySuRXPqVRodSh2RhPPFJ/B5cV08dJat+QKEAgWxoLn+3TxTPh9AgKhwSy+Mji0dh95q1pIyZWs1
UpyNLMV0g5xMTvsIQVB+h2UYaeQXl2EtVsN/v9yOaUqaMJgtLZZ5BKYfr6Mr2bCzALnGkOXGH9PX
o7GpnDK7toYA5l81oXjeqc4Jc0IfGOWNF1bIjs7o2SN+/NQ6kFp2vtmwh72XDfrNb6fHkhNDHEeL
3Zpg73Onyqm78kUWNyROOl1+n2lLVhI2TehMZ28qq/IH/uu8/KIMXZ7qv3+gy9ne4h/sxvA//lP0
ZAFmOc4IzqEYjfGFvO0EeiczWoZ9tJ1nPr2FyokHuW2+/33xdT4XwPyt3hKGIhfsCKXBp1XOteY4
Id/SO6AOxeIjGlVB4pr8n9SF5HC0QBN+VEkakbplaPcRQSy54pKB8UUs2FIQ7tE22ZQoZ1gIGvCt
kKOtfl0s/wJ+bEHUVj/rbkOEiRexOaVqTWs1zMEip0V8SXKHDKD1ZzI6NrZOSd3u/oexM9utG8m2
7a9c5DvrBHsSOFUPu99bveRG8gthp232fRv8+jPI0LlIyxfyBQqJyrQlbbGJWLHWnGNykNW3+TiM
5U0YDdH4mEDjenRK1+yov0TVUJc53VPIsIbBAtIcwv4QFt9gcO8foLL6X7u0FfHZAEJ+mBp0ZYQF
U1NttL6dMibzZZNvEzEG3T5xm/yDU0SMcanBAFcRNJqPxGLapGAFvFIXOq/kHBA0h71zdgBcBvMU
9Dt0g1ZJkz8dvnmZD4OtqZov798a/bcGwNJ99XWHJwLii2u+XQxwN4UaENDoksQDdYCIKNK2tduL
6F6aucTcTZygva0KYxB7y3G7+pYL3uUnxk9QxqVVm3dVFtpc4EifOeXFU734VpPF5KjngX0y/MrW
d36AGgel43xnZaBYLknYhMkRSTNEjaKeRPkZnop/y3Qw0DajkDqjXHbcYIOmixw/BmjNZ4bHDjWM
w71Nj6QYZB8lbKb8YhR+X12bxvARNXT4YuNcgnyb8F5+xs/F8wLuwB2vOyeSeGzB8m589IX6dhBR
26GxytzhVPi0JTYwR5KnbvTIfHMAxnk7epL8OpGgtXe0Iz5g0jVOvqOdQqgjqGw+INQC8EijgTiX
XHMBCIthDhNmLRoPoRm4Ju1+q3XsTyGbc3BL251Udj1hRTlHejHgmENZXmz7nkzvQ1jy9MCjnbv9
SOSrftXUqNuIjyS7b2fkvB/nMva7jZzLMtllWpbY24jgRcKXtbpLnrBs8xSN4xABG5AawqYl1RfE
B6zPvz0jT8hLC2R23/jZbNCDznzQpLgnz04cZA+6H1XcfbOBdKozckEQkunud2V/KSSCy5PGf513
QnSLIxlVI6QYJ+R8ZFSzF2OgS0CP4Dh0m3NuTll4g9mD4r6onZn4D9NuMAEvDqDQyXAISCez629s
ESRCpLR8NyLwK2B8aajts54+3rlrEu0EBcDp7lqXLO/C7UkOAqxqAdzXilKenSEb78GyJ8M2Hhxw
+mnuDcTidUU/ngLJknhTToTnmh4RcAy5avmxKzSOWfjipdy+/z79XqVjTmBbha1kYKXwnDdLXWOM
Zu+mgX4ZNTgG57lLCUrFHs5lrkF8fZ48GkFMjVER0LOROWR8jH7zTVONPYPqcm486pHUWfbfGaw0
gYq62ERmkYIblFp4AXrszfvK9jyWDNQvX3ixqLkYdFGmDKugG0U63fvWYsIsD7YnR+8407B5Bv1H
SVGsDiWfXZQDoOhi685BHPrBYIZU4oCWFanXOoy/cM+YsEUehsPhi0YiTvCdfos74yUdu/auTfNS
+8PVe+OLocI0XcC5Pj2nZVniJ/66CQtNzviUiFlPG0Iu9myJ8IBydJf4DSE5OxfbnPAgTEjC+S+D
E5YfQ4299ZvLQD75qebD79/R3z6TjYOUT4JtlfMzC/Sbz9RXjLqHKWE6jk80fqxqEC7AqvSw/UjU
BeHTyq9h0EwcXvvG5IzH3YekrZr6rukcOf1h1X7javUc6nDIELbnCOAOFkX5r9dp0Lyhl52TcOxK
kPbDgkbmTytIA5Odp82DS+8Truc8TT8cLPeGsZ0qfBeHEgCK8Ry6NN5++m3a5TfqsBW2KWu/dFsA
pX3MfGpbminRnj2eD5+08MXaigGRWwKwVHAMGmhwMnf/w6V+26SAYLiMgvkGdO9pmr0pTGHUt6bG
ofPorwd9h7Sel3YtrGqv4nHthqpqL6Wbxsbrw5xwaG+JYEBeQR5CTcQ61hh5kRHIgqOcaAxsUKP8
2YT6tmrlk9K0d9HbMVLDe/jmoWiQVosAM+cxL2eCPbsILuq29ECDvGjsRUQNwupA+KWT3XpExjBk
2KAH0T4EfkbQSjUsQeZ4ggjkINrWPLYZKms3zYzy0JHhSsQC1WV5h6iZ/pSR2rzPf7jWv5WDy4vG
tM1aeho8Rcu9+OfQGj4NIeNyQAVXptFJ9I33ODlT1V6hnzAmDnF9SlItUycSmvLphzaRS7ZpOnZ3
OsEiA7XCYZCgKNcmeSOHCYsDpB/7A53srGR6YGql9ocH5G0d6dNP9AzHxRvHBzffMuNMJ6ex65rj
lRI+qOPLVI2Bx4Sp97Q7FgQONKQ/T/a+lKPWX79/1fy3992HicfMxqaradi4o5dP+I+rVoMb7gAH
1VejbPLvlPzJ9BSjXUp2eKDrZ3g3EBA8r3bqozrEFmM3O9es8CG50yudZxSAXVHZwtk9i8kbENav
A4J89Y8yyVy6YDSc4Dt5Jfed3VBLr6aqEhYqWqbe5y72G+MMvKrOPmp87RGrpiFvg2GgC5WI57my
R8qkSoNKdw7GDqI+Eohi2nod46ZdU4eN9mTQdq7AWuv45OKtIsu1VV/4V54JtXZrmDI0Dzo7Z7rp
qpB0PtQ1NrOqBiRMHIS1RzihzKDWF4C7x50dxEw52mRaLLYyYYuPgoCNqesstviYEGR/S9febm8A
j5o/8iCP/b1p9gXgp4xJxz7xAUtxLCdnY08eLfweHj4s6SO/KN7btVdVrv0FswppAzYwwoqXBD00
BaSavIqEPZCeJv+cMd9CLtfZTvur2oA8RfQN1OVTKeLosztYjb+hWIiBnEuRRjvmb4P8Ru3dVICo
4CR/7rE1Pg89iGSCCpPF1OhpkbZl8RT1lRN2PuHh3giufW91cx89qs8ZQBDHkG86WXKcNI2ebjXI
djrFU1KbAt4VJWOBA2Yq+zungZG7f/8J/X27YuJJwcnJnmYXo8k3a2ieZ4Gj+WI+YsSxgMwRGgsY
v9Yzhi4uw7Yv3Gp6roUjPVIsOLK5j51VauDV2WtDAuRIpXj/Izm/Ha1ddk5WdE4wSwP67fGvqUVV
RdCDj3KVx6mDvig7N7wPaGmlH0sknCkCvZFNaj9gwrIZQjcm/ZMs2fedlZknquCBVleJ+ZhOJ+1V
vGSVDsvBHmp6rcyGlk4GRS1ZmKROoKBSLrkJdxkblbLDhZNmosJeTXHKMeg3SPZ4TPqMDdSly4At
c5WaWXLpiqofFCKqZfPpY35EA4UIyp8Sok01T6wTMky8KHXbCH+AZ8mQnb+FgIikX5UFFBCSXZMi
DX2dvX6BCzQH2l7bO+m9jT/KvEZd1iePJXxojl4Jbw/2lbaubmYMJTHRz4v0TwtQIZ3sacA2qWbU
kZaj7JJ9uIAg7AgF31XTl0lwTe4av41jgv44ZH6EB/X927retn82FKBGLwD2ZYZCWxJn7q9rYRBa
kHfiRkNQjxvqQ1kBdH6yUgFq0RGSK6ZJFOwPxAPzyQir5L1wajP2dQTH7jztSd/kL83sM9MD4Nkm
uqoGks+247qb5w3lxoFQXWvYpQPyc2Suadp8iPBL8vIHHE/+IPhYvfC//EI+W7nQl02dPjGw019/
oYruSE75BBNEDzHujjrCnq0ol9Tq2GQ4uHFCAdKJjE4YZxsRagWRXWvllFSeOTwS48JVTmhqEPtH
ToULanNV6NmtvoghccZhELBrs/4WstrxwNmODK/7iEnfLujCtiL0YnkQG4d152B1zPg2HiQWTJ2j
mQV7Vd82RaaRSJW2YXr7v91UkbT73nA64ylkS7H/gHlioMWv/s9L44B2YpYHs9VYmr9Lbu8/9725
dTULlXlwlF3FzmRUmRkcIaton0W74OFrD60ZR3Ursk5GRS7ULWwk/ouQPTffWc8zRB7mAQQh9Iv3
RU13FYh91t3gCqrgjXPxwpywxwicUry0qrYEHc3ZqzCQ+O/RPvXBBJGkNcL2G7EVpGaXwNgfFJ+v
XGdy6nAZj/pyuFn7qJMlbfkYzF0r9/xfbMh2JcqXZRug27LuNmkPtPhBIRBKzc/nT2qkrjrYKHO4
YXAFqSKtoMqnb0YrRjTyi8xysQ3EaW8d6gFWGsbvZUWghcYwA+0Qpy1wK136oudjW98AX+B7VGOL
mZNEsAGrLyHYLovxqp3pCpRpn4hzx+pI+GTr3XL2XqrbdQNU4gdQAGx96sdwdGNXUufrBOcO+mtV
Q0SlC6FBqSk6swLhIcMcdJzCxanWuzq0FxUJjaBkQ0RQR5/WT7pXRBlQHlP/g+H9UleDIm9fAqNb
GgsVteBDslIIsyiivqCx5GMoxtuYF1fqJ89VlaDrjyw50QqvVz6rQkWqx7Un2ZapH6Ca9pLjR6jT
rdSsWCBDCDtDPw6dS9NbAcwqY6Z9gOiLj6abQwTvNSVV7EA0Lx/Ez2qi5WuvGKMHD8UsKZaeP7a8
ZmOekvDkWB3j/Czs6uphMAra+UXHdHhfjdJF/cg4b3mYjQqz7Y7CT8fNiZV7Nn6C3M7kxwytrUsO
ctg7Z2etb1wlibM9bicBiFzV3cRhy/1c2QF9qzJaEhMiTRvoBVdMNxZrcO9cm5rpYKIAYOK1e5PT
AIlUbpgjKFfYvrQOWB3h23IbPGzv7Yu6UgNsfr5TlM75FgvnQlqFHvwSa6bZfYvYz5+tvk16jAk6
xQW6FG5IbZAwtC+Q71OOreBABzI9T9xcMLQF+acXPOBjG0Hh8iZEII+14zatg18iH/eFg0hjw1DX
L04i70OwFFrXgn4t5dDWe8yQvNWk1PLCuDgxXsJpJNsV9X90r54W6kzXu4X/QywoE6zmrqvZh46J
IYPhqcjGvH2xNG8ZTubrVMjArtBdzROrPa//uksMmtC170VCFmBqNGn8iXpVQMCosBtvfI1z12kM
HFIIgnF0xVkHdVBc3IEJ3y5ErmbvKw+R57FgNgxYfW2JeKh+0r3r2C2RUVEZ0b+sjNA1PhCsQTVU
rVDUqWhS3oa2jrhOYl093KBZXhD1DEMy5pcPx2V2GiWkJJMcUyextcSjtZBHA/0eRMYy4gaRJD+M
Bc/SA+kEIMi2tmdKZ4fvJvvozHIIH3R6dA4u7JQH9psrsIxveUps66fq0sDHpLXoFfJSQjr0EAvi
8Mcit+ylzbrYgsvObK7rMqZcZUnq4lkxxI5tHBGZwdpQQzctrRbWE1HBC3CVgWbEUGeOtFMw1LEE
Z2OzWDWyMoNbHO6T+zBOsGSvIseiApsgubuYKky/nL7AwHLLftPC9mg+5+ua5TY2TiSa9PkwbmAy
ot9yMO3Mtybf17xJKtqCn5TMJ12hx3Hf694NlNPyb4nKtLwRwoKzZ7oe/qxAn4YTKtXlaR2NhiFP
ZWGR7LeYnAjCcngd7MuIzMKyN5WetkT36G0rY8zyHSsrGi07p0vb9OLaTRuIGNPQ1xPJPpPT0qaM
ZXFVmW5ennzZzRkLhxvVZFHHJcD+GvPTYXIts9mpNSejkc8SaJs8RAqAHbho2G5s+sJEeGPNKo82
W8EXRBAS8WbW+/P32AUKMW1aYLrTCZpNJzYea2yGdGDO61PDvBkzVoe56ZgOemIc8drPADs9URIt
MuOg38GEkKRJkIWRX8UYV7Vhk1ZFPlxbtKnio2nxLlxJO2CHc+XEk6obSdKfDQvy5E7GdZLRu02Y
YOwdbZLiKCDeRBYJyhqLSGA2ZvF5aNkb91KUzQvxyQDRdRtj6CkZeXgOIGCHASA4Dd5tL0ObJz4Z
CByLUHWSz7gylIxEYlEbao7rHtXKshrgvGeb5Dlet0n+Qd9KL/ec+3Ljm+fL5TVa1vjpAVCjWX5G
y2T3x1kzF2UfoQ22Ee4AS2juQ0Y2V1DcIokF1y3yaC7vIe/W7iMzpuVeBPOyl6U6jc1NXRag/A4g
EPDtbAxU3t5PV4wjmTdml9XyiVk+q2GkM2/bRm6fM8pgtDDb7Es8CeZhWjWFSi+lyhRVQqjjrIJA
jwJZI4ZFgAa3wSy74SHEvpoc8tpOrceBbdM61l7T/EES/fu8nU4yAgEP8wB4VP9tu6OHY5DnU25e
MFFic5f+CHARKw5V83pu2YaUCt6pN90+2iLj7hBzB0b1VU3hVRWiWvQm0iZ9Qclb9ScLY4x3IABH
24T2AuuZVpV9jjnOxwkQQmnvqepr4LVxiIl6WJikuGfFdOVHvS4/g2jBQk7avc1rWqWJMzwZnhZ/
CFjuzI2qCgCu850TdyhSqBe4W45w38P8OhXARVoKvAVoqgr9mOk9XWm3WbaUKeafdCEXCxubx/eo
BY6Mmb4Q2Z1GN+2Jnr3/Uju93u1arIUXScLBre4XRflTpzpD+sgi9jfP0Rzu83rmyBSt8HeHAk6C
smV1OALwbq7ttJcQoGQt0BSOti+/eGAIn98/I9GWelM4+zo6fhsJnHBtYxEA/lo4d2ZdtagDAD7S
cGlfWB54NTCe8cFUpZWugnC00HPxN+foKjzoPUXNXVK2UI+VKgLrLxH0NgDUn1o6hDb0UJ8oajTK
pbyPkwAHFxMFkqKnysjaz1mSEw1aTI6ZHKwYLMc1gLDC3SeVCyBCy22CeXjHYI0qPX+pJeQrJiO/
xwbnshXc+RWOqiecQwKpJT01XHzMJIyt6J22PA1TSTRQtBoJIASwHL32FLSuqb7Rwc/lhYHgfBJm
wFyUsEZayVY2dwMlzpxYtyKjK4nmPVm03wqPoyrxeKj1GMgp3JoPqhzui8iEKgUh+g6TnISzl3bE
DZZeRCqcKmJHWA/kACK2+M7jhYnZXuHm0KFIxtnYGurdILKYwpGEx164aZre2bO+UivhXJy/8jSx
clqo+Uk68JwmRyIMTuMbZ1To9TFFIuL/dcgStiP/P9Rour/yltsmqH8m5pjZt84wOWc30FLWMcjL
D25DhORReU6oD+ycYFcznMnJS6NxAg5Xs3a7kMsDWL2iHbfaMGEYFhQw+gHRxU43MoFGMKwD/LS+
AeiZJthZmxsjOXpo0hjH6qGMroP1mP3+g7uEgPxy4EMsgEsEUZKFI2BpJ/363Eak7c51ZXkXwZF0
eijSmvd5NmBFHdUhI/Ag/e7HLidOJrSDdZOcfOtL2RVl/g2NzDdVpqjmiQy4siQcLgxWcsauE9oK
wRYWSGzuJjmk13Hcpk9Jj65sy3BXn3bUEhwCwEsATWKx0Pde3vvelvAv6s82j42tWtpbt6Uoy/En
O0cgDOKMjr2St1Xg2l90O/MxZxCqFF2YhergebR69v9wOv79UoEe9G1aBkz8hOe9ORvn/FIB+SHa
hZk9wynFumLkKMnmCcbktnE6zvSySno6TTBF/tjL/13PqnMkBwpio1qHjvYWJ2c0lST+oc2uahqj
01kic39uQw9Zlik1cDlJmKEh1j1qhyM0MoiN6ADS4aTkr70bLVd6bUJnbiwiJOzuBM3kVYtl6cFV
WVeGvuv0hkGttt75MJv1/saQELw3XUPM4okH2jKo6u3xk4aWMTtma7Wqqr/3H8/fBmCeS3iNK7Db
eYzlmBT++ng2iS4w4ZbFGRIGihEGh0UHaXGWtMLW9h7YCmSuSAsHLrricMUAlK1TNFe68X3Z2j61
q8cyw27jPedOOELpTkadnIUrkBzAHWs/nsUxZZtq0X1I19wqN6/yKtb0KaX1hwno8qz8s8+C5wgV
rknGjkUH9zepeJEaqWOC0jjXGPtSas2OYaiTj41zaRu2jY/B4NP6e/9qrhqPX36qpwufW85AiJ7x
b5tUaDJntYHaAADChPUVmXhQQXIclvaqqUecBJ1SO+c9CMe9jGbhHdoOTgZNjdE+kxlXdrCYZHKM
4OvDCenR5rCFMacpTTOzbrSgIIf2/c/8dhBDqpHNIdTHPApTFUnsrw+A6+QGAoI0JIRBgvdXA8PE
8et+77mRoIwVBcFkWYf/OJ/T6D5GANj+4W6hm3p7v4ASsiuzs7P00RB9s72nLkYKc9LF2U4koTM6
GHt/F8mua3Fz0U98bDA9Oc9tUaBo2eg1rDx8HwuiXnWsFfcvgSxGc1v1Eqt4QJStOs9KH6/FwUz3
mIM1uQyULEuXuiyKOr6xCy/ysWsu7fBkdTwDj2F9AcHq1IdF8OPvhca55aKOwUw3kCc3mFPGjxB1
HHHGj1gwg/SluXTguure9DXHeIJ662rHJDLS8m9q7PGei9Ab94D0mmCvPmdYTfzU0OtoaevEDkCY
M/MpfCJ7g9OwaVbi82Q5hM/18DXLq5watv8oJ6wge/Ur4JSmTU8yQZH8hAnIZsBRwsrtC54CbwSt
LdKA1mHY2veNNWnZ12yEjbVN+qiNbrSWfALFgwuRVzIBcKKQLLzBsYJ79CI6iWgNTIktDgm3PAjS
t9ObFsWStrUzYI1iE8CbL48ED1KKKdO/wUTTuKt60KD7ZAjm5uhTL+o0XYJJ3PNYGQ1RRMBH7hon
5rcOw3gm/2NsSvQJygikT5pvP6s9T/NrBEYQYWzv2h+YFB7RUg+S0xn8H35Z8uH5OmX6QtVGX18r
0ODtRydPnWfe+VpHG0JP906B8jrL43srY72iHgJQYDKgrUsC0ZWM5zthx/LQElCbbZUbuRgBtV5w
P/N91NeqkYTyq5u9gV8dcCq3L+tsHhR1K01HZ61UE4bJnXhcOI8GzbNfYuU95IB0HLE3g7Arz2kW
6NUJmBZXTUH+dC9GyzxOfagdU2+OjD2KP+QZXViJhGeT336neAZ1zfbRbmeCb7LqKEarfhRRlsV7
1+K4eROFWRFAtzcS/zj7ueUeY5D16RUD9aK/sBP37ZOeu0J+QNtTTC9jNaf2Vg1h89rClCiSwHwK
snbSzovq7Ax0yX8AOmc700bd6HAi5+QAOkRzT2bA87cA1lAeXTcNKrIbE/We+clMm9T19tywPrqJ
/NZEu9wxrIDFUMk6+elAUbafcXIZ4zmdB6e4QT3YAwtSU565SHjvQRQP7l0YxQHtuYJz7053K7/b
G4WdGSeegKk5BSjv6iPZSahaNnHhyyNoEc5QzTTFzQnsVzg8KVYBRh8uOBGHo9vQd0yBddoZyPqT
WN9F5dZPo3ZRa0SAcYfHmc+Udxvbr1Hbv07EoggH+qa1eIQ+00XiVTAtLyFs+v3VerUR/rrDsGHb
EKqX0aSDFPTX5Rq+QIUi0zLPAKj9bx7h25y9Erc7oXR3UW4vslDTwSNI982uxblAF/qcmAWhjMIs
hv5At23Uj8SKxfeWsyCTypDH62OBdXfaTfVElNsSxpRfpMl781hohLo/aq2e1mAcUWQeawqh4c5c
0kB2RPzAp3EH3f/bqovOPZr45KMX6Cx4IICYkISyKcduQMVX53ayQzdryZ3ofT3YamlGKgPOH45X
m8HOW3EbRTGWuCogs/QxQztRb0Me5+JcMSwA8zgZk3OpZDBV28UHukH4GNdbWlIoEMk9cm6zJqn+
JPJGlPB2a/I9k3ICLAEaxUUz8eslb7HZDlMRgzlaW8GzrifFdV1mSXLdTyltWD/zcnhISt2j8rIa
TLLzp6km/hcIydgsMUImdoSbSRqi/1RjImRmGRoxI1Un8TirFy7HZlJJwcfL2z6HRZ6BPzdb2tGq
jTavWUK221bOORtD3bpVTipFllbbkpY7hPP46xSCufZMZzoGnBxbpK5m4fADsLQeP5JHZ/Yv5WD1
wyUf8joBH4tDfDOsvQblAizbcZmuBURTxltnPWzbKOmJDzJnTfLL2jCbXs/fWZUvn7afZ2nd62Qj
1H83ViT6G4ERmF5+YBI126zCI4cuMVJY7NFd+yVla4SK7pQxRG+EtcBsm8byvqRTucgbZwoGTKqL
jEENXNTwpSpGZ0noK3r6zX2MIvVKyQpeJ0f2AlaPXI8OaugvRyuPzD76j16pVR8o/DttpyDi5O/q
2pmgt8jczlnAyAjxESsRPiuIvwocLQNwVbuU3miy9Ev5ztqA6v2oBk1qZGcpzoA6CCt7v/rUvJbc
9zLFQFBSbSwtRlTvlnFrVMTc7FWvVd0s06ZCiLfKSIRaua3OLYIgAj/lYEwnKh0o8a9u1NRJaICQ
qJXlciP1HMkm5qKJ3zeNSbo4JiMUVHbTNYpiSqCd3MfofLyDvk6+6T4uD6VqfwGHYEoHFcyHY05W
iBb/MKsA7nwxS843W8804CRm7pwV00bY44y1qWgScp34cz3lgerHlmyNZd7ir8Tq3HW5kqlLKv3e
N5PQYkIn4OrddZYb+XdmNPoo9dfMPKfxa+0iSGQs9xWKNudIDGLKyCa2+6WfsQw5sMUUTsVLQAd1
+Te5npxVa1E2Ca1d1Zir1rHhsprwl5SMrYAabW2bbGy9cxjmlB6sQvhsgeLZUVccuhLaQLphafcZ
NbVa2kb0ZpeIB2MNOUP5Ui/DIGZXSPo6p8xfPKibxoM6t0XqOmpI4/hbWVlzA/oFYcIxrpq4QgY9
BXGZ0J3aN0pDYmXu4o8UvXTTGwY1LBHgi5avkIhNvAExs2HN2wYXQ3Kx6h64YqRV8BJzx9DqQ840
0D3qPYTo0xR2nrbpNLfOsJwtqhqVJuH4eLMJO4wrLfxu5L01P/LCdNkRFZ10N1YZV/6+jTXZPowY
KAACJpQR51LvMuQ/GqVf+a0M8yY5amUzgG8zjH4Z1pjxzKeVaTVzfVn2rebJx//zmJphnN9EKIg3
6vVUc9K07fVPqdBi91sQ1fQ9xpzT4iObpMtmHpKx1B+BZkzaRtIMN6/qlPdzK01tNlnWXTns2f66
cMvFjecT/QpudNfJ0tuhn+/js2q4jgEojqs6SmX/0BMVuIHOISCOcd6a9/lSGx5cDKzGQb0LLYqh
BY2Wsj6YDsy+3sWotaHdDuqT1YDu6eqyclY2hpoCgWXn0+OG7+ut36BuvX2dDlHhMjeg7cVrCz5H
p8vn9QPW/oSY1WqTVLaRbwsOAfM9iacktSGLn8i147BQPTu2l+gflGFQfb9ybdsSOhd4L40pBzQc
GlFzD4CY9fmomoPKDlMM1tKnyQZOoMuj0k3nV8enB37mnCRJl2/TIDMqfqQh5AtHVWIY/a6fg4/o
3cKOMVMY3tRgYnYOvkbCRHU/JdAc8+ayEJuM5NsMhioQPMvRcJgu4XHLLzp/Qu3hl6eCE6V+EUQu
jKj7G6O7JimWR7DMGpp2JDAmJc+IHD6zRHj++fWdXUeS6v+reUuUtpjxvc6Y8o/cmzo4gNiZ4n1Y
jb52UQtt1qXzz4kzQUVANKeZPWJLrb+ikwCD7NX2lgJgvirBlXmbYR1SZgJz3QajU8OpSTUZPPo+
vGccWJaZWDIuDIFsMJDYeEhUWOnKkckNgaqLy30ujSVuM0QJDmNqCIYru2rN5TVdE/QGt+SCuonL
VyfWzKaI2YsvtgEEMTwTc4IcVS+QHl6SFf7heCMtaMnFz69MwUzgySuILL1RnIMp8vkW6iXuylHz
CIh1O+ckq5l9089YGS9DVZsTBbVB57KGkMeM9DN4MrZolewFNHfml+hFzmwZbnvAkba0vf6+W0Mi
UW1Y2Y1Db8bs9vYac5d7scOVsDPJlagqJILHpNKmutqo5c2zR59Xvfbajm1LzezXi4MggBclcQUf
TmlTRpmi0h4C8sY2yerye7/o1X+vwHxraf3jGGZwa79VaXclHE89KTNqUooPDkek0++tPM0j3H96
w/pOf9zo7wgCnfqflCGIfuqpiCiu7CqnFkdcO5TbSXpte+2suqH3P6H7tn2xtA2ZGmL7EQ4dzLdd
FNGUtJscs7mo7M2J+TRaHibW/ZG1vkLMBKnioQxNIuoIJ+up32mDAdfHQXfy+oTRpSoHmNkhM0lx
DTQ7+gd5eHBTf052S6s82murkJMjTDQeO01k8hDORmecSgTfnHFFZxZHpCYBJntHpEcySyWOhjIU
3qUUeLp4lxfpAgHojKJKR5TBuAnbnvwU0RYpZ/zeYdfIpgRsXTpW7cckrwIe5jqzEn8HIXc4tpXX
F49JSM18yUE2BZuYMeC0z4bU53mSMc2kfYPYq9qXmgsxq3ewD31StKTFvdMeLBWfqwpaybkdjc+6
flRdsCynapAx5T0VgYqPLHRPs3a97scj09ZwbndkeNb10RAtGy3EcIqNyV0yLF8hS6oTG5c8qfVa
WXjUfMCXVhlIhv0GR6jFcGaLsqKXf+hjW8abEwPOPDCYPiIUOgn0at80VdG9jOQ7GfFltEJ2j0q3
ER7ni1v2UDNP8x5s5tEPDFmZdpBy0097ugDO9CxySNSom1yfSM6FHtTt2Mcb5rEIb60jemlMUXPa
l/OD+s6A95z8JhxrUl/7lV4S2vZCPsG5iNBh20yYej7NA/id7ZyWSH+kFRv+TpOV3IWDbbyos4VJ
pdUfUl+He5sVduOeLTGYN6LPQv3G8On1t+gezFp7qmNtQlXF2ACcZahR9ilpjJmVQsezN9nH91+t
30y2XEDfpL+GTVp49ObfNigXs3cpGjCha0KDVseLfVzFb6h2U9KH+oK5QL++BQW2KFdVr1zEDEv+
pNb87VV3yNhc5shL15QYuDefJwF8L63Szq7CaOLmZpGBvlXFujph4adLMLkeI46p0HoCIa1w3qDM
0/sf6p6Vs88dtWDw/j3WuaMfX6vVdVtPO50yi/cT3NxWdcKEsYSRWLQaIKlXjQiu+vW5zqOIoshY
Qyrev+S/zWGWDgOMBPSJTGEAT/x64I3EwIEFcdVVV+iRtivxWj9EA/CwYyxI0HgO2dr0k5v3Jn2g
NQDl/Z//23rPxJt2A84VOve4FN5eYu4vTBFpTUxLLHpKbhTQnbPh7tHtXR06bZL3qJN6POWs6jUe
4jay/btq1qL0ATomd52QNgq0fpU2/+HjvW2Z8/EYlWCRZkIEQOItzywIGnSHxA9chvVGqJhQL20Y
/gh0qOVTByz1DOQxGXcovHB05rZIblUmJBpVRCHBbOWXHM/idG3SQtP3UsYzO4EoEojPSJHERa7v
q7rX7/8CvyWd+e6S4aR7OilHSMrejrkmOXmjRgfuygztLNu1hhaiqDeWyPc8E/p4aKrMNW+rtSSy
dQulxsayRlJovDJrvyvxVJilA+cCOwsueVo29v3rOGv1I2r0bMFdrNUYDuFs/hDkHeGTseZ1zZEW
NQtwaumc3bXStK9ajhfWtsvnOLnLm1pbzFPL2j2Tao4kvJ3cb+9fguUR/mcbjUfbgV3BnaTCR1T3
ZoU28pjWmdfYgAQAXH8TRZUVe91AgQLoEzlAcOgHLbce6M3r7R9WtN8eH5+hFEG9XPmFCfX28elt
z63nxtXICy+t8SfK76y7Y74qaGWbPNjttk0n+o9xGFvFLsr4Z0vI6xzbyoTzX79E3rX/+W/+/W9G
teA5o+7Nv/7nQ5nzv/9evub//p1fv+I/N/HfDSSZn927f+v4o7z9mv9o3/6lX74zP/310+2+dl9/
+Zd90cWdfOh/NPLxR9tn3fopiO5b/ub/7x/+nx/rd/kgqx///uvvsifdmu8WxmXx1+sfnb//+69l
yPlf//z2r3+2fP5//7WNvn5/+7d/fG070qXNfyEj8peJGfJ2ktCoU8cfy5/o5r8sYnF4p1CeMtzi
ByDd66L1ayhYWS58LPs62wa1QlvSsf73X+6/LByHy25CJ9dh4O389b8f6l49q+pm/b/jCy3916rD
xcaIM8QFBqRDCeDlfhPQVs5Ob9U6EyothRS9geCVj+dGi/zq7AWRvvVSI9foVHhdnoIXL6MHxmEw
Nzwf1hyzpXQb0bbwP+DIZLblODQaDzGn6PRq7qEdX5EPVj+CEJ059CG79w8JaHhyDeZZ6+RGpHlc
HdqmMJqPkd4TPRBqsW6QjsfOQbIP8PiBKF940dSZDq/3lZ00Y9ue7TEVOPyBJUN/dsRwIsw6sAzs
1tgq0S2CRIy8soAqXjVHIOl9STa1wAtommBolzQlg+DRDaUdGQJpDQw5L0V4OwFsFrcWDjhqXD6V
uMbynj7PQ+nnpxSdr/PsEar+NeyqGXbO0qMWdWHcO4bV7n0Jx7m5rbDkEbsXfEQ8I2Fvo1BoYNFq
s61rn02+xQ4ImzQfR+QWzW29GHmfm4YIQgJY/PAxyYv/Ye88luvGti37KxWvDwWwYTbQBXAMvRFJ
ieogSIqE9x7/VF9RP1YDVL6b5JEuWVm9qriRHYVMgnAba68155it3ZDsq9MPIgUZE+ipWsocRDAS
Lv2iaCI7umbk3qP7Tkj0q35OsZk817VCJIVnDykt+UEtjPBrGDmdeW0qjVHcV2FTEqK+ti0rfRp/
aioL/UIvvnwkkHJ+6TJYAnTckbOZG1Zy68KYM3Xfgu4GOKTjF2OuZfZndo6x6wL1ykTjB7rtRd3G
gbJfrEiJ/CQstPnWLtXxORFkK1zRoIqArYRE19sbEYbVTR07AfOwWfqkDVl7+rfxVUEgz36ctcE1
u5kQ3zYhkRmRWqQj46fFX7mMN0jEiWMZQkDJKgcVOQkiwVRy/eKiemm6nnBpFwZEG9RuBJS8y6Am
4jRhCO5gBfAsFjp6RYRMrENcmitoKp2F+ogOpaJ3S+dLqi4ub5ijTiS3LZObySiFfULoWaQxmNGn
+YjNswSFgShYoaACdbGbaMFdCmj//fGCiy06tlDUg00Iun7wUXl3zTawySzY06qpC/JBo/GhG5eX
KBfjdoq7lWEv+69kJPWXMhl7P87tRfHUCmDOzC4UAkuOzcBcu8G90+Tn5FzMBZ+bhTSxSJHNdsgI
kSHpl+1Xac7NfiIE7yqEmHVBF9f04TJOyjmK+f5qLAuNLAy+2amfo4y+00id3yPLMrlmBW/Gpp1z
ZWcMfYViNWiyr6J0sMVDOKiPKvQlV5OQ1UNYhNZ9wBPWePTil8RrV9CzO6sLsd0ZQ1Qg+xl0kCNT
L/IUFkgaKS4h9ASbIjNKldOkT7tvoGeiG8ow49xOueIIBOugBewjojavb0mdAWXxMxJYvxcCjjsj
krni1p3CSzV6vJ51NzyxODCUQOVa19Jxp4QCqw195j49jykYi9TJxA6+IazxnQ5JYpJoUcdw+YHd
vCVOKGoNtfvqtAmzINKWIkv1KhztAnHf1CxlfpQ6bdGXL1Uzon2lyQFZIYIRnvfxeKqioAPu51aw
nOHBFg6q/tglvIJ08xN8JLVGTJRVE/rkjhqi421TNGodQksHfUwAaoHZapJcfHfp1BT9JnZU7Uwf
W3Mc74BGoqr1qDYAHtCPiDJ1FxdQNnPyAIyw9qwB6b7bymKIbssw68AGFIJg7gfDCdvijsZdYd0v
mVGmN7bIRuKktL5sIKRTOZxZsHCgRaRU5Bmjtr7oL/FU9+CTmgRsXpeOuV802ijdoDGth742ydNR
01ri8YuNXacTG1aWav4j4uYy0qQjO3L1/cjMqmOGRrSqZgyvRcRG2WX2TIz5xPIwC5OWpuB/dLaY
ZCQBo7evowLfI/ldYOxjvaENb9u9snN6tdiTk9ve6/AHPOxoDpEb+tKTV5HlW3IbHNul/cBGCNvh
XTSbzHY7tBmuWpL0IErSsfQulG4eSfYbwB0vQP+M3kgDdh8wUdzNVWgfqdUYh26NLuLHMJPHS6QR
1SygEF912nxP4nl56rCqkwpeL/NN2pjRhNzd7DZ5Yup+MOTZSLN7grJftEyCjVk4W0TsgJ5FpN2a
aX4N5IEYiTDvj6tefbEMRbuRFSgYN7GZchRNox+B/SjusjmxUJZzrXeBLh87ZqfNDyYLvX7cJ8NQ
/wyY65VnVUw00yZNJDfcgrRyNwlSL7y05Jt7H+fWGv5UFOiy6dLlRnA2NZkR/kzjNnlAbyiU79aE
WuyU3nJhb4MkUQKfF0T4+sgjg6RDyIFNezzanhG3xdUk52oXNzSNCOwir8VKCZnwjcLQQLzYspi3
sRHEgwvz2z7L4qXFXZuyptb53OGOaAnlbDqNvgTpjF7t5DO9xcVYNnrRq44/tWniHFl1llm4dmdb
3yqYPKCWRohsnaHeZXpl/4AeSvDcaIhkdf0lV3QrJQjS1LrumkWaFL5OiNdtFeK7SBOUvaqY5o9x
UuDhQBpKtwEs3WqzmHP6ddJtdVVCRt3DYKnc/H2BN7Z1kyVOlyf2g1F0HqThKLdz3mGyDuJ4PtHB
A5zmFc1GXGekZs1SiV7mxQjnXbsUDW99BKUjv3wtIP9Rof1/VkVfVM/F1655fu7OHqr/B0ppjMgf
1dKn8WP88LaYfv37f1XT5hcNpjR0YlRIgNRWwsuvatr5wm+uNbMqrLWBtmKw/iqndf0LRTRDhtfy
Gw/lv6ppzfliHBTn/6Cafi8flEIX1EwW0kCoINTmr07sN3iCFmJTGzV8ribm467DDhQ5XEFmodTC
5qtsrOnXI/JuK/Y2fXzVbfy9IWUKxUONNWFlA65UBP1A12G2KAKsAXsJiofEbzRDWbflj0PRfBYV
wezh/bF0lPQ0VqhvkNFTXq1bkrceVNWwCS/viFBAc4M2dZOtuXjq18rBNzXDyq6HosDjQYtI24TO
pCYL6WG5mhJAvc0baxkyJDVRl8Ya0qgk3PdxvDi7oAgx45W1FQVXmaVX51IJhMcLG8Z+SxTz1x4S
pLLN4LF3vkIonH7qTHFWH0UZEeJehAmW6ECF4N8nksKLaWuW5G3tgPRa3AehTmW9L0gSD7fI3dvM
x5dIIlRG7EzvtbmdG+f01fP2EqxyLDa0YOYU21Q4PfVV3J408VLJhzyZSgNuQigvQ3ONQJpl/JRN
GeHVhYm3lL5pW82TH0hnMSzmemHb8VF3UqDaWaIGZ+UCe8JxY0zDCPe7jivoW3xZ9ZzKgPHkqZkj
c/IU5IijT/PMitYsH6sO9+tD/RSGg5bdF0rU6V4zKnlSnyCNR0gzqYwpS88J5lw7saMaHjUNr9Ju
VUhaGlwpMinhSKOdSdao6M2i2YUx7bIyTylmOsJg4sSve8rZ73WUjPWZiam6uLHxNYwIHktkSwR2
ke2n3slxSlnMK6FPbeZJHI2Os7FHZvvdFuJtqWAHQLjTgMZikBTp27aEHKZvsJs0C7ixXIkqeUFO
opW3V7GS1zLzWVDVPvSgtOW26uaGMVcdGDMgbZeyq5GE+HGXYBO6WHrZq9dBW9T5N/aQyQKREN4p
ld6ijO0DYquyRpvQ2fN8xQkIR/OrpO3NwktziNi1R/2EQYz0L/p9jisA7dfXUu/b/JK5oHERwEJt
ty1Z7Lk/GUvzrQ5JK9/VA+XwtmJarPjcR6vw9bh3TDeJqQsYgmZ66i9ggPL9CubE7qbJINyOMm+e
FsQWy6bD2DjsFpW+8l3fkB9AsdgIdRjceej68EKZ1Dj0KOQoVldpDIixAgSrW2PHS/2+dFBvWMzh
afwqoc3LAnBqT4G45D6FJKDxIrf1C6TkLXdTT7hgBcFQ+s9RI0rzeGxzszzXrMzWEeFPdUYIzxDp
g1ups4KznpDX6Wuid22L7q1e/2o2rcR53gpxzq4XDrk7RaNFHrSNsclPrTRV98lcDaUbh9KqntWS
Ge/eLFFZnLSWRADaCq15ZMhKQZ+a8XQUd5WhHldKTIyMu2K4w+W4qenj9Ju2SSENQGJhzjxsg6lT
CNYpzYkM0y4d8mEHCUaGPoELeKdasmkLt+srBCXovqu9mFvLcGerSvM1WA51UEScGGmgpEKVropl
Ot3mQ69S8CVmsUfIbqnkjUCUJcNrJPNTJwDBuSRdxWn3FUDAm1QLRUisMG3OnUmCkIaX3+Dx3SgZ
c6y7sgwma693UzVFno4Tsk7uJ7J5M8WrHG3oziybECgX27cSoyZMTAWRpSj5WayYigONt1Kdkq2q
RkeKsLN614xB9JOxgLXAXjZz4UKsIXlCILE5Jx+EyNypVJevsZYN0da0SFRgrFrUJxRgNlGhy2gO
m4GG9uALPgO5n6LOnb7yVI7Sh54RGbe0OSasLog0Qqp0Y0IQW9wLaVd5umvgQyfL/cwcRbumz7PY
foEveC5/RMUwC3GvoYYl1ZuIml+bqryKi0YwOFVFaW0wqNv9+DMEVtTWtjcYQVC2jwu90IFAWd7X
Lp9+Tr+2cv+pirp5bTCuEsEPGowPj+X/uHtufj6/rYzWf/OrMFKE+EKNgxB8xUjSpl7F8L8qI0WY
XxDqA0WE7LX2G/lHf1VGmvyi0UpEQm8ihGZnSjn1V6NRM75gfRQMchinCMwe2j9rNL4rHxg90KAW
VCpMZtZJyOv0801tBAFBjCjUWFKozo9SI+eXwFyse7MqjeMhXfQfFVG3dPAaXWyqCM5V7KQ6+deh
nT8QnXMcBajqNwoJCOCCsnb1umBLtKrOeCBaUZz0tprTwGTrQr9gETSziFe0vweOpkDySsfYT+cy
/+YEY3+qTAGvF1l+yP80fd9ojvKNETpqoqQkCKI3zMdENZQHI591xkfauDFUMntNC6VRlg3zkVTt
kRVRxLdvbupfDdq3Fd2BtYbrZNvMf7FNQjFE5a2vZdib60QIDS3MQn8xmXaR3VGkdFfqadyZfQNx
MFw5HwVEpn1o4kCAJ94/mbPjjG4GYRR9I/GsX5UYfw7x7mK4Qy+C3K8ZpsZLiBEvs7LKNshLBhXX
UENgqgb2kJB1Y/kE1fXH84A7ZNDzBphOq/r9eehDG0pzLF9qzLvXeRA8R3o640lKegKkFIKXw/Jn
U02GB0ddxwkZWdcOel2vm1vkXdC4PZAs2mOQBQQ3mGBynVw9HZJRHNlh1JykCJoudVLoaMmV8SfT
2vd1/Os9YH/BHsLmtTFMbR11vrkHDemDeuuEAA2D/LSg2D+1wxAkeDeIU20NDfj4nh8Mq9fjgYAF
68095a5K7WA4TAxwzEIsn3s9+66k5m2EuWuDFpgsy7LITuAsoGQs48KjzcazP+Xbj3+AAwrtrx9g
nUpa+OYtg6Sy9ycMDHkCLVc+xwuDPBc/KkUtZIv6Z4lC5gWZa616QTug3O3MeIOvYn7MSZepgGWb
88OokZG6yRsy4lBbX5iFVBV0vVn9AxFUtlnSWWLwVLuKJPNciU8GxIsFed9SuTPLajtGGcVgLIay
dVFTSjIgFukOyYA8QSZp+ZBHXX2jBHaYuuQtV59whw7yQTh56tPX6YzFBISS8+DkDcC4YRR1T/rQ
DLWLeguAoSLH781Uj2A71LgkTDhWXyJSaZhoBpD4WBECkmntzPoaWRGDkIn8Y83Fu4YKuysSXPlz
1X+zFLU7h+SwLNvJtK8suzXvpmgaz/mtxoui2nBZjMqjooqaM80s4xuaX1f0uuXRxzf4twd6HR4y
suRVxATwawj05oHmFSnDoTEfq1qSOB9kyyZLyREA947ogb2B+/HhXvedf+9L10uKdx6SE8sYyE6m
Je+fpzpR2SzP5HV2zvTdDEJzg9iL6jTr8uSox037oGNg3w/KchJ1lFwoD9trMRSYS8XAqiRkOJxC
BmUUnlZ5+NR0Rvt9afSmcdNFdY4V1a5xVEoowB7cXzKNZsG2giTIG6iRYu0Th+ONNlVMpqOlpieI
bModSMTxmMIPOi3L5tihmn/h/deYZgzsvpLG+Sxg4L0m4vU62PQoEAmuo2Pwa++vA8YKY5ry5Wl0
AjBaYaP6M1eLRvVK23JnnB+szh9f+3XLf3DpkSqofMwx4ACNWlVxb251xIykM6sJ+ktjH9HtXXyR
UUbDBP7MeHvAuns9u3WZ5BZDi+XFOTg7Pta5Ipr2aXaG7+SG09quuja7JwzVSxanJAw7HEmJRLY6
0peT2Y8YDfjZbFjj9MkKeoCPX3+U14dNXdnqfD6tgx8ldXJM6MJ5LI2JBPR5wWjTO0ZzKZKGlvA0
VGsG+jTL2yQYVd1VjFD5HhXt+F0kFkO2bKwvJr0vM18jcpUndCqeTTswCc4lk35Fkgf9fqirpnVl
0xQnIoh19jM6cR2uCAKLQ7KD/+ROvroX399KXUO8uFIo0Bzw3L6/lWq82HWmWA/oysuQ7cFk/Vx3
017Da34x4HIs3YIdAUM7cjM2FW/O89QAjW5jemegBAUytkZLHdew9eQm7Bd5GpEwNdHljpJHep/z
y2wNrAhCWSZqiUV8xZXQnqdgD74vkz7cETQuLhSlH4SbaHssGvFVGiGsdOVsD7kblzYXAHWP1Nwm
KBklzf18n2Z9owH7ym7VqjNPLKh4J0ZV9qeAvnMGrWgS2aybCQMt/CjJlWaxB/WdfCDw6uN34VUy
d3gFEUwATCMNR/7yj755GfSha0da2g8ZMsbaZexpkY+Gx6iX9mK4KjnZECuAekpfcyYiMkprOpIR
JsV0SUhpho6e+Oogu5cJnbsvGz7kboJZ7yzkw/jS6XHrqw2KUpI98UO5SteWV6+n8J8m8H9pqxDi
3+939g9x97/+59u9zus/+GuzI7UvbGTYnKLAZtPz91ZHGqumgvBP1EqkD7J9+ddeR6hfWBPxdSPB
QOVOH/LvvY79RUXTRCd1lUG87p3+QRv4vVRnlXnoDmklUrNXRDSw3PfvLXnHujLakdwUwzCy9JVx
uYtXSXs5MyyhJ+fg6ApWSb01qvNugK6RfrIgHnwF/voRWJnRwyE6OzRGk6GDuKpu5CZEWLttap1R
YlRoG5EGn7jX1/3Im1fs9UhEmqzEcBijeObfnyxjPCUgptLa5JpW+2q1mH5UZPkn5/P7JeWighsg
ptiEiXoIQIzsTC1FbxgbZUjVC5QMKpx8ihoGN2qnGluRZ92+rgvlnPGW+Q1Eiog/KZLXT8j7EwU0
jUab+nht9L+yid+sJY4kYjxJhLGZmxoJgNVaZ9nMR5WlId9NCDM9mNTK/s0z/6ft4Gsy0vvD8hXn
4yaR5qxb9IMvmyPyoM5UqGqozWjIlREZiUcKTFYMSRHovI1D3zsE1K+NNJKcumBmq+KUc50qxT7Y
KcYtsdfgFIY0M0+LysrA3w9W/YD63glxIGGjZuzr4KbRliamHKRedyck36br6DSuadqDfPLmmX4Q
+VOa1u0aOzJuVBsM6y42kQS4jYTD9jPBDlUTeKcU8P+x9d5GepyQ7T0n1zLTjUc7rdNhO6ua0+3z
RDMyz6od6zqcnfjHImn8XXUmE+NbAzuyzhcCay8qd8W6D00AJuc6A/r+FifgGu+aLMPWLlJNeBp7
8paPUD58kySXI8ib0GifB30mvoaWLFpvjmVyyzyg13CbEZfFaxc5zL0bem8bUhH7B6tOtCdkjaqP
R3fUT0rCliY3mByLFA12Lhat40GrPEMb5JlNrve8oehtSOcAFGu4fUL+DPNcUry8nIeCpkWisFWr
qlQh8bKb+twXHRAoNy/HGihzidKzaPi8bzBJ6olHDc1M25ZgZ4weggZZyT0i7yiebpBA4bvT8mVB
4JAt9qkcITN5jRbbT3k2mSkaARN2n4g1w18cIobVmAAEWqPQODyLF6XfjVn1rJiO9nVJBR9scPqj
44k2z19gbDCEDiFFxtDu0uGyaIbHkhAy7CJJafQYMM2IqAd7qp+CDq/Igql33yjjIDcB+NmrrJPR
qdNazne069Hz2JC55EKRJyODb6z+PdOZ4sJG6XYS7uBJzl5wOEkUx7ivKyW7xAXHHDtuhXFc9I6E
3Tfp4oz8Mzsg1klzrgYYOQ299olqAW88CR0pxk/Uxchwgm6uLW8s6GR7g22M55MWYbhCKVQQeFIy
YGIyo0R3FH/RVZWlmbKJUUT3+zCwCd3M2izc2AmEqzvY8HGKNJ0JDUq4PmpqABFkKAKLQH5y6qRw
F/1K5M51LGFc4K8j74CUq3TZsXNWBk/Mtln7PbylzF96SJBIf8B17I0xCx+NYaZXjdyDoYsIKkg8
HSwUt3bK5KmCy8vwrFvUnFSJoSs9YNmKfgHUqAsIIUWsuEmntjxPjKKbPBCuyzVFVnlvd4t4AgAQ
m0gTlOBqLhP7IkIXYLmaWYW3NTa1DMuS1j5L4lcvnRgzihdmbXJFynAXbpKALYIvYjb/W0Zs5t1K
tvvREMz54hQd4ZZOnQ0/2sUOHjWkKTWLixZprkl8FZ5SI83XfGTLDC6GrJlx/JHEpXsqsE4YERka
BUS+GuREVZ3GEItdynuiycS5tAZ8lD6bPe0b0mw99bSiR6yA7KrMvTYuxDnhJnrqWiQzY9YiaIFf
o22b/Ej03BiMkfi/YrWsDF+MArPmEDvLfa1Y7GiHrCseTFJc0PdRqCbbIu8ni4VMEfq2HICA8bLa
jfBxlkSRH/TYoyFzto7iNsqShRd6hRrA09N8sH3LrsZ81w/E6rrKqBKLTVtScbBJkoBDCvRQwhWi
99G6nQgDfh0AynCtwZ4epr5RpJ+WslI36lRxZkBVyY2lcCDZo04anQSiYVSjY9QTQBMq2uyFTxp7
8WCHRn658PSuEdeR0F29KZcLa1YKksEgjTwRcJAgJgqH/p6UG/WmVlBT80YA/3YnnN4YGlWBDLpN
Ki30haE2tkcnVJcIPZrU8UfGBTd5mXRyDyUmaRga2UN5PDJptbwpbaxbLDNmwpiosEEWWm2qffJV
O2hHmGxP+aBhd4F0rP8q397uUZdyXErS3UzCC0vlchT54o842LbDiquJku7544/oHw/n0HWm9cHO
51C2bZcseH2RmRul7k34hlcgLs3jBIz0NUTN3Pv4aIedT84OjbhkOoXGXVur0PcVEfvDpWEJMTbD
EvZXKKSY6EVmLydPbZh1uSZmkAbMVpJAfVNmtbgVuHIDvxt48CGj1Yyp8ZYyI+7q1jhT+wL1KCaw
kG11aRTPDd7geafTQCW7oDLpmbL4dJZLSZqmN3NEXPMn+6jDBiWntHpXLD7uDP8pKg8aoowb0NEw
gtxkPWmpntFivHk0ooF0kmlJHeuEsmkSR3UCTdKHx9M2JCQJ4m5rFu7+Vy34ny3Rf63pe/9+R3Qf
0y+L3+6I1r//a0NkICUnSpAS0dAhIdF3++/hj6F9kb/AaMRuYgFZMy7/e/gjvrA5QXiJeJQ9Eaqa
vzdE6hcQdHSiCex0CNrQjH80/HlXOkOL1GitSgFPXWP7haT9/RuBfC6kRJKEziG+RNNgdX4ic2f3
5mr8oVZ+vxP56yg2HAUDDB6v+cF7Bwp4ccaZo9jUiKdh2EZ3mcbI8uOj0Dg9OBv0PWtbhvdgFbMA
/Xl/NoxjY/gG1gyRtDOE20V8Qyj1AvvS7nu73c1gqfw6hTWL5FxIjzjaZCCybOguES7juOyGvrgB
JR6zaWLsVp4RAif04zpFDO3qYTPJbQGDc9zgiowHv+sYkSNG7yfeLVOATU+I2SZHATe8JhcjysBc
a5DeKVhLyY+CHKAAlxKY1zGy0fokdKALgzdG44Yy3givaNUwE1d7Ohu+jAtL21ig3Z9wfLf23pg6
bSch1TKosYtmxp6XJhcB8mrdLWndgUvUEZXL2I4vVJzzd0yLgxSla5LeDhD81U0I8ePcEPADtl1Y
98VWgYjZ7mrqx3wz9upCF30C5eg2ztoaTIPBtP1koUnr8RtqtWmaCFSqG09s/qEgRcEdIojB9rBK
m/auSu2y4tPhBMmuzy0YNU4QF8OJYsZpzqcYyqZXFHN4RBrY0p2OyCCZEJamQ857y0DlrmiM6gQK
hAERuJTzZRBDfXS1VePrZrCJY1eKmbqqCYv6AYmv89BWznQLoKd6GXLdyvmTLvuBV5OWptqbT0M8
6C9wdc3iHvPqQp2QTYO20QpV2PvVf2iy6Ct9vNcWuNObDoIfeepCaZJryCI05ExBEqsbYpuuT9SE
Jp4LxrhKfbjwvfjRNQqWHiLTEfx3ojPCjYFUQ+xUp65wttJ6Tlw+NY7wTJXp0BFegiHeMg9QpaeH
SaeCqwi18btN2JHGpygtqn1dWaj4icX5v3AH/f8pWpSsWv9+cd6sT8571eL6D/4SLdpfMEZi+lPx
beHfXAmAv0bzYl2dDewK/DFjdrrp/1qdTecLOElaK3AtGYixfv5rdTblFxNiIH/EOgQ8wZD/ZHVm
LX/b2VjZuAD01uNjm6S54hwsz4uoRNcwM/bR5IoTubTfiYRtd4q2mKfdApY41ggXoOnl7Gx6uDu9
mfMUS0aG7T9apOMTGtkfF0WY3L65hH9Y0d8Xbq8/GAkn62yB+ehKYn6/0koCi5IRWK2Psq0+wQqD
Ch3dPj9oyjDcVOzsk8X99yuhczWI46RWRM172DYzVPav0KqEL6ugp1yzm2N6ed3dx6e1Vkt/t3Sk
qjOm4ORM2oN8FPkevj+tpW7ZbtukWy6oGjGQLHoHYwY4NwJ3cZvoov4GBrjgba76rx8fev2kHxwb
jzloWfJgIXhqhybOwEanWZIputEXK/0R5uAR2qJaMGqaw+CiOip2eUfEo4OsDX+PDZ5siXogjsy4
zjPZWhfQAuz7T36q9+3K9YoAZjGJO9KozmmwrT/1m96axNHggLMLfD5DypYOq9zXWtl2bqEUs1sR
F3qdTOMFCLf2BPVl6kazBpDeGtRvacGWhozvK6XHM+E36AU/G8QceuR+/XhsVpjCCL79r3/+5sez
F1oZYVMgGQkde4tuTEdRaTQPpEhNezmn2jcjV0qcDnGp7gB9dUBfzGiHYKw8qdqw+2RivRYy758f
EgjR/DLS4HuIPuX91bJW2FfUNtHGTGxexIb2zYaOAgE5Wmn9yO0p204UFt4nN+nwbeQmURGyEsFI
RWJ9+HIIoEFJHNXxRthg3JNs0P1+nrIrmnVQFZsGW05UxJEXVYt21vBl3ynkH/gLhA+IPA6FUWWm
m1Jo1bGCc+lWHaflk/f3D1eGxxsZgzBXbvsh527CoVaLzIo3MDflVdMFE1AJcKhGSB5AEQ+tJ5vc
+eR2HC4a0DtQIiKgojFsqCyi72+H6Cu9pwJJNiXyz52tt0g+TaS/H1/+PxyFzStTdbQKKnvZ9e68
eQaxITYOjT2IFWkb4MjrEsvDG5Jff3yY364g6nhMoSCVV/cpN/zgMITamGmS4FG05uyMGETMM1aQ
9WuxG+wWPG+7BF7c5cdHtX5bEtdgIyyHfMuwlyN6fH/Yzigg+QBe8Mt8UYK9EpnKi6GRMLct5zra
gs5vQ0BPGR3aUWnmZhOAuSb0YxnF6Nk2tAtf4XuJD4UQ+q90XaNoBwFXejZ9MRwipkDK0SAwvm5k
gapWGst0nSRmeMqjRLdtTLSr2tRb8AAdch0cQUF7Gi66NgE8NQFeVUQCnUU2pOldzxKxa9VElOdc
RqDtwxDxAhZ6BadDEKjdTKKkmnPaPnetSOvuomqyzlUlH4vtEImSENlw1dZKsnLws0d67aGOKDES
9TIDCBUD0ILREQq/GPtqOCKuxsKJMxThvrLAj+3Y/xOinSKp/9GZ5hKATJuzu8kRcYBfl/gbZMl8
PDwzBbbkaUZrITetSce2+vqIWjb4OsZBfYesVdJRbIrW//h2/ukhYnVi28eLQTvuoF1Aj3ERAVxE
X6IQ8Ms4C3bIFayNVdMI15dsOCdmqth8fNDfviHrIyTYyRqrKdo+FD6MQRBijaxMOH2NtVlo1hKm
VFW+WHGSHx/qD+dHicDBdI3/UNS8f1pbor+opBwOxQtxos2Nug2iKPWISDeOecTnrWXBmPjnB6X/
gkqLpR/d/+FFxQUQ0GyxfK10ujNMnRdBhG4KPHjjq5Jyxeoa9Z9f05U0S11IYagxgXt/oiWhYwpi
AE40jo0tDGvLq3BYbeGlyP3Hp/fb12XtCOpUJBZOE2b1BwsPxRy8zKHkmSEW0ofTW+/HsLI2ajKa
59nUtJ8c7/UmvfuKarh1JIJUjrfC9g++opk067JPI+nnVke9Q672i4NeSfewNsORBHE77oho0RYf
tsRyrQZygpFLrI4EaWqXO2tMBwT7SaNe1qFWoXAr2vmoRUXdffI6/eHJhg1v0YqxLa7Qa0PizdKP
SrYala6UflEXzimCzdyrwS16ELU/E9L86VCUpugR6enxBT14soeBll5dhOgholX7Ta4IAVQk+WQs
xp/cgD+8RAzu17dVSosl/6C4nyPR2smQSJ84mOAUzBy4CioxFLxtTFZjlyUneK6HT476hxNkRg3F
FPYWwP5Xoviba1k6TjxFyiJ9YsKLTRoZsdfgUnT7kA31P32i2UyQRG7jMKNvesijiSaSeOeWgNmC
pqqfECy7qZcejkmyBtCnXfZJYM3vFYKuUhKusmGTr+gqr3hbIQQIbInCzC0QXbW5bZW5O3X4sH7y
MP7+nvJ/xtrGkVjZrVc15ZsLWNMHxjrQmn5szY4Hs6jfEYDen+uWU3qQFOxPjsf/kp/7/YvKumLR
nVzvFw23g2cySx2HLVmh+p01KLqPLbzovEIDmkxY0kSkClOMKPCBllXHLTbd0O3HziIVudXmgTTg
ivFzYBMb2qLWyKBFWMBN4iEp1pTkICXdzqyZ5U1UD0Pd6Xtn6ZYbCvi6cIljz57iYJWEx/r4Qu4F
I/W+y8QWUDQfbBRgRC5DA+gZidkmox2Jh+N8WvLmx5SoVCuKZJpTVg2jdgiz2T1RZsyjDHWVCyVq
0z+TMx0jTaxC7HEjfcXHoKTqwtNVyo7dNV4v9mvqk9FUE7kRlgb0sO/r25S7/QKENDgPxOQw0x2W
tQnXdCp9s1opgDnWkswTu0Vi5dIXKh/N0uiCYwd82HoRg/nSBLRZeIaVZcDjifVL3TmPGlCVDbmB
9KtQdcFRzNgHdrE80Qmkhkc5hdOz6GrJ1j+08gfk93W+mfpK3LBlGL5lKSJ+L4UVT7Jmpk+h60B0
eAyGBjdaW9lG6dY48wzSZovuWzTIotp2C3FlLpKNPNumcd0unhbNS7qLJ2lSMU16Rw6S0rAgYWbO
nxYU4tdV6iSJT+InP8hIndO4jPIsYwt5l9+hEjSf8iaIXiwxjJxXGof9tonH8DoDmgoJuh4rMPJK
dUfF1nWugodocWOYcDa8XICwGJghaYLDVXSoBaTCTh585IHrsrSd4jLT1wvX0gtVnmYLySNHPfPK
W5x1FhsgjNI0cuu5OO5EgaUqhZZy7ehF7ezqyRpPVC0rClp8RoSjziEJ3nXiFhcxVM3ghDs4aR5F
5whSYckZS88hcuT13vIXZaXFiwdWvT/v4cr2nqM08iYhTqry4zK17bMVNnmkmEX0U5TCSXdJqQdH
S0fDGtc4BIpYJ7vAg0ccMlxfxA0HglYPTqy8G6diuea5jkkej6rhuS4bp9+lTFMZp+Z85FxEkTXB
yTHByh8vlu8FPnQAqKQs0l8xP8BYQnv/fvGKJ4bFJLkJv4aWvqsLq/T5BIuzntSNDSVHDqdwHH0Z
jEChM+Po46P/3hbh8I4EW0aTDgHYoWC5EFoNLK8UgGKVqFjlFjUIF7H49ozsI+/MatsbVQiYSyn8
qm2cC8co5YXghvu22Y+n/5u981iuG8m67rv0PL+AN1PgWlpJJEVKE4RcwSS8B57+X6Cq/+YFWbyh
HndEzUpSXrg05+y9dqlCvXj/R71eqvicLU6z7FDYhT0bcl/MtK3I4G1l4GIqh0OFYagSWBY+xwrx
ym+V4T/6iF+VALn9bLmWi6dRsxCmTm+/KwudRKpW3/SBnl92RjRDnqnandbX491kjc03bJn5BlE+
Xfw6FlvOHdBUHBvSCTZg3+4mJirHyHfv34PXmwQMJObzqRfRHpK/098Vp9bQAE4HFlMX7ZXSDThd
dLxwO0iRrQfmK/8s2n448zK+Lvg8e8w5ajNnIfVaL3KK2+Hi7gdrk0orvChjJvxQCZuDQ37ibga0
6+GPtD/YcWsfU3jpGZqruPkq4Bw/NS0EmvfvAoWw9RpI7RiYvI1Fizafsz6WqwQQLLp1pANz313Q
8pnNHYkqiGIqPShjXxmnWNvXdtfdhGHCUUQreX2wQSn6Rcg7/LMnoYfJYs7t4yhVzoYI4+mW6DP4
3m2Fq7j1A1PWMFuQDkDucIORNDrH7XCVV8iaCKYzP8tOUQ6aJQFy5GqFNzhr1PqgJYD7yZTDXIS4
QmUZDTQmSX8gc/sxMsPc8pVpUhs06Bp9qIwk75tUwxvo4b1C2AzWGzUfFTTrRzE1BguL2oAnziIc
5mQ018NDYVS65jUCH6kP2ik8qjRKn/RST1tfH4iw2NRwiSf+cNxkP6qwMNJtNnXwS1MKVKxrAOTU
ZvTtUU0LY6fHNi4VlB5kgS7+ZXXWq9uOeZewtNZSw51BmsxMjrBV3zc2FYRtB2xYPQwOQukNJ+tr
rLxW/oE+PDInMjt1Fduykn6u4LgjM0efvod6T50rKhuAGJVwDHpncVuFcAenzPT1rmo/jEVr/kzQ
5hDh7Rhp9ivrJ6W9j2dmy4fZjUztQJhWBPBlqhMMq3lpdxcs3M1xHoLqZoS01V+hSQSFJHUgOZsp
xad+TIa2qvfT4rTf2WZfqx816XQ7sWSwbbraUaCEUn0m7bcrq9IHzRfdEvyG94E+5XCvhFhVKFvQ
e+Bphla1mdCyEPgQl+g7NSVQtF2tK80PEtKHjyzU4Q9SeQn7gMFqfmfTSy6D6+YTgBhDlE+YUlgo
80gB5BLh3/fTpA7IgiziKjgSIRkjgm2GnhJdRry16bYxDA/ZCGOLUK69bxprmfpHNH8Lx7vZDuDZ
77GW2+WmqdNxV8ZxgRLL1rsOHEwgJR7+sVN2c85ruuCGSt2LDII/kil2NF+ayeKHC6Aqgstpm8/s
Ghpo7YkbOggC42yiKE8VdIdCr/haSbWY6FUm7UVNkSnBrTOY7PREX/4aJlhoKKDKbvCzXNU6P7Yk
6baI39MaXnhkXsHnRYKFxdvRrpBUMaQ9ieaQj0bUeb1uUHCPpynYl0GL2Kedh77b8D6O5dXYBAo8
tJx3kbq5+G4NiW2jIMsae1PPjSkPhSGjp9Ach4PIXCeElgVyYWOrqf4055P1pWu7CdJ7R6SKj+h3
1jcTYXnSa8c4VpYDLErNaVLQ+UGTGr8OglLiRgdN+gQzUCNCA5hZ4uGOKfYVDWk2OaHzJAqBTrCD
t0J/2TUqrqJslIeuITwdMq5eXYyzkfxCgyQ+ho3SU7pP4/67CgMMI7adYs2oXHHfj7GN5lR04mPW
6oPuxVRr7toMZtZmAD37RSaO9dRrbndvqon8a+it/roOy0SjI4E/G1RAMz9ohDV+R35o4zVTug4Y
nGwNWqk1YACPT67LtuCAinSbVqrDVrocq4nAD7OFR2mNY+EHAWYcb7DHFH0l7aetZoRSbghgVmO+
0FS9Tdlfp34VV0VGdkOsf+1hR9s+Pu3pwukH/GydGSbaUQic1VuMX5L+lIMwsxnNcNgOspXjpZ3a
Rr+bOWR+CHCUPY0ZcSYeDjjnQXahedFUlapj0kGkxNI+h9egwxPdU6WtAs9JBwdQwoBA0ldlZld0
aybdPLDQ1JE/FIOWH4EFK/GxJOpBbDHOxzdkAlaDX7ccBn3dSfGG1FYIM4Aw6+BjWRbFZzWKFMuL
XSOet5rWNz91IZjanDARyPkmGW6pAgBNa7mxYBNqggI9MUrl89AKuEs6HyjpTDMlTj/WjOizEmh6
yupS565fQKHYk5xVVBsAXDS1QqeQ8tY22tzakKI8ToQJYa7EHyatw1AQYs+Tris6Azr+3Soa2HGb
YYr0NupVjOs9sNmnbgnKKaswkdvEIV7XS7OE1BeXVNiHPiBvhjTWIv0Zq7OCEFvY8rFVwupjRfwW
+bpdTvYKrFTYdzBUyZjuDFJkyKMDrL3EraCchcWHyMIpxu8hucg9nhgzfwrUav5eRyLoD1EBbAHp
hi7zDQ+zuxqNqqDzRNwGXtoCoN02oNMwAPJAStsuG7Wu6NSnrG7L+gBdzQo3ipb1wSYBgG/4gAMC
asAZ7YPfhcL/6aP+9Vxp/ece/F2RfUtPe/DPf+N3E95UkUhRjkewQ2OD9rnz7ya8gdiJihf7Xho5
izWdXea/JVIq/2vxxSOUWrRQSwX0b3+8wIKCbApn37JJp1+Mu+8PTCOr6g2aIhvCDlUOjh8cgp6r
IC92+1ZBMwBKhebZ0VR/jwc07Qlg/ujMVnJVvvk9DPUbzXJpHr6i+Ghx0iwY4YU2kTRXwmmQyQyt
uunJn9xG9mTfvb91pQN2snV1VJVGEkUpRLmavpT7uO0nZSksiCRuoM1d9M5KuwmaCYSYRz4gH0qU
TYLjtK2wdQKTR1ZJQskCme1FbFG0QdzeukUVESNntR/BWGbOBZVIA8aaQYnYId8swpfit24ucdT2
rQgQY5NOMbQUqBw3bOONoMGi0Lq1J9TZPgnwNXr6ocTUVu/bWE0M4mHmjrO9X+sdMTQcsc3YHi7r
Xk7DD1Ut+54dE6/I0PoZUgy393tFH3ttk7rFZM/+4LiZpX+p82yKhw19fCMEsqgoogs8Sj4ucmkc
vWj7YXvETuYexjwNmewjbP7BE8fvliydSoV7wCmcut4BMQZ/jgm8UcK9YlQECTPxILTIvBz3eUC1
Z8gnlnvTFqNT+kqQWJhmi8KWdFRNc8Ti4SiDLTmbWJbB2Um3cm0LeNweOMjHGZAVj9+CYAhAvg61
xCC03dhIWbF6IfZPRf2RHSLq5KzrheuliL0xLlH9qrPLjJM6/e60so6weGRMrvGsFjht2TaFX4m+
y6Czus4ErY1mq1b8NSVtfa9mbc5CmRAd4lXjrNWbqdKRkwNQwotg0YkT92nWhZMHXTLvtujY4+Rn
ESZW7VuKsAlS10cBSA4JTb0rA8CdPwaJgf8XGRbk03i8ZjTrNLS1ZL5UcLY3s66hofH03Oid72Cj
NclucWqjnaFlk8RJnLOPFL6FWN29IuGbzUBtyyC4HA34XZ9gC4niAgOJQMiXKX2Zq14VViK90se8
6+4AqipYgMourz5NycSAUqRSuUkHZXGQqKSj0HcEfI/TgFzRHD+DKPVt5jQ6xclJG3oOBSC+sZfH
jRtYlxZiOet2hNzZqbCpclIbRULgX+rFptm2R3WS+ID8Ps0KYzsOnUXGvBHCLEKol2hllCAiSQlb
DOuxmb+4vb6o3WtpgE7KZIPNta2JDSDBhcf2QS8qzb1Bx1YKTxSOzKBG4Ie+WVoQ6r1RkxjIIZKz
yVEEc3aYED17plW6ELdIqcDZBm+38KwhSPObuHey+LqPp9Dipk9meaxGm1iy6z40ho5sgBqlWu3b
Q6yke8eZy+lIrptOvIWFvOgGkF7kYMksLRVtetcjZCS9ekbWOFcVjVnwg01sH0q1tOovqKOb4WPY
K9AQsbvUOYF8cjRS8pFEVSSdF3Wp/FqwzW8v8YpJ5yEJsQsz+8wqBpZNpytVyRdvJZrEx9EZpJR/
GvrRbOaZbQGR1f2dkVFtLO8mF4One8OcVaA2qgcNFuPHQLj52F1WpT3VzveZGok5H3MtCup7OFqG
mO6qYuQM28PvHTdERpcWVE1ipJMtdU8lKjeFu/jH7MRKBq+xE7aR3gBEwPIxGA0QwSCbq+4tXrgY
1y1h8RQ6CQ137QXwzeHMy4ROSvlcV0G9txu61beujU7qYhbQiLZ60zrBBtcOVrSxDYGE1YmIAS0L
pSuPFhOH+iDoj5v7PKWK53WUcIwLyR7lMg+VQm5AgeAIsoWaBHR9DIwtm4kgGBH581zmrkFkYBJy
9Ndr8r1tj+BUo06+EMoN/Piyxwoeph9dpJIDJtkeRY6giJraUfd7k/OPFavTdezvVcVG7cxijjd6
3Q3Fb+ZUdqBizMCRYR3nbLysFJrbtVlfGRz4tDOFqGWV+k8TgvEQyKH8oQunL/oId72KFXbI0RYB
Jpa4zpvjnN7+bBbFJrepbIRZqHDenZRvMgAy+v4SeloHfB6aRZTPDu4+HRdr1SgrlIlgRmQCXgu5
gZx4iay2KpSdotTDmWbL6Sbk91Box6n/Lc0/d63DYnUzsWEzlNrWwS0tOnkVdE545oJe38vlQrTF
JMvWyTGXC36x1emmKW1sfSabdZibiuWg5GKCzHwyOCP4Dj1XL5+S6IAd5Bzp5PUFUudk72ejdqTD
+Zxx8GJoeD1dixaSx8jJjcBUQpUn7PNz/Pj+M3tzHAchPuwHfLGvtFJob1t6phGJIxxaOAaX/R1k
Xff3bu5/W/1/ES/24o4vNP8T3P71t5/fwm/Nj2/1Sz/E81/6e7ev4ANHrMbUoOBWQpLz/3f7wEAd
ezER8z0vrwKv39+7faGy3cdfzIwC4FKx9EWO++/tPhAt4lto5NqIBhwLj8V/v93HyMyuWFt+Alo1
jdPIaj5x0Jc6nMKl3wMrP84OoDgDPN2Z7/m0fO7gPyIMBaeCjszBXa759EvjmKGoI1HNfm9Wl8QA
PfRd/9iZ47ZwU/YGBkTHF0/hw+8J8SW+av3eMxQHItBV3FuT2t4ybb/4vkY9m4IkxCxI8UG5BdQX
7F17EGcOMa9GQYIJhhQpjMnTBVR/Okoiw2xgy1UvQEdCnZRG2xuNbpwRpa2nKUPj6EKzmxMjnHRC
GlajCOngH8E/LDMwVTPsmZZgLWnEV7HT3MN6/9GNpJm9fwPX6xqHTwTBvLkcQwG6Gsulv7iB0wxo
amgE9XDwnxQurHZnl5PYmkKbrgqFsuf7460XF7S2zMOMpNP8cbTlY3g5nk0NEDMssDWh2082TecN
wxWAxuQ5Fcvrh4bGA90xBrIFq2WvriyYyOlOkpHWvRmNF2z6liZFl565nrdGeV5cWKnpm62lZz0p
cxYpLa0fVVElL5KpCgQvI5LrMwO9+rSW0yzfMNm+CM/QVJ/euIQWcziTr+CnKQzTbpBy7yJf8h3Q
MLtSFNpfTUvi5h8/LY5OmOkWTBURQqunhczLwhkKybTVjHxrGfBua8MQu5xM6TMv4vpGwkrmA6Mj
iith0Rqv3n7WTwItF25EMoTJvigc/RgAaj0zyup15+VjhuJdx33ABgsD2+ldrEAbhK42S3+yS3mQ
YdwSo3qVPWaBqp6Zmt4YCoscpQi2Uqz863wqk8IgEooy9ZUOonfkmjwv175IS604VjJKzzyqt4bT
LIRl6LYWxf1yf198yFUzGE7VqamPts5stoqTk1zRR1BY+7QXNPgJmDjHu1k9M+4m6mxeDJRtFFrs
tYpWz62kgekrOWpZ4lga7p2szHPCudcXhraRl97gJkLEWD+ySA2rxmygO9nQ+cmtzIwjPNdkGwWV
yrFUr898aG9d1DIxAXVBT8XSfHojDWeZ7okr9vnc4x3HRCr6bngOtPHWVSFHs9gYIlqFaHU6Cr79
eCpVJ8EAXaQeBeV0U9Ta5BctMmOller2/S/5jatiBVt29ajqlw3H6XjAEFC8IYTxCeBMqNIbcpuq
OMH+dBQeEdsL/lv2AWv+mDsVaW9OHP2rMrYwGDc1hvqm2L0/ymoN4bXjXWOrAUePqgZl1NNraS23
iZ15Sn3yipcGyDxtm3CmZqXT7v3zoSipL4WbBZm49ni2mhraM50kf5xTazm+j3eNiibA1abk258P
xZ3DMMvXpCvrD7ij0Z6WMxkdgRXel10wXvax1nnlNHR//C4QCUdhD6EBBWiEdaf3L1DUNgaBQPCv
GSKE6q1O+GNc2P/FBTGr4xhhj7tc1ukwkV7YA3y2jGqbaK5noczqjdZVQXgDHas8g9B8/X6zw12W
eRZ65Lxru8KQ5BXRJaAtlJT+Kl9Xf60UBG68/4zeGMVBI6NzKEeRyDb69JIIphrMiU8UyjPFsISy
F3QY+8zr/eYgOsd+5KboVOHgnszkca8CeVEZRAARwJNbG2B1quGMevONj4jS2n9GWT0drQwJMsoA
ucTBEB2cEgIO1aVum2rDuZr866EMtg8aDhlAs8hqVgUFcxDE7tDI8s2BpddjKaTso5nJYwpt58wT
emOsRY7Km42wE6PM6gm5UkptgJ3rO2ZiXErbzq9a2P7fOEUYZ+aG188J0uKyNnHAZ9OirO7gEGii
mAqGKphXt2ZN/1tqanNmlNcLBbphfanGYJQBzLd6G/LEHvAu2MSeQebpr7WuKJ7SUDot8qdQL32p
idQ58wa+HpPjB+GLbCfoXzFTnL6BA8cqDUhp6pfUiFA9KaT8StPcAEFmq65TL3n/s3oGzr6odjGj
0/OiHGRB8FU5iawGLJamV1RUKU1VN8A0pZcumQouXjavdSfnsxgslIUkJnSAHoDsTdspKZUvxCA0
T63q9JYfEK+q+SV0pcaz4DbdGp1LfpNqwXbaG2QriF1nCOtyNvTw6/u//vUrZ3LOIBCDQy9iPmX1
4+ukCYnpYjka5qzMSZrDD89xYA6+izRIz9ni3hqNPiDtw+VUwy07fTaIUMqxLtnnIdFop10mTe2h
NqoWRBOdyOiP3z4qR4YCVHRxwrObPR0N7mQSdyQA89QlmZNGZCXU4lOJsGjMkaX1ZVF/fP92Lv/k
6l1Q8aoqUD9waDALng6phNYcCWmlfuMq5C5ZvyZYRb5Uok1clWDljeHu/QHfeNsBWTAWVUi2Y+si
ZKcYDRwxlsOYCB+E+fojiR/XVYq5CYRZfOZdf+P5cTOpEdno9GkAL7PKi326jo3RJiAv80NOKagc
2qa8F0gTjokR62c8fG+NtSyH1Kypk7xiezslYrZpSHH2OgTcRVYhLrM+TC7SjLCI92/iG0/NxjXO
3SPhkc36at7NIzLaHBIziFHCA1VV0n7QyAXZFgZyEA6PyTZFqH1mDXv95BbyjUXJhA9w+fZO72Xh
aN2MvIhvwWqaa2Iqgq2pDOrRxVzuYRgzdn96kaAal037ciQGYrr60gUJtFXksEXrBgjpQIwQj3Vx
3V2l0aBcJIEcPwitMjfvj/r6KRI8pMBU1Eya6CQ6n15lQ8ZwYXeMWg9zup8rFrJKVpmftkj43x9q
VYJiHmb+0herCsV4WJarG6onqPWhIqNt0pDjePOEmaByayWnqzkTGTbL9E42FaX0eOq64sxk8/od
WgygBodzTpPUh1YXmtLCMuJS5phm6xZ2PMLFyqBmSW7ikNxAnUruAzMzz+3xX63jlMzRgBM6wERH
9W31VGVfwRosElY7N3OPoxOmV2TEO2du7VujMIcaS6QuiQjraW3uZ21SqpjzeWaWG1vWNUh6dJLv
P8BX7wolLz6E5Q7ScGAtPX1X2nase9Vk76jWU7RdNmSeSgsapuIw/zdDUU3hrIiQ/ln48nIiQ4Zc
t5mJDk7LBguVbjvCXJ8yDHRi3L9/VW/cOzZYCF4WRzL9m+X/v5gzM9iDdowk1h9LQcKewmyzIS2y
+MNqMp0o7h7ZE8vrT7VrvQ0ZkFmRhjpzMGqGkgDCIEq/Wo7ops371/PqRX8eB2O7tszK7LJOrycU
IwGtoQnGt9Li0mucoBe+U7q1L0dVHMdCaERwatPfSq1/bGK+eR+Z9yBgLzr/dUi91BMoyDnhWbXp
Vhd1IMjok7oWn/mO3x4GRyyHPvBLa2BRWM9JbVtD5nMA6TBYlnFf+IJy2JnX4rn0c7JV4D7iQVvM
4w5tklfXY8ui6Gael1Gj+pu2VhTepxG59ZmZHgtFP6Ck36b5AKKpcro9oJ5zbdq3LvXFL1gQLC/f
TDcdG7vDJOUPcEN738GJ89gZs/np/Rfm3DCredlq4hHZMA+u18fxGgHug54V56yKbw+yTB82ci12
/6fXomHpEkOw7LWmUNY7B4WWLzLhKmce21tv/2KZNtjbUadcLzJ5Hfeyw/3im0mF8dIY1U8N9Caq
Uuz4DK+wq+BKBR785xPw0paje4O2Dk/z6lFNnVm4QH15WZZuOhlIyfyYYuE+s319awZG78bBiCI9
nnTt9C5a/SSoWLK/g4rrktU6GbvJbimzGIMeTH98TYtxhA95qZ0ze632ynSXjX4wuSZRDoBTighr
hh7XxZ9/0YsSgQrYgiI2fmvuXkzAeBfUDqIV8t7ZkYnX9Ea4N8c6PrOfe33vOLlbqosPmNeQXtvp
vbMXJQui6J43YeoW59u06SOCdh31LDVxeZlPpw62VBpvH71DqojG6s7h0+iFxVHSj4Ys2CWFgBoL
Zug2gmlykHnWnKlPrZCGzPQ2p3dSGgnF4EiNouP02hKzNCdNdPAdUAIlt2WamsW3lB1ZzdkKiMTH
yCyVx9xGf7iVpZ1qn+2EhNgjewZR3r0/nby6z1h72KfTyqRUQhtkdZ+JX02iEkqlL9Fw72JbyfYK
xYyPkY4c8f2heE1Wdxpz26JSZI4G+0dJazVYQGQXQqgYGXuRC2bKKRe9e2tPBhEbMCyUJN1IZ6g6
y5sNYQRkLUO/mW/rPnLavcHSkfgpZdj7So4y/pZgK8jJrMaE4zVzgVWfk9Ynk56ieSFHZWy8uhzU
EWi2rT8ZSPSty7HKXHxLiBLR6xGyEj4QvWE/d0fiAdhrP7Pd07eAzvoW9DC+UB0empUrPBp31Lrh
Bh1iWX/C8WC0id92YxB8zpTUPTRZZACsRiQeB98NN+2sbMsqBW7NU2aAdZGnFZO+pMSqdql/DzRS
G6BngjrKP06RFDY+4FCoaeOpTp0tDOrabrLLQoa8BB3J7UmNmCnU9esmTgJReLPVRN220smLucp6
GYSw6MjoxiSRmGY+h76TzF3yczQFdirbdFIQnrk+jT90J8xiKnxRNZAnmI99rHphM4xk9ypzljzq
ox5BwBvjKbA+2T229WMd1Ln5ocACZ++qydKbY7twHX18MS4AvxL1EZdu5Hq0GQo3qfbG1FnuDQZe
fNpD02MrCWRVTbfDXKfiQYSZ1lwGfVv391icdHOjxqpy0YdRTlb9OM/5r0oLpl8JAn3taq5L2fhZ
oEzGBRNcqlxbhkzqo0a8RncMiUPAXj24ufWEKl81faZBy/HtMAh/GmyqUJXOoTQIpQKqHF7qwxjG
4YZiYBQ/os8NNFwoNnEWvWHU0w8cDnTzPV0NouQrX5uEC1WZeXAXBKljXYA3dmwMy/DwvmSjCngH
R2ttfRtrPFg5JZA4Qwu5JL2HW5k3TuaRcz0qn0JCeoPFSAzEKpc4gLe4PBX7oiKJ+6+asIFfNWYo
AqRtKwsPeqdEWBoQ+kUYORDJ7dSyFLe4eFk7ymYAza0TyQWTtzFI39Om3qx/VXGgEFgdNTaiIn6b
B1sNd/FcxXm1q2VOaPiEsNKjnKfMj4CjKzDZddyRGxgMduurGZsXDJYyftJqDee12hSm4TVm0OHd
osjY+WMUFuEWPBjAaHsGE7khl0j/ofYZ/mjTRQXo465Abp27IzlEiVkkt00L3lzR8Hhvin6a9T22
5vHeDZDpHYngHJpthDl09COjKTCTwQe2CM4poQjkpaL9ChO9TTCHaDZkIw7i+CfUeYTxjsHli51k
unEdTg4DT8iNIx8JiOV4Swx8sa1lod6XA6jYTWEgcb9YxNWcnCNZygsnwIC0M4Y8/DEUHFO2Wqbp
sBtVq/1qz4nZPgDajDu/DgW6ZZ38SbgcmlXdNTmiuGtbhlrrk9E0RtRe55ZkzrqvbHlTFkrQ7IjG
NdF2ZU6kbHqBFPE6gtGp+2HQOs1FguDc8MM40e9nKebocY4tHCYQ/pMJoXNOZz1pVeOBiT96hP4Y
fGLu1uQ2bywreRA5UshD41TKfBiYM/+qFaP9YvZZPV5SNEhQ3zYxYd4K8lc4BJU1btiDBwIqp8x+
KVqgPkQ9jWrUqkZLfiwZuGJPER2D4DAGQLx6CPTKx7HI1OYxKyflk4IH7xZ8JMWjAXr6fMk8lN/2
s9mlR5GVbnEwg3pJqLPV6q5sgf37RSacv3oiCorjBIK+2rtJp8VXZaQqXwQu63BfEjYn9miCwl/6
oGLvBl/qDsfMrcxuQ4wV2uCIHaOzU+MqSa7CfHDVC2NQzEcLQ58FGdTQnhKFA7vDfj8SFR/76MQX
U6g4YHGmbL4quyjPN41ZSLF1hlCHERFEAxHjwRShjB2KRv+QBSJSN7Jqst4jZc9wEEkPQ/c9oJ1f
XTfZQkLQu6jXt8wlOOEDOwNt38Az/YgPth6+1kqjfHWsIJQPiJ2kepk2wjIOE7pihL8hXCff7VTC
n9ROCrlnLkEfihC7xCmGuBXdcYhGFkyUPmbhU6qO8nvZV9oj0nAn2BmqyJBB6KnK3BCzBtTwDoa+
oh6jh9WnQBAAcZ9KvXYfQ1nG4d6G3s/cXXAUAfiva590bVaw4RG0lVyqgasD14/qrPYVom+TjV3h
WUOyK7tgk9dFkt+GeV+mj1ae6tpeuqkzX9khgrGHqC1Bjg9lySopI4TgG0mb0OFFTGqYc1EN5Krt
E6Hs64m3/ItIO3TFSbtYhkU4Dkdj5uFtXScm1hRBjgywahaTPOTZOBd/1XT7J85MffZtiGz7F55Q
p/4xykFF+tQjJdjGopAqaHxRsUkoM8v8zLSR6sAXglRxPzJbNc2BJPpwvCj5RnUfvX2Cv6AbW2X0
EFDXwaNWWVV8hz9PUXnZHWvaxMro1Pulz99/kqpRRncZlkjjqBZqySudOai0tw6oiOzeUebCjbwm
gmXK9J3ExXUdDYO8aEBspIcwNFDd97NjTAGq+aSqH7GGJa303XbOcCYTM6n2X1uXrv43E9di+Cnu
y6z5oZOpyicUB5F5g0De+WUUICu8gRwD8yJGthF75EdP83GCQQJermBa3gdWKyWKAcgPfefnxRhX
n9kZVbzGZGD09mG0UtW4NySRF7dw52zl0epkE96N3OluP/XVkN7WxlypO9qLUb9PwkmPfAfv4eMA
52r6NPV6vuTIEvn8nW5rG/qunIzuaMZapRwV4cyDX+Sgxakq2fqF2cQT8E7iZANfUxNAiGDy5stE
mQfnkNsJxfNRdaE/JE2vZksiiNIf6qnX9I3qxGp520z1wBRUDjxzvwEXwjoSASAXX7NMimGvRlU4
7ITCCFeGFg/2jnNlql6TPZuP/tiOmeVVPWi03RItDeIinLXxQ9gIqX3uLV3cVHVX2Fc97dz2R+kq
/XBjhFNBtcXGoNHcRRr6EVzlg9buWmGX6gebyFxnr7SG+020itJ8hgAxLNCScjFGjJ3ozC3LExVR
gVnCILkpIPOi8Ii4cpRvZTgN4qkqwpildMqmh+fN9P/kt/+yKBL8s9FuG8ZlW7xU3i5//rfwVrf+
bwEmoMqkQoggaTkD/826Nf7PwnJGn4V+PbqXRff9t/BWx0sHTsikZ4d4iT/FX/pbdwshl3PaIrtF
TYr8lpH+wGV3WlBH186/QacARQIiRJpZSy3kxcHZYU+i1obFO+4YHvTVwwJALauIjSnUmLQBWH//
4s6cVcT+PSJtYnxJCy7OWpWKyow1qJ5tmDi2c6krxT4Dyff+EKt27b/HWESBDkZlYnZPr8rS5rYP
cIH75SY5zh3ns431V3ARH2LvdvR+caVeZ/2ovYvSd49nxl6Oi/85uD+PTR2YUxRPj/LfWic4oVpK
QaOGflD/iJrbNMBvb5WXpVV6YSgoQd/gAWNP+NefjouEj7cMIQODA9laXTMgDk5sCuPmUEtkUOxF
rd6gMLm09K0JKGNMyo9aau4d60x7+bRcxgVTX6echBoERRpludXARDUU4TRpyAxYI4gWrNma2uU2
7fv7QifWwyZc4swDfvXWLiV9BxLlQntF2rd6h2L46FnYMWRTTt+bcewv7GSxtHfiQ6/YDzU1309N
lsgztYI3hiUxgGblUuKHvbMaVhnZTdNSi/xiDmngDar2XQYdO4dRHlkhNrrLZtAWP95/sqdlz+f7
y6iUgWiwIcNfP9hKBU1AxZMqg0DU7bNvSx+n1MnG3fvjnFacfo9D4YfSqq4u4sLVVGDhMK+bKidn
uEm9qlB3oya9Qskvhyk8cyNP6zvLUOg3WNNAuJhofNavjBXSYzYr4hgpJwE7uBlJgjLOsW9f37dl
ECqycIpRi6ylAeWcpoXKIujHdbwDTBP41BP67fs37c0rIUWcRgnaF2RkpzNNNmZJ3fUkVtVREewE
RQUCQMpvOrH2mz8fiaMFKwkdXprSq5HwKCYa3zivQaRgUyUYukh9Pr4zF/TWXQNpu6TKoR9Fnn56
QTapSYZWUtMKtege2MwdsJszQ6zhSs+Pn8Im3y79TOB5q0sRg9qVysiT6RuVllKgax9IVC4OfV3c
oaXYLOcq6C1q12904cpDDXuDxB58mxrdQ419ldlux4Dj9Pu3+I1r5yPj9i6aQOvVLR7jspkVpZKQ
ZHMbZU8WDLuME8+n94d5451ZbFCU3pHILBqZ01ucCVVno420dmb/qRH11IjUM7BTvD/M61UQe/7i
dGHKwLFB3fp0nFYp1baJ2euT8/mdHfa4C9vkXnFTcwO2k+qCUvxy7cL6YuJN9YjnAhqnVV1zEZuK
vMLaGx+MZDSPlVH6nd3pf7Udm9EBxt9mVjrl5/s/d3noJ+smv5bCJWUlxKX0oFcvnmWHRoq4gbsy
3aXjTzu4oRX9cdIf3h9mTTZbXj5aBJjdEL/T31v35FR37okvW8R+PdFmZT/shiobb5wCuL6f101f
+XVDSw9H8jhYoHbqQye1blsTJb+fhCxAsKbVmbn39crC1pCMoGXTt6iKVo8qKxtNmeDI+CTDoBqe
wg/QF7/J9tCZxzYbxCGvVHFmEX3jNUROgcwHFTmr9qtJWGRkgiQqWmjD3hZgVTzCAi+Coj3TWVh/
VYtJjM8J199CtH5lnEhUoalItBK/nELqhZGO6ZhO9plR1qvXepTlV7zYyM6yCPQsxz8mMXJvIh3k
QFrMBDH1erVNs/rPhAw0p1dXtdzdF+NFihuHfc9VmfW1oV7O1Wf1T+eJ5yHQmQA3X5Txa8mSVSgo
GPAy+256ZeUzXLAYT+05x4m6vFsvPzyGQdIC94AsIow7a/OYJiV5NjkyURNGz1WjC2sPEXL80ttR
f6ModfOtaRqUbjMlnGz80KjMWphu5ubMfLWeAJ5/B+pE+lAomF9dLlwyleL0JH2CivZ9boIlWspG
FOa2/4+5M9uN3Gq7860EOecPzgOQPwcka9RQGlvqPiHU3RI352lzvKdcRW4sD2V/iFXtrxUnJwEM
A4Ylscja3MP7rvUsqavDJvWqT8bM+5r5y62zEWGWRCFCo/7jl+haI8qtcoCq4fQTKswiuiUeD8yp
beR4mof0HtawFc5k9YWNMYSc2PXtlImbTKP3rKbXS9nsDecWFWTzIJvo+vdz1fkb+v5E3uGPHM9g
vZ6NMWsxORuZIx8vGrsfimtk28rrWAojkhQ+efqfXWt9v/4ynhvXqCydmMFgbpJgVo2f9uxtEd1/
ckvrYeCXJ/6XWzp74muaKEofdu4jyREUUOsjrSnkceaJ0NO7WRfkR1X9i0PnIfz9w/ybachcu6no
lNdTyvl3vSSZtBSjZZjbSg841c4uWt39bLL79W1iWcH4QTvaWW/z3AbH4kj8d6KzrSnE5CcFqAiO
fb5VqYFV29s2jR8rMr/oNRyHXuyIcP1kKTlr5DIzObieMD3pmHax5rpnM2GsUHSn4NcGUxz/dKR5
nRv5vVqh5ewLcdJa+aD2etjRbdPb6JPT7y+j6OzaZyNWVoOnZt2A1tf4MQKH1RUqbO5nUrV3Z8aH
UXR2mbPBChcCUgllBJod88Zx+r2jJC+SEotv6/WRbhXcL5gaeX9AywpatyxhXhFD8fsR9cuEtX4K
JEQo89BaYv36+MrQm+6AXPJVyyy9acRwTOBNwIm4N/KIiii5r//8eus8QNwFMwNtpY/XA0wxZ8Zk
tYGwkRyazg6Jc2gzpmxrCyn+k6v97UNGc8zdYZIBTnDWFxcK7PMu5rtsRm+PcOMorOG285JjaTa3
WupdgR+pfW1xLuuEhmU9u+A52s/m6POd0TqaVzsk/yYYCs3nx5vOIA9Br9Yawp1Ls3+Qnc4cReiu
c1Kyxmy/lEY/1ve5Cb9lO+VD/c+UTe9v06rdWu3b6KHNc1lk2U3KIiWbwmwZL3nKMXYk8Q8rKOth
mwWIFB8KGpQDz+6ReGFIu5PaBvWUf7WsnoQ8ceNK785Wq2cZ/TMV4Z+39JfL6R8f6QgqexFx2gaA
UEB3ZFAKh89ylX7Zjp3d0tlufnJNgJnkZ68rqwUWpw3H0tkMEW8jc8InO1lMdb9cj4MxgibmW+pQ
bGjO3o2IuASSsgWptXajgo2adS20ek1p3/qF4BZfyxVXCTsotYSDyKi6rzh6Wr60e8ugfxPV8+IT
02HZhKek9cmNo148idi18mu02qVzrOchTSmjz9ZyrxPODdZIU55neNcXxqIu2beuayDr2dKsTkVt
LezaRDq8taPWvmmd2++ztmlvXGcu6tfSTfRTpA5t9uhpS6wxafTL5Th5d7Rb3U3nKM4jCpnidtTF
6F4mRHy5+3n0lK8aXOxq141ddduqlRFoWmdHvr0M0xd11Ac2JIs7n0y1KA6TbZCRjmThLWFZfY7z
uL7SK825Th2r9hUIN3szy94sQD/mocsmTIP1oNHvimEuNuFU0bmWLU6lzZzHsb2bdQ6I9KIRkO8A
h3E+ar3sJSfWcZt4mn4sqTWPm8FSBaXPTgzPKh0J6XcRpEHPS4ldUfU+OgwyMW4ymW5zXYqL0Yqi
Y6ORgp5nZsfps7WfVCVb2r01a+qlqpXmrTcVwDrT5d7OKnmNckAexkV0epi17rbrxTZqwIQftM5z
gkivUCeMpZB7pYqq8Xtn5agSZV+N24HWMlkoiYN0R+o3MsrqflNYhbHt+T5DbVaW/j6OSv3RkhOy
B2R4hKdMLjmJh8Etlwstq1UfJFjBgys2IA577BFtM/lGp4qbsZiPo0nU1VL2fuOqza6oM+eZfJqO
brg0NvPQXpHaowdOvaBRmJubYqphybuc/uGMvrl2wf4eCHHmq6JUAEkXOzRZR12FF7Hkpv2zLmaR
BnYZ+xlhvaGSjDaSB6fuAkRpBn06PbvRHEW95fuSpxVsql15ABstFZaTypcGuT3Oec4mOHE/Yz9t
eOWbMZCYq6buTbVWlaqVHJkC2R0rE6pxo5pPWbd8d4zE/pqShnapIT0mbWj9gElWH4bKrg80XRct
sGPloNf6W22YYLmykdjdAhxaDaOpRyQHDOwxneLct+vq4A7gwWn230Xi1ZuJVfPVeFaeJ6s6kXSS
AAejr9rMiBFIe8a4NNcoJYoh4IeUPSKl8diuy72yRO5FzY9aUd3rp8QjuWKp0F0vvag25aRq21Qb
ToiN9aCzZ5DFBSf7fLzIp2az5OpDbjQDYMGUXgHkUopeMGgbY0q+lR1bl84qEJhEzQ9DbeFVJXl9
RVDIcmTjlJ1y3rCf40R8Z2DYwjxG7beFjA7KctpIe7WMvWdnmn0YAadcLo/gfOqItE8NfDPDo7zV
XTFVaADIAwU91e9F5+l07chvux8V2jW+qjX6fa++mYueh6rbh0CIQzcXXxddf4kVhtmkqS1oqk4N
+erlQ0Zh64K47vyxi8wk1JrU3lAhF9lRMrE1A1DdXmm2KIH1H12i2FuyBbwDUjXNIaO0QGtATllt
buJc+rMYcyKbrFdnSC663DqWIt6Oc71ZZMcLlJkbATW22Aw5bWNf1RdEkasK0pXVl3jI6xD3o75q
+31tTNtNUnSoyXOX3x+XHaaJvQm8uFy8gyhM31S9b1avb5FfhJLlIV+S7UDg35D2T5OTES6XcLk0
zLVc/iT0sAO1ru47zd5Is97YU7+v+31q0PW1KnrUcMTAirIM+ENVjXI/1Lbx1KC6C8uye2YeCz2b
Tu9RneMjR92WM+byRtM6wN1RwyZyvsh6Gq5Tm2khtkn+bpZsqresStp3TR1HtgD6SWFcHE261Vdq
ZtjNFuXMquMmHnI7xH33o0ubH25s3S5qnu9dgIREsUZFc6rpIm8GJdXaDcjbeyPmm+5ATJ3SfkFB
547LskVH1dxNEPz4vg3obNWsqze6lmNzm83s+7I4TKRz9JMwi5Se8mB/Ucs43y+GuDLL6FIK5Utp
mc9pNQS1i34ndt0bshmmjdMZ+3hemhsLV8ldozgrm3piei2VMQniZmoYT3HvaQer0dri2M6TeVt4
lAe1KWrpfXuN6c8O68OSR0+yrPQgcvsUunjZjNMx4lgDRSIm6Y/XO1qU/s0s6l7dAJuexUMpy/nG
ULNpp6DbvoztPLJ3S1c4F5CChRLO7uIGEMvNq9zUj7xypJG5lRK2LZ28jmq3SCd/lAjYFk370fXT
kzpMdn2knWBu+mEkCt6Zp4bYX3Uhcs66yQHocl4vMjDK1ZU6EtzOpjZUpinktBC6Gdhi1Ft5W29k
WQaQIM1gmEXQ1920B4quShSPkUXxj2yJAPGo+pTmZWUe0dW15l2H8vG11Ro2ODUmeHawG7W1rwxV
XFEg2XVRt1mcMSCABTx5MlwnHQW92kOBkovqkOdQBYORqovup3Zz185tf0QHgwBSNdb+/Oimz24s
ZhIpxTRrvmlBzhLFRJ79TAIMLzSvqBU1entorUMaG+0Xb8qso4Wrz+/VEmo1kI3cu5hiawka6hM+
g1lFIdqhjCyJTMN+aqK5EstejPHy4A59xQ3WDcEdxjDAbsGWQGIMqsStB2dgT6KYE7Lx+RGrRvmj
q3CSBmhSnpmpXihB15TMpdmF3uTNt7GujPvFLprrXHlPNYpUyI9dNBvXChyzytfiacYW4WVjHrZz
pvvI86ran7Uo49CoVFcQStWwsgzkZVlLuEwxpNM+93oHQ3MxEpCiWm2y1xunJ/gu9uLrdGncbw36
2t3kWYvHkmJNcah37tjRrCu1PhwSpFwByuYnD30GsX7PHZjF0MjXQBGi6i6lrhysurmfkHR/SxxL
7nL0KNvaVjSHp7eGFSfjeF3YxXwjSqfwE9V7MlLZXNUOgMGyGkU4CavYgW/RA34qPmkTiTaBw0yt
EDntQ7MuFnS3S70F+frYWTBDw2asVQCgXnolgYr6aRzHz7FesUGJEpc5tGj2tSxRcerWgqV/vi4n
NE57Ozb2AuCpncxevStmAwx56Y0uFaLpNjKjHUrZC+xWzV0lCBFDENuFUpjZvuiFuCzd8SCFamhU
FuMNNpWvbdofxjInSbPJbovIfUDW1528yHkqlCSGRGpsF6vuKAROFv1tapGKCWH7OV54DIjMhmxX
syAETGLRdZeZzt5chpNXiHs3s6qQCAI2hEM2qH5d2sUd0qMBUCkvD6YKxVF8LzfvUgIrfcVW1KM5
V+2FSy7CM2r4uzjXbo1oelJm5JpOLuN9njPH5HJjGcSC8xdj+yUbF2PYRK0BNzJTtfTGSFhdZHRo
F3O4SWTVRX6K+NjzM6K8v4+ibJ5k5LZ3NTvdU9MRpDR2S/3QL/XFjEayDauxvksSbwh1KXdGJp2w
qursbRHqro/a6bmunSL31/Bvv8nNL8JKp9BS9RenT16LYpkuhT5BEvYSKzq2Tn+VpDqyoYmbqEpd
3Yos+WIYYBPbjChA/L3II4d8TWzKL2Krsk4xKNMdmTvCz2OCtrue11K2OthDxQoN5oF73I7NGgKF
0FupnTCtgAnAQreH2nnD5kRhQNbxqejdo51km9q1txxEA5u+tdlXyg4prAMS3qguR80o90irh63t
im6PPaxk1XXb0FMc4hlHXvqQRI/17SPewb6ZJw/JlN5cOTlu6GXOGoKVpkLuPAz5iKZylmmdNu9w
YVhDJYKpjXb2hEI71+TbhI668dUZ9qdPaHqxywxJUJLDEeRHHxOjMgJjCEzo59+ILYIrnsTfbX0a
UNbFMdvk7g6l3reywUUIqnkpLpu2XfME1BliUiSyQ9tr/VVTs6USuA5PkFFjkmnqqdqmnj2R/KgO
WZhAEKUZRm3Q9yIxbGrN3jYmLR8TQRlAn7ZtIKtE5ZtOWMOhnWpvM6RNarJIOkIitGIOLbyWIlST
VBsdLDDtX9g/WtJ9L2eamxgLnjIvGvx0ZP80JyjcVqVivc3b3tzrTpyFNC2SAS7i9KVErOeblXId
T9lbBUvgFiBsmW+N0ctPScKiuJdMmiJIeuTSgSYpuYT2iJwr5K0pX5bRwzbHCTmKL7Bz1uXlVOrz
UrGNN8pin1mJd+dFqxyDA2U8hT1kghy+hiyyvTf2LXlaTlM2ju+xQhKpWEiHllQ0eTL0yJciNgqG
r33XUqkxtnRXBi1MZtU7WFlRBEjVFgIQDDVFmj3SKfd2g1m4aJBTqYQC4Mumz2djfkpaDDxBbI18
gFTxOp9eDURI6Towi4l0gISdVcsTW6sp3Rmc5aZd4RrTGzDq+oVwnZagsCwr2QtZav5IoBzZSyMx
Io+U8jNj19Sz9xrr2SBDFMX15ZAa4sbpcnnv2XH/tdetqNzEyyymyxrY7JGf1JRvY4wBYZeK1v0i
imXABFHlk/E9SWrvhjNGxRRcp4ZxYvfhjF8IgC43UQww2o8SBf7DoMRldCIiqkP4W09Ocpn2nR1f
V8asWmQoxTXTETB/1h95WVdC20/teDeCaj4oJbx9DIKvLeEIgbBK2fl1wanKp83dGkcCrxrvqSqH
vr+g8ozeGWqyt8syy9slbL7kfloSGVLLAWVdW3G2YaWObAajdz0jpr6i3f4yaukF5hZg42Wj4+ZQ
StkSdzBkP8Y2bh8TbRSX2IvgW9CEYQok8IiSNfERjwnaxHEgkuNB8e6TpIVDXnHqBmbETFDbUcAq
smWVqwdxXQl0Y+ZrEjf3bbo1ouPKerzkHB4fWTqHMDY5shIIrd5aGWfgKVbzaVO0JFTvxRJaFvLz
kdOZ0mlhJPSW9bZXw05P3MtoXtxmW0ptM7jGQuLU0F3DP7gwEgJqVfBl7ZPpfJsXDywhUKyIAObr
OGmN/LZtdTvap6sBEmAvw+5aCqu6rcs1WPOGC1bPo67V23FIv2Upe/t40ThXXS3RE4Hkil0H5nQx
d0iRRWpRjEvbZitS8zvVDSUYh5mgl7ItL+suuRSNKq8kRzjU/gDvtp09yt4njjQJlAlVe5aou2Fa
1NeOBkGPHHeJnMAw3PYhZ+NvZbx3M72nob0AdGEgktaaL6PePNYXkDbaSwL2clbKmr/epkHK4VqR
5qVuyDpXEb2u0F11A+Dl2m7SuGQ2tz0FMPgotG2uZtEpse0Z2HlPMGfLmaafSJ1Rvus22cnlROqM
XAKVObZccLaVdTBD6JaathkH8oqAWdVBMpCrNJYbjyfkGDm6Z7qRoM2XBgpQaxco9uuEgBeoddCt
S1vczmpBfLnZVkJeFZZyFLr+zVuw+zhxnoWVjpXFj0fDFQEDkpOMU9ovZaZQYSkrKjAtpffyEuWs
bLfKlIuNzjsXDp5eoUsiSvI6zpqI6o0Roe0RKh+YXVq+6RvHfJDzdEGcCDZ5EvW+EtVxcNpoZL9m
9tO4qWJG/LUya7Pf9OKhQU9Wb0bHfO1MY1c43ZNsOHLti0IK/DCasENij7JrrSwNjBwWDjjekwc2
oPGd9OqtldtmvIlEZB10ZLUBqnLj5M5d125zkAwEhKCBnh5MuzJ96lxNkGhuNIadAwcvlg+TXdb2
915To8s0cx3KHQmRSCzMgb6AXTURADPflVvhlJFy6C3lKss6InlEexyr4Xpo57XM5h17pa6vwYVs
kJprxBS5XRZaciFLMewVS4uRc40GUTuFYmWX0OUWGUqsJNQ/S+uqRopMZ2GoX7RoTbya2VYfkZjr
FA8w2qyVg0khgSSfTgMR8zeLS1ZKPzjVW56LPL0t3UW99yJaQIHWLYT3qbnyVGWpuJyg1ZenrFQB
EBF3Eh16t2n1yG/1viHqIGr75ThYnQpHvqD8GUUVmA7MS4yyPF7CbMimdIsbApOct2Tlg8jwZCwg
wp8qYaTlZUeENPb0LG/0TWzr2XiaIygiu0Wfnfmo1fGDOdggQz1lXCT+ucl8U7O5GDddxmFwUPQ0
7KmOHnBfyx+RaY8PHWv+z1xtM2WXV4QE4Uan1GfOWsisJ095mpaHUq3ldapIbZvxKS8jEnbUjael
8T5aBqxLUSYrw/YJ9jIOBFxomxm+kOVu086ZmnJLgbourLtaOiKa2C2RbzU2ftXXHDq/jgk+xfKH
Yk5dzUEJKjrFKLWPkfpoWxEt/AmaswRb97vFjmhdi5q8zL1F2vwNmyfzkcL3jdEt5T4rDAPbTWed
COzq4acaSsjqOabHWOb5Q4p9taT8oFWY2dTBNTmGFam10XGwOPZ+ytV65P6zVl8a5WUckcgoJB9g
xBqm0cozn3d/3v++zXVeymfgvcuWbAvMBz35s74TRIdFiGpsg062IU5of2b2tr2HaLr7/YXOW0vr
hejc4U/GdI2y8qyLqE+N9MyBHgWtAxk4qU4InJY+ZcJ+4mw6hnScJCoh8zOMyHkn+v26FqJwetEE
+Frr5/pLq12g+o6VHEkbFrV8p7Zxdl3M1WfAufPu5HoVCxEbhl7HWl29H68SS0UKkfMYhWkHRqkF
+Bub7eK4W7JDhoMcsAj8/nmeN3/fr7g2KB0AQujoztpYUgyzUY00DMvipMwXXmcGtrA+ucjfjQ66
nx4cFlpl+i88WxP+hZWsesDkQHWZs9bGGwzfYTX7/d383YXApnk0P8nChgn88fnVuW4W+qq2MCkV
x0q0w0jVXmdrukUSpZ/0zf/mYjDUNBqdEHqx7J1pqNNJgSuSw8gyB86EbDrYYHdVG/D2fvL8fhEo
8C1ZNI9NG7X/ans+G30qru0YHTmj79k7ldHWbh+jYlOzLJQtZfFk61oHPOb//GkyyXGL6JmQ/p/f
YELeb6xGHIhI1ytD0TXq0xTpY1BmeRVGVfoZZu9v3jFUjzgagImu79nZXQpqsS1AJwzSWUyCzqJ2
fm/+M2Yp+aBszjwXusEaQwB6++xbs1R2CmPCK+ZoFCBkk3EiF+ZnDIW/GRseFlt1VYvaqzzq40Ds
aaN2o8GjK91TMdyV409T3LX5l98P9/cX56+aCm6GyzALYjnxMIScdVBVOyqyOoVUrud0xNLsS5eM
LzkL2WjnRzziNyh3toZKpmWOa9hp3X2W2pe6Q4jm6D7qJY9Z6UwS5Srvxhn/GWXw/VHzIqIKpUfu
rOCgjw9B4E9revYLVJ20Yl+XVOaHuS4PLVKcgMhLb//7x7F+dR+fBtAl5JjgfE2EytbZ7KmNjlHp
NW+J26U7L56D3HWvU/IKjH7ej7PczqL9LrP8+feX/fW7XhFP4PQZsytJ6GxEJaz+kMlALxU1yAPL
DScpAquz73Avbv4vLmVaOBl4Kz38BR+f6FQ2mT6sJYqC6i/JpyqiEq3lgP2JyG590z4+SRYE5J8s
dBCf+PY+Xqekq+WBQWwDo0lDurGhJOCt1JbNiMlzltq6N/5sjlvVBR+uycbBMN+FObAseEc/XtMd
baNVHFb2HrCGP0/aTgotWw8/dMTVx07LvuLM3Me0LxqVk2pGrc6Qd2lKy/L3T/mXu4dlRNgXri9c
DlCbzp4yYOtuBvvQBlbC3Rq31UjwI9Rwo+WAlu/Lz5wxv4zb9XqASRy8IsSsnsMsLNpZJAPrNAc2
+Y28ILY7RNL3JHe/v61fNhdcZp1dV3W5Bzr87HUsbUoHNieGgKp36ePlcALUSXe1pTywCU0Cl+S/
/7cr6h+/Uq803EKnV0c81c82xzqQK7RJ6DUocovj/pOv7VxEh0YQXjgLFlYuYO/6+R4NPVIjyWnk
Bqv+SEzktdEVYc3plMJIFe/1xdvGpC6L2vzjyv/IQvlQFfzz39bf+VHVc5tAYnj3+P3v/9q9Vtcv
xWt3/kMffqf77+//O36t1ryQD/+xKWUi59v+tZ3vXjt45P/yEK4/+X/6P/9MIHmY69f//K8/qp6i
EX8tTqrygxWSMfrvrZO7PilfX/7L5kf/IsmTfcnPf/UPFyVBJDiuVpEdXwdpJasW9g8XJSkkq7x8
TR5YGdj6uuH5l4vyP95/eg0WgUfqOqvT4l/pJfw9230PK0RyjBuRSOt/PYKbP6YSnt6/BZe9Bw38
ZcZZUzEgCDPLAdHhE55P3FlW0KwpZwQoook2Cv1bYxe3zvRKxBXn1hyIShQa2qw9AC8oHIy6TUld
s9RkS2Ra7IwhkXkOKXTWuFBDdixBfOZgZ89e0ljATNURcmvvKf2PpFKVF6uh9nlhkvZRY7pXCXxe
dEtZTQqm+6CWACcC0+X4sk1m136WRo/eA3seidAR9Z2NgkkR3YwppoNZG3p52TsKJvyaCK3p8Jdv
888n9dcAlLMJEE44ez4Lg+u6eqPfO1tIY3OZrJoA5TRO0MfoifJFww1wmPJFXOapou3wNVnCj4oq
fvr9lc+2gO9XXklNbNDWqfAcRCsgQlEyVnz0t3ZAOJy8ZiGoPyFCuWeHHkQm66AjeWL1+LrYLz/O
S/PY0LYFKE9JVIvX+jklxGTJrFtVIZ/OOFhpVw4XjrToqCmDOtymCu1UzRdK32ebblzslsjVvs6q
AkUVwlaoQTGRXUqX0KRKZ1SkCoSdwu9znbZBQUnX8RGk9aYvRhzpVMEb55GQ8ar3ZSsbdOsU701O
LdaQh70cpbWVsdGHDrXK+4yS3c+5zpsqVIXlGeNdtjj5XY824mvbOOI6E0J/a6vJTsI6VufluJKs
XwzVId9AwHRpfQpcUdiQ0l3689zU372ly19rAA2UD0kXao7QDsw0VGYMXps2X9T0CqGMt4RmVYxV
0LVDSWq7qTakGo8mKpzObV9de6BvM2WLq2+yJUoav6JOQl8tziMZVIB71L3Z5N18GzHab7w4F2zJ
iKVNN2ata886go8oiJSehCl8GdVr0evLtB/GZrpfSqmaiLE8OjpgitAZWKmWeGGs1lF2gT0+mSi/
5ENFja+lIFibFR35RSWMNrKa7ybRu3Oge6LrPtmBnVmRwBXrbLQZmIQ5wDrAgvFx7ChLlWR597Ny
RXW0mla5HSj5E/fuolQZc3AaTd34BPRVX0eRTX7uGkQZ52o4Nhl5v5qI9+9vzD9ae66SH23VVW/y
fGX5sBidECney/b1VV691Oc/+f/hGrTKdv/9GkTPvqr/5/94+evSs/7GH0uP6RB5+z6xc3jFK7We
mP9YegwdK76rYSqw4aUx/zM5/Ln0aCauf3ZHa2yWCsZNY3b6c+kx/oMN02pFAPBGZYHp8Z+sPAiE
GSV/XXrQnpPHRHgtaXwmW751M/yXclJKc1yV9iT8mHR250jT2rqhEdQgtSX5uz3Sf4t730W3Qv84
UzEoOOGQLcrXrm1bcGSpqbfPjWhxDJS0yHRBE7bX24vEydOvtB4HcRTQt5KQdiihGWoOmWWjCfoQ
B9mkeXIEYUFysyhSzdylSJO+IjCNblCHkHaAu0irQ8WCrw/7SSt+yrrMvqHI0RziG7s23qW5ttwn
DRXHMGmZQQIEcDVWG7fm7JlPY3JrNIa8ASWGuteykXRwMGrjCoNFxsKxIJ3IwlSS16h7kvjwdGZG
o1muttauKa1ae+SlH4ngfI99hP1FBOSQlTE5v5X0IpqEbRxvp0KNsyNZmJ56Kk1SJnfEtzakW0X0
H2F1wYoObIc4bwQcSlsMuj9OHKhPaSUXJufRBYSDuKWZQavZ71GWo5Rtt6n/yLgsHUekG+uP9Eun
1MwpbCaQe34/91m83DtpFXcPA5IF0jOTyhKd+11X6en3F+UE56O/HZxOQEtrBkWk3jX9X7sb73Q8
fEsTFJ2o1jX1z9ROoItriOfyR6TnwE0hIQNi1RLUOxgJ8bJdTwOEPium0C0LT9dvqPjQfyrsxgBV
8B4Wmqy5odofGaKTIxr3ZpyFxvIyCdiH6nvSaJzzvmzMlNYUnX9dK++qpjGyK6OTXQb2ZxjHwMjT
VgmRui14MDjDS99tSXdF/gMdLzQS9m6HRdJhhZGfjTXinrHxkv1s6f2hK/upYxGLvIWeVJUMhHda
+kjKazs5W3uOTUZVPKjGUZ+FWl1V85jYG4Sv5YMHInFt5GXyBp8ev6kZjDlkpY4Z4rd1up2MF/eG
WX3Swm7kCIeMOh4u29pOT4mVlfXe612Op5mRTM+Ok5Ld7lfuuI5bOxqSra1O6XQYuirSg8TuEeK5
bgdDbUyHWd9NlrRinkxiCMS9tLFoibeT/k1XKBOFboLTza+MoW8uIPgN0Nk43dgxzcK4bm81MHt3
Hi6XZD8N1O7RH0YRbM6hVVvSStsUuYQuktHClOfkNQ0IpQI6l9M0PURePuR08LrFSq+smQIVdL+E
rgYirbgq2aLYIkU+ItkfPiPFceRpzm2ZowMhoPGbXFgWE9/KLQXwokT5kQSSCKDotEzDaFxZvPzD
tQAJFNFzlFb1Q0vLZQqaGEGI2gzk3RtiiWgMEdAZ6HbRXmtA9q6VRiPjXRs097ZBJpDv86keFMQO
nXIhPAf16FgZxPMmWV+DD58SKpCWlam3emzl2kZVxGxBXMsA4DtqhsGHHrd737uztUdt1vZ+ryXj
glTdErcx7t4dVy0mv6NXiegV3Frpm03R0eaESCq2atEnB8ds1n5c5tplmI49ij3btuvv6IBnb0Pq
CNnRi+qlWaAgUzi6PbbtEIbhcGvPkXMn0kTYG2bTxPYHrcOMZFbZYPmxYyGOLeieF75TufEjKsz5
paMRkG3cAgCQPyadNiEziXgXINvlnKg80EQZQoLv06I1ZlhRpfhmS4UuXqNF7sFkr8YmxdCyYxSp
bhLgBnYNf5iRPmFJmJp+ldyzd6q8SB+Ipx5GJGYwyY7sJWsGjmoUb5zU84sWSf/jUOaNOMBVjESF
OqUZ723gjE2AvGN4hXzqgHgyKJIAjozqh0TM5nWtqc20sQfVNii3YVcIJy2dr23MXdlG71X0fCBg
O3cnmOg6Pxns9nZpiyLyXSHt1m8NMou3rGRiucyY827KzMmsDb18XqhVdV2G2L+1r7YiJ+YJs59v
W6uOlQ1QfihhOGL03j0hyUoGYGF5hCJVV9XYXYmTnqxAo6uTNYEtN/gK2qKza1zahclK59qj91ST
wVj7kWTy8h1dweKpSXZdPpmJ8TSsDidEXIR+C4TPim3fJqmXSGNr2nkmWDOtxV3dISqEwlyRR3uG
s+XbutTdYPTcwgm80tR+6mqrlBvLEV15rPMpJYJZN1j90IrSIWffDiJfAN/4WXbq0u70Fimjj7BY
9oSGYIOUW4P8RDsolDJC1I631B9hfYHAzDLjCoGPyGj0sj0dNgo6GMNvUDj0j6Nn9vfRYkHP6/K8
ueEV4F6xkKEb9EAqHook4rZB8lRPKMmzwY8ngY9J6wpOIKkee/2F3S8ZSimLw2b2xvnEcQ+MjRrP
MaAI8I44q9YPCSHNQjAMwS4ATpR/cbJu7nx8jH38oAhLqa/VRJrN9/R/cXdmyXEjW5peEdIww/GK
GBikOJOiSL3ASErCPE8ObKuW0BvrD5HZ1QooLsOYT2Vldh/SbirlAcD9+Bn+oVFj3q5eFFmBFg2g
U3ODspuCy3k1NtG0nUry9bVu90O8qvJEtbfsBOWp0ZoGyLKqN/c9uIBwS5NLACtpoaWAox5vE94c
apHFjEZU/Fbzmc+5YbJBxS595c+NT04Pb2qMFdjKeirHx0HtneuhSYXquUNVPVsaHj9eLqVjXEyD
LtAsrQf3l9LEU4Dhe5dfu+oQPbjUWbe665ezcKM7fYMzZH4vZda/xEo9XUUJvtg0waPyLrXD+tGg
/AEfacik22YmdyO2C2jmzvurAGqroyjtZWHh2rAhowFFIBcindcYqk0ew9BMrix3VoxNZWZCYEF9
7tJvBrwhtXyW3sQ5ERix3SdbO6rAKSFC2F7MTvFY0SRJfa9YEnhL0FXxpQFCqwC2ZxVP4F7r6z7w
AfyAZ4zvITY1P4amse6TxM/MtaaWWsBYOvYrzwZGDN8nZM6VYtfRrvp8yM+mbBicc4pfC0v1AXCc
F0kry7eqkRbAraLyQgE+VAOxHcof7RTCpbJDWT+TnnU62WRovBNdJfewaYWJVwFpx3lb+PVN6JR5
uEKLoZLoMmKl4Gmur6AzEXbDrs39CMCO1iSXo1EiMqmJUn23KxRpQVANdOFry8VHW2DWCWqksvNH
yjUj/4JaYex4cYZblJfnRQsM2q7t5swNBdiDsO7tF1VLmsJjUGnnlyGnE8CxW8dEeqUD3561yO1t
JogQ+bozyxxJUa1S+C5m0790uhk/x4ZW8ddm4UjEm+wkWalkLw045i4DX4y2dotYxqT8qDtUBYFD
ZRH4ASSbUq9GvBYGUt4EJmibUXyd1weFIJHxjzyYKK26wgPRp8AvfebHXBdVZ4C7VEKXAGdU2q4I
BpltAU/ZN9I3Qn0N/BvjWm2cNQdDBC6vOge76DOEaKzozHYnEvOSWSDgoLBTwSeDHVgXTSY2BdKD
YouPIDA032yQtrDIFBXCtckb81p9MtJVHnfWz4JHUh8G2XRrGgcyfypMbUpdzzfNCIwfAjiN5+BZ
qd4jbq45j3VjuhFO70lz6WO3p6yyti3vAEq4WII4Q/3NrVKUHM8iBLqa7TgpNeE4cgoFOXJ7KCN5
VQ16yZxpyH2yvzHhyAO/66LJ2iaicu/qyRU3QZ2zR6Kwk/e+PaMkCjTApYdWKrQglRxSWys6youE
ddWsfWJ/RqqA7nm/NrPG7bZBX45PeGlE5RcgR1q4yUKgz56d2XCI4qIMXmGajWyPMQWVHgk/PUMQ
JLHXCUDyeF1mddD+i97v/9L6m87rB/V3DYLr52H5zX/wT/mNPbXOFHemduIIyGTyv8tv+y9sWOYG
H+RPymhauP9dfou/cDCiwTvfsIjrzf3Yf8pvTf8LcQlQCrM82x6lsOjzftT3XfYY6flps4wM1siM
CuAoH9bekaXMpFOk8xBi0rdDACOJFPXUtGUxFZwnR/P/ZrkaBrQIVRyuEjZJobeDhWwdGKfnFlOH
nZMX/UUIjJ9bqB2y9W+v/0jTdtnUZLW9CfIsI8d425of+7eWgpycKkNL2fJkRYPZlU55Du2hvUgw
VD2x1B9vcF6KRhjNc17gH2oFI3qoaa4UltdVSf69yfEUCZQyfPz4gZZk9vkV0oMhzGq8Qt1Y0sg1
asVQk1CRjcQtb3OMnZFeGpT6QVeUahWmRfGTCNGHntnpxlZqTrdNtSZ/btBf3M7x7gTl+8gbZu+S
9NO7YfcsLS4byvDC7fg9Mapvvac7uDIXVM2vyNqdQrIcXYsxL7B+ZnYgZw6/ZpADz85jaEUNImk3
ZTV0jyXJ95oGj3LKxGLfVf+9GzW/aJeTx5FkYE/SebjYENXjCGcCVlETGxcapf6jbQViUxcweqy+
L26TyaouUMmgoKlRNPcqVWtXEWwlD1Yc2a/a+52HNXb/hYoUOWykb798vBuO7DkUQNhsDKWZ7S3B
ISMfetKSWZqVVHvjI1rsYXrcfX5n23Nf0GEEAs5siQ5R86hzQpHYnoPcdeA5k/mYOHacnhhVLgcs
vHB2ENHMJltkULkIDnPpOGRJYFOPTO3WnrrgPEbm770YkaPHfl4RXgjGYUP/UH/4+D0eO1WzRRPQ
FKbOArm4w4+tm+VAczE0PRX5u9KLW9vZuQHzrW3v+NqNFQfa5AW9bjF/ESE8RLdudjkiWGSk9lD8
BPVZfP6ts+scoBu8ezqsi25oIPKK1CMhVmLEdZeUiVyXSN6fiCdHIjIaceCnwE+AE5nvpN8DpAK+
CLIGPJAWLWxIxRNcVxViw9xCs6YtDt/++8fvev4bF+eK/TqLTs6YFK6BwxVJ89SqiAL6CzXob95j
sOpBd6w/v4qLyqDGlQo+cWl9w3xOc6bANT2qCHWDhCJFX6Gcsu889iwMZZkc0TgnVswght+ul4n2
qSYzaJNRU/a3WpFGG0FX6FPmglzG89/M7QLYjSANWPBwFUVHHB4iBTNVcgqUmgcoa6NSrAdF+Zwj
7n4p9KMcHEvIcIEoLYIeDV0IgiSYINgZjgmJQQOZ9ilFlvm1LLYA80xSFzYcDmrLsKVK+imt2rJK
Y3fEycEBR55sDN9eY839EI4AL1JD3PaheyJgHrlBZuk2gCwW8hr6MpQJq04rpYwszxzoapRWk4G6
x9QUt4tTqnTLaQZfjZCsMtOfUSzzWP5gbzhZ4rSSq9zr42KLYUm/drFACFVGGEquX1RNdwpfd2Q3
MqlhdOuQDXIrLAKo5RaibdMWfw3YSd7YZM26McDef3yyjr1C5NVmSUbCNZjSw+eiE1pNOgwDD619
Y1cwe992Ld3RoeuME4f42D5B+tScfTVVjHRIpX8/XoGZDb09MP6Rqh2cY+Knn2dqN5zN4InL2MiU
lU675LGmlblVS1M9sfyxJ0WJxZ3VHNmo9uJJC2hDud3qxJCMjjb6S+mVTS/kKp010z5+qcc2C6qC
iMgCKSWZX5y7HBYc0LaeT1cPFMT5/Rj5OLrXsPn9+FIEXXJiwfm3Hx5BB8wIt4sBLEhVlxDnDqu2
CFtNc1Z1MLZx4utfInpmm48f69gqAqzcnJ/M6AXj8ANKKCKd7+cmtjxltnaaVt8Wqe9cfrzKn9+J
egqNbFArKlNKsVjFAog7BQEAprqo7AcEa913ZFLaH6k/TWcnljr2RMQu8u69R5ez2BM6hjM8KhUM
uaGjQpoTZcfsx5iMdaT11o079DhPhWKArZrRiGg28MWQgNOqQW3XitlH3yefv8Wz3QKaTwR/A5Md
qrJ1ldf1UxnB0dnIoXKaVQy8RPcgAGcvSJAE8CbstO23hYsb2AivKlnrLZMML4qx56CVmWLKEKp9
6TmcW4n6nG49+mNrwnrIu6Tw8sjM0m0bRdabb0NcxXZFvcHMKP7GNMg2vbLkp/OjdXv4YqFX84hf
EHl9m7p5sw341S8hwjLZRs8j69J1sJ2gCVwFF74jwmTN3mZaObiNMsGbAmuw6gwL16O5eS1OIDGP
fATQrGBpwc9jBT3Lzf8eF+hIO1EIidfrG0u/yrryu4Bsf37iU/95QkA0EHoAxKDuvLwqkjLE5oOm
sRf3yfglBlyEd7sbrqosbU7tqiNLMWPF3BOkCudxsaniKgLqaEUmI0l4FLjh2Eg/jFawznrmQCfS
7CO57uyWR9uNMpyqYYmszPG9KYaUKip3Sud96CwN6noKPbSWJbwyEjTEEBw381dareKsEQt9/IHz
UXQGmze+q2iqnnjV+/R6EY14k6goW9yTBnOZww/alYbZFuS5kGf19KIt7aZZ+VAid0rs5g7z3VRc
VRa7zTOs2GFW0QTyuult1/Do7beYTEUWVhnSyCnGUohId5UU6im5sT+DNN8bmBDyabOSqbEI0pgg
w+cC2MIryvS3pgLckpSK9YvKX/85jJp9HYRx9/Pz25AKgJIE1JyJgt3hq3HoqKphMfJqEJC4zOLO
XGdqpO2mNlFOSFoeez5BV0HFHB6gyFJHN9FwSFIEJmFWSDWr0hT20Fq+q6Pi52jF185QTCduoSOR
GzQjSrrCpApB7P/w4Qwf1ao4mHsm3VDtmtLSn1L+T0SPpDzlj3dsLXpOgBrJKABwL15knneArApm
0NxF3bk2KPbKwuHpUqngiX7+m7GCDqCYDh1n7fCxBFfe1BfkLVOrDTsnU9kdKeVbe5JScfSh2Is4
fHJ+kNY/XGmYsjEee4opPOKMbcHlikyRJuJtQYV6yjXgWNh1EYdn84NA5cEOFwsdw8WrjYA0oAly
haDOtKVqtt8+fnlHVkEckaIKrW+S9GW1owUZw/WG8BRWWnaT4DO2g/SClti/WIbncC3E+4G5LkIO
s7G4UQa2A5AQcZ6HunEJfk7dfX4VUhMyE7hkmEAuigACGW0wILee1Tb9nXT1cR1Urn7i4P5ZxFOx
wbSAaEEdSmPw8MNYg1pYbarg7hdCs0Ks4Jevdbda5Fyiwv1JfV12GU3OPduPqhQ02eIcxVM3+tJg
MS4Y4xmglti6ajic1aH++fYWS1HBq5QbJvyHuT74rbyWpiLseLAtkBKBuGwmKbboefTbj7/Rkbdn
QFijSkPaez5Jh6tYDXAS0F40WlLV2Qml7s6RhzYfKvSZVgH8qxMd0z8h+bwYHauReefxfOriHpFu
44y8LZpNJfPBlYNl4TdLYxCq0JW+m0pt+hElk/YA7LYAkhF0/W7g9519/rGN+XyxL5lJLOvTybBx
15wtIauonHYVpNEN7Fz9qUWcasV8bzhxFI69ZiIHCqwcB9B9i30DKkj304mnDmoVuhNI+K07hOHX
dvInj4Ct3H38fEdCI2MRYNMQzlwYUIsgXPeSjvi+Waw03VYgBbbW+sDe0G97/hcr0UKDh2hjubA0
Io5iU/WdVJIqq6GODhYumW7c51/Srh8+3b9AOhZWKvYZ+j4OH+5V3EqZy5qcaeQMbxscK59g5U9X
tpCnRjVzZFqkZFxcOBEzYCLNXgZ7K9Sx6fBZqdb75JZb4UE4yrhG6otJTejY2bpXa3uHqILz+chM
n4tGl0GrH4LE4tTXLcNJJiyW14dSfOUu8gFAhNOJ7XFkO5rzpItfTuLBPx2+SfoarlBwR/aEI1NP
KNMziPfMC7TwZ+MPnw/QNDEIlnQRBMDWRSOjQqZW7XViph3EJXeBi4Z2mASrMVaHTUlL5cQ2OXKH
UrgwiOJaoG+xHBKl06TMJZ0F372S92ngpGdDF5460cdWcWa+CJGeltryciPZSlElYt9DgfgK/LwD
MniyNji6iK4yhyFHJFguMpxsFlGofOrQAqT8lV121nUNMXfz+SNM658WK0+DEvZiz+UFmASlEham
kY7AC9k2L2QF+L/QYuVfbG8aIuClib3znXO48UKztcnNSOinEv/EJJAuEjuKdaJnPP/g5fEli6fB
w0iORusi2tagG8lr2QEo30e7oAbDKRqn2PbGNJ0jtIRojFJe1iqmgGNhn2yTHFmd7I30gHuL+LF4
xiDSxqBTAbD1WaI+pWUDBqFz9ZvcNfxPlxDQzGfnjznUo366+HKINMHHaSzSxV6MK7RO+wcwxOmZ
NFBv/HiT/BkSWYoZPKrNeJvwbIdfbgBYhJ7JRNta6asQFKOVr7qqsl4jRTotIEY65ui/znPD7adX
nslYnDMuQt7pIn7U1TTZimgMoImWj8CYFT8khSW+UoMKtCwLI9qQ7UXradQZ5Xy89p/36J4QAD6A
YMngefHUbp7C3aG68NpIj1ZzYbZDJj44H5HKPbHUn2cd4jbJiEFFiO8cfIKDfM9Hv84qTFpajtI5
t5gqt+d+23/+fqG4YO7EuBRsHxTsw1XotMIOT3kgcwzclTVaCqIc2inkwZFngRTDvJSkYOZGLI6A
KMKRwEw6rgO03NkVUolGi67Rpz8OW58owuyUsn05SbFsgEFaCYIWKUZ1Y7S9i/QSIqNNY07nHy81
X4iHEcU14HnQWjeduSGxiCgjsmjZQLMcvo6Vv6ZdThcS3+1X04/GmyEp020f6tqnLzIWZTLJZca0
huB8+K38AKgpEHmanBiOf5fjhEgVEmVvHz/akW81OzXRT5y5byTlh6sgmG2ikTqxIyijt800mmsm
Q+P636xCSKZ8ouZbrlIWdqLEkCy8Oo/9DZ8NHEOWTidWOXJcZ4ogpdk8XmVAc/gscPSUMGl1w2N2
MqHrpyPq7Ao09oQxnAi9R9p2RENasA4pDRm2u4i9A6OzEeQ2+F2nqGhm47G3UZyka4DWorwruQFe
osFEuxmqyXoY9OwHparrepU067NUCdONXVvDPcxCHVoBDvSff+OgpmzuP6wXIDgdvovaLkZTki97
xtChdV44Kr8kOhW1/swkeQucBxo+zEx5mYerBLXvR27CGUT9z/5mOE5+gdA4Yt+pGmYrLsjoxCc+
sl1hXdEpnRflWlh84lG0blBWfOIysNUrbMymLWqd44mpyrFVSIbmhgJVG9aDh48Fv6PtsE43vMTJ
jK/8jOfO706dvCPN6DkQI9rAgJse1tLMRrJlRqudpxhFaV6hmmWf21NePjQ1SsqokQb5tyxJylWd
5cUVGpfpjykJO2SQ+7i5AqGenYhyR44PnYYZLkbviRbvYsuMtYD0wE3oBRSX92bmRGeFXbUPZjvp
Jy71I0tx+dC7m8MBlouLz2imDtQuHYBHjDjbTYba+SUGD80Wydn6xEE4thRtKPAoQAUpqRZLGYWT
/z2Hg+5avUETac5GwNLrvk+j+MQlfuQ4WHOeTjOQpIw2x+G+6QZl9EHD0N1AMHBXTTK+DhXHXcOk
ULbNGJ2a0h7ZpwxOabQS8+aycPHFXJMKRGiZSVfexzG6iKIdjIH6RKxbvkHeGdxvZqY45ZAGGYun
gnxctU7NKmPHIKhqEdJTRRA9xqnyWSAhukKwA2dIjsmn0pdb0B4Z+zVJytSbqd1KSdR4I5u2PPGZ
Zt7mwX0+L0MrePax02ZZrUXwRp1zgjXFMiIJPCuzzhK0MI0oXU8Sb9ba2UwuBpUo6XiwjLeu6X+d
mcTQcNaz7e/HgfrPt8tv4YqnK29xrpYdFD0d+0l1mOBaeVqsoF3rXPOtOCtco11/vNSfj00ziI2p
8y1pConlh7TzNskiYBkIJcYXrh02XxodTcjPr8KsgUHrfsxuLjIKA/pKFnH0vaqx5XfNGptvlZk/
f3oRtiTC5oKEDPvZxSIjgo9l16ioKroOUlSJ3sChjz6bttCq04jLyE64dElZ7PA82+XQ5nLghSWG
qDY2ee0XK0fp+8SzmMu4Ma8DEgHjTCAXlDjzh/ut2QvxPRsYakO8APH8XgBr/N5nTvp9sgvUySfd
KX+1pSu/JqXvvsLcql6NqIiZiw0x9iUhGLbe87Usr7H8dcZbAp5V7dQhhUhcqLXzOHQx1H8EKp0a
udlMOYe2WQY7B0P0207rHYlgP/Ogc3Lg/DLP44wZveyN9zFNlGkT4dexy/sCsX1lGo1ulXNU4Bzr
UHw2MkMQe13rQ3UZWgN+45Udti9G7ZPnZansgl059Ci+cIeIXVo3ymvTuWgO9nAOzJXU7cja5mqa
zNrYUEGCnfAV1V4VJKXBjXS75DodnfGpN7WiW0FVtG5QrzQbrGbyWN/iCTnBnEDjoD5XzRRxfFlk
2bei7VArH6MSJSt7iq6yujIeVYigr+WgY53iQIHAXyLVsuxMkrr4G2GhlUxCkHwfRFthshpKU9vW
rtTcqyr2iXthpBfxeZyEqb6qyezwRxCxWW4NIV0FQVAdexZFg22ybpECFesSRYz+TAdzFXwNq5kG
VNsloiGB26dfMrxi4jXyLlDu/KorYrRmlRoNeLsaXku11J4MRCn6VRL6buVNee4+mpa0m/MQRvZ7
iFUFCbQr4ecQ3uo7K0yTW7OvYcw0vsyeSVsgrGDZUfirsbawB2iT0qnQL6oHFSOJtLrSFcN80lGc
LTxp2cmTyj+zz9ve3jVKgm6vK0XVbdHB7ut170I1go7aNlh7ZFNCYjCBxfZQyh/gCaolEqCwv+03
P871p96P6mIXdDl/AmlR7FMqx6p+5EEd+lfAq6YESTzFeAzURJUbPYv9b0419v7OQdDkHt66uEXU
wTiPx849j6Cy4PGBIKEBds6D42t8HxXffqKF39geOFRkrxSjRcDNn4yYERDy3NXKiHvkeMGmZfKs
obPxQ8WCBDmMbJBsdiEiSDJZrbxxtyXPOK675QrJ67RbCSAfcgU9brivrX4q11VJxuk1TlVlF3TP
gtGzYXfGa6rfREWXpHee4A/Hmjfx37/3vUyzM2it8jJ3Rd14yFPGOxQ4U8TQoR7xueNac71cVPJH
K1PnbWiB92xiqfr11ijj8Juk2ZCvfcwubm3QNmKdqkWNAJYmhZ97aV6ayKHEZRduGFdMl7WIMnkD
jsJ+DevISteDm1vVtk3stt1AyAbhYFa5sC9jXcTDjdXUhvEIHXdCXV6MAYehQod/lZsxDk2p7Q5Y
HNiJk9+Bk2hewnlEdQZ/ItLB41i9/xIbjZpdRVM4wERX6uS5NoUooSNW+FPkVTR+Q+GjKuBuJdhQ
f68mZcJ0JZLFJW4BybArgR+i8css66UOJwiGlTOmxIc277VVYpVh4zWyr587nNrvA7xgJJw/uzjP
jRh5fuR4RXRR4jMzrVstcGwkvVNz8FST9Bm8TipJviCZDGtRB5Hw9LxuAVFMvd9fWqGaabs46vLL
oqoh6/ZtzMfDlel7ltnqA/G/+V62GdMSYVQWSqx9OWOYyvKl7MfG3eKqWrmwhVEipayqk3oVuEN7
E48xstdSbfB0Aj/Kv7RgdzyF8Atv+9GOoKPCxOq8gBF1St979oJQhtr6lbrFNjCd9FWLzOA28StL
x2xSLUasV1LeSaDGueuNlAfpqvTDWW9gEkWwylyJPhEOlcZNm1W6vm7TCVUWd9RzNE+wkRjWLYjf
YIe0YToGG9niq3ROXzTFHWly8+FxrP3+LtA6eKQOcunmU2X2I/o+Vqt99zVT+153hIKLTrOk8Wrb
OaXweQ9XbTgrhetfjZzfYTXktf6iYP+QE/8j3VkB+4QO3IxWcks/jb1Z7QnD2FRDHoY1DpG4ctPm
LtrTi1WRdOJMb6hucF1w3WSDwPl4XcMnREd8T1Iu9oRl6GrmtRLNLOYJ3rgHGg5ysx12/U8gXFCe
1cgYHpIRZYviW7enRVczQzpD7Kus8YeeidPjnkPth9Z0keyZ1fmeZT0PmiDSowzRrTrq+dwr96xs
d8/Q7meytrHnbVe5Ls6tPZs7n4ndw57jHc90b5h982bSJBI6ez448ha63DY0uyeijAm8N5rp44pb
hF+xLYFTPhgixaKJA0UvPE2jejVB7mQDZynaB+CPnfspYmru7Pnq4PL9C0NR4SlWKrYcnrlnt1sz
0T3ac94FWBxsJPdc+GmmxUetmJUe92z5fs+c573CopeKC6N+kH5yVg1JdNfuGfdcYbDv25mI37uV
+yD27PxmtGHqq8yfrLW2Z/CbM5m/3PP6wz3Hn6QAvn+w5/4ji6p8gQmNIkC5Vwew4tC9m/weISN1
lg/oUllfd62DpoA5ywuogOHdVVU09i0bHf2B/G8tAiMMfbT0Z42Cca9X0PytXeBrM5u/7Xznl7mX
NuhkKdQbDWxsvGn2ygdyr4LAtkYRQe3MiNihsUuvoNGjlwDjMrTvI7Mh9kW23Y3bcC+q0OiJHDdm
p3QVhO4UTFW0V15QUn3U7l13sHDvSGZhBkoeRBrCvWCDthdv8OMmGFaKmw6vddkO3c0Yd8Y9ZoSz
1oPMQlPsMCHotY3v+GxVKmIrf+kQ5P/1cRL5RxmhzSUaWAGG+JRry7GXgZg44XyEzDAOUIf1DPM2
M0huHHsIbj9eaq6Ofu+Gkq3Ow5W5aJn12uzF+FAxNHAjxoR/BlBT7iXbXtu1wV43W1dua7SsL6Kg
0c9xLZs2TdPlm4/XP/qogBZo8M1AyCWGYEjUMAmzhjImQsGvai3ja+UbEle1ujox9vijYuJRmcZT
0s/kRRLaw8Q8TDDHGgXY5MJnAKxo5og1RSs/2aLghQq6TSoMIMYrgN0OV1FsNfedgZtLbwrI/A7Z
V9fhc1i26ikpyyPfDjzn3C8AxsS0YdENmVSRTu0EhherRtXTMwNwrBVFI5Rh27gmkEXbeCrDqy52
yguMHcX7x9/u2AvdD3OAPCCNulwf/R4nJ4UDVy786mwcfRT7LcaoH69ybIfAfaFrAX8ICNKivi+7
bKKSGkycHYtyY0oFmxwUHbxx8N1P7xCa8wwzmEAApfqjRKxbs0vqXADtiNx4MzEVuLIbS/z8+IH+
fG3zKpAbuNnoLi1l8DRHI4Oh44T6KeBqvRdoi8n4H+ryfxRA/LMvgl6t6oKI53/wYJeKoFEkQB8E
LKM06XBD/e1sjDTItlwHmCfVTSmuZSMRCx57eW1nmrIpxgQ+vwXY5Fw0fU+jGXMHR3HzE8OQ+Qgc
xhwm+QhxMTcGlUEj+fCIZGPVmAUJNIaetvoa9Jayxa/M3HY+KbqAqDaLwoSngCDHXrsGPGiGCtGp
NRf1v++OXYG8zBzpcFRpsoIkXobGiXh2dBWId4zkmPXby0EWchNDS+Q0vS7PMEPNhm+qKk8NLP5s
MUBQndXq6bbS1d5LIP7WYuBCi0Rgcz8A4nc9xDi6Z+w5VA99BueuyDT590N9SobuQ4G5Aym6/0iY
/x8oQyfYe/+ZBn/2+vZ//utAOnX+8//on5p/EYvgtM8sXjJgnY/0twid+AuWI98H3ApgSeIWndx/
ROhgumscSeacdO5oyxPr/p/8qfEXCM69/DugCiatDHk+QYPnLzo4YvD4IBUQMrlTdW6hxWY3U+FU
2DiyQar4ziyQIy0jFHgkZt0nIEGHKwm68LSUIZFALGArQhY7PMxtSYKLz50ntBIIYJXTtcHpCvl6
v/57F/7HiHZ4tP5ZaW4U8mgmY7DFRSAiRK6kxSAaQdc1+AC0muQo17994Nu/o9Dv6qhHHmemvc/i
tKQKjDQOHyewBK7QeONakVPtgKkFN81Yt1tM7+jrnFhqTzH7/4GQJ2KqwER9LvyZsWPSdbiYbyDy
H1gzYRBkiNcVGEJiD0y7Z1MhUVau0elxURGcGnuTYqnZfXFN4dOGiCZjtl2zs3w1oVCpr/GzaipP
BKiNrihm6a24mJ1MD24XqcYGh0eMemPs7XSQ/U1ykwyGXp+1qhG8o2blBhvLIv32lMLBhtHy8ctB
1STX0Agb+Jd6UNm/onyiR4mtctZvjaK3fkVTpDgr/gozvhuzioW1SNF+mIqMkFkzdFR2lAEvzRUT
dVdc+LGDiQJU/nq4xhfI/tox4w82BlIi6BloGS6/NdX9uwNPIl31uo98m0zcFPXBxBlfZKP2z2Fj
OjBt49n3tE57rkw0T2XrtY6RXfShVQ1b31Gbn3kyZP4mVeX4hqiR/CaHLPtFMWZdVUUy4BuD5c69
lGLCxCbQg54HN0Nl5TaR9SyywixXU14ob02HjqtvZslXv7Vq3LlMH2dYvUN9hU41DIZnEceprq61
MGufM0G9QEXPm85FUn4n283v9RqXb09vh/gyUzSRrAbTYfTfopD1XOPW8pY3UfTGqelew9HFAyqe
CvS8fJTu+7n10bzCzJ6w8tP4MqqCjRM6ikiW0dMYE/wx22p4mUGjFoZs49isJpAVL+juGNe60bh3
2LT2CHPrBobAetUn36QuRrgnibyZyiEs4Ce0yUPe1QixoklgPmm9VBRP68bqLXLdFkeIdHiqEsUX
XmSP0TvSU81DA5Up3eojTmZ1gs8b3pN2ig/3FMhL4Uo7AJ+aopIbllL9iTlv/N7TLYnRngMh4al9
HaAhp1cdej54OqMcJHCp9PNYu8CyDzsnt42Uy1RPfXWVRHmprbC782EJZ1Z+16poNOBGXBv+uqtH
HeXdIshxRMUsc7qTE/VRnmn992Rwwregph98L1Dzfu5s+hT072ahrLoS+FuNCje1V3XqgK11i/vn
pq8S6JF9W/s1zqda+d5UjUGSEDndM7S/okMUYkA/qWjzYUVnPJ0QaZJVyP4rnNhTYyW5ViZ1LjBa
m1ZsKqfsHpX08NJHek+nD2mZhWcImiRwkZLxex9H9PpTsE8GlB8rSVEZSjllKSumG6aO5Q8tbFTg
8NiD0aDtlMHEqaMrvtZxP31NCPvuulbt8EdnpgOJQBM6L5lR2Xd6bWjmqkgdkHn8mAR9rdqt71Rm
CfoXxpqkz22iJeUmlSr7Xy3J1tblZNBId83MemnAn72Lxs5ux5Jxw3pEFL3y3CZQaLjGqjMbMBmZ
vjJsP6zx95b9M8pURQujQm3eJRvo3oj1Z8Tv+FpJ2w3XCOyNP0WPPx66IshKroBsQyd0E19skO7K
uzWKUqj90GfslHXlS/OpJmRiNQkC1LM6Y6jWBJw6O3dtP3+N8HFVvMY2fHZUMGJuh1gXEqSGb+QM
UcIyhgCGkLvJYMAYr4qsanlMU8GJKlCyr9i+8gc0NcZjm5gms3UQhMavSWOrSOyXY88t7KZay8hX
8BdL0RreROmY3mH/laYbnfT1PuABki0KodNKlLCi7TrVk7WJEJ6zbWxz8OnNF7Hc4khp4a8wko6f
9ZjLSky0dWPwbAbJXxjcDy8aoqhypWURv8kSYqBBCH+MYJYWya3lawq+lCrFpBuVqkCVTwZ0wy3M
oGmRqgWIA60u1xHKS6jDIOgF5Zz47CDn1hvV+diJ2tj0mpMzJBmk6qJNVVm3dZ8huOJPdfQOkBNz
MEfvEIlKQ5Fm+FF1Rr9C2qrLsIR3wxcE0RELl7kV/AQSadHtsuL+1kyzGA9B/In1lUA+5KGzTVSi
6GtU42aGQJi7JMfN2jNk4UaryBjxzki0vnn3URQJ4ZB3RobVb0nwbZCj2rl5oLteNORRtWa8ZX7L
TVy06dc7/TqMFPVn5xcVo2vNVPG7wg7LEGOIzoajY/NpTq2xUya9Ok/MXNCL0uzwsq9DSFmGb34Z
Oyt9VJPUfVMqq/6uCcnYC1HvoFkPdRtcWZlorltDLQ1o2WjJbQoRVQbw5jCK1lmdRl8Vp1TfhiKS
96Y21NmK211JztCIiW4z+A/Fyhz1+r1MBu1bEPYjzNVB8eOV31cxhuWMXhJEN5zqTSW2bdJO4A3c
6X7xltOcvytqvFzNrNZuuRac66YE0rpSpL7VFQdyI3//SHof9uDy7bard4kYUF8c7HmfBzWXTBVb
ecn5y5tHv8nCezez5LitwXL/SGhk2iutTG1t7WAcxrWLAgrKOlpZXygREgOrAKknELTDrCZZ662Q
q1YL6/OWzfdW8TZaZm/IQni9gem0o0c2LqsBOum5OxuZaTleqyEjXNrsmJkCeHerB4YpzmtUVY3D
MKcfrkrTRvULW6UWlck2zs65e5uzDOx3TtM3nr6xN7XXAkUwBf6oxgUSd2OCxa/Ws53UPENWTZRx
+4KvLSat4xgRAaK6RxzMjzt5M/xf9s5cO24kS8OvMqd91AECuzFOApncN5EURTk4pCgGdiAisD/a
uPNi8yWrpruk7qk65Y3RRjutknIDEPf+a+OJ5hKH4caZIlYIyV7F6tnn4qsO4dbVdyva7Hfqlftr
2oGMyxwQU8tLO3rxNZjCjeh9Oa5f27G0R3IePftlQzH0DJqdXYeC5PqTLBvqi8HqijG1tEt86oJt
ut5hLuVwQFMYPMrZkABvf6TB16sHXdFosuQPIXKLZocvkY81M0zGO3Jd9eWq3aO/2oIB5kGE4Y+v
FLnSUO0nqubp25OkJd614MzVHRtyPV0YRynoNCV9706Ex2x7iFt+OiB64tCpLicanQe8ep1QQ9TW
Rp4QhcGEqC8fgerVlB/D1W0RVRfEHszBmYYDhV4MO8fdD3Mx3ZZSiO6EqkLXulhWshx3yxxaQxIp
uc07wlD0Q18wdhLJBhRGSya8M4FXbU46XqRpAhJLBZOM9XWH2xJ6SI/HuDeQ8+WVUnsRpCvg3Dlm
b9qJiVFviqRa5rU6kNYbA4q3g1iftsYSd8KIQR5wO9JKbhbq4G4HETAYGTqGDTyQiAgHtsOJWFwS
ntNSAspd52FPpc26GKa7cXGC+po4wuVFl50SO5/DsU4ryw3ztCyj6U0LD7SBRNQlAvF0QYtzj9hs
TvrjOx8p5lK7Np6CPJEbHIq3dObtqBYkkDfooOgraTkN/mKPU0cabeZEx1jXE8sEgUmWgQcxFJB9
Ntc1ysGGmuwIuow+87ttWYy5Gia3JAnIZG58qHx7Oq2nJj9Koa2eMuR6AjbFBxm4r+FM6eBebJoo
26yOhdkYnAh0uimGWhzooRDbWbNOFXdHHnAM0UDbnrsxPWZ6X4320BwK5H0Ozx0xeadZIIesT42M
2zEJgXublALnMXhxcnaAHde5yjicbdkGr6YPSUHFKhNxJkyyir0rFXkW7yur+y9ORqTQfrXJYv2c
zd3SvxREtarbY6lmeNsLD1LQ7iUHMcNdUH3/WKH+EjDxf8INP4ASfwhf/D8EJsjK/d02eeyA+a3b
5Vgy859/+zQ2L+1PAfkff+VXcELEv7CKoz/Hn3fUoBw1ur+CE8L+BbQWohcbCqCge/RD/QZOeBF/
RDkIEhmygFiA2Y1/Qyc899jpgp0aXIFUq2MN1l8BJ47YyO/hCTTQiJRBOcCN0ckjl/lx8a3ryKrL
3Canu6qK/lmwLwzLrus2qw52PBjq7IZoH6e5a7YitxaGkz4kn8JaXLt5iFrLC64ZiUX4aq/NQPBl
4GV9Mssyz9Ja25bH4W38+GVZ62Kln0g66ibc3Ny5XO1ls045fZaawl2pZf5Q1dloMSGOXix3bkPw
HOS2W9qfOjus/dup65zwjADM4T4a5/CiAja+dUcwuLNirLynTg9Wny4NRc+HVc7NTZgZFaWUfi4K
sUTrdM0rla/OSC60287ZZRZWCDdSokYX+9Fe3Tq7Vnj8+xMvrqP24MqYBN/eX4l85StyfG7DvH32
8iYLDqJGk3DaYqHlACnjOtuvwdAP7HHuUKXbojSx7NYWUR3otHSgRFZkyUMDbWQdpAy7Pm2NmeVV
PcTxVUO7631f8Sw/aGXmS7ueO0En8sQgyUcovg7DNnxag7kW8NaksifW1LoHhu0g2jdE9XkHr6xo
0XLriAMGKGBCwMQhNtVXnujmL5CgxM65hQ4L8AtNx4o/Wi7JrBAi34uVbOAqj1IJMtukujAeLyuD
O4jF7nILmpAcFFhXEvYLR761jVeVJ1ZmfWpq2z/694x5yY4cPBhNk8Rc7pf54G1Pa2SjgqAq3g9l
fy6aTCAmKfPhorSMcokg1TUxr9V01vdRfbUo4t+TjGy6c6cdxlfpbmuKwAEIgqTSbzbzDKNV0zYL
OEQZ38CJk2marXM1pNTm+BesEOXXmtoEOgfLJVuSvtmIiNHzEr3LAs/0jrV9IfqYoOr8xLfC0aTu
Jsx9M3W5vdfx1J+gKiYTnmO95bvhCr2iMGbi7MdsR1xPXI7AUSX5QofRJf9651OoWyTSyHW/qT4n
58wbiExsSdY/1WxK7MeiGT4tQ2dRdl1E3ZMetRoSE/Hud1L0zY1rPC9LBm+qSAIOg/a6K6zjW12i
ccOaPOkHxB/FWyQKfyAOuZye5hz4LR16d32gR52ElFwTvrKblRqs07UYfOYXiuDfENvkj9rZOGBF
tjBIkHRNOCsHfP+ujKyjtMk03cQWikiK2Y11RyVEGaKZ8bJwx8oJkpCtU/08T1OF/p4hA+zC6pyL
ZigNS7C0ijfwkWG9HPJqFru4cIM7p6zkI7p5GjOmoMxO8qIcCUsfMveLWAn5JQRCWtPetlR5w0kc
sL8i7ngnKVSikBn5M/bEENS+D6f5UhK79VDUZfdJj+FIQXEIAcomk82JP3nmCerQGS5DRfEgyUOM
q06bxVdFw5hGm6Yql9RuRm3vPUVTcuIhR7mJLNR+h3JArrATVFKM50J5C8Lw0TJv/WzN3ztXb/UZ
os5Y3jIfkBOwIYXL9lRoOOrVRStDIbChy6ML+43vaNpkywPO0k6Su031LZKNB2FLfjLdSmzKj8OC
7DARglmU6JdON3s1OdWjE6BrRvg1Nk9L7CLT0VsZfdPt2t6yeYK61b6Sco++1e0OxJlm1Ns7yvoq
fUKJiWau+4dwmHJyNajYqA8W/VrvIqS8cF81ffclkHIw50M0DU2i3CW7bGWH3b33Hbreaac3OZoS
9BgHUImjOsi4KkrQMvEbBWTXP7rCwlfBFNuYg+9MzfXxXo3xBUziNFvKo+3aWcpbxVCyHlW+2V1W
Ww1R/26rbtWg5BdS4Ls8oSQqlqe86ERxNgXJ2ZnJXbEm+LIgYyc3Xos91oOO7nVGnRey29ww0TNP
NURizcbykEdlfQjnOVNJYPdE2ZNKae6CjULp3ZR1gU6X3HfixCNLHRiqr61zkuBZ5LmNt29hJqPH
TozD962Jtqs6xHWUmFhWX005UVHvdAF6Pr5w3jvRYESd60ZW9wZg+qjA9HqdbjFqTsC6fr2fx8ov
T2aflDASzMNWpzROlJS064kMOBG3WQMqGzVlWuVx+5lfDY2dL7vsLZpKn6Iif5tkol0epQny5O4R
m4u+GAsa0XdEm68Nu2pU5ie9qexPcmujhWHe1W3Sl954ts6h6NKAsqlPW2zQlC0IJTbKsSb5VFOC
fUMMAKDF2hzjWpuiM1FiL91245k5toEqJXq+1pm3t1rK+bzAnX+sWQERSgCFhjFZt2a4s6yAumdO
1PALRWzusxNQkpX4Q8x+l880lIDxxd7TWKPisOyW/E5hCi7XcOrD09lpR2LwSub7FPGjDA65FdQq
mWMcUaxjrv0CGK+dnfFm+qsjCpdv2xV/+lHo55nLVda9u3Ppmbm1Kt5OQtG9GFNqp8xnuioEzQlO
RP3GOtjI1tzCeeRg6qpzfxoFp5rGoVTkhUujua6yfkfTyWgDW3R9T4CJXulPiJ2R/xA/35ctmgif
6gPPuo6beEM/RDr6kjSqn9c0ZB9+n2SNFiNXjEM7F4g2g5M14zf+jazek2ghnqWXF7f9iFZqTwq8
4P7KN+e8WapcAUblYZZmkU9m/jagvvE7oyMUMS7t3WJrzQVqFuww0sR0u+Qr++2OpvvqdfOxOKhF
CEkLiGKNHVh3NrSv7XBHjFa3nlMSNFEPZCKaKZYAJKaL1oDjNhNoIaNSaJK0ZFZ9cdyMxCzL8dVl
TZ8OA1q4DQWx46x/LIVx+OR3bFHMGsZ97KrY2U6wmW0kOQ0kcx2AqTTh7KvJvT2LzMzy2vNKCGgp
99mN3tpupx36Z0rIuWlMmpEk+RAUW4eBK+f7T2h6iG/L2C2mPWNj4V0iTZbLHoejGPe+tqJ1N4PQ
juBfk3gdaZ9wmCCy6MVUUn4dltFR55Ufglz0TY3Cq4qM9al2Ol2lLGeAxOWwFuPBqUoPQkBN412e
k7t/vhFfG5413hhQW7NFx1tppW6i5zAoL53VI80MtZBvJ12kib836+R8mtfV/UQAFGLlsMF9SzZT
eeKPY1Me+iaqTVL0HVdrs5SUGcrRd4vmAOC/2Acgwdm65iDN1YVq1kIdehP5gHXbaKHRwxUaxHfO
WBOEtTMDwSQX3KVj+3maZj3voS5sW7PGNmL7bOtmsV4Xe9iqK7pKlXpAwsroOXBttW/LVAX53neb
zn0eu2YQz79bXf4F5/YjsReS90JfH989SifK12BBf9wGslJYQV9qYsL44yuPBpY0Riv/J2qVn+NK
ji8TYQCwMZHzREZM8uPLxLqHbjiW/fTesrYMDvVy74QDj0dmxvLoBxX9ZdB3JbEhbOU3tgZzzsJC
P/x7aR3Ws7f//NsxN/YP2PT8pX35faPb8T//jUz/hZWTxRLeHNs0hqu/76uW+4sA83YY3kiyAIX0
/sGmU0GKk4McrKNxGFmXz9/634X1FywewEisvvxrHh6uv7Kwoq74YWHl4qRWkv8drx7eKeEoP147
gFxTnccvOc+hEmLLJgAr6AJBtqFbWI9aCeuyi2sCZ6ZAzk5Cn8zEARnTFEpdQdefNbnrz6nPRGMn
U2HEy+AMjThhk23rc0SKkT5TShcfd1kx3WSN8qdzIghjqp8Wm85GYgHQBV8iO4yscxc/B6OwYpq8
yCZRo4UPxiEt8g4N5hj3iHDdtizts9WJzXSUfk2Jj91ieKCgZbjreP4PKRL872XkZfFFES2ssHHn
juUhRIH+7Ns+ahIEbuFwAfHdV6db2Rv/pV631b7eyE3tT6N4sgw5IH3D9uu4Y5eUwpneI22Hah+X
xWSfdSXP99Mxo/0mDTsXVr0cp8g6DbLKxxKV11Maxto7Yeiexn20hcNRPNySSM2kTyclVEsv0PCO
0J7QtMHlQlOL2SFc97+z31oXKIYDQRunuwYAoKWad6G9+Y8wbB7aaeP053geSyaHfoq7U79Si72f
xlzhxSmaF7sEd0iiSAUnMrPicefLtfkUb/MG1wvlgzI/96pHt3TK755sZJdaXV9cwcE0dyHnSg8E
iU8Fy4Sf68tlk5Y6SJpev0NwKYtNILAeqcTJJf9aZBta2bFJ8i3VoX+Sd6rwEzvO9IkVOJVzYIPI
cCUN3vDqlR7UJ8+h8N52SgYduxCZlWZyaQO2XTE1e4DpMDudViKugCyiIfU9g+PDkx4d6I0rhh1L
KLiAiK3qed265msfWuTdKHegUQRdv4vcf4Hta+08h83GzUGuJkDnobWc+YxBm1nEbX1vTIuqtW6E
rzcLtJtcTpadsryYK1kIkG+2wrOq9wrcToRucjBaOIZ3Tm5ZAm61m6jvoHjOSraqBeeV0Zjfbltc
vrpTUZgziUP1+xTF3pbQLje8BtnaftFuMJq9FVt5k852ngEmY7m56M3WvTZhVwJTQzfc2UVUhom1
+sX3EZjh2sUjUO8rPCJ9IliFtnSdIk23iJbNmzWE1JNOayhwuNTMSYnrzuFjmHnHFk9yInOq7qKh
u0DQ7TzVJIBed55LXvTgeAuMsSR4FNnoWN332vjTjqKxrj9xx+wimHzz6s5dBUIMz/LFLuUcpNEQ
rBskcl/IZB60+24DkLa7yM5ZxqrNIyJzQT9EbEpQjvnJTFL5W0GDN+8u1kDrZq0zVtlqGMJkygye
FScY5bu2K6tOiG9H+jBuDT9oYRt1mWX+Zp9IKl3zs7moMrpvVZfxk2BPAs2oEFeedHrS91vXsc4S
PcbEmE0es6waAsgGj4bXdVfFxVtdYuzYaa+au4MeQEiSSnvzXqtugbiYMuvcYYJ+z2TBI8WqWvGW
hW5Z3Rd5OL+HYTG/58o26I4qq+N5h9uSqI02cr5Ex8HeH8mQTXTlRJ81zI2/n4HYvnp+iTum0wvd
kbgG3gvk3cUh20T8wnOqpR8McmHc4TSNrxi75XfQi56SmV7wvQRcknViuX5z3ih72/ajXKxdZvGz
nIlqrM7whvR4NGb6ib5uFulcPVqc9TPbcvRFr7U9pdt0rPiiR7xMzEZPc4iJbHYxscR5cVLHy9Kc
tk0f6E8Dntr1uZ6ySp1HNPCe8dTIYAK6kORtv+tgQ7qtC5+Yh6P62g1HOzxYdRa9V2bgw7Xj4FNm
S3LClVMV1nQSVUX86ogZ1E8G+UojmJ71jYNHqdjpuGwPWd5jiOL9EQ/qYVXBPMaL0WaMXoVzxRpu
I/qEXLCuzQB3+AOVvdXIcJPafhUtp1T79nMKdRI8YL3JumRiQb4ppmyOEnZz/am1MOTtNo3dZ18q
qyOxsq69O0b+JcZ8RRxBkg8cOZhJTBumBZKmPqEriGaqjBSEJimx5DyUAEtxQtkcHnDWOnld+xkI
Fb97d0nNADVzGmvLG4cB9s7C8cHr/K6sVh64ujKJ4EGzsex768haxENth6gMjU23atzJsdUx0Qt2
LkqfHFOGX0RkKZ6SoWcNmFeIFD6TXJ8zEvVu43brmtJNKkW/U2pahRsms4iEG8tZVBezt05PoVjA
yPLJrqND5Tg53aR2X34L5kJ2zo5yLtlfTtlinM9L1ZR4h2HKj/HByOTveryQ9rGvyVNpXUzD01au
y3zSxB3Skx3FLUew2prZAV2EFZeyUjyWXVfmX/Fh0slJzbe4k8O8vi9RdYQtctipbDexOXyFSBen
DhTgeN06llN9WXhb7kPtWFvFVYFRIG39ZVz3nYzc76pHaR3OfnBSBEsJLkGdxS6affBF7rXL5qkd
XI8MZbqRHsjp46HickkUl5pnLoc9fYMtFUxRFu86Z1ves9rlrXvljJ1CsL7V7FlMagiBSzBWAK78
qSO14NXkKF0ofv0aRiBGetBhT+Zere+zXPXWpdUjoUjmLGq/KDRkW5eQ6knGc+pkZpzfS7Gtz/Rm
+W+NbLr2ZFZecCnRkti7po0LGDeowt+C3v9NEv2NlMc/Grgf/vu/2u/b7yfuj7/w28jt/EIqXgxF
RBmK45KF878UUYiw1SFYCBvDUXQZun9niFz+6BicYzN2E/qIr//vA7cLr4QclqgsFLEoT5nF/wJD
dJRy/kMYGRL9SZAd6wApSjBE8c8qTMDgbYHaaRljvOytFoM+cGjGaZ6N0/1s1XW66m25DVt7viCS
5S/mWPPyBEpTP0C9B35NjDg/TvvME2vr59w9Hhj9bddu42uBF/c+1m6f/u4X+Re77496Uz4pHp8Y
RStLCks+WQY/vlRjZd5iUG0cB/b6YRno2+nqkT53p/4zd8M/fakwU3wqthgqCCK0dj++FHDeovUS
M7X56H3oScE3W8VTQ+TY5neHjZd8CKaoceCx8vi7mc3qnv3xp/05aYePS8wL1xzZSxEXnv/TxzXF
iKJBHw+1jBDj05nkTJMQljDSJbsVsFruaNn3PK/qZ5/0BBvBSdV/RvNHxsfcriWNju342SeW3doF
szJi3866b/5Emfvjtnf8UdjzCH1jomD1I1v3x2+qWCMstUFPT2S4maveKqdzq8Ey/MdfxrGM/Mer
nGiM40KJIFxwNPx8mamx7GNi8sm1t9oC/DtaSNNzp63jK9HCfg4XWdw0MATY/WOstydCFjMTtXS8
byhcdX6nhJ3fohY0FNAqkpr3up0tdANZbT8MKLWooMxgAJOpH/IT1LTtNRELlDBq6YbTyRBP/npY
c5e6Y1X23p8ALj+TvAIDBOL4o7eMhwy2mh+/RUjKZuVWa3ZirOjJrAD9FTfdbl4bOhaHfL794+/z
56YrsAO+RdLFyaE5Jhn9HLEoYcrmqANRdXL7xENHtRNukCI1g4qqvlJyed9F/kmpoJU673m2g3Oa
L9M2Gk7aoL2ScDXK0M76x+/qqOH+/aPs402R0IHlhedm9HMMdOhbtm9NIOy5BpHtHbvZN9n6nYEt
ulg89Fy1MnXyx6/58/UrUMjjPuD+4D7nnv/pLtumHHycNiRU4FF3lgu7OrS1ma7++quEaAG4dmMQ
k5/DQMfCZzgQKEyXhoDhedTDnuLH4E++v3/1WTgLCFdCu3zM4vnxKiKdm3LvlldRUy3PHH+gWydm
P/vLn4WTDiE+6SDiGC3046soyskteGduxUK9NJ47f3WU9t7+5EX+SfeA2iE4up5Aq3jiY9r78WWQ
I5mOdo1vx6Lhlu159qtTgOu4/x44tc9tassnKgFq+xTjliXSutpCfy/J+0UTO/f1jOXW7cQ1Lj8P
/YJdhd2125DJfWqCcpXJsg2dOgNEkFFSLhrMXSwG53xhkDLcNdOi6gsR1JF7ie6dv+uNau3P88zv
OYBW29mSySCmO6Vup63SVufE9YR5691sSk6E5tS93aRIN8tTWek4PlFUqnW7iR9E7VZqQqpUy3J5
HXyg8VQPc8sJ3uhScmP1s7zpJ+meLqte6ifLd9cwGbrQMpc1tYnbp9FVm/2YdbkUJxMX07afY0d/
i1Gky4PWzQarhM6rIemkpjOkKgjwTdvVnpEWIQCFnEY1b6VHQWBzUL0f0aDqbfrJ7q2pSUc7k8Oh
yXr/plW6svckZEXjOY4zDOoVa5WD8d5k65XXG5Wns1i6NaXKIjRIep38IaLHzd4Nfh47B2slHXfH
vgIhTN50hNF4GFmPsk6jYbBdRSR/5xjfwQRfj4QYTo57ajvG1tSP1J17BlHN91MZfzuLKjIid7aR
9tdubRD59oU3Zrsen706OMsACCL74zfo11ARyD18eTcsC0dewcl9vYpCL4gGULrvyv5Yezt1qwV3
XG7T87L21Xc9u5PZh7Ks4n3Hu38ECOAiqD3vkzOsjnXDP4YKssqcoNnraiJjQ/RLv+4BEranShSr
fbV0CCj2ztLa8SFel/aweihez4ThIXyOpWCYd4iMq/rWmozS8CICCB/JeqUYM0bri6Pjbt1bsNr0
+tW6eUZK1rxmBZjmjsm0IIFRHUXNpTNgGOHJLRbkvXodEYLa7XeWilLth6WoLwqpu4nIFsim1Ngs
lcKSI3UtuvROqd5C+YdZha2Dfmlz1m15W/JL+ISAcHGt+LY9emWTKQI+SyZFuBHzRaMHpkmcmklb
LO4re3xk7emgQnl3DHQcDnm4OPVF75A0sAvLuTyHvm4abE5jvh7sRqoeDYUaqkTSqIh5A4lNlRRd
KF/WUMUemZmETe/p/ROvQdmzNM/IQDmDoVy8lG6+AYXi0oZn6Im7w+C0ebN36Be/JNhsnZADx3TQ
KHtuRSIqkYlEKo0+1y5rx03DKQ6zw4Tmr9iDTvLPcsyo9z5e42ux9dZwjUnAW07addzC23Ey4jmw
VN/fZoYa90dnMH5xDlBXnG+2Ir9g7KdCoTOY6II2FbRZUsx5QCqAsZbncjaWSappmbo0W0JnOpjY
tF/XuJjv3LzOIQ4FscPDPpqVP+zMsWf84BGdEOz7qXcC4gHWajvJAQw1yq9toMA3r/wuLaSDfUnb
U+ieRu24DaBjdX5vKSzFCTmEHl3bfrgwIh2taEC2OIF23Shd2ru3OBz3bqujC9WbSRBT2sQtVGOh
PnlWSXmpZoiv0bA23nYrojGqdhHaizcYn8w5gQkq8gNSUvlERA5qCGZMkAp3CK8EabTd3gXuvVjG
BT+wg9jZooE56i8CRwUPvKXsCiY8AjrFW5XtdFUbN12gz06LWk/c1qXG0jCBUt8XrvbOLGjsOQ3s
2rsiwgdBvsrCBidA21cyRXAybSih+/hcUH+qrwKmHbqzc1e7Z8Lus3u8Q3xihEnIbOSIPcujFvas
ibp1TjyoQjtFFzZuJ4jcMdK6fj+r2ykbtuDMD3qPWBh/jgNiiQAXaUU06kX70XpBjgrQrNdVoZNM
U15/pgkw7vY9T7OTrWgJzKrb3FUH2qHJ1fBLLmBJwx2ul8252cCE5Z7ACpSvUNAogqTwmzQfPec8
KkxDGUVsWRct+rmNLyKmnZ2Qk+rQt5oSHNnM6Aa2UNTzTpQObuMyKgei2hdhvXN/mC8r4sGXru8s
0oI2RZZ62OSIcTG9DSDR0DEIpDCfT1h55VolwI4sjT3Apw243hDgufSh/zX2Kgcki2RlcwCsG4iC
M/mAsEU21u1KuBCd4ZQQ2snGa37z2tlkB+V1CNasLY/GxBQNcp657GexH0BzvpQcXu25J0XuJL7V
EeCku8C6kVkTx2kzrt19FhQi54EGmLnnECgeKiTGj/HSZ+/NGJcmQeUo7Et2LpTHbrUWdLvnvXw3
0ZR7Z37lNp9XJrwY4sP4Y5ovx+UnKDI33BFCFUVodLW+GsfMXFrc2mpXVGF/CxA+M1HCCT3WWT5E
pM400fM2qP6OYuQWrt14BPOInAJQYYueFKmuBQL1s2AlNAMiLboL+5I6Y2dcvOpknVdtnRy/kGsy
+rv5PDcK83geESkDo6Tmb83ktfwSga0qTlerb/gNFIw/WoyN7FasWVkwBEBNoExDslZQJTudtXZ7
WnrSapvdyOVL7O8xbjUZxPG2iovjrzq1qrn2NqwFaRBXC2E4Y6Eh0GuYc+ewoPuWt5gP2+UeORYA
VEIB6RCed/x/qBBXsp1ALdtw5S7reT7m6PVa2lHQkwNv8cxdjfs+5h55yYuio7TZm4oYkd/Sk/+N
Pf2N8PDfTb//JFA+diO//Mfb9/+4etHvRf17EOrjb/4KQlniFw/PKggPE/GxCNrlH/1VqGxFvyAV
BS4AoyKHE9Ex++VvSmXHht4lbBQeXyAfAKz5Ow7l0SXO4n6crXFaB+wMfwWH+rU+5x/r24cqgepE
SlVYPfAR+T8tBmUNTl6rNRkb5seHJZO4E5MRlyao6hDaDZdaH1j6OSD1pvg6Fk0lPh27clYy7KRy
moEILzmU0RtK0yrLDnnf+93b3LhgGlfLESclJZXxLv6ATwsgmnvyjgBVIQTb24l0iFdppvqVVJH8
KULZgzL1A5gd0cWgBf0AbLNaS5iFI44bf0C6vGXgXe51oF7vA/at6KBcED6BBk/jVqpdoxxAl22m
IYZMLvwltovhpz9Cy5u0p3Wfa8dzU74Up7pZP5Do7gOVFh8Itexi5zT0vear/yuEDV0Cnp0foe28
dcSdiwyl2yFFzr96yjqSk0dAPPrAxgNEjbh2qkoAmld54E+XM/ZilTpBVNkpK4u/YSr+gN2NrEQS
DtHofBZjUfSXRe8iCt1BDbv5ntoeYhaCD0Tfq+X8NNJiUl2sFejd3gYB/1x/MAGoSCucTb8yBJKT
8Wz7YA5I6YBFcD8YheaDXXA/mIZe4cBIMBDCQKBVgiNVH8wElnFYCveDsQg+2Aun5+nNg/7IaqyN
HbWICx0FLSbH4jBibruk9hg2BDpaXscfHIlbu/iaLccdHhBEcZ66W6CqpB/sbuNQL9eH0FsyFq1l
sb1v0BXSS9x86qJdTGWnvMjjHMbKR7hTpaMuYcdDoXJzUo6GrOHNa8uVDvqx5Dv3Hf5he8jHG370
udl3lU0fXoVRlnhJexxIdvNaJ9iX6NOfyRTDixVuPelrSF77CG9kFX9u22xAsOigoZwlONROWuSK
7MZ5jBBnA6FGuLEHTgvhcFHgmDMWVEhoRW9zHXPR1XGtKcaFw1tTFqSw2NX5kIUXnle18sBQE99m
ct5e+mVG47qS34euGDsKDFBRBNBT6HW+RpZYPjmIC15Mv1iQmIEsit3EQCwP84hOG1meW7FCyyl7
KZ0YFjoY8/hzoQYXTZzAu5hwXi+fVD+ZLyVjwt0UokcECjLV91Ihekq7Zi5e5VJ49+sc4ayaJ71g
yDEWSnSDlWYHfuCemCKU2ynfTv9OKGPLJyMC4tHKy+Yz/yWeF8jcfB9O43BfoQm8bGDyZi4Q+LtE
lC3cvFE1zv3Fw26Gui6enksX+g+9r+4RiKHRwseX9+LdUaLDQMzNnWhyD7F6VZsKdji/hye5BuWW
+GZgxK5ZfPg9VlVfH0GMbjeWg/kGdGDf1Cjqw3RVnqgSBCTBNUkzckbvX9n2GcW6rZeMlh6STIfZ
S0PGMRBiibF6h/6vvBAOprvEWkxWo/YsZn4LEn+zRBBZdh6E7fpsz2Z4dZcQQNl1Ru9684ZJE4i4
KU1OGCGiu6m1m0dEs4TiGoDeiJZQPVxWTFuvpDNOOJ/HMES1aXfNHS/qlUmtW+Ie2cjDG2EvxZNA
y8hF5wzqwvRh8Nqt6ujNUvw9XMz5+pkQ0vyacpX+XsUoICEOw/ZRTvbwCYLfvVg6hYPBEqgsurAY
xuMMOX4pKAHAFi3XVp33GE7NoTHGf67LISzP0G8g5ZdW1tyNFcgQn7hZEdWoiFTSXtnqKoxRiqWE
nVrXyg2rLpWMm/eNWyxzKrpC349tryl6R2d+wefuNO7lHAiDlwKB17Fjlf/D3pnlxpGkW3orhXr3
hM8D0OiHCI+ZFEdRIl8cEkX6PJnPvptewF1Fbaw/CykryZCSvGqgHy5QSBRQmRLpk7m52f+f8x1k
z5ALgX/n6X0n3OKuRsisyc0X9hAwiUTqoASth5WlJfEZfeOcOnDKXIRbszTYOZcqbkIoAeFXxWCN
vjDxfzu+EyjiMRU5IHWnoxdJVznJnqCXIXSzQZl9yNWauRS0YL+MyStkFVVh5+xKznqh20SILcYo
ih4RdSesq1MM8SieJoxidldrFeTkztZ9HfEoQKEikNS/QIBFHJIaKyMg8GcdNdK9kShYdyFoQwgN
Q9WrlyXUk1uT/T57hyjsnAUeN/2cPQJs1IxVoL5Asml9bNPAuGak0FlXg8j45gXlIFa6WkSfwzAz
bvNRHcZlYJbNHe6edJc6TYA1Px2RMyRpHXzNCTipFhQn8vshsyZno6FdpVpmVQyrMba7O8FjIg90
dtA6tJMTmTzq1H1sUR1tOi/NypXrxVpwyBUTST+d5zxcJZXwTPn/LTyPrlNR1knQ/S4KGD97ai5e
tEmUWL+E1Ix7mUIDCi2ztoILALt5iSIDiSjUpZx6eKqowxYsvOERpc1kvuhyNRywoxYVIqSK7+Bo
iW5etsyfzXJwgd+i5zXQwNhtKdBBu7R+EZlzPrAEIjB6VAydRdOW9oCaIbM/O40Qe9pI1rNmoyrD
DZQFyZZeGn/ZMDFRr1ytHeo1sve896GLzuPGLbJW27Qw5ZvzDoFBgPGxMj5SelGeGugft4NtpPFi
9jKurNVHNq5MShBJ+YUAETTcTcZBI6OpWKC916NNgdzyFk04r8FIcZBbVWSZ4Q9VhDeaNk/woOi5
3i8K6KtfgnQG/pu3/AKfKoH+laqXMyx1Gh4hE4erXwVmrT0X+DKpW8XOE2rOsfXzJkifiYFNBXZU
ZGSUl+aRWk0nnp3K6B5ddWbDP1R2ctmP9C75LmlzsJjnBKdUl7d9A1Chmc9CsIGPrjnLXonRWCsN
u26KbygXVLzCgUaKYWvJhxb9DKIprHL4zwM3ezQdxRhWnW63w0ofTfS7LrvSL5isRoqIRus90pFP
z+CyGHd89ZzkwMgPBna+c3sehVVbbbLS8vKD17lmtxFpMV5hJJ6/UfpsbvsKhpsfF5l9YegUUBdY
TptiGQpMJog+GvOpQj/HftmIxguNyuXoW8x7LoO6CvOFnRTAnyONXdyisxP1pu1cq9x3ERKTTUku
wiFW1dDyrSkTF5kQU7WIGUMGs0yofUgK3k6cvmzeOtijrBhtbYam2LsaX4MI5w87fqe9pyTlHkSZ
9B/jykFYAhQu2RT5PMCWZsSwDO3ZmYqUpYPPhIeGjX8fDk2nd/cKc2TNfBkOB501BXtbu/D4cg+e
W8KT4XO5QcSsf8qxD3WLzuuUs4TawLw0UVV+ER4XtReFVu3GVDW+OK0Q12ExBrrft2bMuFEb96a2
JvQ0Uak3AhWNEtm8VwJ1VjhW5hpns2UdeNbDR02Y3rM3FUJKg/HdroxxSruNaXZYJ2D69Q9W0uH2
nlvwpZA6Wn1PTMFwH07skVlMVcUt9a3kxsI2F/tuYRLva2SwKFHoQw1W1JWjSC/OZCv2TiUf+Mmo
wuS2S2Fkb1OjVT6Nlm58CmrdO9jNEbON9KNCa94gPlNDe6D+jAZ0H8JN4VK6MD9ghXFYSYau8pRU
NmuDCv2k56eusAIK91kUwaSNxQZL8IR+r2iikLBCzcL/VDrddR5GoDwKxZ7P3EGEo9/PAVWkKOmx
hFNJUqGT2AHekianrIvOvLXXRCJUwMoTPb0UekfJTxuK3sHaIDsBXh2P7SIlnlBZ5jWlvO+Nrf9s
p/+pSa7h32unD09F/OXVJlr+/e+baFP7Q+50TcSelsGWTkbAft9DG0DFCAoGA4awQLaY2b3+2EJb
f9CMRG9AQAPaakTU/NEP7bRiyt01tSW5i7ZNEqZ+y+37UzSKadGRtVyLxFUN27E8vZdA/CBSYqQc
2ldrLDBafh7RtLLeoB9eKJ/maRD1tUdKp7IDh26jiEr1okCizK58qSl5WH2DlEH5bd8XjTHev7iJ
76sv6CoSuWHL/zl05lSpLX95arIHBp28+zZG0C1WBmIMpGl5VvQ4k7rK2bx9tNetTBf1uG2TukEb
80g/dE9kJf2M/gLCZEIIlBb6kGuzu4pgiqvfPwrVEtVSETISeXByu6NoStlqFEglpjpcomBrdlnh
9O80TOW5/lUX+X4tqDg85DkODNDTECiX+KOQXSesew2nCjJD9YOH03Nb0KA6pJHirdSoejIxqb5z
ea9FEz8OjKyAtEtZADoy1V6wD2vqj81gAmObhjDbTHzcdgQRpGttEvX32eZvgXOvBQw/DkWKDjoV
ExGDenIn52JkLTYLqsVaQkIebmiUMvUX3HrPqpFr74hOfrowun7MAlKP5ZIqdYrs40uP+1IF65xO
4afWrNWVazZPEx/ddy5LnvarR4eVgkMQp8i7/x1C+HLQJ6CnhVlHMSkTmgJIL85XdFjMFd9eDK40
mg6eCKZ3chx/GvtYOFQ0R6709zATMN28PGhg9jFhdWzZ00E4CNixwD5rHS3Cd+7iL48jQWKOBmJV
kxSFl8fppT7NTjjODHnisxUYJTDXKvn69jt2IjVhaHA5YDeO/6j868lh4JpMOq4NlvgJG0o26/gy
vd7cxGF6WwnzPMMtkCXmphGUSGqxZbhsU7vfzWp5PnlglTRB596e35HA/Orq8cnoCHORfqCxOrn6
mJ1mhHKevY1VIJagEJT2wXsD6BcjFXGUBSeCKweVePIs1TnJwShzj3OMZO5C1UpqiFaD/naJFSN9
L4X+p9eQey2JESgn5IfEODmc6QWp4iZBtFASMAaD6T5ovXvA6rYPrfK9bMxfH4yKssy2drnC13eQ
ZZHm4AiOFgMt7i1hhHgf45I1NtAYfRXodf3eUPr5dZRyR6K4+ETyST61pQW4LsUAf3zRe0P9IYnc
z43m7j3SOHDe23hMNkr7OfYwQTa6PwfV7Odqus0bz15kLRYcM+RspyK5ixQ2h2+P85/Hk27wpCF1
8LgpqMs/fzHZAriFK+yy3+soaS84JRVxcD7t3j7Kz+OJo7BVROHDVwt94OujaAgBXI4En69R7ekw
VpFciiZZMGDMgSbzzkUdU0ZfT4AcD/Amj1cKXQ15Pi+uyhgCFegAm4JKZUO+73vbzshemcQZvlqa
u1Xbfk2sEB8g0tLQXdXUhz+pEWZPX8C4+S0ZlZxKdMRqQHwQHRoGAJbXZ4NyJCS9hKvPU69rCKKe
uxGRjBHq71z3rx7mywOdfM4A61GPizhQgWB7W7JKWKE2f29yOLFZ/rge2G7SfkcrRgJmXt7dbCSV
t064uyFb/Os2zujC4pOIngU2bKBogWHfUYXs4m3L7n7aUWhEwkI4ELCL3x9XaE0RoUCZZpo6ec6l
ljmQKZgN0dhgB2JmXOeh0/oesQbbtw+FyZrLejWo5PeAx6ehhKONdfxivBhUKrisIjFQxxfh0NTb
TEN3uDCF1+RMk0Wo+rjtvVvdhIxFM7RxeqRZdCn5TuE4/KaBFv0Y50GhyDQSMsM0Pirk8gDFUXq3
/Moavy4ehSybfcDI2knbSRQZyGQoC1TLNJnr4L6tpk7b45YBYDUWsQ5VDx1TeqUgQ8qXncgm9Toa
Yz5BBdJZQUg4mfXFRhWVhV8udIdU8aH7zS1KJnX+EFWy8dAlnNNSwYTSrj29q9tVP9pt70OZNTa5
S3d/CSIy/hYqtMbAyyghVMPSA2jg0v1CRTIAvdjgNYf30RIPYiPKnCBJqXEZCL9VxzbfQHoU9Z43
3npgaWTkZ6nIhA4bzok7iq655UwL0+gH4ECk7ETSvJGzrQgXES60ITgX1IXD7CpCZym8g1pig0vu
kwp2C2rTLAIgAZIu79HiTJ42KpAHhXAn10caK7qdUwbtFxNr3CVu7/jKcSsHWAqA8N5PBBsoADRm
NfkpmuCb1EvrcKMmtJ+XXVWkD3Au8m9CUMqki59i9m4mJ8mXPXD6SyrwwX0MTox1QFcG4aLjxYtR
d1S2u9My4aYrl5wT20d3FMW+OXh9tLcDI77viREQB9w+VJOWgHIMzGCsCMVn1G7IV5MwU+4bsDuz
Ay89yWQ1CusJNzgy630whPhKceUr5mWIqcLZ17nAT5PR/Ev8rholK80Nss08ZSX1hYJqEdV7I/xS
p7mk6ZlBni3KFKnUyguzuDpEfTXdmRASu3VQm1QMuzEwt2Edw3ULDaJ7M3gWQ635KLs1dVEZFZCc
zrVpRSRRN15HoohzGl6Te5G4tXeFCHm01jPozBRnlhmODcAcvYId6QxVPJ4nTqlYHlU6RYywUj03
bDgwviNGnDOIT4hfvHxZtG11pZRZr+DXtsVZ05gQLFkZac5tYaAcux7yRAC4MGgEbSpTmzNShduw
L+5gr9F6AeSr3tAdtcXK1TE+bjwiR5xwb5qlUrjw8WwwqLuEj1a8Y29T2NtcoZa+HKKOXKgxcdVL
R1GTr5jW2ui8HPHu+QVJlFBMlcz9EGmA97ki4B7EBVG5XPIVgJPcANioFhb5BfALgRw8UX8LqApH
zeitsoLdFkRdizpMgiaGFq9lzph0vB4WLfODHfhpX9HN8vRW7dZRjfEHBVExgl4KyVtbxJpsFSWg
R2WTRIMeoRsjcUMVrV7Upm6rm77euPNZQmMHwy1Y2sjvUcILCLBec8GurvRWlVNjpkpAHoDHJXkL
hAD2nzOQ05RP2yI0oVNXWZXisTIox8sowkkyXSd9aUNFVOCAtPMX+nDWJ4gdWAhHxH67ODRIOOqL
Kkl9TVWq+2gYBu+ettbcfDKDJIv8Fq32Yw1RirdgFra+sRF5eIdSlJaxd+mMOyvNcXKxFvRSEzqP
ufGAyCnT0HzOfHUM8pQwy9KPf4xcL+s3+RSpW539R7GSkAGExE5qW8g3dTxujUjqes16wLHB6Jga
jU9e6GnJ9gQ/nptQr4daE9fwa0vzc+Z1yTM83YDSXtPNqOvrmojVCAXV59RTUZ4PuV5FyxwYTbgx
IgPaDZZH5PW0/jGdKi30hE2J5u06JNvIXmYUSK2lTVwQypYhQT3Y473IDpTi6+mmxRmsa0s3b2tz
o+tRUdGMa+nLr5tUqGLV9TCKFsMwxhfK7GghheEintO7wfZCN92y/Gc5u6rjTlQ8ReEYXds+OUlg
ifs8qqy2Xmi90Og8WkRtN+uOVX13OfahvsPFWz7AU9NgGAZWkfgO0WrpPiots2DGkVVNPLho1cjB
8xz6Y8LIBxsPh+kMobnx9ImQoO+rxP/U/v5JxNiL1cZPUpqbp+kxesqyp+ZlAfD4Q98LgJb9Bxtq
18VCJAF+pqyJfC8AmvwJDUAsAOQOYLjQWbX8KAACVmB7jBtHhRZCeownxep/VgAR2ABioEBAQ5tt
ND/9Wyqa10sjHeyGKnfMbBaktv50aYT2VOiBh0Cyy0xlPQE/WYTBYJBrNnrLF3fmFwW9kzXu90Nh
fnA8bGMS4P968UkdI8f77wYLN4C6Q3ZJBdIrc95ZWP58FHYqhATgraD8RdL666Owvp2QyWYKGG8A
xjbN+VVBEX7zu9cCZ4JfzgRsESl7GmzbYU6ZpLJnyX2at3lgaMumxUz79lGOO9oXC1duGRU826Fg
SEnIQmj1+mLQWVnDTPt46TrTt7o7gwzF6hE9QdIBK4C3NTv7Kqf3NGVnFs40mpV0mUqfMNIFmmHo
35d6pZ47c3Tz9pmdbIw5MY8tp4bqkIgEHC1yxf1iRd1GDSsOVecrlGtUUdr8psTivPDcaPAZSZMf
AM9/58keB8jru4GXBfMjLkbKtbp1MoBwzgwtcacIshD67kYU3bsWwi68I6fZWC6wi4FYz5WbJsOu
96B5CM3+UET2uLGNItpFNtKq0GLT+Pa9OPGKYUQ8BnlTAGE7bvG+njwllkcAIZsixn2tTBMWmGkN
z0pXfCfpWFMT/DpQU0815brIg0sYF9h0jcT+5JJqBwzNGM4ooSDodcBRBOQCPSkxQEg/M1hBo/ou
w4dutpQDtaX5GtXZWPhK0LM4VGJ4sw2NWqb4GITx25f184uEhNlxmZlQ8oFYObmqAcnm0Iwqa1yH
yDikV9mmDs3Bf/soJzWd7/eOOF6pDrcNtlOvB9KcwgexYgNcmqXOq6y0R38Oc9uvSqRBegpG4u3j
ndQzjsdjYAJQdfmHEvnr45lmXFcscHmjosxZEv1K8F4+wT0G/Pf/cANBDchCJMmc7mkpji1dSmAr
mwSHtHkkdhq5IIn+XkjbMWPr5K2QjSBeCAA8RFOd3EGtwz+YIBBczqZXfIgHdbxA5w9ZOHbNDW59
YFRabKy7zkmXwF2diyDR9PVsD9TRzvtgFfXOsKvSGxYv1SKa2vwyIveSoGLF2tZ68sD2Noa2pnRr
Uwvmle7qDeHM0FqyxOgXPRaLpZ659o68yuyd+U8W9E4vzZafJTy/DJDTcoXap+XYRWO0bHEVLWPH
BUgwp5nveGQDd3QhfMXszknki98ZJb8Y+yj48f6iLaX8dZrETkSD3YS1w2Z0MqKtVxMFqcishbfH
4i8mUT67lk7VHSemcRpHN4wOcio9kKYX3eB7NY0bctFxPfZYAdxhitaE09bvHPRX99Rh0aHiA5eu
x5NKE0tLFXcN+2wiE0FKjEl6pnhuepP1er2FAxt/6owpW7tOEb9TSvzFTeW7zBJD1iXpNcgze/HN
SHlH5mGK4+UEd26pFDANGkCd78zGv3jB8Ziy+ZYfCRZRJy+425qZhwaZydiiDpDq+rh1anVCzIdV
7e3nd9ppkIV8TOi0aamkGUQTycntxRXpE+BtrUU9lwrtoSLWng21bysKOEihF1ComhtqWs1acav4
chLFbZTLXSdY/U0Ru9mmqo1uN+oITku3SH7zdn8/OQd9tKyvMTu8PjkPTQ7NTk5u7qzoaiCE5Rxj
kfrOm3JC32LmPt6Dvw5z8lRLIhDtuVXNRRF50wpbM8zTvrKoSk3zVwKfo11jYYRQCWa9rbMwQhyB
CSXuou4qxlPtE+nyOFJYWmCbNHaI7zo8fLjQdN1dOe4QXvVeggOFws3KIEh1nWNyQQLkPb39LE/s
n/I6ANjxnjFX8+qzM3p9u5iYUdrUcDpa15USs/obyTneHS9urPrYuL+2QQE+A20FsR5kylhsM7VJ
ldJOlE1NlN1XrRJqS5OXF6eN5oSrNM0pjtWlod1kFN8IsS7R/AIBa0125fGACkdj70sFoo8zNv5m
A02yw8y5rGe2z29f4PFz83Iy5QKJG1LhtIHX4z2UL86LwVrPAYh7MoMXdafRL4jL4Z7LylZjHHl7
Vh0lgje3JwmH3SsbnOE6tmKQR4W9Isge5aNlvjMTnX765S5GByfnmbTeWT0Zr0+o0evQS00YN4Fb
jneZZTwrNWLSieLGirCS6Z3DnbYW5BOGSGd4JuwMg47Vyduat3DvcUlSdqQoAsT5LCWadtmNILBA
OopNyoISMhmUIYRPKXLsHDyMN77zWupy3fT6OfBKMOmzfmX2VU/fS7JmQMjCt1gYek4op5qGt21n
t0uW291ZFxUzyLbZOtezpjwo+PAApSLYbfPSXVUjFeuwSrQvlZ4zfVR5uo9FTflQMb3bPu0x2lrm
Ey3es7cHz+mkyjZUpfktEZB09g3v5CUnHNwgabeF6yAme+0VyiPc9mFBamv6zlP65ZHIXGNjS78J
CsrrQdHWdSX6elAWilI8p1MC07SiD+JFqvLOkU6/vlwTFhQVFr+qMzCOq/oX78NUmZNmCS9cxrVm
bR92o2dba2TmA8lCWvHO2/fTWKfuhfGY4SdX0irIw1cvHyHwXY2Tg5VMM+sbcqLJNsnMDaGpboaA
/+2n9fOVyZacJg3zPC/tFO7gVTUAI4hJywBNMel/fSkwYwQ1cCBLXKUk0x4gWyTvfAlOm0u6fMF4
xdgPO1Sk6XG/vka4MGrbKkUqtWy+q2JmycfzksithMJ/Eg/71DE3SQTMvk/feal+GjWyq06Hh+U9
BQ3SFV8fOpusjjB28EhYMQwi+6pgifczZeU9vPckf7q5HMpmYQjHhAvWjrPMi2GTBFWLpZ1VTBYW
lEuFly4ijIyrAl66nyYIuYeqbtdvP9ETnRZfJx2qj0yMxVnFxOGdzF29LnCqkD2zjNmUbeouS/xE
K8I9ITPhpsSFMxcekHujuqjC1jyrRdCS1915OxGmH985Fym8ejWByXPRba6eehGd+JOx7MZ9TQEf
IsfYjmhUnAb8nFfjwLe7AQJZ4FSbKujVi8pe5wULTYDQC8rh77Rmf/6eATChlcecZDgMc/vkNOi2
mGqT5ZRdWV1fMpVU57ZegcZju+UbXvgttQS0eTHQd0hG7cIOqmbTDtrkUzmwHsfc2BxvzH+KoP80
5KrhxSj5uQz6pZBmwvZf//UqkfXHz/3wE9oGukZeG2Ym2fc15CD/4Sfkj3iK7Lg0XSqfeMH+XQvV
3D/gclClZOijwJDlzj9LofKPeK5MO+xjLApCv1MIPVnMo36SlUloKQ5LeUpMp0oHLCq402hk+FaK
ST1DVlL2xTol/SFWWiI6A22Vlv1Dix2BJnFx2xXTwK6CNmxKW4lNTdZsZoXecZPC2ntxN39ROj1u
Bf96544nR8te6qNchKSqfTK3Dhl41MLqDZ8Is2HRwgDYWkI9QFz/Ks2JKzVDsd/KznQ2X1aVuEyl
nJnEt7tpVqedk22AjOBxqNyP6ApU5igcAll47gG9OKM/qwJ3IhyMXGQYoEHjO6QhrSwWFEshjGTt
w88kzcPFBuCkJo6JMcJaAmcXUB5WkRl/sqkeqjnKvn+kf+ud+p8WD8QwJryHhcvfS4Z3TfblHzdR
TB7ll1dvzL9/9vs7g8f2D8Y3XzXmXJPKIu/F91dG/gkFLNaQ7KbpKsiv7Y/uAYFAKHlZ5fJxshxK
a/zQn+hlGgt8QWTiCko/ftr5nVeG0s6rTwGWYMsEHkW6MJtMoHOnFQxbJwYxpK/1Uam1T0Ts7UVU
XCVCewSIQlShhenEDdf8noOeBs6qycon3AE3LPjvOsM613Il5kOtn/XKeTxH1yDf12FLWlAxbKws
vkvLGTAFTfG1jUXG6pNxRZqbt2zKcNd5080k0itvwJxF+cmppwe3tA6FG9xOMSa03FamhTeT3OdZ
kipVPhG7Rsc6wSdgtd4t7OCbXKlXsa1s+xA6S1kLbYHH4lkjvg+WD2R6BxyMcwsI55Z2A+Rnsnvc
eMvnd9vBShZjfp/nydeiZMIYDULLIx2map6WT4JYlEXV2d2iHUxexEIqVWNQAGqg74c+a5ewYB5K
iRaLxvQejxjGs4QKdjhhc9RGeBL8ZaFZwKHhVhz7lHTz71you/xel/wGw28sqUjV22ulUbb0A9dD
7tw12hguyfgzV0qkr4mS2eIGq2mmNgbt/OEmJFQIdIK+96bgWR/Ka2yrxULp4U54Hvd2hIe1yvUO
Y2aprql8c84CKgNVtppCP2jUPsmvdKdlI1nny3Gq7/hZRJOus51sh19bGusM+hQ3mf9M1/FDVIJF
DmIaSrjqIJi49ROAFJCqCh13xB/ZwjHJ0xtBNoAQ4EnMTX2XhPOnwSBESVUuCJ45ZEkAy2Our5VB
fbTKKlm4o0mXlGU+fitxrXX2LQG0HxTr1hymp6ZyL+Mwvid5h9ZMUzzRDs7oT6wTD9Br4OZkf0C1
R8Nc4juK2UKB+KCQWRHw2STedkymT15inE3J+MCe/LKMnQ8ZPauFZSiwCRqsQfNNiAUNHnBT+Rlq
hJU1eVtTIWUbp4cLtwFUTVJf15qy1Xr1U5/Vd6lm7SynvMuQLgZzdz6RQ6wRZinJqHfBPN3oHh4r
RZlv4sxGHVsaPmFx2TKbEoxRhvCWdtT3fq9bnwEoZyBdgi3c4RVAxDNsXfMiaIrKrxPxBFRj7wn9
oEQpFZRg5U7m0qGWCbp339XiqacJnbrayk3yc414HCQp7hXMM0DIvVhh21spbm+xdG83vVNv7Foj
wmno2SkHF0aC9Y137F5J2g2ntxit6VnXmk2vK1vYN1uV0NG4Se6DSn0YOvY4g36Gd/ZKmwhvAitC
vGPn3daD+ehV2mPrWbuqzY+nNljubaEqz3jE9/QGd5XCzTEH7cz0oq+Tat1qhnaYelKW58HcZ4gt
PaO6hoZzo9bKFgDKdnIZFYoZfcUkfq3q40M5kNoBJ3uojT1Ey0MyzQ9Jae9Sa3oYivxprPTDYNGT
eTGh/+KTfbJk/zE30h2kLXMse8qNxIuNggHC2QrBrH4kclr1g7r6jGKkWlLo8/MqfCTE+4zc7TUq
rzNieT4nSHfKwV6/cxayiPLXwuH7WbCLtjxLo4GonXoBcmrXdS2EyllQbTCAqUt+1Za+xyrUszMv
K2/gHj3kWniopmBfCoMA6Pi5BbpxPJPf+pL/9+IA//ZvyWM9kmZMKHTUNv/7f/04tlyNvvqXVdHG
7XTVPYnp+qnpsvZP2qn8m//dP/wR6Xc7VUT6PZZd0crfFpJy/bLTjxLlxQP5aV18Fn99EifmIPkT
P1bEDkAMGgCYeXAy4PSRH/EfK2LyEzBwgAjkCEiPaLX++/vuAnr1PLw6lPDZf7lSlfzn9/0PPuq0
Sqgx0ImkQ/tb7iDDlMvKv0aP3EjLiAbMSSw+OFXJlH05ht0pMzutnbG4G065dhSbFz+l2aMsg6Ob
rNVVnGX60WWmgNYmj02azxiO+NDMoycNb6wg5U461YKjaw2BkoHt8+hmS+cqGn0HtRlZVNLvZkvr
W6TnpIBN3x1xXQjdnhBWsSHYCR5UU8VAmTMlLT2/Z65CsSktdmMQ4LarpPGujARi607a8dShG1na
1k6b8h+kY885uvdykqx46bH0ZdLch4gn0ramtPyhvcuf7KLky390BOZ4A3NpEhyPfkFPWgfto4tw
qoLkRkhr4RCz98dciuGwTTN936eVRIYeHYmlNCeGsQlqDp4VnsXg6F8Epo+XsWpK7zlojP7jePQ6
lkyJ626QDkhWPjGAr6MzUhxdkq00TDpNSb0YhCQ+SoUUqGt6jMaXAgnnDtE5jktLmi+Bg+HDzNNM
OSuO7sxIGjVHUEfFJm7wczN7ayg9jKOvs6OPdwhr6fZspfEz0bF8pkc3KDJDd/ZbaRLFFZIVi/Lo
HZ2dLqEu5+AorRrNNxJrYO3Wugf0CO19rRlVvUyOXtTGjelhB25LVmt99KsalaWfW9LEWnuxQ4rU
5CFxNKXN1TbmyPKHxGgPBgnonx29EJlvZWS474mOwyNr5iMF9dbAOtsdbbQQwjVifo722p529UXG
r7CBQeC/tUfvS0FaDNX4NIEohTQFm24iHbvD0bwbSB/vKB29vTqNV8HR5psfLb/x0f6rD5jLbTes
l0YlIxJNfEDGdWDFxVPRTOW3SGmHYNfTvJQVD3CArT0lF4pdht1KTDrovgbxmL7N0szYBgWxmoy/
wD435qordlOlCH3VZaFtYJiyWG+QPyRzlOOJ1GUtLz5NbqiXS71W9Hatw0f6CJlVACpkt3BLKKdb
kt02ClRwozLdazO5TUs1TCvQweiGPxiwDgaeWMnzVsm6vLBALIKiB95EGjHAg4dJbZDQMs7TYZVC
i+3PJ603MmB7jkB5kGpEkPV1R2SmDT8tIql5KPYFfYt+7Sb84pVTe3O2RDNLcrp0GFKf0gmYXkzJ
HJgLFZ5I5tcpyU002Z3gdiQi9Jlkd91Y4zeYapyzEAglnUZZDmPJKqQG3MMivLP0cj0pg/e51GUZ
PgJxgN1CGzTGYd1cl2LSzkXhOfeB3oJPJ8kc+I6aCrrUQVCNzyKs1cbP5wxfmKVDEmtqFb1yAO5r
2Zqh1QB7KFDrUvLXbL+dNQSVWqsoX0C6mcui1tuBX8dGCrhdZp+7tYtn3GYwrx3yssx1o04qTBk0
BCyDzW47RwM5vfi9y2qtDHN56xHjZa0ms6mavSFITrCxG6GwRZyP+5aULxotkAGuPT2MvriBzhS0
sGYMvIsIX7zj23zLM+hYxHBd920Kr6Yt3aq7bCPd/FCjqXWuXBvO5tITE/FbQGkmd9XTQVq3s3Tg
pY6oiTmLCI1Y1m4jPucEiezthkgrOlLFcDF1tfohFoVAYEvqMTBQz42/BqgJ7nHjN7y0KMPgBIZk
RaQ2igls6qy83X5SnNVA+HR9Het6StpdpM535HSon/MkY4ZFW++VN7WW1qyqQZVWycUwtMZ0kStt
Nq2zoSYTJ9SdvPPbBMf/usmI4aOYmHkXAtYYnTWjJH1yhfeiiK8MpYQ+Se5qHPlz4yDxhZYLP2O2
gon460ZU51VT2ODUeNMempJ75Sst6so9+t/qrpqiokYLalX92iDglDtT1oCPlgY6fgKACI/Ll7ql
5Aq8AoekDa0ZHXVHykRnrkuRNX7jTG26q7y0vBe0Icg0nGL1AI+y0OATxIgmSCfTb2lV2Pk2YfI6
nyZkxJfFjG9745V9ugnHsIB4VhV8+NQ8FTBTy3S8tke0zsS89FCEmNMh8x9k/wX9RtsG6k51UC2z
4mZJf2HNsxjWUVaYmBXctLlUeJDZ0u6Z16YqSQI/ipuu2yha2W//fy3c/qcVamg+vrV4k0Wa5h93
//ovET4VT80/FiJu//V/ivjxS/NyCXj8LX+WOM0/jiocLNsUQ5AHsmr7s8Rp/sFKDTeu3JFSy5N1
zB8FG+qYkmYuye/S9Y1m4N8LOv6IFhVeXtd12IvSOv6dgg2Fn5fLOSl5sjH/YMFEqC7ba6+Xcwx2
KEaN7fmNKSq2VWNDGhbUynlDIfH5xb36xf5H/q4XS8fjseCRoPPwcMno8ppeLh0pzRNqT0CF3xYW
rNgwTFY2IIaVFzV3bx/pqNn66VAuxTCW0OhsTzHUI70Psl64rHmIloXhHXr3jlTgAcOMCflQCHK6
+n5nQ3Pwg6H6PDmIzAL1MiJU5CE3yHS8lpzCFbMAG7WJsFxyTiBW6Rg7jHwVJb/VeaSYy2PwbGzL
+P5Rhh0lFS92holLM2cYNM/viKuUxQ51SUoRa9NhdvBsB5Ov8EPf919/a5iW24zXDwTDFyOMQiyy
Pjonpz2yLLYIfMw9atautXTr8iqs++eMisOVPYrzAYPAIlew0EUxovHR0FbmZHvnPQWSgv2LX1eJ
H8fuVWTShmIsL42mp0RRn1f93aikwzrWsBnYlm0xqzp4oHImXjf0HiYWZFlalTeDsK/GvhlXLQQe
MCUkuRJBQ66aE29SS438gEXCQqv4OArMWT6AgRVEi+xTIxQycfr4na72yRZdVtWRXeMckOpayqSn
iQcCMCmZTC3ZFS7CHbzPfHqm9FuRgQ7EquH4XRN+ztvWXmpNcAb8bJ+JlvpbFdrfe0d/+3ROulk/
TgWFL/40TglNxOvXZQLxinmn8nwVxOaiH/LGnyoWu9h5UWnViSxQqd4q1kmRBfuqNS3ETlC9VC4+
Db0tDm+/Uz/NFPLOvDidk5nCM7vSSWGHE/Ejl4xGHYLOo/xkAGgCB/hO61he3KsXmKMxLtnN0osn
W+uk6R+PJD4Zvef6NXm/EA/bfgX3qn/nDTh2gX86DJMoMwXVbybC1/c4xymWaXHv+Rl53yw1PfNc
15u95c6baXSNfRUZxFNp1n5y8JTh3HEiaytTr5dRicLYHvPryoDCl2T9tiicb8RdsD72ztlZBufz
oIbsU1l/Fnq/qsp4o5iKzcqVraHXfzDmuP+/7J3HbuxY2mVfpfHPWaA3g57QhVFICnnpTghZeh6a
Q/v0vSKzEsjMrvoLPehBA40c5r1XUog85zN7rx10mffUW9otZFgTYBRYO6IGWr9LsSZ6ZIlGLdum
1YaAypYSl8146NIa1mAGooz00h1hAZk/jBdrO4VP4FTJOx6nr7KBdJOq3cmt2Maw0gnd5RIf6nGc
lPnTlIsNJl8HYEkMW8AXy6KyQUvpTY34D5/xv3yOMSZcdH6QDLS/B5lkEJZnG8hx6FTVGq1LIBjk
EqBiib20lEeED+JKUzM7ttdM8Z2UJLgVyPRUHnVZffz3D/Hfphe/vd6cdY6F3sbGvHR5yP90zjpe
O0LcTNzQ6fnIjGG2/VoVRKl/eoBnh3nw20z+J0Hcv/yirF48tpUIS/4uYFGhdnI+8EWb9DzR2hAf
NhFT3nfXW96Tol4Wo58Wb//9T/ovTzIWoC6cFKSd7GT++qM2hLWZE3GK7ARGJgEc3qhJy91EJrWY
FHq8YfzlXDKLJ+HQ9pX5VT1Ze6Jzs//wKmuXk+HvLxlvF+ta1vMXb8lfv5NEWptgDOOFaT+bF+rm
FCSok31C6OpA7bI22NBnBl269EfoqktIy+dGuqPctBQkx4umVzBTWpa++L2Q/bdn7G90lb9/azyW
XH6owJi//u15KHOYkhw+bujVb4bTVbfVerPicrQYu7LfgSjtqe2ONLcDwPmNwMPr34gwk5WPUUGS
Q1imXE+aOvn09lCeWu8ND5pFQ5KRtmbQD/VDkLE92C3exr+G6D1wYGoZLp3nVFx37oyGq1belhwW
PlZh3y7fbRUHrLLydCzViW3z3puTxDeUFKqJyAtfgoQnETl7twA5wzhZ4wFcMzvb286Bna/UtY6t
ebhS1G4M5xp0YcUHnaZLEdprRy7clpYB1sa7vDT/AzfkX10SKPjQSP8m+LlExv75/bLYPDdj4riM
bABPG6NCiKSMdJk/0Rn2v58s/xfmx//vtSFcRP9+V3zzXucff50h/2Z9+b3l0K1/YKVCxwYAQiX0
9aJb/eeGWPsHunkHlQ7sCm5Xk9XAH/4yjbUymDRNZcKMecCkrfhjhKzoLv/PYxZ92V1wUZr/R7KK
vx4HVP/G5T+QNphk8GT93SjVsjzWwLEAncXOeDcs8teAmjCyS1eP//SpnH9/j/9HM9as2ho5/M//
IrfnL0cPX4thOnsO/WL1p0C2/3a/E28BaCgFuauyRWTFBERxVvnSBamiSiCbBDSjVc1DwMTGvlFJ
DY5ae5kfHLz97y2MxBuhMiHsxqw+uDXxL5PJSLrQ6xUqrv7tKba5b9vlJReecRzGQTnnoy5DONn6
uawS881YU5ccI4G9+LIpXCwvGqzpe+0plOEMGJ+5ouEZTdLXhLkZzPjW4IMxa+ZjMk+Yh5msu+wg
mezpdqjlGUm+/E6MBIIim/4PF3zvLvdMkkgJe6AGKI7VRFwszEiiOzen9oJ+7PEENWPztbrADC5t
agDlsTUwuOTdQ985axG2mEgwv66JQ0hwLVOg0uW2hAaRVnGmDyIsDVwC4ARJMwBAy5acqFotcupU
qdQHL7ONTHP3ooYSYPPaW2bVHVVP0TcZTwuA1/noLMCkX1e9Yu2dzUU6UdTB+rjtoTOcp1IbP6sl
RaCijLWJkk5tjPdh6bQlStXRPNAIFxmpB3JFgzNI5c0jFPluqxPxNdoiZ9W7Mphrk3wyw0kbJhkU
82r9IgzT9g5VW2NP9zKdz1ybIWEdrcxwXlfReIpPhhvR9tyWyxG0rp3GWm8ne/LOhqdBzBpriZ6x
+9GkJ8ME3akwesysR/WCwcuFrKipIG8JgZdHgr8Qf6cVXkN6oNrxjqKlNyXxwCtLnM/jSDZQXZoY
v/jC0GiJ/iBxheuCoS0F39EZW2b0CotddLRb3zxbtlglSW82oZ2qNXuQOtdBJUV2tH9cZr1UpBU7
ZMAQc7kEmpsZkPshhw++Biw1wWA04Ag0VjVLA7oJ42UoKLYCT8sdAKso8b5JqwUs0eeV/uW2JZll
njN4L9JwoDUQREv/ZxQQigIqcWXyWaN4x23OIdjUjgkwg1xg5qaVcnlyBcPlT7x/1a2pJh1DwMFd
uhjVECky/Sy0y5+W3ddW2uz5JycpRcSYubPDuazGPtR7s5tixJOrTO8GuOScCxxKazt8l71rZqFK
BNmbWSm4KC7pT0cgTuUWgWL2Ot8dbIrwTKm0Dmvn2GTHDpO02DM1q9/twihfQYOzOKgMMnpiJtp8
ODUxloBVyyElcTopVYiudr4kMGOc9M6wCveTZyI3D+2QqHy41VRyijiFm3JgLOtHnymZGUm91Ku4
QMyRR+V4Ab3y+NQ45FXlQS+ckosQpc7tppkr/eOFARGYxYLeF/EJg8d5TWdynnKw2bCzaTFl1avU
+6Yhnwsxjk9D06A4kaJEW8EJhmplcJR1Ih/FyoG3IR/2xaIO342tET2Ok2aMyIUe172sJ5ultzCt
LjIYJxZndVrmL8cY+oXehaxiGJtNglJVUZRzqnX5q7okY/rKJt/4WjRr/NQqWd33SVYbbKFNOjxH
mRCKtKqTaHCq6tSMSblTwRIA1Uc5XRdRt9rDOWnnzfaHFldjpFl1vu2BX6LGoDy+8Ofo98gxJDuj
NOo0p4pSzPZIpm27hGNSTGXUY+3KIrVexHirmuvG+1Iv0gFNnbADdA2MInGf5b2I9LnL6MSSyUHZ
IDarPXSGxkMxAfLW9p60BIz6otBfxwqbRzDr3sTg1cTxonRkvvs5RrP0tHasvnzHm1c72hpVLv6m
Ix141I0+/QRvPOu+TYaN67M9mq7KvJYJma7G/OrmcMj3WtlPICCI9r2sOhQY5ZiaB/dlQE1AeYsX
Bh/uBUmV8c0SVa5W03ND+DXJQKq2ymsCg+r0l1gwy367vdbUP93UbMuHSPSiDku96yydIFpt7u+B
mpvu3SAsZSMQBOgyk/tsQhQbrUR9zQ+eMqf5zdrkGgyD2UkgWTT1cImfthjlTCgNbODXNn2uUIzd
2K/FfMvnrCmk0ihsUn3VnlrHN/j3kz0zn3K8SrPV5EdaTMb52DL0NDF+CqVs673EUAE8bJCTQqSO
cKzViUVnKMiri7XB+loro7Z1YSqVhBNJdbrhafZUpvbEi5Nz8uys6wV2yIq1u287E4e5u+r6tm9W
S5g7dqDoDWdo0xwlMtE5/OCd5Mc011p7T+aU6ZwZ6led5c+64A7loh1fa1TsYqc2GPh2yVgg9AFJ
RfYaZS9rLWjZYwMHDZ6OeV8OvB37puxH56CQQqSBw15LrfgyZq3zXtbBlmrU9J6VVFhP+6743Cap
y0ckXJB219pZgIFbrQb+uTZXiv9lFk52agd+oTvMuHXypJb6NoVIuCe0kewfar77od8iYm9mNiCs
bKLMrfLsmvN3nr/lptZFiCSttu5mlrgnIBy5dTVv3TyFQ5kZOp+QvTT3pecp8phlif3ZambKcFAQ
phixxyXWTG5DNp6ZI+ofljan40+/Akh7Z51fj3QvVZeehF04+qFUm7pQfaF6cH9mjlGg1GuzdvaO
RwWYeAQZr1+tIDPTzTyq2/q1WCzeCCCDNguG8AZbG+UCVUqth9CIvYIzdbP2Y9XC/CnqAQOTQBMU
dMMw+F3FL3JNrHRvmctjodvN21x2HW8LmLgQAE8byQtRjZph+bGEWkWr5NjyeTqHmNCajTfZXSGW
L80t3JosRo+mk/kwWZy5SmtG0zR3B3xF1c4YTIxVdF0nXamRk01ie27KAj3ZqOlQL1jtB/rA/n+1
JCHGSLaU60Zb3F2vA2Gxc0KfGBjdOEV/Jw0LgEthdfeaNszxNDhf7VpO++wyAXTY+AU0gG3MQjSN
C7l8baMid7YOwH5MSnKsZjG+dKBdzt5SzkHhoCnobbN4beYseVuIlL6gfZl9oFtoaJgGZq+9jyCL
S05fKTKVCiZ/ivAvtgtrT2SGHgFkl2s41KPOA92qhur3Y2qDMPeqWHU25dNL7A8ek+G8mBpDUonU
rwBket0b4xwgA9CJWXKrPsqMcTuvoipDTr722NmdtdMsqXympnlyM3DdZKDUbEwN5TaxyRBvu648
Fs7aP0z2KHDJOGDBOcX6YucO2c/YmCOGMU9wTzZmQTubWzdyYVCrm9UzjKjEnxeAWfMwq/ctme8h
Alfn0PWXKLmsqR/aZFmvIWt11xLI2KGpLIqfWgV/tKZqnKkeC1ib8kkSMX5chyrnZjMJW2ccl580
qT8s0kuxtWSkaaWZFfDrzGMK8O61z9tjr8rHMiFhDsH38FGNbHIhV7OGpCZMOMAb6750mvFmsErr
xpwqGHMTWX/UwaFCDAAg916MOydX1+cqWbYuzjzzl0VB60+jvRyaxkip1tVKzmTj8gqHUnHt99FL
nLNxkY063mBd25te71ptfnaWvn5bJ4vnvxyNY7U4wNrrTnx1nj4xR5fiqBPufmiy6sHrmKJnc0O9
J5OsJ6NxbqLCAMtE1JWpgF3X7SfsibiGzDYT35po7CICJ9D/6IOeH4SpJ6E+Wsxu3XRWQXyX3uVI
N3LYaoocQ3ZTRL4SRCKRQLpjeEHBR+jBNi4M7bUoLYeOprJCpSwRK0pvYQZhzCp9/Tr+FF2GPfG3
xu3/d/b/RUf6px72f1OHXb9X72P+513ib3/h98besP5Bz0xLiy0B+iCclz8ae0P/B209dmOMABdV
34Uk+kdj76EoAy1MbhPje+yel3HAP7Vhiub8Q2O6DlCZv0RkK6O5P4Rx/2yv0dT922kaWTF/7e0t
FiYmwE3VgENzGTL8nWhaJ0VRbJzgvre4ELQSDoPtNDCQiJMyEc8ZCeCzz88wc/GZfbxUrnXg1R/O
uTfaZPvqxG/oPcHWMndjbJj9sdM4+pu01U6DpyGIsNM5SLeLwYjppjySvioObcuJaHtFwMV+1dvz
lWXX+rfurW80ujhn4RpuDTm+RRsIMSFdmXlr1aV9NqVKchJ9iq93aEf56i1mZTnPt0a/WKxbmu6g
eIQCppWkNS1bL57X6UrlAvJtTflRdO9lFCU5oWPE4FQ7rEDEKAQGGB2mEi0K52qLOMbPCsIJN69P
/Wlww7Xsk8eue1+JUiuXnCsTOxLod5uv32kPNImxZ4gbdmKU2Gr9iO14l7YNsXLbvk26vSygIvbr
HqFKGRAr60UInbhis+y2IUGkT4YtzHRWabl9bSrlE7JjAHloldBTaFX+kqlkJxtLMHOEipJUS7v9
RaSc9GtpA6M19G91GLI3IPYNbZe17lcL9HBNYlUwEo0AFwyv6pKgDPdwZM8pEtu6xK7dZOU9KbRX
ZPF99jCXr0raxkgZB3awHfns/ah+GpJeTlpfKISOODjv2vqR6NHQquOpHK89KUIM8fN7b83jDn56
eu9q/Q2CoWMrX5ryyB62pLUs04Bhc4HOUBxmqb3yRKF6cKcr3ZP3jd6c2pmtrTHp+q4a7fPWrN+9
4xWhMTQHj0TMvSWWj3Re96UsOzJYyuM8Zogat/qLHoob0Lol5OmqB/rHgqDDkpArSVCv8w+LJCa7
ZnPAfReD0WI3rG5GLMwRQSBJ94pjFYTysKcrJ2BOPtGJxW2hIqjHxl0dK9Ir9AbXI5qpPEbNft/b
VTw0JGQVRkdMYF6ilR5uhhltElOUz2TUPhthshheD0Y5cv9e4vm8KscKoFEryLYOKKHPhHZ/E8R1
ByIUDT+9uZPKJRJa/s0VCQpyAU27eoFF1iji+PzJNeVTWQw3aas+sHuNPbaKvkPELEi+rmJdZEQO
Tn2xdcfMbj6GMd8iZ0vt98nsP8xpep08CIrBUmi3Fz8dORCPHtp0wyV7iqqFtEcdg5T8StlKMsrn
pSdVk+Lt3KWMsInkQpGkjtq+SPXPS2l7zJSeDQnJnX4rWu58pTp2pfWuz0ZEmjDPjuZv68HbCIHN
z1t6BRE2cIYhBJvAFGaflN4lp+fLXq0jKVO7djyiSdsgG06LlYYjQ05efuLYucntuj40/Y4pR1Bv
fSj6JF6X/pdm8MzMLn78mndhrqYQddqpqV6M4UEsTtgDES9MAtJzvnde+aCELg4sklLBaV8m1/7K
Khh7rFcclT9kE4XVkWKlGuBShdP+mrEasmbqG6HQQFPlXab9pMl1PqEiI2xtyCLrvauuynqcetKb
+ZjW3Pq0Cnh/eWxy6hSX/AcoLgcvWdTsFyl2NqN9d3XK5k61B7O5dbS27t5Em4OwznIzydH8E2yH
KcGpW2efrPpKPJ5kgni1gaOhUZ/1VA/ZIOmUL1OW8U3J1Pjo29q9VT367FBTlOlOEhJKJWeZ7WEp
mJz5xsa+KJDFAqLIJTIv22WdiXq2rBadwYba9ruhM+zPVE1Bb/RNsRkR86eJ07nYEGxiHE871lBk
AdtwFMlVD+zUKCiC0ZPVkRyVqog37hsrHPRxwUHBDs3zG2nQRZtGJc6bbjnQjnp3l1Vm+laTapWs
FS88YgbI7LStNu6F66Sny+QttxBtvVaI996HTbtpCgZV4JauBUjER5EYadCKpNB9014ffoNkYJWS
b4KkpxAl8bPh1QXpuuOXZ5rtXrZLfavJiVeHPqK3aK29Zd/o/VGpYSd0W7wyVJZLeSWt+drMmXZi
vq7tllQmDtFp2E9FEaXlxAcvzrNxWRp7u9Lg965ogdImdcRJu+7T7UhgB4Ffadw4Sn09UXuFZSsf
8zynYJwSuKJ55CWtc5oRBvrj8L2Z1d5xawx9dravc2c/96PfsSgMlyKXrIjLGACs3xmY9iplltEM
n/ao4NNL+nlnjJP1y3FTw9cXlCiLZVOD8xYd7HR8thke9hOxt2Z+HMispYFL0NHwShJod0/c6bXb
pjGRRg8JUiO/dVzjMV2z+rSsixHoKrCAdLmrhFIfmCdc0f1IPyc7D4lIAjdoTuj6+90oRjBw6/Cd
VNUPy1HNRy2Z77NpbUONuKe9kaJzG8iz6iu81Qvh1+3Cu7fNVeQyrjrP9RprU/3Tkz9jpnJHzH1Y
9uqNm70Z5jrEqWDXObRnZEhArAjTNoh5yYvdmN6iBJ6iyfWgcy+ntt3u7QoPF/XFFPZ9zaVjT4Fs
y13VbntH7X/UVZ4do65uyXskmtTcdoPWuxHU2tNkjTcONqmgLz0QG5cx9aNnLu/JfEuUYkYWpOLt
5lqLM2Cr3nZibhiODU4eyiWuUnf6EpZ8NosiD1pGJQe5AHhVanS/2WLExLwDyFy7J+ksxy2btptE
qfdgaNOTbayxletnaYFWabx68pWlPrO8YPlrFo9b9g6wOKrzMZ62+eAksxauKuvItj0mS/EGRB1A
Kwxh0ov8pMMwrpEt5wpzvYz7+V7yexLSOI93tsO5vKj1nkxlusHW9q6UMvtxDKhdpvJRMYB1BQ9S
S7L6chmirIH0MIj1JKcdAP6UuzJfn1u9AzKYEq2t7VOnfkuT/roV2b5LeEEuIwml+S7oMJiqRdVE
LWbyVXNRvrCR2NsW72LS3BLlzGuopm7skltyMKxlZ3Rivw5LzGTjQ5Z0MPkZxU6W82wxdldQipIa
yJXxOCztCfc69c3TZCZRgnRbzi+dMezV1a6ex1blFrz1NtXb1VIcukTZ6zqLA3boRj0EWCZe1O59
qum8y4yr/ySwun+TIobDUQ9+I7jQS1eJtxtz5Qn4aBKlzF92TenWz+3svWizWj3wTrp0+txyIp2u
haXu0sr+YXYdqZKSBlQEpy8jOq7KJWiy/j4n3Jc5gJURvte+KJ3bBxaGZHedmx0DtIQaumHjzlHI
2ISKL/EH5aYuSDL3ftlppJdXQ35X51ZUXLrQAbNlINgMn+dWvFhufjOSPBFa0tzxqDl+mulqkCfj
1SS5MlTxvpjtVSvdGw+I3aHLW+ZfRb8vHdA/jAQsxMHIiauo6knqK4btdc6nhpv2V1t5pO91Whp5
8xSNzi4duMgn9cYEFBE4bCf3YPuTp2LGppjviQ173Wr7rtJIy2Jg9+Z1H6w8wlHP9vglZcTK6s5p
8zlkEsLJMEy+Sm4aSYPjEBd24oQwa8l8XJm78/yszHKFfYO3ZkfA1RDmlkqoclv3T4K4M4cBqLl9
ti7uTU6vdTohMYPB3C1b7Eod9aCulNdDMyNhb83HvueK0VrrLOp1edv0YfvJc/7NkehH8iOvC56h
qB/PnpyftrWjsvaOztYdKgvwRqH3Qa+VwdoRo72mJ6Ny4gk+Qt/MoQW2mxWaZJXvKHfbaoNRrLOJ
SLLtsdapsJT1qoP6EDVJPwbkpQdJrr0oiX3VO8neqKdDL/uwcpWKPY13Qqh+KnLPz7ziBlLyy1gv
nzgabzDmeqP1kSBh53J57RbUy7UbJSPaBpfraU56+9HSGmW/AeTzB7M6QODe2xK9TrFd60WKQ3Oa
+TmIuc/HJpos9QG18i2RfvGSNOGGI9lfaFx9Bur9vnWZsQ70d0F6AeFahG+6yi4zzZClz+dUC3tP
94BDAr9vZ6f7YSiC1hRzMJHv6g9sw8Ailetec5cnQx1p5moXS4EsHz0u2awuGeAlB2MenygEjyNu
hBhVFQThbj0STEdN8ILO2wvUzNJvm8H8tHLlOHN+JU394TUOC9AqAbOdR9K641p5tPhLTM5wQhi6
9EkDMn3FImQRPfuxXcaX0lACOx9vtlYrAqvXfuY+/04XNR7T4pn4M9g9TFsaLX81h+XaZG8jUm+/
8mthxYjynYrjV+LEeU9PYFLeigLQ0KRGstK1oKC5i6qqeenwNz8X6yhPuLX2JoPnoKsu6D31dsu5
kXN8ziR80ROylHhhgfyrqUwNIl5+Q+LEe7flUd/UT1m3rExlPYLatK9ReoR/dM5xmG47HRS00+87
7AGBqnTh3Jpn18n6h85s4qKHT7bpVKet095VnRsjSe18I59/0q3nR0x0wRGxlb5kVeGrOGQjb5yi
btHfVcKaGKobX0lmI46xLjO5pd4r5IPHvVWGRiJjjFWw2F2aD8OZLhFpA1Wi+W46DeeI59LhW+uD
uxkfaS8eae81E2eIMxEp6cVyHOO6Yi87lE5sivR+HtvYSvR7ZsrRpDuRNReRGI0v3MB7d14eAH68
thTuFaDucaBHaqqgc6/g7sRsnZ4ScSIf8g5FQYelB6HMNO17U15KHHRhH+NW7XIyixG4XPesZXy5
2cWvkvi2CA7iInwl6+7Rdo10CufR8bLPNMsRO+l5lX2nTFuvCxNWqa+KRjvwRCkikiwkXjoKErZx
s3HIpsSL1hzvwKDp7VnVNvVE7DJxxoDcWYrn40vd4FexTFc9VI5NQu9K85xs23VXU+KaBK4GgyVE
TD2f0VHzAOd6qoW2AyNm2xAnWq0as4b5SMwMZDaBgtoBCjzUfKtb9h3unF0/XaIes+ZJU3qFhi7V
Pyo0fC8D6BfgKfVExCLy3CZpXZ9YieFglqM408Jqdwnrn32S2NY+6aaMz77ujDjLXOPJyBprDpSM
4HlfSVf93tqSwuLrC9ochUHTY8JVdmwbB5A8+dOsGFKdY76ayE5IWKVxadilOHG1lN3OKbYqnC9j
jqGU43XWZtptYyfzscaMX8fqXK5fCFqcgN3HcuAEEod0yNbDBLTyuEmG/L00AzH0KQODXI9XbOIk
YDnLS+lt9cEq9eV1AApK3sMkuAD4Ni/WjPknoZ4Kc89ydo0xYbTO5+WW7OcVsoxH0ws3NEJWgKd3
wKpywe/QBQl+MnEqi/SSf91uO9JUl8DpARArPA/v6TjYOxzo5QcHOUZBJCjdNql7V3XlEnJTLd9Y
RdtXOU2WB//UNh5nNgDBwrz9ZBiL2vqCDIA9uRP5Xu1MPWTlyjvEXh+lCZBM8PX0v1396HIf1n6W
F0nMptW6rhvSKdWU5OxRYxweTc7EqvEyXwQ6AMP0gSEMS81ys25sXTofi14Xj5hV+LzQVhY7pHFK
jJwneZxmNJyiaI1TjW4zJFXgqlRyFuabrTYEtZn8M7Mq5J1j4v9OrWx8y5ApcaZKud05eUdD4s51
9ZHmqGix8AgoQlS3cBolO99iNfadudDE1lZufRHjO61+3hlo+5MEJ05n5f1Vj6nsaCmiOBWUR6+y
nNdDAVLiSsnztMfM7uFRFbqeHA2+KlHnYNrjSvQW5Tp7SyTTJXwGnHp+ojqHHP68TLaD5dl3qJMK
1Bre/TKKdx0sLyylIxmm6S7TCES1AUKQ5VAObn2QCYoDfx1GJgDCEa4bVLW1XrUo7SSCP25/n/AI
oqCzxtu5OXs9Gvnp0SZYPOxRj+a+Q1/fhLZ0LHqPJok9yY6FlXW7A7jhGGFhO8m9mJtsp/KprNY6
AYCR465MZFqFYznS7KSzkuxItC3i3m01XExZNfiuM7+7UrxMk6edFXUxqQOaq8qYr1syQEnkrVAz
el5xp22bc0009r0w67h2m7t1GaadNDY57kXXTemun0fnenFkh7+tGsaHtGl/lQ3BQH4yZ/JQ58Vg
Boa+sksmMjS/6gBYVZG87BEIweh37WJ+WIlcZ6ZE7nKdWo23+GtV2ycqZC1qVpYS5EDoxKPnaEaO
WstOaRQy2dk9izSsl037VekbM090Lim/0QWJxtj0d0g2JAMseimKkXF6y9p6xceG85fTDzcnCsyl
S8JcU00k9E3/pAxdS/w6/+4xSfsiyhWnOm0oZ/d4Xg8SrAtabHW8nvXWjQxt0h8Nc7uUHps7HWZT
g7pl4BE7AtljSVOU7XBN2AZ0fvLOTnqb6KxrJs2LSYmhKrW0TWOoIuWBoUyU17SBzaiSGz2qu96Z
xg+tG/NwmOmGC9tufdmJyLOnWMlY13fzSYz6fK8TeQBk0lCXT6dCu2xV1CE0zCWZvWRKZEHBJX6g
veq+rXzI4s0dCnJQp7QPMHxk12RLL1ebPTAuIaUAnk/LMu9or+KMTaWl+MEWeAcxVf+V0oN5PsvN
BhzIYvK2FemVAbKA5OZ+utWd9Nkcu6dSDAwWke1okyaDBpFr2G0Cyx4NPeMOsk1seJ1Cw3TjGA9S
323kMqHgUsSJADJsDE51/M3vZuj5L0NTsv1c9W92XZxR6zxOifbDMYJ6g9Bgt6APV26m3iF9eBVM
a8BPd+rwygiMP7ImrxJDZ2RXLluxouBZEm6oChsiWIP6bnyxKrTnyZzUp85504X5wCRJ2yV9Z/ok
JZ8B8K6+OosdITZQm4Syz2frmQT4LGQJLu+YM53zZolzZquF+mhsmnMSVvmxXDTsaHcILrfM7jQ2
SnenKAzTBwsKyLbyi8TC2rJAnnauoviaw7wuW/Hvkcf7KyHsiLg00w7mbXKe8t6O0GEH5ag+4gJh
5e66t6S6ozzy6s/K1G9UU7REPTQjzj8RmATHxa2lik/8unHLqYwEr7pVy2mIsg7QBwqe2ZkfKtuU
u01t2vsJWn2km8upK/WXZjM+B2m/y+JpSJxATUSUb5Oxq5wXAUUyJj2GmZNkk46ReA01633zbD7E
3HmaVe96vURL48jkriUmCCC536kaw5QCLT27UMFsDP78eWLKNw3tfmnbiB81tjgRErYvtVRj+ubn
ZYUp4tQm2vCuOILwqX0iCGsGrua900FQwZf6OI/jbeKNGXJ5Bl6bsctV+gXUE2qUr9V3NpBm70rn
flK7Yl9Sp52YN+yFm+bXpUaRBwUUy2eTnA3MXb7m9d8GFo79JkRzZkB8j7YBgtVEr5zM1oNt4fto
GW53ueNFUtXokuc9Ox3zdRQTXUH7XNngBxjThxJ8zJwX867KWhlyMxXqLcgh5cnQ3eYws5Ovd4at
vDE5uBobZtWgAZ5dfUSjuSx7dRruOtzj7TiijklmSjRR/wxpwXhL/cFW+uJ2hAEJY0h54sl5z1Mr
32FhKGMmKk9zztRcTbu7VG3LI+Pn7ZrQY/LCZ3JCzAsQz7GdEVm9cRLr8stmr+ylGp8c0zDUSuKR
abziD7V6TOxc7vrFJKocAcw1aMficJExCXPoHNgylrgWo22EXmmH2+DuVCNRQ1Xr+OSSQEzQevic
LWY5y+uKo//CrT6V46ZfKwO6tlJx57tlRJUgVbpY6MDxugkzojMgLw+WIT/h5nLn/i/qzmM5bmzr
0u/Sc9yAN4OeIJFI7+knCFIU4b3H0/8fdDs6RKpajBp2VMWtW6JKmYkEztln77W+Ne3h5Vy8IjSX
IIDuDLk07VnI9dJqQb8We1E/KplPfIxl4a7XIyGyO4DhtslkbTE072ZVa5tJiOvbOHXxMxv5sMvz
4G0SvPBZnXzz6NXeOmu5XXxB53hSzuORiEiWotxyKvLK2FuGHqAZCTM+UVEKz4RZj3vdigUXlJ0D
R23vteTPT8USnfPrUNKwo+0h0JJiMGYp46HRJAQP/U+ZdblM4qeAOUzOeGjREewz0cVhRfMWiZyL
yyBotYOs85wWg7Ss1fhdjgI3G/nUlHm20XsuuPP7smr0TSLh05RoVEuxsuwFgS+J+GeBc5yn3IcC
CO0WVAr96OYjqsunKbaCvWVEzuhjo09xGDRUGLbiT9FKRvfWqNE2K8UNGmy62izRASfcUJrIzy6F
aolAtCfHyLyfeuVHZ4Q7IYq2UmSsoyReWaiQjRjFcF6vgz61tdgr96Hgl8deJAMClQHDHJml2hK9
CTDmNOJp9kEPoFimXcSHpHeVF/uynTZybSZUra22lqx9RnrVWi2SeItBEylqoRK7U8R3o5c+Cgr6
oMLi404nVJ85S/tcIQRPeJectk1QLacVpX4v3sIovEd/Ag2BrAe1nDbj4O28TDpolb6KGGLZTP12
odpv2RhRMYYkus5zTbfRlMKJVI4icwBDFCt0HEVrl0jgTORJe6ynhjun702IU5q0ZRxyJ1jEiLUF
SnKhfPaYbjtoXNVDzCdxc70gdi3VAVRp1G3KQx491/1HWTPsELj1A2mCTjaF2s/G118qFIiVoaKm
ViQGWBkNX1Wx7nNNSbdawQMr+0elm+7yMHwl1eNZHBgrwHFYtjVJSP6x7BK+1lIf7SkJVDfyTewt
nDAtSSBbqsXPRnlG2eBLy5yX1Wrp0pURuXdcB5isrue3Ni2qRSmKu8ZX03XRsDpMJq2GOBc5QJBW
hiBrqUkuLHp4FtPaSoFTEyiKGFP0yKOL22M6pJKTaBKTrnDYDoqiroJUNe8NtLFsc1KAmsSoT6qu
/GiZdnS1sJpHnB10qgUQucCBv5I5dTGR455fomiPxHmZkuSG5lnlAJPkdyVXYT/FEgu4pN9JMe8P
ReEymMTKiaWGcdpDzn2ndeKHLv6Iuqp/a5gfupoR8+JnURcMu84960jmxaXSSF82lBMMk4CRSPoQ
y4ByVWui4u5uArXGmjTYGYj2WnF/RXZi9Q8KDdmoNGlSN/qF7JP1hE6V37aip8pQI1CZkLO1D6zj
onQV9XCBQCO2CSm+B2md22GvfOiTi+OauB21BJ2cBf6TXEVunxDVUMs+GneGjcMgbUt/unqUIKoY
MHdmROKnHz5JmHS0yRLDZLbSWspWtppTySJvFNkKQ4dTtpC9LQBwWeTt/D7dEdDH8XPSW8eIoRNk
ysYq2Ktj7Nk/2FB8tN5q4WZCvcpDuut1jtPQkkv6M4zxRC/NTjxasdPm05Wz0ELXGcp5+aQ6TaUS
M4NOFDR7f0cHmHZXW6y9gGGw9E7hv04DhHYFZ/vISN79uj/oSfVIYCyPnmKBfTszEVp03MmxxIKc
w7MjFHufURSmj0nfbvBBa/SK6KnpbfiA1NxVptF3wkbyrmZc/OiV5FrjlzRFXUQK2NB8DHcWqWeR
5D+RKuktCqn4SGEuc8TwV2CHQHyI4TwqG2n6a/5oy114SAPprY31/CC3JOZJGDOBkrSIx9EydITs
AdB50cW0egynplv1As0/g6aQQ824bka8XGq8zIKSFp0GDnQWaFXRxPw13qrpO9C6Y0NiuUXgUdYN
d6grISP3t5xE80puPuh1Ms9EQb/Ac37fm1H40nbZeeSwShSzLRbdMu4EjkNmuTObZidDAMmmZ1+c
FoWZoh2QbII0IS6igwzUFdGTy1kZI3Mvekq1GiSad7kxsjrXpqsk/SZpWJOUEW91Fx4bpMxp1/Ev
ZnOsUVXmhAIiVzgxHthAGXeHXPkhlKz7ftUcsk7czxFtVinQTrt0ck2diaQj89uTkpX4gx/SFpY9
gz9LvWUwe5pRRLc6lwJq7y3YszkBio6ZsSOawpNQpsyVpW5XGz3qn3ElKQOVUr2Pcs9llyXLrK03
kiwvhG4tmilFJPdeaK6aMfgxAh9tsMyLOVnOXD7siHbiG3c1vfw4Jz+xVTVXLdjSrfgq1+VjMJaL
JvYx85t2h3PNYYMMPhSfVRau4mLQ4w1nfLtKkYVPSJr8xt9U+niopZAnS+7tMvYfRaHbxhKtlfRC
udm7EVPiAeiJnUavGjwnXxXuGuA6YucvC4/R7sS5AbNjXUmMDeQd5pxNQVqCMwkKXdy0oc2uualc
pU5ek7Sjdej8cZuQCYjLYVpJXr1Nibr1kNjDpXrVEvWxM0YEmlriDPT29WzXVeUa/oE9aWVwEeoM
wFsAzWiJXpU+fVSMP2WPo5M3qh9DANd24kJpkPGs+DZpWytrnDGRb2HWHXuGJizsFScq6CuDFTbL
KI6RReQrRo0Bp3OBc7TJnQ0AxVpmZXxUknK6rylPWSADGq60U1RfBUKVLc0WpCVcnR81hVNYxTcr
mW5m3a/D1mROnlqHaDLLfSm20RFJ0nTKu2E3yBOljvf+m6ruH5xh0mfk/i+hGgnGc59UsWScnLNn
9zcjcGF16PUzbg0P5fppjD29XKlZi9PfqJLHcuhppIbZaOyHruioAEnBkZdgCtPkvybG/6do7ksG
AWq+WXkHpgLYB8Y3ErM/v5OQTEkcV+Dlke/VrxbaUrz89AQTO0mz+FqmgvBO2968S1rCQ0yEly6D
y7pxhEmPf/66LP9Kd/n/m1dyJtr9xSv5X2QLJOo6eE2ST8rK+T/8r7KSWJj/WGCUERzrEFl+RcT8
H8ukLv5nTqOA2wJdzxB/Z7So/yGVGqKeCcUfQ9+M6vu/0D0ouzgbCSaTYfnpiD6/6Cj/pqv8YmKc
U0hk6RekAE0ySIov/umeOM+0F8P0Wg1ihXGXSZFo3roeSFjAueMb7sR85+fJSKTp5v1//y9SCXk1
GomWrug0NzGCfr4f9QhCJdCm9GqENaiUizz5p16Z/V3NISf41kabGq5/+0r+4XH8h9dURRmGPpdY
4xmYf/7b05gSFy8zlYyv3WicQBzl66EZVkUdsm7mxipkWB1a0je+9H+4rChVsaLiOJIxxH65rJ3e
IcuSkuRKRT+tu8ZEYoH3TTB3SahL3z3m2ucVh+uK+5/AR15wvq4APT5/Rt1QMjNKRP1qnTRgaZqD
/NqM38nYBs9r19F7CCYly55a/yahGGyPZsMmutbQNXh06R25WUzSqzXZAHTa4N303838fmAba7F2
bZruQ1E3ZrRsG6cJ3CS6U+uTHuwwnJXaEtAEyVVVik7/ecL+ip7WHqqFfNdWmzpw1H10yYMlg7ox
v1O7W5Adk+A0Gc+6sJqKlWmuPO2qGE4hX0T1aqK7rAFllTI6r+LSiMIqDpzWWIcrwHaCT2VvGgvl
ajKLXRlbpYBklVJznKyH6VUPKJOaxZBsOYg/xm9YOGLhPGk/EtRNIQcZitkSRRQuITX9aYrPo3nT
zNcS2O3YwVouLnL5VpJHW1MWFzIGxpdG85C52H7r1goTHuxHRPoq5ZM3XZhB0wAVKQlpBvOJySAa
nwCG2ZLyKIS7atjqdLIS9ldL2olodWO7PmNdohqfhwWUh77lci/4BVnJO9UDgv6Mp11HPSA4Yb4x
sm/uyS/70n/vEnAnCLnRUVPJfEHykMRe+Wlv6dc+TMu5uOasVY8eCh014Ebw6GHVoQLDscTuJ5R3
eUPH7O8P4x/PBQ8D40FiQqR5dPF1axwxTcbxqKvXxnxtRrxBKA0mjt/4T4HUyM6/fzXGeyxrFscR
6Rc95LdHXwNkyFGi0q9Ja917TPLoFtNfz7poP1RB882r/bHQANwimMrkFedNdxbj/77QeL2Bp0MZ
krtBxjijDIxMG+PeKLxNw9FIt8J7Mrm+5f6isP+8pPKq8NoVDPdsMIyPP7/q6PngkmIjvsNO9dwY
a8LNzXsLoJsdmjEmSfQxdhXow7KO+zWHUe7lIrgL0+5CWIk5412UDVlFOcFMnaMP0fXvX4GBb+Dz
+wMUgDde5o6bwWJfY9jCGXYXy751y4qD0a74tqFwNuZak/HzoBfA1rIeSSh2h43YU8bS2iDvfin8
RHEIFwvxWAfb9dasI2ERuemh2nFc3WhbAzGFjbc3KBfWQW/5jAt+Y1XREsB045CSJeHJs8kjF7bw
Nuj10ju2hXdhX2/ztYYS9Vi/+bdgK++ql2Tru8HKW5aQQRgycMikJeh4V+3571fj10L8aQP8dTUM
WG3MaOhLfLlHEESb2ljG1s2878eF8gPWJ922nEegsudT1Iexy++TxpbPyY4LQY+aHmhRuaXFjMqu
HtBECnDRb8Wh30U/8zc+By0wHJl/f5/WHxvKl/c533W/PTmVL/aMCwLrFm2KvTorlxfBpnIZxK6F
NTbH8gO5jfIUHyfXu3RPTMj347Zd4uL0jrG8ImTQOwQba+17C/kK4GRGwLphvmYUnqNjLx2GHgWE
xXgfqQskNw0HVoDxTDDxk9Jg1DCt2fEyIL5ubey8TX+WLsN1FGx6IAXZ2hgjNRtEY9muEh258Ell
7KS5tXew8vPovYr58y9l20JBz/uUHD07d9V1sYouxSE/yfEiv1WHaCW431y3eV//+v1q8IjmgBDL
UOeK7vfrBgbdSr2gM2/hg7iVTtJmOkX7+pge4TOshUf1gQz6S4tpnWY2oKvBJsV2qmmLuEhzo2bR
v6QDgmVg+It62FT9uapWibDIJJjI+CPwaa9abBEh4mUk0aQAOQyjwtYZsclpC6+wW/ib6pIUUA62
O2Qw2Qv7jmFC59+WBQ+dm7yUN2HbbszH6EV/lA7dMXWFMxsPDoHoAlg1xUXH4nFraeOpN6vbBJrD
84DiUVFRyblz3ODkWN0yiZEP2rBxo2+ydpSZnPHnVaRqMbiWmvHr7vzt7hsjapw5u/nmHbxD+NBu
Ua/c02Bxkj32SnFYCkzAczdA1Z0tLLqLB33TumSl78JV6ViXfDMsCSNwaebIj/MQ8JB/U1QSF/Pl
PWpQ02QWe0p34qU10mA+fdNoxwbMP+V4ScxVmK5yacs406xcnecRAzbr/y4u0EVay9Tf+P62CBHV
XPTuEmUb0drq/a4unlXrHhVSXS8N/4CMUISb4a0R5ZboBF0wFjj1mo/xFHiOAD75kiFqQP0PGfgd
/YP16p+LD1lftvm9Pz6Z1QmiBT9XmMVCciNJt1+YLbg7GPhMSIGAOqF8m3KnLp2x3+bREdog4AIv
ZLDkhv66YVSvcIElHjtLOSVgkMV7I8X+HB2n+FCUqyCaF1mqvzCiF5nhIgoXiJEcObvXlaNlOTyY
XfuTN182K0NcRlcTu9Jbjcxav+H4jmQ3JyBAWOnjGywGW89oQNQOjQW7NBQoB9QhtF2QmNmItGwV
sLZZUQnSkwA1xhoJ/ohbFC+QLdIabkzGlo7O4KrHgFsZ+3S4GsG5aw+AoF2wjKFxJxMHlUZcrf5f
ljJzLBYFPo+6opkcob486l4q1/o0BeI1U2nY90O0weakLEtPrhn/G9/sHF8LJ+g4Mmk8dBVmliYR
U59vN8zbwH7DuLrScX+H7Qt6I6YvLpIay3Ypf4cq/PoEzjAeS6PTNB8PDU2cf/7bE9iEGD7wA/q3
SAex0Url5KCe+QEJZ67zt0Gkotg1NlnXKXu/LJ249x1mX9Wc/rGtcsX75mJ/DeNmugXkDRILb8qa
6fAcr39/Q0IfqcxjB/Eqmd5j1QeaS+EI5UvfI35L7MD3UJGwqQrphTHaMSyNC5rOlNOIeDFGNfmX
B1neDmUNIZJUXQaH8bnq+e36sDYBERQJyJ59DYg2MLL3ja2XpQuKS3BorJOtSS38zb48Lyq/L4xQ
9iGzUj6ga4V6Zn055w2h0hhm3orXNqRnJsa1uOgkv14wWla+OVR+rWbxmlGkUKUYsJ4gKX25vQU/
UQM/T9trUxLEmHvLhthzmNFBwMnyRcEBzBxE/Wb/pFT+4xPqPFf8xefkZX9tDb9d2KGSC6UqCvka
M2w2F2m0CdR31BOMh46wv9Vo3TJT8V8zrAcKKLNoYlHAfiEeNKLxivxZK+/U5uoVD5l4HoZdNtzG
4mGs30qCQ4LhFiT7vnkL9Z3a7KmW42wXT2tzXGflYcQAiXpCxf4ccIiDPkBi8VMK9SAlj2tjlOtY
zln8OOGZp6lCyLCGNzQUaMx46s9Ze9D0dSo+z5a+UhWO5bRWx0MsfDCpWOAnWtQyIibBNdh61Sfd
v7bW1cgfSoOT0NrgjZgnMoNl5QcxWtq4zIdj7RMxv2aP64xLIm4sbUfrVso+GLlSDzAwPtEepR5y
hGQl4gOaPYBM5oSlJZD2fi9PRzm4csI2sPDzmUKuorCV1Z8e9sfuVcqPmXIJy7uE463ebCNpFfSF
0yFt41rNSXqVYwj7EBM3fq1lZXqOoh3G3G1/BLlAssirhNQ10F7qIFxg+i70VUIaL5Tz+pKNHHbI
d17khK3McpAN52fduOvau4DfGsaIkZUbM8XBRMzsSspSVphuA3zg4Dyv1TXpIRGZCdu/F2h/7NqU
ZdA7CN3FCEw/9MuuXYZZ7xuap16B8SYc2PFbFoXZ2BmJoyAbhGoBAsT45qn9o5rWNIMYOoMmK4MB
EuS+vGowgfceMlG5Tvp71jEon9B4LUUAFWZO9MEH5gkxttWBzdS/KMiSla2X0Y4/qOVDk7osKPXw
LJhuYhzIuJTTY4iNJ9YuJkcB7TJKLx5xD6qNgxhYQFVtMSv5tHb07RidEanPiQl2OG7L3IVG2m1l
Yw97V7mnqpvOHg4p62J1s0bVhpOi+W6nuJj6RWFRm9uJiJ5C3Gbidqh/+hljJxTky/zd01cQ6fmJ
deniw3HC+tGfgugpZ4qmJRXpC2Q0tftJvRRGbhvVg6Fs/W4RVqcEgxEI/fAbhCyu8z+WDoONGO0o
h2GTjt+XM4uJ2s4fM0W+hso2DucTVbdPNtrZW5IC9MFAPj9A46qeAO1K7QI7Jg6LCOZX513EaTsg
A3ThNi0G41AE+0R9m//FRzwakpWkgzVzCKTAmCYrYJEAPbjCbTzmE6bZQ5AdTjm9tnghoqgg3QTZ
Mj7U8eeAGSpWnhBS2UbOP/b5sEmlwiXJ3kperPB1jA4QsHQLqNpqDIlwW8rDWngrzlJ9MASHmBy/
czL9gXFd13bwjbHDja++elGKjoPSAVOYoJ8KBYE7gmvY8mnPglCdxvHVbPcWCj4USwJ2X7HdE/hT
LrzmKgr07JA2tFs88XY5OL4Gk9tBthAodurfoSjGp/Em4XuJCB/UqjvRQprVkj9g3VosxGwDFYoS
yBqc4ZkPEyAdD+BrnfFB2rfyoVRWTLB0bDfhtXrtHV86oxUvptY2hQNCMQhmJ807elGPCn6lVe8K
a1vARHRYh0QfIo/aZ9W51h4k31vHPsfx4oRr5VWLmVm1b/mg7dsm3MAYQSJR2sXwFiFENX6KaOLK
tLDrKXClfJVVSDihhDU/JNy8OKOiOQcCMlgACXQ1TvJSr1gzY0go6l2KQW3cDLFDVIZTt+3ZZ2SW
6m9F8q4pd7JddY4wrLQYnxU18zqCqIlCvabMd3PTvufLXGUvD/KbULjBtEo9RPJOdBXuW9GR3v3I
NTm8lCg1lxaMNDhUwyEO0MjY3aU5DrAwBrfjKXfYaJJVsBkj1zNWOZLdPF0CRhlxuN038Y62qjvP
uZbMcQYGd/5GdPZFsuqRwS0ynvr6AKUrMFx9bTn1kvUheIb2l7/4O8vNj/GrcMbtkkp2dx2W7aZf
M0GtTy29VBLt6LtcgxfM5INgi+sShQvvjhwv3AHhpthFj/hhvMV4qVRHfcy+OfNJfxa4BlmBOr1J
0YCg9DXON6eWT0nClK9RFREtERaoZUri6FQ2Ll1RQ6eVLMabmcwDSl/LT+DB5MhmdBo7YakfA1W6
rwVjX4vxN3vGH7Uw/UMTc5hqSb/I3V9KT6usUgz67XCNAuwRIF0hFmZd+G8rSj46uHSCm3XV0EFx
fK4oFYiMpRmN4jUKqSoKrX0QA/Gsih2H/Om1Eacz2NNv1kwC57+umfQqaVriV5ivPDOEL6+qGwJS
1lG6EoYSEudiOKm4phEFiy313TIjVg5R+VKX8B8fIwxV3KfEb7DG0oUvNuZPKXTeWH6KZm5ZtMnO
kK4YsBaD8GyQvTd0x1BjzdiNwc8ZldD/lNIno96JyVvXnsvonEcPWfcxYa1U6GItJCzECNqY+KMX
xxuhLag5JbrwNpQi7oFfwjXEoAsL/ACVVEQe+QYuFfB95I4JGpLQ7kNWXqJIHBwPJm1lV1uoa3lH
Q2NNIXKplxwmF/QLHVpXK8kdF+Wyc+ulfzQv3kv+4d3HH8VTvtScfMcchd/H1MgtlyhMn+PH9E16
xie0kV/Gi8A/tTNSA0QeJu4mTqG5w98ZUh3JjadrJ6xH/KLMeftLtjKVdZG+dfGPMT0M8k5Eed0d
xOjU9Bvm6GgV2GmKdafdonIv5k+pk5V7HvBJdkM0aPEOHIbgbxJG9gAV4tWA7AeFN46fbsH/dlfx
rnyOUS4/Y70x8oVBvxMosMoSaCeDbTyHb38vpTjo/nnz4LIWFXnugPx5GhkbkxNk0k7XgFCmcj3o
5JHsVdWVBherEUUlv67qDpQgRnCoS5Cq2OqLVTpAQ7viLjPe2vxIL96cDg2F9Wir0qoLcUMhs8Jl
jAjJpl/uY3i5Js/CEzCK/FgvKK7pEGBzu8HKw1+M9VI+ebfxCb1SPLpoSrSL+tQ9SB/BNXuAe6hc
/H2x5g1ty0PgAtJbWC8Jseu4xvbeqXWNJe9xkz0Ur9pDt8rdGEG6tohvLPcfGiLEOR7AJrYnlJy2
gKVoF+vgZKxRqotEYTnGWt/gUK2kO/2ku8U2eEE3mKg2isNN80EnkI0Tde+zdsADoh2Ug7aETLBM
V/FKdzCM73WbzWQhutWSEwyRQDRoeKCihfJCr0W8eXvvTsT1ybV7F9/ljb9CSKhEhFva5SHf9kdl
3a31d4iP3TJ35Tf5MdoBhNQuWKzVu7K3eeImhlvLaHLieNmPW40eqgSOcC0ys+reC+MydptRuQUY
iLRhbwVuVC/4WYi6nk0BjehVfM4e44P+jP205Ss5pPf48fjbKJb8XXmOjjg1dwdpgTau1hcI7cp8
0fNy/dqqd52wMzEe9yLduqd63AKmNljf37q1sSJwoJno2i/7YBUqTneJm4V0379rP7sD7jScyxV/
EtIhZpTxkg4S+pxKJw8dcK2LXb7WVnJzjJODaLqG6vCb83iREeL0M1DtrCQYDdEMcDtHBJavbT3L
qSKMBi4SQ0/ZSJJr5tugv4Dzq/y13n6oIfXUTWFE3K3DclWrh9wDmnXqOZpEy6Zx+MUWsjro7twh
t4ndEmJijEQZiwywV6YWjO+YRH5zivizBaITTC3JdJtklRJ3Zi196jloVWoaXjpd09bAXtjzhJNy
mthxx7wjiI1tE1+laq/LiLbypalBzoO/CYZERCYqKPE3O/YfGzZvh21D0ZkkMl/7OsqrlGrIkbhK
V+kJ5uy4FLWCCWvOWGMwv9mn/ptH8anxAf1JpjKYoyUxbH7tRpA3rcDxhZkwOOm63LbHYd8/yMvI
tZb9mUcDLO4kLdJg2w53Rbwg6EyiRXwvn1WSkmzzTJc86s5RvIjomBMEUHESdrEtY1KTwxW4fvPH
dD+K9kJ7TdOFotl6s8CyneQOvUzibvUzjs+0OSX1Ame5kc4bVBsthxxnlcu8RjxHH/ODfhqf226t
RHe+ehw7AjD5yXgudvJztfY36b5ZTlt/Fa6sa7wSls1uPKsOqIJD8cjvO7G8P2Sv/b44ym7PuqQc
VcUuo6PBLek5NZExWCMq9FCrJj5MzXmIDyn0nshRz0O0mCHG5bwcegrjr6VgXCS2HGmhGnw3i/4s
3M9r40E88/aBglKG34tn5mvik/IhsEYmO/rEhm97z9PkMIfhQMQao5+Vq+7oTr6QbM1FPO8Grmqz
3zqyO30QCivCk7/P3tABIlDm/cb3Pc+daZc/udDzUrOetvpTcCVrLLzL7zgKCdvZ7MsD2s0WQdt6
t84ACFQEbL3Nr9dvHYsWo6QZhm23H/kyO5Sn8Im2ydY8tltrrV+jnz77c7+t9smd9mPcyof4zVJo
HNvGmaYw/4TiG90rECIsR205QtuNtNOU+VGd9H3SXWpvZ9bH3nIEN84BW6/HAT3WpW3OoXoAPxtW
LtQwAdW85MILEzqWB5I8Vla9shRHIIMtXJEP2SO3w/8Pe+WFhrWOL4W8VcANEXeLHT8iApuVBcBJ
QE6ei5YEkPXYuvJ4ldFvg+/HUsvnzvZCe0iak9CgndQOVvhQ+Fukq8Y3fd1/eGaZVCBCUmTZ0EXx
iwLAbBUDT2AzXacpLU7EXCLoS8EYed2gLktoXP96jQC8K0mMSFRmJTy8n5cscm/BwPZCfPVoKC/g
rrFiVuU2F2OA4YL+XZP4jw4AzR1qDhmtmySyTnzpWVqYRLs2MONrVHuFM43pmyZn7VkxcG5AAcBk
42HlWfpBg/UN4YMRDEgUs4wtVWe7alJIVuxWkKGFVdOFUCmttsGRXP/4e+n09WvgytMNmrvrIlA7
Wf7SXS+HVoyaKA2vxQSwQqhablNdbxwOO4upl9vN319O+trLnV+PrC9mkrMMwvh1CvitqRoTPznB
jg2vZjj1u6Qc90PkmW5cBxAlwulHqXOiGiNoP6M5MWgJTMOlNZxhzUmqWfJJP9RQq9lG5q11S4AL
oUEFwnn6zR5n/XFlpFk/gYqCXYVro325MjUJ6eDnlemGHYfXg1zW2cmdcFJX2s1bmdt0mV+YlwY3
f5v/VB5Z6hmKhi9JDM6Cfi20cWCmZzV3gcnSrkkQQGAXoOESukLoIi+lJIG6Ks9wjZD9/9aq8DjX
1jWNdr60y7yFVu6o8kgKjyo7Gxk4ucDfu2mpmZ0dJPBq3JYkEctl9AlvS1CdMj1kMs3bi+Bde8p9
fJ7lkp4Ahci44//inwzf8uV4QeaOz6lDeYAiHrUClCqGKJRL1HLsR48Nqx8aKwMZ7SLAi0gRqC2K
/ptL/Ev08vtWiqzQNOZ7jzkCWTXqlzUARLpB+xWy/lRUewIQQCUYA6kiARtlIQyyzVP72mXsnwVU
H4xbJwAEHxGBhBuGIue/35pfn1giexSNfd3k1gZ0LX6paTgKBzANguwmy6HEFAdultp3pNb+kOSW
qvV+7PJ11JPl/vfXnf/czxeB11VJRuM2tkTr19HmtyciU4rU0uswu3WW4DYSoq5iQEc/Z/2mcgjI
xdDr5d9f8s9bm9EVhBIOTEw4filLfy/fBFVqagmDxC3K4R9Xxg5Es8chj2o+Asr4r19sfpBUniDg
nFzlzwvv4A9aWGga1zUqn8Igo8BWzJ+A8u9H7Ejf3FJfGyT88TQRkDZQDs7byrz8/HYxlVIRaW77
/c2bYlpuZNU6oszI5u8f6ddm8eU7I+LHQBMLngD12JcbN1KVoZZKDDPmgaYbrVcbhwMscpJaSTYA
/SQvTA694dpMzhpGdVxE1DsIWrP7FlBttouCq2CdimFXACbyVrmlLbTETbSlnDpFsySTDUa0Ut0V
tZP4DgHzg+BY6rqOnSYE/bFrCKXgoGjtfJWo1WWFN8lbWhojakf64DjJ1HqgVGpgzTnhXXonQeKF
6rVUoGwdqb34OaxiIEK5XcJrICeU6pPEzWYBkmBKjrmybML1kB4jw+1/HeKJiTUJSEB6U7qlsvSN
VbRrMGJ4q7hfdQcsgt9c5D92CvYI/lIQH6MFQ6n3+atURRBzYSK2NzGeFpbenZjxEdWKobBrqicw
v6eAdv7fv9g/dIlEq1jkqEjcRvPN+jWMDjhOD49ZF2/MJCEDEdENAT1Ykj2Otqur1Rm/REuoA4In
NP6yzIvvxst/fmziQEwFiTZJharxa1v67Q4W/ckPeuBeNzzJD0mYwhRUA28RlVkJRkWWnSj/aA0I
j3//5H8uCSzB6DFlCjLE16Ly+WrXLZbSsCuq26hX9bYB2oEWbybZpJIvfNNf/IerjANZIe1TJ6uG
dM8vS4LQiK3XE1V+G3vzVgJEq0mIZiTwEfTnXMhmUkqbkJbFCCkp8m8KwX94dZSnCvFNqAA5un4N
b8rZ74MsBO8tZLDOBB3LZuYfSHOBnRiGh3Hfl1ChZMV/YDL39G8vs0U+nKrImi6LnFe/NHBlNSx8
GOjVrU7rXVnDojRFHJVVq9tED3+7TvGlfV6meDXaYqrG5xTZaT9/qVYvVkj8tPqGtKJZ08jqm80g
EJfQyvqDIuOMljOc4JISm9/cTtIfu5qMKEDmK6aRiypFkT+/dMCnMQQyA69pOiJyq8S7AD101t7a
RthlFVTeTmYkPTQwUy02hAUKUXOphhvd8pFgFolInLPoGr2q32rm7H//Gn5d509Xhva+SVYbCwt3
Io/b57cXFYS5VLovXseyIUB5GD+CrqxdQqxrECFM9ykGDKTrjDKteGBlbjhEl8FjE0JC0dRUdRuz
zZepTrlXKFe4H+Sepyjeiuibt/rHg4lc1aI4l9isSZX9+k7JyOjJQtCLm1Wg355qJiZWUUoLT45/
BCWKsr9fmT820FmTrTP3QHMhUZp9WQcswp2kzDfyG1GxCpJydCuJ1ybfPIPavEF+vv4E1lJa6wqD
AJS4Xxb3XquUvJaTkLRszLgEKsjPijRc62DaBGWY73UVtZo/TgyB1bLY6RrvwxIS5TC0+skTfeuM
oTV2vQl5z2Bo206P+2Ohhcoulugp6NOTaqb/w96Z7NiNpFn6VRq1LiZI4wx0b+7o8+xylzZESHJx
nsyMxuHp+6OiukruHiWH0KsGepPIDKWC917a+P/nfIfWriyC6zhbfYTLgMtYfIsQ8lpZ8jVOM+uU
j0G1lKKwqKaruPepdjcxACo5ozawOaiApj6zIHrfxXWzI+CaF7As3rELbXU7UB1NdGRul3BfEdxx
h6yApIX2Juz1fKXzD46n/zBkIw8ZIiGebE9sTm/ejMoJ1B1UVdwvGvMd2CUXnGDfEjfpYDVfKPmV
AHS3tko0noII1a7bAlDRdvxia/sSn+/enTzz5BGosEhKAZIQhoOHOviDjftNKjGuU8En5VMyxUIu
ez///JctrBcYI2MSzO/90cJDOBoXhmxr7VOjBRZiRtSQtAgKOm5FADWI+QqPtmT6Z0Nv7TqybXaW
MggCk/qwlEt+usT5RR0afVp6wzGvlLrwrPQcBIo4+f3of7f5MhaxBJCSiC7DZ9K9XhZc2Dokwo9m
lXbFR5fRcUGTDWcnGvYoHttNFU3D7s+fyUq5HjxC1EbizTNH4SPVjYy8I8Dm21KplzqrnqqkPK2j
hN2QBpiFFfr3z3Te2PHWd8TBn4etorp4XVpef9PSdaUIKj3dNfnObS4D7z6MByw6n2DgpJB0U+fZ
ry8xJMElqgPEO4g0gVdhgnYg/I49WJ8cyyvGHrAZJL9s4UaQoyY2akZgkCyAo9FkiK8go4bmawA1
rnXPJZU/TEDCXBvs4ZWHLXsz13diujLIfLoSbPONrnbhvG9KLp3ciD6pqt+aDpzo17HfK/p4g3/q
xYc4+4H+t8ooEQbHhNJ67T0GcFifGoK2mmfXPR9x3ACCMFsF72c/zLTEUP7QLw32wbCNC5LBph9W
d0eE7Kbud810WoaXXnAdyseEQl7w5FUesVnXJNhv5B10JUN8GfSXiZLsFYheoBXWZ5ZfOl+5fwre
MFz1pvyrSJjFZcG+jiLy6HQfrM/vtwPiC5lcmDkdZJhvT8WVPY/zEAiWStdFQkG6BYWkqxR9bQvZ
64OhyWL8bp3mccyEmG0hXv/r62GS+zCY8t4b7wZ82eK2xY27XCsgtJUNUFTt/YqKgf8cRn/F3WXC
S2yT+0w/Z8OZcj+73ovjvUwjta7uJu1eKusySzb9svfKp2U4In4b2vPEphnz6ESP8wwJvnhKjdjq
Id6Akjnk9MuI9dQJrQ3UFQbxyFieJsPdmF224phGz0OMVqr7LsgEXkAcG94QCPetA4NC9x3j+SlO
zuaMSGBsPWPgb+eGAjsllUnpU5NZe4BVW3ASKOm8kegDb6Q6R4W5xBxs0EnQVItbjA0QPPRMcdL2
EAqvoXLpxnJfHP97bnWQL2/i54lblcQAZqHobygbpM99Wx8NH32lDkv+VOBlGhPYEcEn5DEbOwfB
pNhWgPbW5rP/BQ8BmOoF/NMng2qp2gpwDd1dUX736CITU0dh4DQibSdOH+L0Npef2+DORjqTPcOW
jIPzPubKi7MIxVtd3EFqhutwGrfHofuMjgo984S5HxkFI3Y4WiQEIVCnJN2fRmKzfGrZ/LbAu+IY
WMDaUBsexQ/nfsp2tMIdXOZlCenrsvW2IR842w/drXVLe9B8dc8nkrqR5R7bZuvJPah2SlIeeg4K
N8jYxK5F0sduae/K6OsoPlnxvk33NIXqbGdGaG771CUiehcQPFOcVM0x5pKcnOXoGccvsaI2eUqy
TD9D6TyMqy1vBsNrXRQ///E0X2uJGh2jnJqeoE3RmPs8tJ8nGrrIccdsF34avy/hjr7eEB1xGdKp
leIhJmWh2jbiLNXPaXRaLV9C89fCyIxwsUScO9am9UBgNOsY44T2aHxsh70bERpwjjB+5UHAaTcX
0rovkUiVp1zOJnFWVigILmrgst0VeZGkEHwt18bytCnVaePcEqIFLu67AUcCQHy6L+g6Kn+PaySS
p9DA6Bk+Ntllk1y5zlEA36vPvPSYFACGzgrCAob1nu8u8GnPmuXaac4DZ9d4h9q/m8cnHH2ueRyq
A+Tp9nqOjpN36PIHWeIRvHPIy0IBkDwJpscyASDax9EFivbaPxHNSUyvFD3UWUBn8qN0bG89778+
8OEPZptb5XAO5743B27ytnWb69ncETNk5YhMq0LDJdWgkRz7viggNCx9MF57GkSZqtOLZhL5LokT
ePs25RT4HhSISzgJa9gYTALOwaFxNcinGkFDndBL2QyxAVHQPOhkbeSKdl+FNjKIVRHWoNrSEOGO
/QSQxDfgQY1im6piQkL87CnWrgP6te6RzRJMxGEk6DXIrQDh59IeS4NG64M9+N0ZmJMR1sP1Qkhy
tf9ThvTLMcnqfFU4hDnei8Qeb4LM7Hq32QkPKh4sPTZjQgLtKP06DYpcOdgcH13D370TPsBqFFxN
kOs1/E0Vyx8cEFoAyu65xXkXaXdDWQDCmvZ+5AoNoYY7i8uHKrGcp3HblMt33OM0nzoG+u9/i3e3
xfWTeLD26APFIeqf19vMCMEnrgpT3y+V/Tn1F/bumatXy5n3GIgrP2Zd//0Tfx6rXg3I9ZGBa9M5
tn3ugW9u4k3tklEiPGqgatS7qG1GKBnhN7eLo5vaS3FQDOI0gCiMMFaBS/fktZzAIrIZnvXRjLQv
qB9TIflr0Sw5AgE70eScxeIlnNi0sEFPH/xK4l2J2sVuAMQBADItFPvtwTpfiE0hzLZED8f4MA50
TDPZYksOitk5I9iKroLhK1LuTQGy3SKu0xuN1iKl7zg0lTl4aewcZ9sejmLwNj4JieD3UueQJio4
+E0LrTNczTA1TMFFaXVUTheczC3yqyzLv81NqC6IwDyOs7A/+Hbe2xWCL4c3k1fie/g53mYqqbmb
ktZbynuBu2IzRuphtj8KQhfvzjNvHvLmrScpzFtRJihqlE3HYwnrQ+7IDkEN/+FFWP/CVBxI16Mm
WwUwZVT83A/XzVR1hyK05aHi6u2M4nqKMAqNBu0X7aetjaZhtxTA9jvkvsmEiakmXxoRf3TSeSn+
hM4KD/GOt+t+dJR/P4vXqrqgnBXBBPJ/XrV/WUaAxwWZny3WXaBROJHNuOx721AlIATtNOu4tASc
C4b0wp/WOm+aSvy1UYBSa4w+eIU/a/mvJ9XawghQTa69DK6rr+exjj2Ci8bWuoOJf/S1a46AbfO9
tXinrU8YlQPtFlAnLMeSZE9ndq9hrXBIwDCxT30OYX5Ny6UAu/z72f6PH8xZWQ8QH2wXWsXrD9Z0
I0EoUlp3fTwvW52Ody6Ees4H1Y61DRdwoz8b2EZTwjuE33RuU1DYkkeBPpXk161rZfdtPT3//mP9
wyLEdZ5Vj7fn43CJ39z95GDyYk679L5KouZq4T4buMMxAet5vjTJKcwpCfY2SreTN4HH5f+1DVQX
nPu+sy+s86m9cGmXejbs+lTpmrNC8KOJs/nQz429nTBI/PzAfwROuSTUqlXtD/0/17/2re1mmdOm
/gn++K//9f8cXiVgqfjvo+gv2+Wv+mveDy+v0CrrX/obreLZ/6JoQEeNEDqwIoz9/wyts/8luGRz
tYdQSEN5FUv9n9A6x/6Xt268cQyFBFnvL2wV8LH/WltLwuZ+vpo7vf+rNHo+VMjisLI5Ys/lWa8n
gB0WvsXiN24mGwFKarU+R9SouO0DFTV/dkdFF/a3LYwWig156Gdt+JcVqTQhrZKKdnEUmwQRvYxY
jlKA0N/A0JlzNyrhcvzyNm7+XmL+Bx3gmzZvtPpf//Zm81gfiSGRGbQWdXkD67r/yyN9MkbgZqIw
tAJ2c+POFpm2WX76+6e8uXz/fMp6F6acLUIXycTrp1Sh6/WJD885S2NQizBegi09SB95qWhw2I1+
03yEylhXpl+W1J/P5HgYI87wPDqbb565Rm2Fvg7HTUL2O5ytmaMuARkFjtxwSD9YJ//pC8ZsvYLO
BD/iOoh//RmLxO0dUZIXY1TTwR6N/e8EU/QnvWW6syGXcfzBe1vfy6/fbrVUc/Zcy24Oxc2fJ55X
722EfFNy2AStfm6rGcJw0p0PAzDiwo8v6iY4z/qP2t9vB8v6UE69q/Bl9XW/7XVlmhAD8BJAZwuH
O3gdTFtVtdUHg+X9U2ha2iH+WE41Amzb69/S9F1NbDh6597p0J4T3nLZq/Dr70fk29FBqxCJCmV0
gWAB9c6bcT/NTYR2gh5O5zvyMSYQ4KbEDgPmdKhP/vhRdAWY0Gst6P33UV5aZMXoY+dOS7rcVd2O
WLnceXwGAzws+98/bR1prwdGRBsSWJhYaVWskK9/vTFv+5rIsgWhT4QPHYnUU9aZ4UmCjrmsnTlD
u1KwJ/7+qW/HPz8nTV+XpFDuBhzQ1j//ZTimGttsF2VcC51A3+YrT7eI4ubC7ahjzOypf6hXWP3a
XAAF/lvbsVni10H0ywOnIuoju0Y/sFou9nHuJidROE8fTOt/GIqr4o3zD+vjWpx//ZTc96wpr7tl
44pObDSYyN0Uf2iM/ocfD/UKSGmUXViR395OkgqK7GJjhR6l6I9t6VtXCUjpM5GHdHaHpr/5/ct6
v3ZEcMeoSrK1Imd520OaJTewtuuXjU81hO9vNtES95tWD+jznesikjCipPOBBecfZtzqMECy43Bp
Z969/i0RMYlaNtMCgHsmmg0dwqGlrn+SWMvw+Psv+O61rWsUjbjAD6NIgAx7/ag+6KwBcjxC0shV
l+OSFscGkc4HS/C7p3DxXtuLmLnR46Gjfv2UxertwnNq1LJzPlO/rK0JCYp27v/wy6yrFEdvRjk7
9Hv9ZR/lxNwQnzoHHVeSEQ9JI4X60y8T40fHAsJ9KOSwb7+ZwGgydVh6DPK4L8jWMNBfVIsr5/ff
5d0YYMZyzbFXgJXgQvHmKTMKEkOUDy/Gi6wzWS4LQULetC0CVRx+/6h3b+fno2j3YfsKqBe9uSHY
U5rPY4GHQPqZu9AtGWzvdO7y8KNy1LqgvlpwaT9xYEGJtlZgOIq+HgbS0M/WYgk3QxckDmv6jCcd
2zmAfhHOI5cmMZfzNuhDNOaWN5U4HscCs+Cffl/gccwsBykerzB889MyX90izfF6FJOZ0rM56WL7
KNy6+6gi+f4dIhBD+hbwPBJF1pP8ryuvlRTkPwA13FRT2xyyGD3kQpP4JHU78fDH34kHIMIQrsMp
R7xZfoPF8THuTRCuzNJdh2Q0nLRllH2wd70fKeAKwFuF1M9wB/7EGfyylcxNGgAGpi1VRE1K3rGr
Ns0wZvvffxeMhm8GyiqKBRPJN6KBvyo8Xv9wfk70tSENeUvSD/EQFfsX/Icx67+HkU7kZ0vlBexj
uuCw+HXeJQHEHighKRF4JfJK9EVUXcgn6Vk+MYXQNhGTRR5vUpf2RV7Wy/fQN2Sf4Igu5UuSVG2x
9QgbIXAmV7a8T11lwkPCbiz3S9FPlOic1CnlmT0lCzQSlbl9RXJnbEINTs8xM9L/sc1KL75ikU7n
6LQXRZzfFhn98MOoohTUP/tZb259CgCEkvDHHq6kZnBuwzAn+tTpCsh6YUdyzLYv/Dk8zm5BBDTx
D90nsgnto9saOgU93667TrzYCj9ncpyxAqkazxOWtZWIbwL6P/bc6vikhPTY3Cyx3+L1VfNSItr1
8v7gKGuaLjhvzzWes3AALtWMRRcfTTPWEyAaRyTsqaXfhnAwRO7ftWpKMghEOiKNZvEt77asfZnv
6Pj3twVRLPHGyxfWRL9TI6IGxeFqM5RR5x8GX4nmWaRJap+12i/dRxHYMAK23STz6i+46kG276IG
88KSuhnaa9sf6p1uol6fSM8gteidtg0x+I/pl7IYKVXklEnJRpqc/NHOcms5jeLOIklgLkhWkUK2
+U04Z8FjlAmSXwmYofRvZOj+WJQhnrJyUaJjmwhbyVszs5Q7ldfZmgMyZLfpUGIoRJIHdT1oS/BU
xD5Y4jazDG44qw5gILq1X5E8VAUTzu+hrnBkZXYQnzWdqG6GfnCDh5k8r/lUESSMqdTyIBGiNjBp
AaR6tqsUzMQ4qcz6GhVyWIXwrj2pK0kosjwfc8t3950FZ/17Xs/LqXTnCFdWV1G+aiicmo3HWt1u
FpGjwD1MIKblfadJvPk6S79z3W3T2JGM977badI3S1TsIt2ppLUFKXp1n4Zmn/Zw18OdIJTHfCck
3dYXHm1L9TL0hewgTZUg3tODN7vOlU14UXamujSb9kYGDi2MwqhvpR01/jGJw/wmqu3+h6UCRVWQ
LowFID0Op2HDAbtub3rHcrTHlc91zbelSIrVUySt2DqNpyUwX+2xFs0RSQfJSSImSmVjlX4dAKoo
CD6JMUkDu7NJmyD9OLCgPpi8CrdLlvfp7VS5IRA8HZsYrVfWqWOW1u33iElljplmDn+rFQBvtKV9
c66X1J4vqimxqsMYdSY6dbPSsfczk2fcVZlvrvTopun5NES6uovdvHSOeTtl1g6NT4/TyiV0bLdk
kn4tvaMIbVtSGkDrBWvnvnfLGuh4kZAUwkrKDjYN5BsSMxkvHEnaJLieytH5NBM3ZI4h/0pv75Fc
QLxNmGXlPvImJOBa5IQoa9ceKGOqrk+wPxoYFwnk85dFh/iVx6wiIqSrW8858YexGT/7pder04wb
T3ySW7J2zzuaXN7NEKdj8KR1kVn8VrE/nAZRFRGeplJwzIx7iei/0fFT7+v80u5ii0jTqmhfbGdQ
KYlw/czU1F6T78uEQPH9mHpRdd/LqOLqZLfY8eJiGP/yTAyuri7b7KEdiyreNpKceODoorkippBw
y8GJ1rZc2uLndBT8EKKZuPCfjGVGNHWjMoMCi9n43IaWWn+zqr5Vg6TMiD7OuirncrXpcy0gcDGC
Ou8Kw6rRNAoiVVYTatGVPQ4wkUaTPKZT4isKwVHRXc+JsLHZWjpQB5VLv97mrhVF+84voJjrZsLW
5jldL7ftVMjkOeVUw9W9JTjhwiU2TF4549ovZr0gTMLxoYbPocibzzodyOZrhiX+HFRsnFvolWPw
g5jMDDWPQ+LEeagyuAvJnJFL1g9RbV0EvU0UeNRUVXC2jI7yyb+wh3jLJo4nz9YN/VdPDPQtbWOc
ZZclOjTbTrkYRJx4ps2f2q1ezuhnaThnVmGDEByaSZ+RKEbsCCEWfk16rXKL094mZwBCW1WIR62l
zHZTSIPmzGYrJyhmrLn+klHDYagK5hhkA5CMYF+KDrcyeZD2ZdCGKSGcSOS2TBZaml2e+OUWXbQX
fjFFZWIsoTUUgnlICUnmTbbUOzLCQ8jRWvgmYzrgHO08YqG3vmn9ZR9LL32eE4dSGoXx0t4mjsHG
vnShC6RmHMGgpZMIZiC9HYfCLg7kS2vJhGxI/EzAckQTcMaP3fFkMopwPjNnqFzbsYTmotkDvqC8
He8LJ/f0trYCpmJVSeu6s5LQga5RYLirqhASrShMXJxVpbDkbo6tHD9U6xEZEaLUFDvTTyV+RRMW
P8SKkd/q2FkNcEM9f426XkGv8Fy8vaXsB9Z2AsMsWIKOIiOkc9SwF3YlqhO77miDoenkvmo6HJiD
GCtBsK+JMTkmJniKdJM1p3ndWMNeZU6NU7sZYbCEbT7fUvWbm7Uib1ccYiz8mW1QVOe68i0K9YHy
PoVAa8SmVg4XU5VWNgAcM8z2ti4TyIVhR1ZgtixlyOfJ8Af4ZYHZvKenjeGQ+KR5G1YLvnFFKsiy
scGIPQu2PqY8aVZIknoZgqTze/d7FkpYmBYE64ljZoNCh6ZRLzZlbXprKyFpN/hDC4JA86Vs/poJ
sQCT5LbOg4nilK2gEv2ZtCXOTccqoPYgcwlhARoVXrnKAYtAbWGKOCAhyKJIsmbUDz6djX3Xh2WB
jbBL+ps0gSR0PWdVF9NkiWoNtKAwZjzvm2Jx6QOlhGuEdtNml2VZoRar+rGY7sVSEyTSAo8vrrzC
W8yRHMFiIonEY+zU2Rw45wQgxuV5x1lCPzRFLEhJTHMvyc/omKRdiKhToZsifTWZ7OVQW3lEz4l8
Np1eCHfO/W9y5KjA/ir6MN3Fko0U3k5IFQgFr+V63ReOLfA05KIU+Ml+TJKdZ9XDSc6GqI4mSIn7
zFNrtSZVNRrLlMvhCrkcCJgLWjIukL6Uy3NvzelwJqsoA+VUS4eqMDkUt9GQ95ixhxhOVWxleXmQ
dJjn3UJoVwu6xqX/yKHLxdnVF4Kfv+cn2PNm/DOtXKWOg6erW9tq6e8G0l+e2oy4Mc7gxNYRfy29
O0nr7MxXJRYPTNvDRZq4HjrRWeICcdMAfE5CEijqHJ3EBvy2cJ+JI4FS0YsYbSyBNkRSxuRe6oPJ
ISKSCxkvYht6euP2afB9ZesGm3aaB4Wkye1vMs8OE4ovMNJYANkaNxaBcFe2tMOAId8kfLx2pkRu
qCmke/IkiufEzlhBLIssUaL9OCRuXIXtAA5MQeAMm/q4RQMqAAgISMBbWSXjU19EHnrCUYzwn2hH
PxDFU1V7glgHov2qUgfISOscYRXUP7OfRSSx0BKbQngN4YcPviUwvs3G8jVU6Tm8CeyUEC23qoiL
IdqmeMbxJVcdm5ncTRRVzUnQdAmsBQLXnE0/TNGdMxZWvfPqggy0xU5Ji8iy3rxUWgSoIEmAxKvW
F0rigB7wLaduqD/hqci+tSUSfFKFkIDsuLONPxq0A09BXgQnXpJwlrKxtaAacJpWbVOivC7mUDJX
fWlN636jMfPUBUVQzLshuNmA69Bfo6VDGoTeBG8iLapgP1V+djOx0nWPcS77YDtloWIo4eoId33s
OciDQts6QF8uIRCXS00GOUm1Aw67BuK6QZtGmNBcLLdDU6T4CdlML0LLQAvN1ng3cqpD+7GLREKW
vCzN9dJ77s2kBtvdRpln3eUFMut9YJsAbeYwkG5hvGGjsR9ErGpd+9UjEQscJldGjthlxWVYBP2y
9YYM/FXtNJi02A6S5Ci8oZhOi4CLxi01j/ElJZfxR9UZ39/VlmL3zGniE9bjTA3x7BEQJ0/LRnfn
ueNHFHzshfmBMBQ+enJWD/OAkow7qTxPy1kkn0XEtfJ2TuIZDYX2KhsHl1MO5WPpmRFxsmpk5DTb
qZ5nfZ01iM4Nei171Z42OHGJhTcs8pDTpuVxDJlda3o1qPuhQ1GCgs/3n1NVmAePm6DcRlxC3Z2z
ENDISCpmDFaanMPDbJH/MuH1WUOKFm4hTNacMWcPQUaGifB09iJ7S4FSa6OF3DU1fC96nZktoe2o
UaOI4FNMkj1Zx26dYnZjxWjO/SDJ0B7gW9Nb4r4DgGNScQBeakFKVO7an0zB4s1aW9n1MQ6r4aRo
Grfc99VkXzWeW8HtsjroVSSC1d9ThNrxMSQv6bnzKzfbad1Uh7LzcncbiCV+JmvS6m5EGYwJF6/A
9buvQ8497qGq6ZF9Kcm6cvalNfbzPps4eW9KBPyPWSdjQvAMPVAY0qFG6EWauzmkHur68zoc/Afs
fcN0nDgJNhXLdK/jW4tqRnFOhHsU7oKwtLy9MMo+Uo/tvzmzvwoPCeAkuEEPCWRYp5zMnloT53Ho
8aBbZN8JsTdq8k98FEfBpue4qfAaTcvDsljDlxShBES10nbI2fSDy2bmX7Ltc81OkY+B+TTm0lbM
DZusAcngx49m9SQXREMHjhErDmBsqsMkI/aySKtjrzqgiEFlmm81SSwsfDRpEaP5xehsBx2qMxIJ
h2kPzSwknTiqEbWNQzv8ZY2ZzC9GvwVhUsxRKI90PxMQvp093ElV5yAQrGi6ahxVx3vR9lbMHt9P
d4vOnfK4NKbsuTyjtDtS9SN+iMNt2DEMx+AkDEffUIqg7rzxLdvpr0hYw4OUR1UQXuDBT5+ZAS3p
sUHXodED3vFgtajsWEI56yKyDNajW8WEyuthmnbhYhWfOPHNnD8zttCtTHzmfj+GpGxJr4Hn5GsH
K0IZxViKzeDJb2GbjuCUXMLsSMlyyuo4sVV3O8Ylq2E7kdsIYqiO4RykBQq9csihRZM8CSdj9jhl
L/ZSPVp9tFwT1jq9yLpfEK5PudRnY2fMd8Zl6u4x+ob5j2Uum/5oczS2zhKHGC2QGUtGe9pIpzqJ
5KBREAJWBefjwCU4cOm17S91jRhp07gFCgtp6+Xr1OcsOwOxWTdVko/taYmHCJFzAO/dMbmMwH8u
5Wwll9YcESJ9n82Dx/zqB5DYY8eJZLiyu2gWu7JfhLNrQfbKb9QNivqLTfqas02lo/RRpfDpyJ0o
uKo/4JHue/a9UQTWc+XZeXZPTzEk1jPplpJ5mvl2BZTIrXzCaYOJfktfjnl3GSXB+GOcSmtG8zyV
LNOCVAUZllxX8jDIL8olSl783tQ/ONsOnzsTZ+KJVLKh+lFMHL4PhKa4RBcHrXBOZ9UV7X2WpZCX
RRXp7CHQ9KopAvTFk071XVPOOMd9ox3ifxkabgN9wi0saFKxT3R754sTfucv+JcuCCS+blrvR9yQ
WZZ14femEtPnIo7Uvo5Q2QbheKbWE6fVOUg7J42SfxTetzTy5uz83/8r1CiTFuF5RuXWjRU0LnJ0
UQzskRCxYZBYSn+mKuFzkwmpwB6FGv3rf4/aKZGS2x/38wbqedoWtqFPVAzX8eA691zMSAKIhozT
KfZEddPFLYg7zlnl4+9Lqe8KqautlVotFhvHdtEgvi6kNrHxGZkBnnx+bVCDbQY8FyaQsq3pD2vD
3Atpu9BCWkN/Ytpmrx/lTy6kjW4k5Y248suUM/fOQ8/+hx1vnkJHBLfhqmVB2fqmdq8C39NtVuCP
9UJ5xh2ouUDX4n7wlLfWFQxjQRxzP+dsTp9R/DRK/VLoVqmWntAK3+BoVclBluw6YEM8DLKhKuer
XHvRVWO5BDDORvpXaSdBu0Rsez9Qg3L++fPXiD+Pqvva9fTCN51qA8LVsSxeI6flYTvqEKSWjfK9
6a3/6Fn8f/nVv61dhP9effV3uNXhRbYvv8qv1r/0t/rKCv61GhYB4ENuEOilfCbT38lWVkh8FWwo
iADkVIFZoG/yH/KrQPzLRXMc8A+5qa4i4P9Mtgoc/shjrgQYs+hX+vGfJFu98e6hZwVezRSn/fgT
d/FWfsghO3O8ocHLRdrUrSpi59ST6UMS6XxvzJyQk56rPSdD94vrDOZ8iRu5LYpBn+VF2RwcOe4i
DmX30RxlR+oX36Mx1Be2pcvbyQk/6Ku/biT9/WFpUv3M4KLR/daQJjmG9kpjLwzph905WKWvEBN/
1Kl119XgvxqOfz+GX5+m8yoZZU6/XpOo7yYFZm8ot4mjPiVN5YQwu2T0QFUiICXA67haFTGuilXD
OpLAfpcZ2mjongrnVOc5WQWx49aHInOjE5fj6abKKuh9ZJcWbEL5gouomElvmQp9Zfe1vip6Lqzd
7JFHLzzuOlkgrDXh07/vooTceNo29FipD+P2xzu5UE4wiX6cVe1B28va+qWNY6IxRN+ZL3FZkzb7
y7C++fvb/ypj+4eBwg9DjyVCpAGc960BUY/V4vl1j9/BIvOioMxIobYiaDA0V8Ek+3nne116VFwg
yTWp4BzmqeBopWQ23lVGg1ldKxqnZBtdaUsQX4t1WEDWbsimsHy/3s0e6Rq//9Ti/YhBvoroFy81
DWQaya9fJWLgkYs2yWXjmOaKHGW8ek0emP2IDJgbzXLL9V4dXInQxSPG/Lryw5mAytHZj63DzQHE
anfeynn+LmwjY+jowIEUZcEiGa+XQJItygqcP2gtKBb0nKLUphoX0tqcOVw+2Cx/ftzXIxNWScDv
v8rQHUbo66+DXUJFbGZQ+NzUutdNUp3ayJe/6QrnPlwfPzuzRZc85n7qwyYbcJ4ElB5ggA6E6ARp
j6d9dO35k927+hPdBurYQ1Jy4NWJyu4oNE63kxmGiTM7AuNpNjPh8eCwqBW5U/FlKUqI0VVSgWWD
nRNtKivAO+YMTvmjGizaTHNhQQUynt9sbKKTtsOs4fKqaepul1HrfWJ1Q78NrbkEJBJmDyE1y2dO
N2RmBFl9p1Gj/TXYfPjCXyAnL3E3nDTTehmlXWV9JqVOnsxOpL4j4wRXhp6db9CSB7wzSxBfIrCz
bmghdddtDcRlE4Otuf39mFrX8jfLA+ovZLFk2K6N+rd2ADJSpUxsomj6JpUvvmnKk7DgZ3GrKMm3
UyoDiI4EKG+sJkBK4pBgRjqtd1fQBIclafFO1kgCT5qbPCxCvJyu7TxQhKeQWkVuf52ykZDa4uoM
bMqYQr+eOzFiT0wkychON19y+T3pskZS8uhyXpSNNQfj4ID/1TEXc0I7G2rL4PGXLM3lgbonEedl
9VfDifpTZdpFw3ni4t+qFEOXrBb8VUFZ3GukMoT2JvhGXLsALqdMCilySucZbt1ozRdhv/acvQ5g
YDK3ezdz7b1rKy5CStTn3IwwnA2tHxxEJbqrhVrRTiOhPGtH0j82+aQr/AiV119kNf+H7RDk7k0u
gmtL4UppKFpmJ315K4aeoOsYRrXdzemBolf4FMw1rZmArPp7SasGN25unVsiAS/Zp2onayf6FFAt
uPBw0JApSFX4g/n3Wte1bgx0wdh/sI/bdoRe+fX0qwT3GtvRAoYvY4t2gX1RkuN41QdIQZbRDXaR
X6mvLYEnH2AJnH9ayDge43dyEZZxXn796DrlTlSPhaCNgeDEtzquJci+z6UvzlVkqlNPD/3R9+mF
oXjYVrFFnyIfsksrplcYdwyVUdnNR8xJ8X4uIMhFjMKZd814WT/2LydeZyLhJ6pmZxuPubvPvBCP
RKckzt9w2CzFuBzczg22fgkD0TdWycxPq8e0pUrdZpQ0AtfYx+F/s3cmyZEj2ZbdSknOEaKKHoOa
wGA9jT3pdE4gJJ2Ovu8U2FOtojZWB56RmeGevyJ+zr9IiItEBJ1mBgNUn75377ktMEbZF+6OI/Ae
s4iE1BlGVxPnSSz5pfFBDUVvv7PUX+wPv9AefnyjhEFSUVBQYb/4VZ3NMbhos5j9IdTM9IrJAh0u
zPtzeQgz+ZAvBm0OZuJESRV9A5q49tZ5JIsiXr+ZLkWk6NyzlsnMb8KUG5whonndmuQdb5OBIIHa
ruUVjzq8XDgCqwtXxs4lDVUSlG6RQ0IzSVCj4XtdlAm3kwDwywriVy2kNc2eF43RieeeyXuhZ07F
kew6l1SfNmP5MI1uftF7N8alkcqXIpGw+RI9HscN8Bjj3sxwUTmtBayGd3sl+oR2adG/OXOO44fY
2yD8saAzCYv/aq/6RY3z49I63PcrTYYOBaevn2+NdGGHmHH5Q6dOlsfQWsLDQvJ5YHh4fIuF8YNT
8unUTNDo4M44t1CU0Bex3ePEu/SF5obbuOiBtWrkPf75Im6sr/7LTgpWiK3SW6XDlrPe2H+4cRli
z8YQCwqDsci+NI3hnjXoeEZER7pMbXuXw07cC7uS2yEG3t82zddmzKaTh7Zsry9gUXOBAKPXKHdK
XFDHfhib8yJdbLWg7CW956dmXqygY/K+JU0ZwiknUMaYvvU1GwmW6gs73tNSLA6txiTszz/gv19+
DrtsT/g6YDSsYsCfP6CWJKFbNHTzJpnpt1UtXezOIVBuen6Brnrvqi2Y7smKoHdhBga9TE9hK7PJ
lCsHS/jRYH8TbDF/9cz9ckrmxuCdcUxmUzME6uJfjxw1lthS2CRmydIEQ+iUYFjndthIZzxmLn2v
pCVNtHdfbMGuJc2TGibvPzoa/3gPtAPQHEPB5LH/VWOXJGmvGtSnm7qePqzEtA+jNzKLwKD4F0vk
v99pHPnQC3KYALm5nrJ+/iJQUFESCUJfukjlt2PheM98sGZDxzXdV8oxXtlMQUH3pVXfMqTuXisH
whPG2KgNQoUQlfmCdsajAwbR8XL5nlXDwSNFlgFZbo62v8yY2pciX/ZpZWD+q0YjS/f2WC93bkUQ
rWhSYGBZ1b6VuQMJQQJOODmRp8AaGenNn994P9JhfnqyCNI2YIyi18TVZv9Kg+GsOYqkbAQoDq2H
XgGFw9Tt8mqK3eVpwDy7Hau5uZ+VbhyXNMJs3U3mTTWaDoC5YTIKhvnxQ5c6FryBYkyZl4i4/ghb
b35IlvYshrZ6ROiM9ZjRS2WhPHXbt8Zc3Gc2bouIiKjqfZlnVLwW3As7GhO4rTbSkDInpkGZaLAQ
ZbUPDAb7N/pyy2fVzM7XqLLdl3zK3LOh6c77xD5ErVvbtKXGEn2b7CdxxQSgYmAeZ0e59HB4iybP
LL9x6ToO6qVWjItIr3jihDfKfR131d4kTNgoRLi14k5P/n4f/0/f5W9yPfz8/xsvl7f8//6fP7Zc
fvz874633wDBogRdI+AMEyU+FfzvLRep/8ZhcPU0WPC/YADxNP7ec9Gt33DF4JLjGLoeGte6//c0
ccxwAO9WMxx4E/4Q/5HhjWf+p81nBTPyzqg36N+wOPxbwKkrIfQNWbczOyWsQ5WmwDaYciX9izHx
zlofIZZbbpPCW1i1PYVWSuN2bs4eWFlvb9mc8u8NVetEHaU0HY4iCsmfjhu96s7OFI5br3DqgeaV
DtmBO9wod1Fj5+pouhEYDrmIONwxNyuHZ8ZVHRkUBpKiQ7O0lQykGmK8xU5ScYYJZ9KgHtxGWhmt
HWUTx2QoEGSBKIui+8bCldwURodGIK7yKfmmOr0nd8tuW++YziZPdpy0yXZBLYeGBT2/c5fEi4p9
VS6Q9TorlpD7nckjs5OBU5DM2mM/eR+VN11GQO6BsRIiTO2qNbCg4HbN09oHlAoHsBho9DNU7fu6
u7iV5z4L0b7CXZHRUZmhITa6TT9lEc6TmcRfTCZ1pwUSSYmAi1N8oKWLW+yHkOJjs9TGKLfgxZi6
xRyBnk2s9ZSxhgamImfaFJ0nL2PVdJO4eza1VFv2NmTgzZKocXpesnbJgddVyM6OmaqMm0pzwitG
W05HmCPSw7xiWYLHUhfHDrwRdN6mlY/oPD21iWPOkGixQgK7l0oj/CZsTHlvFGYF8SRRlYvwrYpJ
8HFVwkw4REiyV7RLolumfKEB5t/r3vVOAuYI08W5a6eFGSlDGxIgCkbLX3UmPW9Z57Z3U8JUOs3j
yxRaJCtkjDFJD2gIRdfGp6Xs9eOcSOMz7yQJPWm8TEQm1MpmdAv2wjA/TDWQomPGHTuMZc5quNSU
vZS1CClfEnqgBD7QlSKQPG/z1zRRzbwPGxn2Qdq3NUjQfmrC+7hI3RvVS5FS+CNRdD6TwcrlZ7Y4
tnrI5r6ZjrhovPaaEwBxNv5Y54ZO/oPM+qLfG4sDT5XDq1wy49A5VYqDyNHTTBxroRL9w3ZCp4mI
LiN5fCsG8Bpf6t4iT90Rs0hui9YKh89E01IUGq4Rt4s/tgSXj/vO9cIKllDfuGYV6LkRXYYFWXO7
Ey0P5XYudS/dZlXXVe9eOA3REWlG4zzUqm+TJyPqOjH5CfN9aNDuUnWT3+tN3912wkvy697NHWQa
saAcOISSaf6WesEyaAkS3MOYzXBS5GCwTI0CiKpdTSSfpba7z6yx3etTV167DQPRpjMuSE6ZK2YM
7h8Qpzok2DbRmVOAviO7bXzNSrsjf8vJ3osJUSJoBojv0C3rjVwWkEwdJdWC6P2gZVkBjoEu5wbP
oN1xmhmA5aRarTP5UcsZQ8kajTKX2SNOEBTV6aqzibNheJ6HgXmaIG/Q7hf7VKZVBhhl+p4iV75m
YvSYt9K9r7IlOokctW9RRQ1Y54GmK7ZKnoeWNvdNUSvj0c11xL1J2Zp7wUp4mlyLI9NA/BWChHHe
RVLZT8JqlzuvnrtTrvX9VTu342buWjuIPBcYOTIAtaFzA0mOtui4HRumuDyUiCN2bp6HiOsZwiNa
cs9WZ+DEyVFB20PfbIes7d9HK/sIMw9mjVPdyYXoehiUGQoUygd3NGv0fa6JhjrRNfRpocuRFbhV
X9OoEHqnUVkn2mUYu1vZx1zAoRO7qJwqck7h6Y9hxlRbtbbLIc5Ujyi0yGZK++GsWuVtKTsmwhkK
sbHH+TIrTb1zXJ4O0F3b+75TyUETiUt+nRTULrra6SZhGpqpybOZkI6LTjR+idDUbLQKdXYobJp+
agjRBzYPmdOGkCPSzJ9cO9ovFsodoqHS66SwqqtUa9t7YFHJEQnJ/LVo0VtxLte0xyau33ULFF+i
pgESkTPcNT3JgwNSXF82c84VmfZ6ZmKQLVN9i5ibjDatGI/IUN6iZUTNL/nh9RmQF7Br/Iir44qz
uyRQatB3Rb3mArRVttUIzzjEuj0dB+XoF4TT5oue6vbZdMcaFX5Sn/qQuG+97YLF7inwFmFtq3Yo
D2bndUFjjdNlsAkFVMy9LlEVh3tDY7Sr6Ny/zeHYbmVnNEe7TtFP6qjnqKDfHb7CrZXo+n0zjbui
yOOrLErLg7Rn42wuofs1FzbZ0KLwnJ2ZaQm1bNgTToZo6rYGDfs42br5VU/WiJHcbaJ9n1jlsUJZ
cyvjmfy4KHTF0SV+VfpzNJXPZm7dVRpK4FYT+r0GTgWiYNzsbPpcgaYX+d3oiAeGg87BKFL7tWVE
uymSydgla5NtBkh6mszS+OLNjhWkektCn6U+tHxgrUGrp/P7+jBd8wo11BX5DACPcYYBqxhlme6q
ueVPtBo9jzLR4YAEWctWgbwcCOikZtaqWrsgkUQngXbegLlX9dcxmFa8LsIq442Whnm7Q+bp3KG+
a650xhjf8QAa3dUg4hQNFDeBMSQSW0o1JDygu3mqZdwDVotTXBSQylz2oYisP3QF0W3STsPaPO+6
0Na2MWC1hlgRzyLJFwTUmLcYOBmTxo4Tgjs3XMYqYv3C21g8wHTSO6GO02CHw2bM0BBfu7bWFZ+k
iNnhm46UMUNUTT/8te9kdWyWRnDzlt5O5RXz+6J/zZsCOas3pYe0s/AkIKxnVhHnj5lVElytJbgs
dgKxSrb1xpZuJLaXYhXFVPe9xrdQZqG8EMfdb1tsFDbjezXvrL5bDtky5MFkjPRlnRq5g5NBcxu7
IQbNY7RHSYvoqGlzcrXEVvFcDgp1La766oP+MZWWVQHCVQlC6LAsnR3moaeSszUMf805GUkFnhdd
7kVzovStbgrjSRvqidZ8j++/zab+xCQi8zjjMi+aXG/+0nVedSiqrNipabE+05nkOltPtH20OG9T
WFPWRY68o5/ondzC7u9p5bJs8Au5bdAPDkcvTWLNB54PVrvSsTRl9kPduVDJUlTRvjVr7oeuGLV4
/eQ8NVbxEoZz/1BS6OAaiFPnrtNBvjXroiU0HTF3PYQrxXay+nONDNQL6KDrD5MZFg27UF6mewTF
xmVolvhVKe9BFrF7W1MO7+yYORqG65SQNA3LN7JuEi2KsOZcZpQkvtitXbyq0SwuqBr1wwIR52Ig
gt04VrPmeTv5oYpHXfcRNg6PbmKrqyRy+k2skUSLIsEaj246rDFFjb2bluVd82jJ96PEsVSa5Uvv
zIiGwxHUnwEqwMJZU2HtKZH7zYe+S4jMwS1j3NmLKxhyNChkO1lj1xoiBNyT25gfSyG6J7ZKUl56
tdAknYfsOi5j1nBlSMSGqXyMZ1e/WNoUPZOYnL5n7YyVJBoq9TTqojk4TEbY2wscdeWs6Zc5yrtL
bCuBG70ITxm/wtuYCAWvlmKxH0vZN2fsOeD8vS4zTbRXFDa1NcdPjieji9klatkthtY/kJmk73ur
tSI/W5RyNxQfYYcabUxIs9Yrc/pURene806/tFpI1mUVTgh6GEpI/d1tCEu5tE3XkvgT4hf90mSa
1G/SQeJRxW/gLijnhTENj5KBZX3BcRfqGNLwFAdxNHTwLxOONCattgqC7MkrGjb4oVWadZGjWMij
KwwkWEXOuRsU3eSUO2f0MhSpOiSPA7JZ5Mphh99E5itYMQkPrSyOzFjYkDkobNKu+cLnqrfRNHa8
bZ6oWGMD9Cng6mNhTM2VxtDjPA3WO2wmRfyx5d11jZmeC4JB/KLwpN9PE5b/AStfsVptc8lsoJda
FFh1eo5XKIeD7PzQx0lxtJ3IPjLs/Dpm+d2Auj/ITTZ9Zx6/hjole81THaiMCB3NQhGn8bm/84Aa
DxFL98bsJ/1rP6n4STZAAplShnss7PaFxZSOqWbJhQwrkbx1zEHOKhyNN1GbTn89iUp9qM52SFtu
tZm24wD88jjOnA8Dmdttek1Zb7/CMSHldRplQdRQmvcNeNwhzb8Uyaw+I4mIZpMo4eaHQtpjc4xJ
nHqISjTGh2acnNchwo6wNUwMTjuzSAZxFEYOpnH2TOs41RHXQ0vw1W2WQtYt1syZOMM8S5koD6Fd
NQdosLWxdbEwDBzGSDK/OIVwh+OQUmWcdGVNHejAuVFvZmSGOljeIfxI7NbofdWQquV3BlsPsWNO
4V4N5ezEb05fmNoljF2nuNOckUvnRlGPTW1AW+pZdqxOi+dVhA9JoeJNhVHFCUxVM4u20O+TKR2G
kpHmhI3tTlq5Q+Dw2Nb0dbFwL5tiSSZrq/GhPkcbTNm1y1nQhhmuLZgYx6UjnDXNXTNYNI1vW3Ni
84pxvbR9qdsO+8DS5NVhwcIA3QlF8EFLh2cr6fJTaGIMM9AI79AWips6rpIdI0BiGsO0/RBLH78O
I0pbB8HoF61Pl229yHIfamG9RznLhunobo6G3iFfKS5U/j6PYZSiGzTyg4nJ5OyqEuuZsF/ylrnR
JhZOcYrbTjtFk662Fn5XP9OQaaclfy0qm+od7TtJ9zllwUeRjDY5u3rubYu5yCs/q/L2oFlt/23O
l+okJit8r2mpsAbiLfQC0BzmbpY1EH1aLc2MZnmBCBaZnApTYdR7uNbzzqYxovkiqlbCpN7fFaEM
z7OMcL1pnn47i3JhMk90pBP1z041zzsnt+VWEIhzHisMD/1S6lcIqfVLlKUO5M26dV+8BCfwoov+
3ai04ZyLNt4p3WHpyFz9m1b37TmmaXMfzSAifdG4Ey5eBwawZLfBTTIAk1VxqfAvgNtklFnv8Bly
UXCvcIXDO2NmwFUoIzxP5mwGnLezoxMbHQNvzL1XPf6iILRC66Gao+ypj6LsWHZcEBJ5w+Fohc3M
tH5VM85NGuSDCs/xVJEfpsvs0MtVNBL19bYek/4ichfuSBg29dcUA3CWciAoB+9GdHnZn3oNLQWF
JJOpE3bQ2rmpm9iz9plsTY9Dcl55/d87vv/Tg/wbAqu/6EH2bz/1INef/3sPUpq/WUi+kGqB0eKm
WcVdf+9B8n/g4dH/07FW6Cvd4p8tSMP+bUVEgTmgzSgE6JB/tiAN67cVjU3yhoWS8QeP6wfXLPqs
flfvdL/8+x/VPLzUTy1Ifj/tUeYedDWR8whGoD9PJcQU4XzJtJ5Fjkm2i81rIiTPCpllDXdljRJ3
fusNTjH52xLfusPTUO173C/2HN+JId0bKb7n9AorzLbrHiaUAlV3aMUzssiDQcGdFBKrMIrrNA9C
ICjybsHNYVsvS31BIkSyYO9P9aOu9j1K9vGs1R9VHHjaVs6H6MlWdyLfO+1jVUAgdjZEkB17Yr2N
2q/0AbtQGFSsmmh47HpvE+yex+2p4j85uQjs5IheHZAuuYIwSZL2My9IikINL9DM4oftzU+zurV5
spOmfRjLFAji94UCMvReZpwssmjeZQi8V8xHjcGYCRtkig6tZVwyAZZRg/FbvLjZO2O3TQIn3sF7
oQ0EIiV2IMm4nLxtOxsbkX3odX1VWQ8i1Pfx+KaM6tlyo60Kp501L/gjJsrx8Bmt+U7W0a6o4nNE
6g3zn51U8oiniovY7xB17CpE472Gd96pD1M106X9jg9zP2K1cO7m5BVY8hgr36y+DhFkKrJN0fqI
NdOtvS6SZmN40TZk7D6FHwW+P3pCHI5z8SmXD3d51Lw3CXy8b42tLIZNPL9bCzyeKLmFc/s4uMCG
nYPVRtuWuCvBoV05LyJZjrMG97yetnQiWCb7S0gZlct9WOGbTTedkoFHYylasv0YDTcKxHWCJVTv
1C4zMBrExn4esYjaZFTQsHEUaC9RYsAJJIxckU+oVjp/0vSNdJtt3DDAoqvHyGhKyBM4T2N8oh+7
T0k766j3xzk511BHl+qB7Vul30qTmjUl9duZkBUflQutpH2lRRjoFYRl/E+YBUgWtPl+jb2i12lb
+LecCPUNfGR+FS29o93ttUoAJir35uRc2cV4diIcxKG5qctkv7g3NBfp3W2jhOJfz0+R/TyOX+sF
91h+yTuSlGPeA0/C+oqR9SoHwuFK6Mbl1wztRAfIXRjHNPlw1LStVy2ToQJIEBQyxiZqiIERrU8L
3ceRvAGZtOsag6Tn5VBi5StIWJuiCNsr3XM8TMgliowA5GKKaLLPkMLxhK/gRSxt9oS8ejVCYzVr
+eDiapQPdaZuijD4w0r4X+gFfwzQ/zUG/H2BASyiA8AT+O1WjfkfBuxQ8XQv7uGi6/n3ZAqcrnha
dWYTyQn2FCw62fEGfkMZLK17ZTbpcXaKrRyBOixqp4UTlNNwhyd5NxJDO0Y2gLnbApqETcUNw2JT
y/cSVwk5727Qf8Z6ukn4O3BEJeWOieZMVDv85H6bEW89nqv4nph7HOKbgpnB7Eqo6qBAjFdSgHVD
+a549lBF6zzN9giuHcsEXHd3Ie/jGz0NPK/a2SYYp6iCvDum8Zux+j1ifySidHrMeROli5/aQtxl
3yClK/p5Y/0VLesHbfjPLuqqXP3DRR2cGaO8yUXFYiL6jAy/FJtCBjKb6rF8nbGxl+IFrMni7uVM
u7op/uJ7Nf6rjQPBPtJkB+4fu9TPb6HEuuNOHYQC4kxQa6T+HOOzD6LuNo+D1H6nY0S05xI7W4sK
391Y+r1pH0uNgdJRhbTOb1gqhP4skiueeg3EiHWO3D2ClMxOfGEfMBKxmP7FVPpnSe+Pu9ETeH4B
+a2i6l/ZWJI7JpFeDu7eex8IchhI2lycqzlb/uL6/CwR+8cLMVo0sLKS1/HrNxQN+QCWguhhfaPn
AQV4QTyZ2ifuIWr+6rV+MId+uh8QLzBGpI4QDC3lD/nrH+6HyRUKAVxMq067ckv73kHgkXTTAZLF
YbRH6OtLAHXVl6nxMtU5+6+xl9YxQ0G2up6mS46Fvy/XQcKcPrl4AzA87eiA+kAUvohICyL2+Viz
1xYo+PvqIY0KGlrPMQ/vlPTftLbcsv5vvLw5JiMEmXU1H2q/jq6n7kOahPBa8+0ig86dLspuT+rG
FHeNC61epwk937Wx9PHA4ED9Plt0DgxvE/FgarjTQJzg0WeetHgbL6xfx8I4VoIAWjBPCGF9BIVb
p80PevSc01Yf4oaI8SjQYpCzOUHe3wvtFvvhqY33budsuCsQUCvUiNd0JpmUEp2ug1eW1Co6JoyW
NIdHkR8TRlhWf3DKu8qYWdXr3UQ7SzIZRNjpO1+BJeym+otmPa/bsNNme2v+Ao4GL/K8IXn64MUt
6s6HGiExfWF/FpcJlIeav0n0XSQb2AuYTu1xhtTf5ES8FidRbO3UgoUw+pn33ZXfHC4BukqtSTZT
+TZAbo6dG0fep8XN2B84V2f9/cjOYdNRarQvUTYGovmxAxTVFzIqgsa1GJYlAR5IFINX5ArgFmMe
1vkFR92c5u4UzzTW5sAGYGPztJoUbb17ymgtgVhn9ZxXYunG7K4aU6yDGk5WCg2qceyXgnFNDy8F
iglBiYFJUkIO4kKZSdDRJk6rw8yHN7La99jalmHglvrQG577XCKR2lbS2HjJIQa3AdMgDeXemT/S
mFxmCh6D56TSWe/Z+waMW2QuR15QmfHWpDbj5crYXmEQx3QMcTw+Zw4dC/ukd/vS2Hf058oKQ7n9
LMNoOw60x+zbfjBZyp3DuqUaU8pBLQ3W3E6tbA9Cg9ST2+T4XVvJt3AI71S2DXPaf2m/59bDk4ws
6MWV0Mst/toQHQxl7iPL3YzWeXQpHuf4ZGEHsIhjZsDiZ+RAxEvityHQnO6eVuJDbjyN1ngxMB+a
jn2SNSkcYIZKhCMG9AVj08Xb1CUnSSdxKiT5xdi72m0copFi5jJ8TMqg+pqIVSLgXpzGmZIgJLOD
CES3gyfFKIgqVi++D5NNPWJv3Uq/L/Gdwro90gTc6PX3SjClu69bIFJGMPFsheQKTMQtZjTMvOgl
gW8B1zxAOupXlX6MvVvKv8n9XOwCJzV1nYchmC1SPjfuzWDJwFoO8AvOhcEmXnhs1NqjlXwZ1KMw
xBH1Hjao+CHLifCgAQ7UBMYSCVna1qnbw9B9aBXfl/kyDeYm9mgSTdMpDqOHtaSc0m47eOW26Ji3
xeMO/U/ZEWRbH3RqzTm7MW1S2IavmA6fAL4FC4JqpAlwcHy4Rfgc14wu93lcRah4IJPou15Talq4
mBNGZHLjkrBN0b1mrsw9IegWZ4vC3kzK4Va9zTOeF8Scxny/UI66wxdGUhHLbDd+CWndmAn3JelU
vUlijK1vVqD+rL9U4tRpq7gAP+qAHuJYliBctH5n6LfykMVDgPhJj58bLT5FHWtslT17JKVPpH24
ibVdjxKDzG8cJ4KyMENVWfYNrC2r7GkErSHZ9AviPNBoMKocXkrY3eAL3US2gkOKUtY+GsxzFK1A
2+Yxbl+jdt7RNT3ybUFteR7SJ1l+L6mVNGRVlp0HoNKP4UztlD53jtguyD/Sh1x9szj2NMjMVFHz
0veI1vf9DDsGuJIV1hsRt3dad99kyzFEmU44pW+3jBKSA9nJgWS8Gw29D4PEXwy1dUmQFRsUBX7e
549iOsctd2l+HN1zo71J4AnrW+mrPpDabTatwu4VBz9v6UtutAqrutX5pvUxTdbGxUSsiRZYCaN1
bHSq3uq8XGNpO26kXUxVG61KE/YheBO+25JkbVm+7nyx5ofCLAO3I7+RMPPU/Sb7ZV3yhlCe2dj3
UbJ6VuGGbZx3dzmNEIZMa00aJ5wayMdTJg7DhEyy3WfjYRRfp4Fts7+CT8ARrDxa5o1m7ZW+yaa7
VguS8RCJfR2ezP7KUA/A25vwkFMVuPLKQS6j98UG+9Gha0TQaZ+degk5e1H7eBZ+iQwrrn6ukZal
9n5qXpfyuV5fp8ivizZ91UIyh6zmlQyPTUi2X/rcVF3gZphYHH3XqcfWia6SmYMEN62HsVukul9G
YjOom8yag2liBoLZHjzEtcb5G1HGjmacjwji1U0O2agHmmrOPeqJfNmZnGGh4Av1yPyssq/H7Ovo
vEo9f5K0Ok35vTAoA5cdRtxgjjE7Ke7TZRcTqQSRgloQHwdjGOKbl11Ikg8HIgDYBrM8LWQiTAQA
QkcTA5BAzOewgDMLn6HseXcLX1i6JBuCWAOIeL7OrargCiwcXRm0pWOgJJsMdDKQqrsGroczRkEs
T1CmaL/vwbwcRvm0eOadXllbBdoQm8Me7fROuaQWedqXhqV+qsbdzPEqrh8UQ8yh8eGEY3Opr2T+
0LEr9xqebOYrnvPC4f7aAKtWNk+h+mR4d90ZxXGNZ2Ku789d9l0kCAJ7AvliYnC3dCX4Yr4yEPV7
z8N8xIOXq00vygvDFD9kFh9mQ2CFHOcfJ2JjioJJFiE9TKt3Fbd1bY/kI1noFsHIzpyPYmK5zZJc
bDT0TJzBYjwmaBLnat3kstOCM4LhGwFj4TZVK/kCI4oeAE/eEORecH3EEm5bbnbC1X3F1TX4hBbZ
LhjVLyjMt6h9tjlbTD5avkaHnkxKv/KKoBQHhDunXph+xrQ6i4lCJ13SqM5jyeZb0co3KU7IlUpI
ZxXqWuNZJjIWc9H3RhWM3fNDXIaB5dwq71RjmXGNzE/QedggNsxlH5la4NDyyXRrD6CGfBNGasVy
ZXDiB4v5OYqVVOj6WVHvW6Nm8k+ckHCv47VKMbob5EZPRi2CxDzIudjN3RjUOXePqC9mVAUVCEbY
L0E2PCtyeIYuZTrEnQrTRSOWJFXXeUbZmRWXur8pmGMNBYkU66kVnoeeNtdDGx31NiP+Ou4hPFFI
DN86lszRzk/DKI+RHe1cc+K42m5Uc7vMybYr0l1qL0ePQjT2ONBHW8cuvhlOvBtZ9ptS0nR5xR8F
dxJpDN9jlVtB6KzxcxKXAdUn18iFPTZqyCW2vUBwswQIREDlJzvT/lq4D0NvbgCisNC+cDeb4QYi
2B5Aqp/2cZBphHxEcZCHr52kMtGKgzlzVK4WAoieW33ZlQbfN5rV8olDgV53O8HsApUsa9iurd+i
3NmX46VYtJeozU6DKc9NihzkpcgoKadxP80XQ+E49Lr8Rpva68nojkvf7BMddQi3u5mfRkonDA73
P5oM/1HnmRYg//xp4sN/Lxdi/1ldvxWf3a+/an03H//IkqDJ+vu7C976t5/+ZVv2ST/fDZ/tfP/Z
Dfnfcyfoz64/+d/9n//r88dveZzrz//9t49qKPv1twFaKn/qM2P6/VNtbNsOnx9V929/53dPslyV
rvhePITXOumO6yH/HwJZ5zfwtnRnQFr9aFub/+pOW7+R+wxl3aG68sDT/7M5rYvfwIMIiyhsBDyu
RNL/SzP6z5rTwJnoIfzrWItcngRItCQG9gzIvwCNf+4xAMuOtHKO3kBcasu5YJhTXNcm0FU6ZkPT
HKOkTM3Ejxjt1QHWZGLsV5Gi12nUmm5q5Qz3E3Bv7HdGVA7z7YQ8rw6vMo7RjbcRrcESb4qi/Y5S
YyGEaygjt39MJ4MBP1gbozKJOMFMU0d+YYA6RbHSdF7zJdKZchlmEEorVi0tukRBEsEsDIXTpf6m
yek+kgBasVZT0wLlu3im0tGfDQt+vIc2Tof8FgXCYL0wIshhlFU0hW9xkMLbI8BDeG+ofllkTSvm
CIVAV3HYKVTlbDIn4myeFJEQpwi9WYjeoRfNFiFo+z2MtQ4FramP7QPcK6++94ZJ9De1XeRftQY1
6tGZ9I7jTjGKil6VHb2lxYQVM5x0lvdihar5Du4lzL34DJHwwEqnZ6o1XWB1ZbNztXx2fGtwy3FX
EmBV3ThjJRo/G2uS2D1zzrRD3+K8u6tSA4+4OzaDHcRtzzacWI116Ew6gpTM69bIdJ9dLcszDbIg
Sr+Xzs1YREJJuTAhMfsO6bkbPkyGgeV1jdxVnmXSRY9aZ9jkQrlG+EFnpGMMoZJ6eqotkXj4p6P/
x96ZJMeNbF16L2+ONMDh6Ab/JALRsRNbkdQERlIS+h5wNHuqVdTG6oOkfCnGS4mVnFXZszTLQSoV
DQLu8HvvOd9JeP5uYt2d46dcj0x5YuZN5n6pK0QiD94o5+YDxx6vPdUVr7Tp29IrN5Eiru0kn2p5
pYYMVJ50m/E5Z9QJaawIUryoptSvCSYhb10aSoIZBa+FwWsuGCEudNN01SyT5HVcGw2HHjSdn6wi
Lm7mnOLOb8ZQ3cLAlVSSCRXjKm1C59IRZGTyJLfbaTO56Wj6/FEGdZHi6ysChg5xEiTHm9iEgrOa
gWIBtCRx7kPjDKgbKDO92hw2LRTJRkchMVjDs11klPNBaiILi+q65LEcT9jq9BhBDyo8VDypHouW
mU2dzedd4SL9mNHLo06DdGxtorjw0gsUGlW6VUY23VU9D8/IyYPkJLcqHKpJ7MbhBzxdkGFDonSx
Dle28YmWQo0TRTfmr7qqXKxTrWTZ6DUqtPOMhqL0KbSy67waDAxeA1PKnYJihqY3lFO4s6mptnEW
J5aPnT27zpwBOLEKGPpC02uIVEW2P0OdRNoLbLxLg2yleyN4Q6sFULmDEInDHAuNo+2ywKbtAEt8
Kvw+qIzHuNErUFnMPuW8FkxbzUPbOPhNLJEqfkLhBWPr932fBBsdOBG2DyTSpCiOso4PA45T4oib
ebirJZDDnYYa4SqK0Mn5SFigbzHgHilUe3uhrzl2ESJCGpGaZnmmnSEyDSeoWDUnvTrF8bv2JkF5
1WPPdNYYo5e2SukYt2y94Y0seoc0T7dv3I0IgkHepjBfhx366CG7IHC3j/wwWEbzM9lq9BhzQ2+3
CdnA0UPTIiNbWKQTS27WUtefx9x44loPwyXBIvIq6TqKgWEQmnbj1Urt+eLapi8KlzKsLquDHHI6
WQrtVeoDt0NPihmrKphsCEK3VUHjEw5UEQOBrIx0ZhDTjjRR0Kirdhs7nZFtRYd6L15VQtc59+eu
qD6BRCxOwe9L8xJkQltuW45nHFTGDqNXPWrxE2A064pJH7u6GO3e2ZVAYUxSV8P6q9MyU2RKJ6v7
vB+MaOMace3uCH+14KxmicSFE0aQjPpeMMALgvJWhi1XKxm0Cjewg+J5YzuKOaKT6FqyBWC4yEHD
BmR2jMFIS8goBYl3MahKivMk05xJQzhgi4995ThPrqTffd8i9aOU59JUaLOiNL0B6OiBkdR0M94P
NqKvgxztUW0x32vlRTGWOtJbE8WzhaMwOYlkp+tbZq3iGYE3miovHZxyYzBSMz/oeQRzQNcqgoAb
aMARWGpHE2xR8yx8JOwT1D8iycwvhVtGYKZoBHgaOuxx8ipmeSigyVrRo7SeLqMEUJ1DL7KN+xQ+
bBxQMnUzueliJeIAoQF5sL2mTpCjh9GpJMg67iiK7c45s5Jca56RyAR0pTx4RBlbQ9YM5rrMUjO6
R1cGzLRv8XS+2Gmp32EqmGAaT5aiubr2tDxge1GOqJ0PTYjda19Ct0SlkdYdiZeJVNE+mbBI+jwF
UypXleT9pbJcZ9rFBaawzsct29OeyMCJFz6nlERNa2Gm4jq33b5bY4Wf0804jobhh9pozRcJ+FOs
LUlMZs7kSLKHyp5n29rBS30l3djBw5jmoCLxyWizsbOMaAl5nlB7nmEJjvrdHIZu+pCCsKRDiCct
Juo380pS6CEVRm4LlTnhzP9loWyWp22KodTZlEE1ZsU2ACfUPbmAC0d3hZ2tK7A0xJLsqraeRPEx
yZLRJFCWtlxEe4oftzpkCd7IbAPKcQjGjdcxnzsvxsBZTGIR40XZ9q1LM2minSdFHvPDQeTSJTLV
fATLJnniUUWzQbiSIYwugnZV6kgLUz/2dPIUmWwZo7VgpAtD7SahjRNPjB7lzoFbN2RvEqCro/Ms
NzX7Ezq9qT1Xhl71HwYsnwh7TC0OmvtKmJV11gE+EucC8jaZR0xf00viMsrC9wCpORmdn3JWl5Vd
aNNtHTS6euwg1UEo05p6BkkSj1N8mATwCR5uMfCEaytw7KoF4GaUn+pcNvFp1g5asZEWWM3HAPJ8
vUHl6dwuEeHnXDhn9mdHFs+V02ONQVE/JurTQCwfMbf0DKdTr0pteRJzMkhvCVVm1p6qLn+uiy6o
9lmpMnU22izjQ6AD4tsURKINl5SRwF2hzDr2fjE9RKdTaMr8JGDCVeydtJi7B+SZfFPoZmFzP+aJ
ddPkffFoQ5kSd3hYE6bIhGzKXTXrVbwPaa4ouoiFqtlSBGIEoYamPxjonbXbLOMpfT14pZWD4chp
HO1dGS3O2y4y+FC4Xq4jnU1/88/LpP+7Guj/vWw8xo+/Mwn2TfwSl6/qIJu/8r0Oss0/KFnwYJFO
aToG0RF/lkGW/cdCXsK6bjJPlghv/l0FaZgBTWLkHA8jIP8Wi3Tmh09QoxCyCEwUEIoMuEqQEf5J
IXTklF68hos1nXqKNAukQkvV9/O4lwiJrEhTZyTh1jFO4FGOdzaUfbJAUYqv527otxzkbD+pO/Cg
XTknT4M+OIDEo+nw04X7m3n+67nmt4+CZXL5VvgmpaTCe/VRCm9qoVvG7MRl2O4BBcGI1uJ+71Q8
Q2jeRN0VDqPgpeaQ/Qak4XU16CKps6lHKQr5IRzDloub8qchJ319bWjNGRaxFn10OwYxQTF+SUZ3
24S4wH7/PfnJfyo9v72Z5Vn8cHLJUpLe0ZsRKWlbnJwIWNfkRDezfzIrLd29500olYE8co8dW6Sx
+zUhJG6awCAbUPnQx8TRZt78/l3EouH6q4zmuyzDbn4q+GJM6onzOrpwERK0nKOD33kfwuqmQBDi
1VeR3M7hx9o2VpR+a69njlPyBLSsfRKihEeTmNJ2a/GfVcbk98twx4XR2HunXJYVhvO1QdM9mJ9L
8O0dlEtNvjHXlqyu4w+O2dYULqAz4imP87pK22u0sLN7P7OwQ677mpPBNkUvfx+4qey2gZgJWItL
/ckM5vl81ErvNpKUPatalXhG+wTBl6E1M2OZCWfRusq98T42ccRzpCzcB4k96MqjmQAVNWhoPYNr
jf14mMyrDgvgLU8QpmvIdxGwpXYaHCLwlxeKCB3zIPqZkZYQLWDVssEpzlwmdImzp6TAndLI3lp7
eax9LBLzI6VfzcCw6RkdG13vGBsLsBEeWpDuHoFTVvcWXuE/bmA+A9JhD64BZAv4Gq9/dCwOpZbS
h6Dd1qbnmh4grYo9541l8h9r0sHHz8TcNNkP6CMdLZMuHsFldkbn02SoaTc3HFB0zn/kUBBfPou3
sib/81Y2F84MEC+HDZvT1etvZWt5ZfU0E3xwTICV+gL5gV1LH0m5TlVVWuBM4Dn/fgH9zZe0UVou
skuEnGBCXr8p0mWgijbWVSftL7E4I8UlywYSlndZTHG2/v27LTvo69W6hCTrjjQsdnw6Ua/fLWyd
IWt6t/cdIi5XIDAQwI3D514L3O/nAfqUf6lBf1Z/HsmI2BhICAPaA8aNPY4t9fjXMyqBo0x6/oDJ
8hPBg4KpuluhlKrL2L3FcXem9SQT+DMNr3w9cXLbFrFsEHM5wrm1J2V9iLFRut8vwT/q5/7/elBh
j3vjoNI9FfHT66MKf+lHy1YS4rugn2waoi43+YJ++6tlC7VAh6DqLVpeb1kcfzINnD9M2JOokGFH
wVux+aMfZxVkyDx7+M+C32x5Qoh/clR5vevAMDDYBmj+LkmONEbF0c0r7M4rVR9/it0Bf4AzBqt+
fDMD8/UK+fEmDrBq2m20r48jRWWeOwwhw0+0v6J9MXUo8PBwn+jVYL+x8v/263hLeiM7qWu6R5to
aM1e5k3eozFliFiMwVPXJALhbv7pR778vrh/Xoj/+Ta02E3An5B6bH65o7fpB0vFbWk9DHpNllCh
5/3taIEVemNnWZ7zf+0sy3XjbShioOlblsV6f72zCDp2tJ/Mh5npHVy9wLwPXYDntI+Q5xJvgyxy
qtcqz8BRTVn1xpd8fXL8/u6kUdLOx3rNA/3o5JhyF/aN1B+wswa+aeQdYSD6ZFLZ08K2UzRYfQbr
Cjp9ev37y/t335vWPxMLKkSQxkcPjTIuNdEYBF+IsEvuxlwOwXqwW4ZbtEA0fd+ZhRS+Td2dMWkV
YJpKt8LL9ftP8Z93LQwm+EsGlcLywDz6FPYUVxkZZw+gP+WGw+xtXWnhGte98Y/faOHbmBB/ocry
4Dr6mQdNizA8mQ+wV+tt0Fv1RqVTuEaCFb5RDHD8Pr6lmLiDl0NK6QA7JrL49S1FmpbGTRtdzJMZ
ZusJvkbng6Vgsbhlld/g6E0NmkypR7YRtqMTxwunbqXbuRsjm4VNhq5BkUTVdkOEZHmxNdL9qGKk
ALb5lA8dEsTQIDxhPRc1I2MbhWu5Ud8slKifhLsSTYzGTdPDzD4160J34BEuRsxmplGDzLg1XhhV
yXGTqJlWrsQDLVamkYZLRmSoSLCrTXrFmm2a7SlSqPncteb+LJ7naSSTIoX5NtR99USYpinPWw1C
wpVLBXKPDXh2iJIa9XIvkpD4HPnN+poapsJsY/c1veLBHVfwKFPudUDTN7YqcsxDZCdg4qFDyZT/
mzNXJ6v4M2eexNqQwJOpQyBFczupQfdWdtUA1MzSXHP2VYwMvQqqSF/Pml2O6/qb0diaS3oOYSiX
pmwAuk5ZIDtvHWI0TFI4bBJhkIKrT5FWRJ8bvbDcVdDEAqUfgzfM0RAo9PC5t+3gelaWxgn3m4t6
HBt6VWvDHok+I8YAxFl9UnfCjPQb+d19vcAAtauyt1sUwEYwFi3mIjAZ9ZxeBj+M27mWZR5GbjPo
OkPbTFXVqGolq6FoNeIOLbgDj1VVxol5JWYJFmyPZyxvrxO9IUJsacFrgX0zMKKBEOc1dTOtO7NP
OxRn9ExrfWvIRAkO06kVVZar6Fl9G7zlgFc79zbPOHpH3Zqoa+ZKUDHIH8A88H1yh+jl2yDPFqFD
VaGUybAilk7PxC+rS8yFB1WhrsH8Rb3f3Wbf54TmMjOcv40PE05wzBLV98mi+j5ntARGY8Y0ZmU2
ELiSyRqQb+VoDIs7Ar2SskboARrYWpV1ZVa+NHkrJH9xWNUHr27HlPCFWs8vIk9P9VOlAlvftWbc
fB2mcljyhBv33INHVx1KI3fvTaIBK2ZqdvYlyUoRfq1GZqYXLQ68aNXUAfYvESrtQ+dmcbCDuEAF
DahZoJJ3cTfgsBnz+TIoLXXFs8EKPzDx1ObFHp88jmWXODvVgKBGaiVng4shhrG8jwSNxl004346
60j1gPQLvkeR9rTU/pgFjeTUKKL6wU4FA8J8bsmAM2bb0NYd4nyBYH50qucwSscOv585Imegn8L/
Kkd9xBJM9RI+ENuhmm3nFYF2Nw2dMm+NWQXBh7hDIrd1J1O3HpgIW+btZDPr++wBaLRf2rg2EYjQ
cTZQCFt9Lsr7ukT+naxGlrt3nug1QTOroEu87pzouZx0F6V3Q4CPr21UckczvMl6xh6RM9xOZlng
GyrLcO7Zaxh8n2ltOPNbRqFcF0ZiX05ulRUbkAM93LxBZVetZaNfMmKdXUdZzNwwkiupb+KktWFF
EshxxpRxjnAwNNmVwdjwsm+SBAdr0yJ07bIqxqSBVxCBjhUbX/uaC0r+XBK566JVMlvj6rMnHzAE
tJYcD8x5zs5C9JGBUHhXxS1P2DgHJbBjlBJchVhwP7ZweHT0P0vtGWOzZmCY2zyG2pB5xKqQSt0G
oWPdlRq4ZF+GOXmTXjk3aFkI2wPmqgVYG0TRx+i3rCYCsOHEj+3ExJxtPhkvDRkh38ZHi1Y5bQOw
yHERKsALhZV/oNZgazeQBX0sBhF+cru+QWSdasGjLpLyhb604uQzlAlWaZF8iSQ0qnXUxu0nW9P1
86q2oMYaXczYs+87QvkG3Z0esTLmDOGthIgSvJYaREmj9D5ZHvMppO9NcTpPtBHWUFja+3Zoo8cJ
Ic1zJIZq4PlR1M8daugR2SKRGdVYlPEussXA5MaY8wMxLnq/dTHXKz8x5/jZcnLrSoE9uTO03mR8
ro0kSLmAcdaqq+MbpPPtp2g05F2va8MLO1SSbABgeK7PY86I14nTCObFygUmMOkzNgdsEl/HcHSZ
5vE2tOvrwQz8Sm+YXjCyLQiH6nr9ehYS76lizslcza4ZBMfWnCELGgJD2/KlAXXlM8mbu4zFkSNH
hEzDSsxnll8vMKTSi6gN6JbpcIFvfjidOZBOl5Mlxdc+RsTYamq4yfgFBqAJMbOLIu1Fds7SCS7K
ZBao1qUbzOvCmxddLK3I3HddpkiMIWsoDCVoqheSNRimSjUyrx7nNHyZEgd2U+dFpHUwUmMvJA1i
wYNNVnmBL4rMFn0equeGVr62igzF74IgJn+y3aYmhsTmmLFlimuh/KudAguvHqaVHy6BETv+7yZb
M5xR6SbNy/4sSi1lw0ppC0Z8WpA+sGQKYzcEBY4fJiRMHBs4EzBoRWVdm98wB9+Oev+tX/9F4fDT
qXdRNP1QKi2Sqf/51zkMpfZL0zx1r+rX5S/9qF9JNDAkwzqHegfsp2NSC/2oX/kjIQHmYNAB2re0
Jv5dvxr2H7Sel3LPWIKjF0znn+Wr/Ye9IIeX/wiAHM3SPylfv5VAP5VI8Lwpi3TaIfxjWTQ8Xp9n
FZYmm5S90e9ts71LaBQ+8nhCUJPpxdptjPQS3Wd7Xmat9jzOo32ZlFI2K4j1zUvvFONZ29fThYeK
9VoTc70zQ52D4X/vrm46fP6ff9E3/d3ddfG//1f4pXl1Zy1/4fudZaBK4yawl/oW0C1TnD9vLP0P
gxPagpql0070hqNTX//ZGGH0YywBDxSHHLewsv11Zxl/2Avd3UMFB0WS4vGf3Fmw+V+VShTfVJ+6
u5T3OjhKBjqvb624qacYJ/QmwOuiTvNkLrE5MR7N1gOn+M8CnhFO2T7Qnb1WLW7Ysq07HeVSGWg7
06AyAbamJs7VmqfAQhBlhiXRneIac4ZJqiGUvnQXJFUx+xK43j0SJndYoUQoXqyxi57bMeHQ2BWg
iYHsVbCNsI+e9HpThs8DZ7nwTBPGfOKKrtxxqA22WREo5xTUgp5tAwMh7+B7Oc1ta8OpFKML886q
OZ+6RjEJ4rhx1xQNci44TaSqiqSo580MITXHu1NE89dpriZcs/iVVgJcQbV3E9tJNhVrEiu0Dbpn
9pHbSH03OS6i4NqylP6lgJxTF1uynZVciMQlVBAeNoUn9xzwO8zQ6A0CjhJiKleZNZnmhV0yrVgH
qAdwEgJX5pw3qwanmqNZwee+L3sINBOUkHoKCgTTHIFBdCgsy4PtquvJwXm2hkzB2Ufvh+gy7Vur
8E08VGclrsvGH0VdI8LvYxI40XIA0yO40vCbpBIYa1AcA3aQp5zZyQEg9uBhMjTTWTHCAPYMGElf
m5xVX0DdpnDjMEPfeG2FXXJMPX2F3E75ubSST7lJV3s1ZF4f+0YZIxLXq6Y5BLVW5+vUE+jMokmH
88tzX16kWdRWTP2ZCvgy6R+NYehajiXzh1ZEwwaWIubDEtBdA13tOobc/yKFRwprQ2gZ5h+jeJiI
xtpDXvQKwtGd+eOc5dZnzr1g0YtosMtN7OrkXpsyNKA0kwqAAicSNzm6cX1YaSiJgz3HOq4VYXtd
6jM0CMtbMj+ocBB7OuTX1c2YnuVhObhnhezckXhSC8ZagPLCbs2ngbMKvl62+3a+4GycTtum6zAo
NDH1+QVbKggW1kVabtGVlbfzZCWnsgYWZaX2mSrH89nrvvblYhqoGOpMQZ2toiw+hCoDNKLhlWpi
q8ck53W4APoz9AaY2qKseE4sCu6G9FE0L7rfQyzBNu24L0NT1ZiA0C975J2tDGLp9ulA9hc49V0o
KrKjo0wxMxvJGo60j12mf0yhju5K2REgPaAkz6aKkJG6PxsrzzcGklU7vvOeFhuJX87HQDc3ZRHv
WxenvmCMhwkTgTbulnGTzvpnlFUPYNufAbeexqW94bFDrvogcWRl8rNGjHbiBpca3ZCbotGdNVEn
7SouKT5Qt2+CSgjfnDwypxM8Q9ngfCbiljBGIpRXHIFDGl+6n1pVvXN7g9TMMVlHAYqicmzx7HVD
/Kz4vaEIEXuWh2deW3PTDJa4L8rwvivDE88LP0nYl4h6ovVACp5ndYFfy9z1ldZfVLAsH6sov0Is
CuhZmfvEwGyf9c3J7GRUrZX2IYyCPTS5+4X5hohrRjrj4R9ohR7cpUZuX7dVdWdVw6OWdx/omFBa
dKc6AYZ7ZpbnY1Dmd5wXaqaTXfkVzpUGmwUTlYgtNovRGaeTobIJ3uCsnSmF1DMc7RVT4yXJuVfE
qEqxETN2QMiTFqBtHdsefot5HYwogBrMA1vXLknMEn21h4f0iVJcbRPL/ow5NT2vZz27KLzmMiyw
QBoY4OiF2N4ZhSRXxBEZsqjWvdALu1lXvXXdtMZ9NuhbMN36yotketV53T5JBEG2pXUAEopjI3iM
bPlceHW2rgD/AIga77sRJmM+gnGEOGNtOKOQ2hGTAJl2SIZsPdmHit4KwBe/p1FyYlUtjbfYPDdj
j3RRfI8nvUPOLtUV9o5Unbppe+P04DC0hC2kiiO/d+YXWrjXuWHVJzbQvd3gDA9ZFuY3TWmCtRrG
mmkf+NK4E2IP0XUvDDVe4LAyfZorZDbrOC/M+qwb5aZD8rdpUy15ZNC0a2T4jCBL3ip4wFne+mVH
ujej13yT1Ia3z6PY9aNOVXtraO7asf+c2yU5zPFpUdHDqqce8pn52LqEV7PZaBdjN9HyioF6dVp1
hQcVwqkY7xA3jltdGif6MJ8vOKh6gCLSA00wQFYgcHMwZhLbAMRpF0u5S3uj3NtRu+1KIhNoxiAj
9fxswjTb1dql6tXnUs9PprC+MI360M66dlCFvGJ/yy+cme/ckZOFJBa7qmVVn4kzvLP04qtopxMb
w+pEsps/luUZscXermGasJ0L7YpqN8Rh1LDWR+2Q1/KkUm33HCngDwF9wrwc8EviNl1LAscJD65f
ynK6zDO3XIdV9xLp8cSO72WnSKc0qsAaxGYrtqkeXs+9ZwJbsMGmeJ+1cf7QdZlEkm2d2INzTjxB
MmO7IRqAhAuD5mC9CkTGdlfoVld/1Ts9ve3Qv+NgCtGdggpWOr+ARwW/NdGXYAQirbd8GY2xI7Mx
csx2DeZhNj7KCJUfPQSGwlRygntq25ZdPb44ZjPDZUIxbWAWh3HKEN4MHbOvfPDW8fIcG9wMsZfb
p+lw1uWwINCC5JoFIaq3YvsKFUNJyLyu8cQpvwqjxyN0QBWSiHnTZ7TDyIIn19ZYxxEBgj4yftly
chLtIEjeHcL5k9TrbnQ2QYNGz9iNegr6dWcWQAOTXWCWYix2bdeNGp7mtthjLlbijh9PlOpiCjX9
RCcH9XKEO3aF8FF/rnXWkV/xrBD4kRRegJvGsZhC7x3o0dBV8gVxSDM0tO7TocBdTOU94n8sJPfQ
FajbSGibUjOZnqNbRFFDnT46FmatGelC5Ws6WVqgExEK675blne6kQ+Z9iGGQtwah95N9cexyAbV
+VHSwVPjwWcJ9GoY8Hop6/EsSQY3X5tBXEfymgEFoamxRURZmmphnewqqPVhxO8wtDuIxpCAAcQY
GYqLAO04DSW9r0keMDIiv3zSyR13oRPPhWWuAnIxDQzGZkFrE1mltW6/Y43TmQfNRYRmtL1sA3oY
nAg5XV9N5BU7a7Ot893YEQq9Rqvaxo+F0XzqeBDEd0bYls7NaCRdeGB4XZXPseRG3XCEumy0PuF5
8p3BHDRdeB61mgmSkY4jQtQBv2m0RNJHxCGBb6YRM7MVZLR9VkWzUJ7ppU/xJVT/sXvoStpih0Dp
Y+BHJNNiJhy56FLGNIy0MhvnW0Ch0t6qVhuSD+hessndxE3jOlug5AqyI9C3XTrkjCcSRyXjfZGL
9ppYttBZha1tNEx4KuQhsfJqeRGpMSphCU6gSYox0yt6IUlHti6xWfsAZoKzixAk6izvJfOGI3O+
0bB/INw2UKegw/bS9RBxokEUG8M0qkyP6Q7GfOGF7aou2q5mpEcYbzR9gAoJIzQgJj07QFkT8mM0
kDdMUxK+rl/RhvU2kNvLkoum3JQkcLpDQwkGkpgSzAaoO5sHyFWLAjuCm+am2UneiXbbW1O3a9Cp
34vArB5hoZEVzwMrQ4+8GVtL7IY0weseaKQwVVgXfTjMHaTQ1lpTHWhno+eUB9tO5Vmq+mE/y3E4
aK1TX5cZux3I0B69UTv4HZf7xJ7hcsyjK2A5LXFm5Ame8y0JTomw2DiNjXGxJOBqb9cBz7E5TE/d
rM/BcGbkuMV2edsCh163UArXzKLkuaaq7IlWdn+SIF79mIyOjrohbL4WU80p0eGM/yUDmPy1QYkP
58IR2rPb92QD07d17gkOZi7YZNgHQ7c2tkbp9hx5YrHFFUGjCZXMixunFQObMSAWMGiubIwsyJfz
Z54oz5VrkyjeZ1j0y9q9rA07faZaxcfZgMCqATzux7GM5LrlKXloYkK/LfBLuE2GQ5Pm095qPEgR
sTYzvOjHZBOHbImwu+wDqbP6dqoV7AtRPPDAydYQ2asHOalw45Ftvc6rIPoIoHoERNKden3bEfQC
Q6BLKwoTp7eNrcfIg2GYMtW9B/Leb6bY8SOKp7U72XI/1t2XFrDxFlJ/eTUM9WVeqPwshJNKNWZi
SyKXiuMqgDwjd1JKsdwTvhhqeTfG/R0GhuiQ6FLbgJPdytApuIzK3oSVbpyQjDatkjqOX/JmKWGd
vDzPC6KUjN4Aq5C02U0dNlSNg8S0IFV1zzfhcDp5vdqVuZqoIRP7APRkvhjytjr0QePwxdW4M8WE
9it2unT73ybMjybMIg75nUQle2qP9Sn8jR9dGMP7QzgGMbM0OdjU5b/be573h42A1tEZFKM/+Tlx
A3GKg6gUH4iLvgqpGk2dH+09/Q8XGa2xdAOFQVvQsf5Rf0+8bsLQvyD/FiXHt1TLn7SjhQK9OqeB
edA6RqUTRFAOPAQ9XTtTP5x23mTFPJSFdo9vA3RwE3LYoSRKD8QzG1fjrJUnpkMElZaY7iEbmDWs
czNH3hIR+HiOt8h9qiBvHyIdG/FmOVYxhmkYg0noOFiHHKbbP131v9GMfEMV/dWq/OurLCP5n76K
l7eLoKuXhyqbWozyiVt9aR0D3zYOBObcFo1UvM4xkyg/NbE2hFSwMPyp1VN/jPrqCz4y9+Oc23W/
6in33BVTJ7aswqPTzyNMPA6a61544+R+4rfOdlFsFhxd2NKxN8xx648qrx8ZxrnbnlPgfa9cCbk6
dU5+/xVf6zb++oZHSomlcYHzOIFPFC1zY+nO3QuTD/i4lEjac8Ij597i8UBuAEeICVJK5Qzfm6y/
1Ma9Vmv89d5H4onRWtT3bjkfTHPWLhdd6iNRIcED6Q5wa37//ZbX+rtf8KgTSPTlaNntMHNzmcu5
eCqecbbpN85kRadeCUP+DeGPWAREf/dOy3L46V7By2nGiSLgOubqfXXMyL2mOaffodOEUjYpZ9pX
SW/mvq0P1CM8oD+kHuX0ympC/c71av3OUL37zHBR7d06JTPG7STnpaYSPaBhHc+iLAEVkdo9nAVj
xsb/+2v0qwXLlvDzJy/1KJJhrLrdHFs7pk0nJB68kcj1q5em5fvzS/cNLbaAo85uGjisEX1hpNUb
d+6vXvpIyJUiVJEwNbpdIEAm69G13ofvvCBHShsvqk149zWfuk19TKq+WT6961Ifu6wdbJdtZPPK
KW2OCG/lVDSb97308V5lZ5j98rLbIbPaCAIgM7333/fSR5tEKkYxO+7Q7axU30It27jJ9May+cWv
eKzAzYsc77VptTuMtVfLHLoJ5DsvyNHSbysXLnEZdbvS9Z7JZPNDu34jInR5ib9Z6/rybX5e6+Pg
SubT3CDaxCG0wCi1ykXW3o7k035930U/WpUIR3QDtFm36yLUVBAdau/J9Ia34IK/uvBHKzOjdrcH
jzsxnzz6c+MiJqmN8p0/69HiLDw3k0bKcLyCBDq7w6Zr6t37rsvR4myBt7eqqrodQV4+QixIjLK+
ec9rYzd6/bu29tAY2Zh0O0e0N8jf/URX3w+zv3zY/f31dphwvbpl3KJEqVKQtUqUl1/iwW615o2L
vSzD/7wbEeu+fulZixXUazKa6OVM90GeEnQEgpPMYTWTOWgl1yFK4bP3XaKjh3aTQNCKZlbVkDfQ
70LSw97Szv7qEh0tWNnTNxKA4nemzglpkDsjiv33ferlLX9asIoFKsiRbXcR5BsX/Vz+luT2Vx/6
aJlS7UkRN227003nY6erB3TH/wik+ef5CDfa6w89Ya9x3K5qd06UWIyCUEV1ZVAcYg9Wl+MAf3jf
xTlarIlQNCeo73feNMGrDOBx0bl+K8j5VxfoaL1GxWDnBJHwXKqjWzv4MhTa5bs+97HXKvBCd56Y
q+1qAXsBKew99Wn/rjMAbJbXFx/IcJbXJLTvMmEzFKh2mXTetxUca6QjLy4io6rbXWPBGGY86EH9
odXwvqtytEANAM/YjOEnk4BymlbjLtO8d16TowVKxt4CUFluFIvEFtsuT8gpeqsa+MV9ssDbf16i
0dBnU1l2LCRPrV2MaJjV33UKRUT9+qXJWw8HpfoWF3r+kSbhcxWk77zaR2u0phVXENNCR9cijgF3
TiMG/30/5NGyrBnXyIBIuV2qQTgUj/SG3nkDHi1JaFcFjG/2LLcwDwgpNu10/cZnXpbH3zyLnKMn
qJa7JqI+7m1lOqZfuuC/cs6562GIsissCAzq7AgNb6xqBxUx2IQPRlsne6cLadW2k4JyXBihRU7V
6D7CPvymmjR9BuPOZQkTBfJxXDlPUTBp13HqkdeCnOFOZ+6x9hi1ZlZaA6jz1GE2O1C6qEO2TZ1m
u17V0b6KYmbQMZ39z42Q+bZNp4kxujMB95oJwV2MDQsg3j4YbUJaYWYhywP32ePhIPnz9v9wdmZN
bjLBgv1FRLAvr2iXerN7sT+/EF6BAgqKHX79HDlmbthcqxWjV4dDLUEtWZWZ54yupKgkyCHTTC7G
W93X2o9m21FJ2pTucFOEQxPF38NVp4WgRnrV7NrYWUW5XDcg/668nwuvZxEq0EBY1BZoil0V+B+j
Uv8IJf/Gj16sO8hMYdeeh2uUHjIwzG6Z3zYRzhCsP1cGN8e0Wul88nzGu+Nt/JZ4+o3PerHqGOiH
3MzL4dlnNIcaTYZFK+qeb3va1t9f3GvlCCWVw41VRieqWY6lGd22Z3uLdWeuOoorpWSMdMO4gvPE
5S219pvbvvhi6Ulm6UvYzkQes7kR7nTCqXPjMFmsPQ27UsC9Hy+zs1YuWFgzHm9b1tzF2pNYGQ0r
udns6A0GVuKuh/za5mScv94/1rWlvFxDVa4sXW92YzAlX6MZrDn8LXudzFHwkrMW2NBefDDXuWiO
heA0ZemRuu2ZnS+N/5wAY1OLuesF63ViDCfdmn2AvFZ+2+74mwz3R2wsmkraHvebhN3U9ox3QMtv
m7juYuKy5+JjbA1eSIP1bZarILZufNeLeZt2A6LAgmEE7/xFl0Yepulw4wNZTNuo0KG2ZOzphk36
N9V3BYCgmybWsuY1m9x6FBSw7aRZP8FI2Wg1e8ttn72YtEUz1hij+dojJBQVHw3187YPXkxZCkDn
uUUDtjMCUO5mARjt2rw6v65/TKslbaPqpYyajo9uxD15pxXkpitL2Hnb+dcnLzZRw6BbjoHdHixK
3jet62trgDsFGURrfKysPL7tPOws5ibl0rOTQAJmbjZWmEX9B8o9rr1S47yc/+tXLDZVU5NVl6uY
uTnPLj6YcYaj40fc76UFJYrwjM1q0o8Ug3pIWMeaxLF9roBy9V92oNzbNptzifmf6w+uYLuYrOL3
hLhPdFBHUXr1N14aAsuZbFXVUOrsZDjVnsaifUJbeuUATV/1vx/fYibHWVfToMs+RgsC6iEuAfOH
ckzMFXYFHG9kz3RaBiu1qdxz5migrUGNlXbw0yZ4Vm5f/zdRLHNUFbZbnBDBk6dNDrEsj0LFo1qh
2is3sx2bdyXAt1OB9Pe2yfw7ufbHokzJEvWZHdxroyr0ozMbIHyDxrttGTIXz6We3CbL6k7tXCp+
oj5bOVTIvb9YnMfEP0bs71fxxxc3BoBwU+UrWhhL/9kem/aYSPpLFT1xt3170pR/DcfJF3SmFLxV
RZhJqB92Nw/GxRqalyLvSIQx31p/MwVfSAPc9kKXYIspTbLWpUZwBx97DHsKREOzba/cR1+YQ/Yi
8jFijcfgZRwVG/denyUto92Nh/7/RQBAW2j5LvOznnLsSK3c0YD64/3Bcul7LxZPukVNYU/MJraA
Yx8N9OgmY3LbE1/2ZkNzBYE6Vv2hVmX50p6rS1Nyb1fWROO8kfxjoNuLRVFNIGPJx3UHFXTIyvNs
Akqj0e6mB9vG7NKjATB6FQl6SmmJbB5TyylXehkAyAXSfyK/1B1ayJ5744xa7a3BXMvIFftJUFB/
2+M9P/Y/5iLnZPg92G0PU1VDB2UIriY2rCvP9/yS/vUAFotIVA+R61azuZtmbzz2tVMchNZWj63j
p2stNss5DIzWvLKfX/pri0lfmFXWTIL+2TpouochMN27YEzt+8nwG8y71jlFOnjjw21PbrEOTEla
abUgf2F7pX80uz6Aasobev/TL6yR9iKgiki4uj2QnwO92tVOUQFK0TyChalPhm/v/4kLM8tarAiJ
XmuN7Cm8rGdHISrOfqS9vG21sRahlTO4XQ78lOu0ZPoVp9XnqMxuSup6S3CDVoETSCVHOHoffP2n
Od34OBZxlBNA6i9Kn7Eqiy9EgNmDn1b+jc9jsRK0M30lU9NZ8Pghy7colL2EXtDbXuRyDheDQ4KO
01lRVieuvMNG+LvbPnoxgcUsEQA6CYU6soULoXPp/9zDjb7x4xczNjDHyEVgwjCJTWrF9GwNE9q9
MoWMSwN8MUPrHMqkpgtrZ+WBOEBWoCPB7+INhnTjmOU21b1Jm34XRMXPSrnpTta+dgpkpW1HUMib
ZvCiI1tldC1Wv/SFFpPaanQZD0Fu7dqUUiG3R2wICuHw/qu6sGKYi+mMNYudwxTNIanLGmVK3Hcf
vG7W33w7zV/f/xsXVtilr81CYNaPWlAfpIkIVDkq/3iObz/a1jRs7N6NKT8x6+f3/9iFp/Wbo/fH
1uQYk7SCNkYQVMevYh52NDFd+egLJ78lF0mOjiKR65o7Zniwq1xhh6YuHgx6BzbSZyW/7RcsZr1l
zpBTG9vcAaf/pTvFntTibavg7xKjPx5OZLbzpFpUXYHflwd9pLlvMLCzvf/FrfP8/sfGbS5GamYP
+WxmdMzCwXedO9G72mtR0tjhJ2ehfCLM+i2IUuuJI196p/WzT40tLZ3hHNvWU00nEZXv+Tzd9+PU
/DKQ4WynKK4fuqTQH9mD6SBMFMp3oiEBkX9b+FWEoQfeUY4cI952tky2M21ZdyCTgfC6Qbm14e1/
ahzEhoLKh096Bj7ECzL3/zb0/v+m35dFiRX4VzWJuN5RwJ1Sfp+dosS8rdLE+x0i/vG+KHpP5yQZ
1Y5yE7oIE9S0JmCW1fvvy7gwMX//+x8f3w0Brac1bitywe4R5g3ybltlJ/zXyS6HFJ3Q2GRIUCXx
DKjdnyOTYmWk3TgE4OyU4EXWJqGlvKMcNArNxDLoIJmlxJIi9dsqedxzt/CfwaagoH+kFbfdabrX
3wXJuXaxmeYrm8m/F0B3ed997rMbND0bdsrQjF1X93KTS7Pcln19rVTwwpK0RHbNQ47qaE7VTvGn
Nk0OQMFp6Dl8/y1e+vTFctGmohqSNqEFRon0Y6IF3cnQsmu3UJeGyPmv/jFEEh9WplbE0GXSYNzO
tLg+JQ1LOQX7wQfqKb1Xa2zkp/d/yr/fBRXIf/8x6I2kaIdgPgD9F5/6wBpOOX06Tzo1llde94XD
1e/7sD9+j16mSZXmxnwQIEFO7eDZb4U5ipdGt/NDNYwcznuzXiVGLK7MsktPcBFPeKIw+zY1dCwF
c0b/GwoiRCRjZW3ONanHqSjnF0yn6urp9Lza/mMV/p1p+OMnio7Ww65HU0TrNeLHSNa4pAY9Paih
DwQgjiHaGLkZH1OLFCBtv/h3uz5a0Rfk7zA32Scva+kTDqJ8De9d8jDEz0FVCcq3tC82Op0t/8WD
NGiGnsFMeZUaaNRrmrsxTcY3OxrcR7NvPFo/i7x+CuoofmxL6mHrKPe3BFcZ7eaxRPxVR9EqnhBT
uq2mY1KIR5wV6Ze208q1NXQO9P4ouHJ9dOlYvayQLDW6c0DjMLh8Zt8Kwkr8q4ZcpYd2kWhfmEXx
QdYGXPu0M3/aVpbeu8PcPidVkL1pg1s9Jdw3hW5k490eh2mT2nGg4edIkl9tRzfW+3PgwnTWF2cg
UZUcr1yO1u758Evy814WxjXm24UIRj+P0T+GRqKTGfApBj7AITp7nnzrPrbs9ktlS65+zcxZ3/Yj
FqeieurhjEVjdxhGBGaewtQ62fS33PbpixXPaUXZdGPeHWLDRoISwfPBHIK54LY1YlmEOZiZGZRd
04Hl0swpHBtbf2irOvuQTDO9s3RUbsY5mLhSMqdrYcQ53v7HpNUXS181tCgNZNcdJLbcb5aRyAqt
rZ+txhKOVFHkwfeMNnccXaqITpOs4mtow0sDbnGaiigvjUp26wMdkF9G5d5r0E+uDOYF/Px/Ks3O
0I4/B1xQFGockW0ekqaIOhyJoj+19PN/t6uu2MZF3EFp0YNorYMl3GWF69zPbTV8bduIIovbhssi
Kg0IS/FG6HLHTP3cs0StSeu1137h+TH97xcHoGTxCyMfXJzy2sOgLC52rewkvBjbUoXYpAjrxs73
QJjqU9SLek2uS64dq6ToS57Ntr1qhyvbzIVgjv6Yv78IEW+SdLkhd0XRahv6D4w94CV4Ggm1JOuJ
Ppi9LEW10cmR340OPsfemrC3JKW5oz0gX+OYx+mg8TVJ+rfroklo+vSm+Ery89+bO4iXv7+fRdGh
rNJB7mK/jsPYgi2BZALzs5lfY44vmMj/b7iBfP37b7RNW5kTfZ2Hs07nkx81GEhy6fAQHKkcEiq9
f8Ry230Tkw9hcegFR4ykT+ZN2SS8lK63nuuRCqFrHRAXJgB6tr+/EcRZcFgJ2cJepfPP2g2SN/qo
IEN0NSQWRIYfE26O1lnO7MDlCrHQGgqnxpCY6tc6SP4d80CO/fs7gA7nNqbGIlC3n42h2WbRtLJx
PvreNzipu6GVV1KW/w51AO/8/YeaPmrGybLR484aumVU0XmV6QcDxiGt/hgmvTKNryzSl4bTYtmK
Zy9xK78x9iZUlK3y5+GYzxq7d9f2VxaOf++WuCP+/jnzXHD/Ztf6fgR5tYrpTAxb038rHCoxyJBG
m1vWJzdYrE+zx81LO5fFTkzWyhs7JGTX1t9/r+0AlP7+BV5ej67W89F9qq0D4zD6Nx7KllWs9NRO
9TzY+c72y/pwhl2u+2C2rixmFwbSspCVSmFVgFnId8DVwchl7rmFjNZturBda8IID4BsU3jVj/ff
wKV1w1+sG4ldVxCNVY5pC0Vvk/XeD5xf9Rsw1XE9iizaBTqq4RTITh7yP+tDPlowQUunwcpbpBGq
d7gN73+bCyPbXywZs13Tt+7Ww06DJuq1gKDifD1G1/IdFyqO3GU97NBMxZxEDTQb3dK2yXAOuy2/
7gNMtXGdrqoxrXZ4h8DRcIrPthVsqF+JcqA4vv8DLzRyghb9e1jm8Dw1LkyHXT6gLzSxUnVTHzae
TnQ9bQL3MY/zTa3kozVMB4okN6SutkE2U2gRrU0v/sV16KoW2qnVNx6m8FzS/hk197SNrk3hHh2V
XbmBvzQQF6uM5bggiY0y3/WGcwbsGOCIROpI8topUmB9nh58N76anL+0XSxZ5alu9VmF9HcX2LmP
xc7p9O/mYJXf6RhvOUHSbLCK2sD57gTe/MMYDANTIsjO5mj0TX1lGV84R/5nG/UXK1KOyKgQuoNr
CpmAGTp+LI55jpQ+6h3xjWMPir9MGAfq7dZz0K2lN++GgOxzIhFkIFioJOjTZgTObIqNGoY6dLt0
ikM7FgpDbWW9ek5w7oDjKJqNHcRLFVTqrdXG6FlMOneB+mj8dGAFqytr+YU98Ezc/zMQrRnP/hgl
XPPETfEogGBsLVQkTdjM83zX4/A86jYe4dwdhiupvgvzeInV1rTGqlpXo6FlxrWiYheIbU9n6imW
qfr4/lS69DcWC3xVxqWG7rbbKZujiUfAtxGlsBFoNO3+/T9xYRdcFg0rzbTdutW7nav6dJ04ZndA
f5rdeWOiP2h+lV5ZhC/sVUsrCH5qXWYR/rYsdr62cNv+S0flv972IxYLPHJDAcXZ63d6YaXHuJXg
MsBKdSg12/zJbqb2yku/9CsWi/dYRI2FzI8J7DVbaJfY38Xm/d9w6aPP//7H4T2QgBUiERe7VEcC
jZE+d64syBde8bK+lVVYjvB7Ic7OXrSf89y5T50y1kMdoso+Kzz8Qu//hkubz7LctTFwETYdLcHw
BktzZWndjJc1HU8255LNBPNh3ckSN0t99KtP0JJuu5Jwl6WukRMYUeDVBdUKo35IsRbuoYTNt72b
ZalrZA+N4r5G8trVw6zyr0Kfvr7/yC689mWtq9SgJrkSKfsQNxY75qgfOwFI47ZPXwyqWFWlWwYa
h2PHqGCopTbFzcmn9z/8POj/cTZeqmlKoUdDmnDkS+MeXpWd6qu4sZ1nlVnGl/f/BIzQC39ksUV7
2kAo7nLuFUZBfmS2RJesytSYtpVws0MSGPFbhAseGayNf9ioxCmLOwULnkaNtTG0wyfIEV2YvlpH
tMkA4bXHMutSwDRJ+UX3s3brZUFhQlGG1mOlmr8F+9b+FHMyPxTRQFTtdelXvZqCrXJ1BO+NEcw/
abYg5ZUKBsTG4hguQ5v2ej208k5bK0frf4hJjFsIu/2nLLHGD2YMHxmqrVg3iWj2bR1NYhWXSoWJ
lli7uDOz567x2EqafN433Nw1wO4n6N9jPySPPrB47nrlNIVZ66R7ZavewKtUzQ9ytg0G5Es/Tyh2
jcIkNQ0qtf6UQqXsoNxN2amrNSjeILR0nUNOrO0Trn8fODqACMd39ZqXZQTnPx+fpQ7JOu1tW4ad
PtmbhMLdOMS0qz+bzQhJmprGV1LWya4vSHusKvjX94GfQFNCNTNswOOIxyKJxT1+gGAfNU1khVoT
yNX5XOyTkIR5AdqjMU+IZGvA77C19sEwRwdO5t46kBmeBIErdSXjZvqZZ4l5TIvcLoGXnelDukgH
f9VPReB+cFRQhAjDQQ41yCee8mmyv0cQaU6Ffg4oC/od7sfBhjOYqT55dawiF1tWvFGSCzdd9lUd
n5KbazANtaQIqpVvQAwRjQo+ax66iu4MTJRjp61Mx8E3kpnwa8Om8NpN4GQg/Iak3HPflK2xtgwv
wlCZ3I5OxR18QZOUk5LwUPTqSQUALreqXTDkY08isQIDlsoIu0ZktCJbO12XFlsB82l46VrDBtbp
26wDjTFSOA09qFxZSTO9nLOEH00uC73T0HTG9MHjh/yMIJV/LeKWqFVCUD1wMOwfck/HGFsDGNlp
SZ/jM6PIRIS9x3G3G2GLreLEqY2V8jL8rD43Wl/yLM7hLIH6etWU5tz7xmyj73Grl3ls9FUP+RKl
XF+uKr/Xz/r1xt1ST0+NrOt2rb0bODV+RQYLJK0XUwv3ox7cdTm3SkIY89x85c3g61ZO6tthUzeg
5nsmRkHeoHD2/qiaFcd8DDMzugQrNKvYwdSNq/xuoFlqVVYjR4Ua6n6+Tkecj78qs5AJlxFVB9Mp
G5M90MBsHSG03letFQ0rEct6G2hG3JN87keRhqpL++10hkU3Yqi2qCNGLNp5uncDlayrrAu2hTsO
x7azJv9gk8b217nSDDf0e6GhGMr99DHFDoYvXllhFYD2h/XVxKupTM+NRqB/96MD8q9LxrnaRpnR
pKu6ztBf6m1UP8iKturHUWj9txQkqdx5opHtBlXS95yO3WOuXDO9LyfUgyfTNZT+1rTBL70QSbGW
bBXAcXqsxms8eO7jWE5irw2T+VNBu3msbVc8OqYpVoPjFnVYTvFchL2pTUYouhSapkM7+Rti2PqR
OzH1ga9f/+hjv+13Gnn750EL8hdnyiF6uP5Qrlpm+QaRo11QlTcZh1K4+TnVpI5ON9YK4JOlQg+O
3RDOqWHgUSByvIs1ED6mmowXcvj+Ywk0cRMX0/ixtznzcDWZeR+os6xXwKlMbZ0HWbIuSzd4xBxH
mrbB29yosT7mRlqvvLRTBHGeuqdfOl/LccS0XhtgO+1ZRxosvE3KBRi6Ek0C6u81d61NvAOXqtw9
DQjqMdDG5Keucm0LCN/9mduO953CEWKtOCm+GaXHGqCntghp2pUrjM8cOo2if1SytLeRG5fFOs1j
NgAv82nXjOd+I7WqPtZGKTe89PEUDFX2QbcHuYGHX21r3QsE9fS2cdYZ1w9nrbjnqHNpo5dVd2BY
QxcVRZ2Jgy84f9G2Lq2NnPG7h13WR3e17fc/gj6p112Zs3IrJ14PcaSvlbA9/KGWiAfouCWCPSQW
K1xb/WOj193eBKz7XCLQIQJm+QfwONrWthTg9NAZJNNOd9vcYimYs09+2bUvKm1Jc4B9A3lc+okT
xnMiX5OqleQNWRHDNI6SpzanRyqkIFtsmFAYLZoJG30zpw/YnVUccvPnvTqDV//qe+40SPVSL6rN
kX1o3coJTSdlp6OqXnu2Vc5BI3Jy76vZNZYMsZVmhxKD72p2sX4oJF93ZVulb61fjOxcvaZWnTsA
Vqyj6ujjhajWujk3LItdYY+rsjRhw3Ud5UeslgBGwy5Okid88W657lKY1Ssn0cYnOxnIU83OmIf0
bxZbL87wggxm81DPsXev13xjlBCFuYpzW97PWcWuLpymeCpniyaKyIArCWfukECKqkLd8QVhQGpt
tADEdsNlAnahuRtD1DlSrqTSM5RFwv9CCQtlI55Tf5/QtN8DKxg/p7HojlqXxV+DKLJ2QSCMFzVP
/WZw4sGnl1DQ0OCpFryvGMyfeu3Fx8lMTHwbY7m3CS4+tnjM13aOWRFCJjA3r7d2o+tV7Rb4qHwl
j1bvMCJa+yjT8ByVhr+TUvinOuCC3vca4pQxtVYtERyXDLkeGibO44dSSeV/CILZ6dd2aTM2AMwF
+R5sOr4QN/MH7YdLFd16DOKx3Ylz8VeIDdpf49PJPoxxkL1aflR9RRLinuKkb58VFymvLKmwcyPD
kOO6CoJCwbNuWH7zNHtKyp/YYdS+6Nl9eh1xY9Ca4k60FhA8LRZyjZTKvcvGcbBoX4nGZzdLamtl
NyzueW2rY6ry4cNkjjjtRRJHG4mp42dnZNamA5PuHwcxFCdZEpiFLFLqTKsuOzLetW0hDAfb8aFN
J3B2KnP1x0zo5Tf07trntlHex7bxyq0xmu6hbjS6hKVmnlA4BWes7UTOjvrH+s0G8uVz0RYQZ1nG
OH0Bx0RiYg5GPBu1I/svAhDkmeqY5cSaQrn4z61K4WFhxKbSVk9xPoEIxs3n7OoqmGiFrtVJH6Jp
n+Kdfxy5NpXb2La13WxqIDtRo2AUSsoI+YHnZke37t9gr1vrc8q056LPK+8kwiorTFvpfNMNCvJo
LyztH22sUMaLqHEMYLhlt9UNjoPwV/17jZD+tbDpq+p0U74qWyu6LbhDrdpmCqpUHHkoazpUraFK
6GsGYA2SOGwqijjCyq9ca900gMZWow3KfJ10kfCPo+tY4kdHyL0lvuKmqcxL7TSgCsXz4ehiCku6
u/NQ2PPOtFDE7hpmV4lKXohi12pWsEJ0bBQbaJbEnLlIk3ugvOMOT1vLABUARcPA6p0jVXzyu+bU
3KO5lfYttUYtWccQ62WoaVF/D/tJW2uJl/UrAk/kJ5ZmqFUB92RdOH7ebHLq1kBzRzmnGbri1MDu
5sDoneyk39DwS3lmm+TGazzbzg/g78xVwMLnmk01PLmGG7wKVPLFuh1LYpuReH0ubZ0+b65YjzY8
cXjdNnWRI5V/Hj7mfNP2rrwzNcP6pGOQWUN6JPYbWh2jS4SmXm+TAPxbZsHhJtdJh6ikgGnV9dim
t7E5UWRn+UW8D4rBeJR5ku06yOex32Q/83pQu2EaowfiT2ZSLbqNk00/Qf+NwUeqsIFGYretrX0F
EPXrFHVVt5qq0TB3rbD1AoSYpiDWzsLg8elp9iDSqqJFlUz1wJR0PH2bSFrrS87f+wAX2RZ9WUyZ
SVo1PZBVezaJ1hIDCnTXFvFDnIOpd0BZbSbip2ETBMqhpI8W53bbdO3JLDxVA5fs4Vs77qy2758i
DfwlF46RiwtCiLKmYpIk+0lp/LBpLvOTJIX7kNZpt00Nb9p0rdkdHTPxv3SDaKyVKrv+QD6i3VpJ
ysGnYdp73tlmrFRT7bTm3N5vOB2JgjwpylAJgzhh8sae08YUC0ZrNnn11pi1/J4HMuh71EzumfQb
kwjMWqO/o0uv1UIvz0GYWhZEBTOCZbGlSl48pVlZfcs0K7oPqsHWzvB+AoWksYGDl5FJsZHVzt2L
WcrsLYnGOMOD7dfrkh3gS9WMQUcZ2jwcZKYKyiR9+3NU2ACNS627kw1ngzD1qQNqjXFgEvamf9eN
6PJgInJXtHJYRQHJTXjpjskwayzuRsbG6HIfnAkr/0AVQfCa1+7worHCvAzIxSAqe/OwUT4obC4r
5wmxc+QwuDxXHQoTExVZ/3MEWhXKXQ1zwjPOzv+35Eb/s3IrS0K0L8Zfde4Ev8A9DlFIc597Z2J7
8+4jGitO5WA0X+iSMadVGpT2YXLM6WOXmCw+sSKgDYPAGaMNCvL+qyVmc5+Xqf5fTWLnc+BQVl2D
ek+2VZrJVxxexhezNzmzpl66tZxIPdosdOm6z+iDOq8MQ0aFpEpDKpuOtfKdGPHYLGoyVu3wJv0y
+NA61vTGOfktGmhWBq6eZd8D1TsH5bfWa+FjeBMo3tZzak28whwrDTG57ZK3r6voZUArHa981uP7
MRc6qRAnMugDKPWaYHewQWcHVr4yKeAA5z1XXMkWenvyS2N81l0LzQUNbfc5Z5QmTBxDOMDQOeuv
S9s6X3FAT8aukcWuvgWJLE/UiZFlISj4z2kT8WnyC2GEeuR6X6Lcaq3VxHXID24GkHtpKTd2B270
KYcpglx787TWyUNemkfZLpxajny2b4uTaffZzuL2FQF5hwtAa01iJOh93UNPBm0IJxXYBFqAQzgu
l7oxsRaKoqMqzBo/R7qTf1BpZpwADNfHMeO/hWPgqEeNVp1T5xu/HQGNV2y8orO/KNxAGaUzXoX/
PNbih6TVMt49LP6Tgw/tEGmO/WTZY+agA+8HKvKAez5SyVM/t7lm7GvDHO9iw/IegXalr5QK+x0b
SskEqzRjOgxC87aN7aUf6pTYcI0NsvgPOlv+4LkAPTNiPy4uGv+bN4jyWRd4Ss1+yr940urqEO6X
fKHvotqAWK3XrZtaXVhT/gY5igRBSitDg861GErEJYYWVx98ShG/09MTnchGp2JdR7K5C4iej/2k
CkLTKt/XjTetSIT734MoiF4cVbXcBlRzsOmSyTpkqW8Yq6wqjJexs7vH1kjnN5bUGkN82nyGPOB9
Zndu3rA3zQqobwk1E9FGQ8JmMB9ga0uO8oleNSFxdbvuUfHsNU5z5qZj28UYlsvkG3Z6tZ0MR21Z
yQ0UCoVtamERS/OXFTf9G4WGKA2UMvy30aaKadVUdB3Deu2/OSJ3cM+Rcd8UjZgKwPRq+jR6Gla7
AmT2vZbYwadgVuNPsM0c8HuCthVCOOOhNVvzx6j3DXY1LH9hjv1FbltSjBYbNkd9/MXBa2qnzveg
a/MT3BY3heii5EtpZvZraXU5MdNYP3hVFzzbVT/wTYY0+OY0TrkGF54e67n1tnT4EQIL3+a2q5Z5
9NPRMzVDKRtw7lJWnh96wZ66qRwJ4ZiUpPuRZkxCBXh4468xgRJeGU3HWSGzN4p78Hstq/NXMaZe
vTanNn2zuW4XG5bB6U6DmBURa1pcjkS4ROm0slLFmULrkKspIPfsgno1IkdVhU57eEaSbUvRu38v
MApgDuTo1Wx6bgpe62A09wgHiUEyBDor35QctZxogg5OMCfuzNiYf7bKdt6yRjlc9MggDQOQzc92
U7DCJbMx8V8xg74mhRbfN6qd70ckrEnojfl06K0CpihJlInOU2KPNY+oeuTCJr0zB9fB1uhi9Vu7
vZu7eCQaC53nyAY3FCmM7tJpCwPOfxlDviDVyidRB3ZvYu7YpmUSHelRkt+8LnNXBhaj+sRiOCVE
rC6SnIjri92USUDoWRNbe19q7bNELVOGlGn4+8ENULoEaJqeMtuet5TV2I9SesUhrxrup8oy0d1Q
n2rjc2lSCBOCPuE+K4NlPdGLtqI5Idp7dMofrMQyP/ZVlt3JtGyA7OlYBYtJkuRJ0rt5Gtz9lETV
1pUZAuJezw5Tb+unutOrx7rXjX3SVlXGZabtfc0VuW/mQD5tuAWYqDpA6IR+QnG4H+d8Jn4oS5Yb
nzr0tCNmiNPAO8626a8GzQbrPUhuQ5Scnw23qF4xHLJpZo4fhRNE9S/C7cyUwz0DuevMuHxMS8n1
QtIVOp3lroHMwVJ+eoCWIh/Y1OhwNIhvuIAjPSs2TjJiB43q3PzqImU8Kt23j0CVuiP2DUXYPmMJ
5h7d+oxmXj5gtpo5xhDJrh2FUWvFSxuLLZgE4ujCGtZxPxcPsiBy8AzPfE3hl3BBWplGtWYoBgfF
2PxcOAFRRknS+0HLlGaHfamybUadLTz3GtdRy9lIn435Q5OY3oFDWcpwNqaRd+TM04GSUMQvKusp
0MgGHLqJT48fxzb1UFeG3HTDHCMSbIwfPaqkJ6H5w3Fyc+6rqzbuHzPm6H9In4LVHFPd41GDtZ2t
Th7sIu8mVioaHkd9hvZU+5zfaS8+6NhGQ5hoqKehLHPY1dtNq1qHCBe9Qms5w7abVLqDmxB86vhO
qFf85jkwZRR6pm5+liRf9pBf1MYdWTf8rP7qi8x/zZVewqTOURZREmFHK6En+semVvpDGcyoNCu/
PrJjs6s1gUnwoXL7LBWozOHr7BjaU51WU7rJafHZlEEcrUmPpOkqGdPgv96jpGU167HtE+La0cbl
ErBYe/2gzI+pK9oOYXHdcfyI9Nnb4HrwDpEjpmmtVU5ihonexnboUfT4f5g7s+W4kTRLv0pb3aMG
7nAADrOuvgBi4RoUN4nUDUwiKez7jrfpZ5kXmy+U2TNSpDo5mqspSytLpURFAHC4//855z+HkrFS
hE9oexa4z5fDfD60pcTqqKiEdaGmvv1Sucqo793ZJYtzaIuX4vujL6YycjZz3uScc2U8j36sBE3K
uIzG/RCZJF7BPVbq0TMsa9jOA7zz1soV7ZbZk7Bk9wOZVaG6r2LQL7HGpESYykuuMu2Vu1FDavgO
kdWa+sMGS1jRhvlg8dWzVYlxF8rRuKYSEPdzSej0AsS2xRR/3lKeDRsNFnBduLF5tdSJCmgOvafB
xR9f8PXOkgLc2m3T+UwBRgIRJMULk9bEupRlcZcPjb7Jdd/siRzNPi30iR31Wls/LkPWfciSsv/k
SvAeA1OIfSGd9pP27HuDOn4nu9g+r0WCwERwllyouRm/NA11tNukhzj25GfZs+WAVhlBKsb48zBX
UDvNtOyMdVyeWgd2W5F4ThgEu+aNm+iVuM5OQ7EMozxXrYweIWi8R9HX5a5jSmrPlBkTYG69qGtY
A7RMDjawia8gbm4zu1WvUa+aJ5sct8o3+njl9MYdeVvINHkkKjS/S+eoegN456yal8GuttYAUZC0
g33jELzq+i0giEFMVdJUmx5/kZsS5uO6EwR4baveq2+Xttfkf9tGc0GOigmCg/KETTAS88VqSHlB
Wz0cGA+MCa1CHYNGaS6BeDyjxRhlyj6QzavvoAnCy4J5JrqmSOi7ap68c2XjAp+LLP5UznJ+Xtew
23bW2gLPiYEoXGkVAcZx8yNDnKSjEOH2sTLa5mIwxEgIqYPMn+SliwKI55X/1m3AQYoPuVN4104T
d6R4xM0GR/r0NYrsEHDESTdupJm2Hwhpj1m3+97KmCWBYc18J6ntC2sc4ksioT3KPILq/XxO1uu6
YAMhBc6rDy6ANInNCCHAVnkk2xperSBXr6PSLVZrDYwRYKIz6+JLEsbmRd3281nZes5VudTiKm0T
ZjZaPZ5rvLHvEzvBUsWNIRE4L9vsua4JbeB8DYlX6BwG/6AbJsgJCopbuDbsOUs3wUG2nZRfF2lH
IwORQK5e5n6xSW/ZrlPlfpjR/nnotrIUbVDdtBOOimn5mnSGCx/Eth7HYfk8wZSeGahvCYNKFkJx
RYPXyOLmCc536WgIpv6k9xn8xbmO3LXe9OMMJx/OMDUpKUiIwTpz2QONZJ8qz4v53rppN5PrpFjE
Fu7eyDLrCTs9FgWJFQhfWMJix1pMkKwVwCAK9WYeUD7PHwkYgkOMo9W48GKT4klNS3eruXs3dW0k
28ZYlv2khvgLTXf6OFhx9qTnIXkRdsjWBFA+bcoYihGQey6vVSqJ7zPzddx4S2hfO7JMt2uZSJxy
+/B+GWdmg2vKbj8Cgdz3S622all4wRA8bDiQkjMiPZxvLMHyvFhL5FODx/Qg6+EyAhbdTpZujGDK
ShmocFkeGk+S6xuLruJghjMIktVr95Shn+k6x6NjzxpTObrmxSoTl44NOCvS1UKxZ3wPpCQGKO15
NXsRVmcxYVEZParQh5Yw48avikFc03Ll+7UvvB0KR3GBVc3yeemU99mVc8+b5BQJltRNXAsiCZb5
2fJWz9kaXNxN4mIiRONUbq3Emg7tJJnGtDqZn2ecF3pbREV/Sybf4ptiGEhus727lDnJ80lZnBWE
IVwr/FEusc9sr6e5my9g6orHxp7pLTJGC+F4ya0WxxMDqyLC/mIRmCTb0MIlFXt4A9sv12Uvlyna
S018X8SxC6lvC2YNcObx/F4A55Mcl0yfPdCX1wzHDMwX6xQK0C2jM72I+bwA1W780qAoG3QqdkDx
4sMYl4lP8USgHcfTBfPF8dnMxXzwciLNfKwlk/0yhNYlIffkQjU5LVIx596F3bKXwchH5wsA2AcD
DZz0jWatP5dZZt5GfSguMD0W57kp+uvQsuWNbafta15WU3rVESCKNMHp1Vlvtc7HbCj6ZyWE/Dq1
KTFndsQgre6XTyXxddblILxE7IqlM0kyS+vxms0d5EQpDuYUVcLM83ieJQYL+y60Bc+Db9vubBTz
b+PS4TBHHjiSvoY3J/fso3d37k0PBRFGm66cvfLMwG8TmKcY74i61oJsT87fWI3YMjq2vuyzQZy3
qjK2IdbfF7BQ07NFks+uNpjD7c10BidQxi7skSuGmMG9kJUAed4Kr91Ch1Ubp5bht9kOvS0eE8lb
tWpAZJUaBA5Zo96NVSZkMHfjsFusUb0oayzPrD4frlU5RtTWdWV9Jh1Nbkto1g9ickqmtNpWHkqA
mjPTlcZVPBBzR1dQ49ylQLvj1utv0E8SnaEXo/k4YKXDKl+0cdYmhrMfRDRdmdFIWNokSitYyWS8
Ye4tGraJdiyWFQkqNVA6BDFRYVVV+7PZk/7dJy3UWFFb1Se2P8aXOcLOCydf2yCsgTAwFKzukV6I
jb3KmjCHxKBlbrQVcM47jx4qPseP8JAE0VqgIxa+/X3okUlsg8cemqI2SepZ7VvLS1N4hzy6oABM
LqDk4i1PL3tkEABoUtjyblEZcY9zXix3bH7dOXWoBzwpstd16GtfobMIBrhHZp3WXNwZjBvdZXaV
vEZloS4bJhdesuGIetvzat/3JSa3FRDlTqtF+0B64StOFV8jt+23jTlS9xaknYaUEds+7kLQ9cI6
vrzD3mSwGAoOfr9NxmzHqgYBTMkQTEQtd/TI9G1pWi6UcmX0kVlcTwez7uHyw3R6wDh5/oB7LfPH
uY3upSVq/gwbLiKKNLYeBi8Rqg3Y+33mTv3Gy4r8QBBWdJW6OrubsSgFhXdUCm84j5dj3Iv7BFfw
MIiJag0aAX6fpDp5IJxrOuSmc9Tf1uDxM9vHnSNnMJsyWrfxnBX6rDUBcMmPqdk4MdR+I77YPR9F
abRbY8WU6XLxstCv2P9XJs/rblNmwF6bKQN/EWLByQYDrv6MzS42advMAh/P0BjJTHJwse0mJzKZ
9ZLuowNb+Ii0JDzQF8gxaGLjU2j0084KS+MMsG86s8KYYNxxbdKLFDiSg6Py5o+zN2WfYoQJ51Ut
2usc/4or0br2QZdMlwW57PNt5ESh4cOxIysssy7JSMxMss9sqk53J4ewSDaTk3p7U3IYbwrHKq2v
ZRu1m9ysIEhLzHH7VXYAYiNWTkGR15O5afvqq06bUfkZdMPettbwwZnQR930BhMaYpyS7sHCHMDb
xZRvacAEWFrux3qx+RlhSSe65zPmby64/4Y0hHJE1sDVbXrtRZy4a/JJsgtHO0rl/kUgyLkRhgPq
UvF64vrgTmVCX8eHf+wxzrvGRTP1W2WMQcnwo8/EKkG+HK4BSurmfEayeenAkvGkBZl4uVTTtdHa
cdCTvWhvG+l4xdkaZmF2SbE6k/eLZYYbRufHB5YbfsgLu4Elo4Omp8GRIGs02LsS0XVju2F5J6yk
egzJkos3bhuTzMukBzM4cZW2ue/hafBKrTWYVBjt0p4TT1pn8JUZEPNIHhaHauFa/PF2oghaYmcx
gpWafiAOiFEumRbh41QSS4dOx7GnvWPO5XQRNVlU+RGWcsbnCnzmrJVQ2pzD4ys6HuU+lynsgB97
tUHZVySEJw46GoiOU4ZSeygI96VZTG1uMcnNgBdkla97IdG6r208qE2ytvJmhRYCRclic/GdOiIr
lCT1y9nOnC/S7iCFSkOX0rdW0ixCFEW32RI6D11RoTCJETVZtpg37jQsF4Vmylh5R+1HBXoYEAae
Ue0rosp4dEjuaSyxCMsjU+xN7eSQTDFBw4Da4bgjRZY5Bebw0NmU0zMPjGjfobUuiuPAUYP2+uu0
9Ay1WUBmh9CdVEgUWzGb20KNzTPoaf8Gzls+J5Fj39um1Uo/RVd1CaWDNi7r2LVrw1437RBRoCMS
t/NDnszzt0bN3lkFKAM2junF18RcKfY7GcX7luTbawaguk0HSHeMF428fcrC/uxhe9kEo2eoTRrW
w2fm1rKbGEnXPUs5PnQ5iZByrLRPVut8LUN7uRHW7JAxMC3thmAqepFmce610RkBJ4fzLe+jdUf4
ZMPZW5kPa7UOO97/ObCcVF4pyts31R+RJVebxadaLwOLCtaaWwu66kalviDZa3wxMoJo2y7uYZmB
CIhcg1EOq7o6QzTTfBmR4VwaXdpfKh1/g4MKrxbsH4QPzRk9MaSjYtQsKWl9fZIRiGCmrv2ltj+o
7MwosQ+QNnEjkKfkLU9OwUWI+hKMwLtopWYetCDfMQK5qVJUQnYUXTL/sb5OOl5gIckDBt9N7zuS
u64KdOiv9mAUzwqqEXfupG7HYEQL7wsYmsuWJbKjiE62o2F4t7yA3l1V5+FNM6guGCjwdvMiyk3e
LsDXmHPnHpqPiO4bYwb3wUvrlDjdqvwyGTkI6BpW8D9hX93m9CcqmBgys/7Q1/+PnxxEuv/4d379
giS/RTnUn/zyPx6qgn/+/fgz//vP/PwT/7F/qw5firfu9A/99DP8vX9+7uZL/+WnX2zLHr3O7fDW
LndvRBX23//+6K06/sn/29/8t7fvf8vDUr/96x8v1VD2x78tAkckQ+77b52//usf4mio/d+H0B2S
6K09CaE7/sSfIXTqn47rCtvDHNjSAGKM5ExvXf+vf0h+Q/NfPYFqDLbu6OFQMiIX84nWP7W2KbtI
lsYoRB+thv4MoVNE2pFN5xFE7wmGifmp/7ryD39olf94GNyJP3/9byXtfAUo0/3rH0hTf+KJXcu0
0AcTH8rnCeLwTkfUIPolCe0hDQWU97xfzJkS0ZKV6Z2vubloIrOZ80Cbm2Tx9dC7PZtPn7fdOSHj
jHW3tUMcG5KR9sEdSixN6myKphuvsuOI6OekAcFFpWxqJg1FyfugpER9w09kprURqCloNArTSHaZ
BJA6cxcFt1ebaeVQDUMlBwssDu93YiKJZSIYeV+FAjMOkDi6QPIGyjQfCJ1Ts8urrPeHLrOu8TY0
PpP74pAZPBAQjfgDIx0atOhzliZWGliFXDhGgZ35+wq8HgjHyxi/z3Tk1mcKlKgAX5gKip4QmCiw
ptTDf86ZUWHEHMw9hXHcWDuOf1LQ0dTVFWVO5ixnimb9CfGbPCgabbHtozy6gXnxvsRC209V1OvX
OpReG3TItRMq927MQOkH4TxBdk/Fp0gAvyIRmebiepG5V1zgu8pBUeKOzliBbSrUmnm5VPcWY379
Btf3SW4zd/W6gJJAr8xGx8wipfagP1ZVZ4l7u4qH9ZqebLjyQAZnnqGRH4W53bAiwwyb7gb9spmf
y3TQPcUTx4V0LHiZqptmIN5QDzsEazEoyziX4Ud8fEYF14qW+KwLkShRkTYpXiBJ13xtl7ICFmm0
+xI7R9lEiIlVF4RWHx/ylvIxKEg83Xaoa2zoPNd+6VADtJAnCU7HyFkGGXh1JlcfZLMwfa2j9jK1
bWPyhcPP7LQVNjPZnjbNirk4o+vzDpD7OQu+1x4VC2Bs2wzdWV8Zxms8olj35ylJLkXYxXcGBmTf
hFKPfRIBM8YU8jLIe13Xfk7dfD8wR0K9xpmxy3MxW4GxtpjoOKu0PslqzoSfoRlB57jY9t2gQODQ
AA8kFiWgaLU/oh2gmJJTB24JzPc0oyY0g7kZyhfZG+g8tdULRH2Ovd42OaUO9RoKjZ1Elgh5UY5k
ylue2b7Fsghfwqkob1yqsOOZnOY7T2dR50MRgzeiUzePqgoXzBQ1C0B32YTJJk2b4lNoonLxyfi2
Kn+Yy/WLMuz6ZrRsUuCapgV9yDia+w1iQ9vzNRbNVFEySasL2bcWh5spqySI7A6bH+YfFtOXCbzF
E8rp8AUJjnL3dVHJ8tLGVa5mAWM2fu81zcKcQGRM38ZeZh8aw0LPF7eZ+do0o1x35MQi8+6gGJ9S
O3Jue6f3nip02AQL18JNziv4+eo8nvLipiHsO/OLXJKR0Sduin6N2uONIHNOVxvAyOQ3p1UGXaPh
WvEjIKI8nOf8cULT4bGLxevwmFZ59DyARyKZQE+lfKM1WwaPhnVMN00b2c8upzOuVKIJn2LwKvYo
gUzB02nxaEo+cRu66fIRasyKb8aiax1WoTNkd+2s2hAFKF7JFDNrdKYk2qi9Ix2730atM+dbO53a
5diTwoI3FBedX6ars/puYSBr8cKCR5kNJBv5+B1Z9abxZoY5aEdqSENmDwZA8Ox4hV6Cl4yhKhjU
AuznmoLOUn6FDItkWubywo0mt8LZLa4xPmMwVT0XqpGDj5MfOiYasIgoY1SQFH2DJk80H6J+9h0a
g5u8K6evne7by3qO1tyPPLvs/Qx5FNpkR1l3IZ2KgNyRKvQRszhiC+E9VqhH4rLd1LxuJZqeFQuI
UA1IWxZHpxO6gLqObwB3YyKDhwzgVLrRXcJAdI+UjrqulA1bcqM4fPSSU70XCFuK63AlQ+SyZ36h
8I+OZMNWcQQNfkYKZ7Ej2Lf3tk5YlJ8T3bAwBkBhGqDGc++60MDdy66d2NnkPccd63lOnjGoTwaK
wdLUzI6L5EEpp8e1h4z1C1xDRLfNIk2GaqTqsPfZTBkd4chA5LA00tZ+bxSoU2eRI4nMowqMvUpl
8THpQIc3bm8iLWz4vwUgz6w/yoQxpKAdiAv1R9w64iAvC/sZZ6ssCnokJMMmmt3+ggBYk17AddXr
7CUmdIwp0mdth44JWzd19jR9RENlSmZO41a8Mh1UHgYSTxGFiNU9t7usGIkSkdm3FDTsYCM9fJRG
sj7ng2xfgCBAFckLcl4h6w0Y1co0P85UpItvdW31TUV2vJ/JLb3ERWr9jAaC6ZZQMP0dhxV4UN2k
bYXKAdVqAOsh7pZ+FZ9gwVFLFW6VeYyjrO5T2JAG4ytPrncZcdDfMqMfL4TrQdS1iWJmNEcpHMQo
LW6ULBKilVF82P7YHo2izCauRlSGozi3B5c1Q2iBw8bIS4MUaZgYjMAEw3nIIpzNgqxFL+fn+BYh
8k2jetigdpjQ/BO6eA0+EL90s5Fpf25qSwV2Tkz6bWStIg+6xLGsQ9f3NXHVkUal7M/0XASGqwxd
85cMzjPmB9deDJeTjIBnkHBgjexLZxr0VeSJMbtyImNMOVfmNSwfnDxhFGbSqWINZGgzzoaMjQWC
LipMcb4Ydm7etkujReAyD1NsTNehYc4cq77WZG4jyutj5yhcScWLq+lvXwUAa3NV5WFubNh6C7go
oN9ks0xkBR9/ckEQusTW1yg3AHstE1/okK1Ihf0GsCgMN+vcm+F5NyxD/MlZe0NtOwDI9KFnwqLa
5GFqpmdhMkUOxCLbuwgQlnBjkCAf7VVWfC8+D0p1FiNmJcqYCo0trdXo5fRQftXkHk1UixuX+dZk
DV/e0JY0Ga5Geb5uRpKAybqydaH0lZf04fINPsjMDh0bRLvrrUK31wnNfHsdmlnqMdGWEQ2wLSgt
sBBZ0UTkTPHXg3sZIbyLAvj5KrqSo8qjr1VrQNXE/WzymFK76INEAXdsJbLb6WwOB8XUdjFjAvU6
zP2QX0TZuGQfmM4216Clmjb2JXIP8yIEjEY8sLB2z4CUGmeHZjvLEUahrQis1UnERwJ/ZbLHDIdK
mIVsz4/Mw5TaL0GvksaHM2ncZ28S4mkOjVnuEb+F38xBWw7YU+os7BIZAHkRmqih5MpihhMqhn6n
m9Htz8q8zZZz7nmGBhVdfRc4bdqA3rLx5JeYSw5vBlX0NXPeLmqrxXR3Qi9ZshNMhWCPh0PnsgUZ
glNZiVpeURU6kb0hgzjR3LSxOuAnYmDiMwizDip0d9GVwYUhVTQsRGmaShvuv3abr+wJiELtsdMs
dcFgSBBZ06hvepfJAl/oHE2couhowFSGyNq4oWyGreNo81tjQdxjLp+UlN94ZVpb1BqN9KsyzsKN
I1DUUHyMfQ6lUKgWkH3mfQvRJtZ+zbn5CNMNsMyr2jxUimIalYHbA6hOE51tEYrZ2dZukt7V7RJ/
K6WTZkE+Omg8OCKXy74OEdZ3VNT9pipdxWBG2w20vY0zeX7rFY6+EHHELW4ZDvtkiNqtGa6IMhNJ
QwviWdpDhm65ycz4A4K2CMcqkGKM5yGAq0scQBvGWgjRqoJ1MtLyzJuqmmB5jm80HcOQldeM7Rwx
o1w38jLzKpIBI6s14u04uGMSpJU4CrBNngLMpZPZmMOumnAu/rJ8g8QsDjkOWnr+tF7KIYimbnE3
UxpPkEudN72MTClSRONr9BZh9edtm7Bs0q8AuZiFbSAC6S2WLqnXzYrgrkJsU7kjEj8r6p0WOdLY
D3Pjr7ZbIxag6/BsHMxwGobiLWfLCBFFWL0MiAkYvUeHQzTcQUQm5h3gXWjfQptbeR9Icg4x1mup
/dUDdDSKWJ8M76Jf/5jZ/i3Y4Dp5aauu+tafggI/4Qg39Vt537dvb/31l/r0T/7/CB8c7Zv+e/hg
Dx319oVR0+5//ufwE+xw/Lk/QAQ08f8kqN5yPNe0JSfk0X/pDxSBcbx/HvVGTOQ6Jv/iuijB/wtG
AGLQthYmU7DHJPsfYARh/tOT0pUeRzMwgv07IMLPpiK2a/G+S7Z65UrNu38axTE34TKKML2JqISX
wOl6C+UhSt59yA9RKxrto5m34j0bUvGzMeQfn3vkpqSjHao5wT350UigKNFWjXVyE2O8LKrr0UYa
DLaK6vHKSYo3lcttF9LTY2b29MMT+gVscuJr8v2jJbCMIwFQTM85HWZfQpcxnKa9oXpoL4u0bsZt
6pXrzk369NFwJEMBlpBdcrFgVHU02QFuNh08OQJ+QEbvyf1/BnG+fx1lAjFpaVuWxZf6+U4gFYcP
WuKbY8sg2ckdcj/IAUYYiFxMoEOo8f3xCWLMJzgVVLZ+WtD0B8LD2CvI3aRcWJ+ifS/08RcrQ0mh
WLCWbXveqcl+eRQHYDF4iFOia32sYOgX1NgWj8vczxxi4VpjIyKb6r2w2Z+H6P+4IUrggmvhrGS5
p4bDNvNnRVxFN7ihyq+VPVRf58pDgko/wKhlIT6Nhe1+MDA7+mg6JDD//fI4Lrz/4xPw56ejzz5e
seW69onvTGEq+JbOO2CnHH+k4e2/SnrRXcRA+v7vP+lnM4U/P0lrTYfoSE/+1YwOU+XVCA8QZ+aj
Fl1zJpBAvPMhv7ocbCU8WytgdSIef15dY2VTiIXWIQoV8gkVzY9zZJpHkWD/+PuXo3mRbak1SKk6
8UDIGbvuEyu7AQsbHjApb27QlTbnf/8hv7oc7Sn2K4BdDDSOi/YH/5EhszPZ5clNKTxm/iD/i3OT
NvQurfrlHY/AXz0ez+Z95EmxB5++l9U0hSJMshvVrsN2xNq7DbCKHH4vOfiPVeC5oMnIUllup74n
vTdROmUJNytbH/AEiq66Y1n297ftV3uezc7BdA4G2uw1nE4/3re0x1trLZIbgfSeVF5GPOAJ3QaV
utJF/FBaRX8/YfoO/8cQEntvqgviXhHIuvtxxHfsnS/0i5trI6txwdQ5gNTpVTMwU9lFrunrSshG
mtozzBia7d9f9fGiTl5l9lXhsR5B6V11Mk5VI45tw0YcpBxrH5x88IeqhI3Ovs5e+1tu9t8fo4Or
AjPZjmm76tQyl+q3OA71HKYwi87RKDN8bEX2e2cF1MHpFTlIJgAWlOMI+9QsnREI0zNzefCWUV4U
R+ymYHJtw+qqAlwiuqAJ8X2X1YJTOw4b9hPzaca2Val1NYeNPu9dvXwcmzT8JNNohNQ0W+g5I03v
7MEr39l6ju/iye1nE2dFa2kRH3Zq9K8GWTcQBgdHtsYNo071V1qdGjkmbFexROaZOZn23d8/8l+c
HT995skm1CMtwYKBcSbJdwrq3iAWaYy9rTXFhh9btUMBnffuGAg7X66QNBq3f/8FfrGwIX0kQ4UC
ggi48OcXbahB+9hVDi4KI3i/true4zh5Z7Ed2aW/3FptasGopimRS5/s6l2FjrHszQNFhcXw8FzJ
YZPOpv0oFqQsKPH6vvdxWtBjsFrEQvgtxPJWpaYRbQordxDlG6CY77zU303kT584Lxzsl0OwMhTX
zxe/Ckmx0qgDa1hvwraK70Sf5F9Bs+R2zdrkI4ATAjZmrEAmwGhA122B3faY8G+e92FUmAC1VUS7
PtjrVV6870z7iwMEA1SgA85DXiN9skDGFY1/55kHRu4Fat8KD4o8G8eLbuwATewZBqHtqmeUw9Vl
ywjOJ6vryXJOmg7yKqeW32K1J8/nuswuysKoH35/+WAdYHmsHK04536+g049dMhcGKBjGHvflR7D
Wkgw3jES/MW+6EppUhAoyDV9eohGi4jAcsYD/NlIbk2vmKU2U8dP1rBXuzKdi3dO7V8dPy5+HlwR
CxZG9PhUfji263WEcxDdYTaZn8WHBlA8S9Xn1pnkh6lF2Ocbi5o/Ty4pLRD2i7FXtjneYzwjfi+i
7vtGzYspeXk0YyaWe1LfZZhMWLFuD3lkONs1Gb6ZzOO/UzqceHj++SEUkNKzUI94py1GX0oLT/bu
ULSSREWd5ghnOqalwpgiDJOuc7zOsw2zGLkvp6VmUCiC3ceB0uvR1TBEti3b1nznKfzi8HCPdQxj
7JwSkE4/P4S2b10Efu1hiukbwM6f63V4m7T5NayYXF/Xfee+F2ArfrEdumx3Fgeih2/U94Xxw4PP
au0wwVYfrAnfEsxIGj9M0bkp4cFOKsF9wFp1WOTVnK+fjOO+aQ239sIUi6g+R8ca5LffL5eW7/j2
a5vq43SHgiIavb48eGvUnrPQS5RctvvOMf3Xi/ZgIDmHvlcE6qgn+HG1M1zeTm3VHIpZxo8QGN2D
QH//21fi2bShLC4NW6i+z5D/cGcrseRFY08HyMT2hRG97GK1s/qdK/nrbsmHaIXoV3qIGE8FBiWi
WcN2pkNvTvK+7tf+PFzXMgrS0S6K3z896FIsl7FRLodd6WR9oj9MJxUzA4k6f0For6LbeLaTj1Y3
M6NJLMZMHmxqPZphMZwbODcgmKvrZ3ug9cX0rFGB4Y5eCBs8MyEz9Qt+a53V1dPm79fQX7AL7rft
uCaGG5qD7K9biH2cWwwlEvMROPBIndhQNDiKYQeQlIHu7IT5edxDLN+ZQHN9ksIwDO4q+z037dOV
dvwmdA68Yh4wjmeerLTMmnPI3+VAyvsaUJdmQPGJ+c6D+cWHMDEBC6bYzgCxjjXXDyttgcE3+ohY
wpIbnTO/faOWMn3Hq/IvRwSXosWxC6accWgKTj4FDIqUT6854Ael8FxWpnuR4Oe6SzqG7NAJuHuk
h7dtOcYfSnsy3nqv8WC7HfP5nad7xFt+LGJOvsipFXbiRpEjq/6QqK675hgpPzRyGj6Y5nTNTKCz
JbUifqwEbuJL6V1AwJbbRc/izHUiidZdGtl7/tbHS/+7b3TyYsxoTdMWSy7AbLhGNtnXMO/y22nC
0yvMENL0QtnbLMMrX9TN7+5mx/shme3WYI5CAlb8/PgRBumBuayDWxwVkQ2wMxFwxTsbza8u8bjF
eNQG6KnMY8nywxoLVwXCvjaHaAETjx1V7jm9S9hEsdNFFT81c1Tv53ou9l2cvJfh8Zfj+niJFry/
C6gKsPAXr2EDZsDrm0PXaUxQ5knKq6Jb1nsdM6SrE9e+MuCwSl96Yu6DRheIqpbEit5s3M/cwMF7
wgIzrDAW+39YjDYCNNujUXYpV36+L1ZawoXnHf1M5F2uY0FZj+2hg3FMajyx2QmfyFP33CuZTHSY
wdpAihRbHaZ3VSaHK0S3zZd3vtJpW3e8WdQ0FqI3bdr87+evBBumK8fqD/24MF0rq7h7Fknn6gCl
Y2L5LNb+rGoWRkpn0CJseCoGizeqGVGWHoOCA6PGFCNY8Q6ziRgYhn2aMAGH7YQpxgtVNNnbO9/4
FGs+fmP2a3ZK9kjKn5OthdPErOaqICXoKJ23MuXEgTZXzSjS5GKQlGe9AdiB40sD3+gaN8M04b0o
Ke3Gd3riX+2lAB7cQc8mTuT0QG3zYY6csT4IJnBwOR9MJCcMJYzvrZvjlnC6ZSAy1IKDikrk1As2
11aZSoxjRtcqK183RfsVo5ZZbKNmNs7LpkJMAiG3NgEuSKJAg1rYByd3scPFPfS3QVWegKfQUAqp
qAL/8nXQp0Ry1d51pxfvKkJkdzuKOP7MhMx0//cP+xc32FP09jaQKk3U6e7txiGThbmBMaE7Mzhd
ONuZUe53TMmPu9HJ3QWDtCwHwSPUjDoeIT/sVi4VOtke+rpuB3UWkjG0YRLAus2y+phWR1Fw9vcX
9dfdEckoWlOU/0BZ+rTWK9dwxKKSaapEdk9mW/cqWPHiw3EP6xb0O2bUqkvAyQbnLDEtr+UY9sk7
9Sb7zelVHw09LOnxLimNJPakc6KbYp50qK9JUVnhQnFXjLYWochPc7t6T7bVT4+03vATmIf184tS
KKnRVTZ992EG0EJlGKmYPK0ixNSj8NwShjOMvYGBt2jN9lJUq/HJNDp3vVia3MR4zsJnAsMMburQ
2gPyp7WIxkA6/UzgZZ3dN6ndvEATkIZlm6Kog27V7VGXUSLE+l/cncmO5Ei6nV9F0Fos0EijkVxo
46SP4THPuSEyIjI4k8Z5eBs9i15Mn3dXX3UlpHvRCy2ugEKhEpWZHu5OGv/hnO9IfNPj1ild42Oo
hvx+hE+G/pMn5GePP+2mnubl01EdhgHkER2c2rRwD/OCrOIYl/ncXfdqnKddMzjl59LbkBh6RqRg
wexyeOikaKPAL+gzNmKwIuhkCJ2WYCXB6stFHgVaYhTGQ8NOH1ijRaAWq+E0O+ZZPb3ryoYKklpQ
C4I6z4smdEfb/iHs2EKDiPSWRe26erccqHUT8OIWbifTrIbTnPkDjIrZHg5k8TawV5MscX3kTqqU
NUonHMp7X/tCbycPCRHyhTb10s8+N6s56GKeHmHSSp4jNJ6QI+zcMxa8JK1X7kvMbf4mG8ckB7aE
pbyIEXGayriIDwbsRlJZznXkqWTdLORTz7toMPwZTMvoYdbA/rXxZdsPgIEj8V1lqYluzZ5mbPUr
5MRNH8WAyszLYbzx9IQdIfJa+MU2OFocZ6rJN30tLC9s/wZFkHlRO7D4uDWf+2zCGJ9JmT9Zo9MO
oT8iDIIwVVOBRxPt56ZBk4l8ETAH9Fj2YUhq/Li9B//A49JShXWvpsISN7KbXQ6/aARyVeIPKSBE
DkN7EHy57wBHYi8gMBiCGvLYCvABQfZwxXCGdhukUeIXIMiYNsiYf9SDVaynyqyZV8Qyaj9rhUvj
pgHsXQbovPoiyOO+BukT1x1sNgRHIFQyMDgoVZy7BZHlQ7w2XEGAk5puMzQaDWkEjM8P6tavkR2O
mqvax6wH97KDdLqZYNTNO0pPQYBfa4/gEDQDVhTVS8EAYRKLv43RJrZbMCnSPlvFkA2hrrP4p+yT
3tzFduU+1mqZn+zFUhAU0iwZd+zBiKafszl/wpzn8TQ08zQJ6F3HO6Lrx3vwoxaoCR73JblOvvWl
8lmLHYkd1rYE5HcFV0fv7QIhajGN3aGOgZWAbeCvCRo/Uptp0tmzchfEs9HQJk/Ab8QZaaxx1agY
T5HbQVHYkKY6qGNNZvNTjxv5diZSA6VzcmHCNgyPXnrTwwFp4YYrtsM6Sc4QlIdxqOU4D39/iv5L
sob/bIIFxnr/9Gy5+Cn+NENcDBv//b8+DD+rLyq+/22Q+Nsf+LtSwTb/4DEDpsLFL3rRHPBc+9Pu
4P3hsT2ijBKmZyMX4UX+1CkY4g806xcTBI93pl3817/5HQzrD343Qi227TR1FCP/kuFBur89CLEv
KkYDDJixTiCk+F2tUCONX3rffezzBMFA6hfcOnHkH2HZtC+W1SOa81VBQI9X31crIKJJOPOHSREd
jBlCPDcp8zDmuYLnfJzfCfGeHhc4KE9ObevdgIzniPYwQy8snqAxr89iipNgTrr4PiqG9UqiGN0m
i4FE3R7jZacafl1leX+0B+kGLpKps50mHsCGaARiXtAk7DIDAE+oEe9sm6Qf33KvWeQmSxLthmnl
Oj+cUlBCxHAIFdkfdndrMRm8yhoHtTLPyvKkoEoUm7ZRvbuZtYaciAvSLTD/+3mL+QFK6gIS7mBK
E008Ix0iN51e6vvSrlRyJDhjeOlg7iDKlYu8h6fk7vlRuusyYhgHwVHcSb24aJpAZtWLo49qTg0H
62QvUH9d+GxVFoe9Fid0WtU+stMbimjzKpMiLEFA3U3um28Pdz29+pIZiJObBpXZD5wc0z36yBMq
tQ+Uc2e76nCHXa11ii+if3bLC79yaJnuAAww20czib6MyB9PEB3edB2Vx0GP1i2g4UC6OQsru3ND
4nU+LHP2zl3fnPiobr1EPs5+o7cSWzYy7oUQhyT+yDJkU5BqPh0rA4HhuPNPs+y/lOryQKMgfZ+d
7j1t/ONkGaeyxb0NlLV44AzFh9DM9Vdlqke6qm+5Chb08pHjDKq12OZtu+siHDQ4bdtdY3UShK8t
oT2k/NUYtcBgQRk9LCWJSa0hH5Qun9pSNOcMPo5jIxYF3nloxoXPdBjCqc3X/ViyDriyhwyBa50+
gf2+gFAthPYbMZnWNppa87ue+L4gmlHzo6kzkhnJiCrgE4Ob2jsGBGiCNRu7z16wFy6n2VUBDFoM
Qm9Aa9XwZaQDtlY3jKv3xukHSHzsPSDFA7OqF6+zto1OsDvjJUxCnCE8KB2njbyNg/qQcxhe3qny
DbTps40Y/CyarPuJYr2668ZYbT17iI9OYoGobbVAqXuhxZE/UIUp2YsvwNwZX7CLZW3fE0Yz3Cwp
C0HH9e/cDOk+OIwDAsJXTE/b1i4fcN6FxP4+kqCOqXWRYW/pe8yP6c6B8w7CPO+uBhuPRyHTd3PJ
dpQnwwbcNBsw5Z867FFbYKGAJJPkoIf0bA95ufH6ldhMdK4541vcDBOK5ApEKFLXmzJvoVdQEwU5
zKoQuQ48qNEABuOu/EuuLqpj7cLN6W4bkWMSQUB1rsxZXnJmzwYTUnBCbQmaqwTEalToXssB4XQd
P5ZJ6h2rZbaeAMrG90iCiLulSd8g0Vp2vkvkBZTW4atI49cybY9G8c0IUzwV3tpsYVEaL5WS3VE0
/gEk+quupLUrSlrZ2SbsrsRcpLxhP818HgxSHVb4eg5GMrwAzXvrpqOcCdbeZDTaeQPgOlse5Bx5
O1FNYm8DE/wQ+G1JN59GFv+r9b7M/kOcV4fIQOzu6OyQVBjsy/y+TkCzMMMLkywkC6B/7MbFD5YS
ryxmXewdZYSRV4KM7LLPiI8uJIoAd1nkfCYjTLIGCGiSvMS6+5RQiT5yclAy+MiIv0ArNHiKSzzX
0BEDPv/bVA6wE5wHsox0YBojT3+4+bNn0glxO5p+fUjzYVNbfAcp8GxoMTDA2+JQVZFzk5EScMfb
aQkxhQNeOtCcMpFFB0NCmIJDTBDPEmNKmA5uLNyDTFJURWtYo4J491Nr4hunqXwirSc+daUg8D0F
MDWrlBUmBe0zku/XrJH73kzs0FbvBBiT9iA8WR20ldrRlsNWvoIO9O9sm9ApPQ2c6l78IVIyGhTs
iaVc1AbJaoN1/MJPSmMHEztsCTqskKPHSzZW7xhH7VNg2wAKrmxzNIefjC3KKymG/qOe1TRvZstx
PivLqCRaXzkh8E0BDSIZNhsyJhp3n4p0vKlpg7xrq67F85C7F5QaNKd9aTo3hZ8NNyUTLaCZbWTf
za3AWd+2IuTk9nexsbTHqXWyK4TLA/W2jcy49jv4BtWU7Cb8eIGRX/iEDjb9zIgvxkPfAT6bpoc1
d5b9zFbmVcco/sryBuX7ASczPqRDPcPBZ3cMSGMtLt54jkD6svE41nAFCvXNGqK5smfTxH5RKFLa
ZhxtaSONg9dP2Q6nUbRzeS+dP65XbdmIu86Yg1gBs0h5D+OsXvp5mviBUv2wdo65ibqf45qlu2jU
7rMxLNEORmkX9iYWyTrupkMmu2gbeY16ic28/mnYxfoUe266nenFr+lYsheMackR7h/LSjuNgXfX
yYnUXuPGwNF7b6Sefk8XjAckkkGJDPvFi465JMQFLpl66FujOpeYTF5YdVUfiVDrIxnzpNBCYgsr
2GdMPr3ojsF/EZKBhzdALOvn34q/f6nC/f9TuGtd1hT/d+Hu4/D1P//Hd5t+/lYL84f+rIW9P4ge
RKHkUbde1GyMvf9eC6PZleguEAj+XXz7b4WwZf3BfJzF+mVMYzLho0j+0/jLXuAPgj58ZCGmiTzk
8tf9C85fQb3712GMkqiaEAczmTd9xl2/L2UoNBzPGTlBUiVKK4xNOmvHKjoXlIrbD5S2Ui2MEqrO
PaMvXPMmsBu47psIVyD7WLEqeVbl0JSgoNoZUquUC5gmuyBRSOIq9u6nBrwFxvS1j6MHyJXteK4y
s6DHNrXfHtYSCFbuyDg+WZMWPak+1ZD4YarkND4qQiKicrNUlY2x1bBWCtyeqfDPQgh3sjZFCfHT
I1ISHkM1dOscOn67qB9ml/faJ6TZR2+ZZ7PnOJsVkfJ8y4RtZlPObCcigKAt8/55crVyqYck7DJi
RdfitqyJe9/nhANkj6ZlOPkDxkddfuClIcsjrpR574CL9U6qbjqctHPtVqEFZWHE+K+b+lCM7eg9
YWeoQdGlo1fnjBqmqvggt4ZHYO8RAiRDq4/q8pipdPSvx7onatkeVxeXMi5yJ1vDHliG6eABWqf4
RnjN4IF7bZd6AWnsG+tpmpte/7K9xIcn3491l/4skjpvQn8twY5BwxE0/RuHhDDrkCeUGvdaJFn7
gyI27W5SZXgGdYOejCN0n8z79oaOuYuAS9P9WnIXHjEVWp5KwibGyTYsWCmeKGIAWn1lN6gR5pQM
6l4BaThkMV/J92ziZqUfWWEcRLWo+dqakqndzHZJ+/FtBSbLU8FiZ4rHYz/ingG9zQ+b8kGkRAdf
fn9bdLdMs2v7ZvQrf30zBh9NaDDP6TBHR8y1cLHlLLrobbVQv74QPV3Xd25TbScMSvu1S5/YO8ir
fLJz6gP6qnjyp02fu2+SfJ8vUefRDH9ufKPO0GHEQPFvF+59kud1INUchwnCzXVT4rFoUVXEDJ/I
/ijusrh27VebMc3w3lh5MV05VttvwGwQiBV2KVnxG2/QcvBCdxgrAn06zNtPxVwTRpRBtdhl47re
A73RO75UEhoMtGbmhhwjLmNoXOR1ODk/zizQ1gQ+MRPvTWSL7Og7UJjA0vhTat7kMxXm3WT4URwF
saeMlvM+TaFFx5pMcogtDZiRTyVFRMqCAyDausFvVa+3hUWx+Ar1cnjPi4VCXVLLB8heS3tf4/La
cXNF7/xWa5/pwdabXloNi3FCFPDDFkmrTqbA3xjQZo39g6HXHAcM1karYL9aM86lqwYw/ZZeQFwf
C3LG6cvDde8dTVUazsHQxZReN6hVrO/W5KG4E8DEQONOTZZtga8wl1xnSMb9bdvpuj+sRlc+SFvS
qBDeEgENbYEJI2/pskAOXWtidXeJRpHuWJJPsRj1uzEmpBsRI6BhyA+cGjcasiueRIX3d/X5PBl5
G1jg/Tz3Dm6FQ2aHXNLAn3OhtftuXzP+8monsHyAuUE7GNk5XyASQLSELXAVrX25HnjiAglBcgNS
2tTgErfWVJdv+LywyMMVzK8Mkp3u6qU0ipB0BwWlXkug6IXtVG+DVa6/olqqK6HSNRjh8n3Vljdu
43pSDyUg2TVylgdyK6R9THnTeM6TyNgB6s73Jar6LVzT8VLpcnTygxjeZnXN+ug2qdijk5y2KTIC
ZmHA+99nH2/oJi2N9DOOJuO1kmN82/N3YirsAKwu9vLgVF6x15DW9000LGfCbMsnwFDTfVfltnWK
3O6bah3SdkSCBwDaVSP98esLo4gsZrMX1vcIGgtpJlgLlFgezMw1Jfmg9HrxhA1zpQGEbvZt9rb7
5hI/VAQwvPHxLRi92r7MitOgWIRGqee8SGrRdb9GgmE7jGWEqDCuz6wN3SQcLfD1iW+4WzXRP28F
BnaCRjp7/kWEznPfKkSpLrKKN1qy5ombHwutkEYE8BO94nFACfPlFaN/k3a4sj2nikO7spZroBbR
jymBEn0u6n7Cx1WAkPOsKbuFXere8zHPR6iZ+Y9OD/DxRE0FOXq8qU0Vm+CM4yrG+DVD3CATRwhN
8Q4adeI5z2wRREazd4mbeyC8QHEguslbZbrjdTxiTjQjIZ9U0rXveEgH/H4K7Au82Qct7W7bFLN5
GF3jtMBovkhQn0wCO24m6U/R7cIw+dBmiwhsXdJ3UV5jj8Myw6/7QwpW/OLfb5vDsFTmiUQL57kV
6YdsdHUSc3zGqIyDuZic/kVomDDswyQJxMMtGPbiSRMrGy5ibIOhXZNwriFljWl07msGTQ57lfuh
wC/nr5cqwCak7D2NOvdkWcp4YBSWhz1M61sTJVto5UZMOzS2+6Z0RwhrjvFdrAxhAr+5UOfg1Mj7
2YSXfNRLPW8YdisVdKRMgETL0nOxDt9xmt36UAIgf0fvkbDu3CnvHmXTGNssbeVrYyCesVMIpEV/
3YpmOGaJTi+REqX5HeUQJts2uZIts3DRyOQFjheQhrgLZwhxRz9mnQzs9tT49OulOXKw2JdAOqx+
Fp31OkVPM2iTHQ+9L+R5ZM8olzmZLoc9nPH6Sk/Vrqpwc4YjaDd91FZLCE6jzRGfen9bdXK+or7x
Dhyo/rlcM7qmMnZeqIAM9aOp2zH+mtWCBsAsquYhL0wbYD1qvxD/P4r+KIv6VxKMzYj9Ruo3oePV
XRmOrMC1BtoKBHDjORRqB8j1c/kgVnNy3wvsyx+JVyr8/AsMojQbqpD+wQwNLb51DM4RypRR/sp5
3N/Q2L+SnZG9l23C+Vw3a5C6JIkMURfTQekxPZDcLMLRTFfGTA67e/TSxEq6ZnNd4MAOUDDpneuz
H5qXOT+XevEgiIzGss0M29nXtj3gE02KeFdTZr7M8AwMOOaXYxtMIeOmQaS4Zd12WT5pVS+WzxEF
AJkVUbPHfNh8OnNlEWYBWmEVU/EDLAKc69aw/F3Wud02W6TeRlrfWhk8p6303CiQ2IFCgxHQsmmF
LM9sN/kh4kvW3rSenWhq4l1JnNUZ8+O88aul2kOpq3WgDFfsDDGNW+KlDAt8l1U0UOI5RZFmxdNu
Xq1h2432dLbZRQVk9mkJWjufvvwsrx6JeazePUwnb4sxSizDSf9A7gOAFGixzW6EsfPqtV1/GMdL
ouJQf62lax6w35OykZlsiEVVXteowHagXYqvcrLs/QCB5ABGS20aHzOGxT7xQmdPQkexquniLn0Y
iQkNusQQOwgi5bPleCuhL454TVz9TOgPEReNZ+7rbB1/WU6jg7lwfwEpzfcYvrsAOQnk9gTdMqTe
B4qDjkdoKkuY7r6Dya/x7iCAJ8dsdePrFskoldwc84Q1o+u87n6lhZMZAVe9HzLvbx5avkL71HXg
sliVla/SLknvwPO9H2HlfwBcUIdk8bjNOmZ/z51TFXvZwTyoJ9IwILIUjDNJQWMyoLEWG7Ph7vtZ
U49ikU5u5dQOaKszstsijBSMVXuCMXJaPPz5A8miBL1Y31XqDMdipaqg/zfdLWJh9l556rIJc4gb
JXuCHeHW0pM66hzlMEMgyNtMK+WRaWKbbSv4bh1zxzYyTp63wiQhumjYd31kPZNbmANeF5r+HwQd
/n2cFG+G1TrfjlqKD7zT03UKwyR0V9n+WCwiBlY8/HUAX1Uhweoq/RMTZ3kaSYEriHCTUOvsCCyI
0TbjfVm4SQLHcI2p4bq7wprkzVgCARZm7m9LpO4PrrAclJaCy7qrFiLuinoEOIzpn73bAGC8QIt1
UtZqMtA1Wy5Cu3UrN5z7bMivG7znwaDLjujL6ZLmRcQgZJgyd0JpFSxJ3WQ9Y19xzWuyeEA0V4tF
HBoLOfZ6ZmPT9XGxTjf+4OZP8zpxTBmXMAFAepl7SICCPhBKtByaOpfZaWxTNwp7R3bPk2btAE15
FgGkXqBAgyuYSnfoSubXoVuusZPCkhdGXiQU1SbpRsklRtArnDs7Go19E0vFiH4iQqLI6+HO49w9
yiXPznO5xh9uV3rdMTZjy92SqcCuQDqMq3OgtJBOiO8iY4e9JWCPol2vnBpu1cbuSM/0yWt4NzKP
qq9Q7VM8d9yFNYXiJmHd+S29vmTuF2VHg1PtNR6c9GPMRAoTPBvf8DpXt4P0iSVQqJYtG0T9Bv4X
4qB1iG89jnQZRFZNIohvX0pWIDvBQi9wa9TEzoGZcraZk8DP64Vt3mCMc2+IAiJ3lBpyy7Zefo5s
5+ugyhwTglcWtbfgPscjjiV5RrhfPVWg5BknxtTPWvZkN8261w8aO+iuqYriajF784cCKMQGKlJH
k4kSEKQGEqrUfUP0Ccstz26nezIDZA7nw1/6kCHhRfrgpNuhN+UeRt8lVaXxnwEK0f0b43SQEARe
Ze61O64I/cMxB/O4yCj/XCo3Ozep5536rp72Gs0+sJXKOTXKW0leMJlzChEd2a0tj0tkZL9Uj/R9
YTN01TBG3wygvj9ZaHQQa7sEqeecPwjORB426QB+g+7oPrGI8WvquftZ+9q/T0Eh7azZ77ZKeEdH
mcMZCHTMFsKB5YRczwyqqmge8YxGP/q+Ka8t3dJgT4z7E8Zrlz4tX24crmTDcg5FVCE+6aCIga9m
GPzDiVhHKUbLZ7AVYtvY9WO3UqmgpBD1zrezVO04vmHMNtmSgkSJ0pOIB5DeiCKJE57a4kWu3WQH
8cpD2a2KOkQpCXilS0px78dW91o1bqcCVS8TVftwCXRk0r7yJ2AA36M2rTUPV81uwa7wM2ZMS6ik
Ad1tGHKrA4Bmq9r0FrpJyJ0zRP62lm/D3E3PGsY/YvoZTybCLjJtBDHLkNGy2T+y3NH+1bI2afax
1q7vH7KGwn7yy9w+oqNo5p1JY9ftqY+/im50w8jspruxkjCtxsb7Nr1sfO/Swuyu5tUbsttaOMyP
PKr7y2ZzAeq+RB89i4nlqUQgHICyAaueN1P8ilhSn4BZqjsGHdG+SWdEJMBZTOdoE6PlBmYbL3Bn
W0duzNJJjaA0bRjPVrywRcqWtjqRkIRHcWr86VwNlQnanIlbvm9X2975bDTCtG6cLwi1zT7C1DFt
M2vkQej3JTZpNzLCHEHhL3WZvIKisrazDws66HC8wPwlAnPatoAq5FErFpHhTFIHeZ4tJGK2VAAS
eVoWcCZGI2anIcBGmLohjEuCUy9gRBzW2VkYjXiFeBl64ZyGrMyClF4ybMk8+TS7MqHTBagEMX9+
TGBXnSlJ7ZBhFKiz0sLik6XZvShI1rUmyLleW7nXgyHnR7ev8hveJq2XUebvirOe5Um8tHCQyjKH
M9lbV0a9xvt6VFHIMzUDHA2Vdrs6y3Ld9MAkSLHhWAnqLGVZVrfZgyLWEOFuBYsiWaRlBhft+p0i
96EL5qh2zGvhRowBEQMuNoXAbLungXRx8wEC98iQremX4orRBu8wTy34ROk8sG2jeDDsx1Z3dXxn
wBGlU+OyuiQ4WHki1S9ZrkP1McRl5uyIc2jgKONFJVG5Vc1av8CBUh74nRyX+caL8jl66yHftRBY
GxUZe6sck8FHv1Il8b7I3Ny562i/5RGsV97jQ5hoXfDQ+tFVYo3LuvUAoahfSe+4ZxhA3veU9Zn/
Y/bAjYOb6zmZtkD1VHseo9K9o1eQ2XPuT6rfkI2ZdkdZE3W7S0iB9K4jOtno3onsqN4V9AnTcZ04
JXcrdDk2rXHpfFV0xw3pHll24XkBvUvtqsywF7r0svNGZzL2w8WxIgGIzOX/w3Az7fsE7EBxIEKD
OANeu98pAICIM4exB19CVsFuKnnOPDSTe0kgymHJ7U1uJeeaRXrPjiPPF3lwYAslByZCpXtV4KYZ
9jZs7Axa17CK6MEgCs4PCQkyvNDjjcZ7xoLLeIz9ruzvFoPQ5I3t5cmyz2BVGjsAulV56DvLMO7g
SfrlnjwuctHJPrJqGNezis4FXF8KZBon81mZQnHmVtkA6qkFebjJEeGS2rUSrxquPamiwX8Da0uk
0OwCsVo7UDJx7qKeSjDsBrk/6ltnaYgNixaVGxtCqbyXCceDT1y3OZ+ZYmU/atMjVysVyxh2FOs7
Y1YyNIrCffCH2g0yzR1D4ZcwgXXdh6iel01szykJQCOQVeynZOncE8X2woxyYrIZ6wcmyKyCOjJI
C9THHeEBe5ebut0C0+oOQxyJ0ISu91CkZbXjOnvzVskqCf5KkIBhP3jkfr9XrM+PjIHVS0nGIhqt
PJk30siYgjBR2RVY4YK5r74aEqtmr+y3Y+u9cRF2G+xg3B19H21GhSKRJO56SxVGpmxSkVdq5haf
BL7EhLM1SIrktV2pQMYMYHRGelAw9QZIJklOWQMqb5/MnXFwx5ZeWFKSVb1/SeLad7artsQ5lYF2
Vt54CR0Z19WwZSgu7pyuiYJR5pL4+TkmtkGTknJ0OjSdm9QyCYonN54uXvpbjwTKnx2eucvWnZs/
Zw/lB24y2ub12q6shQv3yhi7+EAKX7mVRrIgiSgeOs/5mSIpxqPMmX8fe5HYj2acHxU7/mOyaOup
z5X+XtAT3nQ0aS38trK4K1aPh1lDjKGn6+GarIbmXZqs8cxLlgM1P2Amzcv9QPVHH+VUZKxxn13F
aTN/ExvG8tfpuNlhiMNY00J9gLs8j+tcvBRjH7+Omuhtug/3044y98MsUwaXfLpvbkchMuIveESf
kW7ELMgjEORjteyI4Ejqalui+uFCG/3AM+J2x1Uid6YG2FX7aEZ60ZgcbM0EvI0Y3QdjUPrQqfSX
zCt1TJvl1masCLrRfRYVTkAyLPXWachwlcNINOwcfaOZzY4iKT3AF14WwPLHfVJ+LdpWDJlBOEDb
fx2UTaYnfvcwmSjhjb6Jrka31XduOf+kzjeCqhgZfHAzbmonj+9S8qjBOjGUDV13uKcoIygPhbuO
fJ5Ic3ZXsL/ZULVM5IAm1Rv46LbaFlL0W53q5jHvU+KX02wuHtZ6uRfDGtHEDeZ2NSZ9LIfYIOK5
mpFjmiJEh0h+qp0/kgQPSrPxW3DRBhoDDJH655ibD2tvQ6RbnjFoHVQF71j29ZvhtvVVVqpDKsz4
wH71kGT29F6Jeb2GNXqK5nHdKhuMoUy03IMk76/Gua2B1XvzSTgMfSaK3SPqGJohzc3I+lvsfexq
NynxeDE4t1+NjxwTr4J1GQR70PkaNRxdu/1MW/ZXDaOukwsWIfCIrwZm2aBK9Yud2VCAZdLfj2zV
iBIDFz6qeAqsTr1xro7vg55OshijY5pDgEbCo8bt0EiX9UDWEc1Vn5aCAHnwWQUzRkRZjGKFM6Ez
He1b7F05mlwbggBtlaxOtHNEqwnul2lfEJt1ZUeRurEVl61e0/ng2+USrmPxqs2M52wbCRA9yCoZ
0oCz7v0KXzPa2qVsAeg61XMbq7e45crM034OEQtxpLvitbRWGfBlXdo4wic2abEwE0s7eNV0tK+i
EOhZSRcihYi+TapyT31Qbse0cs6yGgwiOGdjIy6gUT25GDqS+plouvxA6NDgBYJpHqqdzjopgKHM
XJr4FVgbxeA8dLvUxQK+EjANd1WV7yMLRIRSy8yni+dTZ2zb6CYz597uumnfY1tdN3YMujKAHPBF
d0r9YYHYIoqzSDgMNdcxR/tpYgKMuqI6D3nUvAhUSIEbM77Oopmb0muqgysIGtjYoLG2Zuwojvth
jzQ8pVfuexmyIVymbTWl56FUw4kRIRrUZAjmqujuFxRlV3yH1S/AakRq5hVdi0kUtRyG7jxlRf6U
1BQgkLtoDAKrmj4vE+JvuIpuWCOde7YWMw0HmitmKKyOwrJIJqLQbJj3izAmed1qrtijK50fM4Pk
I6ntNb7GqejabT/P5vWIFGKn2BuGiAY/Esvw13Aw2ijbRkQakF2aGyY8uIrw1v2EZBfBeNu/EpOo
r+pFdUHqJfqexXYFzIyQnvwyVEPmO0FcTVLjJ6MM6mkj39P9iGsLWvTzGmXLzsZvAKgz/fIWJw4Z
T92Lyr8n1RT1O3Wjgl2Xr2HWrHEIUohBdg7kQWbIHRH1AGFnxGyFJlK8NOvJ42QdEYEQVk1M7dTm
Gl1ikSHs0bqHDxEzEFZEHzgs0bYSgfI2kgJkKbtX5kGy243pwJBoJnSprxXQyaXV025ZLY6grLDG
nV6WZZeYJHNUEteo2RvVt7mkKaN3c7kClmTcclSr/bLwXKZ2NRBYqOTEXIK4eT069/8kLbj7uzHk
n0Hdv7loFRAZmCtI8iTuFyF/J8nA3Z8Mu0Lkk1sjmisK4QtYjlrd/Q9sP381v6CLtfHO4kgRF6LK
xWfzV19KNDmIjSIakdYmqv1UqtSarxZnFWb477+jv1rJMV+igIDMhOtYYKuCG/bbC3nLlGlccJip
ismF0+8SbsF6JXofa0rJkHz5bt3Ejp88iVg5/5GL6jfD3t9eH3uPDXnJxeCED+evrz81nk/l5afb
tDJksYmYyMqNkyJakAmOp51nuL5+QzuRjdfmUIg7c9VMHWTjRCHLdCMBC6pN/1r0Q+f83Sjz/0BT
A2aff36n4P2Fl/efiLRvXb6lf0dxk/5q25//5fyLwIK/6M8vf+wfpDwTQL7FLELCDgFdctF3/4OU
Z/9hmyixfQWyDczU5dr+U4Hu/4H23OeCB7/zpyTnT9kNohtLoGXHr4ivnProX0Ll/XYbcw97qHcc
agz4Ifx8v91d7dJXZbR6x4GdzM8Ft82yyfuh/xCsJ47/9NH8H06Mv97I8INw7l2c9zZAEQmv4TeP
ZSdE1jTNfGQ+Qr2PGWtjOr33L50W/3gRKAXQa1HUm7+9H0tbTU89QeIjgg7HSqetkTXLf/Ai/4u9
M9mR3Eiz7rv0ngJHI7mlkz5FeMxTxoaIyMg0zqNxfPo+LgldylBCCTXwL36gF7UoVEkeTieNZt+9
99yfXDQD8BHis42NStifPmQeLOyr5XTgG+O8Bqy7r01ruqV4Nv5FgvzzNXNYiRzbgD0GYwSAxKc1
CYvclMRTfcgwRlEVKWGd468lePPvfpo/PobgP0xV1F/r0xdSIEpBWjeHNFbWw5AQAiOXpX4R+Dv/
S/4aMOR6YfamXkI451fGZ0JLhiQ7LxMn/HKiBG5SvOmsXjA7yfmrDovVtL8gCv394uEoA8YEKY45
qjDPwYu/JBrNnl364Fp7mlnLjSIwS0q386J/vnQ/+1Y82uAKgMEQHP4UIMScMWEDt/ZjaucbZCuw
ihNTA1tjT8Qu4Fe/1E8/TvBGhK5m63i/f/xOBfZffYnxRsPFO6UtW8E0abora0hwiou8uvvnb/d7
+OTTj8YMlqSLxSXkpXi27P3lGq7QpAaKGffFMlWvNUfB92agyXfDsRkAsdNU9BDQ2pXfzILjQ2jG
VGaej1EQNqUnUeopC2VAUhXuF1rSFw58cmaOPKPC3GB2xf2cLNP6pS/bsg+aPmFUUef6+JYXqaPd
drNp8tl93xq/+Nk+P8IO9kcHNiXfzMR4pLNe//V7KZ+USNoOKHy9s3P9qTuVkH72IDDSf5mrPX8S
uyXWcjKmwP0+PVuxYPBXEAKopNIjzZIuxoVl/EaMkfyOWpv5Xy5Ov38eipdpAFFxiLb++M2KdjH6
Rnb7KsWezmxv2VGtNe0ZcuUP/3xz/P354puB+bO4813H+bxhmrM+E+Rz92B2VtS9WgsL6Oh/7DzY
EPy8EOYnH3JexrEY8trgpfDph4JrLJaMak1rdvEkuzSvpFNpbP/5m/zkbnAMrhcNIpYj7M9Lk2ml
mjG45X5U6OtkADlbSTkxmXLaX1CUfvpJfADmV11nUTp/3b88TwwvPUvjIJ55XXqZGUrb1nXVRMWU
WNf//J1+duHIO59xatzorLo/fhIVY+ZsaOV+MSn9JuHAMdhNhl+803/2dUwPbKVFj6RnfCZxpk7e
6r2b76eKkOdE8HiX4Kw8pNVg3/wvvg77E/a3nDwoKfvx6xCsxW63FHvNT5ddPVlp2NmoDv/8IZ8x
EDw7fBN0zzMXhB35JzKFoGPMJme0R1p6o6FwOTXu0JwmGqXvKibxHwYVFK//i49k1Mcu4jwl/8xu
Y/bqEFrO9hDLkw1dBtVWn4xyL6is2S8L1faBppX1L76naf/9m7IhtYDsoZngsTA/PVZMzOiP7Yod
CTrpRaOY9K99nWKe7HnYSNfkI0VtijQvWfVGfbH0LnunW4e2uMWqObezndWvUDCma9oA6LeMRd0d
xSw6TKxeBi+IJYi6C/5+ikyIHWxHWh28KMl7f6E4wad0pm0AJp1b5+0rJ3e74SYb6xGofEFf4h1m
QThiqsV5HlLtqWq6ScxSMVnOx+TNyYxKxwVtE/NGuhX2RrRmTMTQyL6njt9Sg7pwuSNMEfUDzoym
2ZJW19E38mmvr4qAUipie9ks9KJZYTUpe9e3XJKNa5TT0TJXtw0MNAgZ9SXObAMVN8Xq23tXNTmb
L1QfxBmzReq/qzmPv7e209u7OVfLS0FmUoVMTcAUUkAkv8FhqUgrDVTEIAq6+VbKM6EuxVx66dVk
wwMqD0cgO9U8iJCqh7bd+01L7qhpO7/byMTt+VncnOYG2S4s5W02LlOYox06pMTcJaNnl1Pxpvac
KUGSWe0XnDekHvN+LL8nmN6uOha14tx3FN+37RLrG5nGzZaRMBZ6CuSMD1uOhDqKXoxfdGk0awQ4
aT71hQJxVmE++tCWhlx+XPaoQkNSxhpIu6K9UAteDy4jNbyMRSsl9nIhTRnWvsrOJYVOUoQr1VDU
EomBjoJcvVMosvZhbUsds9DajQ8ZxvS7pIknLIxDxlZ6v7AhJeRvTlSHBpiHvcvRRVncLz1JrZWK
eOu0JpMWCaT5etd5c2FsVuF6u65pH4RGZQWtw7z5GhzpGAucSUzn8fqwS0hu0fTJE3fnGQb0Wwvr
+FF5ef604Ed6LWRp0HMwy2cOAHPO4D/L+4jNvoNLa6iwoAoF+4qWe/elXLx6QByXYCmGRXGoadxO
ozUpI4/Mban694Xw2RjOiVFQ34Sz/o1tmvPR01trIK5I+jPspm5KRsQ5D3rpYPgkFzkX34mRsbj1
RWG6YabK5A35qTYOY+PE6WOjIfydx3EI+JOCs8ugusvunam01EbjWImFBFNrvRlYWPpAUp6hb7yE
rBOjU32lFNwkdNWWC8ckWbVzOFBugKnI7rQduyIG38OYaE+Wi2cvjAdXwGmY28KEs6+WlTlE3Lwm
o5/yOOnDskMRxRJK9zsOLg8fl3GLT5Y60sTDbCoocKn3Yq5BFyxL4T0VbTk3QZXgJcLljFMjEmPu
Py2DTrsPRnET0wvm1WbjIKsoRshF+di4/FMBHj8ABhnDshmRKCm/5vOS3hfp6vTRMvG40wznlnQK
iNL+XiwYgrBOVmSH1xIhKLBip61Dn99CMtXxUI5HK2dBwZoef8V2LMkBIGlDtFB1Qbey6PEQFRjJ
y8AVCXK6XZvzV5w3at42KRLmplvMhVaZWHbM+hKnmJ7msbEdlF2gEw4JzlHR4whWzR2CBQ66CDrG
XMlJmL364z38/2A+8/9d9t9gA/sPE5hz5umHckTz/A/8T96JYL1gKnBG4sNI5H/5M/tv/MZuhSM8
AZvzrtzhYP3n5IXEk0m4hrEM+02TeSD/05+jF/+3M3WJvQdzSINgiPuvAk8cstmz/OdwRWQKyo4L
uskGIeTTG/Dp7Gh7bU64Vrz03TqIh6QdwWawxmeZ3l16VSndbzy7XZYggK7UZ77aatLMhd7Yqlw4
qiAqbbq1jrdCn/0cU16JF5B6J9tPVn/X2yvCTNxYljKvrLldKnOLlx1rVEa/qF3ACeFGJGTbDjS2
pBNvKS1Wos9OA2uzCPt4tsyrbCbH0TCNTyvqOpdar3mDtYLM6A7vmSfeZZxkS771oHf0ajt5Fu/y
vZt31hi2fQEGhPB/Qps9/mKb8faKkY2aFV+vdxC36olYLwh8uR2cpWA5XuU85XlAF5mL1UbDkxTR
22N2YYd62qdhcf4tjxpbB+cjqxwP35/TOdSWL0tqNEGc2FW6dc2+JKLJEF4P2mHGEllXnYG5Nqua
MVjtgf2UWxMEDRvuEEVkpVGntpZrG5w3gN23Wp+me950efPdwltHZnp1oPcH0K/d9j3DQgLST8oa
ehoTgarCFNNBl2kxDuN9JddLK3zZeg21avbseQcFeTz/Dk2xQnNLoZ4NF3hphjzSJkzAAZWKvO2Z
m9XPsaHOCSR8jgfKvAheA7ZnueyKor0Z2hGf/uzbwz0/mTM89pQ7WBfw+zBOBFk1WKeZ5p80bPMV
DJHZzvFFNkhcWhT9aWqby3U6W3OLdaSlmU6hbldUFW2vyvWLTQNkqIhydt/QXIcELAG2ElUdS72X
dZQY/B9B7leYZuLaosAWYwmidG7J4YgupD97xHdRxDIcMiypWE6hHOIbJleNvxi9xC/JRMCSmUek
C4+LWYEqqgiHr3xhg31NE7hjtfpodKXthlqv3CbycgsDfLHicpvDShpYWLC3tlRjlUUsYeXXKJRY
Hxtz8K5Fk1O2vKGy3CIwTUHxx4SVZNq5ogIhfxihZlhvcspb60VvaqJT2HG0hlmGj7+MjVzdr1a2
G/MpnrCfdrUZDETdaAaVjWWGg0yt68onGh91q1fLjZFJ/ih6sdlY1baDy8FM46Ij+ew3yw4CkUOQ
Ho7RzWA4/Yc9dLx31sxbVMAZMMZBaDU6dXiLSFVgsPu64amdn7hzuYyT3ld4FhYqJjeaNxE+Aj+F
9paAAIZlxJAFeWLp/e25o++Lb01tHwHuiXeTNpaouchjrxWC1L0LhPD17Ll/YjNZdgFureqy6NhL
7M8kpOlySJLBDXpS3WADiGVOYTKIGbHPzrjZiqZgluV0qDKBXyprDVuYuOnRhViDuDiJ+mA7BdEI
pc/jnVf63QspA6BCzZJMBvuhhb8aKjC3CpVD45fWZpkJXMhA0x6H7VJfdqtGSQmtz97rnJzfvEFv
W/F8rSh4oeynkYyHoDqVlLMVGJ4QkkUqyElP2WKF7BUddV8zPi1ObMPOs+tprUt/I5vKIc1GRxOh
zyCvy2zqN+g+7vqsco4xNG76lA8C8prQUHkAlxXQTscA1z5R2VWZBqZvTKshRNQ23Yxr48id6fds
crhLc10fQ+qRje4wcznKEAOVhWwDC0NcaFKz1SGvnbY/UXvmaRc8t4l7nHD+eW04+UQ3YLrWutho
pt5560Z5Y4VZnQx4Lb8Si03G19kHNB44EykK8t+1QUSKxi9zScKi6SigC0yNUSrtMrbbGO+M77w1
P1TE081S4BTCTUI9FMOZx1XvgQ3IssOdKl37cSKdVlxK+GDWzhRj1+0a6H1YJl9MehOqjU+41lrK
TWKsS6LfC8m7wrMvTDJx64bSRPWc9XmuXY6D2Qx3FTnd5pAkfUxJOQ9MAg9itLD0seMvw9lK6Xuy
airj+PUhH20LSetIhP1At+5k2VPjhOSlbjGwO+yj6DKAHF1q2bzzl4b2uDabyqt4bIFngYI03wiN
J922jCkPDUw9KSlyQxHmwqG581Cdb8l0yidQC52Fls7HDOWVg3NFw+ggcMNprZWXsEOK/GokLMwL
tafeYwggvJnXqi/iZddqRYnP6DyeBF6dxAHhw2k58FYgdUPerP3WC9G8iGpd4Vv4mXsaSQ+eJO+n
862h68cSC10Bd033MwgB8Xqu5O5X/ZCKnjdozbvXDNlvSxIpWi0ktrxCFBhNm3FJtkD4xjeyQc2H
9GkzPmmdSSMc3onmDJn20bpNRusGJquJ01Ihe6xstJHqx2mh8x77KC+AmoFsH0PEsDS2wG1b+/i1
fXRTSus9h6k0TIiL1GqXFKOjM70iNOHqmzvintu4ajrS0bnLxjgZ6YTfJF7DvHYxcZHYriTusIA0
pduU23Xvcf5vMMVnwEFqCofn7ZLw3/acNPSLcyCFTAxGFIJ1NV6HPY0bar0TbZ+QaiSmviNlKOoj
9xakIIpGBVvqbhL3nt42+DVmPfkQcdF6G21Qy9HE5uyFTWd69dZqmrG7Gqq4O+Lmu8MfDoraL6fi
yvdHj0Y5baneyqFvHiatF1404ykFxCbw8lonXFjcbqmsDNw6ItGSsOnTWNvHvWle28LGNtK34DSu
iyRfkV4Up1tCNzK5ZVGxvlg1PW1723bSbw4/ONe2zCzzZVQQPB6xt/vDThMZfLxO8xPz6I32qO8q
d+RYXyl3ZTnyyzN2Dd2WLmZRto12OzuNpT7SCrfltAGIhFFu0v31FHep+Z7Aib1vLViy2L4N/Ws8
J+gZKTY/Xjx1Ww7RUuTuHbYbzjoAddzzOzDpHsRk6B8dLg7sComkYY8g4PqV6ieDFRfUdQbKpMAd
lpC3eMtnRlNMNBJyhGeW/4VOZoUfu19g/GlsaKbIZOZ8cEouRCAqG+4S/t/xlEijT/jdGv2xg6w0
BW6NtTaQmWLbiL/MSPE7S2gkFXA7VmZV8Mdnxtq+AydyVRDriXrzjVodRWfRi0cx5J2RCMLA7kIo
gwWvHk9pDYQAJ6Zix2X7UlRRii1eEfco/UOf6eX30XGSy95V8XfyefrLwE6w2S0j6S6sxhgrunSd
2oAUDD0HSqMwchpGgdUGweYJp0j/PXH8On5uu8yiPUBvyjnyqZM1v8wFdt0HHBm5WzGLGSp3Z6Yd
5gOt4Ohg/WIwd55i/ngicCmIEmf+uYlgBVHhh/GwP7b4xvlSQdKaNTEzrymKqDb0/pbJkaKnuB07
499+JjB3DiEo0+hYOun3Hz8THcEZvR7fjGvksFesxtutOU6iJYZQTs13H/3lgPYTHZhD14/fkc9D
fIG6ef5ANMEfP8/R5oz3gwHocJG3glcvQS8Cawa44ggo97kW2BhDc6hoOGG7+K/G4mdMBVIdyi38
trMU/TsH/S8DeKKINBEYORvpWuiRj0+Z6vfq45+/4t8OdgiCcGE5d6JcOJxBf/yKmWoqsKIFStho
i02ziBYeFYPniBbQGifB/5x3f3I5f/5Z9FciEJuA6T4NxmMDumOX1iIY2H+FCnv9czv5+uXQZUP/
C23pUxnK+er5aD46QVemx8i45z/mL1dPM9ppLeZGcLxh9RGLW7GFLfV13+Gl35SqmKKGDXjYzll7
dEvLe9dQFaPEatl7NpJ1YfLs5xnX91vDVPC4osj+Sp3/Ufj4829EZ8PBc0aXfMZLj1JaJP+5+Fnt
1dEwpsWeMV68/f2y/9/E5b9QPv5yB/6NtvjwtqR52qvPY5fzP/XH2MV1fuOIi+ZusJT9KVL/MXYR
7m+813kuPJuAGNkWfrs/xy72GbnI2YYCAuM8qvH+M3axxG94N41zKwSiBVY78W84M7/XYfxnjUWG
xYUAtQb2C2qfx5Djx3vYKhNjkdQC7EhYTzJw80UdIHkXl23VWGR/CNttdE4TUcZhAtu5Yj9BZiGy
p9gPqfI2H+khniPp9lnkz2VzQFiQ4rJR+UiOhbTtyzKY2TP/n+na1eS6X0Wrf8mAv7xLNuWBwQab
ho4zw0lOHd30svjFCmsaLlfrL4ssXxL/i2XYAvsDQqP9eQXi2KLT5Dwb5HCQ52CZN49cXHe4ILUQ
k8DV1yqK8Z4soYiFGomCxBeLAPs/r0vxte88RviDbt0O3jrtPHJGTxxP5b3ue/0ADW6y2NY62Odt
M6XRovbNPSng8dZjc1MFA3w9fNx08NC8s87jjeHN4j2OJ9BqRdqMGznHl423lsEQV1wQE+R/mXTv
7L3Ufi6ltWVg5r3xWiAgyhvBMLYc1YkqonSqcJjLKTv6CDCrA6hkAyuo+jbbXvpd1ewwD4oZfrdb
JkldeG8O5S1O7I54h19cNlMsT4bG2apS47loLDeba2JznA2KgRg3HJzmPocED/vQoL+7ziv/BRGn
ityCnKHXGz410EoC+JOOPUjAWflohAx9AW5NY/9iF5OZbfNibfoNi05fAuTQqUWez2TDKSvLp6VD
+mJy7FMPDSuAXU7pnTwsFge3x/A6YhXbS2gOIW8vtWF11PZ5nWc3iwcMMWYKsS11PfsOaliLQBPF
V3DxOyuwpTlc0llunkzaTkOavObTGbfzQJcmlA7itfs8zvMbYrzpWReqtoQXcdwDhf+iQDPrwTKP
5ceczwWkDw4Iiz7Yp3GU43bJrPaJoZmxtZxRPioo/WGTrtIkREb4bjYyfZvajpcHOfLLhy8m5zq2
O2b3qxw3jUZZcICPmsiaNkBzZrh51CzXvKIWqt4tRTyH3mCqbdqk/ZvymJ4P3ZWvE1yx7XVTlVO9
r6y5P6A4treqMZnCGGgWYHA2TtHID1Yi7QjkHSzManCcqnR1UWmlvU0aSzvQbWw8MdPtA2ioalen
xrjJCr18zW2F+Oguy/cytaiitnPEhIagAFaGdBnIYNvMB0noXKKzeRAia335wh5sZUbo8SIjR05W
03IU8H0rLrdlhX+qX5fDaptf8TbFl51s6pAn4b1ldUJyQKezLCqb7fHs49eWGwfi0TfLUycOUBtl
+HXkjDNqVaxFTi/baznmUYPahbA2ZDeTZ+ShoFzsogV5jwO12yVJfFTSuGt69JK0XD9EbR+AEkWI
SsNlRiRqW5VMJ1H2/JydvrG04/NkGsfYN792BQdRKOvfNOOeM8jV6npEthsE3jG5nYv0CQzPQye6
Y5xaD2z67/O0vDOTdp8NDg22ZehlcP6H9GQB+oEXzzQC+TooFQ9TXrmsa90D6Ik3quGfOpdJAAWC
ACMAv+TSIAPwuPhOiJr7nlj2Q5Kbr5Ag1IlAQH1NtXq8SR1l3fRm9rEkMpUBRvGrRmmAb8RxJBNs
9MaeVFmwdt9Koo9BYWvHhj4MxpYgpte+24iifyBtH7EibawYZid+7SSwG++S/jayHln3YC/FZe3b
gaXPEad0+OTOXofK3KVGwEVNmEokyoqo7PpaCJHhHxPqNFhJcijqMt9jeniAzO8cOw5we5Vk7Vcr
0aoQp3++nQ2HXNFybZxzIFnifdN8S9uLzjlm0/RAWNmO8D/W94YzRmZVyGdzBpXUE8Nh40zIIDmO
5cpA9XmqldoJY4hqxjwUfjOWozR8JcTM3Ag5Xm6op/8Gnf0uK62GsQfLuxJXy1R0dIFJzurlIwLI
Q+JdJWnykFl2ysJXfcQ5//65NdugMeOTQqSylaFtsmG6c5mfgz7coe+dsSTehrnBkTLUcEj017XW
r8+ufbfpgsUbLydFNQEDiTFa0uaWHzecO2/PIKjZkpFLIuaBd0x5w0x30bHrPjJFEtWa6gPqdg+a
DX+pcyLcznjjvXbj+gyEIQNcmaxU8AdvKVkY4KUAfjBJwKJ0v8hUvGCrP9k+v1XaWc+Z8qLUr24R
pq/zzrg1Bj8LyfoeO/yFga75l5nGKRUpvwZ+wpgQExr6dXqdWdo1D/U9Wekgdfm3SXHOE/gHAw84
1fHYALwZasVqlpEanWsOSrTIA/KYxvGy0YYvAFauYg/kbCzflJVupmWeNxQAuDtCERer12sAMfqd
qTsng05UbldxJ4fhooibq2r1NkOmPTnMZI2JIRUdBOCFxtucl4UwAC7o7hL1AM4DWVsH0B5kA1ZQ
LI0ZGm4RFLGKqnneK+fRJA2wKYgbnROsfkQmldSA9OO9MjqIA86JPXu2s5tvPF9Ac5hlw0qd3YtY
DdXGIY0fJSzwlz6C+mXbevku13sm1bWpVzdVreaH1RPaEVbrXeGsEPFL6AgK6ZiJtrWEzPYl9/rE
TaOVPrc1pZ0EhVh4lLfPVvLqfS1i8Eq6dQQOuexGJPGgH5ZIWW+gLTJsgmNMaFBjiuPDbG7TOL9I
Pe3kykXjfmFuRs1AtR3zVt5r8Kc7xPZ5fRvdgXRk+WQocb1apfU0u0yJIaZ4j17db3Kv2I6TG2C3
P3rAR4oCgqyfAZqGdlpm88mzLlX75CEcBCO2DXiy6U2pnx9lhv/1cmXLIpwq48nV3Ed7oVdkhKLr
29kXs6SXiOa7fOuQ0wtcaD3Xqqipt7b6V1d0NytYlaBams0Co0yuvIhW2pQM9eS1sc/9l72BL2Kx
Mr2t6puP1jjT4l1kIEJpMGMdVA23sT/Gyn2sl8IOGqchK9oU7yjc5ME1FaYlQaNezYdV6yT3Ucu2
Shb3gzQPhAH3VZve9HlDSjt5LPr0ItYIRrlUqCYVzRVOcVV194Pe74FZhTMDBxnPQZFUD0s7YH2p
z2U2lr9LJvCfTtLy+mqPaN+IaLHzyF/85TzVBUp7ILq4zSdFMJyxywx/j2H/ccnV9yxuTvQPHbFp
7fzO/zJnwKM0ja/lcdZ3nF0s1Z1VFzhAJ2rOoCK9Jh5J0toeAfFq7lG6y4UxMF+EHhg0iht+0YgM
Uxmxb5NYMGVGYYAws+JdkGUa+jXcgNmtLvs57kJXY2JN3tcO7OmQzkkbAaO9zDzCTSMLl2iBjwt2
+AEokxvTrt47XfFroR/uJBUooZa1AhljtiI138uuMjfmFDd8oNiC1LsgkbRJB2E+ScfFKTWkd9mo
xjD1pmavx5K/GobH2E8e4sW4H3UTHh1+161dAgAYVlRHJgOE3Y3skRlUFYqi2w6DEU0Ok5AeCI0H
J5yeBtgumiexyveGuUdhoPWBPXYE2/oFo90uKYqjVlQkRNiJTSwkwaDcV78rM9QMOnQXi9KNxkfp
YFcRjiJtt1hGucipfM/jxoGzfWZcGmbkt62+oWzoqR+KWwrxTgRl4Ka7LdzKWHDt2/jb3DihVi63
qMVd0HQYMgst28Jc4QLPLIVZ6LAkJUv1UvYpMHSLfTf31oXhLP0TXCm5J2l/iFPCoUgPhEw9O0hq
fCpr8t3ws2Qjq+4p14abxjWfbNvbo3RvsFewctAVos43pWBE1SYTw0ffvaYojgloAn2ZuGiAc/Ck
4VLdWmXzSv+lHpC9AA3YweyuC/S0DMhGUJf2sJEMArmTu9tVpU+ZSvY66zNwCkhRhPdUyVrrPrcx
jGG/HK1dYs7QnWt938/5I9DsdGM1c5SX3KjGop4ERkEbqFkr1n3hjs9CkugrnRtz8PdpOz/S8sd7
XNvVyvlYxIWUfbYdezgj47TSfzUzjNe/tb03hjLBJ6TLCzPGctezuwGdebFaLowHOBFh2457C6T3
G0iCyO34GxBHoFN1y2vV0jk5Zesbf+ubN8kXu9cp7Uh0nmW7BPWiwWOpxnevLG6tJbnsesRLjSUz
JJXG3Hh2CCcancW1cc30qK04fzx5ULZxmeo6pPx215cz1HG92titfMCVm+waJ52R3EDMd4S5J3s5
UcDcBBS1QAnifZ4DcxQli6u0w966Y/h67FwRngmDWxo8EjsSoC8DvRMs9NkDdpxhk+VZuDrWd0P3
AwMaezbjEDKXB00XS9S6amfV6VNndXdF3rKdZ8kdVB4ODEYDG5F7YmK4w0SWPBSW1KsQ6pmlQsC3
9Z6MQ8f0PRk4J5beC+iMnlTykO8KT03bejT9A2wMcduy24662UW3gBk6H/DbVwed1rStmaZyp5CJ
vzXKMZ+BsiNOGpO77qta7l2Y9KwhFH5k82wQtdbj66wHSsLmpcUiBN5dOya2Dy0GT8SL7owov+wu
KkhzTZzecJCigK+aWw6vfTLKDQMyl1JTz7EexFhyihsLDpT+bFiA0caYNSM1ioDNQvd9EsP5GJFM
1vlYbqBXaW00NY0xb52Wpuq5G4uPeorri7FOtb0GyjvKx2w6TGod9u2qtCt3ENQuzZgvwUQRimZ4
Ym1jl0rKoG4r8ZJCg6TXACEEmWCqmYTo3rbye3e7uF774bDWX9Y6poxA8834EcDQ+NVc4fV7KAEv
uPBFOBWrn0OSW8g2m/qYbxIXl5o7GdUeZSa+z1TtbVNfs/a4JZMPc14V/k63A6NgaVPp7VOC7Sxo
PppQW9bzdyoztOsyxpqGh/I4o4lGtV+Vu8Vul47lrhMfMXaxG7YTg7/p6sS+ktqacl6Ze+c4kx2O
EsGemMy+tWkNofaKmfXT1GrGW21x8ee0/LZWvnu/YsaIYF12MP5neaUs64A89OSlOt4vleo7QEyN
tmm92oysOqlPmj/Nu47QMAeretxl/blPwdD8/eRoQPGHWmj3Sma04qBMTRuDMyWQBwhAR4AjZrKL
Ec4eU99Lvk3rOL5mYrZIToH07UrMg47daqd1KLWTHg+8CuNJHRNUlK30V2Q9zva7eUySNww4Osqh
WNivka5296Pn5jd57xLIr53+wh8kot2UOIducgAFGM28n7w4Dnhu6udWltOb6NVzP3Pf19OF5Ai1
qzoLN+QgRfqu0+UnOSn5Sc4haUATsvUYan7ewWkGgM6AxB6yr2TJsgsbUBQuTIDNgY7rKsxMF/aD
lcU38I/WDfOGhkaNsT21tgDVwDmfP3t+yEix7vDqtFtXArPrhXPVWhzhMLAweTbnK1UNoExzbXL3
4NXVBWC6erv2/fqu2ZBODdtIXmri7TveMMVtO0qAsqZjHYRkY89/zLs+NspTO1D9FyDoJo8+y8e+
WyBwBQoLLwgskdDduvQuRy7XuZrz6UwZie2ScgYGZYnTpRs6MsegdlPzW4kL5QsnB+9jkM2yXeIp
vqwbG7cKZobnfDHlQzy5c1jnjnuNpQtXNICXCAWwp+uDos3V7AowZ7PRsq+R+RG7V3qt0xRyyTmz
33bdnD3bFP7eQJMrr13pyE1KDfq1XbvTbd5P42XirutrbvCmE8ng3CaGt+zM3Fgu7NEfrv16WZG+
dZudsVeJEEIuxJYkpxLKdIr0RFgYLRCMcvWBhMoWkj3rJR3o1Y3jw+OEbGo+tgZbucRUzYWxdMuD
7va8ZTjg9YD6KqlhmdAgFTrUOazwN+n56scLDinpwQdvfc05ownNQgPU4YAX9lbdfEAyKfZJDIoG
xgNkrBn9fFi8IRyzFtuP0o3mTRsBePIq1aOefFkooc6xLVDU445xvAH4Uj4DpF8vSqO2IvAJ8YVr
qutmKu9F66Y7Pwag6XpsKsyU4U03lPb96va0rzkJg1DfcTgQ15KPkKt6SVbEWupb04uurtRjM+v2
8VwSEGVjldyvg5dFvSnYQHrwyV0fXhYDSjp2qJbw28CvfVquzMVxb4DVtJS81tToQGF8gQVOo0uV
1aCReC63dUJiPC3VoNFjsNDqYbac/4oBLttJd+tyQzxaXtDi0etb6FKaOi01pXGY45cxRavP2j7U
0V4fyq7OH/EgUX6y+H5x3YLanuHjno+AFg+k6VbMrQcOfhzcbQ6iHhCQh7Kh6Xd08VwlmT1euEXi
XBfsTnDQ8SeSujb6PsAMjd+nq9uw63P2P2Je2siN6+JI4LL5aqDzHqyk+N0TW1+TM+SloHUbDPL5
VZU76q5coDN4Sg03VQ6HF9m3MU9dXTjbQWRf0gLl+QJwS3yfj8CjVKr6F6wg1lctJdJed+lyoF1S
vc95GX+dSHm+D6lu3jcg644YggCmsfCBq/Y0Hw6FYCzb/Dd7Z7IkqZJl218pqTkpgAIKg5oYYH3j
vXv4BHEPj6BT+p6vf8vy1SRz8ErevKZ582ZkmGGKnn32XnvbqHR+k16RjjC1OZGROlgf4yl3L4M1
MFOmzXSv9nE87dOlzeyryxL1HRmomGGGk2s/ejGWoiXtI2Y9DOnwLZX3ogocS/0su/QBno+HoiRj
xwxa2XDcjcvA5KamMiIcisOFJqeO0jo7jSFyois/u+Y84dJa7IckM90Xlg9cAhoxUOgypOYW/iPS
C9RGiJ6o2NkeAKv3RomcDHsljO2KLo4Va2hmDgxMEMfVLmH4QQKmhQYWA9U8IzrNacL8CLNCzb5a
ymlndsL6jKio/2Vp47Dj0y6P0B5s06/HCI40J23xExtDd5hLI7rRama9aVxQblTJxQZtp/xIMdS5
hw74FvTAuhavHatqtfWo/HypleHspiRtKshgGX1PGT1LKjP8hqaInVEaFnxc9rKbpbbb50apMWRz
BPIGG/hya9dau6SlM/+mXs1ErlqrZ5CllRuoOTavQ11OD/FCH0A5SZqIiDJVPmvxFti0RxnNhh7B
5KXRPO2g62qARtFrhwWYJlAiVNQPNxt+YrpcKt65HqLxkoW0Zztn0Kl4+MYA99VDFMf1Xov1NYRK
zjhh1N2OcGA809fCBRp0RDREgM6dWp6sGRQu4kranmkqBLoyUE44aQZQZ54JTEINPBU9Q/jhBPuJ
hxolujLERdhz+9LVTf2Kvx3FKNGm9bj2qHBUCaRaaOSIWC7YK2PTD9Z6g/cm0daS0dyWU7XuWpOu
D8/iflW2NhfbFYLxiCb8ylAHKgf32IkBs92aZV8/T55mHGfVYGQbWeQ+oppVR1GLxR9zkL+t1zHQ
QBhhnkvKxTdwo+6UQJKkhUc+x1UUc+eHxf5SV8J5byvN2Q38nd7syS73/TTT5bIMVMOg+H5Fa6LR
TTrZsrjYSUFp91RmH9SFlCFIjzZIFJunDcgL737BcKE+cYaQzUkHcycQuuc3aEjOjRHDKC+LaZsi
iNZlzcO1juZtMXHq3Ky0rW6uXuNVFHmJMcXVqvZXV9nZb+QqxShfJskprbv+zcw093FQMZJwV5e/
IaKWfwuzq7dcRYbXqaBASCnP+kUcBLO/zCv1jCGp2s+ikIeGbI7HY5Frl9KM1a3DZXONrEo7dHY2
+Cq1khvWPnFuBkI5rU5KCiZyfUNl4snqPfMrdTOz3CnAcjTcWHYf5vE4viKLdTRHpXAtY0yzvrtU
Vsh8WGxjbUgOVPIYp5w7zyvPx09XOlwMUJd2WL76f3oVX9ZuRHyZLY3+M46aJDBWwaOgiqR8dD22
DTqCZQA/iG8YanOI9l/+sDxodhMmmZlVibGE2qDx2+mawdM3VjsVZ1Ui1kdyeCQnzXrAntRLn9R6
aJWeeWQb2C2b3hUqlKQ7X5N8kFsOu3ZH7r0JUmimXWD3cfxtTzgwQzPl9WCMTTg4qEZV07e/+V4F
I1nd/5GTCSSv1/QHx5tXiLDS3EJUNQO5OMOlnHSGJ0t2EDd0ZXNXoy+C20z7EME4fsj09cVLvZcW
4s1TIesitDWnn/H96hC1Zn5U27iy11fKlgF0JxJQJh7kouVuPVkQkUx4NYd1ZRGqdUYUwEmvn1pe
fhRSyjZQblx+FqnbfXLITGcqRtaLTrHeKWGuOUOXX19jU9A9IJ36k+Ix88Mmd+lPrP6+VVYZL9A3
f6h7vYNbkojgiOrPpsXqbKM3Qo2UaLFTGsZiPBlWVNzGDBvyMsT7VcB4Mlv+v94JsYSkx645IETP
D07pAqK/955w22pSiN1Jm90J0c15dWb1kNmUV2VWUZ8KXdYTO4GyD3mN1b+10hlfOYUQOxhRd4xW
3K7M9bQYbhVgXy+R/8QPXQuUDI6FmbAUyQXuvZYozV7wLto69LLnOLVV9aa1lvHHkQiJZsWCbo7U
smW8nS7tuo4wraMW7xuW3Lk1T0pmLY+J8y6sVu41MYotPV9kvKcG62KTWjCShKb1PsnY4jp0bB3M
SruqtHF+x47+lbuUZ3kVuldLtsku9H5H41YbMHKxWs897kpd8l7lA82ZbrxYfqXNrJwcvmwk7wU9
aOXS5dZCD9LGfcM9mQVxvoKl7DNf0h8n9Aqw8lReJmUEyP7a09i14jTm6HGMv9MGnzrz+2Dc6q5e
3suMNQoATfwBLn9tya40yBsAQ+XQ7uTdpTib8YFwBVqlJ1YmUUIUVIeZsniNo/a1UUA1MmvRD1wy
jouYP7URnDIBqV57jDP3prL6ihk6RLM9i0r/jMry5Db0scGDmw3vKZvLx2xqL2u2FnwUQu3xyj7G
QyvfDBql/IQ+ZJIL1BJqrXPIuHk6G32a9Xeune0G5iZyT/80OQ3du3DEgJHPLwwbjPWq2jkTN2qy
FMXvFbn5uGKmzjem045knrkKfqfz5MIwiD3pa3NakSWxse9XXHzrLVoYHXx0SVA03tXvE0ffbk3s
2l9TV7x7KQTLOFkhSHjlXWqqp6eenzS228Fm+SmERMymtSLedEv2AoOWKpQii+AiO+DYvHkqDj2Z
jhBWSfHJbpuZGk7UthE2u5/BYfE+W1fc5moHrrXee8xtw6YU5l+a4fhL6FVEuGHVKI0TODvxJqpH
fBnWlZEUsbf1wKhDeFyvI2fhjn6sIy+s8T2jZIaMZUe/Lja7W89kfqCPFW9g4xhb0ogsDHsAs7Re
6MguG3PgJ0abEWy5ruQlBSqwfoyre7cXuaJ40zZtzodUsVMjrQ6LMlvDmZD2EDj3taxvxFOPvKz3
7avrCjzglAmfFtEtZ6ZFK6RuAIgyozJc8WQaPjzWhj95hYnaX5q4/9QXu3pSkZhZFRmDL9ZiOSEF
l3pgw4o+FCR/bH4WSXnRNTxbPmTiM6/q6VVpXXvuumr4crShQ+PjluH5ttF3P03dz4C1nOQ9rUrw
uPe2oI1HmeHBY8e8K3VrFJsOC0ZM30ItuILpAAVLvDCFP04QnTdrqtRAfydVNJsILvAz2tv4OpQj
9E4PCp4IO8srzwux9CqM+9mMjk0sNBKoq9UWW9b391oadrDPCrf70V0lvQ/ulLPrz7WDtuQDW6XZ
eGJl2CAnlOuOOymMVMfUqOK14uIY6SlpjEUY/S3K7YypajHTML8jOO1EEjdhF0laQSuT6k2tTr4d
Kw5irLnlI2REwyZOSULHBFt64cJoHRCutQRGGzkDBjpyK/dKmNbbFmpyQtTbClMQSSpLeUSUnN6V
R72WL0q5CFR2EmfXlrn0lIJD3EYadCyH6TYlKsoLVtd3TpTLvxQypA+rsidWu20tbmLgB+iPQht4
Hh11kpAq2Rf1zS0Dj/HO0m3cppqC7gWx1ueNzd+PfSJbf/566WSNj2NUskBOYiooXDktL6UNow0m
eEx1J2XLkIX67erY0VU3onofJdCpq09Rpu9246BKuKRriEWNz4WxVnudu+uHtVYmdHfimNy9xk8Y
/uauzzPtXJcdyeVcx31d0+T3sPZ30GQ31I+ju37TFKhNIXJfjfhEsggssrEoylhoZ6Z92rk7fblq
PpVl7jw0Vi4DmRaN9GMhvd9TaqtDtlQja2/LYMnAGaY1uvbX4Dv0dTtL3gqm0C3HAdXmraVTS13c
YxRiTdiKGs7F66oE54E3HuuhYHSpW+O71iIZsMi1zzo7g2M1juV1Iap1YFUYb2NJZ11UP6tIx3xb
My+irvJnNPdnacCjDOma8sG6cxPfolw8bA3vb5ev60tGNMcf3PQPFJvupElcu0zgy8Ut6AdBNXZf
2JjrT4k7DAD3TOOSqhz5E2Ajuw02Y5sEYv6z0CRG0UFm3hcDPuMTGE2mvb5wHvGoojmta0sKyMwY
LKULICCZcje0F9f+w+OP0aPurbeO1pc9Q36C1KR5W+bRvZel636gkdeiSNSR21Fbk63wSpZrQDIj
wqusg2wq6aONuxTJtfSgvSOUO4/6eN9hMtitO1mk0k9zkU0b1dgDAajBRPxTRmwfELGMB5iV1cOQ
JcN1WlR1yUBaTP7osdvXpWscmPHZMEwAjFJ6wf8WIAbfB80mhcAnmLHqmDQ3rEj7rihf76hxSGfk
u84xI+WmXOsmrCZcQSS0a59lpzynglambNJA40Hb893eHn5HDTjRNnWJ+QEyBJBaRQflKTaSZssp
S5fS02Cv5VUQXwuanuS2XpQG+NKO16fAx0cNGhe5aSXN4Tbeo0isJaCSWTxVdb5ctJoA3FS7zRtF
Qg2WBPKV/QM9mzPu24HFfK3j9lURYSxpmfQej6TCbI+PjOtJdAJkTqPpopM1Ip+dnpQ1qpMz9ksw
CICACI585zEUgkhY87FtuvIdbRFnTJyxiavyU+kl7c2Qdbpjss1f11X0t8UGzTovevHLYMrbxdXa
fERd4r47qeb8WNSXcZ+ogNqb4OHd2TaCkgz0a1tXrxNVLTNzxM1duuaoF6O8Dvqq8RmTgzItgs5D
OjSnpasoNEgj8gEgWB/Q/Pm7GmI2SL+z5oeLIKM3menzLs8BxwbcwrRdV1ndV1aO5sr+3ot+oPrK
vSGaHk6lMxBbkXn2rI8xK0v8h9OFLca093qjGHi02+lsxuYc+xUHRktgNBU/Ooa7AIn/4hFxQ2+x
YonzAa2mNu97cy1fAJaPXC77bmLbMtk1wR7WXC+GgVnA0spwBCn5nReUmfEWT+efCq/OA5BL3Q0M
pdMYRh9sE8KJ2mB//EOsQ/OTdXkZ9QVHizEe+XPEKUdfC4k0mrhI6Nv77PCsAJeMV4RPy0ye8q73
PYbm0GBdfAEsTXqpLSr7x04T9vg297krmlp2HTF7hY4rqB5s2kOj5Mpmg0sPG3LLIuGU0wOXsfw1
Jp+fifY/Wrnv4eJ/scFKVHZd3I3cOkFn89984z2wXNLAQ7onKxH7E3T76pBmJgdMzypsiyGlDS38
BWHFrHZ2CQ7Hm6HFhfc/EHH+1a6NU9W1LQGASceTqHtS/7cQdJoa8Uzg1tnZCS2/eZL0YSq6bPe/
du1+Ofz8138iIvy/7Np8J/T5fP3H9qur/gVReP/X/q9f2/yHhe/67hm+A/SJofMo/Deh0P7HPaeB
q9fwYA3yDWGW/m/DtmH/A1LcHVLInd3lX+IfcXHsk//6T3Ly0Dr5KmG92Dpfqvz/MWwbUvx7ZIT/
sTub0zGIhQE2+3fMkMqpnRgak1VhRUlFP+IOE4Un/vQaljK2oux+V8rlnNJzdsWIzFnGrBHGBFoQ
lGuzmD0cdYsRJtgTPJlFwaQlaPsulyx6IOVpjVjwANcLW3Oxts6C1lvfJXYSKtamj1o9IMLNjdx6
bdv+uDDT+orhOVSupMas85xT1WXPibZSVd2N9w7H6JZWBD17z9nSdAD/FeMxZR0Nwmc93QiFUXPo
sUKBKIyaOLT9U8vrJKiX6JEs+3tUjkGmUV7fyG0BAXDr0K7BcMXqwsDhspCQCop81YNpdcyPYu5Y
xoO58M2Gkum1E3jQHDbitF+8FmNm37jXsrDkBbdh6PtLb48XRs3UPYDGXf/aWvppuosKzNVQQYfb
+MDVrQsL/tBb5g3WqeQW/ogz2TgUCflO3gDjayqLihKfaDaONnIhxBiy8E/cwpnYYvuxTqdgqZ1P
D/DPz5ypu7sqw7kdlEatPy4zLXVB01nRGUW8NvhTrfUCulFcOCLKKpzizNnGReT+bRLDDpOEmvPQ
7nk1bLy6iH9VbsdsLmaze4hzU74reildOs3W5aFqVHEV/CoQ6ArMfnYsBfIdtZ4P3TqXl7SVf70e
KQ/TeY6QYfYEPBcbyx6BdOd+H+m9JN05sYxpQMlKiuuGbkxx75YTHXYDDQfBFBfeh5kB4v3uuphW
oa7Rb3UhOovTU5nGS6PH+nVs5WPpaFZYrEbaYEil3RrfKZnVPp5pjmHze67StQ2rTJSE5NVcHJn/
ndvo8W0keVozJqXrLWrrK/UWRcKmoJyvinweWdaC+EwsuYmUZn5MsTDhJrL2Y4Xd2mXvvo1L8xMU
c0DOSfd7yAvvvMJhE1do5vTCMH3auwarRRCZ8oC4sN7wqgEMXokp3WX1+PEe0d4UAw7HyTpbuX7O
ckLzqKZkIj9kk11ieP2xm57KgbccrcNhnMTh8E/WWDxvRKnB1yMIkOEJcSUw7dYmBmQ3F5xuN6oN
WESMvptHGNC6F5lh6NZNtZv1+717nK/YFP3eOfTiaayeG5us8rj4sfk7FwzTEJ5J9uGiyLqnIR9u
EQZC8ts7jqNhS5KQikFUqZaZY4nIdJc0BSq6KxaMS5kZQj1FI11xFKTUpis2WmtLODvWvJOb1uWB
rwpi1XxSqMV3DshuzEkawK80fEgzhyxNuuNo2euDnfDnJhmKtAavA4OKqp/52ZwNHPs45F39M83d
V0ooGNLt3UJlLurrQeC8vSOxlz67kWcF6SkxCq4nywKanv61OFUYdJNDJ1LsQ60gI1HAsseEw47X
8iWFJFEiXyXFPX4OMoBzrvskaGCcgXGMPsaGvzBsHtCYOhyaQEUGvfmom+lHi7wII5ySB9MiCzIX
pCmwAjZUGKfpztBmekSF8b0gsccXtUYimFKwSUtWRuoRMCNjAaWIeGfXyifKviPKn1LzYtbXfqa4
LsNXdujKtRXbjJLTICNCeaI1hs16obI2fo09RATJWML11e+TPKB9K1w69RznyZ9U07+5fXHEJW7+
WKxAxO8O+AhGPs5T/LFy0J6sBbVVrO2TrunRE3U3tObFpnbNEkL4YUSvCwsG3RsvdsSu2Ky1dj/V
FfwCOagDax7jzbvnTaqiw5Zdlex+rTYKNcgTT2WWdVwNjfWLXat3sUS6jSMTybLnEtvWHSNBRSsa
FDwQPvpzErV4Z1P3g/7MgVrkbD5MHmKUGvVzm2bpkV5M7+jGLrKFmdXnyFzcTUJXTVa7flcXL4aa
HlQzEpSpCaiuPQmkqMxuUQk/TEteyb9GAaLDO1aXrZV/UVd3FxWeZbqYpGz1P24KbcuJjmVXgR8F
b06W3efqOZ/isalDLW9+4+y7uPnwu5jTzo86iy6cKn8EQ/Qb26PyJyvj0kmZ5mbI62OV9bwWZkSu
daWvsMk9nURAmvjsiCykIICfSjgFRyApZfAkYlOs9e8IANhWQQqZSbz/jJNydzbOAa+tjlOOOVTG
uc+W36+LcfBLPWG3WjBzpzcMh1ilWuy+7NPD/N6Y0tRBzV2+tN6M+W0FCwpFqcE/lvApt+XELhYJ
SlbvtFdDseBtBp4s7Id5b2u/KC/bCYpYNjTWvEsszJn2i/v/fmgm2kNneocwLZYtXkuejg0sWmok
JFut8rGlaNiqMNLGDj8DDHWWHB/inmRQPLBTGinAycpvKdkvsyW40FV3GLr2MJVWsJTq4jXWa9Qk
HxEJhHEcjjkPLw6gTdxnp9Lx/IEB08eM9hm193qw+mAReS3kZZXDe7poR1MTLxq5tw30sKv0yj/r
+Nx0MtkaY5Rvpprww7hYf53IDkWGbdb8sgYMMhmCks4+M5rtZ1Z8HwsztVT7sYgvDikVj55AJtrs
WiljX0ctzAg3fcgGC+0yefBMywIJxhbAXnR+3iYOAPA9rptcEnGaKBHhm/8N7vUQ1za+pzrI6tof
FmPlI5+23vwJds9nAGehMNsiXJA0cFfsmkLTDq7eHRRxII2IVmYsd1DcJunekzk+ieUdt9HOLeIt
oxwEDAxsmT7VR92cIXvG49PYeHt6TR7HZETQIL4xRN4PP9Yg6cSO2YutioyWAzs4DLiT9uPUECg8
b8sH5vNoUP6QHCqkEnd1cSrR8Dlqge682Fr71Sb6ThBeWjkuYty4/PDaawSEBdbxk8kWRArqsbTm
sIzsDMCIRBYLrQZXf6UbvpnlF7ej+WVVxa+8++Mq5zqX2BSMZTs0y97K7a1drwELEoV1j3WL2k19
doAAxyZ7pbDUSlpv1yrB16s7gZcPqLW00NbWGbHgvCCYI5DFj4McXgFcakEx/VqLISgcBf50pA9p
7rDbdtJbjn3xw1d5yGnexP8ezENx4afFKiwLELuPzh0QR3792jb6nbQjHzEQtr4cpiwUgw3WEhoC
bciEC8ynmDUr30T31HDBwMT8oJF7WWeDao/pQMeuvvH0LjCnbmfMdsDq4G5yfwYOZQe0EiM6ugU9
rmUzBMytlIh11gcUhvJlLK0yZMHrnTxWFBsHOMammjX7BXLVh1G9UKl07WvxXFVzYLPlHrT+EavR
iUzjWfa4WTtqi0mQB1bbHeEMbpy4ebRa88lNxz21bJ+T7j70Q7El3mFOGnEzfQeCZzPw2SurOxeT
+0Jb7rjFbQ27iA1WYYFHubvxlO2x8+pfm9I86JTG3u+k27yWZCt4W3sJjB+syRPVoHKk93V5p/Vh
I3VLbe+FnbvOPSrWRm6T7kcAOuhbqREuNq44LM2BnRUhFsjfcfuNv4F6vZWukYjcfViYw1spEGoW
99NUc3S0pQpBkXIEUBgTExoVJDBTzzkg5dzpSrwrOBdwxLCTtk3eGCmYKSGjr94e/WFUV8qJNtxK
fFniSS4QJsS0ZWOG6/pSiIj8wjVKP0tQRq51U3m3G0vtYHfNr47FdaEsvzFrQk36p4jVNseQ0ZNa
mGJi/zphNHoe67UkwKK3WxyzAZWicK2k+mKru0MXDd2UL8TWXuS0HsoUczz6E+Mqq/QhiLHTtuuE
f7U2d2WpRbsU2hcWI8qjbYfSSxntMCBsGit6ks1nVtDaTZ5KblfrSbiFCO1GA4SUu3hQBdY59tpg
pQ4ZzVm+lGcGu23E8jcFSuO7Kn9rIPSli9yj+r4lGVkuTX0DDPQt46uT1sNiyW8j/k0b5byjAMag
+fA4GO+iMr/sfOWZES9pmyfbgpWhhZl0k4EQ4ULZNaSAGvGZREb0y41xuOSlmzXaZjKX3doyQKZm
RaiobZ+xDEdvSRVBHILxtVw67PLbPoWl2Tp9RXchNn7WpSzaLO5VIrZXjgnnJKz8G8DGx8T5vInp
6dpgUeWRpG6ni1m9LuK7oHg7mNPm2ZglvGB8I97UvZtN8jTZVvue6flPdn+XRjmuFszedOzgsXq0
F4jTZp1eo0H/6Rrt2KaF8PFT3gEvAeWcP/CY/IVHCNbMxXTMKwVfYadyzedTlBsdSBtv/hAy6Dnm
VfqQeYx5JqWnl3JssmtNrGO/dLbJrVSBdMV6lA2escmyor0y4WrbsfTEYZhyNjq92W09tyS24Mj8
M0KBZkHJHjO1zO6Mg37x+1pbPzU2HdT4jbA9qQa5YCP09oD+WYcZJgTPTRdNzrZXq3YWpovjgT2J
bmw0FgdVYNCh93esEyBvMqP1Nc/EcIvt9t4AvbouP6gKi/4m7gbQYbHRYrY3Buj6lLaYtXGuuN9O
2FsJIFQUS1bz4AZ4pmL7rdALpyUDN+J90OpFo0QvTnfp7BHvLddxM6cZ9w62qONDPY053S0cuX4y
ROnVSwVhBakRS27viRmSt0h7KjGOLop07PcqJl3Trjk2sJq6u4APCz1aGyXUtRHZA2mDi8X7wDl6
N/uZjKCWIt+De2Ds/CVGe/bVCqtuE3nlHaUWW8uC58airz3nsgEEhjJxlfV7h/476yqbGrs0e770
sHYau54OOMt+wQiBGRh7W4VX5qmjmKnkSlatuA+b+M7QKqw7z3Wu5DXqO81PsRvwDfIP9wO3Xjw9
LBuHeOUvP7h5/Yh0pBY3nDqNtnrXIJexbfOOTYltpWkeLLOtMTl62OcWz0gPRcOYFlhatLw1ZZWI
rWPxW2rh2nHtjEnPZnrdYT/WeYFJjFFNTFBMasZvl9eyfuhllUHbq6Td5oLEWY7zYmMbjVFftFEA
jiOYwwd1iEDZqnPGmhy8S2ussOjIZY3M1RK//5WMdzNRxyyd+ZmUqzL+MLgl8k9aAi0ep660jokd
OfNHAU3mTLMSTCPDKQBOzfPkz62b7k1IRMZTA+4t8jkJjFNkCI+TCRTWsispKYt2NiVdQHEsbtab
htOE86wu3UvmuG6NFm4OdjDOMzuDiv+IK4GHCfgOsOK7cNasuzjs3Fg+59ra4ubK7W9YoxbBAZBm
A41ipQ1Cel1orLVFEvkskUd7V8QRd72FUixjUw26vNWza9dYXg3tyemU+FPW3vBtwoh5XIy5+1P1
3FCUR89y39bJbi6X7ljrY/WrNgyStHNum+th0hey7YMXSQKlCmJPSR9AvyvNtXlK0gw7dxbFj1mE
kylwmxUAlTNTMOekM7S9hUpvm8XTR6qyjtIztTyixCM56xNG+IRjgDbzNWJ+IFH6p3cimvwAxT5j
a3Gf6OutCLoP9iM0LJuZrZyMY9uRHA+dwvbe+4mWraaczPu4TY2xr+wO5z7oKdrWCWIvR5qP4RDo
2UTNaA0y+oG5ifSYlmUHLI8FKzHJzsRmQ2ttZ6m777Od9H/1Fq8VsVWdWIJIqFKXgjh62mqsCBfz
VFgx88I9MQPy8E5stjBx1sXBwc4GBKvFLg84Kzafgfl5Hx5j8zGjvvI56lvuI9bUeUhYIyqbzWX8
WqSm99ENC2/vIsUJFgDkib+IiyQ7zERrSKTA+J1LRVdQPxrFW8YGBHkxhk+c1UlF26rR/jHi8sZz
pDair7O/FEezTphJFFQ7swf2jL4EX8xx0yvFUvc4KefLfQdfD09ZQ8xjI7rYAnnV4fVRVN9ivK9d
592Ya24zMRZLSvxGA8nHYHwj+U7VLKsv9IrGnle0vh7PAVrrhPl40se94bUxOD6LS7J1IzfOcaWE
tat1gWsDE6zaDuQo9shv4mDPsf3Q0hjHsCaqg1g/k/ZpauE1RlRGnVE8FynnZ5w56ZHoRnEUzgpz
UuIeIZxAGUGhGekfI1+54swGORQT7uEDATTreaK4ihvR2tEplnYvgMYwECE9d9t4sOeLGmKLsbV+
ortzuRogovhxCfeE+V/t+bz7R8EJw7WDPsFpJraEMmDeHaTKa0xC1JWGA8bGnIRzkfGm1udTLgx0
F7cFtEHiwW9EwdM9gWUe7Qgltb8OU3LRFa9TO9vxsyL62+YfzWI/tzo34Wqnzd4JMsZPacFsZ4+k
cbWRHdWR3rIfPJqwzYhrxxqFOjmM80Q1LBk/1om1VZk8nGW9gfdY4mVtx4tFEOhotYvN8JOLH6fo
tfcM721B9+PkvFG9wQ3fCEfzISLa8gES9kTLXPs9r0VygRot/k53kCMecn08NbWZf6hqWf4oS6hf
htVbwNe1wJ2TNmxhP8KPjBaJmxqSHA3OOFCogKzzct7xfBbJYcQt/kGjZvYjeju55Tlhe2sld8Gh
rKUhPYLqFZ6T8Ys+yvoqOlxskDQ67StuG8kGUpsPCdbEF+Of9hEM4OONiMX6OAEDQ27Xe+c7a638
aKZcY/kv7QZ70vf6bDk/taHkOeGGRO7SzMevFmIJ1Be8FqJUxd5tbH2Xrppk5pLrrqSNkcqzx3lG
FxrApSzEtRVRYR+gQ/KxtBh9pqQwfU8nVF1Ut5hXYBDVKTXZGI83UUyuXI/EtuMwbXRi1LzI70HG
+09yxnqXrM1lnCi7z8rGxQ4Y0/HuQWkTMY1xyjDgxdxRGoPnvE3rHM6l2Nemlvz00s42VtWdeqpV
wmgY+n0VUSibr7YVzJo8SxiG9+Ky50LrGGb7btx3cEi4K1A5jxAqyWlsVEVoy7SynWM52bkyCrxo
de+EVHyvD7Krfs1p+ycbyfHT1BKTUWDIKsvjgATvm+NcBbkRH8e+eMOcEoqoEV8SDg7p/0zbOgPX
gmbYxS7G+NrNEGIm5xUOUH93yMjbQN/uKdWKdouWFS5Dz5XOxRiEsNvCdbWfxykmpEjhWcW5Gn2T
umEX3gVkltadXmm/GtLg+2qeN1bBY+zVI4xNtkL9IGTojj8ZvZSg+cw9hpUCn+74GMVOs7FKPpdR
FTIc3PF9jnOsorF9RbTJ3rh+5rvKHseQ430Xpdh35xj7eekuTy5mQPZB21gl1XakvTCkym/ZV2K0
D7rrGAdcafyUy3b8BduX9nanRawQsfag7A/bxU83AC5E0oWxxnBDNuPRyL1+O8bZaQDosAeXINaN
i7OEcGSPibHICdgrKCadZd5E6yAPg6gwcn5LFakohSHckanvTr/h9dgIHvqW8bo+wNEZNwt6IRQg
40mxW8V5W4R4HOYQYxhQvvgTjP2CylZzYxr6d+pz8a16zTa6k2way54eNLfl8eAe5vcaLHg9wvcw
EYzsoPUoC80xS9L2cYIDxs12vrJK6DnrnGyrikGdC8wZz16kXzyvMw6DVrx0xsJ6f/6ZZ3nEHXrC
6HXO6uzN+6fUN/XP3OD1TVERVa0NOf/ECHdmlrTXDh/vZ5bm8ub8H/bOpMduY8vWf+Whxo9GkEEy
SKDeG5w+82QqW2U3ISRlKtj3XfDX10fbuNdSGTY8LKBGF8aVxMNzyIgde6/1LeTO9ChaNPrsVXsv
z/NzUJQpxQc3g7pxgSyXfe0HAA4RbxoOK7kDLiXwBKBAGTr9qWjjzyt1QKQEgDa0+K2a2FQBGKHL
7hgNnopAneI4zbdjMLM7TZRfsjhlhF901nBDVPK+ntMXlHvqzjSI8FqDYhNXxJdqHoN7gHv5woRp
9dZmIj8joqOsmB33ceYkgAQdrt60EDvtV+UBGSkNN6Yrx7FHPTwpeenQxNuOYvrUkR3xFIZZfBNZ
3cFz+uTeLhdabj0pkEMNq9ceDdyIMPjSNIwTt01lnOtpsunqdMS3CnRsVWHv+ly8GXQtp9ImhTgJ
8UwOWFGktg/VIB8HlhLAEHN7ScwBRpvUKIpRUiy9obyXid6KcrkKbP8eCfVXRxJczpIIWAdxAlsv
kZhO+ACbBPpSMm36ybkwkXXWmXvhlNTnYfVWG5S65XierKKnEIcP5NZVtu/IcQ7rOqelzsIe5nNG
b1x8k2O5q3PuJk2bd1vKezQ+Zyi7QDnbHeKdeUNrH9NJ5pkTTtSYfI/8ydB8HGNHfh6K8HKgkVfC
gdtgqVjbgrwIc+x0TzOZCM9zYe2zhmlLEHf1tp3MqkZfvLNqm1eEkqgLU4YETLaXbdPPwwF+jd6z
L6MXEtOL6tRzV1QPHGdzpP0rl9Gbmm0dXEw1hlyXjjF8192Q6ivpEd9an+EQx7fTIJLDYLybNHl3
8gnVV9rRl8HGdVCwd2cOhK/J6Mxfcfh5N2MygQTV0+DvuxSi9TwPayc9aWDjoGJjMF1ZNEk3sBbD
u6KMespgQF1PmiOIdWYybt1IE5Svlfa8L2LtueV8SvI6g/V9CmrRWlvqthYeS+g0ZBZAvt055Rr5
4pILS3y0sI+eM9F1jrrxxuF4grInFtc2LMwFvxODKDcXyzcVU2LQjyk+KEY188N03EJrGFjAEIfp
s5YMLWkGfwiD6Jc6KMFKih1xIXm8x/wlh8lM15GLJuvQdSmBYvx5e5vDH/qNdPm/zL7/cHxkM/+i
Rv43Zt++m770SZn8IABZ/8rvOQnOL7Yk8oBkPlQgjrtiR38TgEjxC6IQRwYqcFUoEIf8S/8Bc/0X
ZZPLBUrPV0h4fJQ9vwtALAfQn63wQWCv9YXtIQ75///5Q+ZX99N//59yKG6rpOy7//cf9q8BhP8W
K3n+ryoSsGt8GNsJRfiTSEhq3C/1HFmEmehjU9eP7owXdFvSzzTH1mOfDLxA7UPNoGoY0hIRf5mc
p7ShNkVZ+Tajb/hmxRiPwPE4KbPqrHEuGJXfjAPiYVMxHsvK3qKyjJ8DP9nVY/KVMCp5ICrhsuxF
gt8XPtbYEsfiPXIt71iV6CQM2A4/GnbQSs+pM7wMbXNLo48sEQwNO3d25r0zFo8S+9hWzq37VFh+
g4o4ZcCve0RY+8gyWPIkEALYTIUTvQOfmmEQufBkHpBw57wmtk+/1qUAeGBTjNnukEQKy6MpWkyi
+aRLVWBVb/tby0P+snHMXDhHOh40zDj9N/rJqWRJiWx1zCaSBm/z3imGIHkH5V9V9AXJndpKLHTW
ZpxJ8c42nPPjbmf6yb6uYru54gBucZe5n43PA69quPdT5R+TzBlXfAGohb3T0pSHNjIABKRsuI47
SNsbP6CT2NZyinYO61GxR4KrHxebEolUinI4OhFzLyYsgV4PJvOTE43Q7VlOVqfGkWvfDR7ifFUx
09dGyM0krO7kTJW+Yta/n7KI3w/hHpSFNrywxKotdLro1DBrn6YIdEWy00N8chOkPbGqs93UKPcc
epCpcNY0Ij33bfZIQjrUlqh9CK2+PiTjstzBw6XasZLnhczfa4da4NgmYQgiq/Cdctdz/qm3jYlb
nK3AngvG/IQIrqaYlXandIiw0ypdyaj715f3H61j/9NyXJBv/dUKdf6yfEmT7meq6K9/67dFKliX
FBaSQJAE6KEY/tci5fq/EEUNBNNdE/xstQbA/C5S87xfXJQx/CWXRQSoJx/i9zXKFb94a8eCpQvx
G0RS958sUT/mqSkbnLDjoadkoSQVG4/Hj1DRMnaLoacWPFS6jX3M+1H2YdcrkAfpqXPuvcL75CZT
kmz+8C39Pf33t+uuH15xBFZqle79EcibwE7CMSKWQ+fTKBG1Gx1ad6l5P3L/b+JU13/q32vwb7fI
0utgMQ7cQNg/QY2LJU6XoRfmMNaTuswlVSnpNQcHM9imdKzbv76xHwGmv1+NvQPoKzk5XPbHG5sa
QrTSHvG9xfz0kCmbhHaR+3Di++RQT9NEhFljbwu/evjrC//Jbfq+Z4t1syM61vsJcZxMtkTHgse7
ClTF3NoX3wfgjfuETjHDEbQW//x6qBDZY4VEhrs+vH/8BdscugR4kgWdX17MgNOtFLJBu4x3fhuM
IcSonALzr6/5o+ZW8bXCYHMVWQG8UnA0f/opMfbNPj696eAxxd4HNQQkUof835apH7bxP27b6zf1
xweGqyjU7SE6Yx9m9JqJ/cc7i93OKkt/mg9jtFogZT4nz8gI6BZPLhqKv76lP7sY9OtVeErK9H97
XmB615KxzHwQdFwY8c2YNhd1kInz+tcX+pPvTpFfjGSasgfC8U/PRw3yhGjVYqbkVTdZ7bXHJg7n
v3ko/vQirreuKPC4WFB+/Op41hTMUgT4OAG+MSFE0rNEwd+80H/2lUHR4ttivaKF9tNFmA7kvg64
EzvwR/Sjyz0d5+oqB694+OvvbH2G//AkOOurxEMHcdlnSs5i9ePt+I6ZyMPhjC72DDT+5mH+6R+X
nljXfOEFtsuuEHo//eNTPC7GLoqMzR3tAbIGEbX30idc9Y5qqUtOc+/gPCyXKAV0QZxA/VTlFk7i
v77Hn3aA9WM4cGPI+oUszWP48ztldaSCz3Z26AWJmC/w22jixYnTVTjxsqA+qTKWbyTExf4/e/R/
vTILsrMit0kjlz8tld4C5a1daJ4T75UfTVJ6MHsZp2OK8h7/+U2ybLD/ouZ0bHf9Lb59uU9KvZbt
/9dFlCPLEMFXE4NEtHTXfmMpHy7GyF2OQDKH+6wJhr8JQf+zb3Z9pfEWSKa6ayDbHy8apY4gb6/N
D9B70UdgVe+fRwLPLnCvzy1NCwcjU4P87+Mf3qxjY00RCnsSvyfb+0/XdQQZgqLGox/q/sHyVXMx
xGX52uWMiSdoG7elk7vPf33Rn9586Tk2fgzhoXfHFUEt8eNF3clxVRna2CHxbN9NfTDlOzklcvyb
t+anl/+361D/kADLm08R9ON14iRCQ9ARVykGHV3D4XVvMdLACtKm+pu3/+ffbz0grkfBNVBX8ISu
O+4PD03uz5ke7Iu43/Zvyd8EOlAM/LRly5DKjpWFs6bjuzZs9x8vIAfXTnyyC+iexZ6iT7OUl2OM
xwfiGF2NTZqNdY8irgibHZNiB/YFinYMlv1sE1sMS5lRdkdvfyORs3xWNewnRuQ6fHF7zwVmFHcg
awYsWOukOIQZQFQnDZilatQrEWTDJQ5+o7cY+ucPwAwYawc5Jk91KWne1lZZnNKppGsKP0xeDguu
pOvcWeBUaKegb+QmMjhyMJyelVaMM5MaIxHqH/8l61A2RrNxP9mcO78p46l3MaJZBLwIf0N1vXpF
E6ThlwsJqjHDPQvcx1Pst1MHvhfECt2WXeQOHT3jwV52fTUjShTa6flLnRV+ioXjqy0hftMNCm1X
HhQHaHKnjF5oOmP/PkmdJnIv0Zd2O9eOsvnkJzWTZAtf/iONTNr8c9DMPkZizfdP+T67p5I3FMdG
aJmvMjbOS5zLPEQZYeMkD4ECmi3McqCirO1mH9m912/9Yajqg0WUF4lRky4B/UZdwQlZAO5Sft1z
drXlWZPphPEw9ZboBOkYWU0TTDgpMcyRXqOtMR9OmddgTqTQqeDATap7jLKc9zUJbPrAJp6Z3LQM
v1agXTqfoEMHYtOFfQgFZSHeaKLqulDaip1d4/dWdkDWWr9HhbfceMkinIM0rewvrIzGZZ1YkbzN
Wj3dmrycxu2ks6q/wotQziz904Ct2LRleXKDwX5fEh8EMjqv/HU2jnxzbPp8G0y39Jc1v8dqTy1x
uOreaol0BMVeIC/ImSJkXrFysNUIDlUHcqwOPnDqeyQAbXJwcTZ8D0ekxWCBA7qJ8Zj1r0zmK+dC
VbpOb1sMeucGq7J1JB+BYs/x5uKVqs+WGAeStDsUlcXJOtdugyqISRZZO37HJ5wlMQVGDnhkYB9F
6ljIPlgu9IAMSvZ4//dV5uegoaoGMpeVeM7MEbkZvgGdtMV2osFJd1OCJap9J1aH2h4ye1sOg7jj
45CI0Aosw9soGiQNmK6x1Vb5C4ySlk4PdOupZuwzK5/ns7Qz4F2+NG+hRjjJuEbNUNOQTHdXWURc
9tFKmtTbk/ksjsIxqtsVtsdMSad1URxkrvvoAiEvz75jL52+Q+sTIePFunfJNwEbKKNMPUekYZE0
WA145wOSXT/bEf2CrbXiLy8j4iPkOoYT3nZBM23tlSTYeJdLLObHqCH2kMivJUfFMyAy2cR914R6
M5UrYlcj1S3w1SnQ+MatNdgE0Ws6viNjmwJpnHtIvNlxoB5IhLLF7PflY+hWaJHGeiUEucsYiR1W
dPKd47Zl5hLnanqB8kKvGsXH8Gw3S+t9nqAtPOE8FvqQycy8WyHISmL9RO+umHpm33UwV9gDZNJd
zo0iaTCFUPUaFXPUX2jBsHyLbL59zlngst1I6+g9ibxS7gz4SvT8mZzHrYUr2NqqBmARSmU7v4nJ
azK7IF+WZ5f6/6pEPGj2XunEwb4OS13h1BKM1ydRVP229Jv82BpM9qDvKwPPBreMZh4ApHMaZ8ve
2qiFPkUOlOWD1+XLR92U/DEXkcxTbWMK25JBxnNQdxIkslJ9/GUM4+p+VInmL+dRiG6hwil/zrCb
l8j+Uc+jL/dbhhQ1A8Nj7cdM7XQUWuMe3wRzeaLdWKgwcUALXWpVF5ddbhrGQagI9han3RyplSPw
vTt+ifX51+etK5oDFiZ0fjobAKU7aYQB2J6rctjlxGU7eyd2o1vf7fJvYzbH171R/DG6TyN+qSVD
DZMQHIh0I+u9j0H4jG1p3PP405sLw73V0LoFcr/UGOLdHMdmYkqk+UgKaDbmTAmSvU7GGWobu4F/
shvEO0dDFcwDokPrUdg8XYxcBvvBh/z/ZsbmtUBB9VDrbrz0ewKviDrmIWcIaO1QxJRIp/rka+HK
d04KzG5UJG6KadabMpnqIwwS5BvkYgFx1Q0gZ9aeXZWLeNhRuNSvvzY/tmUeAZ5VaTDxjZL9fo1a
cFUkm7k55yYZ6yOUNCYFczFeRjK1r9AmBawK5PZ44ZfScm46D6I4jLP30iKJjG4lri+rf/eGbnlg
aP/dCdSBHewkk+AhBxR4yIxgFq93OOpf8PCe3Nq59zQCQtEAsjNBml5LRdQr457PLspRnOKGLA6r
uWri1pxNBqW/SnivaCra4GqsctNC13R7FJY+E7rQd2CnIKe+akfVPsm+p8+bFbeemvU+SBEgMyLE
0jMyGAXT4WxbBY3Z0mV3mSJ7Q2qqD1ZNUMSqfriBlwVB39RLhxabVW/LAKRsd8LjhcdP33xIRGzv
PnyueZ8C4HuEOdXALMFK0hWc7bbrOezY+bbFMDz0vnWgGhbunWcM0WzjPIBf7O/dQlLFJqF5BAYY
oSGoaUSl3MhxGCcBGRPbCVTf5cnt7LcwAzwmq2i8mXlzSCZcbJD7tQakbpcBWMEgWgMl4EfRYEUE
994gpiLRoqDH/QhZLCa1zc388PM0mi8RpM3IePf+gCchG/vPi4UyJo6dhz4gUTHrZueejG5v3iSR
aS78Uap7lUzy+zB2/k5Lbfaii6k9ErFbZrakEr44w1bbRrTRtqIlVoaoy21Hy9fgJZshay9jK/Ze
Jkt0O/yPRYrn5LxJAriuoHSmK7HHKU6NWh2E1dTdMrFfOVR988lCQvQ1RZw6PfWFmSSZnlGrkVRU
ebqtRWM+FqebL828fGAeIZFhgsaI9yPcjcDHn0dcBe95YrwPJtX9rqkyqooB1sjM8ORuhrUJUTsX
PG6p8KfLEThciXRYOq9o64aLcHLF90AnxH+W8s7BmP9genOiNsr3tmVb362sGMiriBoIq/ZLjCbn
mUilcYsr99LGcTgBY9aEaEZ6aT9NWXmRNuEa1ds1d00/JQxJBij4kw7RtsjgO6INApJNVIDDxROX
9WrZQ4btSGAhuG8zIHF+zEKAClkp9V66cjomDTglYcfmI3W94JaIYyysAtVTNtnlvZ9g4RfLTWAt
uOmzwGa+71VtsNOR7390sSnZQysLQmNt5cOXKWIKzty8mvbaxRzgt0V/MDAT9tOEAiph+jJFnmK1
TxxkOUWOXKL9NcASRp+gkou3szfXl9FS8MqCrj00g6RNOPghoI7Ia7d1J5yvrgssPoznpwjo40Nd
wZhdmegGDc6ErSkSUGqnqHyV2WA/9lihr4LUUKlms49fBmF4qaLknpxqJvYc5FHIJ70NvJjS9iZB
eYvutOehKvDIXqG9xb/f1sNl3QHxbaULanAZsIcZyZLi9bxyJrUx7MEmRWhcoE5hjsU9x4d5QdeV
5B2IOMITkWAz1LHb0nDywIN5CUmyu6ECbLdkN2Lmqj1o5lHhW5B/pIUUeMi9W6Bg45NbdzOqkixp
GmzAyAWjuplfkwU9f2BGU2PtYTc/LIujb+iyLiG4GVMoGD1j64HlMqwaFHiXE7/SAapwbG2pAGve
I6MOKxwAdGqZS6rkxYlzmOmg9veqmBA95pN27lDbLP0pTQbvGyDWMTkX+HjlhUTl3VxHxPDAgBgb
LFyyCPxll87waSbPLtH88yx1+6CpKD5QEaO9qSz70YXTcCwCqlpOXzGWp8xFf7sNbLEU4GUbApk2
heeYVRzVVJhMN0Pqp/0NKsCKwrXwUSBgVhwuGh9vxDYM2viRJNdquGuEW9+Q0fEBuMPbGdPYe9mF
YtsNnoUooyr4GLr/HFLgfJCjOhTHJnfUvaak2zMyFDcY6F4Hcrh27ZzdJNaAyTeJoXgn1GTbFVgM
LiRZLTNtUCN4IwFr2KUpG/JGD1RbGwOo7HXJBrKGRCfL4zyRpT6zyUIxaqGVjszpydrj9FomFgD/
cl1ofdodxG6qC0Ae1+WSPmtLo0zW6ApLme6RyraXeVyra4U8+4pE3+HBR+ldHt1lGSA3FjFgfeDe
Y9aSNZH4NTZb7J/dbQ2q5yoZXERkYEdu2wI+7N6vfXILWoDclD0+/7/b+Z+82Sbd00PVZ1HSLSn+
7+2QaH3LcQpEV9V2GBj65mTN/CxwyfL0Ji2sZ0yU1VEqg/3QLsyTJ7GHNq7D0QgPOgZX7Npnyfqk
dnSBakjHJXT+GQw/KpVAbUomD7CdQ8TomzVpXuLZd0NOj7VXXlASqqNsG7KAKq/SRz+Fl5wGMMg1
skMHPycgRJTv+ahXvh0eIpKxnsHb9J8T2xrJ0QrEbYxBY48DXhI6Pn/156a4qW2vuGmban7nyXqi
z9ayZtr4+1St4qtxCv3LopHHgNzme6YWF2pKkK2YSvPdDnoSFzYCdpQv1WusCXkJWzgpNhZuZgu2
vdxFiubSxpGLOKcI4jlrw/N2WRS3ZVk4zxQPyWOfE+COUohe+ia2eg2fto3y6RjC5X4MCj8c1hdb
f8p1hLhpLevf2BljLtrXu4C1lEoKc1CnRoA/tr6ZBTK8oPWbl6nGhLlN5778bBFwsFJieiTdZR89
6Mgdr7qA3BZkMAUhjkS5zlexJKDCHzPrs41VF/q/iJizjkXR7pC3vGASjx7yym/n7ZSPX0xnf6a/
5B40QcgbA9x540mPmIyytbE2UkcekKVeJSNxxVUxRtSW1RoVJThtb5i6iEeCHaaPZEySE9yf584b
JmsbWJHF/Bs3ONdXONlLao4P3Cgs7DLOTHfdFnM9fxZtm79DposOdIHLV61a97nXoSRjgaiefdPG
wVc1m2hftn7LP7PAmMaF0Xp450cBgVKVhbiJSAfrdkFSffhAXxmMa+vaV1ZQXPoYY+6afD0zjM5g
XgMsWlThFBGfomJ1Q9JVK4t9MRnvcxJbSGrYLdo3Jt3QzwuTfzhdk103UWCeJm8UD9Ku1WagXQTF
3uvXfJIqIVgncHCsCcsm0XKBRnDT4saOCUSR5wgqQnSI44XMZlWCd14pRPxf6UJCW2kNEdH2saL4
5OtwNlHX43635s4hPyTm10dMJIJzKntnPuBlJ+Q+g4flbczg909DoCn156r2LztAZM9unCEwjIfG
h0wxByjtuwHz/cYDoV7uxkXh6p/bXhMSN+DLCfNi1T1mwtrUTl/ib66G5MtAMifRy3Vb3UYm8Gdm
Qg5RumNl2+muWIyBrGAv4lvSsajvwhlDGfkK9FA2eTIUj/iPcorQWjiQgEoxLbgRjaX3rB7a3kNc
7+4nUBMgsrqe0C9Vj06xDQJlf7cCgYF+6Xq0b16nGgTqBPSgg4PeCl1qHlMYQZQDYtc0Ljl7Jco3
toKUiNhcqfp7xPyWLtpIQBrQxWm5rhiSXqUGeCkKNcWqHoxmvIUEmQHV47G/tcYwnYk0GpBoTcQK
28hOzdxfhavG7lQyGV7wGZecBp2Uw0kcje7jiEVvTV9oFrltx5R1z7jD8kK3BnNbN3X9Vc4vTjJj
5M1oxrLY43sdPX3TsIEvx2oW/MCFNcdU7m2oMGJNS8zgAwcyvSWFrjvAPo8dvTM8JrxaklXFNbq8
mIrB7vYLXo2B6tH2rqqpAJ+qezXcabYqFO18s/XOZamdN6VSOZngWa6sc5MbhSen7euamOmqhX7X
ESfuzxZtKjXn4dfRpnG7GdyEgwd9v5F+toRPSF6PX9+IVLBpVjWAgQtfhnjRmoRWxS7zApjTCtbT
WyKHhgV0xvSwncfB+y5r7b00IeFMm64OU9DJOdJ8MoOqwQMwKUhjCdva3ridbG7UojDOZPagv/Iv
+t+r2KHUjMZOv3pOH3yHlbJAziygOEqrIIgohZhkjgbBJQc/0/ku7lDGgXjPIZ3vSRegY6sxeMht
F2VhcggHJV9MkmmQiL4lvJPflC01orHItSJvmX5DJgZz5fWN3a8dMLoaUU004p621nijjZmDrRWE
sBiIvrCCXdNWHd1qr5ghR1EV8dpjSuaoRvokksYBugrtvty9izMfn4Rv+whN9RiXRy9Kyb1f5qaG
awO1Wt2iDIfXYtHZyvekazCRCpuEN4E+nC9WN795UyrxPnPP4UMSmIwSCx2mj5oobNvLchi5LXir
KIhnpDPuuZmKbL6AY+K+CHJ4QggXgfNF4K+zdrnysTp3i7AwKgYYwCsr1IhYh1j1N61XpZAdWOUf
Oui+AKwdV+hvxqFu+RTBU5iumzHjiE8zesDXWS4mXlvYOIeBoYXeVQB4BRyLiEP6kDahRxT5tkzI
QELGdQ3dTnwiSyB1LxZiAmv3O2Wq1QVbkaRet2z9aFZ2AyvG13lyRoncF2yaREVj/xNjFxErMnpM
EftTkvG9+tvFU5WlT1XlrVjNscbisJ1AcFa3AbvxtHHounOcrjPO7KSk0VvB1mr7exPiDbkIhtW3
UkqK+10pJLbwGvfPihnoiuJZSOSvm8rmgH7UWTOq7RDOebRjYtiRZ0pXD35ZjtOVULVmoORmtQbt
09ukzbckqKrLbuT8i/urxFeQMyxOIwICqF+h+uR6fhnrxl4unD4LSPgsOWvu4hmaza2DGy/e08Qd
EeS3Ud1irnZH/wipT1bPwBQmCpCEszXPf4o3OoaaG7+23hQvZ+buQ75varuuvrCRDPLsZFX1Ptoa
qwZgEw5qZrKYudAQ9toDxiHO93NNWXvM/C7A14w3Tz/TPGijTxlh1VS7lQnnfSlFY+08Dj4g0zPG
+PQJRt18ZG5XW0cFi81DaV3I8DXNO+aoWWPjYjCeW8a7jDuKIVWnw3Oa0h/ZWq4iC9NlX0x2lpX2
xdkyZpGXYxG5YQdajl+EMQcEOTDCUQA2WXvuo/TqfP2y8/kDOKS4r0lHqCDdmMG6ikgofUbn17vn
aUTBe4zsuQyv3JTODatarC5x785qn4yjAvY8hr5/O2SVvqfrm7Aex7j2rYOoI6diswx0yDM1TIB/
19RcgOhoWV4ivCX6yvUwzd4igoNM6yt0gUjy3FWLB5XoC0Z6/ME8SuQhkGkAT9YlPeZ7OjHTKbBp
gfU6UEm4HDWHEfPHyHMiLrEhNuquwXKLDr5bTaaT7TMMF30KugFRYGDt6WYnZONFei5OdV+6/SGa
i7o8TaqZv1N3Jy6bTDSEd8k0wzFmFlxHe13bghDWcoHVRFh8jzivAY2Xw1NUMn938BsaKh0jCSOs
NfQ66EWjwdfKIGzL+Dx+CBbqp11gmwWVnDfBnYtlU8cfCH9kgpgPxkAIlov8NqPsh8XFMY4IsLIe
Fm3sCvWlT5hHD9ypOzpLofotHs4+Be4tVhSt16TJhT8RDQUNNWzOnQ3TZNOJRd4Wbu0+5L6rsq0t
iuE91KiLzguDs2RjsHbfYmkD/NQWhf/gchr+4jnk11wb4my/S1GOFjZcXVv3URCghi8zcIKm78Lw
1RAEO9+WzIAeDJJq/xKrXLOcQ1fV+jQaDpFXgxW7Ky1FVOERrNqAt8/kC6bWNk8D7wYDRP4wQ4yw
D500Al6+08ZP4doT4jTdw3RIo+GdJhlH8KWNQVzM4LLVIbIHG0pTPGjO8jxpBDXlC/E0pNlCXul4
um8WLHxk5WR4SYsO5xoq2hJISiKMP10NNYYqEAO295rIxKo5unKW3dsAWXBMcJblnWzS6Bu1y3Au
KnbXzQIwlWynto3Hwwyq8EE3IVtzWAoKSKsnpTBrLJcE5oXydF82OvvcdHCTjrOztFQpg7Bo+yKg
31Gf0XzOEJ2913ruQDzFAq6RhzYrqXYuwtPyvPrtHIBQOTMRQa+250W3Eef2c/Fd6JAUwKAPvZzH
cinloXXEWOw6Rr/2RWZSWE7eUENH8+2MgdKGP16Mp3rJ+ah+rdXiXckypepP+1HNN0T7jXSWqiaN
DyqBffpQDqB69i20VqYfJiIkrQoneKINANQXsKd4+kMQNw5mZWWP56osOGcrWhDuJnM8nCpNOXQI
b8kQeIN+D+4MDE34VhSkf+5F1iPp7VsGJdRnsSxyXroomT5p2ydzmrchFuc+62myefjiPrxFANuu
+O90F4l26K8zCDgYVBbZiP2aUwYsg4npTgo5f3Whp54Z42VM0EhuORepW/PKT3PzKvxKcYIeaVxT
F07xZxs7bPkpjBlb7zK2E+wd5ArS/bRicJa0DtUutLrllPS5zyQ/qjyzjZsltPZDUSh91XIjlNfS
7VKINSORcMwT6viygRBTHEGxrnhnQ8rWcR41CZs0lmn7T6LmCN2xJ0KTsyr95kwF81+GHvTZaffQ
SGHAaYnNOOTL5yrOG3EZQl6bLt2IE+jFEijKQ131dbvXnkU+D3jeOr2MO72qMVP6oy7WQZjlQo0Y
trsiX/ZxD6h077kT1s2xTMRpIrPlQ3QOMsMYnSX8nCZOR1hzqM7ZelPi4zxNidzWZr6KOEBTopiB
X2wMyHI4EYSHt6jxqLIPFZNbEnPovapNVJKSsCdvAtUwi5x4iZoIMbOXlYu+JDK6/2pCPWfonT3o
GCi+1gKMNkyxx0fsgwlmc6wPSEsXilH23nsH12iwKSZKt51lyGU7BkrGIYhUFnN2f4TWt/lY80QK
cpPsVwzPzmMLrfxeigiWgr94AQ4bHWPSQ+TsVbs+zQrog1Q4DMyiwvpYyIF3CR0PvYu8bJwnihJ8
4DnbOqCZFL8qllLQWnzX64l0yVgcjJ0ANOyJxDL7IHNMdBrmEXIuCTx2cUGbvqJbGNhQ004Zz9uz
YvZucL/QRdqj6RjnTS9ygOhFbsfZQ6KUw4Dfx4yc7BLfW9rDMvle/gVmetTfeWCJriISBeqrQeJ3
3i4SOQ05nk4yn+kgeW/Qy+x+12eyiS6a2mWG0ExAnw6OW3n+g5e24c3geOO0zx23uw+y1ACdrfOa
GF94yISMkd8umVv702NmCzMdY9F7pDxbbhCdLMSB4UqV4iNS3ph4Q/W0jAe4wtJcKHuZ6pusSVI+
tOYo/wl/oZmh/UzgHJmQyHSbRENR7wdrtum5GvyABOWWWODyqFVHUrK75q1uMlQZ2wLngb1PXTo6
LwgCurc5HtWw5XtkXJ+qCivBMjTqOotS95sG1PC48OtBjceNbrlXHol+yDFwr34yuV6qTegTHXWI
KaXRyngRoS8JeWjyoso44iPv92gB7aWZportT6ivTeBmQGHqXJPzjqegpExLqy/acpHBlgh+yHrL
6yE9juykDQ5ri774gpfQA00YuyCvcBHYV1bsDcBxpiCS0FVq03RPanHoEl8h9iG91a2jQj+puKAS
gQOtZzJJU/AW7nZSBQcw20mK6QyLl5xaSAHFcBiU33QX9Vw54+Wccc7bK0JEpxPJGdlYoLNxnY/I
Y6HcTbFcTWxQKHH29/Tjtk4QpN9kDhiDXo8G68eQvfXPE8XaewZQnWCDhqhMKNetp+6GJQFIr7oJ
J5nxW5gNzAWyjxGBBB48ZG/5ZbZerW8tgjW6kCZMOzVTc0KjMtRHulm4/aBsKp9Ec++/2DuT3cqV
c0u/S815QAa7IFA12X2nXko1E0JSptgGu2AXfPr7bfu6XNcXNfCwgIInNo4zjzL3JiP+f631renU
0ZYxPE5inN/R/lL4P54bk2odx5Ydvp16P7ooLOuWR6p80fNov6R+MH2Efebf9wxfXGvHofnCywRV
a3LDblpPvq8eRpf7wCbw2gmBIFzAMIcN+wlKitHOANI4809Af0oCnM0O9TFPfDHBSUcQv8kZ2Pk/
1mXMGdU73gfXMBYOtY/semHXycUJs00L9oEB6U0Yi/9qoV7iie6kixgF3SJFi+jaAQp7KfJs6/AX
HlxMCHBgV2MK625wR6awO32XLCmwWZaj7kzYbQdgVifrVg2a919bLFS5CLpB91bte+W2Ye3/1sKa
0htNIrkn4YoZaR1YwoVy0YS8hk3KGXGAhFYw0PoBB12WtnN0wU4dOHSAVFf+mR3Eb2wa4F3rwnKW
bYCf8HfgKwvBdApqZuMutrduoXS2g+ocfmrltOaeeiouzpZV2bRNxZMP5quMBvpUdFoX/TaUPdcJ
i5w/KqmBvHYxgmZoZHrqbs5LCbgF81FTnxN27GpDg4L3GFmweNeKIoQzn34eAddLOLeL+Jr2K3TV
wby+ghXmFuY5hUNRo3COUtq5rjL2g+ts5Ba+XkqggFve3Mx/cuFzImHocO+tAGDhkR/41cd0gfy6
tyrUTGi1Q3MX9PYSADkjLsFvX9CD4uTTSHR8KqDuW51E0I9sOm+mNLLajS3L9FuGelZcp4fiNdSG
W35X6rhHpUbWXOddLm7g11hUuNTtC6YICvRicko/DrxtvetbyaZuolsWgdY35jZNKRa6w4HLIpof
C4ZOX4TklWzqvQGlW8H9PHID3FQEsz8G9hFiLbk5PfbNVPrgXSTcF1MTBVv76K1ALRh47sekCm57
xMtffI1xxUz5RNWLlRDZXLVos4SfVYeK502JvcYq0Ee82vuJEZvo7T10lpnNVSmvV5oSz+CqDezx
LWb6r2kyxR1xFUz1XToO/Yw7rOALJvqy3WWBZ75tX/gPoVu4761fotfkVszlJ2LJeleQv/aod6k+
WWmGx2KC0/UKBMH/nAIv+ROyBK1Wft17F/BMg03atRSPNgXm6V3VtBa7w4GHC0xT439bHnabTSeX
jJEzUcG3r0xt3XeR29NI4uCFOnh5HPxIlcNntFyld2BGGixQkD64hhmR3QRzxqZe82qIGCAtJz4B
dy/aj0C7Hdv0OK+gGQG5h1Vfa6RzVcQ0Gjptb1CPFwtmzFzEHOOJ5mdcxX4M/UiBFhEXlJNw2RBG
t0bwjVXHs+qNhJ6StPGhT/qejTUl5HqHqZhLBqTL7EfwCI8r3oCu3mCPIXKFq4uWpq4WAZ+xzljP
QONnn+SVxj7kjN8jCElWWzf+jAhEyUUWweQLBcjTPJp2JkrFPTln+ydyij7ihWoothOJrm98z6PO
OFlmUMeqKF4sPMwwbFnr/+Y4G7BTWCQYVr03Tcu29+FI4Dfo8+55IG+A5VP7ifu780r6w5frCvoH
aKydfbeSaqatUmkB5xl+JJ2NKsq+0EcVtINpgChZJ9yAV2E5Yr1KI9j11x1Nv1Fw+G5aXE85LlO7
zl7EEKTcDnTq07PQpDBusReMAyB0yqhe+R1NsKNskDEnhhKNMKBsejcWagYnCrClwrAy9Ao43SJp
dCtpH1NrqpmMd+DPwTJw9BtZwwoJZ1b/Omanr/yEUWMlsq51BeWJ/Ae2QJwnW6tLeSBY8CHAIduk
w9q3Wd7jU4iD1yaIlf9OtqSVF6sq0WLttuAmOePCWAlBEnOtHKOKo0gwMT5LdMSbOe27ejPrukzp
tOJFeNBtKblBjZ3YkYqP6o10QzwJBZue+tavyr7jexSy7gV6xNIDlGxKH6qosGKJ0WTtKyVcMean
ybCfblj5skmj3jrhvvdxBekv1+pGu/s12k0t7rjgkI/KOcjUd754fn1SncPPZZUznYU3psxYIK6d
op6bmMGslsvGT0BtbKyibMRWMrLLi2rrPDng0quri5VICirREUwdb8bY6usbZ+jxDHJTIsV5aALY
tJspknYi4QZY4YAPNq0SzsjCH3ntgZUtckpeAE9nPpcIq6oxWeDB0t+p1+b9qXEXremQnyfwKUk3
V99cRcZuRy48f2/nnJTB0IA/OMx8P56BAcE37pGg2Nhbc/dpL1VS3jt8JuF2wqyjIDCmmcIJN01s
/wNvTh5MPXXTG/R9e7gxUBOGA2Y/ymSqaYmxmWL7tcXeFLb/lieJ+6P5Eiu4NX48b5JalFdRcuxr
TB54Iq2VzXFINDa22vKx4UnM15B15HRtl7h2rXBmv/Ltnbt9jMjyhx52ensc3Y8YM42u6A0vmfeO
cR50+CB8uFc8UVhq1vnkwbYBtBJZn2qG3bNZXKIx6xT7cwqOZbER/S3VcHxko/GTWw86Ys5QG/ev
GNmuWfK8QA73sNkmh1goyVbW4tPl6MjV8OUPCrIj4LgmwEuRBrDZWkorThWqt6ToCL1JHxbR+BYX
4DGrwgdcKaDmvMVzv2PWvvnWzj3PZr1T8RfMJiPJtkPDudqiOYBxAc6Gqwt8qo3Ha+eFY/gG3AiL
Qq4wA0Dm6QA4yDBoxpMfdXSFxmk69Ju00UF5bvLMkgfUBD1j6Wrt9ku5jSh3nTQ+QDk+d3FHN9II
RDp0veULcbPtflnOzN2EycZ0Bxmm9nTHBb6VO09nCxCDsR/lGuqL1GvXsMVcqZTh+24AlOOuSxY+
wO5dyCwnFZOkfNV8B3BVh2NirDdnoZmc3tSULw+qFm7Gfh3TBRMeYJTakEPwqHJh2CzeEFkAqODJ
cjuug+KmZpRk29Iqq3hoRGwyxi6XhU0tGku9ar2wVF83baI/rRxN775o4lr/6uBJOxcC24YIYNTM
lDs54Kfl76xbUHRWecr22uHypNgpi8mbUeemqqoe9FQ7wytB7JAyxkl7Fi4anMv9wrYzabp3isbh
9HHPUNJdky0tgdst3Ej8izVOmXqzRJ/2QJiaOgZ9KuJmeObbao/ZOobSBO2iiGahbiH5VuV+NCX2
HRoFDK2ZPrvCcRNlVtcd8wJU/clQwl3tTdN0LBRQ3eVvmlTr7DWkdMQ6DgFD08PSdwazSRsXqXO3
TM4w4efQy/Be94Ujbhob3C6tmFnYLldnN4Z2LpwJim1Z5EtvznUSJEUBtiLRlbgbo3JcgGfC0+s2
FUWhxb7x4DvcshLr6gsCo5+9BiGml3NWp9rcTbrGX1cpSouv55S4qMUGu6y1jo5ZQBHZik4Ewt15
lOfuOpNNeGBaRebLuHLh2yAWbUgg4O1b2Yww32Xf4PIbC8bYVcSiFrSgx8QKGp/C6AHmXmiF4HJw
b+M38hHyYYHOaeLN+3jiagkvJs/YEx1zkggUjqJaCNV90pJd8/xQwouV7CwbBxf/4o/d8ABaFgL9
Fq9oGfa/RhYjLnqOKvLGfMMOZlTb8SIK7P4EoTblWZjmnp3WbOG3Tjaus2SgXeH2pw4mhQwe+XZU
JsC22TRxxJ0zbX3Ue60BgPKuE6h3HJ1JF1CVk6fK6E09QzQz+7QfEziYk+3q4PHKvYN0hCApXX3E
zuXP96UrbF7sIz8bdU9BFk+HDhVkocqadnB805XiwZq0pG7dzX+1xYBom9El8DBR8vaTkWAZVn4+
+X84hEYAdUh6r+FSxR8Rltph1WD+fc4HGe1n21m6gxJW8eF0rf9aWX70luoqHQmvqCu9qAMZw/6q
9+dyS+rHIXFCg+eaIo14/HsS9N8KrN9k3wiX9U//P6+/7LtuIExhlPobBuKf/+v/tVg7t9L/I9/1
38AbH5/qK/v8r9gNfsF/YjfcvyAHAqbAp4vPjpjnP7AbQvx1zR8zCSIQh9J3SDz9Z6Ldkn8JiC4u
/5z/wzUKTxzuH9gNR/5lh+TyCHQyQ4vAD/6dTLvjy2u07p/BTfLxHM/ele8hSMC5TvgvEdEe2ClV
kgMmafzY0cZ38zE94Z6l41rgqSlXoPp9+Eohyvdv4TRjTRnJUJnbiVofmMzZFE6/Zzc3PR2IVdKe
ImXbwF36MZN//ApTAOkPldA5RskZPOKqK2L5kkWx1OWmwBx3XK4JlQ8RzUV5r3yrh+GWO5a9lpmx
H5YYSfFICzTQ+Jge4uomya7NlB6LhGHLNfvNa6rK7OiD5ASRSalabEiqUIQjRe50XAZ6qtE32EHt
7gyqC+GscabryKs479qHGD9YwarXgqu7pQsykdsB+Q7+VhpWqHTs4leUWiUf9cLrkdklusmQa58X
Cx0g9W39NHeyZ+eVzW+tLpuTiSowIoMenjq9wJmI63evQZDH4fkbhwaNBYyw54m/3BV8iX4zUAn3
GV5hcaFvL0eGrvKQsePZ+zOaFK+9OyvzKj6NwaxC/HNrJ0r1tkivAaxxGs5aF9Ums91302cjvgMM
P5XS4b1QdsxikcKFoBzQEWi7ruaQy2jqvkI9Gs+8LscTK7zqB8B7f7pulveV7OQvema49RvJ6cjK
aJP7hUY2JJSR1/GE4xQ+YkNasQTM299pQQtGtZaRWQix03A7FS/+0DnzztSdcDCbmEV1D0mW+fF7
BnCjOw+sSuOTdiAQ8gp2nYO0lOTPb5ZrHotvyIBbj021X9H553bJeJfTR0mtSnL27EDwQi1IOtz6
hrhXa8d48vFL4vEKGNPGeuCSgk++uC6h8DwBgGxF8CKYMLht988o/5AS0QxWNkgPeKAe+92wA7ap
WI6w4dpWFEz0EDI9foVXeYCKZTfK6DHLRAlJ04qGG50zCM+xmB4WCHnh2oyydZ9Shhbwnv4wvo9d
LL2D2/RZTPdq6uY31LnV2YlPvQgvQAm/Uju1vaPlxkNx8hs7ZVnhdh/QB4anOqhQ/BIzTzC4Ehii
h5jr66GUFZZxNJcupW55QSw8Fux/fxUeUR/OQecezxFwdFoDIzcA5h+RxDsraUnsCx05KR8Bod2U
rEF3Q2KxlVnAs+hvLd0r/KZg5bwGWb53pjBf1vCJiVBMpemuLF/M/kcZm0bcBykT0CpzmO15GJaL
NyI80A7SDku59/L+j6sJBY6ciPiMW/fV4rer37TEt3umFRbygUWdxAnNPq6+MBawMhxKj7720HjA
H+ai8gmOhIFmSRuWLEninvq7b4xTBZnGIby1UIgxRU1M3BS+o7OvvYoTfw0c5MPkPsjn2oTf11Rc
MWrMrNTbh9RYaD5T/PQEI5ukzfSRniz/1ZvVyePPWUFSHuwvrvhuAPx+RI3i4XTn37wQcOx1S1hK
9MfOcCEtPXntLZoZBpIRJYvAkDvqEw12ABPnWJPNmKq0+xrLETtUTEVOux1HIs5Ia3RkrgLPRpPh
2Iijg0WDFcpwZ9Fo0gzeKokC/9JXjvPAEzzT+6jqmxC3zL5JMsh3Sbm8Gw+2z74PcEmGoyYn5ia/
6fighMIdhjWuOvuY4jrHfz0tL2BG74Dm6FXmNojoFJ/sMJGDAg65UPLm34nYCs8yx2kI0sY7eViz
vuWQIft1Sc310A9a7K3eYNodMOVrcrTV/i6Mhj9FUkRshDLz0fbVK4shf5cRWjmVbV3vWrbkZ4cU
gCGsgjJC8rNy/d/TbGU38O/kisVGC55w8l4nG6MMFvjlhK+6205qZMoe6zm5RnXH4kIqmGk9JtyK
S+dPxG32kZdufIkky9OWbiqw+rxF1h1UmX0YqODokztjTg+Wj7xP6h17reXDg53ImyymhTgvq/Lo
sUZ+kJ1XnWisunN88YMRmOqmkE3XKZBxfVF9iz9+HvodXjzxWCxyeGsDsGa8buUxK8bkJBHiX9y5
TLY+L0Q6sFNvOjpGT3c0YQbdtpkc464r4X8iiUXvrqmiLXfs6R60ev5gPLp+ZKx2uJbcw1xm1QGo
NY2rVoEhhDUqi4WAv0QYxpqfJAwu89ifM3znt+GkqSRXlr8hEaw9EoP+j0znR5835hEa7bhHB7ik
eC2HeOTvoq4PdSM+SWWunUDfW2oAEM+hqdrKfhIwbtFtH9i8nQmdrkPGOxzYZjqLzGWr0jR4F13c
/t3Q7gDOY8YtaQKyM9D3gqzWwMe2w2P4KMwykKkINp0HLDG1w6NHAHPL37/3K/Imfqupb4idetE+
zcLkZsaOvePov9JVy/gUzLSHJp6VfGFDGk4L4YW9b4pigyDG+oUdf8hGeK2iKUMFMN+M+NMDRs0j
is1zxyaMsV/cYUU5mKaengekB9pciFxf7QbLHk3/h/bmB/wB+GTsaz/nh+66TZKnJ12zDkvpi8H2
ykIjfU3aiZCJfZd1zilE7Vj1gQQ0kiWsMVyaBbr8MQ3bC7Wfp1QubAi6xIFuXP8Sk39Ig3rta4u8
JBaVE8acM0KxOc6EpcUqYxeyF/XykiP/EnYzaueH9n0wSf4s8w6Nl4Znw4Kfn+09cDXR9nkMNn5v
ICwvBqRVFqQF7yXPfkyLOCK+0xJSxchESREYMNkSI1gj0Jtl5zSJiLDU5x6BH+jnLrHLrE+P7JjZ
4qxwmpbrji3EJ970uwa09zZI1bxxsUpjdtXsPAdkS/BaXfqNXFse8afRVnTjFC7LwmHAcTy6GIKY
j4pdBteNlzUGBKrB1aucpMEbucQr01FxQmwDm3uw5wlqdqwP3aOkJJkjfVB3DMEpdU0EF0/ASZb3
rhL2zu9MVNLzqkMcdZH1YLF8CWELTguuzx48F3Z8OX/SISvVtarB4ja55I5omZqxotBGnLmUgokx
fB0BwUZbOgXpYs9whd4jEPS4ZURwAGXJXqSjavjaP4FzeDIt3RppM+bkSa6VIF4Z1pR0Oct9lJPR
bxCe6F9xi+0yFy243uLqxuJDF8oh8YGNa6Pj0tuSxaItLultoGIeUQOV4573xuEXfLzygQjIQweN
8664pioMSxoiio69H0VjYFCzuTT+8JhZM5qD5IvBPXzt1cRPvGq+eEMrS9qGUOxn2nl2ZaOeEkbq
Vd87dOTm3S87gJlBr+NF2AtuHC9VBB4wPldTSDIgFjYFI9XtpNkbJTzQ7JehJWcASWmI+5ME1mcZ
OukpZSG0TcOM5gDrqIN8+vSpxdj4ms6SyV76I/4Z4MeCg3M1zVP1zMc6vqt00KxPo+/ZQ+ijpKo4
1Np/bWglv2UOco+E5VFdgurJsa+5YhMamqEakKtezduVqhKCKoSYM2rn0iW9SJ/zZM12Oz+U8+je
d21JKtRfipObunh1hLwpHePvA238nRSK0l43T18UWL3XaNDJo5eTYxmbLNoBPPW30Whxrkb972lw
HyhwbN7UFTQbKvsDpUWug8lWD3Fs4VpgG/kd5SK6sC+23/y036dJzbUvaOu3bFnsdVIl8pFU/pOd
Veqtz4bf1mzTi5Sn66jLzbutx13OsonAvfK+UODrkw+C9rEfHPxSXZx8NX0YftX46e+61PNeoqLT
cuXEIVHEJPafqomnC+GtfxrspTxbMKTR8sZo+KG13Ox8S4177At6b/Uhx5nQ1j4QbfiBGDTcle1U
rZLAnmo44TSFu175bLAW0aVSz/TyUoOQDWJvN55DaYqkJk0K690r5+pDF226rY1k7zYP+d3Y2BHx
S0/dldLY75lSYmcHqOhAml9Hd3b2RP/JwoM9ZhET4qrEj5GXQXccvGhYN6FAdY6XmLT5spxKO6z3
i8aB2o7ZjOFxEKhNZdTFZ8CEUIoo/HmI2JAyigxrUXbsS4LaXgge1YZF8ZCdrMyiGrlIR6LTgb/n
GX1Mm0KfjM1OyjTxQwpFcFOnvYOdhe6WKUz988wdflND1R8zuLF2WGzZPTVvWWc7D8gXz1RntufZ
TW5Q34hZBvjnceVZB0gIxV1tuVhUO7oCLTeJPn2d8qjJ4V16c3qvwIucm8URT45204vHqUGAjdVd
QJZvW8fmJa6jE6Daic6R1H3MuR3tEsuO6M6ay01QYbab0RYhW/hRRuNYTCXxyOaT3ndHowdWcA0d
j4EPREP9O6+A6nKrzRDDKIhhTGe6JGSkbwP64CgqJN6Tu2hCvkyTc4tF+1IB2Dhl13Q00wsg/MVj
3DBWw8vDW+7Zq49nvEvZZXDaxxH1eN1PDmNP4rMGsODaFXiOb2SOrylhvuJodK59R+RngM5Gh9ZA
2JWA+wl09rhWMIc8VterD3ZSaACi+abQ6ziSc95kRQTLI7Ydd0XNS3icJo5T0bT2zu30r5wKjVWQ
JviJUW+ZvZv6YOBPcwZRxbKGOfKnhRmCQ1y8ADIBfdLihi0cM3/xefknq//boJy9aYb+N77Ox7im
YZLe5XSXKy/YW+PYtPzxA3X0mrxE2iuINeWRSWYmwRjgeRdBAHZtjZM3ZWsWxbN7wiHjc4NG6qFM
9ZLgB9sjjt54wn4Ugk7LHILk7ZDKFyJnGwfj57GJ5I0L9HM9t1CapquizOXvIYp9ap6GMd4ubfbJ
ngSQeV32+8Dgu6ek5AAlfVnl7XK0k/JjVFcEf9sTCh3t6JdFcd16cdLwDgZJeabmsTFrB5PmVH6n
2BQPqd8P1/6y4CBYFnzEIa6ArLQQ5tSyt0x0pjyjAXKUo2BeD+benbEoNcUT/TCXkmXxJab4Z5d4
oXpuwwLLtK9/6SGa7gaOgI0ZRvc3o8GnbKzb2qm+yWShfM+6u5SmqJHqc6j7gEgCTLdkjCyr0BtX
LPLEGnpr0SbzmmKA3IcQHj9zJ/DfZtI4e0u0lxK8PuGciJ4LMtHXJblLpyOVFwfm7w+XRT827P4N
Ves3X5GYx8Kt4b8Kaz/Hk30heUe/GgHmGq4fjtHS+6FRZ3qmHp00Xo4YMkSkR+D3dGy5Ytj2GYCb
3nK/Sfu0WCPxhGxESz60ckb1MsNV4b2ddve5bvoj01qw4cwlcDWw7G0a4VM5lVAQxhaFGjBTr/Gl
9rtAYTSyaxuju4cQsniG5XLktC/tyH6E3k08NkhvD8LzylNTCIZf+2eZaQGMHBAe14LscNPkln5q
zPI7jwUIZ0O/iMaackO6j2NSwq3BEFVtO4uMTui6el/bbbchGjifxRLZ+4TeZIcOj8mEr9yMuI97
St82NRUlPVWpl2sqcV1XJR4AyhPCjypj9gXG8TMbjvFr2fFGj0F16fO52Yaoi4TR/XItG0L6qf+r
TInxDTTGrRpcp6sI+XzlZ1g/sbXMn2XvzLe6rcuDT7nAplXL27C0y841Q3jJllzxrxYee+3YwkRu
eQ/l0MKRoRpk4yS9AkMLEABnQ3iq+kw8ZZVd77TAEjReUSLYXylCGq5GhLaxYPJlaIWgXJ1NyIix
9SQu+GaiDLezKc8USOYmXtpjqyhEc/oIV0ImfjC3gs/x8ycNnZoss39F4Qv4FWlFIWHROZu2j3/E
mEfnCuwG2/WwPwgnx/nZwQdXUXcfYElgySLA3gRknITU6jRxdbqNZC8osNQ5bS7YcblBsmjckFxj
WJrovOL58dcaIO4DjP16h5WgYl1HsK+DYbcpZ8nFKJ6iGAHUhJsRZ9g69GnGoOBjbVmGitS4Jyof
N/TQE3hed6n1wYlnbUUz2WdJndQxEZO7U7RBm0odm1TmZ6rXm31XE6iJ45BrI+8Hxvpe5hvjEVGQ
BY1G+cxSySNuv3dbpL1CNM6WZg29Vb5+qZP5l4E7QrgtEx9J2X0R/rwTUBOI8/lQFPpIX79b+ogA
O+xZgt/NC3XaReD9sTll132dFtupC4pdY4U9yx4zr7tgwksI0PwSAxbbNlUe3hdlzuY1Gfc6mSea
OmcKmXpjdoWXfs4jJrcT43ofn4VJaR7GS5fWxE5oIr6InjanNq18f0dX3LDcxwmbeMp0kW83MFgS
jpxh5gq7CjAKmHWRtzpmURaN6a82pLGnQMdh/Yj0Vb3hoQ4YmW2CEKsmUPJtWjSaScPq9rV0puY5
I6KMoNxHhTgC//JgdF3zYChnM0OgTElNUOLgahzmcWklDJJyuvLfVcOLTtule0OIAwmr6ERwn1i+
g9O9Z0v3EBS+e61NAEVcEiy6NgjzQ/TiAVmSOTtv3QEPThQPzQ1hfSFOrdNGTItR76RnTLHuSLq+
K+prMCRyn1wrU7dTYkq08YnHaLWkgZovKrAH2EZWLO76PDQ/YxDY2AxJw1KgrK/tgPjPhnuW/tEh
1Bns/Sp5xu2e70YTcENTN/EQvpRODMikZO2WYKd8rBL/1HrOVyyo3cF21qOuFSRC5vD32DvLL74D
0wtbW6pHbJhY3OdK8+pog40VLX6trGje6XkR3lYUyicOI5ubKNd2Uq1pz66uN3KJq8Yqx/wX2mbX
Pwg9VHwVujk8RLRCCDorxuoxY22Ub5ORbpenqpuas80aCAQJy0rdJeqVUBIIDTU1w83ULLdlmjoH
0nrtWqfFiIVugfS0TNA8xhEqknpWLU2MuOa8xyGz/MfGMbCpUnOZaVhF6g6qdxJVXCt6n0xHw0TA
+xFbpiXACED+uFd92hyLyApZcrIy/0VEIzy6jfR3hFe6N7Gk5seNK1qWRZabldsE9A3X8Rtlbmab
IJiu3DFxqC5P/SN1D/lP1A2EhlJeFhK5oNbOjZyJ3K9wTNHBLgLB22NpfPOpAqLwB0UWU2y5hbf+
AYZemuz55lN9AgoAbxeU/lkfs5SKAFICDZiS8yxyP9sGPrmQtQdGnNlBsMtnMA5qVreVJ/hxVwRf
t1HGu+Caq9UAeeorAKce6qF6LjwfUkK/gk1h+2ZrAJrMZtO3ZlnaAwaZSnMjwvI/XWQ7faICAScR
fDa7fonIsy+AJpZheZ2J4bGQPsEDp1kqdcNViJ5wcBb2s8rOJWQEVTCoU3u0TMY+KYlf/NoizIXT
r6Y9HYj+zk1YXvu86OimKsAXJPImGinMRepAgk3D96Tr7sqQAE07zmqPvQCUVqmDg13PFnnGod6g
d83rMZeggXixOz4Jk7E9xk1DU0ujlThX9tJ8UJsUvmFJCS+t42VbZ3GnD0To9DSzGKU7MmUX66NG
XHq1UCozRPIg2zk5DTi0ht3U9F3D55Npaipxl9KokxSELfnKEIzwXLXF4/E3w43tXAvLHkMZfSz0
SD4hB1yU4xwnkzbDzp/T6YfoDfQBfCY8EUR4uX1X21GQ8S91r0MC4TguOTqbO1LFGJ5JdcLWYj+1
C8feZQvvGRqYBYue10VHPqQHi+XtzM32PWj1Hw0wY1V2fXBpXCqt+TbRk1NxfckbUd9QQd9/jY28
6ydmrXyg8YjLeXTMsYCfZJZSnZEo8ZDW7m0Q0bnT9SRQxuy2RWDqmiA6O4D2O46ivL2L5JjceGgC
RESjad3h8XEwgDXOuibMua16/B6UFPTPVhjfonFwHjJHP1DP3hGMEOWj6+U3QZvtiECcMpS8znH5
zjtp9d5aOCahqX36mMeIR6ItpVGePDomDQ4sANKHMszrbTR6Yh/Mgp1tyg8dUQJkRFR8NQs+82j8
rBqsuXQbHkI3cKcVi4C4Tx5UY8/fvG/V69iFE09jG+8C29x5lvbxAPQS9ybLgU2Hz3RYubYzHQaA
BFgFrgXRdqyoHABQfXDzedqYpRDP7GL/TEHyonwb0Yvn7oI3dD6Q9lw2Ri4EiVV0G9AXcp80fIZg
lrgmlGhwNKUoeWxnFKaObNimbCE0kXA34Gxc63bAIrdxnEadZ6udtsTWeIirWVpPpazbp3EsHjPF
/TWuadiVyJrgLMi+Ww3FgEkJhNIJVU1aOXytctdeIRjSNEtH0I2yID4BV9tfwxdfSdczrg7JbXj9
S+2cLtwyu+UbW7lmg4lm3yjrraOI4UAEkZtbTrsrLu01cKFrufT0OeXOAhGCS/vGpLkkNaKRON1K
3SRs+TdeEnxXoY80g+/5mepWsXaL8Sbw6fhd8H0d3STe8QdkCQ255Logu63sgo1xZbbBPFkfoQd6
o+GldZpHAjDOsKhq0xZp+jxiytXnYhrH7tZobkhXtEAcnPGDTPFHR2bS35LCj50z4S0SUaPjnazc
Bd1DdGTeW7N7tqeGqSNquOi23hSccFeK7AW5I83XRcQMfMCPW2MYxVXTfsVAnM+iX1T/d6rv/7dn
/A8R4Kn4v/eifGTq6/NrgAv8h6GhN8ff/+vvv+R/GzRsLBC0jgCgt6WwsW78vReF7hPhhp4dkUIM
QuDLIGf/YdBw/L8CYMXk06hUCUKqCv5p0MDY4V2tFBL9kH+M5+PfMWhgg/0Xf0ZI2UFoRw7vdBDy
0vkXNHIrqSOLxskm7h/4w8HUQ9xXT0lT8Ra8mZclt/ZpRw/gTR7rYNeCtj8HkdM9zxVOLx3ztXTD
wNkhTtZrReiwPkYzToisoYQUeMxM1sh2Hk0oXxHNz6EW8x4H77RvJVnUkBzTSsqWPj+rW85VmowH
Lk6gjQDRMZujYzb6OawnuRuG+ZdtU4pLzCK1HmSegJ4cCBiPq8Yz1bdrD+WRPg3n0AU4er10AV7G
j3/g0RifGk8mw5aIujyL2gqoDOFlWMWw9bha1vSC05FY2g7Tnde8eU7/Nfjp2Q0US0/7mhuUQCBl
QSPiQJhCevF45l96D09gR7vsAwnzW9bC+drN0uEc/gd7Z7Jdp7Jm63e5fc6IAIKA7qpVS5Zkye4w
JNmmroPy6fPDJ0emLe+0xunfzu7Y2ywgiOL/5/zmjK0al2fGvmuJkRn/cMBqlOhBWHY3XRVK0o4p
5FJz7Mw5PjYPYpJUL/Cs6LNPmLkm4d6XJHGx7mbjEYcy+mpWPCCGJd6rXJwSnUoU4qrXtE3n8tAi
59uNP4ukdpLAARveCt+M6CTnmnSoiID6ImUSZ4bYkQnX7wXBU5usCx8B9QAPq2uYSwZrG65pEl/z
uLtdAlOfUcOYzqSIuxtJTxv/51BdWJbytv3anZCOic5Sy/Q7SLnyYfDDstrUQ2neWgwLhzHp5PNS
DO4F+QTOV0pf1pE+RXECYzmc+ZRheYEJAdMeitgVR1PWOwNpDaCaa++EVpc9VboNk/UykZjastbH
CWSfcZxPqG3qeIMy3W2Z5jjCIwFcHtBdErJsKiq1qVZ3hR9bJ123JF87PadAargX/tyxlMBkPkZ5
zzP07IkU2S7XbxXUo2ckvauKHPH7UpMx6yI8ekix9JLqzZqeeXhdoiKrkFba7UUQEtTHos8GjLu+
9lFYbpLURUjOjiso9qDcrUMfS/dypGxz4ZHTCEw26ojQymclj2GbVy9Y5YbjrIDNonBgP2zjJjo5
jY/p1ElZaMegdbd5EEaXTmsgMsTkC6eLT5QZHQm0ljD5wCyxkSem+C0erFc2REddzhxA0260Pge5
BPdiAoSRfRW8VGXXPFpu7N4zcBZGis52ncqmO1dW6oDEHtinNt1btLjWuUij4VObLdYWZ/tTWbj6
qErVb4ja6baIsTnXLUN8OTaSoLiwcDiBk3CB37g9qEhY+4k6jUHP2a26ddi2P3C1NccgKN0Lnc53
0eo9sslCuCvVdATWetP2cXBsi+rUWaq4nlrvvDZgMgPk0WZsyns8fzUdifhaK+8+DcoXTg+IDxqq
eR7O/RbhAQ9soEERWFcLllX8Uq+Lilaem9se42bOqaY52b0keqHaAKq49lv5rInyJCBPpgenFP3J
bt3ToIuXjFbWwS4reQ09GXCItbw5rTW8jkN+s7ZGq6o6Iospdj6iL6gUN/GyPBZBd4STcFf088to
R8/zoB8RF7OLhZTuGwqXGqRc53U4yMRRee0P11XRRYVMXubDm7ZXhFUzhnv6/px3mxufJttX2Bje
plpgFy32FH8PvfpTEOtrtsuIWSbrCa79YenAZZDtu+s8gHkT8ILYekaMjFQL9fIeHzqtSjpQnGNq
p4u3VR3f0mU+d2ptHcpSnFt9WR9cW156vjqSM95RwgWmnUTpvpnx73dasyOv3XuPKPZjns5MjbhV
k4epUepH7Tb5wdLRvePiRhw99LU5zy8GjMiBO7iOjGtRpZ6gKi3IpmZNLpwrJ49SBAiPBde1X3xz
sVoenCZpt8wZV/7cU7Kygvx89ir7HOTGdRDRAKotP0TQEiynNleXmtrnxiz5GxWS74StHpVlU+Z3
Y474zXlC0WUzuVbNeTZ+i0x6vjTRgz+UJ09wLI3daU+y95VTUeeMR9YU0+rvYUiNJi+9u3gcH4o8
uJj4MlCw2/Zzb/E99Ul6UwwI+6cYeYFm+z7azl4EOKelF/zIImTAKjPeIaaMs6la65rkIg8xAnA1
iLnlYWmKaes51VEnUKqjxVARg8zL2RJ/VjPAiyF65ILW/EAZbnkEiYHDDB8Oqy1Mty2w6vt4tYXO
hBr3nRz2Yern3/0cp1tg8dIwZFHesyti87rUmKNEcPnmtwF669UuwMmt/bZ0wwIIyjPHwLaaYwWR
jNiYYYzTC8AdJrjDIssAX4CabWPX4JCyNWVItMbUDcIhoRzd0Bx47ZFi3tcN/921oswBKscwYU/E
TuNO0N5dH4fV3uoDznrA9amVU72OFzDYNkZAIJXNsC8GPM2unaGKSShBLqG1ywI3QXNF+ZiXra5T
vznaSLNwIyJgpw+fHbyZrb400/TSiILANVRG0Ata4GY4zGBTbDz0ZNN5ZwKNiTLphumhQJEdnCcV
yJy9XXgGo4c30aO4ndIEsUG27Kmi1YR+kZ6Qlg72qRBsHHloSV+9qD6G+BbtEBEQ+khvuc6+AJsE
NDAIDGeZ+zSlvTnjwdyKTm110wOoEihVVLMff8bqRtdYGwGbUeaPYbySrYw7lzqIvBD5/FoP86VH
tW0HHOAO5y2ymNq7BaWDQ0uwspowGlFiNNwj9tkqzIofvpgBDFdJBmy6nHa8QgEUbwmmXQ+gYdfk
+Uvq0f3vQ/wwLj0UNkN7yrEAQUtM/eX6bXoOzpQFU7carde5mtIbr+raYxE4zxWCmE3fBdHWVmS3
WiSYEnTnPSbNfIWkxpyCBgghfrJom1sUmkOBKz3MGaUuytvNmCFLD9U8nFEFdigWCThFgiznXeZG
41VmRfGFhHmKI7bN8EDM/GkHRZX412WrRwTBWIqTBJ2TCS/BpYXXbptD+1BW+nmk+n9BcK65H7T6
quOmOTSlb13Og/mB0urQNPwU3BY7qxiHM7Zh3te0k+T7pa4BWd6OtDbi4CBbonRps0iDTdCbnrI5
bA75mEX7NmooF80G45P3rOhy7EU0pw9FwQffViJkCEBDRR/JIoiz+bVvwuR8Lpo523qa6gi+nOGl
QZZhUFmzueGQysJWr4dCumlI1IbEroON4phNfXYpeADVKguGAmbpffpTLmyPU4Z2GPqj1dzJht00
nJ6fEmPXrZf2ojKr9NiZ5YQOOZkBqW0z6hYolB28aKtHAenMwY7652iGNbG3YgtpcxGjh73yf0qe
ByTb0ZleldDipyiaLmbXHgqxJPmtFc2O/No5IDIaFTgoYNpCa/9xElbmbh2DoPVa1kKgwJ5A7Hyv
SxBvcotwIqzPA5gv5kjlZfxWGXg0pKlDRZ+vi9HvqmdvVXtPMnKQ5RI7aJHoEEOboHW6mPjcshX1
HYIBOKda65G1/Hl6rY3fYwizFJJePPWccGk+L8ljvR58a6+ftpnFTEZVu4mTU7gelBfRuef5enim
J845uvt5pi5/nq+99aidoPLh2J3/PIOPP8/j7Xo075KapAqOfPuOPkZ/AVgwmfC75vg7WsdvT3Zs
KRoiRVBwr6jQWfCr0oo3C5d48TWub+rOM6i1tY6bjZdygZDD7hiQ+7Xy5oEziW21wxlQjeIBBaN6
DdICe/HsSb/e1YuX9nAUKBPAEcXgtnYoF7RxHgRW+zYdiJg9o4e/yn6mtVZo4rL7Ws6Wp3aV56N8
ocEmaej3SW0/j1Fn0fQC/8lMhMG7x7BC4nu3wSpDZTCa2sn6lMUtDV1UejAQywRJ05PUZBFzvJsT
ccCzZJkjX5eArOLhTQVJk1QrZYFFDeSljZRhV0JssY5lVZUli7+JvCstC4Q/k4Tyu0dRgCEKO4nH
/pc5o/3m4F9k3YktwOBhPqnLzAkXVrwwiD67yFRfjM/Eu6nKsH30E5gmOxaFYjyFbfhJGCm83TLr
ZLpCr9Odkqla5DffwZZ2pAkgBsKmpeSwsmnmfr7Ayl5dW4bl78jHBTu7oj9JB8G30qMbt/7w2eqM
wGaXTlN5K5oRlXEJwRsxU4pVE9sR1U2KbGsHTqo9TfbnCvjwp0RkxRl6TMgf62rT4jvmHIvNqx2m
DO1FGuzTlHIa9AIOdrbdn/mLI251I7JbZNN0BcaA99oCsNC0hezmSzCG8jaYXPcLTr5HTkyMT9kL
lBJxGcZbm89u28ugeB4HL72RCXQ8aFwWcAmYcAM8LBAnm3iexEsAo2reCV84m67WBiUFu/Anznrw
+dtm0t15TUtW7OBi9BfNVHqksnfNAVECCFevkSF49bA1wfkQ+GW+q6G2PnhT9GLILbhKgDgdmlCi
DPbd68XGbJzzAsqov6KDiQc8Tu+6yN3SJYSlU+h+Qms0EvDQRumPuQESTkcxCw4z1ejt6GDCA5xJ
422lWW6Ai/cvlgsS5mdx5v/Xqf5fQOHm/y5THdvvb7+7iNa//+8alR38y3OVDHzftgWJXP7/mIhk
8C9KVFoFFKiEtu01d+m/a1Su/BdFKx97EYCVAAkpha3/9hA57r/IdmSGRky+VryI2XyX1PvX5N7V
IPS/BiJtEx3nK6XlakbikvpdNJO/imk5zXN2gC10Hk7echMAjgQMHeBRXdoe3d843CWE6O5GUCVU
Fmrn9MvDuv331f6SQ/jzN/AY/EBJ6Ur3faTWBJbeKWjQg0h35alaRHOtpdXSFXX93d8vxcP+43YB
ygrbky6PdY1Y/jXqaiqo4yPHsaiBVcXOy8qRLlhDu/+D9K41d/n3C1GPFKg0KT1Kj/L3uwstZqR0
7HFPNccl/An+fIbNrEmOuRm865GOGz4X6ns0tzFiozEAg26dNbqf35Sa06thiqzHiEBNZ1X01sTc
LB5yYTYj8jQO5Xo68PrKOhhIqd4GXEoGpApnLsjysEfNvtShvHELM+L/5Zdw3pUO4PrGjN906el9
hz2FVmCKrJE5RCdiQ8oGHb+JliMbw3GhWlZHbJc2g60WZiEabvG+pV3mntsOR59/Tx3/ZxblHy+G
5FJKpb6WcvXUiXfPC4JMHrK/xsoZTW8e3bVDOFjZB4GK8v1V+AT5ED2fAGuBeU69u0rT9KON+pBj
YtTJE1T28WIOJ3c7M0Yfg8FpyXFAU7vxOloqSGOSO8JhocW3K5hclP3NmPrfrCLiEf19XK6f2a+f
IbmiQni2cH2bqESCvn8fl62dmTyv+WEImzESyxHgz4Dq4QSCxnr4+7XsNW/w3cWYkSRx3Wz2FQF6
v19sKiZuLSQIAXB18igLKKQI/pfiFFV58xZl7H6J4BmKJ23HJDsh2Fve7GiY0j2liP7B9Y2PwFbO
wxekSAtJBisPkPNd4aktMiUr3aZ5Pb/4IfEDx9rOZmBnXQcETdQ1hNu/3827bDmbJwcQgZtwHNcm
BoqZ8tcvul/K1GTwFLiD4nFp0eMlbpTseuNe1Xbw7e8X+4fXBA3SgxOrcF7q4F28opWQq7A42uIE
5oRXwKXcI0Xj+aYkYezy75dy17H47i0FvCJPyzV51lbvbozdSGZ5Pek85ZCIikyIGpjx0AQe0SnS
Wou0NftWhCkxAAZs0njK2uB2imafPnFZS6zeeSSagzsrdkm20Rb2Yx17r22EUR1oDhAfYMoVBmv0
CoTkTEg/rwdLU9pIpygadsJu7ReXP3pxHBRmWyyJ89o9yEvk5VULgqbDQ3JuQEAGN1RvvLtxmdXr
RGgtfXxj1edVuZqjKMoyRxmvWlJCgWNxjdFyjk/YvuLx+PenZq+Zj++f2rpwMhpcpl/1LhMy84PG
Xjy4Em5MwCeljBoBsk9VDz0wDcLHssrbZ6gvK6CzM95xGSSgwYbay00bzOm3Ke9UCWrGMVBZe82J
vG2XZ2waOVauAYEq5u7MPuTDOH+bkDkh8Wz8DIfx/+webv/9c39dEOXvbSP2AtiDmQxt0q89R2v3
3aqMICsbcpWT8FVWKR6TucTwaYXVDtJRshVljOZaeTYudIWwpqPQh+58DnY6L2BPDSXosSYavHNa
Uv0jbkJnN1osNrsCWkH8wQf455z6+299N3WFlHhdb51T0wwFgkyBlClSavYfPJI/XywJlWRoOZSj
HYWc7ffvvGs51BFexmYW0MnrynkCvm1nN8WUNg8Rh8YtZpLwjqjG/NqWzkw327EmlKFC9bd//y1/
vh1+iu+6TNX8HGJPf/8peIW9KGxgisk61Nuu7vpPTjsS/4UZC06UA9ViW/pe+8Fl/5zp2O7RYmTx
0mh47HcPWjch9EyXvYsVL/0BeU1zCV6AquZcQqUUpfwoH/qfLui57Fi15/uESLx75NNSDsjJob8h
2jO7ktrUyXhNu0F3JDeTQWj89+f650iyBUHvtu8wwwaOeje7InBJYXSY9RU3kKokqYSd5wf/8Xjl
KkpJpdYusPN+x5tPQdDmI3cVt4F76kbR4nSS+oM97T/eC6ZVz6FeIuX7/d/ol5rOL/cSBNBPlZU1
O0twqf/8iWnbYdsufM9hcPw+EukID8PgkgEGy3fBVb+EmBmj/INv75/uBcjBekSRypXvn5jC/yKI
uWXXVPekJirj5Oi7+48CmtfP5vepG70Mb4Xto8cQsN+9fmFPCZFJvBigSuOhciY6XvzVY5Zm3hmf
0/yZ8iIeSNKuPrhBzkx/XFryYQXKZxfmgXX4/TnW0+iAz2IOm0no2QuzVA+msfpDTiTWvkLCs4Wf
tGwX05eH3n3r8uAhxRFPJGZSfbARXqf2d0/BCXTwM72ZM+P7BUxNmMxjbDLrw65fsJ1rbBpufSL0
YLr4++ix/7yWizqCT9xRriMxiv9+26vBhWZ4QeM9WYLPfO0Q2EG1U0euau26W7vp2u4ITd++Um1G
78DPcaYWZM85Gxn18Wd07ok8oyiTddvJ7Qk/YttNNFPRx1m+69sev9+8JKagLdjRKXJX7DBsStB1
m47tLaWXFuDRNkBtGB1df4DZ+vd7/IdbZKdmw7DDk82Wd33zv2QbI6+MxznESBlBBzqUkSMhD5r+
tCA/+OBj/HO6ZNfAho2DvCDjWLybLqXp8wlxQ7jyrsT3sZrNJVlAGeCv4EfVlOaDrc6fd4bm8N9B
9+hfAn9dpX65s0AVBZp6Lgc/3wdsWE/sW8ya+ttJoT94jPLP5Zeb0o5as/Z8SdXg96vRjqO50qVQ
3Ox22dRCl+fG7+rzpc7DQ7iUggReR38uct/+RE+jPRNOhoxcquzs7y/0z1nCk3IlrFAocGw/ePdC
KUAmg9swZjVJaU92RKshmVqEo0j8Heq41DjP8lyovUwK9cGe/M9Hvk7naIaY0jmkuu/ecDa7AFYh
yeFPp0SfLpzhCcBooJ1NHz3w93Pu+j0iX/qZnM0Z7f1a2AM7g9eYsulO+zdZAioNtR39h0PI5V5c
SVY8BD62guLdtCe1V8umH3Dd6iW7jpZ0OMxTbF1idag+uNTPc9iv8xpvSwLEsRlA1Jpsf322vwzX
NCNqs6hEvYVPgqDCotl5BNVO5YmYKAKEPAcB/WkRk1rOSM4JUPgDX5h3AEcl0svUD5IteBjMsyLr
8IPUbUkiqIE6tonHadB3zDaq35UqV2JrSit5GnLybGlGIQm/TfxM50dgmNbT34fjn++J2/I4gfLt
C6Rk72+LVlFULBD5LXx8p8myVpeizD/4/P7p6bkBx3VPOOgg/0hQn6HZeD3K3a0qh+bLlMPU3IT+
aKWHgKTwL8hzVu1OMPT37WC5iDudil7Kqkh7zqIcXtQAYxPxRsIGgRSafZ6gxsqoUuOnySCZbSfk
M4h1KRhMNwvYeoW73SaFWUxOKDcBYdz1B9OlfH/AZUQoxbndE8zMLCfvHh0kALOAUsConqcPVNzb
l24EbYCEWZ+7ncvCO4FumGoC1sJ4aC49u3Y+yKb/8+3xnXks+1Kjo+Or/n1Q9uDIhjx06EmHQw7s
J6SuAYTvgzv9h6uwCVx3NK7kQu+nrGgwBD1VpdnKJnZo5tjqbAgHsf/7SJTrZu/3L8zVdmCzF3TY
pAWr5PHXLyxbBjbsNCvpg3TjE4794EcPhAUcUeg/9ImDALcn/nefJZ7YJZ1LZ2dEeK0H5V/hJZm/
SlCy9//xj1oXQxYNrahusa/5/UfFsggIRVMkiUHhCDdbNMy0jthLzh98Iv8wnJjHWJwUW3qGqfNu
hapnDeAZjwmhVJXqLwGJkrsCi4eaYtfGWJnGGBLxtkUwPO9ruyf9yesLbd8SgGc//P22/3jjbDQ8
TjGM8FVi6q5//stkJxwSgtCk5FtjwuQSgxGyAyQ/h79f5ad69Lc3zgVYJLStKWVT0Hv3cGsiDZGL
EyYPf2Q61L4dYAmGkm7VfvhoUQ6CN+cRpipncdVMI+gNatDWV9Ha1j1wDkXAjz0UOwQhywXIkvg8
B6d57PCy3bvePH4wQNfx98evVaskl0+ASfPdhgWmDylDGJVI3GxREAmHJNaac1GnsM1/8GT++Bao
nFFP5TDBnoVI6neDYeriMJxhS25tRBhrDRw26Hax1mQ/8ED9PoJh253AC0K1NJ2MH2kTJmKPUs32
txNEpc9K+aAfTG31H2wi/mFsBBxA19/nMlzX1s6vY8NOF1mFabIGyJbpxURi91WYth9s7YO1rfT7
0wbJy9rueQETAtPOu7W9JzAOdi8xL4uddrRywkWFiAVhY+ztshdnE2QLa4OapGtQPfEL8Cb64xdi
h0y2yTJtfcFsIh4NEThPbuml9wSOtHuSj/PHHMJ6jubdTV7qufbnDQVXaANOO8srGy4JqjIq3ODo
ucKDG3ZWdEs63PJNTBxiiIXFkXShoI5f2by9r1lCcnLhtDlADptswn3gh+Fng1YG8Hhd6rMOt94b
e2u/3iB3nZw90BbXRylaOWSfIdTDOcRuii5IUKSvHAX8cyKgJLQBu5LsE3NlfU/sZrxfUgSwe1LN
FpDjBB/XSBQn8zySaLAcSkykXxvVjaDFahmTdSJy6uC21+rhAGtevTU6yA2eDbrmu5QaI8hnNeNW
zaogd3cQSyeCaRUtF1A/Ik/O/IKoC4XGba3VxeVnl4YGfHagDsN5EOWA6wd7/SbRMZIsazojsxOs
GVFuIBo54dYg9ALVClX8qQOSZx0R29WfME+3jy2c0dvQiyxwbvHMdqMCRHadTYn57LC0gMwgE+R7
bY/mqx/P6SWU1HgkFa/3451XLOWbmLwSjdZczGduBAcSM3Dldbs2UCEGXRhd3xtj4XpoyXn7bKVW
bq9eNss+65SNIhlLEuKEyPW7csNHFKHKia3F2mCSgIihluluHsPgTul+HPf+LAk8oi3Vv5CWQgWZ
AYlN3DFt/lKosiZoBCn5FdFH3XKE22OuqTKVz7GzOF+9EurZNpoxntAZcmKoycQIEulhEhcSsTtz
YJyWipxotEZBcqzIXZh2E166fieI+MTi0xfFdVA0nb8neohdhcirvr3ue6cg/yTLyWu2ZuDqO6UN
yaYo4QgvasOOOxbeEsg9HLRY7ConANRXdL3+Xi0KwB0hK2NBfTZr4eZ4PYl0oRsG8gaXOA5jXC7o
Qwa/RI0xzRasVtW0mdnOdAtwp6SS8y8IB7pufgjUrAdEB5CDm70upqBdn1657CsjjQDgJxakFHMy
Zkhmuu7CqgK3OVhFhnB6As3+UCcWoVc2pOTnqgVKsh2XZfhahHmLHpWAi/jQE1d2RfvWsS9DgHaP
A/jc9nM/iBnxsVOTbxVkbt8R85AhGnbIIkZuoOt03JQ0D7xtDMMeQ++E7+uCAnj9CA+QGGY52A4f
JbJhPFcxZ3r2bvN3UB36AiiMnaOUHoeHrAA5DxqG7Tk/p8B1Ocg42hgUEpeR72NEk0OByxsV7pc8
ivtnJDfYd9e9maCzkRq+bGkU9GaShR96ArHci2xGJYvuyy9J+AVofcxxDqNyTN1pdc27dCtMJ0il
kFM/falUTNKGRgLIROQKAo9127vndU2v89zzvTE9JxyNLza3h5KYTn91FRPe9ynh9VQ4wa3J2/EJ
B85FUCJt3kIvQqsetsh5dw0SyKOxsmHZFFNejwfSOpBpxo0zYNCq4wqC+WRgFY6QKjic9wUgDczN
x2Bl2x3itIZxRUhR/G3C/x/tS3ryB8trNLF5gUUCC2XE7WyF9SvnIcJiQwq2t3k01AHKaOZtrFaF
/Uaai6u3Tr0GVMblUMHtrdcZNi3bgxWp2Nli1Eh98g7kNNP5LNPwgBsfgytRmezwjT8U9QmmRfJo
jO3GO8JFWnejQ7ITtkzhY7YhiQHu1EBAFk3mAlHOBhilwIJHKBJtpqAlkg9JNcm9U91335DeRtXW
tken3XSoQcWJTAvRQPhR5SeoffP3vATrdtDGOM+umXEjw4Nm8SBUMiCPYoLTv888MBR51S5QcYlU
EBtOenS9DBCsbNcTI7PcAr2MX3sQf+Mlaa5FfzI+6J6tMqRKbIjnYBeYcogOcTSKapeJAQBi3CfL
j4Ws0PvJtjh8YttGUTkByd6g299Fln8c0r65X0SqDnEjr6qEJzpjTNEtUuWGLEsk4Hv02K9WrV/h
noL3o4+UQl8v+NxBJE37GkV2kfUPZaJvCXBGFc2YoV9JXOhN0tRfcjc741S5BzDynRTMA/vnM4Vi
lQXyBrMIoZuCNiYcLR8RfMFYBjHQo6jFgBCjz2/AcrO8u3V3gXYjva/S5Bqr+oXy8tdUo5Buq6tF
fqn6hywq9r7zJjnOFaSSu/wL3ZyQcgeODFsBS6smSM3PdokLQqHvvJbIJk6AseE2wGKFztcoZukq
a+rZdShueisXBX7CuP8UltojlUQF04kOxAX1Vf4u+gMNGhfhXyeK2yjU005gTUh099APxUFEfBg9
cMRwzJl28awHWt+5U44jhlMqKLl707ZP7DUeOkJSNzD7x6+i1O1JzPqIQvqrF6s9lMKryFYXvP9P
jl08KmuN+SLDMDP2J7+O7lIINSp79KMrR2ER6DkIbiBhRxeMMoPs9UfWROeasxFh0ANNSvMIcu3K
je0an9C4HJ0lPusmGktRMt4XnTyOgyWxQ+mzVjiP5Ii8yLbcNsYmfGuoj1RJDyEdpw0o9QNNnOfJ
sm/B7yLVomcDWuTeTta4uBCOOg6ALLV2mtvEFAQqD4v9vRP3GxySDgFCJMUU8bJvrDziZ9wCJ3ke
5PhkNc/OSFSwlb6lJv/WhSiGp67kK58uozTbB2PMhqi4Qe3XoxmWpAhJ56uf8OInvO+ONU7nWGh3
UThfjMu0jZd0N9riW8UA2oPm+pY4X0d69qMCOR6pJ7J08EEh/l48cYp61Xwape8P1Ls8kAYAVHE6
Vd9c9i3zNFzrkvCiZtU0Rum4q037Ba5btUM/fZsn7alSjAqC6Ldi6V/58G8qf87PqpmAyl4zxZHg
/qlvCSUOHfMGCWLoN4mVon6URcsuCQLedqjKq9HU4rIVoT6wMPtPMUPHPROjukJrdcJ/dBJAf05+
3V5mA61n7V82ykXeXaGszPHNeinokNBjA1Il0wk4JGCwLvtWpuj+QN1+h2T+MPryiyZmY9t1L8Pg
4W7o6lqLM2yhnGGVcUW4RYcZXoI7mD7DX7e+2kEkvxU2mYtbW2ryygR7kDXKMUUtQKY7+CC/tonj
5iDOJtIpoTWbbm4+TUHcBCRfxaTpCbGqtGNS7rotoUWr+L3LE2zkmEqf06WQ4XaO54Q477AOOrwL
Q3at/QZx39xQ8MqddW3p7KgiE559O6hDe9LwBNNqHICaVeJoAOPSx6gtuXOBeN2EgSI+lHR4crMM
WnWP14BRcaswDN+oNAVsK0TVuHhVusXFQzKQmIqwBqudrFB7YnkmjphB5DTDRvqyOmtCDtv7YTIY
vpummpO9pq/HP4C8GGiSW941NrBL1yPZ6ICVg36AgVE4bpVLpsDGtuoq2DWt73+L+zT+alyiItAc
V82dJspjVd0jd99CdRiZwIyltmPtzOi9qRidm3JqOsYP0P9dPadZv81iQ3hOohdMM2j6QYF0OTFu
G7dFwr4FjJt9AoyFj17HyDytgIztLBkxL2aOVcMN8gBw+kDvyB9xJzYiapLtW03thL+y6lMDLBQF
cgEPR0vLggJ1ZK6ynOI0tAncOTU70wI90g+SyJyC59QOahM1+YBLCJMUUuHRUSkLycgGdwSfMTPr
5ulw0egFbdgsB+cTYdyiukYjToKNYJem97SroosgbRO5c8QIZXKwiN1Oy4YIu6rpoyd3oEyC+j2P
X2VgEeKHipjgCSOHy2ruIsOb6WfakmGPDF9gbTKbzu7SK+0XLO4EY1rtJiN4ExtTSi4dQzp1mL9J
HnhdaGs2BMrI5ZFI1CJC2O+EnwHLlq/KSmBkWgppsR2uuU4gpmtEaD0RmGjdizMCMQq2ZE6OUChp
1lZfXPZBemCjCZC1aopg3vlkpPYMzgahgsD3e6kDbfwTRST40JEXJJ8y/CMXIDCrJ53VwzWFBm6b
SFOeL51J0OOmpLCFFZSALKQfMFq2DZDKz6oqNXsMfGcQ90s72IZyYVX3+4GtW7T4hU+XTxD61IQ1
zstiSJ6jiYjonZUmJAf7uGCYhmynfxVuVN2KNnX4qN28xuaYFp/HLK+wvOdrvxfdDYgnInurNfam
9J9TkNYoToA6keRb1uMKpcQsZ9uiuEiMl0DK7l3i0FQaJndW1PUBasuZTm7igfALvTEgSiGdPeek
lna4bp0C2fKIxeSVM0aCwsVZjDnUQwZrVTcxR/rCil9r/odnL3M02WaNbze7Jgig8tVF5bN/6AjQ
Iso7MCTR5OXLEpDbgOjMsl8qL6yuUD70cgtxESufxab7DQ5Kf5fgyedUoAvpH4sOdDFnJSAm2xYp
PJzy1I55oiPHMIggvQS+7MLMOWAtghMcILbp9vUyKHWKalSMtzQ223qnx6V/o9wioAYWTnDvkRFy
yz87fMllxTk+E8F8H+NN45TNKTLb+OCgf8imDD+R+tN9Ma0noz3ophbBPBUDDkA1UfIbaj/BcAW3
Nj618PnyQyTmqN63FYFqwIQy2hBBQMIZHbRuJokwcQFWp/Zi0r0fyORJksL5FAaoYDeunvizuc5a
WlxecdMS4jTy3edsJq0a+sqmpE6Ad65YqG1h3hgv8V2AThpmerygkCLythwSnKPdwBbgzI840HCM
qHEe0bYX30YtErBRSrRPFcgoswXiYUMXFTo+X7KwdCHcjdhodMoAAOsxTRLUU+EdC60u0o7M+6EF
OkhtrbQuBCdUejrUdXNBiNiWY2z/RgmmBMVHBx5eY8musROWSqkAWQS1NMyhMEcc3Av87Qwm0Fiy
/ffxMLGrhSP5md2s1e0l5uKZj0UhEgtiFd/OM4ChSHigpro6ZvGKitHdU65gTJCUxKIdTBQ7dsaa
tTnEnucS3Cmn4Iwxl00bmEa12rR4mWDIKhXLo6p8cS4NmiOARlqOSNRiH/v1EkT4KeeqI1Rshgw3
mGzGIj8oziFdUA1QqV3LXCCEcNx9jg+k2ZGSqK+Em1oRasVGfyGNtQw3yEPFy4zByT4MdSu+9F67
fLfnoX4No9Dtzpap0VdmJPBr44xReDfHSWAfIambe5KkIIHlXcIQC1uvhknt6qg5coAGhkQRrfwa
enOHGGsiaGc3dpSeNj6eitcw/i/Ozqy3UWztwr8IiQ2b6dYGO85YlaSSSt2grol5nvn130OujrFl
qz6d1lGrW11g2Ozhfdd61oDGmDlrilw5EjzuNkGHVxroX7vX076GRwZJt1lg+DMmpi4ra7yZJkCn
JZb3K6UAqd4C67IWy5MvAKhZyewmjQyeWkEpzLNVn40NFn9d8SD5EMcnK1Yut+iC4ItRlwwGs0HZ
TTIOulY4u3OnbTplJnU0rEX6PWs747dQWV5YmTqN/bJecsJRLBw/Gn6gvZzN4gdhTZnuIRHMCBZV
YAJ10IN/Ufc3H3S4QY9FYzKmEvbD5m7S0+otxtjxkvdz8pAYFZOYakglu7lc7T1TWHZQbwjEnxRU
aegcV1R7HCRFVXBmxMrIkbHFfI+p7UMmRnql+SxOG3EA3lHpqhrp1jYNh1VZlTyMrkUswd7BGY2c
j6wTr6WFlYs8PiUFsqJxGmbkU93aEk2h/rb8hjqHL1Rl2IAKluHWCIJx8jKK9O+miPGQWn5NTlOV
WZyObbXw4ZlkGJ85DEhOi/jYw18WnCeDZnMuS6+wZWMe9BFN0MbAw/RBWQyToYySaXxIIp8TC5s/
yW47gouytfzW5hpOrFpul5RKhFhobB/C1qqkt0QVvcBMacMtjWATAxxZY+qdqTvLfKUzWWxaTWW3
CN4ieOs6R/s7k1j2lZ2hfG+iCj+tTwn5b5PPzc+Mi3Q39F2IjM0T1O7brM7MP+j5YcE4uj1WrmRO
dGDrtAX9c601rK2jFobmwtXzK8qkQ/TRann1wWLYfklYrCYXwFP6HnYt+3M8ryVSEvZ+2q5o6B/e
A9tjf6cFEusrBm+amn5uECCZpjL9XkcJgoWiNiDyktBRJTcDBw0F5GjYKcCq+vbQlLbzW1p18RwA
IxZeKfL5g14oqCZsg7nYkS7M1lizGsCVMP0izk5MLpvJphiKNrSs3lUhh28kF/cKNcGY8lPVm6Jy
Lcra/WagFYX9aFRsMkCgXPM6iAl9lGlOJ3bK5zFw0RSl8RabUf6SsD1iA8hu9Z5fF/+NygX3Q1gg
KRYNLri/Cdm6L+Q5TA9tMIavMQ4/8iUHO7gDFdZskrKmsFZD36C85lT0gbvcSn8SMDwTHGv0r5e/
O7EM9uOOzpKMYxBzw/dAN2PVPi0S5PCxHtH8Hlvf2OZUj99thCK+Rx1txsaV6EDrNayfzRcxdxET
o0FPd5NWRPe5VjIqTNVlXz1qM+WsTY2C/EmbbPO1b+JGYYmGXLehQBi8zb1qDtvLty9PmkQI5hbV
vakBLkFqu2qfhS32Vx5+u82skTNBYA88fVjM9Qtgg/HDGpr+qbbH5rnEBvfICXH8Vo7AovY12mua
E8hT6Kgp6MYo46rDTdPbZbnv01L9W/Vz/QA0mcgR9Ky+CglTZl/8ugeCGaZaNG0cxTAom2uJ/13G
UR+7QcjOfNMhNwaMHIr2XevwBm5AIoaQ9ZtxfOiazCBaj7K+yRoa+PdxQ//iYIzqmG3h0PU/M4IJ
fwGIjqhj8QnRbeid/FtKyK7LIsFG7vITPDPx0r9HqUyzDgn+2rXAoSJXxIS6KyoK4w4Lj++Z/Yzc
X6mraw6JEwUSGgsUjiqOKIummW5px7O8Uzt13TgJhIkunkcw9HxBY2xD0y7h1x5g1TiSKoE9VPu6
Iz1sY1Pp64Ag+MqdlgxIQS7/eHH667EqYfNBi4SKgDd8fEOaoocwLTEj13FQPkwo7dizN/I9H+kX
YMkU5AM6+pOe01Kkz5x7Spq9ah3pCxM1jNtKOoY7NQ0FOQlO5PLNnb83bgtXDeixdfcPfJBNjBAp
MpMRgWgmonAHmfAZvtboXb7SmSY08kE6jLZmo4NBun78GJC5xRo0dAJrxoGm0NTU1l+noNFHkkeM
7q8vXGM5hBNFC2aX4bRtuyT4mIUNmqGhn7/prVa9bwJ98gDf5Ld2q9KVIP51RwSR/+3K7Z6Zs3T8
dMgjdMxA2ICOb3dEZZSyUgBlhax/E8UEy1jQt3dj3WiHzzQMVlNwB2wNb01u3uPY191Gqv/uZIHj
Jhw0n2kkBJSfdBVgc6DB48wkxPUSQE06gqO8fMfL7mU1yVK6MtCnqmgY5VphRLKyGFoCABFOFdaO
wMWAONiCN6uZv4pOja69z7XSj+8MhT0iikXzrVPAP35AHfbzLhFjAR7C7x9jNtReISXW5syoDyjt
oF92s/o8WKQ8U9ouXN3q6z1TZ/aPevflRtAbo71GzWGgiT2+EZVEgnFB0mwN0bV/lBhu4GwP+c6k
Jn7I8NNekagtb371oFGEI+yjOMuv/1wu/ke0MfqqEdZE3jDB1PmTKZv8e2b21v0AQfxKe/7cpdBT
M29IHKCqXEkhiKylDkiy0pZY9EJuogWTnPjsDkGlO84VmciJEoDPEsE7egMbNxEv9fg5wk8N1KDi
A1Ut+jeg2HFpGcn8z5vwZS4UNCl4ePy2laxBKaOIWh1gfQGAxtXGUXmMcpGz8+3Mt3/9Iuh/U/ZB
RoIPFpfM8Q8qDGfAWT1DkaqH+aZL1fJAgSQ7VDod+C4iN/Tfr7fMbLhGceOeXC/2C/JFKXxsO5+s
iqED+EUPrIZIk9lPEZTC5MrsfTpHGQi52JewrCCYWcv6+1YMlmhYV1MsChx9Nf8l1uzqwaqFBaw7
oY7cBe3LJEiv2WR5kl6RqJxOOchTsAYuU4AtkJQdP+DSz4mVAKQIbzQ3HvUhDtxcq+rbQAfJHOjs
dC8/4DMbSdyYXAsjn22go1wN0QKMcKfBR9q6Pw7Pf54Ph/3G294MG/frsLny6X2eBo8/86NrrS3A
U8ARSV2udbd73XGh/X7/9+Xu65XLnH50x1dZbY1p92TgB7jK2LzDXwVRem3/8bmwnv4QyRYWASMv
abV9LQY1aDg8AEPxmm/jfbWdvvQ3xl26G7cIE7aNO+7RLRxoGQfu/EXZOR+X39rpJLYoN2FZaKaK
e1VfXZ+Dfo1vmGhucthQYfi9fSAfq9wBUrP/+WlyKZCNOgMEzZu5Gh8llma2lG2EP0ML3htWLZYj
518V9UyTKouOYWMzw1e0doFoUKN0e6ojjjNR+kpWhfFMADOdsQSk9+Vnd6pWXGwmmo0gEgwlMthl
/PzPYjObA+IVyDbbcTK72xHdxbbuKY5XiBlSWhhq8CPNlIF0C6EDS9LCjniO0ny4fBvnXiHAOEtD
J7bYDNd3gTl9MUvFlG+hftO2Gg4yzt+cOlSvLK6n3wNrKxYyrLN4Tlgkjn8vpqS4MAErwnmLiFmr
wvlQjrN+bSI5nblMwZjE2I/PG0326jJIRmytt5pky1G67/bWHMgMLzz1q40+apmnEYbxRmZzILZ2
kpGGU6r2C7GcIQRwdFYyqJzffiZMYJOqNRBCOQ8hOTxF1bZXbvXMo6dkx9YcFzp2wvUDIfJpQo47
kRWUGoYH0kPdOCEE1CquuiuDbZmujycKaAc8F/pvi/py/ZY71WnERI+Cfm+f3fsmKemh3oNc4nd+
qzX4x/TMx+bfx5YwNco6jHMYpdpqeiBv0IlRTfHGrQj9Qhxorm2PVBft2bmy9zhdL00NVwFmBqYI
1pHVME6SvkgsaAXbEGNs5tKljUfC6KqY6kFmNg575TLUPCsAgoDAo4i/DENFmOPlj+nMENd0B1eh
xielsYAeD3ElShrxKTSuRJPdTWBVvRT4w5Vxc+4qmF94lUy7/G81wqtRi5wsCjHZGmPjIa3TPHPQ
tSu/5cRHzVyoMVa4CkoN5vfVHitwethLOFygLIHua8i8+A+sE52mDF3PgYp45AEFpJli2/NOExqE
CTq3W5p0gPXsZnxo0YNvIeI70UY0gXqPGR1ZYu1AIc3q9jbtCPZaUN5u1tOsuPwmznxbHO5YKxbi
rgkW4PhN6Gg5RxGKaKs1lrXLa3R96I/u6Kv9u+ockbdG8YizGScVPq7VpZAakS1mMY8D2yrxXiN/
whVcEtwZUSbtZXAgJ6D+mtSzeUAjT0dPAdd4+fdqZwYFUnMLmDHzuLQ+uRf/s5qURMZFgU1pd2wT
kxAtlKsPRjFJpO9+U7qKHf6tx1BH/ZUsmT1D9JXJR/4ebSBKaDsE/1c5LrxLbLdFKg/1jO9SIPCo
9n6vL3GksA7JCAM4dYjTNPJ6lMRQbysCHSaRXxl8Z+YrfRHwY2vF8AIV4/iZtiQ6ZwAHElDrevSN
joL9QvIUYipOZ7QPE+XVoP95Zc97ZszgPVUx8IFq5q/VgE+LFmXvwIIM+QJxRCfi+6arkKvZoXrl
UgCl+QWrGRn+KKUj+1MIv65l0eRNwiyMlc1YoWLZGKKnOxCGlIpJ/0DUpfYFvesG9x8ggyxJXqNk
djw10Kuvedg4KDgIz3M65b7u8ohvNALNQPzRHL+SsIBPkxQltJPOXNW9pzeWBt0REYIkVKDQjdsA
EMt/WlKI/8jX0H8WlJHIwW0n7bFHTa5QjDdMbL4+vT1sVk0GTUNAUCULbAj+q0j0gB6R2maysXRN
+dKGYoi3onPSR7yk5nclya27IikNEop9dSR9bKZo19uVeESFHbSu7DVyoq22Kv90MGyKzZhpBQTo
ySK00oclCkixi83XrjUETFVC/nRU2dXiSS2n51mmUjtUSkiFz8oq5RaKMc0/JrH41nHCiUYIrdXn
VA1MucEtj5C6DgcIflQtFOOpSEB3eOowW3+wwaT1DcmR1UPI6bVykbiUPmhpu+ETsoeB9M0kgwkW
FAKflGAPau0yn1QQz8kQJW0xzqOKM52cOpuhBcQMqUiqwWKga3wifs0INs3UKCS2NcP02JlTou9a
EakfWcmfjqkqiN9qnyBzl5Zv/Z9ZZFAqarIhY4/s5BASXJrzhzo52Soue7j6HikSSVbpXBNokfkA
wLed0mrRTkkljQJGVImuWJb9uLXHdm73cx0g2UM3PheuwJNyyzEZQCT5F/03GHXImBRqFJU7jHF5
SA3fyu6zsS9uyTGgeEwIUPOblss8A6ZVSeCFuRo+9F1kFh5C+e4hJXlC2zeInhCXwSW3t4g97T8h
jSveJz/t3ipVrfRk2hGMlI9JYyAJ7HvkiGNFbs04KAVCAVmO0pvUxP5NYQaQf00yjLY18Ki5RldO
0ErTYDQ8Wxnmj3IMIBG2BCBGbkQpj9Z8zhZ6E5KFRf7YiBKSFr5NvXEwnOBJbScdIaMkyBmbYD0R
BaRhu/AKEhB/ZX3FUb4qEhIEiDTmURfkg7R7mLxt5olEG8vdjLmw8rqyqaobHxOXjca5IWqbHi7Z
WJk5kMXX5UVv3syU9el+NYLcj94O0UYx+CAvTgRm3M29Qlg8VLqJ4AHh97eGRlLiFlpfanldWBIj
hMI0dfB6Eyq4UaocWJtVp9RqKrjmM2xAeM03PYKI8tHuUJfvaT2byYPWTNY3ZL+Whp0vsvLDXPbo
ZgO+WFIca3t4CawikDcsTNICTxsN93AwzXfSTsr/QiWBlgwpFKiIyDBhuygtiY9SArPTn5wugVcV
jVqALSEKfgMTz1+HIuFUYgHpK+5lMzA31mrHWInhb6ue3csOdXTt+z/lRExSYyVkqjPYrT8VezC6
JX2TDF4yK0Ph1k3XB0+9Tbl8Q3tUhmj1fecDiaCPXqaPv5Ckq39T2Lc/h9mQgs0c2LOh08TwpNjp
jIzBaMUtIbS17iWqGfyeMK9/Q3VQvF1eX0+tdSaRY8APlqABFc7QamuXOUrMtAuVMeZGcR80YUNo
IzTlZG/EVkFP3mj9/4YMnTMVvBb1JL3qDyXUzdtJL2W3D7S62udEdl7DBZwgrSjpSeBAgOWWqjal
t+PFsgjtrh6BR6GTaOS3iY6Eejv1RoeJQot/NZmUv8BJlqTYonNSYfELRhnZQ4V0Oa3BaAbUmr+n
KODgHU9kAl5+dGe2Jhb9NUfSzVDpF6+tcLTWJkv0CGVFYsT5fTIhWIMJEDihOysV/SyIXACrfdu3
6o0BBlWAgTNYw/Jyya5pY73/DztO/aXvGyLtQ9MnSHHp6j0Zss+RIYQjfyAclDQnZsSQzsaqKoDL
ihMmh7akm7aBqADBrOoqoKOXf92ZfRfGe6QAiAI43K5LMIYEuZzNlEAwRtjblEPGYwYk+Pflq5xu
TbD3LQNQZ1uiYmA6fsXRxOjpR66yJLARuBhAu6ri3eWLnOmvHV9lPZBozQ6R4CrZ5ufz5vCx9b5+
vXKJaz9ktceqS6sjaptLsHXYpO4fZHfen36Tb15IoHaxXF3ZSH6SA4/3Wce/aVXINO0AOELLBYnx
9Ga3dctt+qAfgNm4upvvqgfnUeyBs96MN+FO2U47Z0+0nye8Ymd42KE2+cN0Y3u1q17ZsZ8OHHAU
cjlkgV1kZlltcUWrt5T72bqVOCI9q+pZaXTnmtXwzPNGJ4WLjiHqUGVavdK4QZ0YwmaC3JvWB6M1
1J0Zj9mXpiwK9/K7PT2Cw5JE7UixgBKdsFZPOiG5gHuoU7TKBYouY2g5+NeR+r2VXf0QZ6S4bjpg
I6+VUgfDjREHypWXfaYRuaBMbAyfFJGZFVenvthx2nEwIeBPLZmKlDQS/SH3m/63Oajd4+QPAFv6
THO6rQQPRQAqAwMgrUhv0wABCQHkWvhes2H09MGxlYMhku6Z1D0CbEWz6OeTmi7Htc9uedOrIYpH
UzORlNBCtp3Vx01tkXRDh+ZCuvQ+tdaZX2xixbaVlZPt2ncTElZV/JqTOfqBZTPeTUmvZdfu4vRA
QmOIyBvOsuwDTjCgXQkAJwDgQgUl6f27hBJHtbWgedA1Mho6nhpHEmKRrRydW2rXaPPLeRzYKYTW
1zrQ5Z/Lw+lMR4CzEeQWyZGMxtKaUdinIPWSGMykH6skeMjEuckaYkTJYundQJPjbUyywkHYleol
eTR9aeNw/AbsBkcMwSBPVu4DLMX079FFmm44WyUktfrmHqWKfCAMU73yASxz1+o9Ugvnk8ZwQHlm
TTMQCmbfgUT3bZ/ocgFQtAfEJdgcpzl9lVp6rcZxZgahe01vSLD80Mtefdt9h80w86H+mtSDHhHL
ljdVCwn58ns481lzGrZtKqlgCK31QTUdKpO+jJ2gFzRCx9U4PlX0Y9vkDWyCxiZvHkHfV40J6X4m
WWYL6zj7dvkeTp+svYh0qOsJOrPkvB0vf7OVjhNduRjdgNN9j0Rhe03aTm/GbOhwpkV05XpnOkSc
hSlAfMoDEDas5jKr13PQhBSRq1jYP53ZiX8zt4mvVcwpuwpT+WCYeoUWX/ZuGxvxwbfJipOJbcgN
wXcakrgp+SLB9B1y33G2WZebV0imnzWQ4+EGzYjz/9I9oEu47iA7XY6mTKc+Z9eFKL7E9jCHXlY7
5i9TL3PSFtBcfFFF0vwg49txNugW0QhaeiEfEDgNNbJAnTiOGdkousJicWHRGKn+IxYy+ErMSfWj
7nB/gW1ojNsQp1x45Xs5s99A+czUxVul8MJ8ffxap7h2tCCkkNkkBZLQHGcFG7sQRZ87tEsUkD8I
sg5s1OzPTTcEb/AUxID2W/YPzlQX45X1Y/lgVk9U446cZX9Pm3xd8SRjtYlJN4XZQIf8psXjhPWp
lXd0Ka6pc074jhLA2VLfstEALJti7fi3a3o0YfiAlNjMsbkDk97e5rOZvhhWEr0IUC/dhkU22LMu
kJBui+Yp1YmxaYRZ3lg5XHua/flj4rTOktRZHBQlnm8Eh7LkSiV1OdisHsoCKoB2yurA9Lbap7Qh
QtAWEiVRKIP6oRMxi3tPbe+KGLqV1SghVta+PBCAJq+M8HNfIVsJdg22rgH2WC+MnUqM+KwXBC7q
XSl2IdmJnFXR7wQo9QrrKcQVgAw7nltkjlbl/OzjfvjmqH2jej0SZtKilLy5Vxq7I9TVsSp8WITg
wgQJaqFfGc2nszFgRg5iOv0yNnTr2dgi7GUOo4iI5sRO7yluBK4p6mu1/3Nvg4ook6BhiEUOdDxs
nIqjO0yAZGsHRf+SQH0HyCjM32M4ml/aphqXoSTJC8DEcYWUc+YIzJpGcxTQCABtlp7ja1vGoI9y
YCUgBbfac+Zt72J8fmTvKljGEQdBB3YKf9xhAJ6eUgc5yyb29eqbLAiXsSiUPBtNWF+rFZ+7LwNq
ONs9ayn3r+VngebUdDGLdEsNJZZuhunmpZipu1iJoyPD0+Kfsjaw2mQate46F69doiajZ2S2dfDJ
McH+FjT/LklHx8BnQ+OEVYQv6PhpwQPTyiTEHTPH3fySUZjxKB8aRLXQj7y8PJ6ZtzhDwJhc9DcO
pI/jS5mTINQX4eG2cAA/1GWXuaTUJQ8FES9XZoNP4ufxdAC6xP4sM3x2/VfzVuh3vPxQEilbpnJ6
wpaXeQ4t1/gQiqAk3rTrYFGGJXYphVQ0bsf0sWw2jv6exDV1myKbw9cKPbDYRGoXfiG2IUDFbvEv
XWkpPW67eK5uCRud3mfgAgUphhnSYsvJVOvR7lvd3LV0o36gSBPvgCSa9xRD5JtQxC/NKdU3LG7q
j9psbmmFpjvyfJLeQwodv3XE5r7PbcXn4bdpFexJRG7UnR+1+tfGaVSik4iR6zdtxfinuBo7s0sM
IFADJVXYDCtlb9HAUrKw34yl4/8RA37EfZI6I5MTXblus7ReqafkmQOQQwWYTWE/J7kYpHpLERgB
21vk1xpp7VYw/vR99M4bNo3TSM2on9+NiTw83K4Yo/jPSazeNK1JMxi33/g31ZhP9hIpzoST00xf
9cA0rx3ilqGyer3oLTXC/+jZorNYLcn4yzFFSYqkPE7/0HRCurImmapMDO0GVkiAhZBAv8vj98xE
72iI7hCR4/5RYXEdD+BkGLu5qdlQORMeNgOV/b2BL/3LHKsm9drRMt0G4yReB4X8SvpcbiTSbp/q
hBHXqjPv0ObLQ4AzipOdWjn3OZW8K+f1M9PMp8CdQHj294gxVyNfN/xM6Sivby3M7x6RnyRNERDj
5cB6f0Qk8DwibLdxddCA0NmYPhXKpNynvTnu50wLt4ko6BhcfnL66adPCIQktwGEGcW69fvqkHQT
b4WpkSif+kGEYwxaC9cTWfCZmv7BPj2OFCvtONqRVkhm12QXkebZIhfB1u6SkRSpkdzpDQZ5Yobs
NAJU4pRF/BpGC+pbUQcGQ4s09kEXPVgTv6wVxRUGRAssx5xEaXvqg+HKqoucG+zxlkkyF3CBrR05
+u9oHrBWzkkSP9WT6f9q2rzrdoFjEqgsteqWvmT5UfHVtFcqTWcGMv01RIicWKBvrbuyuEUCuCpV
s5WzQn5mobe/OakKEpaIj4xpt9HXCuMre4CTt2FRIEZzsvQt+du1AtJvItTE8D62dapkB9+Km1s8
cdkW6/i1verpBpIL0DtcGpacAJn2j78Z1lWaLMwuWzuH1eT5ZED/po0hXiM/jH8osmMHaQRg2UGl
DS/JoBDwQI3SeAg1UmRqTfw1607dZCTcvRqVNf0Jzab9Sr9gfr88Rk/r05RF2RhR4Fh2+SgKj++0
9RvDiCpi34LGsOmNk1Goe90wDcZOimqKHkTsFJbLKatytnEeIZjwtXGg0cm+jfoYSMV5G2TA24kr
CIbhiRyC6srX/SloPJr4LE55nG9VsYjMWEePbzJv25K3p2MwptLw30jt+O9kZJifnEzz3y1jBolr
jeb0Kyjj+K2fiT9aDNNscaD92HIb4NUET2mlFX4jMWTBQe1LlMtDB7jwAA+SvbuznNCk0/ZPCMzB
AlEwsxpUKiW+LHAuSe8CHSJYQaPBWWIrQXC5d/RilleG6enBy6JQh1yPV8/rQC9z/GOl1ebWkIxY
4ftMHvpYhPdqJeUuq6Aw1Shr3Zl0Na8T4LXCjqaCg2/Vqwk++H/dCXIwPtClTruWfbYsoHqaM8WE
XfZh0x7daEazDzXlNogCsdf6cYeW52BN+eBWc0anLXWuHDM+J+7Vq6dsyYKHQhqpwfrV+0xURWMt
96A1wyNqBlaasI/VDxO8lb9pgkxsUZHAG7NUelABPJZBFcSTIH74sqhM3CbM58OQ+9ZNE4TqgyNp
TfqQFu/rweh2Ue5XEGzGcZ9WFIYmn9oeTTYV33ySesQv1DvEPoGXVTUu9qatdnYOeqBQW4jhha3d
2XXdvl3+KE9nKn4o3Rh0/osE7ROH/T9yETI707ZxDDY1jeO/wlxlj1SQdpxOavX875fifMtA03Tw
UsZqdwo2JqnbCFNEJ2n5idSEU9hivMYkWNxcvtSZV8nhi9LLUsTkl+mrTXdrKVNQoZ8jwNPw3aSb
cldNm2IPf1rzNCMYXAM6g74xBx+JJTtB18fzTTQOH+YgFjqXQuwKfUoLV6MeG5wZlOB2ZB+07Yei
etd07JSY7iXfeJi+pOMYPPtspjwSu0qvScoAaKqM7zSjL3ZjknU0crtcPejmVB1yAj3uq6kor4lJ
TgrIFN6XRW7ZPqHWXh/RxQT5kjJhtk2syfyjhnmauwCPlC9WmdZvToHSZIsms1f2KT8Fty/FtOiG
czIQziEtaSSBke/YG9SK1u6S2XC+hrSlS3ccpHpTChs3ZzVYYbYpkCq+aW2p/7r84k4KfPwC8mgo
Yi4fIaf94wlJdzjoh/OnbbaPHkXnj08EmE0f1uRQHJmja/POmeHP9eAJ4ONFNrXeHeAZG52q97Ot
qvW+3Eyj5W/lQPYfliVSBC//uBO2PFBWTqdL95gdLh7l1c5RRpLedqLkW+xy/s5um+4u6CLlrYPU
c4c1Fy5lgnt0Myo5ueYLNGZQQ0gSnaixhea22F++oWUTfzzhLY0aFmRGDcW39dE0I+VRcxLQmNHC
dKpo+++VUNOvXOXcz+arN2k/mXS5qIkfv1QiJZIk6zEmFlNt34OID75NWpVuMTOFB4zshkvEqnws
AIF9mWRGfzrux3tjVHqgdmP9cflHL0No9aO5D3pgOBVpiK1J990cDQPgMSwjYHE3QzdQLR9LbdfU
VXdTNbrzVw0cNimXr3rmUR9ddbVLw8aR+BBE+P4cNCeIcFV3CMfq2qPWz/04Ni7woQGiE0hy/Kjb
NEF3CiBl2zX6W52NwffYqEIPYZTc+k4UM+1G1nuEy/ClaafEm2SR71I2bIyxSXyzQ19c0f6e++Fs
hTE2saYyylbFIpI3K5HrIS0zgb4lMBXjxoAHf2XCPz05ovnFduqwv+T8iCX/+IdbkuTZsHfQPnBI
/N5kdvMcamJ4Aysd/B79SfvQSq1NvSLL8r2Wzdhpoa6wPrBFCzeNnqTPcYU6mYDSSbzXsrUstsRR
dM0jeeZxfC5+iP2XXsq6gR92zEO5xQsK6KWBonLSOzOpjMPl0XZmWqN0Df4YrLfG3yzfwP+s6vhy
Jo6DyCAmG1LR3EeTN6cxqm/TEe7lS537QWwfOedI/HK42I4vZRckyQYOc8hkBdF9PqUoF2GBzi+X
L3NqseUI99lQpmDOLnEt7DaCiGxzCTNnJJjjBVmZIFVCA+38ilRl6Hdx3xT2NupDIk5lV41Q2Qqr
9FKzIS9V6UqSnOMsW7hJBGKVmwpzR+b6JRkw//6l68j9MMMjO9ZPXKVEP0BEI1F3S4p85NGjcO4g
v1xLtzrzhilzUvzFM4A9a60wL8JCs9uIYmYsghy6mtp4uiIzskut+donfO7Zg0+m3kHkAfXedYep
NgDqhGmGYqIcOA0sR5asFvlTnlHvTQsBdW/WZ9fOC+tB04ksTEjo3fqBdJ7mKlDcTu3Z/dZO+3VE
+3Vl237u7vD/MZcj9dGpeq5WVVFOToh5LoezWfvdZkZq+kebA/MnW3VhP0zsy8xDDHPgsYx1WXht
mvfPpm77EBj4NHwASWrWbGxrBH6rY87PN3jWxTVRwpkPxdZQZcFspIWC5uP4QykCmFmLemlLnaI+
dBq+2Vm/2r0/swCww0O1vEy3yMCXcfM/X74saPHlY1dvc7WG3ZjxNYyO37gaaXw0A6LItUBlPcZF
Ez4WcGiBNztz+AGG9n0Wiu4iPiqvzc3L3LtacQly1HBxL2OHw/XxPYEgrdGz0i3uC2v4WsoWj7ta
JX8BJM87OUzdDWoRT4mzPy3HaU+OTrkfKJJ5V6aQZZ9xfB+0riTbEIu6NTezWiOAbuYVbFgyLqK8
ei66uNhXfhzvnV6rDi3s+p+yTNVNb8fhW0xKOir44Xdia1+1Af4NDmkAz4L8PR2S6K6w8beNHMi8
Vo6a181JcGVmPd2o0HYGO4ODFsWXNFbjGo6sY5Q5b1FRUMK2TG8PwEqdu1QfiR7CbrdX0sG+0tw5
HaWIPvgwPp8R1aTVBmIYCDAfkq6i/KG2D1NhyEdUOvLaTvh0n09DT8McvDgUNDbfx0OiDaLeTvoG
gpLvpD/LVteeiWxXv9vlIB9hJ8KngKnm/GeaIbhWaiqa2OYGKCkAL376ZoZt+LPBif9YAWpCrNuM
YAhJILLeL4+ZM/fJMYTjFJI7Wnnrd1CkXaO0almxexH+TYo9bKeEmf5tyBv9B4L1a5E2Z/YxJGFg
9GVjTlQRHc/jBwPfNY3YKnNILrM02cgemTUrCoF9qZDzd1urA5Q5ppb9LGU8fSHixJp3ltHrhUcN
NvGaSucfFGxzYq8Ow/K29uPkjy0MNgOXH83pCrQsbqg5OWqqrP2rXf3SayGnlIqzwLlAdTUIH4OW
wkWXUJv/90uRAkf1FpsTp7XVQ+mNqIsjncJMDxvIA0NImoEd95vJHK+10M7MEcybWIVobvICzNV2
RmvMaZQFHYi2kykqy1l7pm5g/5x1LbhVHHWCpgtNmq1UnCrfS17hlVnqzGNFtsaubdlOmdzE8QAI
nCgFHqgCVBB15QVN77i5zJONI/vgyi7xlGBlgZPgQlA72CoiHz6+lp3HyHXkci0/ye1tif76D+H1
Qm7Al7ftJhl1JdtCj56dHSdjY/AspqH5pkxN0PSKAk5ywz6TOFezchQ4sfTItmZmkzMOYa7WDgHB
gWCrg67ynECrfFchc/1HaYKi3vQI6R2SBjghXBmZZyZOGsC0xRHkYhBem4YiJSN5MvCxYKXT+CEn
tTjY2QB5EuTxV/QiaNvFmLxcHqNnJk6yeJBvskulY7bOcrADinbpzLNEhOF7JYVG8uwH9cpp6sxm
5xN3sOjhsJmR93H8ykbRDUkjHC4Da3tTZ5D/N2oIAVKBPjBvInqvB86ZxsGRZXVbqgatFSeOPLjq
EnESLA/0e+qm7WtrT8p8UF2b2U/Hr1QXfZZgbFFRWX9AVrjUUFPsO5Wa2T3EY9NBWVka6I40gfY6
Dgfk/WGWmyphEbq1mwJrEAAsK9y1puZbwSZvUusHdHywEX2IBChUk7fLL+t0Wpdo2GhB0YkgEm7d
Z7RTSX+qVPEYkWrww0xDbBKQTdzJBOK6aVMz3F++4GnTkIMpf0ExYSKjDbLc0f/syxK8PX2rEBSa
FZXuAQIygXzH/baZ9OSDCZTYztKvbU/Esro10nHY1Q0Jh/2oB8+d2ph3tJz/Xd1GDxPPvkFNxqRZ
tf7+9dkO46DTlE1NM4SAlMa2fiVlGH/4fPF/ls/L9nBXRfkukkVmoOpQqxeKU1mx832bKAKWMnrY
USP8dx2RKvQvMhzi27ZXWK8vP8HTiZk2GjMiW2gKKby+4wc4VE0zqLWqoKjrSevom3TYin5QXjE8
aiAAVGDsakDazdYPMWZthKit3eVbOB3ahm6i5aCojMqOCuXxLZTQbNlew3FsgvI/S3HEndPpv4ax
av+VcUBskYl0lEUVRRjK1OMLKSGFCAYTF6oHfytEEtMppQNx+eeczljM+hxHJJIquqNr27nSKgBE
Lc45euKzZaha+KMR0PV/vQpzIiMMI+EyFa/NlMY0qGrbiGRrNf9H2Zktx61kWfZX0u47sjEPZZX5
gABiZHAQKVLiC4wSKcyjwzH43/S39I/ViptZ3SVKJvXNp5TxkjEAcPdzzt5rt8b2Ii/cApFMf1ME
/vhZ6A24jKH4Wi7zhXffWE85fKG1k7FaNs2J5l8f+YQHxL/+LD9ZfZkJcmS9nA44mfvvTgdjIJVl
9Anm2rkMznm3zG8pTWX8S4BfZrk6T6QJFSEGW2J/JfS2ypBTBLSU83QzKKDCRXKqUtpMsNy832zn
P96eFAkGOmmKBgrA9/laLMhGklQVTlK7f03KyoRGJqwPhV+Oz7/5Hn6s6C4dDnZXxnUOT+W7h9GC
kshiUWohyVbj1hiUUYaFYYqjdNQQjwUTRQYtjrVx9cWMEjcTD1IM6SPoY/Mv4yTAJlDX0YLis7Pp
v7smRUNXYGbcw8aGcMHW1XJwzbT8zRH0R0oHn5czOcskdw8Wn3cfOdXkmpQ9OV6NOZQfA/b7MPeZ
r0AsRoVi6wWNByjz5TjJV4vCMYJvM3359ff+4xWmW0/NxP+wmEOb+35dwJOMkTHHezZBIttmKyUg
PQsJ1r7/3bf6kw3rwt8h6pfjNkGt710chOGxztZjtfGR/MrIaSs6aCqvRuNEpAja/zlznG9Vq7w8
pE9ln43+oolxvL5RoU3Cq4lyaSpIXUR04v1mM/jJ4JqlkYULSSPh6NZ7W382j2mWWBWlkGPn44YI
onaHHzZ7UIajfQVlCkOykiQDLMU43dpNQcKPQ5hueJlF/GXaw6XZx7NgXgTYsH7eXRYiGqpMG8t6
IxZZoUmz64MLvPqv7j4XBSGeFtqK1IfopL6/+AafRKcebXBh6NqXrsrbE3NwtfUzR/+rqykvhdDe
h8Br83rvrz18ULtj2tRsgtnKoqmw0h0V+V/uHIPOdfADsq1jpuQf33+gJtHyZZ1Bn6d51e0XTugb
b/C96NfPzA/nBhrqtJ5oQPHgIg5999zmlacWWMDtpvKb5WNf5tZHC2Tro2cJ/YB22Q1TVx/2CzBz
3Ayq/etXjSbwJVmSR1fnTXz/IfNkCtrGpYrihHVpnQYN96kkSqUFBfzrT/pD2cP18i+C4Msc//Lk
fv9SiMPqTBOkyZlmSypPHTamQZjTEbk0GPLf5upd7urvumkXmgsXUP9TdQYn6fuXEwBkgm6iEq6x
hYds/k3kkut66N3ZZ4Kp3Mgsi2kH287aWD6hNhi9qIl8xAxGQOzahSZwoVtPH379NRh/Hil+fGdM
CZAAMHB6vzv5M5uO3xPrQXuA4IdZAkve6P2g2wgqzDnYOOVCCMRSW+kNb8BtNyt68ZdqoA/H2N6y
X/MUleEuQyfwokZrPTGTlrseSoq5gQhkIsSvG7a8tHNWyAKM0hXqn0CNbA5VjbY4NeQHBBXuiCml
151716WdELYADOoN7VcCtDJjHR6yBO7xxk5nG5XBOEMo9oZ5rY8cPhF+NizAG2zftB31VCNqeZxJ
fomb0S7zKOO7vhZakBSARiZxkoCqyrAdwZ2EmQLusMv6QsGzR6WKJXtyh2vmUn4RCnDuM7pRaWWb
pDe1l8LL51OQodjDbZ9b3KRpSiC2nD3tuXXH5in1EpNMu2H9JD1hvaZFqz13eu6gE7CcrA2lWXpY
bQ2pXROAq4FUsOcOyjOno/5qujCGom4aof9ytgKjXOoKghLqmUI7KD3Ld4sN+2hXp26mSCnpINr5
bQdRgAw4PdKEGTzXSMzB9FeW+akTDZREtxnXK+x4dRFa0knGmybF/rUxjdRG/LwaHabOKZnNR7sr
aj5cDrY91V1oCqbdk75QMPsEHcCGfdP1gynChTPLA1pgEyv0og8fh2aum0gGI4kj6HkHj692UH2U
DJfJhmOsUKNE4EE+mddOPioiCh9q3c/8TdH1IyNV7pI08lGPQQM11aKOquOEDbizqRk7SDY2ogbo
4UcTWNYp5C5zHZJYK8Z1BAERVLU0HYQ96mRziXjjbROVGCdfCyUWnm66nmaYLoTTWEYbgKUKHIKC
EGbJRxnUigI/nThl0mAuUTAvc/tKpSaX+0CX/WMJ/Qu5IOIqjcwxm+zkodSNzWgIZNo5B6gMnZU1
3TZE/aLhrhdwCJDH08tENCOYhbw5aBU8T1mYJrP3EXxI0W6sLPCvOzVMVxbfprGRHs0zYjrseYkV
14q4217NXJ7qkjXAzeitoSxKP14hBi+hFD1r8a+Xgp8tUQ6lIqYA7H6U+98vUaiAFGNjG/Ss3vk3
bVMt90LowW9e5cejEiuhzyrPCdG9bGjvthh6CGatZwX2lLmKi1ltEzsg1ld/cFJn6zXOIxKcq8JX
AJSwX60EI4Z9qt8M9fSb7tAP50NQUKTMYlxiIEjx+G5JNszOH2cT509irckXPHgialolTr2brL8p
hX78aoGr0efxQSqx6QTvGviz3c8Vx75LdGnn7TqrSr51wvtddulPXsW4VDQcefFTMsz+/gLawep4
griOjeGO5Xa2U/shz0X6m3L7J18bZxAOlAw9kIy9Hy3DJCe4poOjOyRTSbLEoLYEcV2g7N5vCqef
fB6UTUwpkdtBEX2PFRwsJuMe0dIbx2d/LHNv3SYdotZf3/Y/Cm64IsxD0UNcNmgaTt9/bRJ3jShy
kshhZA+k+jToszdKL5Ufy6RJOhgJi+wBncBmDrVinZ96y53bzeLMBVkTXS8P0pLV9JsH5SefngMy
g0CXggL837v5m8j6ygZ7DrJjaNwYI58flwYgnV9/+p+8Ct5vZFaoXxhNvP/wiVqKoSgZ2QQpmRc0
HzhgBiS2/PpVfmwFXEyXCKfYNIGz0nT4/jsePDKYKtfrOLMm861ZElQTThbLN8+ftWGGlsUr49U7
YjAt3Btdv2Ui61zTCAzuBCmzLd119YaFrWjYO6vi46/f34/HXr5lqlQaIoHDJMP8/u3Zhe8qWdF3
MHqMhZv8gv3mUWWtz3P7Ti3O+hHFHwAoD0tjzXjt8OvX/8kzRUvRv7AqOJAiyPn+9UuzFyRY0gZG
XGjt24boViKolo1eQfX4yy/FYJ2WOx0zCqT30mFHlu40F0a3wV9FnCHwkJg+Mu6zwftdy+zHLsDF
YU8jl9nCRUD2XmFJ2muVkKtONVGs4pCRs/JYqGD9KHMn25tA/m+lNMq7NElzhsOm+4QOqyh+c+/9
STX+/oDLu7DQKSN3CLCovru4GWMnPcnRwriwwfLjmij9U1bK8Uvlr3xmTBneGM793PgnqF7WYz2U
Q33SGQVCgUNe/7hqjnnvC7e6BXNmDhviR3tgKyy2Vjgph760NWbe9TDXthMrNeuv5TgvFqmcKf15
kjfqb34yD2bUpm2mhXQN3d/cvz/eP+DQGHVwgAckzbb6/f0zFu7SGckK1AUGVkR1YW+avjA/4YX0
f/NSP9ZNl36ujQsMpwlayHfLkqN3FjYdEMurZeXmcdBN5Ydd0drXvsVIbE//oUPQPTv973juP3nl
S+MddwpNQoa9717ZHfoVKAkRPIs5j49NQSaIbSxia3m99Wxm5bK1k/4vzz5QnzDYdHHR08r+QZBH
TIjg7gH06ivB8AgWhvMEmcs5iyRXHGHK3xmH/2wkf3e7XnwwrPdcRiYfwfvxbUlZoUNq6zZlafT3
NdBPd2Pgy7S2fepL67CmVjqQZmZpaPYCLH5+2VX3XtBIVtOxym7zOaGgaDsNOldFbfPgjbUd4Ycw
+80yQMg9GLLvv7aiGT5k7Gp6VDtZ/plcowCeKWEdtwKrMkGNja9PhEZpkrJBK6q4S9uyvFqS0tVC
AhN7bE2yG4aw97XaiJABG1pEpWN/07xVNPuCxGTipXsBG7cfwBDmqlw/DdrgZVGnikTul5TjSdiw
Ssm/usoBOedRZ7SIhobK4vLA/I8B0uCAHYGXRCaXEuKK1pjEY0DEsI29IPr1gnrZur6/XohHL2c6
/Do8fe/npykmKV/PJ0kL26vOpYnZ7cLaGoj2TMf9RTOF78Ezr5O2hOz369f+YfemTQIJF9ooJlZm
E+/2DZxaGtoQBfSEucgROG+/4Resf+1O/+vr8h/pW3v7rw8j/vmf/Ptr2yHlS7Px3T//edO9Nffj
8PY2nl+6/7z86v/9T7//xX+e868kbLbfxvf/1Xe/xN//9+tHL+PLd/+gJof0dSffhvXDm5DV+OcL
8E4v/+X/7w//9vbnX3lYu7d//EGcQzNe/lqat80f//7R4fUff8DX/R9f+OXv//uH1y81v3cvX//P
/27+9vpW/e1eDj/84tuLGP/xh+X8nYf0oqW9QMTYULlI89vlJ6b1d2pDZjlMpWj74Bv5428NxXf2
jz8M8+8XgSbsGiarxABdujKiJV2Fv/d320eQxuW8CCJBk7p//PcX8N2l+n+X7m+NrG/bvBkFf5ja
6t0NCveK0piOGnfpZdrx7nzbIN9oO4LoJo4/MRpQf7jSEl+cdIJrb+Q0U09nhEnCfJzjoc7EIU98
cwd9z9kJD6soXMnxiKEKEcKKkKETTM77qdr3mQPlDttXLevllPb2wSN+EPsvPqCZgKJiSsw9F8Td
Sw8BeeJobynPakj2tM5QcLkZ6/rO68dDmWsfBpaWmANCHWn1+A3dzlOVdzep4V1PZmWH/TCtmGuT
w6z3zjbVnPLWKmrzgQTUy5Czs5aT5uaFsfPtcq0IOBVQNvU27wu0L7Tdw7Qonul6FKcJn3KIxDc/
enJ0HuiHkk1ZO58d+5IFFhii/drYSe7FLl2eq3Q0jX2tMbPddFKa3U7gGwx9vOMRWqo+nOdh2vvl
MByywWyA1brOi4WVcK+cYdwTj1x8NGmo0TKZE/+6zrtLsrpF6AnQjGRfV4SP1qt7pAdhfgYnOodG
Sd7Wdp6bG6aNJHWP3ifZBOx0BF9dERuG7p9cQzu5TZbi2hdyl6XOwRtooBXmvdHCl3Sm26Qwroq2
u/O96b4JQHTThTH7fN0gpkaDUs8PzBrykGO3FnKbSmc7a8H62rTBOclnsmmrfJThUPjpFogHXT48
vPeFlG9dljthMQdHE5v2Om9areuY8LqQiKtvY85n+rw0BI1vmsmuKAsD9bRoRpHfFLmp+2JTq35U
XWwlHjG7hB3mXk5S9EL4z16byiVSs+eQOm+YPW7gZqlqo903CZKEzQz5tf8khkF/IoPGya8qerbz
B8AKAE5mo1hcLqMfKHo0eeKUWwGeCoBp3dj1Zl7hk5aY06xuG2Q2JneYppPHjaOJvhSxF2QW/V/l
+W+zWzCHTCzopeEwau6DMSzyQQjLf5g6UiAnxRFnrW0/A9xaw4WxO2QHgynv/UUGcarG9OQ7TXuj
qYEBv5oqDzdeNTEMWtvqWq6+dmwIu3rUVWt/qsomvau9pIKYRnMy27OFOvNRKeIasVit5H559TQm
cQ2VaURAYJZS3yDsy6xqgwy3Co2unc5a13Os5NxVDhi1cux+TmNxz9nc9Duxru3e16DTzvbF1dyj
o9DoRdop8pfcgBs7gyfqYbeHlpepY2v78pzXvXtbaktVbmZvru4Tv5ZxyTAXo2FXl6BqDWM7G2Nw
8I1eQw08oZsLSwabZui2rXjWFRQpgYrpGWGYc2JyoR8XI8jiJK/Kg0/zVTKBOI/okvaAxZxDa9XD
HcFCxls6Lv0d37ONhXEathmhR26ozzw0IAbkdJs6bRGPOvlyoZnVYoms1mx2k7d212uZFofAzbTj
4urtJ1Cn5Q6adPDNc1ptM41d+zXrG8ZcTLzideYCzaksIt4hsd5+ytyOxGv0gSR5N6ozN+PqWDtS
5ZZ9kbZIJmVFmoDbFvYtcG93o02ZiJxqGq+6WdLtzKrpOgvsJFyyTt2LPp3Iacq9uzRXzomhmI86
rKmmGK/kunUm39+sdYCXrF7tvQ5cI0IWjg020FTUwHGOcq8jPzDTUTM2qwni2NclipiVUG4y0yNd
rAUGf0cQU+XVX3rlazcdyxNRS9y95ZRmlCrclRth+9w8aq61qKYv6R77YrZuiUEeWE6TZodvLIBF
1RqbkgRXS5rsCEmrbkZzfEzontF+Tw5AAsJZw2+pfONr0fmQiU2n2M1Nv2PBy1/NsnwjTDvbN9pF
O506Y7RULKBddYJovxVMalllWj0egY1uutyeQ07WfSinoDlTqO7msTG3QSmQ07VOGqMWNY9TX7ho
ARoxR8jB542dJ3wDAb+lZtiE2oL9s6hORM/uc+l9m2EW6wk8YaATuE/RgOJWokk9Z7b1gVLTiG2n
+OabYkeyzy0lVR61jl6dAHN0kZ7w83oYSqhOBCk3XWHu1HIB3DplXPnOAyfsBGu/oiGlT+JuDCYi
6AuD1nSVNx95ukKukrq0EM4X1msok/pOH1lwM4vw06RXLxfwFLGUaxIx4vuyFPNTUy7Pq3IfyCs9
eCVAgHVYeXwDCR7ZMpZj7if2qULXFSdmKhFz9q/sybeYDc1T283dxhzM21x1ck9To7yktt8YTlJt
fa9juUAfHLuXIrVt8hCHNsQWIgyaUjsPpv2VfEemvKKIU5BY27QgUBwG4SGzi+skpVxmgPYxacoZ
ncvwdZ7Ht3QV7an1+YbKSYuCSt9qc3ZXqfqsS7Jx8ZI0BFd2I+TeKY+TlR3Xxzg/+JExOToVqf1V
XNLRl+y2TPVnKZcjhj0rWibuuK6SH5TmHwmHDYkWRp/sMl5MEnIh9YaJY/c1scSr3Seb3BHP3dLW
gLzTLcOLccNAHYCNrt1O6XhvjbOGHniYT2UO924hR4mg0OaTt2T5BssXdkwXqKnXQhbxmgfB1TnQ
qcfySud0dMqPhvLssFDpNvNWM+zzWkDsT7WN26VLvPhNF7mFhpWEU1k4N7oFz72iInKY4h+ZHDlX
XsXy0pu4WIG/b3hPTUhp/AD8hF2iUnuEMXFZs8+kjneDweBVVd5BC7SdNblrjLYviAOZ11tvMB/z
0r/lYnzpLkHzmu3uAw2rPEPceHLz8zwg4iC5+LXM3c+VZgO18u9NaTttKMA6kizXQx+n6kqL8cYd
Oz77PHx2hJU9YXFgTLM4/R5YW8dDNQo4u9X8pPxVnGcW+2uLbM3HAvIMG7x2rMly/Ja3KQqdDglz
2aYWerxuW2S8GQJME0rM2Y/WIi0fDLgWMQ+2HSk5PJR6ctUItvdxNrqtm48+vw1YPHcGeeDzQ2rB
cI+GuDq6ermVI+edZCLjhI5He8YIo6hjfRWaRltuDcnKgp65ikwzYW0zk+bZUGsSa7U8oqp5Gacq
34m6bQ6i9LfDLIAs/2mRLy26ekVivFWZaCO/dQjaTdbNGnjfJj1/UrqjUIfCRInaRCdhcjKNh6ZB
Pkca8nPuG/R6q8C/8kXpRgO2knAS3Rh3vZ9ETso4D6p/c5Z6cPZLmDZ+299OhrmcE2Gkp2L1rOPi
GaR5FiJe8qn4rOe6tTXmvjiYVVndFKVsrkdDnwk6XZ7ovsywmmUZCdbjAo/xHHwj2laXRIjrc42j
KBWftDV3NnoA5y0wtPsg6LTYVqb6LPjO7vWkZqVa5UJ6bUZXyIAG+OAhOEEP6JnjrcwkmaelTUDQ
5XTq9nHDfrkZMZ0T/pEHQEcsGSbK0A9Eh6cRfoGveLj0+6JbnwURxdcJ7ehb1fcsgwkZV3VC8nwJ
r7FycUgvq01uRA5OCg750mUfJe754zQt1alqjAMd30PesByCWC7us8Vv75XVfYbbPp2WGjEFdJQ1
ynpjPXmJW25LQFjM2YYvemEUOxvO9z43kjgDZDwJt71icgwCKTF26OtZOpNmOzIFPLrJKDkRTCTz
vOhyuney8hlSRRF1AIfs3AzJb9g6nnYWZRLlKvAPepbtVq370PyLLGGM15WREe5tEmizwzXHM2/o
CzwjM7OGqKI1pNtxr5Pf9I2/Z6gdNh1v+YRhw/Q2Za5PE76EVl/EvZbZTb5V6wosOEzrxZXboAOO
cE6HznFea0pB5ygw4oucY9x8+eu4s0g81lMEdMSmkgGSDnS/9NQRcT0Je+vAUjgl5rC8JMrzqL06
UoF39aJy5hXDBGCjdK3MjZfFnc9NjdY7ZH3NOU7DQCm9vdeu0Fy3WudhmmE1F777Bd6hynYuM0iv
ZN6Sl2S+D5wrKPbM1NGciGlnXztnPR36+tB63O1e5A0D5jYbwxqbuEaLcDSvCTIuadatLGrBjiao
b2Qb12IWbMYdKTCg1VGAV0QimELI6zqTHlPiEom6x5IkW5eTRh1kAUa1otCHK4/46Pm8gsSqqlAv
hHAfQEzYvsU5oHPfjNlZCFKuyzMslCaNO9ct2Y/Wyqynh5m9ZtkiiCvqyPMr/3GUeeISS1f2O3aS
5dPa5P6LMWKJw80qp5jGcBqLQn3LlU/yvOIgjCzzo7TLm9ZSnxZ7gWPSYN/QpdxnQ9qFyhv6I3b/
CNXhiMKfXZHzTxc2vne0ZubKWj3Ym74ZP0mTiOqhZN9YBp8ht5iiHBZlWI/eE+xL+EiDA1BjUu2u
IgibFAaUzrqpJ7u19JAaTMRIjE7w5E3GPisNK7Yb7U25ozg0pAoAMpJjvW+N/pxONP8sgso3DvU6
oxceQNuSN2Wl2r1mqHRXBN4jl/jWSgnrMrO9NerFxivcj1mbwTVJ5pdhWU5JiV6PxetmbWySHddu
l2UzklGrWCOzAFxWCf8Jr1es51TduKBQclJJ8KzRGR9KN9YsqpbJvmub5FhZ/Sel1SejFp8sr/gA
j/6KedqtLZUTGkMbIzAAVqnyx6rtuhCUSHJsp5GGdlcRjerV3xCV3hUaRwaAoqDs6RGEDB/Ix+oA
fw3TRzLI5HECfoDWmIUXIgBuTSwo5hrJdQ7C2i8YtPhOsdcIItxPHYf6aR31sFzHG9QZExZHNvnF
LK4CWywvFJo60yntm17V2zZItZXzhH+Uus+pVI6Q+aDnH5qcktBGbRgQ6rClHXTAe/Q89c2VGkuK
2Ty594s230xS60+zVR5gHg3EG2S3Dqz1XeWaCGtmcZvyPpn0t2vYZcGHvBq2gZdCi5Tt8zA6L5ne
L/vUos4iLVJRB9GXtaC2LUQaZOs6RWVm8iLe8ky/cggJh2ApLS8h2m1e3HVkqodEjBg7OWR5jDfr
S4C5z7booutADXhfTYxTqo17x6nvwMJnh2q4+KsWSzIZXb7o3friWR0QcG8s6NV4ZtwrM7ZU1+MY
Tq4LNezdyT0xSDFY5Lxh581ZfbW2HrtKtjocOYR25Jl8yohQ26SXujFb5AjDjOzl0XeBtWfpN+bo
cmst7ZNlrtczfuRwUGRxN2C5T4U1AAWBN0Eu9q52piWqvKG7NKc4IRDlY+n9t2nqH/wJWDdvENuM
IV7HFO0avq4QhDU3GuZdTh3TC6lqn2RHLH1deCdS2FU4C+3MQdQJ86w4c40+Yb5EZtKD95FoTSI1
SXrjfZ3u5mFGOUPqjOItx0QUqQ0B3RRAzLD6xfdgQpsmME1rjBes5DSL9HK/9jD+1jybQ22hPR4M
dbenNyQOlmnctANVbocTOkrs9IM19U9iTCk3dAVTdczXvYEbiAHSeMZ+fNESIeMvMD7SxZk+m1a9
MxnntbOlkM6gsISgI+9cq8riqrF7wmhy4qOW66WByT1N6sVmTWIotY7xMEoVo4emLMaXc7DWhdNO
6epwtbtwJB8FkIurQa+0i3Pjo5UhRf2GRx40ShpnjnrSLPO0+hVVqc8kvfEIgms1B02No/MWad9h
yVrPU2dt/SDbopYQl7NAGJhDVCwMAbQ1ucFWRT63D1VJmz+T5vZ0YcLhwuGM5hjXQe6sHEfKDQe6
He1AZjHauSjq7EZvs68ecmqwSHvMYBtwLPtk1XHWa852MBkwa4MkoFylauMLkzJUfCk4ONs0BjeK
igRA9oHHKS7pHURBXu4D0dxITIJNkEb6NCCWJsPUEnBtDLRBi9lHa+VsreJbyVldymkz+BzPCxBv
jT3uvJrjvN8dfWRpYuk++W19njttX87tqRnWj76T7hNvvHeCsggZhX8uneTerGlocKigN7NUaUjE
fXW0uAMTAfhH51DT4KqlaWJEU+UmZyB+N51QgLeUWkKS4x/TjgwTezQB4DYMsgvXJOxovjN7EmuX
LsluMocfpkLe9AsndKupIz/FbT8294OAbQGEAGDBaaxsKIrBciaV+tzp61417l07alHH4SWjo4dE
uSX8xaZb1XFaTZS4GTkTxyVE6dBNWW6q7GkanGNgTkTXsAwI4Z9TM6D7ADkiLDA/HszceK3Bkoa9
aNA7kX+WjnyJHLO8+hzUBAWlDuW+QjmV8j4XfUuG0ivICp6MRUt2CwEodjJ8nQY39g15NRbVqz4u
D+vomlGDyPEuN6c0MqiJNXu+Gko1HXNPf+LPpixBuPeSLspwJ1NbtbEw2/6rlXY7P0iOWQ080/eH
ndXScy7sOe58JyrAXYWtpCljzMOLHAX6MVWfpmp4tko1nxp/vWkdnmrbq+xdAA9ntzhD6FkrBypn
Ww/NS9AMD37pnToT4HRPLWnlGDIT2r3rNH1MK6fe9nVTh1ozksZLwFvuNzerb8eBMA3KYeey5r51
wtSoqsAte25KUQZJ286vlEFuaTLF9YiKo5n8a3NEnGN6hfyAPG4a5o3MVneA3Zma9V7ROgp2oyu8
a6tbjOnBFDITYZPhndrzsDtdrKm10r/OGS0mZKFq3VcupRRNx4LTWWYbUXfJB4yxGmTTLeNEY9dg
UN/a+NU9ZuAV7R0bpJSI3EXP5jut0vPh0E+6B1+FSqEL4qV1hldp+m1GUHTnRhnH1fm2nDmDRRZU
IzGFlZX7Ps3xIJiukDTUxnOrlV/oQKTuySYJbPi4jDqJRSgwDRHWuoXQPSQ9wpO7Ife77G1Ycjsy
7Zn7PJH9UN9bCwQr3RoZPpQSuNTkYNTco4uhcWMjd72vCjEcF2Q3O86hzrpzRl+/7ku9d3d+MSoZ
c3rEEklRNpcn12/L4YWUIbhzLY7sYVsQMbLsZOZzSMDgM1y3VZWS7bBOD203UgI3BEtldB/sygzp
3Sn9rAeae5e2bbbu6XoTw9I4c0XztBmsmp6EwYpcz9txrNOMqC8I6wxMW3CTrd55NPRdI7uZoEyN
F2CHTGO6JOKERT81ryucEcP10OiE55WzPaYRl51QhoLCb0bwXxvLbkpl4yGu7FNk+MKymsNY5/58
8kYajl4jRWis/VZrpsYKe2UVh7YzmoO/FEYeViXk3NDsNf6/lwm3ZlqwnlMA5WFvOloZM5dKmEh6
JpjyGTKdijGF9RxdpIdv0PEcefT5GSfSRl7aWFhs8chwK26ypPGTj4sj/GdBGDAY7cYorDjrsmyJ
JPLemjc3epGrbLCukyrRkA4DjR7KFfNmAsCKtWApPKi4WRYVibnudKBKYQ2HNrKSrtyXqWoirG/1
bW743R770jlzBJfN4Gk8GuY63VWeKHcSxQoPaNoembGe8zQpjxA+gUKq6oVhOrR1oca9RkF1ApGj
R0XpPfXwGDZCU+qIt0KEsECmLbOtYQPRgVU2W3ZIzaydK8tmqxU9jeV2SUIa0JS5CbQQ31v3k2Xn
QEHadSPr/k7XBEMVMA2xYQngsjlFVOP5YFT7RrKApiNDlWHL9YIsSuTA66AhbjUEsJkwcwrt2AUz
dxOm27sK6BpOTlT81iw+0hoWh0XvNX9zmXAeqBT00OqXOUoKzblHACJONdHn8ewNl9ZMMx0TW4FB
M827TJv32HvoOiHqDHVU3DCJr0w5HqdBQmzSKkLNnbRFE5xwrLSWx2yy3ywzm6/HjICZ0Mrnc6UZ
j0FO5pYNnzKkdZDsGIzKTVsEfoi1HFBJqdMIJDIq7IZ+59INalOmLsHcTCzlMyFjra1vaMzRrRnJ
WpSzv0e1QHN/qoItqebNB89Q453U1QlAPIiPkQOMTBXmR7X2sdtp1a6x5nTP2Ek8Ct3FQAhh/yFI
xnOtnK/+nGztxp6PFT3GbbVM9k7grPqaMC2Iizyjt+6k/sabAMyIgm7xJBJr2tTTekDCvR7qKfCu
3MbOb9fS1iJnTYm4mKoniTpjn3PDMxgUfP99ooW67Ng+CqvbuGZHV9RDZCw7JOAaWHcC0zT28MwL
RESGlsB7S/Ms56JfM1DT7+reMuKh9GVEu0nb2kU17xBnaaS2yZuaNSYcsiR4hhiXn6BsU2eMzFJK
3L3XSLUEVVDlnRN7WaGKIkZbq3qHkTROK+I/O7W4WAFmVg4f5OKxF6ww6NUppaR5IwUxNcGScSig
i+PbSzy4A1rqlIEcnZw6FP6Qc/TT591gVtlm9JD0pco0PqyrW3YA5hGHL4vu7xwmOZFBfbvty9IS
obtmLnO0oH71rOYxs5aC06mWMTbzPui9tLeA2wFhL+lz/1/cnVeS5Ei6nbfCDXgTWjzeCITMjNSq
6gWWWQIOrRzuAHZz18KN8YueHtoMyXuN80ayn9qsuypFAC7Of853AmHdYIbBIYR95hut1MsuHDk6
tFK+pWW2bOYWMDOAPFh+aRiNhOqJMjPPYP7JrPOBVEy1geTevHA8d1+aygQ7LovZqw7cx7nMf+S1
HW1C3bzWdvkaLENzbKvme0lk/9GFYXob+pW53qHXfdU50w1XFpuIW7pepDXlvCUWCj2Fu0lc5mYD
zYTliSrYJx3ERUIH2pAMaVxWG98s6TsFzIRFQNWfHT0Nj808rhuyU+Vnw0B50zp0GGzCaNXMqWtn
o2a/PKR1uLUNXV+B1c37COv+1iMnwUGe08am97PPTC5PVaUQkSyY6uTM031btD/ryppuAZP/Lg0j
iFSk7cOo05KokSR+Ko+1Zw9vGREUshoDoIOwG7aFGUdWkCY+FQ2xBgzW1pZyhhs3oPyCah5CLq0d
7FK6gsgbx+Np9OydH+p7KgnHR3uIb3XXl8lVMuOCWr4jJGU3/mDKbWWUC/k9YKLQUivqzPopq4Nz
w0aa+Bw9jr63yKR3hppAzCo2nWX9rjKm+mJqX2k6vXRRfpoa+QtTcbXBS5rty7FoP/LaC4BgpAZD
71QfAkyfd71aHsZRMEjJSnfegp1+8VJPnbBX+w/t1FcJJziR6Jhqw03sT1gHGuOeUrqO0sIBTSeX
S52J8EQXNaj8Lg8+GCTyZazCuZGivh0E6x8BGXWLW7rhCZSMlwOayuem/cSqQMtvGMzuUfVivUX9
jB/gRFhb3UFwDKCJX8bey/aBghQ/T8VAZBL0ymOUoR3n2jFvvHhqW44O3YDC/ug682C1zRtPw6sc
qQLB4fhVIKMnmUGcTQeXY+1AzyIE7E9nscUT+nx9x4kpYbZ4/SWw+lP2GB1S06VHqNPOzk4hcQr4
u0mj4vpLLfItt+xfaxi4nNaXd8stMfOSNnYOThvQBxaN9qaCdMZAK30dfPd6KtLHnN/3wS6K4NR5
keYIFGcRV4mp26RS/1wyJIBgRaKZ+U4vTk66xUO15KbN1Yb1s4B7n3fTY7gW2YFj3QxiQ3zLgzXb
5RBPTh1v9dGXTcN8cEzTA0eJ8MTr427t3PGPqxP0t41bfuq6gjHcRP0rva0IxhATunJdj0XArX4d
GzKijl0kq1d7e8Ns4pzRpcjyVnC9i/nBSt9ddm3YlbswzNu7IBU34VwkMgpv5ql9oTPjtXa8chf5
ZXSxdFhcfBne8LLkZzs31C2aiDLHYvrhTbQ+F0WJjjgzCFvVgIw8Mu6MhzK7wUGduF76OcS2eSYs
dUuD9De8kbvKzS6Z26gNfglaPuM8gktq/Jv0GrN2BNdY3hh7mo9j6vuXvuFURqcSBLe8KHd/eqH+
JVvYf2j2+ieD2H9qHvu/0BbmXxPx//Xvrqv/xRZG2+d/efk0efWPjrA//8xfjjDvD9zVVygOR9s/
LWF/d4S57h8E8EBHkODEBu85GHX/coQ5zh8W/7BM4lwk9HBNb/zlCHPsP/h7+I9AODByhXBe//69
/Z84wq4+2X80LILIInfjhwTRQRHiMf1nbyRuy9KJVnz2VaxH+yvl/+GQupbx8BsjlexHMCTxEGZo
CKViNOhnqN0kk3UBKJRjLRyUfVEPvv/0rz9P/689KSGxFLzlGAAh/dk4Bq4hlf/4yfm3r+VX/o9P
zf/2z//tKbqGAP7yEYZ/RC4kD4AQzrVV/grD+7uP0PrbA3UlcRNnJcL5P56a+A9IzlcyOxAQIDtk
C/6lp+bqmP2Hp4ZOC2KyWKG59Ub4x8P/KcI0Zz56W6e+g6HvAg7rULaGLZQCixneXIbMbrw2aDp4
3iJ6cXsuYLRV1t0QPY3ENiq4gYOuuuE71tGhTRlal0OYDFVoLVnSW9ILf/z//zT51n+67vxbo/7b
vwP9/vn5j4/Qn3/ob4+MfSXD/e2ZEX/++19PiQisP645ZxgFPKWgAK5f56/FBSX7DwuI9HVFcCCp
XEPX/8rqQqrjnx3RQLiwvMI5o4jeAT8Kt/WfF5iOoYPTFRFBSzktwI2c+oyXna3Krs+ZO6SOPQP6
3HSmrnG3/e7CkYbkh5TBmXgMRM8Nut9Q+lGjWmHorz1n15aZiyzvyqxDDa6ieCroulkKjJB3Vs40
Tl1LGySCG8cA5R6GSq8e8UXsuYXYrYKmSH2mcaSpwa5FPHKoUyix0YZhXy+3gxHKu2/VbM+XDvOk
t1ljlJdjIYdl+GmNiuLtpSZf90N5GiNClqmlxt+6Dt1uqrPBOXT4Our23AwqK7ot3Q2UMGJLJRJ4
XHwPoWWzeJztMT4Fhem77Sy5JnDf4iKxn2Kfo19G485dpzCLnkcS/kxsMLT27Y9xdmv1viIQPPHh
xUlrqgkDfWEbRyIOt7F5L0d/2dlRliWeNFTo6GyJ+50MMWc+xtrvXvkKyI9gmu9mIaMBZ6d7ZZs7
acCZKQ2XM5ZeFyN+HOB8Swelf1axC6dnqWXwMK6pz9Qb709a3FILkh+Y0Ub6Q8VVDzfLsnckI7zP
Ug1Y2fIlkA7uwhx3XG218WHOBGImYY43rfWw7PKQ/HK4HbhILkd+WRxeZ8Vtt7EqQ9mLHnDzGu0h
5suhfYc2vCRqWkSZpGvNESueZn9LTnUd92asU85uEJnTdkwRRlihlmMBKHg9zOKKvnnmtksgZFxX
UfwepygjUQWGzeXwneXhvSBhdV17BFS+AUuEc8JBPBV80i564RChnH9Zk1cfImUz18jr+ojqnyGu
AefMmOg868miE7qQtMNce9TDpA9o0JyMnyejg9uPinGueItAg4lN+bAuTIw2zNnq71GvuVq1TuGR
JqLGe/XQNLZcykgJzzgHuN/PZNgr7mJoQot7mqtpeHfGnmLPlZsnXUwsmq+Am80Dqz9mXr9b85d1
mAkiiG5Q8+/G7rCn+G5r9GNDP952dVoz3vfE0IGFCme5ktdcCrDkrpHjchyXzIkS5UIer2xX2bf2
UIudXOshv3Bq5hwZcACwbpqSv+ImH0Kkd6yWGWHBVI5xFW0oy41Ut6uZVTbbIdftW9DWjf6sbcIr
lrRWiuBpwzxPQnLpgy2QOr94g6GJNXN6rvnoxK1MW288Uo+pmfjiJwaO4BTDG4P9QD7MhHwS9GF3
NwKk2JP/xkzcd57+ZfzWfY/XvD46vhIfGsdKunXSlZ1G67bCaLpWz3EHqT4lK2AnKQ67fYsOzsM5
4TbHkMccg9kp/OFBovVsnSllEJKhvcy0yoc+N3TjwS+MJ4PXE0MZw6SVdD8tzPlIMcu0RsfVYPzS
83UKnk5MXS9eZ2fWo2VNJkfvrMLsR+C6w3vlFlV3g0MIM3EmaHbfLyJEL51kDkFEwk84GqfBjzmn
wklvZ+DUF+yi+ZNtGIn2iJGvanHM+1IucQIs3keQrhWVqQy7AkYprbSL7YKTt941qOw7GwfWedWz
d1iDMnvAlOzYh2wi0LRF92hpW+iunrlCRLckBYoLCNJAbXURDxeIivodoObkvoXe6FhbTAEufg+p
S67GNZPGAG/TXehlqd4MKS0VLdbqC5HaqE+8GsjxQTtuP20mLBUMv1eusNFE53cDdPAussq6SsrW
c/aKvJLzffCQenY+RtJuZ7csILh7RHfPsBIHAIaLFZvXzDCUqVnJms/eyLyOgqWL6bX/lkas4bhh
Vz0mxbIwNZl7Z7xQ74NOjc189r85Q1s8rF2Gw5P5po2joJ1tf+NWDA+JRcz1cxss420xpPNzG8bo
yqOY3cSqfPtJMvi4h16RfmWG7neOxLWKyoSbfIDnkYlw0LDqLuuOET4Kvp+WKQSMdfEVTkBE1Clj
NMMffxtrN++33hJb/UNPiKnf9MUwtntjHGUeQ5/h3dFpjD7QreN/X9tQdlu+hrG2VlaX8T6oi/7Y
yLlL7CbjQ0RllEnkawGoAIXRvdID9UAlB+99/hSoWTCP75ryW8oqdRZpTSQzTttw3nbkwx4DvyM6
CMpLJdparMc2QmPARuJ7j3FIxcEm6pbsW+g35rVVtWu95FZNYXVDfuTXONo+aUp6YDajM1t82FV1
sK7vVVbGUb0feVPLXQE+AZFO8ahAkxiL+86vOov2pUJesgnDDZudNvFOOyFOXMYijXuMe+T0I1hy
heKYD5LJoRpV+9UH4/VLKJJxG5gpqLbl0NnHUVszQxEGMwiR/LcOPajxJRNG7vPs9KPvjRUsi2zO
6/glRjnc2DLTGQAJhjFo1Aopsxkj2Ox8a0NaH4xrtes5DH1zH+VtxLSgAti3nwP/alCZWO457yo5
Mau1asMi6DJqsKVy8VIgAZIuiXe0O9n7sPZ6ymtCq4Dp5pW2PkfjODv8rkSQnTIiaTgfaLqzvkxr
W2WP+/taqZBWMl32bPf2A61komILzkJzz/FpYSUsqoMBDdIlWZVz/ClgLSFuoK0cZDvhIV7tOhZg
W5rCProN4Matpryi2pTsiVRYYPmtXuOqjuddL6xp3CoDHMUrnC7GD+eWd8JQYj1uO4zu/FANHWwD
EYzmZANBxGgR8ks4sPuak+ivXaPUOHvgdFs+pphW8BRCi49HvHQk8zSICrE6df5q46f1Z+9HY69D
diQNNFxFkEXpp6msTXWBJFY+kFhZaVZzmm4+Yq9t8YxgLHh0JFmTrT/FLOJ24xXvjA4VjjGPTfc1
LRfrxepWvrWp8OJXa1h5hMOqap4gMkbfGQWIbwWNvt0l1dof7iUL1rZCHjWbri6KCHfAWuY7x3H0
Q2/Wmn25ZKFjeFWG+XuZyeyrzlMv2GIobJDGS3jtt7SFTs1NtAocX3oY/Gvq1gqooM2E+5O/KWYw
MOfNE17Tfj7MYcYBBXa194EL17L0prQUqGKm6E2FfcRa5ySCn3NSwvKbXT6ucAikTx/uJo8N1CAR
r4XLcKbzvndTWECsI0Ul9sYSc/1Emj5DvabvyzyvzmB+rnm+fCz0KKpNo2fFbMkmY74JK+6MmwF9
8VGL3pDxknY3vy6FSqni8deYx5d0ZrxPKUqs9oVBqeUjJg9kRBkcB16qx1V0zuccdF2K+MaleFtO
xN4YoJYERFwxwUn3iVNDypw8FFwK51jIc1qfGdZLhBGOvEUIbBniUIMTOorbm8HqXUGUYF3XgFpa
wLe43zrHjAl2NPOy4LzD+Y5US51YJZJxHDVG00bCCQG60XEaNyp61o4CzNPMV+ZPaVlNu9dN0ZXb
a2zTvVtInEebapSw2WIGEpe2on+QY69Ox4uyvfZzwq3GcYQfX24X28m+dMm89sFvpEzPyu+sw1Kp
9Gng6fEPrV+H3WfPvHTNknqKmp2grL5/wti59tjigyvsbZ3RZYlKRH0cIMS7/usV65JtHX+QN6Of
hdFWB2SZDm7M+AOFtsa6KcPIfKWN8O3zDBCs2XZ9QwXH1Or4Vck4FnttN86tz+nL3SCIEkwKVsEo
h2pNIimMFOl/NMqgsNKgVJf7LPPRJJfZyo8LQ7H5XOWTOaSu32F1D9P6WiGE4fCJkkqGcI1Yo1Pf
2Bb+HA+H5tVel1v73mPF5+PQ/m1aFbbPY8EQfN9rrK+kekjPGYiwL1RhguvBjJzdERlz82+BWG1y
Qx5sHmTRTjoPZYfFfp9FppfnsHGiL8h5bb+Zfbx+YVVji+oH1WGpaol1bT1RyO9u0xhx0/ADd2z+
Qzg+RPinfw3cFrGr4EK89DNXhhN5wnC6sVaRfc5tJzHYDcEjRBmR70EhSY2zw+QXbqAUZPK3K+b2
I4BNXIvcCU7VmsferWOixr5Zihqb2zS24ieOjck9R1NmlV9eNTT6p5WlFEwXHYJ6u2kRdt9jE9Rf
S2EWUFK6utGDm59B5UrObFn2FZZ+32/UWPvvLqXVhCMtId8AZgdAf7u2fgx0Hr7xM1sDDl3Wg03e
xT1Tt3oEk+jVJZOkPm3Vq7aUg/vHV3G4Y1XCmAzsqnYvdiz8ZY9Fv+rfDIbA/KWcXC0TUO12+TRb
Sz2cayvI26RrM65/22aNyuqE2m5ZFzPzPOw6fFgTBa49c8KAzezDpfcgO3iBt7x4zWpZu84WBm/r
AE38zkGc/z45/JJ3WksHjmc9rUt2WJHbZwrYwmL+ZSzV+a9zUJK4qdfZTgrlwzjDbPA0raH1RpjV
ea11MJ1qixDLm8cQhOZbR31zry3tj5TbrtNGR77hmQbAl0BAgtKVQq8ikK/aHEOLsbOIDlOXlmqC
dd6W3vf6fg5AWoZDEx1yIBS71JPhAShWerFndHIrLe03YdV0J1FF6JOIbPqRRWfSSJ+ac1yCzTSe
NgE3uYdgDexmN+Sri7/c99z1ABOkXHclxpZqQ3zQynZBEcYXTrzTNw6jmOqnoGqPFriCW6U4BW2a
pgZFyd7lhMDmW1J3fTQEdHATCIa8wmIs9k0MNPJd8iw0l863uV3MI7ffI3wqDheglIqXOq3HhdGi
B2BsMgHmWs8rDmkzzqdaRCWBHpqaU7I7z7PVpNZdMQeEG/M4uJ8NdmDPVg13iZkpoagXizq30KrT
zwjbAi6OJhvvaau3qRSM8ubst958h41hnr61eLbPfhH1Z6daQnkTRaO+gZay/lyZeoY7RS7hrso8
fZhjah6BfehipF8TCSghw7o+NUCRNHbdHJJbEM/quZwLiJNOQcSKedrakrSTcvy5+jh6UjfUwXkc
MCBvO3w3hptkGL8G5J+eJ3KaDAu5yGy0wBqAE1ITApi8Zvn0xWI/C+PZb/kism02rGLdVa1UB7oA
yV+qsEo/iC3I3xo0HRt9sd6NsL/VZo3UQo6kHGk4VYHHma2iNYCuYDNhbpmh8olGGpxYdkT5xZDH
SZgrpuvNMkYnJWnljFekhNvJAa62zQevIf1BVBNiHEkGqtGGHPiyGKvE6gBqbUaZivIDUwYfnhWh
kII24hLwaPecZB+4Y0fprwYW6EdmfK6gM0/qmaqQ9il0fecFkXbtTxwFVXPf2tkCYGSuYmr6lGWd
V07nw4HjQPcDE4UXfiihgyAppijwbkVGNx0XV+dScoedn9jU/O+9W1inaNGkoD1sER9N3EbLebAH
xki5Hz+C3h/oxyqH8jlanT7YlQvGrWPGzDTcUg423fikDfl9mzYAmR427ccKJbPHq5GnD9lK/GST
VyM3n5i9hEMym/5xpfr6dY55v3aj8ZbqppSh0qdmCUWYFI7Qn/7suxc3wOlnQwC/83Kjf6wehSOH
FoVpl6k4O4S5zt6zLrUwczhmcbaunc23mbb9oxparJ0EXvznGjYhSUqGzhtCVd14x6k43LPlx/ah
DbJ1w9qa1fuctEzG4dSbh0ery7G3MxkVOX6whofHVsL4hjueNGzPfeBPJzk26l5OaAtTULryOb9i
5u3ZSJcpuxpucp1HzsYvYMWe7WaJnl2L4w8vTHGgUbE8eYACH30RRQ+AXWhYnFvYijjSyzJRvh2f
Y79gbJdODo2IS1u+Esqojzi8OrlZM26/+8kwmmZrDvvvdRpV9psKQuPcXJF/A+sF3TabDEPcaWK1
qrd5dRUnth2uGr7UEGOh5CTxLIuV+A8m8tZsyqlaH1N1rcFldsh3hPhwGdIKKSD22oqYiCIzurEC
GitEWQGr7U0k4IakDd6xIG5+duxnZFUn+hy1M3BtF2I4S8+ZsVUtaJIcHmi6P/cNPAyyr9K+WEPk
pTvt1g4jcUqqmuE1VFWHI2wV8/q7bc38ELExLRjLF7Qx8IicbGq3uVtTIfU7yZBu2XbSQKMn0N3v
Bp8uZua3dWCGnRxYpu7CwlVVQqqmunTKr5tXV+beNSQ0T8QiWacCDP1YXDCF5iJAAXaC4VfX1NZ3
xmCR3HeDVc976Y321ZJYlk78uMJwL0g9MSd5aLE8qqReUrXPSu65G8rV/LclDzBXOnQ3bgb/am4J
ckGNO9m6BhRjd82PGybO1GMvPws0lzKJQq7AezOthC0wP8W3nPO7I2DEZtnnaNb3vMrLa52m5kml
GYoAywqI3ojSTTCEEuoBYXDvsDSR9BDmSjxOqdDZrmhc74Oat/KWWBrPMpvCNG9tuuwwZsSyjI64
Bqghm1GlZoy5vGoJ/pfqAwshnG4tIvWAC1+9ygr/+jYmmU2CGxc9IUpACS/0ug/wDZaJ7g3Q1suc
DEMd6NtcMqXutGV9r8aStlDVEJM4LuOizetiR9N33UX1B/gZ8JbSxQLuEfLjcOEuZ2HNPsJSb6ZX
uSiWzMnqrWXn9lGEj8ArGxJ6Y7wcWE2b9jEtRTwSb5Vh+ehVMWKcyGLWbroqo8+CcAGO30zlGatA
1RHw6MyhDrrm+9o32a0IYB0XUky7mH5O4lIEuOn3DQzxPmvxj7m054yMYICTeOjIak597eyR1uSh
KnpxiFwlbptJzUfaVvxTMNj+vW5j63s5GH3Lz9XdS9cRRy3JgJNIc8JDI20xHQKoUr+aCAMR5ie1
HKcl6A4EErNfeMG817JfG3lp5nbW+ETxAxV11TxmZAuOqVIN9+t4GM/26F5tOo4w4PxjTAt0+2DU
4wSfoym4laPGDXj16Idbrd5XXwpiBoi1UGdDzttAMIq9Wy7FW957a+NgqdOq2NsEb787SPO8Rnh4
HocUPNAZgbP1zjnVyHjWQd3Mu7jBOZnUqhiPKtJ2n8TELK2tI+PV3SvQpNWh8nQ7IgU4o5tU5N/Y
/9sWCCzjQYkld3GD9wYLhbedvdWgAWLbu50Ktw9/ITvWIxtoFBMIIfuk98BpEaIHVjN8QSY+GIi0
F1fM3V3WVz5gWY5YZg8WE4RdIVyMQVzXewYvZAVvgynIHnUxXV2tQaMNFuUuwJIF3wPxPXKqh3aZ
pg+aD7OXvJdBzrIlGUtgSIqCBIKpMz14ElZApDn3zdu186jDzCuZ5w/aNuGjD/N2uPO6uvY3w7hI
6zfrXvqx+lPQnoOwiC666J0H9HY+ArcWxyFriWRQyEs8tU095+znXdF9C2UVfU5+WF3Sqg13fgn1
Iu66ciSoEHFIXYWOjrZbmyIZOHvWe22u+qU1ggw5stCI26Uc6WSDfoG/ZVSyvA/WCNfnLJfmLPqo
9jZ50EWfLq+3vat8zLAMqkg05l1a7n0KAxLGTpjIulF44VbnDdbqVfXBvCnLMmJvwX4cgY01I0l5
/vf5WYVZeahpgDgvfTV+ruvCy+uVpEczJxARCAPhHv1YxDqJApHfVPCEa+gA0/hdqihpe7OjPyzb
69EZ7KT0VHGC5EH2mjV82XeRK35N7oKiohsW0jUf0GW4aU9kIvDvtoRIvOULT010m1ujQPQV3Xxv
68r7kTlTe1x7gQt+AKhgvKpO96kW6a3vXIlWIaMceRiLniDZise52PndVGzLaumKp9XgIWJvMkRG
wLeiFKzVXGA0tarXYaIljjgD9aeAxp+y1m/fq2wlX1zouHvPFYl3NF/YrzsLuszjSC057svOtn4P
XrBcVKnc9uxqh6N30CxqZjWsvPaIK4rcDnedFRwlBcX9I+oIWRy/kNlD2MlyvKmWeJxv5KilPHGW
UfduLJzopYG92D/4dqdS9n085Q9XzNABxcONDkse9tzuW9/cKKrT4FJEVMccokw3JBzyawJ48hua
GRjCTNyshjQ7qIiXhUU4ZfgVlL6/t/QUud8kmfJwR6oS03exOprGbZrw8ABXdmHDq/HV5G5RK4Kb
AZmYBnrMqhXOdZkqjphkrzxS617zI10jaDYVhMv25HWhi3PaElGbhA0PIkteKd9jrx8Zxwg9Pbtd
oe1NQ/97wp2Si1fuCSJybCYeQe2SBHEpDUwewCSceYtIJwF+gx3Xwj87s5HlKFysWx9ZWlBQjfd+
qlIvT6imL+KNT9FSTiqLOggogbI3B8Pb/7xS5aU2kq9PeRYNTZQRKpHxJJfOV+zmNhEQ2Ycf/Nnp
SZLnPF2tqAcmTdPn6iiHEPe4vGBAZ2iFD97BOOlmiohL567QV/Q8N+eCoGj1VpnYiNsobGT/6HsZ
M1Aoyk7A2C5oX0TZBY/B0OrmXBbULSYgzcLbRfeYpDlDgvnBFy7CY5c6o8AD2umru6ILp2/pmDrt
dy8b1/oXIOR1YSHCtJZ4dl402Gs7gJtubCKzXWVs5+z6cAt/Dg2g8u2aTl60M3gOgy3GNqjUPWFj
QQ17nP5AqkIx48BiPimjI6/b8uvc2F5oLrB3lLxbCIttoXFcS4rImbPDu2Njk9RZ/OpbMPbBp6MW
7mdAPcpjS3r8q12YpWy8YupGAmdtuRanAaU8O3EVd89T4Uz51g8chh2NM5BJKVV4qYJmlmCCJ3/k
Qq3be0YOln2Ag4N5m40mHBB6grDa8k2Cw5kRNqZXfAjperZ0Wx/8Rc8BNWxdzNCyAEVDXG1Vnb44
Th7EJxuRcdxH5XiV15E+XnPqOBLAEHr6PXfO6pyJJrTyzIfq3TBvsPWmrwcxJWOpVg8+hl/bL3Og
2/lMCXp/3ZWX9lvKnB6p9E/N/fqdEtUDka72szETVr+WxnUcHMsHmB0uRkvujvJcsVro09znxj5h
UpanoBdLwOwOqcKlrKv8Ql8XuynuwF/Hbed4ZAva8rL6RIy4HHWGUncVXj8FrvMDuu2NqGK81wFp
/aiUvNVR6OujU/UeGTNrPuWcOmFIzFwRANyG4ws5mQUeLhQq4CHCNtXJDsS89Wdt70xlWzfMZ7v3
hagrb++slxgTd9nbF9JS9lMJGlYnLdcHzsHL4geJkPNIHMHD7mvNTfWqMCRbRMva1E+Ad11hQriG
Pua27G84ijNAm72hWCqOu0H16kTLSpyfjHER4F94Y9+DeBMzpKjz25k0wGofOdxYhpiGhxz9kVW1
zPcwFPvgfuV2xcWegp1lX7TDlD9zUwVl31HG5R3TDFmHlHxc6/X7OK4uFAImRl1+m00zECTOEUUM
jjeV3OJu68mJTLHzhk6Lcb/a1MHFhwK+SPotDAkRJaRgRuV9wUAV7oYDCzIMmJtIPxKbohczyaax
zk5t2sT19MWPVTpHb7C9kdU/8/zpRupKRe2uzWzPaU6SN9N8lH6eOQ9tq8P8I8jTha7Cldw8jg7e
DIqp2tWxxJ3jcLNOxqDX6kAkG/d7jQXUOsBz6NG8GdXE35xxilt8tzm3KHA6jgUvRkzEzQ5dPoYx
81y06b3xrvnbtpiH8blnBlMy6C0ZA5EhLDPKSetyRLY/t7ITYOJb3/fUkujOtBk+ZrKsQiYOuda4
P8To0vIaELfN0V8EJ7y7Bndy+wWWLOWUv8xru8s5IigOxaGDnMTj4vnmtko5LaChMC/jioCM3T/U
sy/nB11CEu+3fV+lWSJpA8DJPNNfr2FWjhX8q83cobQdBXfXlmiPVU3lASqFzSF5Rp+3t1G9KCL8
qNbzdvJ0md8AwenlPSuH4jzNiJeJYK2ofIXISVDU+Ft+jaO/yYTdt87GMaYa4Yo1yrREg6q5AzWV
50qHv1ovHMJXO8rd7JaLbF/vTBPILCmLMPS2OSr2etOnU8X2aKWRrXj/kJjfWrpdFVXIbtXsGP2z
uDU+RpITRna7vENLc+d9rAZjTquMVHpoaQWNfw1YeOoxwc/kt+0xjgPAOt7iLzH4ptm/moPajA4a
s2N+ZcJzMJe1T6oQUB/Dq9zJYg4SYDi4qc8L5dfukVotOd5gJ1POVZOGq5ttcJPkP4eC8dj1sN6M
xI9X4HCOTw7Ykr7B69dl9vocW4PrHzDWMJTnpKQ86yBRY1xO4xhOBgD8vUsjQkgNprVtQ6AfWxV5
arqZRS+LnUwxc4UnBhiqPYZxNi+EFVvLJdtS6XLbD1mJHNWqaokOFgicIT2wNhjCi4M1tyoZRc9E
uCoXYX4xhamGbO9Gk4BmRyIYVN+Ks+TRmHy2fhdRKpC3eSu6L8qXma389nM6CZgNNqTNASQFHT18
mevkbUHorLMydiLLZwcV2xl9QxAy7K88GeM25aHCbTLsBWVDkJcK1GDmcsh6my6j6vvOBTTGfNYZ
5HzW0RKIO8IoJSRxwGnxQ+zGDduo7Erhd9uxM0X73IdFG/8WY0D2Ww6d1d5Wec0JlRYHYr8Kn7zz
WQS1xbwrQM2yb7JyFA7TVH8If491uMBjyK2m3v13js5kOW4dC6JfxAhwJrc1V6lKs2zJG4afbBMc
QBIEOH59n+pNR/SbrIFF4N7MPOmxXzagwVbPI7xbz9VwG9ugeRcew/IW/ERa/1fO4L8Pi11wCJMG
vROxGxRkCVe0Pa8zjoT3wbcqs/tK0koA4EM73mHUaAX7IVaFODqkINM9TrEh/2xrLkHnQDqz8+su
E0Rnw4Edf/F67Ow2mequ+pE5IF0ejYY/AtIGUM64TeouXx9SNRtSBV7jtR3tvbzrOC2Gch7vw0Ti
HZKVhvMWKFYiV0jduQh2dU8HIkflKuffSWRy78uyDA2vLKK4PG9SwRHwVgfRPezF8ODMR9clQR0S
OwD0UfPGitGSEQbTFCFV4P6paS4ZREf0PlKq7vETiIS2inh185rUGdfe9MIup7Xnlfvx+tkFzLUX
7WSDI3BW9TrddePSzWdcO56+jXCZkn/8L9VYB1o/WvuYxAhR6sxqhOGMdFI57ZW38EQy+mRJeZ5K
1TiHgl1YdsCqWNWvAvDiVg0NUwLvRCciecM5PDJV+NQbM8Rk/GgeGxSs9GfUtHpJt0M0LuYyxbmv
Lgb3Qnb0XN7Vz3PE/znFQvigy0oiwSAVoMAl3LEo4miHZ6s5MLdr0Oc9S53F67NzNOWtOtSTW6u3
ruka/5X3B76KI1L7ql7LSsl6t4yF5XVuKABerrmTjIK7NwUbEDwBGQ4/gppux7+jkiL/G3V6qF55
I7eIUV1gsl3Pu8YjN2N1cGBRWVnApWRqTmvOhuk3/HiuKofKYzf1xEM+6Y8VsFZ9AEcZ9PPrIKUN
rrU7WaqmGf1ZPEZrQftM5MaL+gQygZC60GSUUzIydEV4IDJfuf+CeO6I6wubvIQIAVGHzPIU56NH
7MorQ77Ip3JRdETA1HL13JxJXg8zwRwr+mbPOlCPv8fOtRjOuMMMGc/T4HbEdMNlkVBHaRAfwS+T
4k6fljXh90T4JeHz+10lxTqOZFbbuf6m0ZOhkDVU0droHkfqW//qJlU4c3tha0Vfqqau3IPIAit0
iCNnD+gPdkPlubQD7OtSBfY1kPXaecfprtC/eVVLvlUOnKTYcea69kgQp31TfkUjLLtunxQT3k3Y
b3Jc50MlkHrmLT9e7d/y0B2CR6YoVWvsMng3nkHb8evuKjxc1QkHCrg2xRmef2aeB1Jx31m15Kj6
o4m4rI5jnMwHEwz8oSn2upcSplhETNcTSCwRPrtZa/VBLQlVwf1KYY6cZP81FiZ4UY6Mpo0vHXsd
dBcFuzCI7inYXpTpo+NLH/uuwgI/YIywqzpmQMTWfZ8on1FbsQG0e7qqRAu9pBrla+b5vXsg01nR
nD6y9nvC1OVNX94weSnnj84DaO0mZs7bpGsWqSMGyoGHdgV2WTDSimC5unMfPM6qLQ59pgE2lNbB
4kno2NkKNxuZK53CYTPsBv1zY7L0lCUaGb23WgJSWPvHGX8YrFGXRCfrw3Znp4psRU0PymtA49OT
NChXSDG6/OqrMjoWox9dQj8qAvaZvX92Q8f5iqKAfz27J5iiNct/dEMa74pIit9cNwmnVqH7QIJ5
glPYhct25iQ6DC26X9SEAcj2sN45a7mi65jCf25GNT5J6TjehkYcCl+cCjaSz+XhMZ/7Zuf5q39L
l1ygHbODPrfJqN7EPHvbaG7iV+/OrBjXtIWeZ4SnGboXnH68IX4AFBv2cbkOnzGm4m1bFA1wjC7f
AU2D+5RN5gJFD9rFJG30E6BU98bk1LBBc1yJOJs22VW52kkBcBB2vwO2P6GIIS/DSPsn4jxantB3
cq5pfR0AQ8rkH2Om2m5DHvT7K1N633Ww9mTEEzc/6mix/YF/Hr9nLmM+GmHxmAx++UuRPxs2bm/C
Dzy0+DOCJeKKMMJb7yPKnuHBZlcv8tkzOjkGFW+6tyk5fUDReqs7/JftgJUmswC6Brx8MPJKtYeK
6JEsu9t12a2nbP9nYv+cDOLRn5k9N1OVxc8Ae9DS2mrq34UNsfLyBcubX80TLI+CpzHva3WrKCUo
zy6ukm0C3sxHHI3XbuO1jjdtk75fd6mzLI+RHXFMwFu+Iy7l3m0slhxOFo/nQ88+wVfomxh+kuDU
TEANKtrdkNz+T0M0LBVRh9l3lzX6/Fb6VcG4PuOQD0luY8Vlc3LsIxl8sc+qDr4p56OfrMkBqYyN
4UCxEF2fZXGe8WY8LXHTXJZUcmUvxwi6k8DYaq/eymeVCU+91Q7iPWuDZAUqpsP6wS4FI69uyLRJ
5sbttCIZ8lwrvF5RNRAKXysEWtmvM4aCxGkoD/JYHhFR8sweuTBsHllL+g+TFyBVVAQZd47XJc6O
ib7e4Sr0z4VfmdMoKppeNBvac8YL6AzFqQPVXtmz1Kwm60YNDwV/8RM/bfNWDEyoyRr4u9GyGmZw
SOSpUP70pKequGaJTG8AbyfsX2laPbojIemDiKL4VaoUa5kfOsGpHVvnksVz8J9gzVPxjoniLjgv
HsSag4/R4aPNnPpdVLb98JoFxPJMU29tXNRRd1nzE1dXpI1slKG82iH5AWWSm+YKtzu37nqlfTK5
DlMJyga4iktgUHa3AlvLZ6I1lKZeVf6+UVFCUIfMQ3IKLElDGFphBRQo5qMI0Fg99bXFWJRw0siA
x502LFdee2wtxcHWroHVmQzDJcD5suX2B0wi6Wf7WCHrfTY+/v4Z1C7ZQ9kcSOLCMFlTD1gkkJkv
nufqochMDlSFK8e+d9Lq1tVZ7EA+K6NHywmFxxOxk6MCYepEdSQfN8rLsnf20esVZBuCtgigRMK1
2LeYSvON37IizD28xTKrx+e0S9ZdXfrh1rCrPYR+GT8G3FOvab3aXQBxjnYXCKn22UxW96QKdPlG
9Hh6ju/kII5uLz+4vHP+wlpbOnDpDFign+LfXMLS5dR4jdgBUXFeG7IepwTCNsF3UCgUy+m5+Fly
2H4VNXwnDh0QBDzASG5EuyYm6zqai9042RE5Pwq/uz7L3mTX34HB3F5Ytxideicf6QPeRWdGmsBQ
BihNReB6ZnqaGApC9WEwDj/4nZ++D4lnw7NhoXUcYpocnlbsLnCm0mD+yIntPuYkX1ApuvTFZZF0
FnM/AfDoCNyzvk/cw5KJ4JizdP6LETMMn+fZ2DfWkAYebKGHlE62vvN2yxTX6c4xsnyBnxmznIlr
Nmk5i811KQPYkKYedz30mr+UQo5nGYXOhZtB2b/3pfLT3VgI3Z5Bq0guCDEs1BiTJpWn9ewyYBRS
8qWMIbAshL7osfYCoLWt55r/RoD2H3erREKAZpVsSkjsF3nVqKPQqVyOuZeJ9VPZLi7ZVs78+yd+
G7W/Y7MWDH/AVHkIbnWBQojmjxWItkMSJGUsirNdcFPviTbXZkIJaQOuiTIF4/pks3KcWF2mZfWS
CVSJ++zvZhGkuWFhwMxEnvqgcMcJglcRg+LeZMswcW1yMLMY7N8gvETQkbPcqJXSWW8LOA6m6cab
Lds0nxq7a8IXh0kBBRHwE7+I7idec8U9phr08MDdLM023RD5z+GcDe2Lk9YBxN046ZMzPAcZMFry
grxwNM50UQ0DyI6YuAFg+iTlXuVMMAr7IWfn7eRhX/+QjptJXHc47A+WN9EKm2CAS0CtjMGomKbm
KyhiRkhKHUO4JEVn/4yMi7QqNtpeeKE5vwWXEOBX4cB377RciwyuUD5xmjfLptJjBSAHtEcMeyKI
5Smbp/WCDFC85OoeLFlLYYOvzmqtfyaywOuwQp6nl7Z3PNamToJUy+HF5ThmfVs80KUBIisrg7st
cfYyrR/I0pv4XdJiACvCW1P9T4HYdDAV8PPnFgvmwDul1uj4F1vc6cCaA0cstIhUcr50dfXDLDVu
3HRCv93ZvKFOAAOw/iZ701mO8CVyX7ue9eEVWWZo2D/MJnZ3am7j9rxYSfhpLwZY4vU2XEjBntlP
9u+Mq2CdUoguF7pLK4lxXbjmWc6E5l3K6qcWv5XmUvDDlir2dx11aet3SBn0bwHVkV8IZLN0YbeW
ByDXeq9IT1xMnI67FWyNdScm2gwASnkZsCEnZlPZEMHIyMV1+2r2p+wJ3dQ5hLavvnsf5lBjhFC/
83Vkml0LtisbCWesJ28FD2UETLwAzYK3VjUmPUm3aA/DIKr56rCWzVA2qrrYE0oz0zdtPHO9zcpM
PXRzUMYvGcacv7iTp/IcWaVntDxO7XuMjnxGm+ffygSGbw6I02Mzi+hEO1T5t3TMdEF2i6KTTcVy
xRr8V5g44e1VxoXffK1zT9aOxVgI8CjCxAqQIFhjvmZAFx1vQ/Di4hHvVSu3kh9g/q3XIDTHwaGJ
adhNJZotFsNFAaZYZBbVW92GDuZ0hr1UnIaAIXcbkX4QB6UCCnXRJ8eZCZmoFZ6tKknr4rmZUKKP
inpS9enYbkGfo7wGwNA4x8XyqxAiiDcVF3qYycoDsoUrSvPcxa39u8Yp6WmP0oGZdOCEVYet+oqV
Ry4Orx9/YEsD08gwB/Z9890JV84QSzie2TvkNnQ+SIOknuKGM43pnw5ZEppFdc/v91OBu2XBGwbn
sZEFuOqRrieWmas17VEE7Gf2BNLBBzm5qVMUamz586noVZra7WLCBkK8Zc13mWYMm9luijxlLqGj
0mwFWyPaGFKfv1aBCt/qfBmW5SGKnZ79CnexYfV2dASMWO/ZdzbzozSkutot0mGg7/woGwRkfNiQ
A2AIXazC7EBFvYuKdfkZGdOZN3/I63IfkWLmMeZKExXAUZ2xr89VZYPvlZ9UzR8loN3uQ83B89X0
GBI24Yp435MH8LE79XGyYGmSICj7g5mAf+8lSKeJj4QKlubJbYOJP3YATe/e7NDNzgt0wDIKPlhj
ldFeJL1MKS1h7c7sFADvpJc1bHsoVZLg2TXHwmyzXU3SVP2zlXS9b1oLUDgBLeEGFmOI4oLZ/UXX
KvcvjMRuCAWDlc+LZzrMqq3ni+lhLvjxvMGSd+c9YNMFjnJWBeewwhy1Ee19c6UnyDRuz+oU6zwc
ON5KXXsGwxM/8E7Kt8mIanXBxI+9sMvH7wq9cVfhUvJ34JQMsaepvMQym8ShB7R98HXsXls87+Nv
EOy8g/Z0qYGECuUwuelhDgLDIZpiab2vRBY5nbtOhs7W4+sDQFU60Z+1bMnq0FxS/ooda4/jtC5A
f30VhyyRWHHwkC6o7nUvo3ui1XHdbb4kgLzLaTjQEtPP7IH4BezDYLC3viYeyUuhbV7wx2YXrwvb
twXfbMac2c+PFNzqT2sQDXatR03tOOQkfpFwu+nJd3ostEsfuRijsMcOZ5wY60Pl+yROMOqCEBoH
jkmWx+wOxg3tym151KLv+UvVas99LcunKjVMZnb2imf2/lH7MGJWg5Bkw+KZhjEJcsizqHFzipbq
o5OO0HhXI56aAXX1rofiZK8YjV87d0zIw9a9v10x6sFRrBOqCAEoVOLsy9ZL9orADLWFEaL9Ns5k
t+tir/jpu2W9ndIhcZlpKuS1GhO68wg9zBzrAWsb4bxYLmfNAnZbJKxeQCWZvDs0gSuH22oC5jki
cGbFvVChTBEtmvkeucWlX7N0uvdYqiTfDuR1ePlpaGRn5Yeje+QEmX4vLekDUjmYdjpqBD68dBHt
VlgH0hr+E9U/jBi6SImu6U5XYzHuunoOzux+fXnIDJxQ35GobyWq+I9oKkRC8nhY/sqQOO+DjtPx
VckpNOc4XMd3d4rozRHOUB5DiJPtgcrNuD2o2AYnU5Qe3EXlquDJsFh5bqoCYHIw6fBRx7a/lDUJ
QgguYmdVP5/FWqfniR6fcxjV4XecxjAMjWRbHgRV96xlXRJ1dlwGpAutEIoaQxIf3/GQlydFYPPE
p0TumV4m7l6GTdylWJj1zi5xEbKcVb+mt67HOXjSDjaZg/AXrm50giOeOthd8dBk91ZjENThEWph
D92YKyrn5aj/2nxm1GWmB9cyr9O6c3XRPZQs6/kgd9b5SiVazpurMEDtstGwBQmIupHrkGjJHNF0
AZaNPXaWOundNMLgngG9cmEaK6hCXoivgO1BOpzbgdrYXcpN4K1PS1Y9vgZgxEcSwJLqlOYm74n0
qZ1Mxs2aGOYG8nH0srglGb+ZFjTQr7lYQFc6w3MGmfawVo66LGPW76dgxIw02OVFEY3cOsAcCH+M
vX1c6oq8C584zQRax9POHUu6ZTR3DkTkGGJl6KknzZO39dl67uiBLKpLX3sZmHmTO/j/afdFRc3R
ttDP/Y+Bd5JhvRoHR5k4eJ6KYqSHZ9b5wFrYr7EasfhpxRkkdunsIkeneA2GrDuuaGIXB78O1+6B
jPABiwyu5zUuFzhBVdtuFXlFIk2lh1NQCovI7A1RuJwKjONEsqch4YLhBenORVY4WTFRq+1XLM/o
NXH+kCWXx7SO5K+wx6hL9YnwzzC2cMk0Jm7jDWhAPDG+n/0KyBv9CCo1ONseK9WF5Fl7kOGg9yJo
0vLL0kP5FnphsWIbQLr4oR13PhsduP6hQUJiUiw8uF08HZADwkLWf5xhiJ51tjr1SZESpiXDd3AI
d9X0rTR5woAw5EuzdNVOYXEGhmdmzA6do7otSB9x1ii8z2W19M/WUiv8WiCVPnUDogweB4COmwoX
Etv9xpcbbzR5uG8YB0FSuXhqjWgZCCfKZr6jqVmy303TZlckBj5rTePHlFAPeURem5XXyZZY2dTG
4kV9GlRrS3Lx+COcZUZH5J1QvkstmvI0ZCLauwhF3HsGb4fCPLM+wzFdijh7C0KXgdgS2cIdpubi
39Qb0NuORACA93nvdyXU4uySgfCh1P4iDh5mgrclW3DcsmATx970Sb4PilYx3xDA+E6clZiYGJOt
drV5oiGgiPZ5y8tjq0unYSvCbeNG/rjrgSot2ePMteXHpCHxbCIbSn5A2WTxULPx8hquGr2tw+0U
VeMrQ7BMbrG1+Vm1vX9NvH4uLykZC/h0LYL+Jho7UksiUJ7+iXZScjdFuuvPs9/PNJsTScfbi+aa
AIlCWqt5NkNxy3g+9Ak7wvAbc0H9YOIlvOdExoH4dxrGOy8b2/EQaYrInLoMHjGAsCeVgWa7ls+t
OU22bH63vqKfhV36cuZv+49+29wLFRuWgpc7CtO9dcTYHqfUlRfHN+rk0Efzydja2Oui03k5T90Y
svbuOEBJmcT3tu0p1uAkIxAQFwqQiqtqNRmw1tAZdjbzZFlHi+pfYRoGi24O+3+whLJgg31GE4al
KI9TyqlH75JRdtG+T7EV3BGCNAfpr7qsICxQIXepUWOQwE9ZnkCqVs9O0Ab5Ual7CnNyJ+JVUAA7
/QFibS3EZrEqwnKmFjfs/hCm0g9AQMyyJZ6Jj9JAbQSXgI+13mPs5iIiPJrejiTbKMKBSlBxD1SD
OSHqpWRt4InsOLWnJ+6tff8Z3MsMqO8p/PYM1j5LTmsw5pd1ceZfkWF9vHRCYR1Ks896IQn0cl8q
T586jhZSaki/LV0CXvVVLqwuNkyu64eLzYYnGuEXS2PGKPboSeUKeukdYoFl5BenHjh5cghaOz7w
LQJoYDjo/wFUyT681YUw7GhsgGVdeLD4axdsAc7MClBt5dn4zlXHnA99oMsJb+CnyYknYjoas7uH
TU7rFy/HAmGHgdzP0StI1aLCI4Oe8pkkNZDibJI7n6q225SsAiCFqQMfuqgeSEccV6/o//OioXux
GBVWWo4ClpA8CtgBapynL1XiRq9NbcBo4s3d2WZx9043dnveL+Vu8RIMvBZ72fwejng0wrW0Rwx2
qX5NGpHLBxlL2R19DoCSLWy1rOcphPKxzxeywDs0J+9qFNKVQ17m3PpSEISL4aFSM4Okk7IO9g3f
GACK4SnDf3fJWZR/O1BmPns5dZZDa8wIMCdYbxQZpIMYxf21KcE9MGsELTJQ4RwiE5roBIsdejJx
DLOdHNCCO6pmyZhAiSE0Y0QxYAYe+Nm1ZCgAxKIQjiHfdIvcsBvyIaGLDVJ5rLhRguFxCNZzbzpi
4gCXn5np1OsR5AA3WRA4wT0fRfPG9JcPYiOJ9uf2kYnSA/CZBPVrilnyz+TOIc8Ti9dNT2nYcaUE
4YbNBcXXTNm6JybQPa2sX87h4o1HPVMixJ0YtCFTLYrmnp+L82ZtSJZarlhYywQbAFsd2+5HG/Fz
rRkC9oLIwqfI+Wz+W0RnxC9nwUfp2RX3t7sUXMjJK6vdGI/6iSBScjauYH9UjTZlgMpFiPqVpwbL
7DqzrmmmrcXg/dYzzpyMliODjGzKY8GGGId/uOAUpTLWcU517HKv0CE5/oNDPM7uVs2OnNh1xG82
NEnI9alaecr4y0ReDGDrrk7VYz825pbxC79iJiJ4RsV0yHPXEzSWiyK0pnPyJ3Fi1YVJM9iTE0n+
mIFOQN2bgLJxO/bZfjIC6RQmR0o60MB+pf9RvIcq9LsfZScDJKYknqjD9XV9CuOOgG4lTc17ISFA
j4LcRICnY7/ID50bABZgoqEoJUYQqN9dJowElZXfHvo8qsNp9GOT7N24cevtYH2ZnhSr5XZfQ3DB
DxMjtZORHaNUu3i8J0loiGpbgQId1vmxc7Rwn8mfDuNtIGTypCQNdptkYun/LGKDrR/nZIDVAbHt
6FK7w56P3zylgMRaNYgQO8MaLNenfJ4M/4mIdA9B658z4tk790wcjkEgI/WA17mYrmJYKlx70+CV
R9XZJDm0SeiYa+F2qXvtVxEFSJgeTvzMtvoUsrf5iYO1/DWn1dhhOExwzHIWdR+9wxwlOLsLzH2Y
9QyFcY6EiOCGR7Kz7B1DZFMysd2MW9ErHyo6Wb6KqY7/+EkQvdR5Gnq31VVT8cBUgLuR031WO8ka
gZ0ra+fHBhzNd+LXxZPh1/mCr90S/o7rkmYY/JDLuI2GgAI76DCe/xJjUPb3vmd7uA3syC0gGpIN
22jCCIOYUSMTiSJrNaVpA93mG+SHEdthztWU8mRaFMd0PmT8B//WCsQNUrqT5vs4L4Y7utEl4lhK
myaHhRIanygMvpMf8YyH/ZhkuGD2sUjT8zIAw6TRsHuCMUpZ1FqCHtnx1VhyRjj2zqaZln470cn8
c6rW7l+U6Lnd1UtExLmJuKFtqM1anvIWp8F2FisYhRZb1DWO2Dg9zvlKRVTm0/m8i9semTmRMTvs
LMPXfluTvH5x4q6Ob87qY28JeWjjI11u5uKtDnjLxY3oaUmybzHjgOAtDCn+IWzxsd3AYql1twih
4x2e3rq9yNqKJxrwaJKopuylpeDjvcJnbDYh5YH9Q8v9IgGqtAZIdhX+v4hqTBDUqXKGBuygYmWW
s86eflHS04L6JuCZ4XsPtYAa7qXTU15m2UA8SLV7+s27Uzg05a2lB+kEmGnxPlHwE8zWFTcHWWJW
5lJHG9Srw0QfUCSWJcl5KcP1hMq1EI3TY/C2BEOWUmDBXEEOnPjvLSWUsbLld/wdkPDiwcwpArnn
Yre7TI4IDqXj4bTaUp3rRV+1O/vle9+YZkYnbWAUkdFKPe7HLd8vErob0EXoa+m+E/HhxYDvwfMe
3CFNHquMyhJTGOrjetYqfLmQ897w/afDC5b9mFHdlbwGEhZ4iBQg0vRLGoSrfnCJ2Y8BMw6JAX4r
ffVPcLULPnzVOSkmvSic0o0dRfIwTTkIoFa22CyI6lvDm5YmnT2Gl6n54wajOdCDJMKboy3WFQJS
JiQ4MKgVWWvDeoh+nA2wKQ8PVuqLYqPjYbnxQdEUzBowRvWc7movxRNfiGE4rg7LxI3SAaChxk+r
7ICFI7yUC/dxD3T/VZH2IGmxgEomz9thOnC5JETMnbc686LfU1LqJuC+QHjl2XNImpxgShEjAIlA
QJiuE7z+d564auvxVlF3Tukc4ah+N7JiBwXhLlNxHZgg5FH5lm13ObL5ouzGL8aj3zoDbUdWx9eq
b8X0i+xM6H9oQlm/dcgXKnvVlIdu4CVIONqYgion937gxNEeC/wQH1jhivUcaPjbi2tpRHYjQQRy
Alt3HXzY2lBWXMpm12Zewl/DPEXuKbcxAzcGKMQN+PicGwK/w/JngVL91qNtLRCmJoPDcNvUFTv7
pamq+F9tm7b8ifYg8hNOh5IGW3REDCQ6mmG/u2HZH5LOZ9qtwo7mQwPKP0Fuj/U54EaBQu11Rq2H
HpcXH/2AuEsiJpU+MATTgyH7ZP0dMcpe26Hof2YIUsVzPIXxIyuitdr1Y5/QDVgifHVbQhrOXzX1
vYtpJ+4viJq8ydAKnWtNMeoe32dNijTG9uyW9kSTSERTSNXCBMHVXmItbQPvwxkUhrAxUPFvwAX3
wW0qy7z8Mqk7I1IuGN6GeeZCHfHRyLMWCQfuDK8QzyPc/AOjLXYwSF68mg9QobCOaja38T4V00qN
fOhBmarZKf+kv4i1CjvFijVROGX4ntR6pRB1hvylsVbt+OZbwrlZyl5mKBHD+54PHzmM1yoti6MZ
c0WhI2cfsVKXwtLzaPg+N3BFqvT3QMOnfYGXnuGZjKICE6nhb0aFe/fBWPPCh3h+AdHkXspR1c/h
NMXg6kUWfrPWT25Yx+2unqGvyk3InRKuG27vO+fLRJ+eHu67kOIufsqVBNuFZXDx5XdpHG4I2fuP
XYhyztKERo7wP6R+PFMZgtqmbOkl81V7bxbygvkXXJL0llfYKfcr6RNBaFMsxzngvnCclZMFYFs6
He7rpRQ/DPZ6FopBAM4vxxZsT3zEYshxlD0rrErYJ9RlDSdz1WU9vvcJbmICJvlUH6HiTNWOUjVF
W9BcNq8rk/I2nGT92COBz9RpJyFtyskKQAKrWoyH8Gix7ewdhvy/fPAJSTnG497lEg6FYzUk2bmD
h5ycBqp1lhM5sPWjW8dpPkYqcILXqi8R7HK8rPWWgg0oBpi7InbwCWCFL9LmKx9Vk0fpiynZX20Z
ybuftEWOM/gLwbtNcZm4RJHMiMoC6O4fgtm443ZMzPqFx97+ZjygOlzbBXRcNsOUikOWhznutcPK
6PfmymplU4CaIA6WvFm5vxeU3FlHuMuzg+8KvHKli8cUNUViIefIDA+UW/rdC3V/BUa0e8NAkzT6
NrscfC8kmkbvlrp1cAlUoARzOALZGed77z84bgSB6c4T/lXCrUhc4ttNR0LBCVVHRalO5GONbbr8
pKI9OusQHyhMq4FulzqnrOZ1tK76SFpue3VKhSxiTtU9VE27lrs4gmyzgJsKxM9JtvN/mWqd02xa
T27XaYEV74SxRWE27b/w7sLdTnXfe8/kDPz6wHXUwSJYxzCfAlnQUZtnTgfE3NobHAWEgtQPjGZD
iGPynKgh28fUfRFUZvrksmWTSXXH3jJG4s9fA/a0Tipeane9h3UXv+5wVE1zcHJJfl4Upnto8WNX
MHbM65nqgcg/ZBgUMUwpnnUsu+nQnvNmTk9+m943/LiQAHW5zXuLQ/s79bNk6+GCuhad6f/CSPdd
rLcUMchciBtH6IhmqdOfguTlvJEaYxJPVzDdRnzsl5Zd5RYIiSHP2bJrfkagITDoTghxl1SymXxf
KHjE5+RBQlG/ltURh2wmIMnlPBP80QLI0l56HZoGkxD+Tq7rbXedcwHUtJiI+2i2G94+iehNp9lB
/amWybmIRqBqaB2EeM2A6G5SJ4fejLk9fSuQJa5d21UfxTjgJ+aHD/cs5AMxRpnodwo6U/xeGgfl
s5sin/hiiLPxHsfALWBtfG6QoPWLxjyPbTbu6z+gEkhPyGBmDeoLwOvbYEESA2LX/bemffuyFsv6
H52owQedtU58BeTYUJmGUMGHBQnQZ+FBncaeZuW1/JiKIOFYYqtyB6WN8wNqfUyXR8VxeKZjcjzn
7P6iw1Lq1dnVBDSOHKn0qXHTH544hDXydZ6qQ1Ird9lUHfWf8VAP5aHUpbiGY8XJ4HADgvfIE+XA
X0yb/1gOgyNNyWHgfjD37Ze05rSuKUtEMQKTIH5Zn/lgWhxkvqarL4CEVKdL5u2zBmsSMKueQxDi
GcmZvLZttDO6ayS6jF9+CzFJSoHn+IEarZ4bdEClA6J9jjOut9GuVZqsHA8DWOQ8S8l4J1BUL12T
xgBuwB815G/J2HBlQ0BDIHIJTh0Ij8zw7hP2ltNcjG9loyWhto6wzkstLZfybFnKgxgIvUfDvXYD
KsPqHd1eGXleXbIakLUi+d6xhwaW4/Za3rhl5LdRknGBVcr1gdc97TVBl6bNMzrx2j/BXcSDBSPP
JNe5jxH1mkVp/9IipfPsgmTEzOXkmooWO7b6gQZTVWDCcRqibn5Kfj5D5Vq2eeQTrLYaKi7xKjyG
O6zE1t9C0MArmYrca/5RUt48Rhxfv/zSJK+zE4ynwKGFnUgBvmZXeHPzP5LOa7lZZI2iT0QV0MRb
CUVny/mGsv2PgSZ1E5rw9Gepzu3UnDOyBN1f2HttNr4tu3kPnf+9bCut9ihkoofBd5q31ZclgVxG
TxcmiWH+TKo6Zyq51iStfmarE7fgxqKYrUPgaGYaw4iD3XhMHP6iIqu9L48m42+qFlyqnZzDz7Al
LzFDNRLhUO9C1kvVKJ5E43dkx6GhWV+okMX1xmJWUyVZ0K/hsaK1Uq8B+Zrdv8pEWfFDb1HgdiBw
pzxHa4cHnZUQN2/Ipm9FN1uRZ19FWQM9JKyjPzX58Zuf5fA0WG9z7SOx4LlgtdqbF8aAvJm7AVPE
vW9BuHlAfIgkkYSrhU3xUkT+exBV3tNMUdIeja6Wk/AaVA/u0l68wqCmsr0YN2M/wZPScUomN/lb
y5nEj+hLaZBUvw3GjJ+m4xhljRk0JHz7dazuU8QV4gTd0G/QmMF2BlfDzYT3Fsm5+qKh08s/HFVt
meBSdv/TjuvXj+EV+mGzBRAoI5t0aA4dEiEc4xGt5EZc4zIlJ++dPy19ABYkdL+Na4KjiAXKklA1
0U6kAU85eRDN1g7DyUGuIbodvAFar3aO8dDAxFhPEinU/KFHL9Cf4DdcSZ2zZOard/U0cSsXwTsC
g6l/5klxujewghqUxBwPhE7PzP/wc7flI2cEPJhuytF79AzrddAR9xrG8Y2mAidYJXVAZOF+G71j
Xc51fsqlm/2hcA+bhJPafaRkHc9xu4bXiXc8/JS6Vh9KzngwZJbpI4aP4bmHG3BQUae+DRioe41Y
or9EdlYcmsGY5WEQGBYRP5OnQToMA1zyenUsf5jCT066HyXqFHy1gmAyHHmLv2M76qcwXRH/8auJ
2p/+pWshIBq3CAbHJJawtz85uflPrhRMKVOf1LtnWWruFion99x5rFNQPK02+5bJdgo78YFRv5Ug
P0rGbhKSBd6TMNzyNTqfFHshYJa80hK6GA5jnujZGvMkhDc8EeyBOOUDT4NE+WcZzzxBBuXp37gY
bdTtiCdQJU2/gKjxh7w/xDI0jMpahEIJbsSigN/V48vyItM4j35hKkrxgVlg2/k0DGtRRRaW277z
Abr2inR6cPONjwpWzf9IJ2mWW5lHjH5NJ7PbGVvEdxGzZc92GUs7hGm2y/ZUQDmdD5WXglLrqzV/
okNH/tR3JXuwfp6fUgFZe9pic7KPjE7ZnTQ4A76vQXPrpWi8Gh4sYo6D0Cyd2N5x8MB2S4m4cvWi
jzmXLhJmnuh6+GoIsbyTOFMa1oVt4f9ntKyJ7c7TkoYNeSnPzBUTqdMnPFlt9Uoqc4xtgSpN7he3
zHaVC7x4n6VqId6rkzFxRLpM618bL5/zLoLVUVw4MAtfR2wM5XuE+oCFKOrZND9DsXQvrPvIK8Eb
ijTMJkGKHHoIk56XspFwVN4eGsFhq+jm69twmnFcF2henwjRC/ttOFn+I3PvtNiVDmjb38HNRx4Q
2KLBcKC0wX4Cg5F217inlMKGwMWmRaYXzV1uJSIecS0gMcKH6Rfhxsb0SbA8yQBUldZKEktkWS88
/15/iAiiK67beie7XYUFdE/Us6dv+onJ/t3A06MPZd/H1IEeg9kky4rhlud3fQO71VfcQQpZsh6Q
mbSB7bAMcQr9k8/dWG60aCShzdgJeS0iT5iD7cOy2i2jM0FFkwteC0GPDsioWU7tbEvifyRJecSp
t4zN8HicHOGjMQijkS1K7eKo3FROSkKxaLNb1iHyUvsKLYgUXv0WVzBN6HDa/Js9VoaZ17OBkkwG
kTbCTX5b0CRbpJAC5pTlZ3WNcG31q/6rVEtgjnKmzy8JcvB2IfSdfca2AkssAQkUfD7Av7cr+ExS
O/M27zpqnXgjyIhreaZat9uhBTUJFjCYZNguwDAxWrqu4WFIwvxqm3XjmIBASUbw+P2LqmEQHSH3
Qgzk2wXzEwJIbxumBP6DyKFtboi11LgdesMsJQ0WuyeHPC9YNa1+ak1gdXGl/SkOJECuiinGBcag
VTwHBWOLCytEKoLYgd1+pOpY8lchp/YcxtIpt2SrYZaiczrVrBMh0qTm4Octq/TSW84o8+HBAR89
LviASa7xiILlizchZprr62zb8OwP3IiFb28y5AcE6IUdnBbUI/P0QzYhfwkz2BWKm+PgckN83/Qs
WQceicvKs1ueBuQIOOMGHLQoZYPoNaqK6RtmilDvFv4KvA0NH4OkHXCiQRjeSgY0f7SXKfrErq9Y
xw+NeCNYMBVHhtvyNqdfpkktRZc9olBxEUosE7vpbMruGBexLpMZe10fbxiJfJHHfM943tPQWBAk
fWfGgeQxFt9xbPkfyGas57Z00YR6vQeAFxTJ3TxCQ8mhvLIin1T73YLtuumbrt/Te+Fg8uzaPRrk
DS95Djz/LsLznICTsGyIZV7hbZG4VA+57si6NJyi7E6dic0/qy+xY8lL6jN/oLksdLgv6OID+xBg
g+RrmkrFVHwuCQfww/Lc+zq09q1Kw4fADCE7zSVDfYi6wB3e8rhufyeHATS+465FmGcH6U0RLiBW
2D64r4I9enOa63XqrmSfvjhCQUjvsp4bEIfcdXy2GWKcRddXrnc+CFvy3G9KUS9+GBCLdpc5G4lR
jcBYri9R3BX9ZwdJdN+oGFZt7LQlmZ8rxdXDysA3iZxu+XBd/J7X3dcf6EPUSbaGV9sE6KzSsVNf
Xr1QbCjiE/1toWR5Czw5GJ/ELBibtFQ4YLB8GzWl7XdHzLaZe+o66o0x8lmb65Z/cVNZS/elrHX+
sCzM6GCuNOakwRwAjfgBT4NuTsZyG6Z5Ph+RJdwS6fswMshtVl3JOyeCTPMMHcNNASQF7pGLY60z
pK5IWHZMHYJPG8zFEx5OQuKKNmaetPYuTSPi6qSmaIClYxXjAYQBzT0U6PK/POYljSIie+6noann
by0j5HVzECwh9JuxP3jOWJm9qSAFb0fk+IQlQ1b61IELelW1uMinyo/EhlGd98A1EV4qWlh0JyLH
AtJE5Q/cWn0H53vucXT34hG4sUzqgsN6RzmxXrwwLpOlC63mQK70uiPRC6Np6iwllhNDKlnT2geb
ivs1n7Cwk+ZqvM9hwRNON8zPNNPcJ45F00cDaRVvNtkFF4wO6hHt1zdq1OkH3n1+nCHQMLsvq3OF
UuYoAAwygfeUZHY8+acwDIH/FFdb8yayB7vbwmKfbpy+iMVusEjeREWY2U+eFwXfvebERviTd8eq
bkKAGKP77jJRYFI0apfjYUiDY+D67LW9K9oHlQKfkklx/rcWXvmCc3X5gT5pQbzwU8GKDy+LayOk
Ri1ZxA/zZDeXno/9CdK2e6RMpR7zQAhhUrOLp8pM/reUrsIaEJr4LrZNsNxkIg/CA+ZbXCyzNQcH
MqqIw3QF7KwQk8695zR0YJQLOy9HRb8l1zNEjiDRjCJ9vHMR21NuAoJmk47CzMR5zdbKztbEs4UJ
EiRFxXub6/ytovUHxtbH97mq+otSBSgtipryfQyHj6KrfL6uEj1D34vmzklT77MF7vKaixlXJNnw
xTGYWemv3vJP5dF0kNnqPxEAJMtjxIu3E1x9w6bz3fBBNx2qmwAP3u1o043vpiEYMXIFcC614FsN
1fBBEbLsOowye7fN4vnH72o72FtwWPYtHAFCgHXBdhTBN/pYC41cz69F1ElMKLg1N7GbWIN9iWJv
urevnRayEZ7ffAJNibQ4vnFrmT7bjBM2q4qqxGPpxWqDjJNzT6LkiSH9bvHKaV/nIcUWtvNOsulT
0dkYPYI58Z4M8ZdUmUt7tsYie1tMcMF5Ze1dmH13NnrnY9M40WOIwfywVu1iTg5hSAlnkaJpQCTd
JI4Q7rng94FqxPLA2Xhi8ljEjA61hlc1byTPzmcQePy2LJqIZW8JOn5vWWOuRw+VxpPHZXWUeWq/
o34g3AK5MzvVEBRI0K1jmUzCizxayOEbfWb/EssWJVAVyHfUmO6p8UETV6NrBPp7cJGIu4lWjwiQ
L5qh2xQWcrig53M1M3wrOToopumsklYIyFhlOBH7Hk3MhIkzKx+wNIyJyaP4OWfXRF9vigxVmBWw
sJdelZPkA9ELPUVtH5FkTf/MrOZvIZ2amnb4Qm4479xqmhGs1mn8ZkUpYrXMelqvfykayJYYSPoy
ilqyno99TSD2ZoLMDb+XNnZEDjB05lgSwrMFYefeoKagG43CebyuPKW9qea2OIdYbPioKxDdukDF
YbvUO6BQt71hrO3Bq944ZGw8sp+CIc3wR85UTZ1bCo7DrCMtoVcncAg9STDj0D/G2Xrku453irzk
ix9abP+w2X67KAOSzjHWeS6mMzZrRpYqGORf5OT9xhpcLr+eb3UFulxe1iUmAnAMJpJRoCD0mJj0
lh604kID0vWR0fReq7ax664bIWpERFKPhGxEn1bvE2WszQ0Igcw9x5nDoepAtr63RwT8AySoLY55
qKaIau4olqo7f74a0gOUFj+pIrsYhzDeo5isScJTnc6ByMETbTnWf1KDDHOLBfgiDoM9wxfDxhEl
WKVF2GyBinIRR2F9KduwhH1ZVu4pYuT8GYW6vZnDEVs6NfEP5XvzW9ftQ3U1XPLqpiH/Y+KQNrZj
OV+Tqh7aXmcfEXjzzcBC9CGNCJgGmE6O5ZSBet1KPyatUqUtl3rh/TSWUz1xYc1nn0pLbSZQPZux
I/3nqAVFNBUudDkRghAhmOd6hVbcWG8is6eE8R65BWs8HBlV2Ewh+ZirZoChl2I5I+xBcp1LfAto
QnSSVyEjBArcDXV9/K7nDBPB2IZHVEBsimSF41ZW+qWvejpOIoN6tEf+FaO6TsWuDfyCQ+b/b0Rt
qn/spmLikZfMuddmzVysDAyO0KUDodcCXtdUND9QWAax4fG76l31kL+Waerek/Qinz225knVzxFA
cpqAeasRh4Q70a+5TKp6zOlbM8KCazgOG6r27lpZ5L9z6g4XGv5PRZrpoZeQkHHZUyGwISWZoNZf
7OGngsJP6RvTy8jb5iyx4QUwpftaIO/k28BXjbmxe/p+PXb/GBETXB6JCcDVPKrnIrAjSFRxcVWf
1wiAQnnFjY6Q4HGMuy++mIjh8TtVfWnp5IcV8f1Wdh7TbXhn7WGBbvaYdUY906pwlgRGmX8EfZCL
PK4oCUxTM29Rvp9vORdCAnmA/uz6NciH/VWtsKW1nLbGAiDULjpNrNpC3jFnmBDdkgYIKWvDSiOw
z27KgLfDppWgJe53rSk0VoYa56otTbcN5pGgCNlGetgVq6KUbRFXkdlFODMQy2ti7xsAOuSPYrKG
bT/FOF2nd5VnPmv8K7wDsRM8nOzDTNhMIevFeH4RKufzbMCcs2YPOM5wUzjWi7uwuxHClLd2KNwP
BjX5pwltdYqHODAHpyoPUCOv6qOS3we3uJs/pg0TsX3owmTsNJ6dLXlkKGPSjpCeCT+2LPQJ1Jt1
Ktg+tgdrYEbomTC4VJi0L6Hw8yTG+UZyVwwXLezd90r39ocFws06VIUtf0bjobjh1qp/S7+f7grE
WDHMd4K8iOhFCBtjxwGR4kHJUfFY3DdDUN14U9RttYmY98OCwMoBkCcdAnrmFqNQkZreu8rYoZcW
oyILO8ItULDvqsPMQ+g3/5fN6KLwSZ6ljc+8pTpGUCU/mL7wHxvjp3pgfRqX9RmnQLxR0dS/SyD1
uFPmhfn6Wmb9qymXlyy91ghkuTeHCSk3OmDPTxY4Q7tgiKoTlrPsUbN3+JSpuIZx1CGz7evCwZ1z
jk/cTZRcsNgPbBoYbUR2TfaOre67CBqoXEr9MsGs2JalEcS8Q0W7yhTzl6vU7w3fw1KfUyYfVFNZ
3hIWBPb1doWuviMfpf/Bjx0bNlpZwwEXFwjB/FAs9G6uJXZqmOffVksWmCN/xa8/FTxZRZ1uLeXA
/yfxeflSBM3f1IxoxIESKALZzSIcFxoPOHrborYY6yIrgdX9C5FifmeIYh+iKvY1UVi9eBqjtstP
pcNOe9+vnoeFBwuc2TgYtP5cx+MqmtGSJmNuD/94fJ3mULOwf3VlMTVftjHNw9qt6jGEA/E4oTqh
t9Oxg9E/msorvR+szQkxm0fuVGwD8JXwOaekB9KOiSdwu6B+pnH0OkYeihscjat0j6FormS9tJ5u
zDzN8ddInxeik+oxbyBasi4rqtvlny54BVbSeu0tIydUIuOaAzsksbS5KZaIm5cfUMr6KZxGA5hj
VeW5cMMcjl5b/Cxu7nCrIq3290Bq/OoRCwCByhOIsXfy6qi1DNa3fR40zZHuEIm0HJvwwZnA8UUD
KessiNbokmelD2TOoPW72Mx/C44NGDdUE6Mw4w7VQ0MctmPFtwhg3GA7VLW/K6Rv7yZN341cEKZh
WRAKuKdxzZnXoZARsYK86QeErHlch4jw2/h2JefYPgxm9v5jedqeSzEUdIDkfTgIqN3plrfwikEm
m2APyaT/LVBrPjDKIeKnjj0PuXAqkGYCeGALGeEuMonpDGMgG3RBSoUxO9vRY7K+96Nw/URy45tN
6K3Bq+mrpUkyuwn0wzRgGyXGrkOMO2yqwQch6HeFvNLiXDq9PMHkqskzXHCf3glgec0L2yxrQZxz
9f1+2TSx7UfuITFAZ6DYqGCroO/nX1cuhlN/tmpKLoKd+q3bM5rSCHmzfjnRK/AxcUjJC4STXJHW
YnsOn46lKM7G3CsD2FLgV7fYfZr0SWRlnskEbVU+a0pbptDFkaPByhzGpCITzzHCCszCyCPzV9iK
Mn1L69HEnxOe+eFsJtT82Fday6DTNhDq2onbiCRD94BEYJiOOe+qrFn05MaC1dGmdnHnpqmwAVbD
eoLwFhENUZ7KrAhngq7W1R6IXtLdzAagGYqKEo5/JBGdBw5GdsqNLMULRhtiij9Wknbw31SBRZng
LhTSU4g6qmDSz3mV6hSRBf1x6YPIgwfT7Zkvgwbn4lmf0YbEV/sKWZnPsbSt/qhTcEJkq3CdbGjC
HMx2yo6TOtDNMxcWLwsWWeZi+ZwxRUYj3X+W2XxdTlWuuaPDTcGsA8KgAsNg4m2Gztflcaynddib
2Ks/ydiw65NVEl7gYAcaE1fapTzSTZOuGCzTKu9h38nwsOhQRKcZ9lqKorOh5gQy456NGOlRIPew
ffLpXi/geqBBbixPDcNNPaRMcJDmtw3craiYn7E1IRxuTEAL7XKzj/flMIf+se6aeNpHVrHqJJ5b
8+m6I8zeDQXT7N3SvUzHHl8kavyqC7tLd4V3tM41zBHJq0PjfBUCE82YFgw9kTb0W2we2bB34Ht9
tcWIQsQD2chdU/vuY5j7y5WjNaBu6gMCVU5ow6Ll1CkR5HvHnar6lv9koAkd1ehxOQ4CQk+t4a2z
lvAJ/ZOZXogu6h+C0Hj8UaTTwC0RQh+avhaA7mImMo6rafh91GUUtJU9cbbn7SvFQjP+jnCAfkmv
wwzlsiGPcJNh3b9Dp9C9qypX4G6ZuD811jj8xR72kCNuVxStFYrSe+aIQj542qXwEdG847HLvzFX
hP3JYrq6CVQmHyTHQXUwU5WX+4ZcvJ8gID4nKTAiknzB6DI7lrDecgygBZ8TJnF9A0QsIMHKcgsv
WUvlLn8M5cfnLtPteIiXLvqBImfjpiZjkTGjGKihA1gbdpJnQXtqPdn+62GNMFeyLXLr+nWyb2xW
bV84SefnZVbWG68toVBIhgg+i0Y5hqfeT537ia7F2zeOKW9ydm1okifFUc8vL729p0vWxB0DAxwb
GP7ZYmgZ31XQ2awkw5VBq8gJ5NxM1dq+YdAJmPzTKCGqdtwCQ8scOvRtbiBokghu6+5JR5AhyU4K
9UgVuPo7JZjj1veD9Dz6mMi5sKcSDI7T4iYMYGejwGms4GXNcHXw/4EJhDDRrAW5NDrhLRkLWKUC
C5rg1aCTG0Z4VVAniNv88q2GlT4d63Gsf6xqNkxpmc3yzBazg3sIXtGPJ7Go4qB30vAFrnl54Rdt
WAx0VX8mCiT8cHx6uCNDQBchUm/QHhdNNO67RvnWPqIHbg+rYMieYEyh+xS25837Tk3MC3li8Pf1
uL0/i3VK1U3lQww+o4HNs39dl9dyZw3TkO2sSevqlAJsLKDHks2G02J2LsDP4XEHLPyuiZ8UaiMe
wKewGzUDESdlSVBVlISbiS8TfKgCPc4tNw1PEhHXjQ2Fszg43IrfxCvSM7PEDZ6pSoCcmur6iYfR
Zl7RWA0pOb6s8MNPY8wKI7KpHEQlZ6TFtcO5bVblhgdsLtCcOSnxFfecvE8YCeoPp/VJxeXpxU+Q
GZBJCQFi0Nm4EomM0BxEJ5MVRfbSLYyedyNIrXHL+EA8FsDE2kTzN7xkBmJXMgsv24KTde6sobCx
pmRredsODaVXz9C1/ux8q+teGac2t9awThn2rUkVZ9o+b6cxagwHJms8e+zEmhksKOxIDzX+LRM5
++xknBpOnppvp44qfDTVyuzTwULHSmiBiXl95rLmpFkaIqEh9cxBQYnFVybN5HavQMSC5Z+b1oSE
bGqHEd63FAatAqWnCI4UhCbY9J3tIJmGz5w/D2XDt1EuzkQokhfMMXCemEnSPLdxv1smvPwbBxLq
tK2s2iwHe7JSeTBFFInDYDEOczXPzkZNeviJHJbc+6BS062DMkd9K+bJJaqGrBtOTMet7FaRNhoc
hJFBQAVVgY+ZGC48V7OIkDh1lNw4SyWkvgDTEGEnrN6gnDCTdfiqA5NN9pG1wFB8seYd9Z0X4DQ/
uq7X+s+SYbO9sbtRrceq7YkeE+3U+MfF7mR04raYGIgXV9DpkNEPQ6FxWZoKG8z61lYqfGlwRRJD
BSMq+x7M2Khzxu3/R3gLexp+7O5idUg4kx4+yHrvZY39hzB5fhizCdC0KmC64Htw7MdFW9ie5gle
zLlr3fAPMQOrusCzi3Abon2MziSQrOGXhiiajBE6qAGyIdVDXRX3YecZe2e4iS36IrxwDqre7VLl
4XmNYtKSKa2YwMkuB/QHBz6pSZ3kMOjr1NlLm6XnRcBfO1XAcCgfpuZ3DtFEb0w3ICQxPoznnZM1
jAYGbwSa2FR6eOgghlBR1oaSuNCF/8LflF5m3wYVx50d26DnUjKeZBS141OBXvAkV1b9V6aafY/7
Pb9ttfNha/a9yQDT8WGdZogrROTpjQ++Zadbe8WNb4lzBHgw46AOELo3Ueq8Y0cd5NMy2j68Kubg
W5dzlzWI5T6EcIVsjM91wCCstR4dJOi3knlqua0Z9O2VJckpvGZBdA3KrV3FmPyEZiKHMTLX8QHt
GMt9Ecv6Y60N9tZakCR1mMxslbfdIlArGQeA2KBjvguTpquzA56mFXuudK1K5LErbqRWuv+VGktU
Xs/cSG3bXKup6PNKibnnM+h7iG1AQgTrVoXeqSrdTTG1oM2aevkKRN0B410xqth4U86eK14yRt27
tI6uECvjnJFPwWto6/gDcsw/KEceaFYzPSI65P2X48pLwNzWf5hpop5BCc8ceExU9ygfs7fBGrxD
GfEYltOSk31RFw5c/Zw2wFeiugNigOBpiYf/lD+U50bZAWvXEr3mLi7K+jZ20/LYVzJ4a6OKO5Bt
NrajDnrwZtIYxpEMRrnccCeEu8JHmwxyKI03eohdGGr4hw75SGY1QnBsc8PaERReTm14VzhYnIFp
oGAzeGXYpMAnEd6681OPmxSiwX1R5sFDjvrtNnKIH2I6DbcoZGSK4FLpn5FqY0yo25YXswoASFTi
sffdMl4VlLz8YdtZuIymWi4LBmXqUPEI2HuE62nLt6e5O5Zew95pVDl3u8Edi/nEOtdOE1PVAzBa
KgtsMLwbF15rUhgZLZdqb8J8tJPQ06r8LhfDHsG3Zo5cCYcLnkBNcuFLgTwK0Y0yoMoQSAc52A5y
4CAQICE7Ae71GVLPduvpvePw+iU0H/Xy0dsqb7bO2kfdw2xlw3TLrAVfR4Bhz+PZj5E3bLIUR+oh
s67sS04CeFWKQYrYVu6ELIChT4yW0vbig6dMdeXakvzD9ZL598Aprmu0If8vzjCUgQ5QyzUUiBOE
cEQ08wA/3JSEkj3rc/JvEU3UcMtiotHouUeOZNHYhhA9hmaE3PU1QhmzBCF/vEP3eZ0jo1naFnmt
F26j2hkZXwFAQ2aOajpp3Cy8wNFik8Z/Xr7rpuU4W6JYfYmUNd8W4lHMDYKFVz332Gz5eWcSO3cz
Al7sXriRcaVilwUaEoX9uEdz6V3gkMWs5pBvZIj9pCoOeUnJs+PMZkUphzyOoOimyOtD7iNec7Ka
IX3mZgLNmAMNSrzG9ZYj1qDJbLtmHsQBi6obHwRwo1Mbg3ZB3ZEbw+hEa3mLOULrw1CyY9k5vSKh
Ig56BSAlsvoHb7xmZkTk07/VlkLON+AaedZeCW8WwiDaYGmiYuEkUbZ9IFqGSSJPElG0BUHF4qYj
ctHFydV0+S+8DtDMTbSkXzYAMzQngy50AhKjYvsk0u7FJqvwd116oNpkPXHfo9ptafBDz7l+NhOF
b2s2YP2h6qww1HWQcc966QvCBcnlE/t2WckQohXx6JhcKjdeVyLq9nAnhzVBFkuLiEaZMpDQX7Mm
sLxdcH3oPOajgmvx5/LDfjWMfaO7ZpHWfMOhiTuapDgPvx0N1hOvN3bWcO4idlYxETBUBHFhEV4T
XPEAKBeeYgTPwOhS9jo8T3Z5mjQgrK3pl/jTSl3L3YbyahlCztr48E6XzmXV0KtPNKYg2qgQ7P1I
S0E4josagdjrLh72HkInVJ8iWloUGGMfMW+in9kNrQepya2ARG3GqAKhYbSblzc9wxGfwXfrF0c2
bpZ98t0AGZ9JVQ3j0Jgo2s1q4BGCHhOMW1ZcrWBvU/fPvkQnfzWPTjaYPA4/zhSBsriRDe2tQ40f
JayzOHEqxyFYJ8PmGMCkJiZ3x/fQloBpUuWdEK+I7OJF6OseWLX3hG74rT9/+o5o9R72pzseyipy
4y3ikcBnL4smi0CuqP/OuUj6BFJAeB25Er63zREfX+aiIi8SC9/gH7LAmvwdRXgnXguQ/faLQ8tl
QY0OixgHA89nghClKm9HtICAkCiEz2Vgdb+zGK5483puDhSC2WUMcY3sVOtgKwdPM0e3duAUUQ2n
2lRgGnzTLLtgbmHQhogCWc4PV6kqFWnwB4eYZR6Vgx+dl9pN/2Z/lORUVaL4XXJH3dZkWjNKAfLC
7756VUqsKJpKJEExWqCOrSpLFghjn2jx2p4xrgvtCKcrmrU8syxAGWHxzczAGCa1CrFSqoNznaHP
wlWhlgv/LHyKUd+q3SqQ0+1zBtHuFk99/8MidrYSShXtJ6OV9+MDY9syZ5M+NDBZncmnm+xRJd25
WVT7H1aKk+e0lJIBj9cZwt+BQ47ldk7leGsmDP7Jguyk2TFiUnqbYfR7RhNB9ys72HxW7ntv1eIv
Nx1C/R6qrAofoTcTV0Mehx6IgBQTB23HsgWIFtpCIJRjfiTBoP+zx1b+WH1BLTz1aClPLv5i5+hz
W78skCz/oBSl+rFx8clulFuv9yNFzEPXS/++yRTriJTDFJbN1FpP2aJa67budfWdkxr/nzdkhIJp
hUKWwYAiqoFYUC+B6R+gyzM9IZNxZ8FTM7b4uSoIeV2tQt4HLBT/ATdyfhGqN49RtqBQk3j9Dqid
gNjamSBVjIUVDLiO/BGsf8UVqRWHwcgaTZTUa57jUMxiAhXvhLkMckvp7D1VGuj5rmwCZGvK8lht
dgq41wWUpquSDsXhj7LpywmnsNWbQxBZuCUwo+j3uavfSo74f27EPA4MWh5+4cQmxMt3ZIZZHMcq
HJICjR12YWOHSbjkOZtVXAmDquPvVBcdYxT4SqtYqOo0H1KzrdkXKgjuA6v3XgFkPpft8gKF8bEq
5PxozQuZDt3s3CIvg/bT5dkDjtnlvuOpKiBez+WpQpB7ClyD6gLVcn7qTR/suWjKI6JsfSH4Z3lm
ob/uaPJIr5xD6wsho31DfC9HtDsGO9UT5SVBT+2dqF/es2B4mRpvQrog5VbkIryZsRDdBU2P/rmM
rHMTzXZi9/7nyrOyS/3hokHWJA3UPeQJBN4h5mnYzzJ8ZCWrMdPEYW4+MCy8s7OPfissT0/WAKuA
Er845igqSYSu4i8VAEvKHMPuTDG/3aRtVXGwjv1+ib3gywer9G7lzZViNbr1Y+OE9p2Y8nSLousr
jcisgRUZKqSrCgYE0xB9i+3pZeXSx5cXwWSKrS7BtCEJO5yL39YGLbcso3UuSVF5qiWMBrvqlkf0
g4RmdBZBQ1HU3aDHrm/KcpQ/SmXgP2Qtjx1RgQ+WGdf3gPcyoZMNcQr56xdd+3LiCsXikMMcfZ8L
vIuM9v3/QmUPN1CVrqTLLv2VFPNJFq3dTawjfeviSsIy3zdHdFzj24hKjN1urx9iHdJgd6AiLTsc
XjoS5ABp4DwBrrPwdzU/PIzxduhq99VGRL6N/MA9geYWR88M4i2VWfDfiNft0LmEBqFCcB5dpy9f
fV/qD+FHtPhu67wwUm/OgfTlgfgwfVi1jbEBn/TOAooSKC0PTq3+I5Ol2QGSYI5XMZW4MQZceNqi
kPaN8Bj4ouI6pJATsMF4Pak9pB4dlgqRLNUK8jCBEi0xZencVdoUb1CBKkTT1I7ISsb96ATD0Q+a
6Q6eK5TfMWAGQEQRs8SYASMuP9YXTE5O8A8WtC//4+jMliNFsiD6RZgRbAGvuZCblEql9nrBpOoS
+w4RwNfPYV5mxmysq9QpMrjh1/14pn22PJO/YWIObrxcvBLS9Syv2vFfRhImj3mytB5b5s47098e
f+HLvZMjab7skTxOkIzYZevpRG1T9F7nQWigo3253Iguc19ahxpPBBFTBFtydP2RB+hGXvgz7Xk/
i8IYf4kDklrl2lg4U3/jmPuS1ZJ+5K6jd5BpUaMsKFAVzYtwm3sEdmSu9ykFaJ9UpIC4ALgHy2k5
F8ALkle1e2lvI0qV7gUgKQVKo9yLOiiOwITbG5VkJEJLLU8LGaGwEMOJ0J2JcaQJsh194Nzbht59
m7GFfPGr0BQxGC8NEb0vI+fWgH+ieqAvjvIaB1sNBL+RUFFFCfSxsRLn6IJko/gbTCF75grlJtbL
31IkMxGAQYWLaIlT6fFDGCbucUpmPRayMWyESI9IldwFeMPpdH7xKA2nGdeIP7yujbYzTX6vuUro
CV3cVv7AQdFPuc0iclN1+IT3ZOMQ5bGKWj9x37s7D6KT2LjNkFECENvNn6Upn5PGBSzQew8tpFHc
NiXFGfwZOdmx1tzS2zp8ZEmlXvideBte2fIgyL2jMbvqP9Mxg0+p8UImExD8tnVLZ7/EmPpjOGJA
f/HN7KolFq/23BLmcC3CnlZFGyoV2XeR1bixsyxdFrycMnvjGtIcfKucdsVSwMjDcN6cvBiEedFg
WHBqRFgPI0MLGfOpcE02on29fJkT9SBThDGffaF1YUM77OEgcmRZeC4k/PVTGwWf2oX1P3CBuqex
n/6ie2KhaFIkADOvs1CmntyRNCDzwVgYIbs2w48l0a0Zeqm9QZyn2KeVIP9qG7dRz6xKSEAQGKV2
CB9EswDvbduzn2C9yb2A6x/i97aLgvYY6/L/d1KyGVyLPtLRVJ/E/Rjf2VnVZ07j5E8Re9al69Q/
U2FQgJD2J3WEfWktCrM1fQFhBHZuKwZLwfio4itbLCKhNmvzHYYtkv2FOYfmMFRXMisAKPKOXUqf
kButM69qiUyznQOw134PWeY8Zr6KnoQ7ZbgEjWRrju47HNj4HQ2GLTSmtyfDKNIvjbrwPImORGEJ
Nb4FRPlIG8ETZQb2rVBSHLp5Sm+2IdSHVeDHHXIxSEYFJw/Xgu+HyejUIQgg9jIL2uS+gEpcCZiQ
APZGtUXmqV9rx8QQm+t2XweRtYXspEIkN++W8p1gYE5oR8S1TYpukf1vHoEBw+mj7TsLmogouRLH
Fm1wZxVDdF8KH1hDTGkeVsXoUUlah7lRU5qE18v+JgtGvGaaeiZFZ+S0IqV5gbMC9wajxvQOTK2O
d17ApXPjmmzbhth2HuY5bR5JMbLOF7G1W9Ddr0bciAc4k/1lmvz2TKai/ZAdd0hPyHaPGDz/6eLk
GVgkZtrYv8HG/WM6boMVFb1uU1pEdbyksu4R4ItwcOf+YlsNbx9eg6HnjfZJzMV9DQnv6beCWZ9b
BuuTQR/mgA9Ey2Jst42OuZz5bh9sFCawp5RY5VlhcXiR7iDehqHz4Mibqh/2EanPYVN53IEvvJK8
o99X5onpXRynuWupz+CGf+LaZDJ21NaXt9jRKSfrf24Xbj8Bm4ZdF3lqP+LpEDiVu+55rsvhWKXT
9EFmvzr6QwXWjQ9WwhhkJ/oytc3yGHRs1c3JSC5dUNuvmeXz0/p9FqAs8QtekRrjk9HlxjY3ktcp
hXZIkYCFeRdikrPVJpURJLYqpBcDezaRP/b6DmokXFYn+W77qN4JHUWfyhyuAMTcZytdSWaljKKL
3XvJU1GP5Vu1uPZ5mmgkJ4ZiXUW9EEzlFkNFYr2jX6f8xg7g7LjLk9FZCHizfVQpJ3tNBYYxRncq
P9guwj7+oZbb+QbuctBcYlcHQp//4TQG9IHhMYRTEExk60W/9eOBOSnTJa06hWLbWZUR636chacs
VcYbdoz26rZG1jF11x1B7agrN9rxbEjmqUUSk+co21aZsGeMmLxjopYpwV68+m+SqOHgToN8HyaV
/sUvjOECxNfOJV7+O1cCXwAnSLcZ6BQ+pNL+GDSR100wu1rvyKAXd3STHHS4axovFvmUr7FSCsuE
a0ShV7vRNdUe1eAz94Y9DcjvydAOVGp4zg3DEyQyzvOc+W+qaBFwCGdkVHAQ1mFl8xlRtPDKHRVz
nD3EO+yKftiVrnGISyF+g0yD/VjZ6zQFJEzqkfvq0AFPNMhqX/Azd9AGo3mPdIBsVU4DlcEU+bBH
LEbmWN3didAsz8DVDK77s0TqKwp1SiERMd/Nkq6Hxt9RPxhh6YzHb9cuzbC2m+pep16Q8j4xk10s
BLeO2KcOoY5qhoUuTQA0B96JLuzg2mZD9z3wYnrQhZRvBLPG3RwPbAm4ibvUQNk8DW235MEGdbne
RsjZ33lDxTy7qelBoC4fUwIn9yyhSHGXD/S34UcL9I2wZRJSk8niLTeHW99AZ7DyJP3bWDa+KGNc
K7Yi54KBL7suwUS15Ww47xVu2F09lGMYB4IOuwQR8wOLR/fGsjI62XYZvc/teK3rZTgPGUD/imqc
n5ir9J7sB6fI3FubJOPIgJwiYO/4dEWL3BjOmCX7f7JXY8g/F70avskFuXUppxvh7J8tJgns7jRK
pLGcH7xITKcq5jW+PtcOoqQ1XFPGpIaK2RXPpcr/9FyN1wqk36PrEirD/glh3ZxIHhZl9hcPAId9
mhgrXle13+NE1SwS33mCnrUB/xz/Q9vKn7gVNF/zpOivaZWo3hZlvZOxQ8/oaSjcNgOzd9DI8SmA
fJyvgfHqoroUOD2d7besjMoXt1DjWwvj7Mi/+XIm+BQ9O9LQL1aj2ivP67Rzc58/xuoYErucfkzP
TeQjG7Cq38VuLd4x5HIDHcirv1T/z7sRv+rvkx+r8wCSpD9TqjgeaaIpHzsIoRtPc/3aAM4d4JMV
lcF5nMZfuTtyohBU8zZFPBVhqmNunqjF727fcUYEGStc+K33HKjngYYyH2aUuQKSF90kO+6LVgnZ
jrHNi4ph3jptjTt5LAGMC4nYnMet/Gp6VO5NBgromT7J6HkB83yim2i619jpN2pKvXOKYTDBaK/N
U8IK/J/dZtkDIOr6ivg6hxjHg2e6KqIXiB2Miwt/bdqb83ZAiGYPXfv72OmwCZq5DbB1LtFCuQR8
wBMzGZjS6gK7hCmKp8Dz8SxG6nlC5fxsXDW/0vFd7urCWn7jdbfSUJ/1jy0jjPRmdl9ALwCf6BOo
Pj681N26abhlidahthbuRg7etDae7AMUtP6iWgOKQzsrdrlQHDadVDS7Ny20eBnpV09n0WWRnUc4
0p7q15J2EzgVbNNw0cbA7LZgRUxAcVEFETjua40jvEtYR/MQod+5tLhY1sFHHCMvIfSVSyiTC8vP
Z8OyIUeRKA+2eRt5APpK57eZuJWTDW2KB468ACWz9pnhx8nm5oqfJHRSFNmJtRLBVVAobaGTkFBI
fSyV7afh2IomJPkE4ohZ4M3JAlKilknuh8jSLeolxhJM8SciV/bJ5ID7II1onOdRVXdgWy6Aejf5
NRYZ30igkr7NTf8DC67zZ2iSd+0n1skCzrnVPkyIQbf5L8Xo1VPSJexeYqIiGz8vsRqqJfix3MI7
GcM6XNVW8xaTjsYOoMohhCPJwoDuh/OCuAzsLCiumcsssI0zVkVqFOM5aHv33vLhshNpDfjgTIcH
HyDIkchUtqxIxeZor21t0IjMQ0Mk6X0YLXGF/SnOsZ6NfVNizamgwqMc91VozmRnEpZ2nwGy+2fe
Zta+HGb9H+MHjINiKmhwt+TOp5cLozPth/EOpbjea9xcEtWlG17oLyXGK+36y6x6Yx1G3dMM0eRj
GgHj4J/ElEabxNvC7YcDkivDc+sP+dPcLC4nIg0ffmuKJ9F7dGmrsvqgt7LaDZHzH7ivnoYOCK99
2RvfhqYbaLJVepSg1dYQQ/XVTxb7jLWtIyoTDynPTX5yjDBsRirr4lF6ycdrpwAKSOABMYklhDeY
HrcowUG2gaLpnWLl2TCOqux55ZFtVELrlqf5imaigTlC7KynDMAq/Buh8uGVDHf3WHHhpfM0DxuN
rXm0j5QkyDAgCrbHgRzfa6Jmb5bSEUCNhe1HFigiKKv/tvLrT7OEljoPtnHMnX56KrOGvgAevSOR
ve7MlyWhKYblyQbeofgtiWntWonGZGWOCYsr4KaCL/IrqDrBGMXudxroVyubPFj48XPKZAKc9xiH
o3fFNTTYQKj7IGhCTN0gwfMVRY26EgTXz0sSD6eK6aAiZkwFi+MR17eBlOCahpfBIkv7e9oulnAs
veKQBpF+cxmALpSLl3extrnAOHGwEbMw97aLmOHm2CQLsj0vIIccVi6i547F20MC4ufLL9zmZtQm
WTfV9t3WNF0iuA3Q2J23sP/qR5LNVQ21/OJhphehZeBl2AB8Wo6iXZLj2ECgZv5xPpVnzfbWtbry
Fe4cT6NKMuPaUUVHdGdKXVYbfTr+BVEiLHx3XsIvEaPjvqtTLFLB5NErsgZ0QgcL2ke1lgg8o+YL
bw96zzpj5mPBhsZfuvQsuq4Z7NO5H19Z5KLpDaVktZpmtOP9kAjVz6wXYhEmtaZCQ2PtmS520mOY
piMwzm7Ymizaqrg5/rU9YdrbsmBLBR3JZE1HqwcGyFmPEs+9KZWPMyHBOyDyySVvOvNnbiAAWlWo
0o5Ey5yVNpnAXEObZO9AwiGlQX6OKHTCBh5w8R6WyXhUxYrwsdZzGi8+rVjs6/OXPHAGlEKRlqy+
cpUllB0l2ETKoIufNWavO5wq/CdJbhA315Wxh8vIhUradnVscM4w7xWV32N/FB3b0wAU1ak0xEon
lcHyj1wIsSx/GfS5U4tYzpBCm1cw1+D2OrwAACrqda7NpIj8GwhdnnJCaoweTgLPCQRcbsCscTXx
1ICbK7piRVT0YpEjJpSTDiWFUUz/xVFxyCV8r0GuEbBtgOrBvzcP2uvJ/2RV/qnxADNkk0n0Vss3
DXyqboLLknb8XlKTo1Yb68EN59BClsQcgUEZeUGWAStl5STQVFoDfsh+mn3zX94bdMwQRTMvKdgF
8WRy/AYHq9TKD/t0FtAHS9c9a36R8koQquEYaQTd1aYhjcssVBntLU9U5a4DP9NcShHIIwV4ZnvS
eQFjUE6p+F7ZsdwlVFf/2q6WYenRMbLJWN+8stnuFzp+IFOELYV1+pIK0/k11ci1sEj85hHQhvNE
+Y38iGnOQh5AY37tIy6ge4GzmyZlUHAHt6wBBgUFzINUG1+gZM0T9F+FiG2VtR/iaRX+Xpbsq3dI
ihheKJA6aF6sLxZa9l9jyN9oZgaREwfo1PACCIw40GnU/A24+YynGct7lFszruV2eoFm41+4LjK8
xcgeH2QTaMYIIBFjTKVZNFf7ANTpprDsD27liDeqNA7cW4L3tJt+ZztLQ0ppuEh7I3sLpwyOLSkG
eg1IkbBZGJJnbC203WLwSP7ZI7YZvgxgwb2fmdP/A3DW2eVo3ky0m9e2vpmahbhLAB/03o0M6t1f
06ABEzmx5g+vd7GGTrqjRh7q8L7ExrYTo0cqEqIkDZexFWJQI0PsNdnR6vuCN68/Hix6KIF+eky/
GBFvzcB6YxvRgQYeYtYhMZ5P/KP6kZ2AecniRp5M1xefzjBEZyiEVIf5RlB/LU0bPOZqtaJFzmsx
MpuNZpD+NyOaHEwi7MSWwbnUnBL0l2WDozZW7j/4kzU9CniO26I2PbisBASxjCSvLftId+MM2G8h
TN6R7sU7Yqv/iBZa/40joW5+3f+NuugRtBN4UAwy/kUWonkyPKCJG6xey5EXTEOgN75PlvCfE9i6
oLhgU5Rrc5rumhJqweJABCkAioHg/ij97jfAthACD4r+zKCq/kXUn6M6KOfmgowM86iZNrZvHFk2
slIofd7/Jtmnh9ETJPq8nndQWtVvseE+j+BETgJ+TdhRzXkFnJGzreaIYo14jHNCO30QGWFlUX+S
sQzodhPI/sdKueWFtj70Tf/OCjbFutJ6FxjMEVnjxEy2zqJfxFLMzsbvoEMXmu7YihNnj1rPPgcj
5AH/DpdvVoNoSSOGz9n96gidbIbRfvdZ3TFUseuFDvAkmyC6GpP1mDHtbUYi7SEwKj6qvhh28yJV
OE9Bs0Nlr/YL947t6PbND5jEIcQtPIS943wkM2nTGnWRuxDYTubpHVGllREs/Qesu97ZXfWOTtBN
1kXYGVVHqNxSwWsRw+WjuRnqjvezkC4Fmakq+yLxqZ+qJPE+cBxc3AUfvujSlFJqF716FF/zrP6z
2vyxBzHRt8qykUjM9mJHZXawpXfCDOzsPN+t0cui5Ijzu9jHjLcbv3bnsB4668Y6xb+46XwBXIiO
zzUBaJHDaLXsVeLMF2ysfxIxSuaBDvQ4ZvAQS9l3Bsdli4kzY+k6guSgPW11b8bkbhcr1rfRRKcq
koDsRWSe6TrBNDU1ctdNjiDCaM9Ou5FJ1X4JLN2hbmvYy63GlH2hFFV6WyV5N/DNAHkrxGbycUiz
PHMPcKes53a1jpSxV+6DuXD2vQLuoVcWIccTJvWu9q4t1lrs/iLZmVQQI1lSDQ9ZYycImRM2sIYj
FwGcf1qoTaKKf6XN48N9zrh3DJVn3+z6I8Acve38tH6I7OENVojzEnc2Ml6Gg1TR8tpH9qGR9vQj
TLdENfYfJOoi91iwTBBEuhCuHeAyspBHyFL5tYfMc2gG40eBht7kOhvwYBNl8T2vp4eEo+go007+
UOaICScvdH3hKOZfQbHbKwKhrnOTPJIHp9rdNbmF+XNV721njk6FNJAOGMTTc1KNiEWOZqaQpmA9
REak1CuJL8paKoPpgXCIMdNWngnKJQ3vi9D8QCfsWLjgSqQYQyvA7bqBnzaQzxXptYXqFALvandt
0KRviTB+QOGP+uynBmBSwue/uLnN51JABT8Qqaixpaf0qhvV5IZLR18wojQSH2M678HaHi8Qg4xj
JsfmRtNN9oU6gv0sbR0+S7TMtJnrG0Ub8sGyVRjMf506dVDcOi74K8QNzsey6/2aFKjnWd5JBYhA
mTnmN7+w3U3gW8ad1w2+IP3d4mvKDhPi65djD95/avSxJol4nrcqi3vrxGodS036NfZO9OTxVrqg
2YZ4NfxHQiQPri1pts0qJx537GM+KkXOgTcsCLCBW0dKo1I5Fbjc65GELs8+C8j/0p6Z0A/afMf/
CM5msjTzRSxV/JEaVIX7kSW3+Od9Wpe879me/7Vaqec2QW51YL1saCv7MX0uFnWyPPh5bD+1DVY6
My4f2rLt2DhbOd7w3NyXVCJtl8XnZea6fhMyjvpvrNwJyxSjM7O/HY1DZnW8lVoZPPirh2FMadOm
tmq9pMamuDRTxwuwcctXdlc0/PK1nhyzBouS5G/c1jiQ2GaSFOT4dxA3ZOayv3PIPJTyCYvEU7yO
jSD4isd8GduzXQ1WSOahfqENPaJbnL6rnWVOaufF5FdLxrU/2NUoiB+Ht87Ac1hWvkdpYg2TqpHM
UiYb/DZYYS5oCPdJqLM5Th9+G4fBgIOtIru0TPaEWFE1bPit8r/YnpuG5hQDoI1kJGRD8DikmXzP
F2pxpjl7Ml2PV1bbuedKR2HR5T+9UewXsMKc/qA4Z36ZhPhcV8X/9cYyXghMwbbSnNdgc9TVCQKb
FUjaHeZkWH+GPn7yrGR9+Xm2+2D4cX+IRdq/8iqd96au4aw45VB8Ss/z/pqTyP7i7QBYk6T1PoPc
+RvJ6JamZI324zh89vbypLysfygmNoTbgdqFZPH6u2c1Bxoe/ziy+4mxem9ZA2bk0SbzqN1KPbB4
XDu7V15OzgVTJ2rv4hTd8gr5YYI7g32dTvXCQeOQej9Z3UwkZxridNN3tNuNqin3CNrVwR1Nn5je
uO6Smjc2bC9el0cEbuL+kptV/tazMLiNUtGMiuas2MrW+Vttc65KIyZJDFf5OPrBAdj9vyrzFkDh
/b7QPGFpjn01BZ1+4mviPNZGcphmwnXarqJs13ey3XWVBS88HbXBip2dkdu8dVidNngSoNYIht7J
LAGhurQi5c5aX18s7pUAozY3GLG2RdR/BY06Qjkp2VyVNSSf4JZnpN1khLuFrBStZ3JOT1QSZhfG
r/gwYUh5UNUnTilc7uOrQQecB7ylIdSF/cPmkgU65hDL2mfwrnpFBR4UVwOq4WHUuDkrnR/NvhVh
K53yWRHH3NfpKrxmJf1afcEwXHpPsZMdBflIkrtT/008oj3YjjGH1CgyfFsSHuI4No9qSe4+SgIj
CbzsElp2sy4VLOHWP0TA07993r/wBRLUoRbTa+WQJ2CD7f51O/guG2RLcc+bonu0iHpS34oQb/nj
n851yRJtlEjvibYwqXtBvErFDFE5UFPY5ek28tLmIRjUExbN50bgKZ+pg9yAhPkJVFVfoPzU+2FO
mBbVWvSes5S/dEbTngYvDXZTTMBTVsxtafwzl2xsFmdyQkwwr4monpqm41U6lvy1ThLLo2Ycuo9s
iolhTZi82fEVGpG6V9J4IU26KuF4ACz8z+t3X7zbKwIwCxhzcMAWR8NNnhdWZ7ic8noXY01/NqLh
VuSQjBkqzD3Sj7lv/Db7z8SjwTHDF3dwg/wwidLcc4J0ALFwgO3pD3W3U2uMz+k4KkqU+oUoGw3Q
yGXY9UhSeClCLZEgCtLWCvX2Es+siaEshIqfs2kcGZLX4aYXgzrmAgzaHKXNqY5dlgDIikD4eP5v
1CcPDlZ16LLsDHL/m+uAd1qAuxwsbbsg5HN/33YwlCeeiyri5QggRuyxRHOlRRkcdNhEvn713bje
pa6fvdIscW7btny0ZWv/I7bEGnTMok9EHL3iDOHsNaO/Z1/5HvvmSIiZS5G/GcU84YSqF9YTgZ41
q0XM1jtzHTp2RsTUCveA4vI4iM9gnq+B4WhWFqB2cpsiivNC7PyxoJ3gLBfwlDy5jfwTlLK/d4Z9
bYBFIC+y5zgRqMD+mQRDekl8+g4sBo4NkYHsacnZQo0jnQ0Z3443FnzpdmpE/7mw/kT+oO4c6E96
Tsc49k4lQuauRg9hljfpMaFNSn+DRuK6aRWJfSC4Vuz4rtUHOBIdgSHYiQ51fiCwJV5w5k76qAC9
8qFMk/EEJ5BPxi2MT6ZQqgZI5m1xoV5XMidbbqs8N1hOCe/MvBovlpzKF2eKhzfVuu21zmMz7JNF
vwq6FmL2fWS3ew+dwi3nS6GoK6qtktmQ4uVfQOEB46ReI2uS2qwdrkv4YmWcjkVIi1VzbZveDsde
fOdBdXb9Qf9V3OEu5CsFZy/Zoondod3/JnzQxSEvHQ/bZtuCXUizJRoOdGdoNtdRdMMdP15iFXvZ
vUCscULtogadPNFz7DdcmcnPokJskqbvBXuuWr63hFP2DuXcN5kaODyXASM9ftLK4R2Q989S+n/F
mCZoVZ19KMCV7SdvxvKdW4EL+9pDMeXqFS4MEgeUfQzrowRQNZHRimlWIh7QrttPc4I1RKgZ7dvJ
l//UkLbfcyn/m6veOxSqy/d4C5Icm2bJdxm97bhA5nnO3NL44zd1REHXigfAnU2C17coOoYo3XIx
LcYNAN//4CMTX7V426zwum1OtemBi9OwbQeqevjhgY0k672eu3x97uu4AV1Abt+JacDDoT5Y2yXI
Tm6VYkRsO4XjeG4fODJBPWDGx+lujvNHP1o1/CZCahyW9IcWr6PN4vcstc6wxHQVjynwMLygA6uk
GIGB9p2UTyTEDOXJg29O/amosF9tPcx5B1yBHUvitOze6dwhOQ2yx3HPJWCJWl8l1jfW6MaoknUe
w5SiSBTXKSZHc3xYcIfDtfGku1/K6Itpe7k7xNTNDQwA64hEpU4j9IpXMuESdguGy/dWKloQsHmW
d1NpfciTAEfrwD9umn38C+Nz3AcUjZ4hDvwhGFMdF/IBq1ERCbuEI4kAnbmgxmKzZf0ja+fO9D5c
8gmwG8Y2BLxAifgp8joPFZvnkiQB5pdGo9Za2SctPP05YWFy5ILbgYaV8f8ZBuPZhOmKUQEdElNF
aZ4iY0yweFJ2SBcJeZ4fInpEke3EtzZywBRFAcfWJySEuIZiskFzyA+mIexsXwhMMWQlEvFm5eo9
mytkyHkGIQRVwcYQ6ba/fVKCUgUEm00sObWcn3IKjDdjgoWL789ugvp/xcfkPXYYoQFFA8JsHdbo
s0tjFe+D/1J7FGFUzskDN4H3mNXXJgfjB6iHO9ypXZYRe02TR6hySupzEhXLJl1UscKUhLiMJsvU
nkH4SPLGpvkI+iuVABQVtfDVMAbq8yRSYnASnnvhurfFrhdUhKPZshCogiQ5Dn5LmD2Fou4UfbDr
0GGw8HLy/mG6IisQDc5blFgffKqrBo71eRMb2cMSyeWjcsBD1r3GLthZ5pZoWHUTuan2vpqxq2ft
na5XLBAR6Oy1T0SwmJQK1GLBg4++J+AOAPrgL1l3DUjcvKkAp4K8kZy+PD1zt/M77FGNWTMpZSA6
6dML6D5sqwsdLyOVn5G/G6Y+32frJBoBg6R4ZPJRWkgx7Ageb2o7Y4oMNJ1c0Nifmkz+sh34N8BJ
IK8E+GUwaBTD/VXgZB0cDLYLvff7wZUWdycXXy34R3inaVaHll+trqSl4g9c3DcifiZ9BdJLv3iR
PJOhpcNCwAgACM/AT2XaMrTUchnRfQa5QiBkHqYr79/2eSL4Op9I9Nsk1fivGcfGzKmBBjhQyOPc
MkucB1zFR0TV8phlAwUsFhWI6YSHcCgIsFCchw3airPLNBTZ3Q+mXQK7+SBNG6pZYf4ssXFQbUdH
aAHEstUF+lZiBc+zprtCTlS6FHNz8huavjDYGZ8xLckQNTszggjiLYAZW/Gn6sekCeluhcqiobFW
njscGEK7c7lgo6N4tHnyu9k6dqleIRlU8QWWIqVhB3eX+vlLRQv7LQuMu7ateudAGsZ7bKDhFtqa
qFdqSRF0uofOM9BX6q9I2/lPQ6sdtQZGANu0BGazJk78P7Wt3Hk/ZfNSXky48i8SqbY+47xAr1Bd
f1JlrQHGdn50VQNf2ycwaHWxn+ockEYyl6MOXW8hdbxjjVj1pJpK6zJ16+HdqvZlyqd7ZpnuzmrV
D5mtqdnOCicr+hCTX7PQsglYnswxdqIZT1ESYxJ0ITvsJm6GxzIN+AVOpvvfNATNOUKnwzKK9Nf5
xZthEOyMZ3R0E6tdAp5+08ETiEk8T/k2n6YYbbKotlFu5nhXzAL0U0TaGrWmE8XFX2jPdedCP+RO
AVRPyLjdFo1f8rbNtGltcX7Qcj5r651jvf7HFLB8NFwup323yOkFrVW9OAuE94yU+1GgSJ4Lw3xf
KeR7Kjz6fWxawSvW8oEkVaIx3ttDz8bTbM6e2fonhgmIIvkk91j5EewsKnBuACvmgsh3mxE3j6MH
l7dS/mTYSugLvUnzGXCNhy3Ob4YjnhUdsOpoq23GPfUoWYw+CrFA7h5k/jmXhffdUNV0d5bCfrfB
DW6gOLMIs9gh8i1SFDNtWVbFRHAiCsZLJIEAfgQsz8bp3jL+4I+2qJtwVM4etYLt6kIOOuRHtBjL
lEvGnFM8Ws6ejNJ7CuvuUfsw4tDEAJVB4MymMJ0n8kCldvPtLFX/n1/PxraXLfITJ1Xoe1yya55d
o0znZA/NA7h+S9zvCCGw5RnkikcrMG5xSnuzdAebC5t56s87kxTOMS0Dea2X/AuCe7xfSGuTPJTt
OfG6a9kvrzUkMEuxMoJ5RfmPsXT/hhj1MJD1puk8VoDacyQbxrIwNp5XthA3Endc/67XqEqLvyUZ
1n3Qji2utjRYyAgbeTh2kXM0YWjjhy3qj8XLDk5a3rwk/c09DgH4BoTdh4zgB2sI3l+NbtfqEVfS
vZ4a2TZOQFJlI1TjGNzqvuoR0MhP9uW7GrycXRmIc3RYDtgOZ1hocO0/mcrOHxcFzKBHfUa5YVHU
RMERi0J+zLklSAKE88vopcuNUuqah2ZGBR5bFabB4F6Qb7g6y3I81ITFH2L4Tf9ANLsAm2FqIScH
XD9wDj3JeQ6OLKgt/Gxk/JeJFXwv/X+SJvULFUuMHFDsDxw5AHDdjA+Br3EoJ2YE3MILITuv/mzY
JPiUvC5U/AzK3brdKI61b72JYCpqIkNF+zXFkUs8uma1GBaptJ5x7T9TlGGf+5VGEVn+1W8M94r/
km0mq2VagEVOMUASPSdsKXfUhuKiIKUw0LYy2sEe1Ob81o6D+Ik9DNaWT/xszGrx1IyC+aaFnG0e
q6Dzdm5Xl09lkE07m+DYHV6kG4Qz/3e16W1bwSLHMXZhydm8265su1CpRL/kqrCuSxbxuNppdiR4
WpyZBdmQeBb5e9ig62ad4ZbVEe3Z2sDi4LXFoO5aus330MXOF3PMcM7j2Tg0SmSXIBkGD73DcA4w
zMRfRPzknzkLwgSI5MXcV49yKh61o55qFkmQCgIS+bpIi/tSjXlIZ8raZ0OmbBtozwZ1bFANThXY
qeTGy384FWhverrZKlB+Urf/0hTaktVxrCPE8sKDRsCWsELO2SxVBYNXi3vXTvwhfGfzoP8fZ2ey
KzlybdlfETQuomikGY32UK8G3je39dtGTIho2fc9v76WqyYZN4UI6AECJCgyg+500szOOXuvnb2L
pK13I9VKgrJgBEIgdbDDfU9IGykpoE8MgkEmn0dV1WoPa9FiFOKVO4663w13ao/nCXf3yAfG+hWk
mBWX+ByjctvaU5RQhk7LQ92N5RGscgirb44cYBGcNd8XpvCIUrxhfNOWGo5TWY8XbZn2yQIwhCsE
+I+azdfG0EN1EojVOHN9YADJrNEcBxQZUzvfhn7Sv+bGVUhgi/qbFyby5MRR+TMJkSBtkIwy/+vE
CKvDA+KLC3d0A8yDYt5ra3kmnIlo1AGkyoaE2fiAD5jJvwQahHRPT3vRBkizF8X6VI/tv/KNcRfy
3DNZQcQqvkVMT+/hYBDpXvGT/Iz0kh37bNQWMyaW3cImC2Y7KthoPtLAM1Ays+NNyB7mXH0fMHdu
AwHyOlLQKnGONNzMlI0Hj/zsDRG32puzH0bhGcQXhBygo5f1M6lCGvOdyMZ9q6yDo/IMl2bx6FLj
4HbAtkJjiXCOsIqQ8kCEYzQhGMYIz3L2blUHN2Qkx09g9dt5RT4UXdpqgjjGgHWHDhNeylSg4vcG
b7pdsGXTk6pVQCOZ1iNSUzq3rm8AohVeeQhLxhho412zPKuujbxt0+j281DZeUYuRz7Hm2DqrXqN
8ZGXH5VGP7zCzEJDJMvevtFkpZ9Mklrmicw9b6tFDXW3gJKzJRXc+SnwfD96Mgz4wQU9zwGBw3vU
glZcpZF0b+tg7sjXQ9i/S0y8BHtcDEVDLyofrsmSqAXSqaOPMzltFz9RiE7uFvopbfWi9vNNa03J
u4qcdOdSzXif6QuM/dEaqjHZSbslcBZsGm4lj93j7Mxx/Vg2UMiAXAf6M1kHOn+IaKTKp1ZJ5luw
PMrocWBTKrcmMFVxD1NdUX6SFt5XpwGP77QbVGKpazMvumljAjurMU7cJ+ar2JdcO/TbFcAbkibX
1EPhLg7wpdMuIi6cBp1DDHi1ZDfYgV0iywvLp9aY1DyMNFWIcWZiRiPlmEud0nlB6opouxyApcUk
b/uVHHDeZ9SCK10tU3OePUdkTxOEHmvfxXq0g5UY6pK+TDh/JRNt+dLkZBCepbS6LziRnV1WqHC5
R0ybNNsmaMP5hSMjnAb6/XHxzZeteuTwmet9Jv0AB2tPI6vNVXtnZXYq1pCVRu8d+3pZ3buVUMue
sQQqm9Ui6FGu5wikTrWi6dUDuEwhvAZWgOEvdiQ7b0niW7W2JplNvH4dLXPKPpszIDJsQ4Z96R5x
pKovUiaE15uW8ylbFem+QSL6u5iBZnYTQiVG0YPe7bgkTS4R4ENdviUXo7hQhKbqQCE2svynE/bw
QECTXUURn32V+uDJAAT1ID5Htq2Ztga7tjF5xtsqHSIlel1WYoNWJ37nmOoSnGlX+cvcpH39pg2/
1RbKCU33IGH2X2tfByei4mxxzKMunG6Y9c+KQGcqvjUZCtFbmTcly13Q41AauOc3eazkeKp42VtY
ga5/QJDWOq8YuAmtlWTD7j2O59+QQg6vzGNq9S2eZHwzqo5DsmKMuwXPk56gFHX32SiKg331CpU2
oWMrq6LLT0/Fuzo3wCC90tRLSRotdBh8Ljk0j48ecnKWL+LDwSFIEnvKtrhW3HmPRc1rg3j8OWFp
L5FmRrreoQGauq+ZNZjwa0KM/XiyndFJb7JO98fBo2lLYFSTXWkDY4PG3AqDU4Xoyb6gtZ8u+E3B
PTbtQAC6ly/EFpB3FFGA3aGfchDjxawUkxujQVuU7OObomqs5M7OHQI6w9lJTi4egAr+UCQZ1FGu
Dxk9TKI6DoWdINwWdZgi1HHDSzgYsidU1qAi7vOMGNAumW8sVPkdM28Vv1noCOeVLIi/vq/dwErB
OYFJ84hz17fJtPhvfY8WfGVNuSHEq01f66pSm2IK7ItfVsVRxV73JXSMpyHYOEqcqPEYgZoFjnAc
QzCGazgPRU9kL00XWtZJGe/py5HCOA6hjSDYxb/Cmo6bhMWGAJ+uCdDgo08vP7te2LscVpIBT+eE
XOBYhfb4zXgRO21KUzXC0Zj10xY2PC3ZJoRsdFV+iKA6Bm3toCrL2gWFv13b5SkBvAJCNw17+n1y
eMwnJj9Qw4FCAUNwF2f5KnrVja+EjITtLpnK5Ko0iWKiWuop9pN9M9rytqEbsFxc4WUPKQwrXayw
VSnIDsQvkWA1VPVDNJO2gZSNbMaV6C0CnoqCPtR2YFxMG5jxQndura6X9FRD7d/Z5C6wfYvY+VRS
T8HShFgo9hEBaqeatvr0ifwJ6wWZM7QJMll6H6LvlZgdrRvBxJxKsnXABJ/8FNdFTRcrITE9S0KU
DXZQXtPLRQHp0IUKjVKCXRupaP2c1hA0VBt05rXqG9f8HPB+9/fYiUsSA9SAl8livooa507MrU1H
tbR1pk4+Yb27MsCOum56+GQ38dg7A6kZbhEdK5/DwaFHarBFNtm9uE0M+q4KS+rnq9bnqCVMDsuD
IjSTV6a/UYG0WyL+0DWF4FMfjMP09FwJ1IOXzruKHDuEoJBnG6arK60JfLrrRebjqo/x+BOK1nWa
lIgpd9wSc+VgjppQnvo4iKs20b6KeXZJZaKfZKAI/46OqZffofmUcFKM8Gu83oLmP93QRGm8esnI
rqMjuxM7l7GrvndNGDHcYWKycXEuhRvOyel8M3XsrQ922dB4Q+tUn3U+lq8YdiZOSYXVvmW2U2/T
OK/Ee6RFfow5mDD8VqEH1seqm/alAh4QMftx0fs3DEX3ThjAWfMi/5jkTfBdE8ZAG7+vzoDQgxOp
3OONjkUOC4lPIImsbt0GjWmHjydhxAgLVqFoaKkFmbfxX2AP3SiDCKGHCWWZB/cBT0Q7bWSkQD8i
45Io2FzJDBgzarQNBT7wc5Gb6Jpp0vWLf/akg/x/7DEjdTwLeBtL1Wf7NqhxO2EEtF/84ormBnNG
d9NZ4nybMijN16aeCUTAUEspmbGqrJOh1hmhhI27jji+v8a9Nvd8TUaL6Ij7q9R1ju418zVn5fRu
F+05+7dkw5WNq+6b0bhHy2c2DEdgQvYI1Ba5XVgrm6mJO7+6QnqvTjSIx7RPmdyP18yJW79xm+7W
Js2muO3oAgXfcoaMrByOZj2FOEh+2YEql6Yn7S7CuEIdZ1a8Mbhkw4xtguf3YI2xy5aDLuY5nHJ9
o3U3WsmKjCIru51tyi74YxHo/4l1v1q1uaXfOZQK6xGnPXDJNJG4UW3IsXs0V9lrj2ty/IY+GMId
G7obveuO8wnsoqYaL0UyR8T8TBpRkYd1Y9MQBXENctYS65UuH12AxDhGGorojed0WNjaEq/MecmT
ASHalc371ltNsqU6ry48GcFwgx3TeSZjhqB5O+nMMWbMqxmuq/A9A8g+b5DqGV4wfvjgHMALxa5b
1VtwL+jOi9HSa7edCsm4y1GRd6cGKrUTuM1cLSuwOTPCrDqMr6AQF8DDCx2WEAm5y2BgDgwuZzvK
v3vC5691UGNuGayNLuIzztAHbCvmSMRBh9aAl2Vrz30dnt2Jwn6dVoHM75Pag/FBT43DbzbWHljL
zmGe6NgpPJdSe62F1EwpjXHSdxS9/RZxMJRT423J6/CmzwYM7Z0l+A2dDS3s8bUvOsstNrhF2neY
6ETD1/g0QKcxWT+HXa1PdCquxV4XX7sWnuSxk4lssJ0K2KL+SvjSiY9KQvw4FkmsCX+y2DdWNIPR
RUbaG7e49pYbetHLe9gKu9n3c+3RA2pmQp/6hdwyLIfjGhWhvCkAI8JzVFGRYGa7EriyJWitV2Sn
wdHXCNrPFXgy91I6RT09xph6y2SdQaHC/pfWoa92ohNV85hH88gMBeItdahCC8tDUA/gZtzhSGN4
uEEZ5pCMPcOQsZS60XB+zAbNtIJEkpSt+FwTIeBt+oZj8zqBQTOjmxGxyUCN6WI8CXMdlpWRQ/W8
KaHIGOp5Paq53yQjzyRjOOLFM8LWeSkowHbONegknHr1NQGtcOvzlB7IX9cdKY5LOV2kZVMW12MA
8L7D2wM4OkskDIWGyYDnmqnZqBl+YNbUiHuRd49fmVZF0Te/Ilz6Fit8hrvYIQpy59BRDZCDJm3a
PUayZ6rvdn6R7WE8CXWhWU9KwajdYh/VAd6Ztg6wSTBavq0GiAgHz8ZCvE3KpDyjZMi2Q23rQzih
f93kJY2wfsK6s9JFpK9s0ZDbvDS3pE5zmA7V2LZbFH7ujp7+iPiLkWQN/yjp8+du8tP0BsvQWKK0
X+zvJqrFdzpGkJtLyzWCfx3I5OeaF0ZtlgZgUTh1YOFXsZcz4+4y+YJdV26wcfRg4wrrbONq52hH
k7K0NlXmiwL2X5ZlhJvD1UBQ5BTBl2Vqx+0AiqWXYOfCBUJrV1jOqQ6lfbWfMmjvMRm+eJlVeV/s
NmpuUaYvwLWqco9OgpQb5lmJiwBp7nfQ5CZUB2VPAwkqpIy4H4nTb0FJNpQ1VdvtVI1WnvapP144
xyXlC4w+5A/stYPGEtpxtqnUzF5QD77nkwiLiHQuJwTuJDuE65KoVMTUlTWnj6SEL/5+6DmwHdtO
Burgl6GonjF2sUZMCaigL9MwT7AfC4hiyVXCXVWnBRQdnn9tOz2VwRLGj8jTG/kIKG0kAYe4Xqpx
E1kwiVYlLr7xBD8zaohiLDj8PMMIpJDaON4VeFoaS22VF/cMfRf2yJbipkqiB78jcXLVD4gaU7Te
aTki22IWRiQM+aPtttJj90Nm14F8Qs/u1GgfnhE1KfFmTle/lHFo9rESbr0LHRH5KMqUfM6n1jx1
fdo9i8ZEPybIGfZnBYHjivT3xXf0jyNy91QNDxzdI7gzEe430Nj1yHYegXFq+FtaU9LBtbowerb6
2fpUOP18MTSQAgJFfDjG4BkhvN0EcAMfA6r1H7Vt6BaxFnjPYM/99GuWjv18nwHAv61Mx5eHjOES
ryuHPNzKqpYMG4rUwDoJJkigvReVzTYXuH7XUmTzGb81g5OwFsPzhAHui0EQJnZI7qP8wa9skMmB
8e1iSyubtc2eOFOEiKGfgZFa6jRLv584A2Vg2KGYqbIA7J4Sh8MghtGh3Rtzi/mmqsjyrYmIyj0y
kM45iuCMNF2SVTHBRFJse1Jazk7FPBxcH7HqjBbZ/baoE4PpAbuSeceYkr0wIR+HbcMw/ahzj0QH
8E+XxWESdKI89fJTyCD2a2Q3w6tvD7A46PHOdDL8mfhzBySsCcXYfSbItB6r81LTGirRdLFj3cUD
g0gCoq1q+ESkEXoZNEULEzygkgF2WmOjZQNqvNAnY3GHZ++jz5GlVZ8nApPLNToBJlNR346MKYkl
I8FZ+V4DWxq54HQ3CDPcD3Wn75y4zJ88yJXBvTWlRBI7wTARlF3pzohNIaqWM2BQmXLrdBT6BCvU
8SHuK/UaSZIJj2gGdPvccpKBL5A5kdgYEoM0ZXUFK3mFXXWEJmQRzCAmOzkEjYy/qkjUL0o2sIyS
wf6WJZk5ocqpf3ax3d0ksS/PVRaG2d4xA3FYBq8GXbsxj7/nc3uF9LpLOBCvZHl3OmDWdtfigDLU
iRyPz7OyG+cGCXZbH9yBb4yATMZrExUpdebkxzXsa8dzP8uhs47wFNrxFX+0sZkCUJyC7G+wlP8o
fY4A97nMaT0zJFlK813JVia32dgnNJocYG7ERrCxoPsL3IldRnAC2BQkRouVATN3GIYlHm4pQRB3
g0KgXJiSBGAl2bXVQlb0wqnz6HkJEt1xrgzR9vMQXpqKlKZtP4sUcPwSue492hurRyHL8f80EZDC
NeYE707g+uPdwCbx6Ohlvicx2qseSJfKPhVFSGd1NKEH3COu4vVSX387cMQIpwpc6pt2rDPrIh3Y
JsVBhMTEAPKfG1M9Ak4Eem0lCkziCo+ccMprEnRC2ICKDPQWHagSkaweqRhWzHFHC1BLpSZIbnze
UwDXlrAOVfX58GYxoIww2XUVfjW6UvEUHhYM9x4xcst1EC3Jtb2xa9YgFJX05egmzdFrCEKwAh1Q
Ls2GMT8Gf9oqk36RBODBf0fJgjHatLqLoUPCF6pWbFymuVFMwN68YILa0oEDyeialCEFfz6TjJuA
74AQMskS/zq4f6pMpVKyYTr8kuItz5sOtMQ8RKF9S0nZoSTMgAgz03dLmWLZwMeCcs+Xi8VwICFf
E8473VROvRM3ry29Qy4KjCNhM1nEH/rq6Ho6bSHFcDaB/Qvjxnu6OsmrH4CR8304qmrv1pTfPzR2
djSzxLEctXEYlOJ/zb9NieskFPpi2Qyk2+sN0e08jWNf02+FjnG1aYyZjdippBS5iy1dlfeOY/X1
rkGpFq7FUMjsaLWT7V2cShYI/MIU/SbZi/hgSGg6TDz/QFDd0bN/YCX1sz3GOpbNhDL/7I0hzOQ4
zep7IOVs6EFaTbdlZ0Ajr5ourL3nDCuofMJMkWfYS73J2qK0Q9VYAS1Df2jGNwaT7oY4QRvVPt2j
EGlJZTm3GQfwF8FJJH9ckiJ+8mjcUsfRPv5GLAsHPF+GzaNom6TckKThnwve60/4LxcI2TOSMYoz
GkeMVsWUrhQFyAQ3v8y9c1yG/AGZBpAkydjwwbK2VlPdMe2LId1Gi1t7r57Q8wHuhMQLXBBJSWPP
XfU6gedcpPWxdavUum+phFCUCFdN9yXrKQNaJgv5splaHXqIcIz7HAN+RKAVmyLDwJ8ua4ziVV9t
xjxxmlvEvXH+qYgQ836Wnjf0RFaiwV97QduN6zS2reAhsvArMeiXnBNw+5aO915in9YWJm3Xcd7w
JDGzQ2Nm0iNaqOrWmST8IkYO6oshDzDAIUXYNZFOrEbe3lpoZOTUOvTwby0RpMEPU9LDAkvHogxE
+XPFL+odeK2ajpyK3Bb1rdsSfv06KPrgu6R3KoEn1NZ6y3QMI1/YjcsWUwRx05qxGObzTi76xp+h
WsAeWfRtQaKOZho00wYx24zeDmMcMKbP9L4i5HSMZTmK+FAWMGa5lFIlngyd9qfER8F0ZEFbvAsJ
7nUIB8cKWk7OFWPNjJBG9z5b3GJdBQKFJcfGqPBfWjpWVO1VrqfvdNFR1VJ/zogoaD1WKS1JAtCm
4Ydr+IZrIWP6FWbq2+c0iwq5zukMvc+sxUxnLS/KOYfN03PLEfshWwaLNyuq30AmyUNdiX65qRV+
WqTUBQMgkBrhixT2RGNjEan3nUpD4qVjyuU8ZVHtvy0EgoThznEWCC0Tqz9MFy1SEGgySJ6LsgyD
+95CIUxACnj8Nl2eepHw629sB+rCi5wyEW3NMEPKJaCuLrpHtp0E/XUO0eHNqUNeT0w50SeWGP+9
nUdN8yVbRIDFypEPwlLGxhtRDwPdtWxBv5FL+ThTJdjHjiCUz6Xf+/EbeidgdZNqUkLD/cC9DGXg
YFuqUwqjaJTvjh3iYvZnLL6cWlX43IFm8x+JoqXm4s0xX+ZhAiHlCv+GvIn83IirA4CGafbGMXY+
0ArG1Om7XrclnxswJjEOHdA3VAzzba7m5g3fRjw9pX42zg1cCod/8totpQHJAfdbx2j9aiTwyDgD
RwQkq6/w+RV5o7cLdTP+m5CKcL10xo1/BOBFb6aZXM6TSEzJyC7tvGrv9AvHUACM1T6K+4TZTFPr
o3A4uuLqZfhFJPjkyXUxtv4dieAcvDGkMGhOy9z/xAS8euylM0BPUfnQDltuv2XfFEaPzScBysl6
GbGvW+sFA9o1lBa0/ORkVJJFqa2B9A13iL5rzqfZsRlIF3Kkj52IxvbQHFz80gMkhzRHqmXatLr3
jT9izqPestRPelEKp7kFyaK6ZEi4y63QGnskEFR46LidR6asysrCB9cC5GfHE8keW2tpa/8SJg0O
V84wwZpJJ1AXKG0QymIsfNZWNJWubqvRLpFD+6zMpGcAoiwDivtNsCj/28JkiXRu3oKX0OlaZB8p
lG3sHRYxqZwKnWzdLvloNlRGjvvVFPiJ15CyGRaDeAJKgoI1rhk5wWdYRTbGRJoGTMqe3M4ilKRm
GLrFWs60cnTyrYLI1jNa0tQBcNeQwDjRlUis7Q5nDF3ecDe6eMYHcLXu2mUo94xk3053CaeT68De
nv0vBXhhOCDAS4sds+kAPy3Bv6dpLIuXvGsahh9JP4cIPa+QVmpcBIa7iAMqhuMeYA70xDD73LOC
Tfd+apz0LJI+7logF5W23ioIa/pT1RsQnF3IvnMCsIZYsBb8bxp6tFKfF49e0WvE4fnemXo7XVbS
RVX2w7a9hPvGwmLAT4PgWw64CzofyA4/8TtPjVjeMC94IZikJI/6p5KMyCdGuFNIYIYf/gSn3qeP
de1LYO4IJ/aZxT3kVKyRX9kNf8tn0r0EiRNuPH+ZO9Ksoyxk2IpL1V35c4gkXNshJQTDCiS9IgyT
26oPyx9Z4BvaAAItA+7V2Nt5/kDH6ToFn0+ozVXz1sRT8INJnl9+GdkoiAhFZs7xyAqa5rkIIpec
ADqBl0DVNAhS6E/sH46/fAEbVuHR42CHz5AYehKKKhYd1aOSvfUmezxki12dm2gMume0R5N7uUIL
mn3ndDAUNlVfz2TH9AHriIww8D8RTpVHT4ybHK5pp1hgXYtsov0MDfMHOVSUo4nfRYyZkn5XG1/f
13JIj45O620tEvurxmWItR+jAOo4UozqG29xSCWjOYZebOGV3GGbsG00XfGyF2VBEdTzbvgTtA1C
q0DJxLSdwIXYanlsLFRfG5mr8b0I88nsU2JKZ8BcgSEhw03oSawB8BcET7J4wIsgsyFwpuW9YCCG
blUUSzLjymBvXzOf8q6cU04Yq8FRfvXMsM5fjiF+1JSiZ/ah67Eu1odIDQ1jpLm6ZTRZNDiEVOF+
6yOvevGtXkigTPOoFnRAFv9iV8zDg1c0/Q2aIn0gH8nCSpQ66C6KETLCbLS5tv8LWEqmGJY3t6ti
CGX2NL7Z2LMVfSbcqvaQ8wjH3Fd54LAUEkFZmCeGTdzj3PITi4XMKNympLApLMJ5Isqn0ACMOcYs
cSg3+5LzdeCx6yOIpccYwkPPthy3FuQYRlbuOkUUXOzLnoloiCRaQsNH7njIvUmlvPdDoz4h9iyT
jp5DUtMXWBZ0nO5B4n7gCslsR/4jgtz4dmnzrISz4A/Ww7D4I/F1tfHs+6kWnX1iLcPTSBXWfG5I
OnpIbasKXnXVW8hmXJo+xyhwnF2NL+SU2958J+XMfNaKvduZ0qqFHcI8dk0/zvlOr6WMX8jeWF5q
S3NqoxbU69Lntj6ShRm/tEx01shyK/WdOcRSnUhKNee8J0VpDd7WMJNKiJ3C2UyOxZmAhfSBfQGn
FCWBa21jXRsm2UmOzXLX5nrBUTPGvKLTqYaOCPJZ0v8l55AEXHLDhQfOpa1okidrkXF6cNC7DJEt
D2lnezrZhLyfHHVz1eunZKSyhJmyjFT37mw9VP5sYXvOr23tmwV1O3ixBOMQoVlGDZ8FhM30eW6n
NIQ2aLe0JdRocO3g+6KnDOyJi1sDyar22iW8IrdWvayYydQ+yS9EF1ROMA8XvAnhUv/UdtMPuCiH
asbViUurm+helsjoinkz1FFBNDVo5IS098BizN8+xy5UxNfOL4fpFr2OVYXfDYftJNgxS+MFQ4IO
Pijc+z3yZ/L0chzGd9R6C6ErUtsmzOBqwKU4kB6DE0PNVJ93dPb9ZdOXTvk5bkQ57BNp1QyTRO3K
fp+wkfW4Byf8SsVa5yhK3QOjoyj6FA2SFeswkxQ7VztRINdT3c9//uN//9//8236r/BH+VBmM8FV
/yj6/AEtSNf+9z+F+Oc/WNav//fx+3//kzIEIKnSIGY4tRlle9c///blEpPoxz/9v9w0zDvMYNWX
wOvqekPlM+4zOxNvnkM9gfkQ2zg+fiLYW9vMVC+NzxR/SplxxaiUfv9p9K8fxtG0ukkGMVhMPcM0
9cOHYZI3eyP7/qdUoPrYCFmZd4HFpts6Qz7ne2JzcCfXacSR4j+8MowApRxbu55LRoNjfr0NjmQS
ZEXW+MZZMd03+UwIj4dWT2svvOlH65sIimr/+2uK61/6l3vvQhN0fSHpnMP309z/Xy+KeopWEiqV
C3EvY3vru70HI7STKl8xm2UABTGMBIIV/iklHpSDDZbYA2UydmcXLBjJID3zjLws7YNHszahidX0
HAqIU73KJS3CzdMpqYanUfSBfwpzCpub33+JDz+ZaxtXMopWRjoSwZVxf/0ODjdoUeFgX2YtBlRK
1fQZNOKwbR0bFJrLoeZ9dpzw+Pur+h/unHBs4fj0zK4PihLuh6uWS5tGKvDKp4zsZSyQhZ/fDClG
R1zNS7emKayZNZMvfIx8slj+8Jiqf3N1V2rJ0+pI7Rr563fuke42bWuXT0E5dpc0d9VT2F5Vw8Av
/3Ap799dyleOiz7PM1zx10u1jmsxFpDlU9tRWRaIQNZ4m5pdn5pp12jbf/n9jf34cwpH8kAiO/QV
z6X4+NUU/KB6wo1xIWMUG0VkrsMW+hhrdKbFgbY/0yOP4/Hvr/r3G8pVFW18KRwO4fL6539ZhOhx
8EUZwV3KlCP6arG8r1FLB5vZmbV8+4+vdX1MPe0rAeJWfLiWTdShwkYXXLxohJ3hJmBUcMfF56xw
a/s/W1Zcbqd0pdC+IyTjVu/68/7li0k86R6t62sM1JUuAB3wy3w1B0EmcrDTUawTIprFYt7+/kuK
6yP416Xl/1/Y9/gVWUfNx/WMsJc4RZMTXHToD3ATXZDLIX0WwtRbkgjicWm+5J54k9c0pnXadiRK
BMAzGlZaDw/GSC0XLNcB6jyU4vb3n+7vDzVbumHl8zxtBDiBX+9KHVXh2ALRuMzADudVlHv04/Bt
y3PREu8ZZ2X99vsrflxpuR2aypdfwAZSomzn1ytGlMmLH1nywu8l3twCH0NHNwCdtmdo40OzOkjP
YniPDabbxeQgr3//Af7NE85CKfgctLWE53z4AOkgsKv0ob54/eQcM9nSQqqyADHu0P/hUh+39OtD
d9UFscCialPsa79+2TCZApDwlXeJishsKvy9O1TZFINM8/dFUp0rjnwrfLjuRogAIXlZog1olvzw
++/890Va8esqPozNN7flh4e/I7MHP8GkLtZoHCjGky+OVZa94+rniF8C2B0ye97g1Y3/B1eW7KfG
5vmyPf/DqmmWsTGqkvKC4oMBqKUmvZloPO38Bbwn06j7Jp/Uj7j2q/Pvv/Pff2fFlsR2yMIiXRDC
v957diUf20IrLk7C6VUkYznBnYqWjRu3w9ffX+vvr5GntU0UoXSYsip9vf9/WVyIFC8VZ+TgYiNn
3NmtuRZxkdqjju7WhT0lfzqv/G1z0GgrXc2KhinaFv968P5ywRytxeDbOZO90BLVmfjKxD1Ae7Vo
B8eBanZeB1s2J8gIjtUcEmRIZicUVGILlwd60ctrXNNvZ7ZV6Gyty768ieIG23tVRcmdiZS5/4/u
kOchZXegkjjcIawU3oeFZmjnvlkCUZydpVgOIMuaQ2nlYsMALruEkf2nV+/DL8L1XNvx+EkEwWjS
9j/8+jZiIwLv05qJpCGDuBjxzgc1c0h/ZEgBPN7f/f4Liuu68Zd1/l9X5BypAYr5vPj6wxUHlBIl
0qX6zOy4ezHSyvdSOsXai+zpGLuL+26NMiXpb0IIUuVdul+YVm9sapatcpzp+Q+f5/pm/e3zaE4J
PJCgFb0PzyR2lBBVFkQnlDJFHpHa2rjfx6QKop9Bxdjt2ETTFTNkZ8m+QCoDNHpOrSdJBJV/csmz
ffkffCDER77rAjDioGj/+pIwnhPIJTt+kjDPhjWEb+QJkiQuHk6V2PcEhCIiphkLT4ksztndqd6y
f2YVppbNkEumi7//RB9eousvJrQxBhI1OjAWi18/kLGtkYP+1J0FPf2dKx3xRIZRdgVWVPDdF/eH
LegU/f6iH/a/60XZD4TxPOTOjv1x/0t7Io56+hvnGhh2vgbTsZibEGpfuGG+Zz75BQZX+mS1S+gM
fe1nklSH5g8Pq3N93T48HJxiXdx5rCLKMR+W5bbPiAZqo/YcTdl87IgjhFNqT68mbu446kuYXtF9
SUbx9/w6qaH4ddmcaprlHiG5B2Kx4MYz1Zkg/bKMkK7l/wwHaE8hzOdVEHnx0+xqfYjdDDVITn8R
8eyX39/Jj6+4T8HMTweZUhJlxyP+68/XytR2qdmzY8VHJ9bIU5B0dHzPHqjXwnHdy++v92FD8Xyf
HwwACScm6RMid10A/rLmRk4TaSjv1tH3zWDjOKX1PDFlrEOMd6ssn9nB/8Mn1PevpzK2L76nsP9W
XHm4FOj0+91JdnZ10PS7yXaZgSd1sl17qp62gB/LPzwcH59Qn6sqqgDORsqmGP64kPl6zpF8Ejzh
a5+5YY5VTt17GcOSQ21XzbyDPmZZx6kVVce4HlXDOumZ+/zhy7t//yDGhn/isKsqbrj8sGAUNsKe
BuPXiSxAe7xhyhZ1lxxhec4e7vXtu+yFh8e4p923gb89EQ4eDN00P+shVu1Nx7jVfqWvq2iPQDe2
40+je41FQtYL/vMuQeiXXmrwIMHGZqpmvrUSCuhWIN5nCYr6xr5UEGSjdVi0cEVIB82RM/teF3FM
q2aQQRzfK2EfWzhFJDjlcmJiOielda1AYzs+jX3eD2R1xujs15ilrPDZHYFOvySo7LMHztewEScI
2b2zIijEz4+/f2b/9o5QmRvlujy22qZ2/XAAdZDsxUGMQMlrC0ajaTB6K2aLoHmcpfpOR8X/w492
fTj+urDw7DNOsx3Bf3yWtw8LS9riIyd2Lj/Z49Q9Au6tnnyjwz9c5ePBmnfxehmKakcQhqjFdWn/
y7tYgZJJUJ7nJ5QaRHb/P87Oo1duJNnCv4gAfZLb8sVrZFqmpQ2hVqvpveevf1/qbVQsoog7g8b0
4s4gK5ORkWFOnEPJ8FqbRsAYDZ0Yn/bdVckgfETrPXwNSv0VonRxFuGUbASZi8Ba/g7ySQtsjEbp
xdUXPmhMDLg3kX3wAtccPptVGp1yFMi9HM3FfqegVoQifVF6SV9VW2cgzX9x1Do1KZs6gSC5+F3T
+uMMNFgCizLSco+hWklYHc+vGZxKx0Fa4ch0xxWwj8B2k+SogkrepxRk3j+2r3ufKDMbA+OicmZS
k739DvTjndimHufNkwanFrhQePEYwL26PnTVj9dasWUdbJvKqwmgF6dwu1Y/FJ1Afp5vPjOoCOHq
aL8Yjj9ZpyAegq+g+9F1ePOSfFwBeyNxlGMsn5i4CccyzMLQa0xEkMy+eWKWEHx9B8DM0tE8ebzc
mlnDCk2eRHyA31+WgGs1mVq6YqE32CkP6pjUeDofNzKOyQnyie7A5ADMH1NcPgc+XYLJaWGXrquf
Gz9kGRph1yaen3q0yiXmwbs9a0qX7BExFi+kRYzfIMCGsBeWnp9MKkI6nTiTDbMy7SPAx2mGmjxt
70pqiPWfEMDQ0+ckd/K/dLAc/l44TfSCvDfiCigO6z9hPp3U4+NffBfR8IstVdjUzQnBbUddhLu9
OQJ7qIPMg4pWn6/DKEbHY9poTP420dSddxW6asb3sQFuuCcF1KODXVDm3s2OpQT/grbTTAqXTF+A
i3br2VZ29GQs41BrbqBDsk9EHHtxhBLI6wyWqn9XaQLKBFeFLKrZZ37nGpciN2ugQyCCITl9vMEV
6yeBImajOm3bJH6LLzIVKrO3TeRBnTkbwKlRDjYD0Xy2Zt0pXlq6Dv89XnHFt9l8fAib8C2Gvixe
jHasUwtXEm+Y3P6AxJMFZFVEXpzn0ak09Oa5MQIkJ8sg/vx45ZVHxDagXcW18obwft3utUk1BLKq
KPYodMPFH6IBZYIOcdMPb19H6MTAJpN4BmHw7TqGBVxfQ63ESwxnvLbMQe61Kdl6I1bukiyuEUrh
vahqLb4cgGtj6Nwk8VrHLMS7UKFicRyAI/2lBzq9xxHtSPQlitHf+IDaygvB1aWfJEyd0svyTgyI
WnBygplXgzDZz9XvKC2njO7C42TZAVxiEwRQoejhl4GvYJ+Zg3h9fMRrRsQTodrUfwgs9cW1nEHt
uK1ZxB46Uik1Pr04t/AjH0JHUw5Zw3grg1TmPtDn4fzmlaXl0lGj9y/Dn9uPW5emMdWKH3ulbdTH
ZIAOdAJy/jyOsf1rRBIQMY6gYPzE1dVy422+exZdcMVU0FW6eY6sNd6uDb47iJxu1j2bqbd9wf/q
w6z70AfGaraRBd1ZF0JTtAw1enU0Cgx1YV0WwIu8qVTdQ2FbZ2QOVS1a9u4eFXTY8UudwXm4I94a
VhLsyFUJwADhU+243V+dgqmfVEN4KXwfT2RDMF+hxbTL5zY6tzQoNs7z/mEkDSIf4Q2meUspXZ7C
H7GOLrJWFk8svDv4fkYZ0XOP4/8qG+mCZAJrn0cZuy9zCN9DhjIYTdRPxQjPzWOjWjltUG6C2hKN
CwNHfPs7TDtOTD/wTa9pK/fctMAvoZDID2YtDKnhrX7KGSXb2P3dHWLzBqGmSfCjUslZuMPIh0Zz
VH3DS5vYDkHYdjOIloGweucSYXuQIsJgLaxMXGrwpRvfesWWXWoEVGxIewkzFzcYmucic/XQ9Bym
vH5Juvdz2/fwswO1hcbk8fnevXJsleYl3WfSbEFxZnG+qlbznMSWZ+lzFX+Fvg7aGti9i1dQWgnk
GUHD9MHjNde+qewIabLJZlrLDc4Kj0wW9IR1iMQxolLFR18p3HcOeiznQHLRAZHN4sPjVdeO9Xcl
wQLNipdYJEoIF5WgOVrTm9TMUKHLalBEigOfUq0Wgqx9vNrqucJXyX3FaJmZuT3XLBVdrCi56Zkl
bqhFdGxPG187ReH0w4Bt0Xu83NrmSAtoylJao4cp//7Hde2YcItgpzJgkpiyfaujSAaLsXLM4S7Y
yEDWLge1XoMARZCELTPcSquG2aTHzMihb+5NJhtgW87jUy5yA9m1qf6szt10oLgJc+PjXf5uUN5k
YLI44+AKycOIOtXFNmuIEQIdogbPgBk+c8A7z2WxhzJnrFHtA6LOaMzU4IiwWoSVEW42ubhVPEcX
fY6bCEZ2n3n+Hf/fGBJPeAAn9TTnMFJ8Bm/h6xsAgTUjELAs4EqpwMISeftV/Nb3gzpiSHh2gCX2
wEHh0RDZJY9JblBjUjbO5y6M43gIfOgtAkcWhOe3683A8stqCmA/z9r2XzQ80fiy/GwjwlizNYdm
Ii1FyyXpWrrk1hkrVa1Nry2q9i80oLKntoV+Kmpmc8MR3y9FLYoqHI7pdxNz8b2RTrBgVkoEEXGv
7v2w1Y9dZUJGHfXGhteVju7WtFjK4OYQNBLtLxs8dWDFOIZGeAhk6IC+G+Uo9Kj9AmS8Rx9Qd45g
6/3DZJTdAUG1euPT3ftElqesIpMqGrbu4tMZsDDBSJG73hQ683Nami9JCRMvZTd/lxoAEfUQfoHH
1+n+JrMmWCOBjRKPL5Nf2CLzoJ8kmwXlu4/qPMKzJgYDNU6Rv1oFGtvN0DOYXSg/Hy98b6cyUONN
1zTAFpqzeF8bZyirCnwQKvGZbb6UZgODO3zOVfLl8UJr9iPzepnFkaT+zmH/cIs9ZF/VZOAvwqEf
PB0o4nNkh59rlaN9vNKa+XCMpqzkqkBWFo92ErZqNOmB45VhrYBps1u0R6M6ftKGAU67JK/6D0kq
sm9Dp8a/KEQYb02tiJplxEKpxtapnC9uJdWAUlGyyfaglJrf+fAXorREHv12H0OCSCzqcFMIF5Y4
tT4WpiJgVPBic66R2LUAIV0SSo5v9jKsw/tJOqFbOLSFjVDSnZ25FLZHgO18F+acPzFcVJM5qv8+
/nT3XppwgAlNHSggvXpnEQIJM0TnnHvp8XYoR1/VshO9TOvLzAiGDIvyjS+1cu00okscjS2M+wyN
jo+EieNpGCDPvkGjFB9Mqqp7unPdNyY0sjNkg90BaNlWF2rlOlCkpBlGjxIoxjL9LiIECJFOE17o
5kxjKbS5pjZNDt3gROe3HyoVSpv8iAKiufx8Yaz0v8cvPUaI6WcFrjJBSN0DPjV76FcUpAwfL7ji
QNmWA3CSxxaetsVT4SrwVJVljE/RAhiee+vaWeidupFhQX+CZvKo9xtLrhkOjXVqwTQZyTkXhkNm
MlSwtBme28P8HYCjfTJ1RhhUUZjQziTuho9Z+3ygHii/28SvPIy3zzs83bM6GZXh0TkFcAAMA0qy
GZmUwfn5+DBXHDSNWtJpGpbEW+rSmbTTWJVqb3hzYblftT7sD441FhtXfO0iwPthUXpyJWxAv92P
DVKrYG6JoFVJP1dupnxBoCA/BH1BZcRq9GYPPeT3wq7HjWh5xVZ06aMdImXTcqyFs4ZTP0E1kOBc
A/2b7xiGtb80hftV10BamyPTEbXM+x6f6Yq16JQNeIQkxhdA1O1uIZIQYdknpHWUxs5tkAQH0y38
Tx0EJYeKCc1oI6RYWxBqRNXWXb4j5J23C8JUwBj3QBbbt42JhHnUX/Vc96+oJaUn12o+P97fHR6D
bgzlQeAx9GxxMUuclxrXkxW5neFB89PurSCG7gaqjkM0DAwnjMQDuz4yIN/oTcgyi75+KeSoz8Bd
huYhbIaNA195knUqGHSLeLAo1yy+soDUMC260vDQo2aE3ahDqWrSoCpaD255aphjuKBCn37008p6
hh9N3eqarVxYACpUa0gBHNNYgv1Mf3b8qKt19HkG/xzRVffGqm6OYVUEG5tdMWliVp5L2XkEdSb/
/kekA5egYcGeqHtx5qhPjJpA09p19peC3OfXJOLppTV69fz4k6+cMBA72hXkgzhdY3HCrWuJXoyW
6eUq7MLQnLvdjFgFfC4kXa5PDxiSwdegbbVyD2G8eBLmEHYbOzfZ2SJw5zUF2WPREpPt+9udw0MZ
Q+NH0gNaM/gWNVIBvA/1+e23CSSNRVlVtutVffG+FOkAJ1+hkfb6gh4G/HHnokRbXk2YyzNyOr6P
z3bNdlycL7AV4krHWjwuqDAPaNrS+6oVLft3VEzb881aeS0YQNh4x1aWkg1/XWb0eItlAASfX6DU
Zmp6KoXxPcyvI2qaLaTOgR5CqP54XyteidgDPI5MOwxCg9vP5Sbx3Bslj2YGXP2T25PJ7ZgCRPrJ
QFgC7VnX8TeWXNkf5VryKi4hT9qyk8NcTMxr5ugeE1zqc11YJdXEBj4/G67Tx7tbuREU7vA1MjoG
a7140poIpTk/9tGe0iRWx4J/YyD40ZivjGYGvY1+/KYYg30aYDYgrZysj49/wIofYFLOoX7IbaAP
scgjpygVeeSXDFgC8VYYkjckGA4CHMg39FGDqwgET7JnPMupNm7ISs0Yb8ugE9BrEiFKNLeflknm
qqmKMCUKssTEsKAP9ZxqIwk1ow+OopjiwNgXhcnroGvxnk62fnTm0PlltsI+Pj6HFa9gA0SEJpK7
SgF58SGSUVHJpNXkCYCC9gvLyPZlGlsfHq+yEsHcrGLc7riHlaiDsj95stTYP+juaKJFEvi71smK
L/RJPs5RWXtdlG+Butc+Mw+L4CbRS8Pr3S5s5kA7XUbXnwYGw8ynqYbM4ZMbWNpftH7T7+2oQgwo
tFSMGzHbyl1iFoMwhhqqbBjKv//xzsStottQVcZPEEHUFydv9HMcawhpBNHW+33fTXNJZAl0CSkE
ntdZfMN24G8G8htPok5NFF6Yx0FKKMoyRDe6smvLK5KCnX8K0K5EbHjMeeYvVcXY8YyeNXNFp8df
+951gaSkvSSbAtjUMiom6Elmf8qyp5iwv0K3tJ6iPUekfZhKa3jXtfnWrM/9aRskUThLxjXAtS/R
HsxGBZaqxOjkhmN2zlM1OlZW1hwA/Kcbm7u3KANQH3dFAtAIjhcWhW5si/QRw22xXTU/Qi3K4fbk
isLrk7dMnod6dlAnFx7Fx4e6skUJKOQFp5YAtGjxHvR22cWI2/oepFVQplLqyl6QpMqLfZkkAB8e
r3Z/YWV1xiJbA8Mt8JO35mswuYoWCnhbqG6d1xRatKNfdgjYoDwOn+7Ude1eLyVynRK3//Px4vdb
lf1CmrPsV+gEEbeLF4x5iAFRTM+KMqp6aTdJ7s/0NQ2iaiN6uHd/MrEBSUBFUSKFFpEZAClY7BAJ
8lq/omZqpfp5AL5yfPOGJPwDp08IqPPE3m5oEDp8vmiqexPi7++HEkI3OvzusUem8u12Ylm8aCpV
GiFHPBaHJyKRlqCdJg+SofwUzhmc1LCAM6icbLX/Vr4TOZPEz3OPeEQXJhkPuYKMgNF7UyeiH2h/
pe/zWEkPyjzHG/a4vhSkeo4tm+bO4gRRCClV2K56aDqL8T2UIvlFL8z8CL34Fg5ak7Z9GyiTaRuU
7FTZWNSXIA9Ge9VwsP3eq9q2s2GytHpkTkf/r8KsrG9q7WvnIATVtqszihh2wJNyKDN9uOgpYjR4
1RKpWkR5H9vQvVO1GOOQSBvCanHXTXCaHklDNxvgQxiyM6yz9bFKXPRhXAcXANf38fF6936Ol4SU
kBCNFYlEbm02q9Gq02MUuCA7gFZDn4Kj6PzECyGTgYljPEMRal4fr7myRxkMygko6cmtRWDUAfPI
U/g5PQM2378VQM1fxiqEQBM6iJPWIJ73eL0VqyIqcJnlZVRUzmTc7rF1R7h1sqjzGkijvRxy5Csl
/fkiRKOd/4elgLQDiiDNvhszGdKyrEDXtYj3ptVrawX+1VACdEFVv/8flsLNyDI+YESKN7e7QhG8
g/kqbr2xj5r3jqK5Z2Jd7RM1DmfjAFeMRFB3BkJEbUowl327VATLRqlWgl1VI/TzSu1eBoHCqwjj
4aWuJsiq5mIrm16Jd6i12RQrqCYytGEvNhi4Te2ITK29YpjBshwgPPG5iCrSNT/mWmOMsa/8Vkdb
NdSoZEBnLFnOjdT/F36Wsnn/+MuuGC3BFw8ziB6buo78+x+RXteliC/XBWBw2H6nDy3iB+E1rys4
6chyFAhRO9NP948XXbFcUJ8MTsvpNS7q4uBFM1FpmM3GE0Y2nifEwE4RXDAXU4E/6fFSa/uT50we
6hJeikXdYEBqMVS1qaaRgUxpPkf+Mdfy/NqGkFWGiK5trHcfelBpZMRXtqJk33zxJOtdT+IYWrXn
4gBg6GfSfUI+41LmxQdkj6JLIxXEoPlpNu7N6kaJBnifuTR3cAtIC/NJQTPYGxsr+oQ5De+ZOLFA
LCcp9IplfXx8sCt5ICVqeXmIfWk3LOP2mGijrNqS5gmTWUDN4gT99BSRs/00tNDNNDWCJcEUOVBM
ZvNIypQF/yS1knznJzUbvvfeorhRjBsB6GG4m0LKrRmHEyTn0NLMVN6qIeDD9vOr2yfVdFYbrdgy
qvuPLO8vDoPIi6Ry2UXuwzqezLRSPa0qbFgyErjhD8wXGZ8nGMU/uTYE3Ihhxcmh7pJyY7b43mvR
F/jdw5ZtXcbibrcKmkmboFhSPZok1V40cfldG+roV5ErsMu4UsHYamPnx+PPvXLA4NEJqXlMdYLr
hdeK44qfMiAWHGiQy5lx67zLM705OEGTbVjy2lKMfMrQlpWYJb7doNNYVWhalKeGIjG+52KcrpCn
QEKoQsL3eFcy3bkNluAHwWjIERwm1paFnICnUvLsT14A/vhEM9WCyDm3LikAwwtSvMABGsW9KHE5
wjZR5sfHy6/sVKDmyufkRbAoHy92Ci1vJgdNPTeDgL4hGdkNaJXsYJfrNkLQe/cAeBvYq0HJntG8
ZXDSqIpBCJpUXm9CLQPDEfSCqDadMiST0LGqo9Pjra2tx1CqRHVAe0ACf7u1mioQqtVj6SHOYupH
PR80cQ7gjP6alVzkp5rrUmy8ZSvHCc6AOwnKAUCwrd+uCRIWXcAQTcqgNlq45FIrb963sOX9LN16
SN84euswBU3UZZjE9PJKLFZrEUlUkejOvcwdyuw8V6qbnQwJBHtp86rQ9gUV3w03t3aq4LFkv1WS
O/yOLf54rakJln3qUIVO0Ic7QPqfoKoYIddll//mirsFd1hfzpFYFfmALu1TG6UEketnXl0ZzYs9
N+WpHfWMIawqOw9Ks8UhcDdtAOuybUrCE4mNt5jWuP2CXe72Amnj+YqWTKC7l74mHE12DhIm6QkW
2Np5cihWq59zE4Yn6j9OW6ISXs+wQ3/rkAnQXofZcVC5tvVI+abAC1WejB7W3qOiMoF7bpguCOp9
MLqIYod+HafvtS4WEMsXcjzgu+MCLPvYIAAM/VsUQh73+FrImPxPh0OPDuyWhG7QsXMIO283mBgo
sI725F9VFdRRzIu9D+0p+/J4laVb4xjJMjlKKocgK8xFEKIWRR4yCm5cUe9q+ks5wbu7z4zahtu7
gwU3DzQm+zLLOYQAEY6DMw4bnm1pOfwCYi7+wWfxRBmLD6l10CLbo2NeJy0tArQGDMRRkU0Og+41
btW0y3eyyahueIC7oATXgYfDl9OsF6Sc8mT+uCB1hbTynAX6FTWmlmJ4NebDp9qqh+BElyIf3s9D
MjgnX3F9/1RCvoIOWVomwctQ0qM4hhD9RxvwwLuAn99EuGVIfDMzZYx83P6mMLADUMbldE3LytoV
QVA/jXSm9xZDR3u0IpEOYlJ47yDSRQ00Cc4lenVbdYH7DyJR3hTFMD4ytWWjSSM+UiIAxtcBezkK
hwVRiB89IdqfKgrVGxH+MkKSe5Y1FaycCgsfcrFnc0IxKtP7a2gPY/0+ydyU2a5wgpfmBEF0GKGB
WAOdDfdI6EUTLWMUJjaMYfkc8BuA2lHf0VT8JQH57W+A/T9CkMTsr+gN6v/Z85R+Seswfa2bcAsj
cn+taQLhs4i+eWbvaBFmZBPVZrA6qAZzgXBH1RxtstjT42u98g1xiuQXRGFkEcvirZtZOUiGob/2
fTm91Cnj0fB+oPOTjurOgSNwI2ZY+YiSw4YQ5f/rGYuP6MbMueba3F0Nvt7wqU8KspkuM5jlQjoy
s1OPAUHdR24SNepdkLam+uHxjpexLu6S7IJAkPuM2S7BDXaZCLjbg+aKkcXoPcRmPqUnhhMZvkkq
AX9YrkQduqKZgTD7FjXVvRvlFaLRrtH9wYiWzsSM3AgEcTBes8GMPdRgOm8ekL4dW0R0GiUND1Gh
NM91HhsnQ4uUjTh4ZXneCvrCsgoCW5w0uj99GULGhW52PsBruP13QdMxEDeruo/kkFpb4RlKrmCg
uAwo/CjGRDfBkGbBX48/wb0RgDZkSIRww2TgeTmuFooiH2W59zoLn+lQbhsg7J6+0xwm/g9EA4ND
EqSdC2uX3W7Nqt9bPFM+JDTU8MC2AHy/PQK4+Uqobmb3OvYaekGqlT3HlZO97zWoHyuHVR9vdmU9
2v/yrFmSBsnS4qG77cN4FNcmqRBbLgyjR/20ZpStKRVSgCaoNqLIOzwNRS52J3G5cpIL4NDtFrXS
yHwft3g1Wiox71FhnwvyD3WiTS4q34DGsgoLehngaaKI6HmKgCaPdV+/J9+1HUhpob6A8CP2w41M
c+00XNpythxuAK68NMAUmgB69pwGuhSeEoyfoBCvjn6vJi9ZqURvjhlMGiY2Y3pgWwFELGKjIY9F
izCUdQ3GONuFLbMhRTDZRy3Qxt2kMoP6+GPf3y9gb1QwyOWZwiSEvz350eRcEawJvK5A32A3lzpS
pUzHaz/sws+fq96ykf+azP4ztPAIFrlomOSXx7/h3sHh3FgfKDrwVOLC29+Q2fSVfaMBrjVqxaVr
UJRPojBFuYGKSR5Ae5jin97Y3cXk6O5KIBFAZloFi1tFINRg/hA5o0Ku6Ix0MAN0toq+QyUxbdy3
4lH/fznIJ1mWVHeJw8tosVGgGAIPRj/3kNGxPbuFyE/QC2xxbNw/+XAgYagOVXjZRlrsTCuTEpkj
XaEQrjRXwF7KLs/s5NtMjL3hnVfCOvwyqEnm8cAfkAfefrrSNxAY1TrU3CxrPhkJCp+5Hcy7UoNT
vB4Gcx+P0KXCM4fmOsNIqPO64emx+azsl0SCfVoE+VSiFuGunyqBWvaue227rjgNg/XBmeb42QeQ
cni80oovoE7CWyxJL3DICzcVpa41W7DbXHvO4+xkuVruagPBhH3ep/U+DTJmiR8veb85OH0IV6kF
k9Gzv9sDjmYTwv5BgVJt1PQXABAWY/padWGorN3gm1j5mLKaR81Jds5kE+d2LT0YMi1AXOE6l80k
jlXVqL+oj2h/232CXkqcpS1EKXal7uapU19mU4m/IhJobrik30Zzmx+SZRJu0WqR3CzqomwSZ23u
DjAdo4kSMVsmFcaVwoM4XNifZjQjRtj//QwWcUkhc25ds1I+jqiWVM/WoCbVf36lTJZnR5NifxxQ
M0Vgpm4y44eIOztAPmcwQt4Kv4uy66hPZXdytSGHRTmqERvaxbqO8CYagSjx7tDPieZvKP+E6ufQ
RY6gPGt11YQny0x6EPRMN+jfVLTdfsKJhRiiA5W3OKZDHCTvnbzI0NmDKGOLb/LeDpkSICQSsOiQ
zywPqCzm1mCivLqOpeIgJw+7eGAKxXNB8YPbSL88tsF7/wypsXSRdEYMnujF98iNQufYOa2oKf0z
2vMf56EdLzRJslMzAe5VR3/cCELu7Z6wl5EZLJ5/MxR7a4uKYiKBbScwu6LweIhqWmxqbtk7lcGT
41u3B3aK+IpJMnAtVLNul0LsMstDJUuvYzXpX0wELYJDmzjNuPeF3o3nsh8BLM813nRj5fuwUrpn
HnogpdTtl0jWzA2yukZH42pDCzQyqB6oQFGUAE0X+sjJyTEjBCWrHmnXGQ93evO+mT+Hm4B2Jse8
zKQCxahqymzj1eozA7JuRxxJi0cgDRNSLKkzf8jl2PfjRVe+q0t3gi4bdVj+vTjsDtx0UxjIVAt9
DKtLnzM3eFH1IoQvu3n7o0s5m8ed8iR9cGp3t182ChCEmLSmv6qVah3tBiVxwht3N8fGVq3n7o7w
BgLrEdxLgAfAbm6XEvA4T2MRttcS4CUSm2l1RABweB0DVfPyOE2QWU22AKZ3hynRKLKQQR8ReP8y
NhXU7Eyae8219QOY8Oeosl5FNbklpGpl8Pnxl7uLFKFdYh4V6BLoUokquN1hNMXxXKPVcu2awT0i
Kpu8ZkPp7gJ4y44To4uHKSF2dLpcanhX5sbbe/86yQwMyCVj4ibG+vvvf2SCSQRGCgWk6loYjMdD
ku+ezXxI4aCe6/AdE2PpfqIFZfIL0Bs/IFVc6SiNxFvosftDl5+amj6tBNlnW7zIiVsgsOxo9TWb
Dagn2s5CDAGd8F0Kz+2nx2cuDfTmJZTAQ5cKKR1ycpAlqr6zdNg3i7a+WpMBrDVHTTPeQeKXILaK
ZzmZYeVrGzd0bU0A5sQ59NdIRhbhVGBCq1HbfnWtGqsML2WmheNnu1bQuy6ocXwUIunf2gMi3SED
JGi1KNpC5Lk4U1+ko5J0VkWVqit+2cxT7e05sD9PHcQej4/0vjrKWjycGDKRlcyybu24jCPftrKO
UW6+cNzRqC3zNNinddtQf1T8SbsYoe5mR6cs3c+WWpTWMUwivfmooGzqx7vGqIr29PhXrRw6YSUg
LCDwlAyXnGMwuLQtotfZNUbq7Sv4xP47iX6o7MDw9Wdq/kHz9s9MRZY0kxau7LwtPnOZz5ZQCiO7
dmlWNTSqRy06hOi1zd99MzG/GC1CkhsR5u+JyYU9Y1OMHTNBgUkv746aDEZk0YK4zmmVZmI3c3Gi
cm+hYThBmSJbEHqYllPoGQbqRR9sO4+HU2VR6XmdKh0OndaahuKnhu6OsS8trQ1+ay/G6P10NuUQ
qC5VtzsOoetCRIcq2GDtwhIRs0+qGMf6Us122W4kQSvfTlLlEkPQy4CRQD4NfzimsDAakY9VCkS3
iC65YumXRKnHo15an0snjDdK6TKlWpwhtU+TMRC+G/DVhR8us6zQyihuriqtPi8Z2+YpF9NWj8aS
12CxDKN+4Ch40niplwSJdehCXTVXwxUhll5cKQnkcByrCI6cKkfQ7/YVgP32YVTQTfhUQaeqeQGx
GhzTBuKs35IZ8ZH31AsH/8ughW74LjZRhJsOlpsb9EKVLkD9LyEu3yN8O5bItCGlaV+tYcSnMxvq
wBM/ValxtKLEb89A7unxuZK8fJfXecVUIOgD/RKVZq8hEF0Ka5fM6SQ+wHqrwsfjp+78vS1Qr0UX
E6Gvf3JFU8Nj5utm+Rq6WhQdU7o2wz5q0Ak6pE41j19S04RgJtL1/j8UKbLpdc61tntKp1AxYLE1
wlmLdlOY54pXuxUcQztNh1cj2QHxsNxXeBB9Zz+aE8JEjx3EXagIQRxQAOaDqUzAYLKokeiNokoW
UvaLynD2j4JAeyOOmeMMcftcjlYcSMqhVH2d4yxreAlFBAXD49+w8vIxUYu7wNzJa5a5KNAazoG8
59rC9ztemlIfURAPwijdM8PT/Hq82t2OJWqZaons1EtimoWdM8YO+Rntcwgw7biYToU+mFJVD1g6
Sn9jlPxqqyDutIMS1ll5oAutVf89/gkrGwYnzk4Zl7ZJfuTf/7jZylCn4KOniurGmH81mPH4WiOF
gxgrgi//w1JANBkWIqygc3m7lJtnYrKjvL4iXlv4/R5ZNlEeIoTjmr/HOu7MtzYVGKAjxQcvJPkO
7WWRaOiquEwZXL6iUte8ZDUidYzcXlOt7l7QgoXeKdGtDfd/HyNLXA7mI50/nmXxRc0Y0iPEslCr
rae8O+hdq9d7WzGzz33QKPvaLpCbR2jsxxuPVg6zSW5wHlZKqvdclrZNB1jYIOty80Wgxu1FdF/R
2Wy3gou7p+D3UoIgldYrjPiLp6COQ7+BxsO+NKFS/TAbd66PyH8m7/WsNa6ZMfcbbmF1QV4eyUMP
vmTZ3jOKsKFroNgX25z/8WHkfhlQETtozvxvpqvR58cneR+DA6fm1aFgyjekQiPfpj8uBII5M7KX
wrwUqpJ80DpL/WZ2RDTHOMltCB3zvEC/OR5a/6orotV2qg9P1gFJXP34+KfcXU2J9AdBAIMmYRM0
Zbe/xO0aOnER6qvD3DBzb4TqWbea/NwDqbm+eSlLTnnJtqa03MXVRAkXbXtoJS8jzbmCAlGYGvZf
CE8L/YcObXX9/vF6d46P0o7k/ZGDQGgbOAsjiml+TqOqdGc7todjk9nhP1OLthRVpvocmiVz204b
PJlmGW3kWPpdbIHlojIAlodaLhwDi6XTfHZq+G3acygaKCDxGxQ+BnSYFcMvjwi8lQemXeH30UR7
CksNBc3KpwOYIsaIVE50tbsCdTkTMlH67NkBPjzIw7KyuKYQPpOauRUSqH1nfbDKIbiqA8qHqV/r
r6YWiw1vc3c15F6Qu2L8nG402cythUSAPgITEcQzp2U/hVVVXdNCjfcx6hAnZM6iDTO5GzogBILo
wuHVklORVJNuFyQcsPOhjJtzYJpheZryIqQjbPhdCsXlPFd68NcIiWfn1cJPgncd6PuUWAFsyLOD
eof6yR1DRzkjtkmxbafAp2Ru5Xa/w4SbqM4mvaLYIxkB6C9Zi2ujwB1stWNXnxv0GzytmfRdXYf1
rqki1N6J1n7kFIGP6jwYL2Phk2bC+nBoKxh+szKOz1qnOgfNDFCoCsP4A7Lc5qmxrOrQzEVyhe4/
eUaTEGlQKJQ/u22pn5LKSg6UXbVLGTb2zkJs9QQCQrkgIjxt2K/MWe52h4PnG5DRUCZYfAHNgUOo
UOpzFoj8wLRV+vxbRbwoa/3gJ137MjpWeVDbrn0mlgo3LODOJ8nDpeDEOCwd87s3PKm1XFPGsDln
xQT+tIqcc1hX8763ja1M6t5HgDSlK2AQMJAMLLmhNUb+xtI24muVqW7dH7QkFv5psOoxPhlz4Rev
jm7Hxnc/CPMZRD0FwK0i9N1rLqAe4c3hbhFF8N+3hx1ZyaCmtP2vVZKOT2FQNHvURJsXa8gqr7G5
6Eo7z5fHvnF1UTYMgky6/SUaYYA0tnbsILm6td720Z65WiveG2obhlhfNc8/E13P4mSfJ2bdbBGQ
331guICwLtkeAQIMPeXtlqehLvVCU/2LMkAH1lnIm2S9SI5UmpINU75filoiPTxciS2HmBamHJLO
2FE2uZeisdMLRUT9A4QaAuhDNB4fn+mdo5SjSLykEmBiCQhVbncVTKgiq8J3L/yc5hjAVn9xet1+
mvXpS53oyUZ7Z205eBvooRGZqMwo3i6XjAUaTCFjJinl1KMq6YBS+NQuSoh0llKKLdDX7wmWP7wC
Ewi0smiiEcPzH+BYtwsy+qb6pjEoz+ZowqnpV0U1PGco0iSnsOudigJiJoJsR0EtqHe1UMv8bzSA
B/WcoBppPzmDqUIqi4AJ/LIxDYQTQWw3fytJS/8jqUS6NZ4tAMwzCWx8NO3Ens4W0IC5OaBHlTyP
Q6LaJ20sk3DnIghQ7f12HCfEsGZ/VF5dhpnfQ1Jidpd4YoZxDys3PQ/TB+VwEXFpjYcZlHJwjlpf
ZCThmTYbW6CPhUNhyhCoh+y2AciUMKPFw9BbSNFT+wme1dTwz3Vdf+lby/5k+KPYC5MZurgXwDSn
fqvytbjRkpoJMBeAAnhU4BJeMmRq5JC/K8uwlQXwaqjaDyZuFAbjWv2qheZwkdwep8cWv7ImnJz4
aEMaPhC5W4tAQDkqrdmpnsfAsS9BBH1B3pXOUx2bE/zdQXIATbZZN5ZHeGOH1DVxHlBBUOCDfm9x
xN0gFahTc34qmwq8Lj0842PfO7OOeE+bFrTStCn8t6j94e8qUQyUlosmNfdQiNsfA3SPIXWImb3f
V5XdNLsJ3tBXs6ry+uRnoRAvQRk4X6y51oOvRZwpaYs7BqAGcXoaGmiXZ+FUvS9azqPcuQGay69Q
Z7XxoZ9a4XxSUeDND5VatOUHwyln7Us9FH32LJAUS6is+FNS7PMUfDUU5rPbYY6SQj6AJrBG0QLR
hwEk5UcKfHB47NXKLsHsiNIdq4MWNHl96FAlemoahtpO1AWTr30JXd2O5vlwhZh+Vo//x9l5Lcet
ZGv6VTr2PfrAm4nT5wIoy2JRFCnLG4S0KcF7j6efL6meaRaKUTWc6GizmxIT6Veu9ZuIu/PD2I39
c4LF269iNsxr9bbF0YPMLBG8WGdgxF/m4nTeHcolzQg59VB29fRglHPxrVW7+mBqlDMdIWZ3eZ0t
DnHuJ+oy4jEvpLrgui3WWaahBKSOZXxXNHKwKfQ4PcxzCMmhRn3tnU1RqWMXIV/Mu5Nc+iLanRO/
ymHT+rcVL8FHuR5hzZlh+z0dx2ushpdk9OuFDNYDsQLWMZsIRfxl8NESx8moMpQHWa9aB+xD7qdb
PxyVh05vS/kBVRXr29DYagCtrVSUTRlLubxCQjMrVtGkl4lbz4Wt3cXhYG1KGcKbS4xsqZvWzOxk
p01FlVzZ8mfnm0BRoOTHbocbccb5n4OC/G/Va4eq0KfvYAjKm77XsH6XtXRNNkRdT2r+Q4rr8kpi
Rwz868HixShoGCQfIIiBIltMTJ40Zjbk7HrQK/1hwOb3OLRmdaV7i8hXWF6RBUAWnKnHmm4ZmXAf
mWER5sMhsat+nenFvLJm6WdVptlOKY32PuiiaDNFMyRLq4yvLL7zfSWA3TwrWOUC3LRI7MQTbrXO
rPYHfZgnxDjwjfb6xDa26M0Gm7wuzGupyLf6K6SChI2oqLaKL3qViBinfC6knLgTN3jMyVV7ACGj
pSMkUfQugyqVG3fM2umDHODo00/OtfV0trXR1hFhKCkryr1ne0BSkNeH9aUcGmPuV1Jimi4Pk9/t
7Fxjcb/RVcoK7GkkbmhzCVRrYTImedq1h1AKKqwvKHzI2Devph6qSwJQc6PIfX2Xj9Z3ZzSvvRhf
0qyL9SvOTVh28OhldDNOR7opFL+d2rg9VE6df6mCUarWIK9D/1HTcE1wQYHoPy1lrmO3b/W+cFun
0x3kTlVfc8UFrHwKqDD1u6pr+2qld0ZyY9eq9JWbxSnWWSsAxU6LSZipRIEPoKrGLMPCoZxaEJn2
eG1lffdTz0058RC6KT4iLaomG1mfphKN4a7OtuYYKqbXtaP/zgo7PWc1E/BjiCjI7GckElkZDaWq
5YOBX9o2Q6jT7S2/v6M0MLiXT/DzTQQSU3D9hKMedKPFQVE3vWJMJLYPhdX/zite0v4Q6C9s9tg1
Srn4+3J7Z0EQxzdSeexZsPoo3CweMz6YuQFzXOQbU1X/PeL3s+7swQk2RqQdrS7IP6vlHF3JVy4d
a8VS4v4F0ExOliL6MoNoTZof1YWjHwwklVdlrgd7J8mesdcBU4WRkme0VXZUSkUaPEuIAc/zZLkA
wMun3B7sj7WazlutDK+piCxTmy8fxr2GAxDhgYHG2uk6z6gKF1MpaQc9sMebmBDfLVQEvwcziT4N
SjV85cl9b5u18SEkRLz1I8P4fHlGzs8Ubiiq/AA50BVkeE4/gXGIU9zXzYNfdfM6xPZlH3SDvQ7G
aL5yX7wx+eA4XoC/CGcx/adNBUZv64HC40bzE9I9CHruOn2MvapECUNGff/JljCOvdy/8xUOOAYw
P/kx8v9E/KeNFk44ODOn3CFzlBrRV+XHNPnRnQ5TejdFsXYlAfhGH2GZiVwMSm/nBaQadpk/QpBA
stuID43f624E2ghtubTazJ3xnDvsr/d1kdCIEB96G1qBjO/S613N0BIwJ8hNEb88/ph3ia2sGphM
P8swLMt7uArGO4sOwqoVQApBjdAAA9QgltWru3C2R6Pvzak6REmf/sQFxc5WUt2WRyeOu2bj+P30
9N5ecvMJ+ITMYSVEdk9btEapSafRx0qyr4qj2szyjgpF/RVdyQ4tRu2auPwL2/n1JSS6yKuUZAGG
hUhyLTZnktmVQr6/OfCHChLjmt5m6BUP0pMmxXrpwmeE3FfE1nhfJYmhuxJSic62zqzhs52qQYK0
Am51u9YGWgA7HUm2auqUr9xsyjtZX2I6QJggnoWKF/i2ZdGQGLdXiwznzwBAfcBTX4naVWDDcNgX
Nf5broky6WdzLiVvULv567unBhA9GW+ACDxzloGRbeSkwTiuDpIVDMp6bKW4Xzld6YTHcSjkdYwt
uv/uRY+kLW94GmRdAOw7XQ7CdDvzLQMDsyktvowDb6tI682nKFJ92Y1sqXm43MnlQUnUYKH5JsCo
Ipu9DIka3SRQUKXpICi5u5RC/6Z2QG12aTNvLze1PLNEUy8OS+hYAYZaQuxK31EbdErGw1Aq2rrS
9cIrJkfeBnnw90z688qZ9VbPiPIgzwFnFxX/06EUUJJBgxF/yBHbDL0aIn63GkK9fTLK6L1CnxYl
NNE/EN8CV4Biz2lrvTNFug3Ce5uO84AHQPZ1gCC86pHyu036Tr9y+S8jWZpjawi+BZrviIIvmiP8
w021r+rt0En1XdDEIRhiudoQJeSUZXDaGU2Sq0qup1vL8Sf38lS+vEtfnyKifQDTUIzIIGPJuzgo
bSK3AXBttS2UIYR7G2tOdtd2ttO64MxSmGNqVG7HEkNNN8hzjVKfhJTRLoP79CjIaSEql2WeuFWZ
2bBxGnX4aCuJ/bWS6kZ1fRRfH+XGkXIvz6SR0jaURNvDODtdBzHapiD3qvHHUGTTegpQEvRCq8w+
X+7k6RijYSPkKNHpBrODAhahzOmU5kraqjZ1rs00msnOVzP1ZpKGeK2RzmlXgySVSL9F+TafjPJ7
kMjXtMkX8Lo/H0By66UORmC5VEO3jMoJEpCFG40sxyZX4fjGyiw/hGCLV/gxz8dRtY0PrZr1+1pp
gnUFnnQVm1J5Jdo4ffH/+RAqmLzNBGuPTMXpSGRV2EnObMsbs/Up9JMTQ7EyQK+3q5ruxi+V6r7q
rGADe0S/cmiIUP0/C42TQiRRiavIBYsixfI9PGMDDpoiVLeJZQafEn/2bxseNFfW8+lZ8dIK4kFc
xNQHiHJeZuLVvZ9GxSx3+qxtzXRyVn1fZHtlUuuVE/vXUj6np+C/myJs431CVfrMUMgHslVYoa5t
I6tTP0RSy91VK+N3PxjtzTz71yLFs65RGeDNBQ4S7jL6XotHpy31rVOTy9vWfRPfjXH0GzHl9jiQ
avEu75dF1ZauiaaoYyEXxMkE1fV0mShGM5H27dRthZLpI/dYDAndmndaotUkhEE0y3re79S+lhDT
mK1dmps1ZVGpXtvaBFveRvb08jctqrQv30S8JDwaAB2RPVw8BY2AuAI/RnVbG217P3edv1Ik23bR
TFC2chs/J1lY4kLb1V/8QjHdwAjto2xHySczx2bKCFV/U9uxualyGLJYthr7ycQKXrXi6M5qnXJb
ye23GDvBnREibBUNCFvXsC23fWBnEJqFdSWCCOvc7KqPlzt3tpTQciUNC1SF2EhYiJyOtx/ZWm63
mrqFbaOQDWzA66nDLTxjfAu476+cAqePgD9DSZwA6Ig3gACOnzZXmPMIuVnTtvOkyzyrFfXAFVV5
CRzTmzatksiNS87Hy51cnj0sKjYJVx10AP7nUt4sCeGbQF/RtiX78yZUQMXEWui7llVOj7IWSYew
mdW9LzXXql3L858UI0wH+CQcooIgvxhezfBrMLBTsEt5FK3ALvYbLcaeEM0pwzXL/ikr5HzTmFa1
Szrtmib0+eTyIHgptlFP5BW0aL0vjbwGx5bsZgdH6LKwinVhaOExsYnTUAS7lvVetEfpTrg2iPiF
jDScu0VEkY46UjdBCRdJK1FB2QyJRGyW8XS1HfSWxxmVVd4O/e7y9J43S+6PbBBRDIsKvtzpoqqt
CFFns1Z2ma9JmEzasod3+7NeDeMmmoNrIK/FnNJLmiMpRFeJ7YnqT5uDVtEFOorWO5zP6lXjWN06
KXrtq5ZH4ZMhOe0uGW1zxUjLbsaM7y/3drGYX5pHqU7Q7+EHUzQ7bd7Ej6qb0DjYpVzsN11iYSce
ScO2KuMPUdbK6zRKvgu65OZyu4utK9olRyEOCq4CoeJy2m6Qy5HTBLqySys/+mpje+npyRDcI7im
bmeNAIsyc3YlRn2zUUh1AAYhthJCnTaqRujw2U6m7sba0DZSZtoI63Ad6E0I8Z8H3apqlezKcfHG
BKPYglQuj2p4F0sEeQC62JwzXd2FgNm22C76bqwo1VaLkXMweV55jt81O78ojBVcIPX35YE+X86U
JhSN9zwsNMg9iz4P6M2q0WwZuzqF/pV2Ruap1hBv7dCI3VkO32dPiDIgHB5WM+odmkiuLnVRpkjV
kqFKzF1sj7ZnFrZ9FwIayd25QvTSe3/nkMIhU4HdkVB9OZ1QVIxyae47c5ewhndYM9d36iAgkoM+
fMnYONvL7S04Dn96B5kQOgeFbVCKi2VbFfNIsBZZu5ksuVvF2nxbDkP2qBZ+7aq1om3r0My3aqpj
JgcycjtxCboxb9dtn7Xzbeyr/UMT4+7Oi6i418o8u28tWClU0kKPF2oWebVMbDT4wZC9L6YUU0MN
CRUG/hswyJJLTcK51wo/NneWMmT3RpcZnqYgClzVSHJeHqjzY4Vjm2KsLnNnQc9TTydm7n0lb6we
q+/CjneOCgdHAfZyPzQmUAcov16RRvYmqpCKvNzyIrp86SS0OQEeBVvO0jht2Wy4JUO7sHYYtxjf
ZocPcCutQrMmV5RPl9t6Y2/pr9sSo/AqSC/7MMU5vLV2VqDg+m1Bi5+szrwxYS14td5bV66mhZQG
y09Q4QULBa0fiI9L7c1oLjvTp8q/42rqHqSyv8+VLlmpTdh+GmonfK6c+KB2pbHvESxxMW2mgCSS
J20iVVeCr7OBBlkO4psAntvSPJP2s3qsr2UoyrvRkkwvrnvjBmboMXQa7fHyMJ+3BMeTiBl9Beo0
nC6nwwzUDf4zsft+cpBukOJZWg+lpe6jRDWvrNvljGpCqwLICoMrimLLA6Wz27mockfZq2aVHfI2
/CHZ5XOUjtmDksnTlath2TFa48Z94T0iY8b767RjXWf5Uh5p+t4UyhR148S3To5BpDTXyubyGC6v
Ppoit0oNWaDOKEAtlmpfT3VvjSyMSG4mt5xaU6yJ2ctaX1mHk/azznTrfa8BLgDaJFuui3w5tfnF
6WxMMWVcvTH2Ifr/G5Vq4wof09yLzDpatzPZtst9XN60oj1Ka0LBk+MZ0cLT4WxSLAZyclP7wG6q
VYfwjCePgBVXUmfKnmaa0l0vIYkvj5kzwwns2a+Xv+CN5UPzCiVF4mMolosQuchKo3Pswdjj4iZt
8r5W132rqHvZKSuvCqzqyn0kft+rXMTLCNNdZFXEej1Tx5D93Or60aC9sBo/ZnKDwopfYwV2uVtv
rFOSLQDyQSEAg15qBOh5qZoJOZ59MRaf5XrobxG9m371kWVfS7C/NYKvm1qMoInGb9kmkbmPNTs4
1MAwH3ToCB61en8Tsl2+vL9rvDPoHEcYb8nFFiS7BLmvHqCtVOSs0rbI7ixuqpXgXrzzGBPLkyQ6
yDTwkbS2uBNjech9G+DE3vb7JHZ9M7C9gJqR5fZmnl8Jdd+aMu55VMbJVhEZiZ+/upqyoNG1VA4R
XcKNYhukmnTsVFIFCSDYdzeF+/WLkzEHtHjDnDY1TVpnxHVo7ZUoe05TbbqT47lyS78c3z2C1AVE
TMHeEk+lRae6frCbwuqsPRWE8AOsfA2blEGIGiJbcnldnJ+XNEUSSty44KGWCcakg5XmB5q119Tu
xkyFO7M9tADhbEBxFioAWmjOny+3eT5nDiVqwDY8pxSyq4vza+pmXa3t2d+3Qa2CBM1R/Cz1eA9I
9Jry2stT5/TkoJQpKvWUMSnrLB/Xej+ifZUq0j42+8BtQAk847fU39bd8CVF820vpaa2gbisrbKy
EpS1utoayM2uJj9Ub/phbHf5mOg7NW60vTIn99U4g7ms0gBJe1vzqCDW3wzsAT0DfuPGTFGUkyQz
WJtGbD4n8WAekaNK1qWuD0dJH6x9Pmbjri8bZ2XU2FkPsXXNx+78uHSg2VPLIjjkfb+sZWV+P44N
4dANgYO5mvI6uLf0RLuS4VtmHTmVaQZEj5D0ofSyzJJrSpAakz4G2DI62dZK08Zr5rR/iKRpcoc4
6+/KikKFhZ7ZQ6VHsUc8PoTebKrg6uE4dRSVVezr3726AB+A8iHVIC5k7XSbFmbWEJZ30h4M6niT
hkgLTnFukCfrjP+vpjjthMoABfPFPi2SutGNYpL2BtfxHQR3pK0BOd0Eff4+v2nyUKaAdYDBpBAA
7nyZ4U3ntk4QWYlurL6BqxRL6t4JG9m1wkbaazYUPV1HnuqdQ0mjQOkpsZG54bJfnHhw/jg4tDG+
Qdis2Uad0Ww1O+q3uR5fu+GXJZeXDtIEWswsWJwpFoeCnwxNYfh5cjNp+dyuHW0O1ppdxBOyujaK
s20Tj3i/q0nkYMVTOz/Mpo9aHt7Z/DdgnPx9Jnt/BlzUZXmHUFsE6ny6jCwJfk9o+vGN1BaY8Yzm
eBzUsfXGJsuvkOHPYgGG+XVTi/ixS3tjMkY7RlbN7tw6VPL1FGrhigXxMwioo16e1QUQ4d9dg/hB
GRFOIOf+adecKSNvXyGF2HeF4eVSUayCJCzX6jhPUAfy4HYwgNEYuWVtJknrIDlIMxBpBCPUWMk/
OKgLfZqCvkT5hndRUabBeyNqRsTiuEZIguUOref0C30rL5VYQ2+GGyj7EHfG11FVgu8pbW4cPS2u
STeK33dyS9AeoAx2MMVdcV2ctoepTjDgA5BgMtPnmzif67s471BlyS3JRbGhktxBDStvJnDM3VFv
4oOJEd6VKPfsXhQoTLKTIrgXGjWLeQGQBQ+otJObTgaOOQfwFtEIyDYGe/y9TwjRFHl9Bd4IL86l
40zdFn1cYP13UyapehdkqeVi4BuvQ8UajqNfmZ6N/8J9aIbywQ/wFru8BN9Y8YLxxd0hakMYbJyO
94iMYNEOVXqTK/24sRs5vCliuVmXUzE9GlQ0r7S3AMa9LHnmF7iFpQEVOFOFG4fZn8usT296c9RY
VckAbmVuK3dwcFLjP0PDm+EYBN6cdqpXjKjzsBOuWS6evdwYdtA9XJYkhUVu6rTfflk7PeDj9MYa
rfFxBNq2CXBqu9HT7gs/Gb5qkpN65tREntniCPTe+4rmheMjAZ8uismLBdbOVTD55Zze6F3qkyhq
7LvGLKMbgBPXzADP4koCD9B/RFwUU/jXoqmyh5rfj052I1UhhwpMjc99geeEZCP7h/Sbp3ZRck3m
+CxvBCIPfDp1ZPA0nBpn4DxFBlCsOM3NWFi2J8fIOTZw3CFHhQVwqhyxlgy+odw56brXtG6LDI79
EYq48dXq9atl2eWxQhQiHKR45+FZo/BCOZ3u0ZGyHLXFcSfpaAy7FSCNXUpZ3WO9leiQzNldxDjs
p7LXv1Por7Zh60u79+01kqAiQwlxjIIaekGLNWfXsVEMBdy0TnPGOwXbAdewivCA7sd4GK3qWmJ8
OfMkk3hNAuEQ0C0YuougAQtlAq/cUG4cPTdWOsyBlabWBGGqLN1nqBigMpyb28udFMvp1QFOzCDU
JeGNEIlxhi8lBAz0dTsfAvdtWFYSAbsV3kut3CNN3+le0fbGbiwwB5EIPa/sqUV3X1rmBUW+TuTl
0WRazPEYkBiaIOYpiSHfFIFjb/EmRLLUStvPuVEjAs81d6XRRYBPo0wk7GxSd+IIXSYqYjRDQhIu
2bEBK7RKesXfxEP9zsKkaIUNRRGWd6hg1i1WjtFYTevkc3ZElaTbhXKruUE7hse6kWcvUWZpf3kS
F/ffS3vkKBCH5nVNWLIIpzPQPkNgTNkxta14ZTJ2u3ps8R6f1Ws13hdg+OmCYYGCHabMzL1AlHE6
bV3YNA22u/kRljuiyw0QtY9pnZpYdjU6zN8EHFcbp1sM9SCJlU22x4FAflTgNh7BwzbgE3RUjTUy
OEFpm1+6An1DC1a6tvKzSVlfHpnl/SWGBtyoynw41PkhR51+LhDzWYLZnh2pn2iWF9VwdZVGirbJ
0H7iRaDd09PqU6nXzhHpM83FgFq5Eje+MT0gI7k1qMsQnemL0ywvyriNQzs7FgGlPgrjvmW52YCS
rC/P+bXHpdg3ZxMkHFk4zinnLX3/ppbuWhOtGcE8HRJjOmKM5fzOO6m66fD9A7RGZFrGztfWsXzZ
CwwSJIj15qsM6eDN5fFfxCt/hl+c4RQXCSGWorJxpOsSfhTZMUyKyUaiSbrTo5osgqYfWqfQv15u
bvkYemkPEWmwV1TnRcbzdLrbQaFaLsn5EUBUTnYiVhDMD0zP8nX5NpIIVlrwcU+V3eifmyLW1kWq
5V9zAqcrC++tjnNxYP0D3lEIapx+CJ6OSqJGQ37M7fyb2eQFalezeROp4O4Gy76ywt5c5q+bW5w4
Q4dTnmFm+TGikLzJR7X4HpfTvO7Znl6hh7+abpLgtSKUYvtpi3xXcE0R4O0ek3gTkCXhenHa49xI
QBoOPQdDXU4HLXD8R8qjyVoqW2lFVdvJrsSm5xcIKgCUDwBLgeZk1Z42qDWDKD7Z+XFKEaaN5Cpa
jSJp0SN+tZMtxOtN5NFWl1fY+X1Jo6RHqMrAEqH100ZrMy47kmH5sY6q8kMd4rTmR2a3Hab2HnX0
aK2DdtnhP39NfefNhkFhCFQnPV6mplIiFAVQV36M03QmD22qe5TtesAYZrk1qj5x/biVXITMr+ET
3hxnIMkWqpCUTZavqzpJKIRMQXEMo25+jKUyu63bsPCsOsO9VA/qj1FpXtMWf6tRlDxQJCA+EX4E
p+Psj0qMcEuVH7PUUTZ4qXTPcuhQGh7S6Gl0DP8WC+Phyj365vHBwcn7CoKKcGA6bXWER4mCa5Ef
y9kYE4/7c1o3Vdw8NIrxG/tW885upK8VdP2jMivzF0Vp2hVCB9fqKQuiFJEg19brD1kER8AT7GSa
SPqrNSL1OLtLj1VnIClQDtE9oO2k9YJKnn9kempsgCCFWytyJqakKPa+X5Qbyr7hLRN3LeXyxryA
nYaJwb7jPl0yDEqTEmtnZuExw+7FMzt7WllGra2VWstQXFSmDeox+pXD9GztE3EI5XyAHELEa7nT
fakMsgQvm2PThwHWW0DJXbkr5Nblfs/upFoZNr0ROJvUcoqHyxv+rMO0DRBI5EV5DaOPdLokCCuC
hsdleIwsK3u05QJ6GDLp+zQfvkWAFe7mJL1ymi+aFKAEOO5khoEFcawtUUjl2CTakFb5hxLfrmhb
+1DfUhewbWEUHuVDq72X/bZLN47aTubHy/1dHOM0LnK/QuCEJ6gg9Z72N57DjPyR1X0oqrk48Lj7
QkgTr6qxUVykVcYrAfmyOcIhITwiUCCC+7Y81rqyN41CN9oH/r2tuyn8PhhJu6pwL9uBZtTuL/du
Ef+DyiY7xFkm8kSCmL04VhoU4sc4KPWHMi+LVYMC1cegip1Pl1s579RJK0uIE8ABKEpapD802hyv
nX7s9wXl7w+tDCB/JOd85VJaLpg/vYKhwkNVaNuKXr+q5Rl6nWWG2egPVZqniWsZ/SeJV99msq1g
V1SpcyBYuvbIWUS1f4YSuSPSBaDzzrgxU2JQdW5H/SFSZDweIjj+ZgtqWosj60r/luHNS1tUr8nl
A+KC1rfYhHVh6bmjDfqDjPeeN6p57GUxqhEmonqE7dO4jnUTqaXOToCmW8M2KQbp8fKkLi+HPx8B
C1sU39ihS1NO3Aii3JxNRrkvOy9XzMrDQwz9e62YVigpBxszruNNipbIpwIpXU8N5fpjBZfUu/wl
b4z8iyEEp5FC6nVpCZU0tjAmiI2H0AzytdFV0Y3awH6fi+KaMMwbK4sCjXjm8eQjvSt+/mplgYAv
lRnV14duioN9jkv5bzUL4lU+wPT39cnxTGiy7z4ToDKS2BdvGKBMyxSYGaQVQLTBeFCV4S6EZ+9q
jgQoJe0TUFrWWF0jXy/uFzGz5BXxooTpLoj2i1MB7zctTtTOfMCFDlypE7d7Z+xQ3C5a/Tj76EYk
RQHMYERd4PJULtQ0bNE08GWxf3iuCfub0wH2h7ZGM10xHsoJrm9qVijH66i5+8ixbyZfHlZFEkRr
w8LyiKp5txnCrPcszH1RqI7StTqrKiQjbKCoJiDRk5fyrgnqa5D203XAiufSJysJMhBWj9D7Ov1M
JU7CkFvSfCYlLjsH0qGpevAjua6cla9pwID7vI37L1lXBMb7XANeGqdZQRwm6gbwvbiSwkEj/4pF
5fNYWtEmwQ7ihjENVwk49iuvZzHT/3k8/2kKYCqKDjgVCiD9aT/1eJpSWxvt5zbSHS+SgdIPajph
hFso910sZTvKfUrp2jiTuTGOqu+6fcmXvqBiIQByE2KtutzaRqqMHQnw+FcxaoW9GzSz1P8ubdVH
+6EKlcF3JVQW5murUKyy193mMCPeZM+9QLEA6512W42qfGr1Sv01N5kEdc0JzWSNHpZZ7a20LvuG
Gr8hd48aZET7HnCoHN9NTRY2rq76AOHR4vDXrc8De395f5zepHwRnD0KtyIbbr44Gp1+WD1YTp9K
sfwrbqjouDqgm3Xb2JG+Mpqs+iZHBOzvOl1JciMCALWUV5ZAY59JAdgSIoK9ZYS/obsiiDaNw2c8
/kZXybLw+XLvlrvqpSkRKhBYiht0Mexh27Hhqin6jdJfpN3GDqtsBfvJTj8pamzdYxOJsR97zTKu
zPhZyyKsFNRPQHcgo5ZeRiAy286f1RhDSpxJPECx9r6sLDPz+hISWY3CxcpU61Z+7+DyakYzEPAD
roqCRH46n72PM1XmhPihShY1eSloDa8M0gAqaBFsL4/u6anORKL5I25IMjAUB3m/nrYlcZDRzaoO
3Ngw/V2RZ4AA0mJwp1KJPgyzpX+o9bh3G/QDr0Twpzc0TYO+5SYRK1cIhyzr//XckxAjR4UFum5P
d4Ez+euMR8wHtaJWeLmbZ20J5D6GwUQlgu24BHI1kdSBBcl9utn58dNsjr7k5QI1ks2N01y5m89b
MylMsUMEYVhlf5wOaqLEpNbnZAgp5lK9cU0zydwmTh3HHbi4rrR2NoU8hSgNAIXjfIIuII6HV+GH
POvBHKipGbpyoMsDraFc6mL86OsUSFIjEThfCAuOMRVHbdLtb5fHdnkdiNcQAZ+oQwlG7bIkg+R4
lmq95oduW1CGubO0TMu3oNN7a1OMDhZjdRHE01qRa/s5tHEccPuaQ+3Kbl2egjy4IUoA/KIGSWFo
uZxCXMZmyxms0O0sLdp2atoe2gI6l1lZOc5I8zVRibPjgeULFpvNwzlI9nxx4+JxYtV21sNgGLU4
+z5l5QO2wtrnIpdVbybhdZPXONteHuyzyaZRULGkXUR6jXLv6WSrfReMpLRoNB/a5qHPwnEdaHG3
1tPU35NA7j4GpjasDOKg3eWmX5btqwtQyCWQ3xLhNDRQEvWLZd37EXdQocmhqxPSN49yNTTjqh6z
Kff4Z/2TZoZjsRvTUf1utln0UcvULv9hpkp/26AKObhGkUyfDTmPFHe0sqm8jeJc/wZQ3zgqVjPe
110IpTwKjEHaNnBMxyfOweG2lSEke20LoezeQqqi+3Pg/tff4/8KfhX3f/rQ/M9/889/F7hYR0HY
Lv7xfz6Uv/LHtv71qz3+KP9b/NX/+0dP/+L/HKO/66IpfrfLP3Xyl/j9/25/9aP9cfIP67yN2ulj
9wuVB3LKafvSAF8q/uT/6w//8evlt3yayl//+uvvostb8duCqMj/+veP9s//+ovcrngH/tfrFv79
47sfGX9z36Q//nFgFpowqt/4m79+NC2/Rjf/ySkDfAqiBme2yPkNv/78xPgnca/QOiFRTX2NRZEX
pDb/9Zeu/xPxMW5Q9GwIFwAD/vWPpuhefqT9k1o6CRTuVTjFkOb++j9feDJb/5m9f+Rddl9Eedv8
6y+KeKz6/6xMEGR4rxFSc9yKaiLsnNNdATvFVCUlrj8bffyQtJJ+rBRTEiDJn0XblWvhTrfKuqr8
iUyXs0lyq1h1iW4eTbUsfySA+ddtlc+byE5xUcHUA9wSkVSujeaRuzp1zWr+omujuq6TvNt0ddsh
xlrbqywLpm0/atFu1jRpbSCjepicobhF8jTaYvLhbGe10Ffsjo9TM5ubQUl+aFY+7bMmohXMfDZZ
H5e8TspwxUuqWllSnO4yS042czM0KwR1exfVmtKTcK30yhIBL/zRD0VbIDPtmBtr4mRzgvypagrM
R+coukOOst5bdvpTmbSPdp7dRnX8nM3Rz8iqURzj/3B8+QvOSL1L3W+DkcJ37gkcbpLqEfDCLVFB
42rxHG3NcZZd4P5PIT6g655atzsbJSxSoob1jI7ryipb1QOR/Vu1eXHko39jtdK8Q/v4Zzjx4mrC
4jGw+uNYNpVrRYBiot5BTJQt5nVN/NPS694NgymCS8f3l7Ucf6pKJd1HWRR+gEnS5twrFOl8o522
MC1VtN2Kex6j4SpQY+r9o2VvM4dJqnVfuUXz+a5Lqmk7mSM8yCe5pbUmzZ/SPi8F8th25YFREP9X
YaZPw1Q/5lNw8OcWjFrOHwafm7lDFcPr6qW/lUgpVkhm9iQz2iMSt8OqRkwUUw89dXHb+tTl0bNk
yqnb1OlTNQ7lxkL556ZJ64i5H2XDRUEnWRXd2K5hyE9e41eVO/IsPMpMj+oE9bcRjDld73FHTuLf
vi7dJJP4xi59cpwkXDmBkrqZXNwj34xcTBx2mzRvyicKlMauUArQH7Om3Gp5VuwGnqi8O1g6o9Yc
YXdJroNn6+3od90tYgt65UpYtgBXRiTuIQ3S8idiPdXHaO6+cbNs1aizV7OjkROLfpbgTjAPLx5D
sx3vyjF/avz60dfjzNPi/LHha+Oq+ZbL2T1ZfiK5YQw3TS0l61jNfoKEep7irljpujDB1jVKL1oz
3uRFqm/gQ2iuEwaZl2FtH9blowO7BnMj+tvmybNaGJ8QP/ho+FO+NbIi2WDjFrtJQgofS8XorpCz
ZlWoBpCmLDG+dNwlMAMtlGp9dIi9eErv1drYtaMUrLQgf6wn9tnkhL+NSfnYp8iTDF3Ksovy30Zp
Sm4aSqmHlyiLEPHObSTpE7qxEuX7eExWTjYcY8jEuCPJKynIMV+OGVpe233uheD+dhjWFitfmoJb
czbaTY/z5boN5iO52mE1kv935cjSSL/7AWPRKnjSROOHSMWSYQYvsHISdAZKA72PAuluLw40wxuA
QXlywi8wtGpYVXY8IyYxpW4eVt/akQOhm8xgVcp+s62onD+3hfM3SdXqxpei376t/2/qvmw5chzL
8ouYxn15bC6+yV27Qgq90KRYCBAAQQIEQPJv5lvmx+Z4Zk13RnZXldWYtVmPWVm+VEju4nJx77ln
gcsyyElBZmoRU9gg2CnBMr//BN8kOqaDiGsYAg37osMFMDnXNcIjk2oqhrj2ve0LrmTaYD668N5H
pEXO/NrCVbAkSbiVvibfLQWjT7CfOSKJvvB+7MsQHr5VPLV5SeFXXOuCiMr187A3XbhgUu5JCcbO
G8u7TxX6H7lveY2cRbof0mE5gWnDdgFe7jJmiA5isQyrfC1gY55YVNrBho2EXVLZ59KvxzXBuh4J
ZQcWDeMddkzbIQe/8A18Cd7k+TicwbhUn6NMsfGkU1S21lx+f26SGTMxXjb0UTleqUJtYeUxtR78
AA/Zgnp08PLVL2NKi30Smz/UHv9Sx/F3+4hfeo+/+6/+B3Yb/7DT+Lef3ceAoKj//b9+6VDwM3/0
GFn8G+hcKE7XxGmskK6dxB89RupfGwlAjlf9NyDP63L1bz1GlP923aKDa3NVG2YYxP7WYYTFb2g8
gBqATQIlwfX/+hc6DABMv44XQFnBbbvKGtHRgNb6n9JUzNj5yK3x2iYYXH9GMN6PlXRRjUUejDlI
WvHEnSYwWE4ARrCMtOQri3t/l1u8v+EaYven5EWmC3KDNNL1dh6Wj6Y0HcwCKtlep0KTq+LeJPCN
bkA+z2jp5s7xe9Yn2jYTiZPJx2+ZQBdQJSqSDL8lGpSc70kC761tMVi6jkUou1cwacSbnXHoznGG
IhyAfDQI3y/BXeQDDi3hRAWv0KYzaXGcUjjjxHPL8MJ3+QOJkQkclHLxh/HiwDhrdemkAi1+hnTn
XOQ0x+kei8oAS63hg21OI97N6+kXnKAFNFUyuaWaPXqfbYtfJy1eY59OtwJjYulN0Q1pzfuKJCP4
XcchjOkWqk5wnT/rZKC83Logq/kiAZ+HKt2nw8bKAJx1oqObgJh+z5k/6Z2d5iEpC781svKKAX4D
qLfyi940DE/DWutAYia5BnujXmERukXiHKSg9E8wnmuUKKAO6Xh6J6ADLn0R/DTeeumFdk/dJG6x
Y9Pd7SgcHOixllNflIrLBFbgF41faUpsOFhwRNeDz119gmxN8FhQsjgRP/RqY1TQiY1up0KkqJUL
mUlYixSpLhXRyRdPqVxXrus2glwGt1ULLMuHMHT5ThqE931Z14CgEYvmG3AnvkzUwQ46NbHYBaPf
74wfjzcJLtu9349HM201iOv3cjBzswZTWHPM6TVgyV1g9QdcMGCNGmh/n6BNRJIY0zvCkW4CPvDc
lzwoyqtNyh0kkCZpWCgdGhE8Mvbk5oTcd3lH/NLDqtUdR8LXl0yDpF6vdLzVSXZo5x6kRLeRXdZ1
MUg0G1gmDVEbnxBjDoQehzJ8XfrcXdqWH9XMZl2SWLrxgQuykdNIIHeroe91apdwl6k6gWRRVbHn
l4jOAHQKN75yAh0+qUKd0b32uqNZXPtehLarKNG2shDep/DKXBq81n21xP72BF2WUKW3OB+Od+Y5
aLcMRH/bYe+XhRIYeUrB3c0h/ICV2h002KVpB0yxY3rjts7U8whXrCFeplLR9Z1a8XMApjAG8tSN
SPjeevDAis+URcuOjdlctqo4ZwFtv8DgrC1Bghh3/tg5TLwDYt/wHlEkEfWpREqftIsnfsCOGfFA
OkKnaFg/LtW2sVOaDMOOsGF4inHI0zJbjLlsy1hsJUHpYSdpp+Ue0oYeMRC9zVc06YPdKtpJgzMr
9utl6/XJC33xCJeZ7Kmz/hkjTjiU7eitJ6Ms+Pauv5HRgG5cTgWXiItLkZhAUwszDyeRn7GCtsx3
2JNp9EYzuhua+YTvF2TbfviThzxxMGC0qDa9IKUwpktyMqFhDz78GdBVajVeOilpCMxwHe5DMxlZ
jstIvP2MFdqn7QKYTWbKLaLkmcwSIOlrFXdxvsPqoPu59WuKOrfOGK4i7OscSx/QVJGonDz+s3Bx
/8YL+D3tLSW2NMQEQ8mV8LOSDHZt1MLVQU3p0HjOS+9axkBLBrJ/Zpy4U+ZZvfd1GO0F7VTdB7mD
icJEB1CwVoTIblwW/oGpXJWT7V6A+vCuAUtqdmW88H4/j22ylLGaomvmJi9Q7Ga1lCHMpnCJ4X/F
nfuY+RhWEdrhHS4lHixsoKS0qly3Rdobb1QG+nsWDEPp0k5tcMwLtpM0mbjts3h86zPtYHxQ6D0z
RNWuo+oAB5DnKNeGoJF8Bvh+pTpotM5Fu6gXON/c8RFGJJ7ND4j/zYeSwLQD3gdvqKjqpGlmz0Xi
qti3TB+6dbxkAgSHqeRYZF3TP/0FzoJq7lpMtBPiB9QCs9RSJ2E9p4k5ky1TN57n7pKCTApp6vya
nxiHlFYCcrL0MKLVe2CeGE+RpsNXCHPJy2agqi2nMPwaFdMD7AyvTevoSqHGFzzXcIm22QMI113J
gvgBVkHotjYyXdoi+dGv6P8zNM5Vhlm0Rmacf4uc4jS9DroLSgNI/mMVCiibKzdFA2xSsGKPRX6i
A89q1cXLZfJH8TyIEGK5OBdN5PnTGa7rKx5cEADKrVWACnsTbh/IPqot4kSkDkyNyIO+nNWAQ5YK
fXKygHc6ndYmDUIBfqK19ahUNFUeIp4wKiDKDvlcW9yIoldlq91ZhtHFX8ZH2Jpu885pRDCneL/a
9nUaAPpDXgdz7nJIix2E2HsOu99qCj3YUVHKYD1IA/O+BXZ4ntHnHukcDncIxpJe1UMstZZQ/SvE
b2JM36pUDc9tRnvcSLKhThaw0pcPXrAtJUz7WVS13aT7E8HB9bHOiEWFUUFE1B6Z6etT2NNAYJaE
orEMQ/PNZnhVdzF4W0OVQwr8ZTM5PUXoyps16dFb2CCaTvNMb0FVwVGy6daVmeYwwin880I7OCg6
cl7yzCvKhMAVoO+TwStT8Ly/MuyKAgzuoOftdNGK+3Q1Udy03OeXmYl0vkHfvWBQX8ZzAdnm16xj
KjwvOrwN0KXfay73/TU2u+fDt6H3a2ptxKuWsIlV4TDNzxtl/lJiZXXGakrAkg5NIWuiZd3KVPTd
HulPPRgAUfEcmWVJqrwT8KMPOQRZOBwHyEnoeSLRI21DyOTwmJCpwVa9uCc+bs6Owr21KFvu+GcX
zMyUoKf1YQkvETVXCFJrxyofW4LwhkLg72BhrJDpBZbWuJ+X1BhQav14rhCvOnTP3bxmP/hgH9re
n+EkFM3ZeoxH9FI17uAclhuM2+WXeMzGruoXLdWuEHn2Aa6sfxkNoNMyRhva3hLIOhWcIHpqypFf
kY7cXFNYXVi08A5S1MOUZuBEtVtUqqe9hSv+zz7IYNDpKe8LRaJ9DZCGHzzthzvw47HC8+bBRjud
yPTOhnhp84gh9LjvzquU+Un3oD9TaV8VIWo3BiG8MlFHiamCYmrrgg4xZmIhAMukDNniiOLz4rQ3
uFVyfF0Qf95Va+ovATAB/14H7XmAh/huhDrzphWh3Xlt7pF6yA1b9jBq8fy6I8KHLE6QuUL+0Qrz
1SXpeDmpbTsibZCeXE9CD7y66TCb0O2AL6syoPwHp3Fa9iwKbwG2ZJd2tQ4iu7VDbp8HMwYI7Af7
CY6jaqKN64svJlgtpbrus7F/IItINF4EMAuBh98kLAj3uMto0yMRX9YIroGF8Z7U4tOuBptWnyhc
MZoeIGTYpQrQHiPfNoKBkomhhoOG/pK5YYE0uc+jT7gIuIMB//knbux46Hif7gvnPWDIWIqSDnTI
0XW3r/OYLQ2Sbor3aQIGtSOLphAAu9y9oHLn5jSTFvaliXKNFC5/ITiZeWn9USOOiHXu03qIuIxa
Lt7d5iwErRF4zZYnCIQcI+9YyIh/kIixavZXRcpQB+O3TQ4BQprA5kwi9C3N0E8n5plYlrDthv3r
tiQrP5soQ6WEWCTd6sL1/G1bLJwLosyuJ7v1MKgdnNmKY+6NCLtrvQBe9puhMxg4hj0H6WYL+PyA
m7nP4Qk+VM4FILEg5jztLnm4JcmFYO4GGMJg7nJQPVg8togWV63DFA+3seqmBSAPylVJUinLFrYG
c41/Z6MnEJBRNLJADD+w90kCNNuFi8IShIxpA1FmDtc9TB/GahYT0lmgUbWV17q+DvMl/eytsPcc
bN54RxxaPNd0eMWGtexAq9ieCovU93fFMzTU8aSOKARODGUxjeZjQ/hycDCwF2RnvVFZGtF7lW88
ZDyqhE0PHOFk31lGQloiJhJ959rGyfMcJxSdpMmSsRknjnN3XdaLmOJYP+MYEQYndafaxpP8Cbc1
kycGJGRrFrHxRZUG/lhL06pZf58Iwr13zo13hRv3WUQErEZW/ZYmgeSVp0n+moQWhb1XMMHGMaHV
3ZhJdtPCrf9TIJwURhpIV/xqYz7MDUHEcLJjcB6bd0ITVgml7sE0w0sckeKDcsxDFTrgB9gWQEWw
pvPc6A4VpbYGXNMyGtgC566kDdFoFp5NGoEARAJ5x0i9nY+zi5SBj1u/9x2DEzgOVaRfzqwHJQ+e
qWkFGWWa7SbX9w4BVEVadZ5j8W7GmJi+L1ZPccMQlI7EwnGOv7Rwo7PlxFfNrmE1Yi0RQps8CKzF
ph1BSIA5UwIzhdTOXVoSRa8vqhDipwJYx3ey6IMXNDBKVTq21y6pY4fB2uG2FZ38XNYsn8rAo/5r
imRvDFaWDMXZj5m8Z8WY8D3CiAc0cZEEtdiP7K6FOq6/JBjNiiPkLQHOfQ1w8a0oOIG3RzB6F067
9GClbW+V79EOknsqX4aOrMii6Wb7wNtg/lTYeVbjFrU/9TDZHQvWtMwK4g94Whb0saCfRHfcdxAw
LwFwQPw3G2GjTrr+1l+AHD4mLuZVFyRbVI5b4tu6BTMYNBHaDv3FwOV6QksKYLCciIa5T2tyjEOR
DdYY9q1t3jVJO8ftzsAT/hVJ5Oqx2FqTIp7N0UNkUQPeJHYK7QlWBU6jkYeApCahjlXVJ+El87b4
EbHYJ975bB9gZQDTvmkJ720xwjhjbVej9yRBU1CCW8SWy1BgVY8Mt9mHEGmgr/02L+JUWOqxow58
Hz0vWbea8a3rzvC2w9Tj1BJh7+0QILHWm6LkKecQ/NbLFKYY8WK6ynIKXOqOnvUzhFmFcgSgv2Eq
u9ddX/S1V/ShAp4Y9d+6AWbQO0Zgl4M2FyeZduP8tYiBh5az8dKbpc9D8Ck7dDWK997DSrjGIQVi
DA7C9TG9WiOa3Kd1G0cgQUHjcwtr2fQI6EXfK86u1nXQu3AvHd4yxJKf0YHkx8Lroif435F33i3x
VYaTB2WEqRxH6TVbGw+cnboSEbvXYMdwcTWDffXZjoGPLkfIJg0HfUJAxnZHY9wHstDbmYAfV3hI
wGxRDuplaFeCHX0fz4cwQDTfEx95/JPAiAEMvskiDanoPYbItykjQKasDTBkDYWqh7RLh/t8plvB
Ki5T2JKUc7YMxacXgezEUFcn9m6dGM9qwnt3l41eIg6OemDDl/5gDnGbN37k2hqw1VM/yicY8r5i
hfHdM63/6niGdzKYnheJqHukHt4PCX6Vzx+c3x1EjpVF3vbrnUG79zSi0wY9Jrm0ozgkee4hMbD7
MjMce3DjmKz4RM+KsKrpodDjowqDHyLoz6Hxs4r1opF6+QiJR0FJnY9duz2CplDABYJ/TNfMVfAt
Xz0o5kubyHuVS8jBxNdExU/U9+4cj5Oz7FoCDC1CM0PknVj0VeZy4wo8ZCrYPhIpvwKD9us8o8lO
jCOylpZgLolIvk0pC7/zgGMomAuQJlT3sYSsgcnE2SsAoPMCwAnPlioxHUVWkJ6AEkFZirgRJJZh
hi4DDYE1pMYHMdJnH97rAF7QdOJp/+FARSgDGz6SXn5RGgNRordyTUeDcbyFaTtlWsFYC2POwe99
mVA8TdwlL8UwblMzjKvBV8hSFXcvbItAtNzUGefzbbsqnHHROmPFuNzBwhxOnOkjUJyLDIajG9Im
7wF08AR1K8BIAbJJ3W7sME6+PjrPQrkY9rvMX248PdxGaOFb1qflllo4724pnODJ2aWeuAxj76Mx
kHdYDKAtSa8BbdG2Y4oaJOXS4hj2C77JMt6h39KVBxCAJINrhMnTxp/nl2LN7lVQSCgDurPEIOWj
PoFvgKC9l2lOfoIqE2E/G+cnZzHlAqVBFASbttsgXW7RaoWlzLJDrgIAZ+B29Wn7oxviBMko2wc4
cV8DuHg1jrOjpB49a9nd20XCwyO8tfMaP0YcRAc/AeF3hBL8NOBpPmpYuB2Qz2ThLwxIKjN5VGLs
GW9CpAofQah8K4i3G0d8QZz+JfrWE3IkXdVuyPgJpmy/cH6rgmQ5pqR/lNDO1pghWzx8Ez1LL9FR
E13vOczsoUG3n4gUj7GIwRyI0Bi/lHwbayTntGXIl/kInvhd4PVPm+DAjey43hXMrp86zo9IjfgC
Cfk7leYkYHawj9h6BzBhKhG58Bigefc3hISstqd7geCpaAySQw+GzJkEMRIXRQK3OL0ZPGd2u0uW
cDy4bNxTia0ajiE8TqjeFQ+FfsLHjDAgxutxnacPmQo+Jo7mF4J3V7JxzMrBE/4h1QGyl1V4GUJn
7nJAaKUZ2bNKxWPSt19NDpuxAic4ug3gAn77gwOFYdhYpQKNaUvpjOtKcQyZ4kHnajhJEg/oRjjy
VWHrbXTjMljWQuSavHWrv+wAgNzNJH+P2ulGBsk7sqYQ/ABHjWtfZCpedA4r9Oir9kCD7uh2m2dw
ylkDfe5SNr8XxDK45dDjxOOTP095iZ3xXNwhb9lhjOzTsG3oFBPvoA0cjg4A9oGMDglY6t+iIZz4
d1UEbr8RVpwpeOVPWkq/nEYSPiiSR8/p1m9nO3Qhki/8V8SZsYYkHJIX2ATW3er1pHJ6dQcHw6TX
JcHdByqWNRlV2c5ACvOoW7KdorEVeD0XbwfGXFJa6befRgDP0LpHIznoivQjThq7TE99G4idghMT
mPzkJnOOHTu4hO+yvsdqfqSPbU9PksnnXGwPSP957tDml5OZshurxIrEVni8oCENY3gSz+kFrAoF
94S0rQmltkwQ5wRRAHE44rLngM1TBZhpKAcaBjcTmpRDLhCs7pMbvLhpifUvHsZtelX+1h+ZpuIg
sGXF5NJvtR0z0QQU1vRivmDVjPBhRu9M77+sU3rw9TjWMdCzG/jRTD888IsOnVk28AuEq3MVn+mg
sa4ny3EozNFl2OIL0T51o1nPHeIoVJ2x6NilGCDbiOk3eHn7h2nrb0FeP/REsEvE3dyA9cXO1M7p
VzizfovzLSmRkQI3pXx+2ZCr8Yzdj1+TaWQ7l6vT0i/wliP6WWUCq2QVnpCSXY4UUXB5JIbXkGZL
uRj52Xnd56iH2rUY6EWyzHXB3U+Gl0Qy7NRKj0uxw5b9emMbhmkyAryBiRS/lYUWr5LR3Y53sSqd
y5D05KvvPfKBMqgyuQr2CerIkcb8OwYcHPCevw8ngTwg8rbkbZUE60snJgzQnXlJ4zH9CtZhtMOz
hy+f626oCssukMF8brBu/O6SbU+W7L2lw6vBBYUpIr7zNIX7ZR2PMUuPC2svtt1+hL4llZicyGtH
QY2pw8V0R2zARKVNgd0RUPIYHrdM7qYFSeuJHGRXY53WngzK1JfIN2/9nMxNPuVfsrb/iunkZ7SZ
O3bNBJvC+RZ94VrZKAGgY6IqADZSDwSADX7nU57OGHha3Dqlto84RgEy/ZTdTxnbIQfzYqN8BpoQ
xOEH75GoDs1BtLS7Lp+RlSUn5LYCx6RDKUym61hhvKVLOqOwMAktr5izO0fAYBlzTAswmE3O0M7k
DTKH9gBgsqYjhXzjuUwvBe7yd/CH9EfgJW/+lftTwC5pzfFW817fJVg8edgwJi2tscwrbtFxDdEB
ZmQtXPJjsPCa0eESVC1r1ZcFHg4PpO93iFl3J9sNY1Jueba9IOph7UvHXTBjKPZSaqqFjwh58SJu
5Z0FqNDhGiebwAI/lnLuH+02LUljAmX6HSYpRx6FF4J1kczYz6yJzU8KpeMnA2Z/8Y3rf4Tp3JkS
MnO6vCSMWx8VIRsO+RTpE1ObQyJi4JaEXfDXZeSOwL0tOcFb0d8JQFtgW7M52gM0g3qGM4TUdzSp
EIrwvgpxYbDfFvCHxEEKz5NiDFdkWoF8oxK5CweW7xz1AbrDZ2G89fLkItrB+0bxrN0HEMdAPKVr
Fa52V7gWSPOMY23zT2Cdtbug876j3NwOW9TwbE5qnXdwdCHTUltJqqFt+xgAQgFqi53D70noSI1X
J64XOck3OPbhEDDubmp7EC5kB8PkDW4dYyRG9N94wuC9H0InCX4HvqwHeOknSf3N688wzgnCFMNm
JB16iqjbsb7lGStHu4GWVQ46YiBq8dCvkoxtOwNUtNuNsW3fxo2xTyTHxhZii2QJsAKRaWNSXuVx
+we/9r+BsvAPqZT/A2kL4Av6CLACv/fv8ySfPobuF3rkv//M39gLxW/XPKoYCtw0AvR2lRf+wV7I
8t+w1gI7EYFjwJSA8P8HeyH4DXwGCIXg7eJHCXSJ/85fiILffJgigCd+FR/ASqv4l/gL6a/iFQ+k
XWgQwY/8iyYJBugx0HXa7oNwebPUBLXt5mk/K8SksA4gBPK8RZOkdDjRLe/Qs6K5BoN5rjB8qD3+
GnPVHvAzx5BXT2sPH2AhEXAdDe+AjwOs1/3tNOWj+EDStT1SBGrvADPMzQKvixKL7vSwAMaDuVmy
oOnVQBF7lrykkn6beKZwHoXjLWcGxkGsmD9o4dZL5EtRIT2P7saJYfLJVOo+Vzf7JwPsHxEHHt7Z
qZAVNr8hrLbC4jTC+gcnwKh2uNOAWXIRY0fmy36A1YsflA7xDw8FQ4+6ZDLFTj00lZDJiCxzKKRX
t8l6MI40bdCqCvUQBIlhW44UTBUU+PHV64v5Ca1jCy3ItH6hBdKjN0rWH2DGm12hrohYPrgK2XIA
rXQkSsH6sCnkgP0mH396PqY/73dNNoxAgFKYDCSLzAKSB1NpRXCrAUKH47SnCIOFC0jW5gZYAiRt
Vai6R8ycpCHRcHGbgV5hmQJxMKCHHLxQLVUBPOw7x4bnnfdd9phjxt+n0m2XBLWu9rCiPIOa43Ys
k94uz60+gVJ1GNLwLV8wzASarBXAVl2Ns4/oc8Q/7lbkuJ0GsN1CBKMw9I7Llu9Rtp/JhNiDBeMN
KHkgjsXqkrLFVvDTIYj4sB4yMJazwPXeR/AhK7vOf0b+YpO6vj2uWYfD1CRRuUJFCAiaA62zcMEb
8qU7TCJ8EGlkSkGdOhuQALEWhPbF0xrdxcyLdx3NUSVHE53Agm/LeJPxwSKm9YvN3PhkgdvWpDPZ
zcRAI0I/ObcAkSaOrSygkh5Eky/GaLPPNqcbNIKAOkTIX3+vC/8NdfJZCvzv/wMWOWhVf78y/tv2
Q31+0PUvvC78zB+VMfHB67o6E+QxZANo8lGa/qiMIIjDgj+BZvZK3AbhELTt/8sdD36DQhvlDzZf
eGERRPAflTEH4RwqSojdQC6Hsjf+Vyojiu+fmeNQB/tXG5wAWUTw30EqwK/M8Y0gu2M1xG+yTYLy
N7XeV2w6xD9JOP+LgvUaCPa7sw8iPaI8hEzlSmD/k0ZnKGwQbDgmGgazcbwG8dikA/CzNFzd6xrF
313oYHipQnRxeljvU+jvDwsDWTxd+HzBsgR64nmggIoThq6Eg4gNJ7R/puz8VV3y+9eEiBnfI4K4
BJrCq+TlT1+T4ojTIRvCJolivV8Ql65LsRXdjZmXHx3h7YXmWIDPCVgDf3pm/sbp/zOH/3d7ij9R
+K9X6GrGmYLEn8QJ1KW/fvTQB46uOQsbTL780XE9v86wz2hoBLbEZjIMHnJuP0TbASEj/vwqe6Jf
YwPQSaSqCbhd/4nU5r94NBKc2HjU8KV+P4F/uRgwCwLtG7LjZlWhSeB5BUo+grXFt3/8l/9XHwMd
z++58DhO/yornXQwi1jPSyOJUNgSYEeZJKBD/T98ylWMATDch63uVbL2pzsr0xFbs3xaGsq3ouJw
cNnlmPn/8Ydc79Ff7mGKBCW0M9eOB14kv35IOzGXF4yuiDtqowt6oRUR7IN8DGEBUkdbOwM9wXH3
jz/0V/kZnllUEPAyrxFiUDJCMfnrh4aRbofZtiEgOfc+MknvtzwEs6MYuvdQDkgUW5nYaRGNmFBl
8uUff/p/unvXT0cFQXeHwRFmGb9++rahk9dTETYpImCSQmb3KTjGj//4Q1AO/3plIbG9qiUh/bpK
/fy/1I9uxMkLM/2+maS31i4hIKOnHTx9t4gD3gU48bUtVgBPoLtclIs6SA9EjBqz8Zob/aMIl/l9
9FcseicfFJry6h3w3hmgd7xN3A1hjp/A9+ihHGcWQZ34izLACKDx5StCmnGKdmW7mfRrO1kH9hk0
M/tc6ATzbm9pY5MUoDVYDxY7IUQcvxi10kbNUXijVcIfrjuoqicq/cqY3PZ9X2RwRuD9z2yKvWds
ydadNc7WK27zWjEU5aafUgvr0my4cNWnVQSH/F2C7G3giPwHlvjjDxjmA3CB4sRgpb42zm9lA0Vp
eysWqbGOWPrsxne8OEUTNGjlbKPt+xZzIJv46RPBvvdF4/0HBOwhXwhtbkrLDldKlPk4Bl9N2juo
tYZXm8GnQgLLwb+BoPPcCyrhGz2DvguPATAWoOwpxw6Jgp3WY51jCbwr+GpfkT+zXuk+Re1tPL71
gZNgV6ft9tEFqwcamdbXxCwIjKoxphsM5ox8hDO0fdMRh9HBRMcSEuckqWm6HPLUdGi64F3C13E6
AvACajoPPfBcj+2VTOBdBwPtvkrp8kaksk0aqasAAK3ViCJe4pQOjsqTiIXoU6SIuNweTWxGGIHM
0BLptSgJOCSNTX1IBiD02EM0DLlBVNQy9eZ7ZGUXgMtnyBp8aQ8yhhogBMexte3TarzHzszrcfJ9
YPXZCgBQ7jaqhzMa24/YApdsfYE1VTvGB+Whb287Zs7wRqEVgTUX1rjQaqwMzkE9WNbeJPV7ZuZD
lLZBBRPFRqHhEwPIaFDdVsbRVw48TjP/xtAQ2CXa6y5O7rHeeOzTfmu2jo6gN3TFfQqV5lF6cXiE
7uSGSHYbDH3SZFlkDzAHfEe0kuzltzniZ+2ZL0MHwKdb51PrD2/JGNlj3uHi8RTRfIFILBQShStB
80TLDFkoBX0Ns0unEtNQdXWTWzSYqJhakm0s5bz0pYzDJ5nExcFTvX8oTNHVLIZLRUq8sl3nh3xN
0Msi46VmJLrz8/6Wbi6slR+LBrYbfTky8GYQjNXrW0icQKwMiiP0/VFthnB71N4SHqHlau9bxT4x
58BMfTX2EhJim4F1y2mLDdQdYODVdsgaKsR6AerPS3AlgCmM2h60jG7WyR2mePmqfV8iR294Q4hO
ByJ4ctdvw4OHze5LAaLEfcj94qsF7/gI4OUOzIDifhDJiojMaUAIp0KIprLfE7har1GGr52M92m3
7AdGv7dma0sN/nMN/E3X1ktUhdHlRYbxWSYLv2kZLtr/oe48euxG2iv8i2rAHJYmeWPnpA4boltq
MRRzKBb56/3cmc+wxwHGt/DCiwEGakFS3yYrnPec54TmhypIvfnW+okAtCaiCVAVu6M5moo5Ave9
AE+eNT1NGHxRqeDTq2DhLXOc+mfmrgeU5Kus7wwGAe2biVfwVWC7EAFzbPSrLYHleqQsYbsdtfgp
cjuNqyaE1GyX9nq3cv6LumW1Y56qMlovN7cJcu5ee+NXujKGrL38sIT5B1aru7YdXoMC36IHknUv
iCQV3mU9XN2T5WI1CGEp0V+GY673w4M0U/zVRBMdvT6YELLMfnP3rbCqWFFiyOtU3WujDWKrJP2j
alxl+SVCOPqHcZjOpNK+yhIjr88VyM3mzYnq9VP1gmI4h+F9x4+Y6xHmLO5Zclzf59C/nVHndv0S
FokxuOnOsRvny6Plhn8HFU2Fkb80Y/kGZPZ/C0hzfvsv2xYCBrBDXkl4fGzSf98dK8qEGNn53S4U
Yluh/ixds7fwuvBSuGmI4cPW1RyBnBz6W6IQmNaoRvfmU+gp2o06jCeI+q3Vp3s9TTkX24u/zBm8
bY2rum2/FiTiz5TOWXePx73ZLWpanmeAxL/JubVObAohYL1UPRCefpzXj7UI8y9RbEYWj3K9zBqa
DMUim93uBqRN/Qm/Xcw73Xjuz2blJF50FZLkUgtTJ5sf1L/9SsjPGQGctFsbTPzF5db1iWGULXJo
5lPToQpdf/H4WXeTMIZ7w80YaFtg2dz9ytD5vm3nltIooFpIz8Zcgs2gQv1cjGpx4enlTIuDgCqA
hLm4vMXMGjxib9m4d4+W6k4a0sZnLhbUS3rStk9ibDpjL3KL7SE37HTeGf1ASq2F8RUkobP0PgPV
BaNixgmNmGd9Ye/TwdL+TGu/B3qvhCWSZWhY2Jx0qu8CpwTRzzjBfQEhUuGktyZ5j6Zos9G4auTD
FIEOoqyywmsh8xHGgaVxItFDYqLbpwb1gf20BF5ENYx6tL3WrxO8yA5MdMsnzsB1jCFxbeTMoWAn
1jeFVSp8ed6AfXGybD2dbcNfwt1gL56Oa6NAzO46ZKdoaUr5CpzDIlI4q1Cib0BfTnwLLFuUZjVj
ZmhB9XoV+iDC94M7pUdyj7jAZGUyQq/ydKSy0kkZRKSzWb15vVf+MrLVCoG3ZSxZHhG9X67fqBxr
b9bjMVZrS6GKcItviAos98DeGVR0SOdRUFUN54ac5q/LwMQgXWIsXc2OTvIkmkp8pkf+Ux/o2ZZ3
VdSg73ezxdZx622ilte+OwSpjmqnGc1zFaimKZCR9JBCEi9bmahRX0SczCpOpbLU9iMMlLhYOvr0
VYwIxngrAWzsiAw559LrnSHRlWlrRoJgw2MG2o69m2o9vwyNwRLd+ql+WlQv8XWyO3RR7y4W/jSe
hYceHFdFX0NWA/mV+TQRSJQYibd1NHcdIbkstozM0HhWvYEFHsaRydQ3yDqeMDk8IetNb7lpigcP
F/Ibf2Q2xzIv5c+Ze9xnv1b4LlYyiDz22BaUKNz5uFq+bhMjK9XdaveNFc0bNpnYnIcQkxQtme9Z
D7Aa52Q4yEgtPpYhFtKC2fxEFIMfBv7hYiZ6mlRyXH6OhctiJ9IZJ+1o56h6tWsOJs+sch+LDDUR
3w2JDJLIRN73LOm+h+87K18FviVGXcUAtHlrN3UdkJb4FKMa00RD9+bMRu5m5T0axQ9wrXwQcFK0
2lVmr4KoxaPKGC5rYe6b7iTvfBPcv86EhR+ZU/d1I/1L6BVEURv3y5RvUR2EI8KgnaU3Q2isDMOX
ycHul43Bx2I3NH7yvow9Rhup7tpMLgMh6lC6h3GqseE46UxmapB2+LYZflld4au05jN+XIcdf/Ny
ZiTUnKDhzYY+cVAJPl1mRS/UbVgEhMwKPiUAXnvas1S4P+q1xGSqaGCTB0bJG4vYjE5nTQSemEOs
/q+K6uKdFsPaX+mtFbfLaqSvW1hZ3jnk6Sh2RGichU2fyMhZOyXRlU1nM/eIQrMYrTyHy7Exh5Ca
1m1gWAqccr3TizUycl5l+tD7EzFY6OoAsFXDO8P82t+Qg4dqMPCoiW0DOVZQJ6hrx4q6jhtlMpm9
EURjWDhPtquyfLcy/L0nV+EEt8pujPkgodvcMiJxghhyY2FE9FGQiDMazqM4rC4BkA7R4zl0C+e5
Wmxiv6rtgyLJUUi7yPX75S7kzPRlWXU3RTBQh1/GOm0PJvH9Gr/cpF5b5dp3jpPCBgJ8mn0pVzmn
1SUPGOHylSU22QVBZS3FpYFh4MqHJ8dNU8LwYfuDKIyf8S5euv00t7CB4fdilMSg8uUrbztRY1gU
jpv4nUVY2GsyPHRCh49Nu9k2Uvgssshm0NRFo2f2tzNRHRF77miUcd5bzsnXMtRHCfMwiHXjqike
+nV4Fzon++pPZd9zB6i6l9UqpnynzKoqgIzw19MgsPh4OWlKcQ/EvNOfVq+db8NCYo7AHqj7KWjF
N0nzGRHfwnif4BdfDkGbsWkS83Y/DPyT067H6PZas+jLKDd61e6GgQLXaGpsj6PYUs9ffb4Uau+t
Qc+Ej4AFPQZ+uC3RYBXyhQA/v7wtJqfGak1ZsxabNqYD1gT5UnFhYIjPG5afArdTdwjoBSyI1DZj
CzM7Rs/GYK7dydnEhG3OHCQyji7bSTqq+rSzUe+zxSh42rOAjYhGRrIqfpG/MFvOOFZ5spp2rBdt
xftgm/WJ3hRyZxKSYUdXesDQd+uY40QILNuuX/Pl2SoEI0TaEdpHfLSXh+hyj4F19Yz9e3mcvNnW
SRnU9f0yhQvnCzZSP6Kmk5Tc4nFlSoqiqr5yRVV43MITm5NhHMYfkujanV2WDj92vyXFETS5KiJm
J5eKEfpUHywk+zGS+uIDCjGjcX/JUiBPUufrV6dokeR72+TrpCbuMdqf2MGFUA7IKaWq/tDgOsuf
vbrCCAw2+13UpqejrBTqqvbnyr1ajKC/lWgWj4NuwDVZFvMKrjvOzBRgdqoUrAVu5njSVdvHpEiD
J7YG7KDkvkc7Fj4tTfvCWyYCB2IeI9/weRFMqys/tV7wsDekyYJXLkXFmKSB3raXMbWt5uQWY3b2
FzN9V1ZbUmnI5qPjnM1w3SFa4gwsXfwl81xO3msQzE6w8NNptgV/mlqjccNtTKbCH8b9ZFrpmzs5
7Mo1xo0HKrxksPM5MMwR89qpTax+UjzHHNoOtgp7sSvatX/H4l6E+xUMXnjTLeMmsOaZcB4Yi198
mKlv3YxwiN2EgKcuWOJHo9rb/MKBBmvH3jcWrhqM6il3gmLJv+lKZ9NbapBZUZvn2EU8zm9EJsSA
/z0cneqbnEuJx0Xito/oASbTkzFQvnMIF84RBvnhH9NeouX/PVPlP1UYIKtdAKzQYyyDDLVF7Pnv
R3dYUxrUToad23GbZ8uBTx8VbkFzgU/wd9/2jvncubV5zQCxIzg5Dbu57uaeNI7idanCMTj1UF1P
Q0cAIHIZzhMXwmhj72Qh7F9lEejkT5ns/2Dy8v9uQn0pLPufRzC3391n9bfp9OX3/zV+CYI/GGv8
CcZiasLay1f+Gr8Exh8XaDPnv7/GKJev/Fus3vgD3RuUF8PsC1jswvT6t2C99we9ZZcRN0F8+89x
zj8RrAfe+Lcr4l+Dac8FofX356sUFMVPSzkcfSoUH+AUznc5l4ET7rdt5wZCPBgW7dZROKnajArh
huHBGkZx4IQ+P7ZScAcx2h6zWp0eGcQWOyTi+XddF6zJ7iq/FntWx0D6kFOyslTfVV64+EPrKm6X
2Ur8rMWQxKz4YHhO/oRtY7wFQCPBJzZkygB6tLHFmfImYOTwRGRw22WbaXxLEoEJz/wwRIMh/aPd
FvIhNMDmtWph1NmVDMXLIg0eJZblkxdOwZsyXOtU1izlpJTL91HOukp60fd78jheskx1cCVME68e
9vjghuvuFLsjabdgEM150b5/cvwCSyHgmUeiCOstp9r+lVRginltCUlOcO9q/MScWF64X7TfwFD0
5TRPPfA85+Ldx07Etjek3W1frKgVBlmMsqhd9m6fXkojuxoLad5O+MqOfbqsj1CJqrcaDeOlkL3n
IkSG6EOcUcvYybGIqnaarmruxZiVq7p4S33JeOEyBzzIypmukeW6D+1eMtCrN/62OY/clk49/5Lb
ZFyXY4h5F9JXQEqbO0c0S2WeWOSCVyyNJvvcZp9XjfcnsuacuNfql5aT4JYcXsHpk5/nRmD+7Pq1
/tladXPaprH7lc3UwyOXEXclS/mocu3db53wEI3niTt4WLF4RljWsFQ2gTXfssOx42o56TZSgRS/
x8ksUPhMHIXuUGNJDSyue5Y/cy2qSzW8WaMbnGq9TV/wicRXK2R1wNvAyULpObxjlDheb3Zzz8Gy
xA5nz7uW+6ARdWP/GwOnoVBQrQAFvbPtX4OEzgczDoB+3f1aOqsnsaoHNMVNpj9hhfI8bvN2UaHA
SGF10F11D17NSXAIkdWTJVLRigf/5AYU/uKmHkQf9Rmj+YguEXZeQmPpez9Z2YtCM4fIzOP5XFjB
9GwKv7lLKYT7mQHXOqSguu7KaZwTTMUXz0U/TqdNok9EOmyDPZ/AcGUp8neRrArBvWfxuR60zpsv
6+xJk7n8fTljvLoGLQginFOwW4FsT0SlHZAvZKYJt6RECrlftfKtdRc8g1Ib47m1BQIWz3b32hlh
fsrIs6MTDMjAmeKftXOdjhP7pm2YLRIWusFov1ev+FcEpkB7YiRYGBmw2c3zsl/jQhzIc/m98EG3
mCt/3u5Li28oFgMITHgyhvPqDxsitVrK7aWbuuVTZiUVXTPyg8tpk+T6MQ3U/I67osEO1qn+ahO6
e2gdgmhRzv58FSJH1tfKWttHCBRcoAvd3w2L6z5XZVtc7udBcTWBmrgNzUnvEaFyBy+DJteo3GFO
EFq49Y+rC8ndyzl++hxODiAAUNRDck1Du7jXw5DPqDfuXGOm2YxKJ3J13kTligRVk1Z6vophHsdj
47Un6kzkPZwD9UgplXel8DMWtzPT7zni/8w9X6HUkmPYuW8E+dQRw6j2cftmm91bOzSm4BfJZ3Q5
xmXP0PXHE7edABcdbuAziTFjjgvlhg+E2IPPJl+9g+Pa2Xde0/kMYadrT342pR5Ko1PXmINt71gQ
qY/HaXMJTdbmjVlP4n2QxuVCAZUbN59qOXvmWXMBqeXzt2Ok1kdps3KRg5TLSyPn4b0l3XKSk0E4
s0TC2Jx1+jCbS9Ld4mi/RDxC2cg1MCzvslyqPQXAICgYiXR3TM0W+AkINOeqGwquOrnFUljDIiTP
XiGciEFb58kpmyAeteyP6WaEjHr83iVPOaiHemYQpHL/zh3perfyspjINrneM2t0dm8qc3g1rab9
VsMwPOJjnT902nYx62FJGiULfjpVXf+Y3BqHt28COUsbZLvYlP7E+KzxmOi4bZ01ZIc7LKsYbYKT
tqfg2sMwdJZ2ukGfCIxfC4aWHcsknVyTXq+7tPHKeFCWcU1QsLvJMWzFSqYlMAvkNScuLcV3PlLj
syPm6F2FWY1rKF/a9qpcFKuTU5pX+PQtBkrw1GJfr+nJa1WQiMGWb6VrOE/9qqenGlzYjhujurWE
yO7lmGNdYOn1b8zOoqQ6n20Z7kSWzqemv4BQLsmIp7zUixfNTdZfDvZUEbGn5SSiOAPKJzoZtjfA
I4DXZNhnvJmjeSvhNn/w49u2Q7uN6go7qzXG5Gcv9L4svWgBPtWJUx5uv4qU7WfLSjTUjBHmafB1
ABAk3EamU0P2BMqveUemyLxzmprGgWFmgeosMm8HRcolFU6a6TrDI9tHqd+l1S5zWhI/aAEeHmCc
nRkaoRzeEOLTmFefLI8nZBNjGtMHwYmbp2WxDGqT0GpkYm0BYJi2a+qvgdapV+LJsFE2t39Lx4zB
t4lTPjIYyJ4EGerP1LG28+BNBlICkLs406H9rpuV5simJfybEft8LnOIgyN5wj21rTiNwZuop9Ee
+3NOFeGZcZKbhHgmyHH6Y+dwdytx9I3a2daoIFQzMCUZ3fehpMw3qgeQI9wyRoFW1xfpF5vLGFwX
RaMAu9UrAtKgfyn6YhWx2DVQEQlTIJQDhtKwX5rInOwMuEwre3InwrhRrjsea8p6z6rcvGcMeVMb
YyLs7sFyu6eVNqMPYI3rzZA27ac7OhtFPPpyj4AhA0TRq6c+CsfcYYqHlmy35ZV2sodlXUKoLVR7
6ohLsfdcdYaakPNqeEQzxT4xYQU1kbB0+hPxw70DlX4Pi+KrXo0eyu14DyI6T0yv/GmQU25Nf69L
ViMttxtT4ABUaYW51+tutxIiZM97dA/bI0tcHN4PmcP4W6A7LXGFCkHkDvv1oZuoj0EvGD4RyJB7
6yFvABEO9bhPzcJKyEBt51r4JUsZQMKk6jzS9oQU75p1Np7y3HYOXk8fd7O13Nez0g5/UUIrDv6y
6athKgOYLKhnFcj2HQy7fq/hMyRck83dNs3FtQQDfptzV6PcZsbWBg1qjdOmG77XgpMqCfBpR6yI
GXwDJTqic3M64uq0zkuVyVvfL4xHv1Q+zQ+Bu53Sjfed1EeXFrGcRwswXDFPJ7V581fm9dXJ86Wb
lGG/xUY27lK362NDcJTr+u2iRKwLQ/B6wko4uNYeobDRseZne5yqDPYJChh296x1ar3fkN6zuKkG
fTDcokbh1cF1KvyAaURnDr911ufEvjvT56ftly+bgl4cO7MiUGhwRnnFjr/sRtm1R4zbcP02Gdon
1jOFs4C40b5MRdUnbs5oKNpGkkg9QKL9oOoppnu+2lvYGj7kVotfhB07doJh9vb2YGan1Ky7vctf
h+OVRzyyeWI/M63502S53ULO2/YcqH2yKJO03nVt6gdn66wkVeFABNkWJDtTyHvEnrurbOuqo9T1
e9Av2zMSeHuww2W87pnuXm9rr2/JRch7hOv1VLa63tvmkOFbgjLIkuKcMD7m7B65c5fPWu4MaRsH
9NoWA3jeOsud6SpiWMHUwGSYR4LoJ3OeMiKFYdF9DXnp347rrO/dVoSPAUMTGkobT9xQsuLuIA2u
WMjLsHgncjhQSxhUd4vZOlfmEg7vYZgO61mOQIOJXVNdZWxyRLL2CzG++2xTiEo0shxbkCq/M06u
hy4TKXoZ+nRxDDJkvjjtShaONCP2ZzVXFTjXKK/Q95Na0jWLajd3XGos7d6zgNAIROKOUnPya/mx
QsrIkDW5dCyq9Sx88uN02ByRMvYSjynXrCYSAYO81Gzq84ZH4ccGyOcVzQ1RsTJJZTETOBGo0Tek
Ne2DFXzUQe8eCI/l5LY4FzwVEMASbdndbqM9pdu5U5E/jFLB4gyRrRjVD7U8YEPmhrXk9v06FR7M
EY7P2bWjFpPDN6SjNgqWxesi3ajwRCR3u+rtHKFwZpphxqzkaqNweLq3POYITTnnN4GJ2h0ZQqw7
Vfd+TIw3rH7xa539szQKiJMKr8ZhIHY6AmjLEMRKsuU8/Mv0nNG/YCOdL+6PuRvd155s3MCqsC5n
jBsa1AmH9Kl1jesWu/THLEYGHKbBftM225oEuclYAQ4QEAV7OeNeGnfSKDMasWb5GHprp2KyqcFV
FlbOG0lyAl9OLVDF6avsseYc6X4n/t9o/QM9kGInI3/ANJDtzWLIzIj103/nXpct+8XxnCtiW/4e
C1Bj3GMDgI6x0k1w6y/+u8PR8RuCBGe6cREuLDXFTGOEe1UO1KnFi1+HJ5AhHTmNqvGeNzvfXmpG
FN6oq4jr/cswzOGTwqF44dESPOsItVV6BU5WaFYF3XDKS8DHVG+UqTqP69SK18Ihvr5UzGXdYOIy
ZFMekBBrXF/5uOvrxQk7kHSAta4MKOpoyn4dN2hvsZpkfo2rJ833s+PY70YehK+bbFJQkPU+J8TH
zcTPEkYT7uscMjjjJm34pzDnM40Mzmi7QjOJrsvFPUOtsHbSA30doQpWZRQ65bMN0RlkRK2TwjZV
4ud8qBxF0v1Yo8STbNZz4veyThAmIJCGAfl+S41Xq6zSh9FaxmfwgykB+Km+SfOVOcFCeb1KdLe1
FN+hYHhuiBq5yG3blaYKbjtpkZjREB5IljQbQFvKqCHGZDwvN4MzTMNxbeFdRJ5Rq/tt9QC6czCC
dQJ3gBEVZ5MEytZmEhLuSK6iHEF2sLRzXQ5QH7K+eVALBdPklzH+hzMm/NZOgWmOa2qz9uEN8od+
+YIE0vL9asZZK6laL/W6O2YkTSwauEIJK/MaJIXZ+c+qrULmnL7H5a9iY/n06CNoUXm3FNoJYT5G
bdVUcJy4jMkM9iObKrBib1WtfF2hKRIlQla4ASurPi8Al4eS6hBGURR77T0emDcooj6vJJmnXRbI
4S5P25T+AWf2xqMVDkaCvWwFQ4O4a1Fvdstw304C8sfndVqG3x5JVDAt/nbPvGu8drSdnYxhdnYX
0+I/SsD+KXXzv3eM/40XevhuL2Tv8f+BrRxJ+X/WNP9lqL+b4vM/qpr8/r80TWjkF+HSCByCOw43
TIym/7CU2384Doa40AYwgIP80p3x75Zym8423NeUCLmm6WNW+YemCUUUKwQdXTCYeJ1RSf8ZS3n4
Z5XYf/DBGjhRTZxjFF8GUKEwvv9d2wS1NK3Cn8sdeeMCUyBob/wxatdtuY9S52Wxe1EtosKfXkAn
BAer9j4wySdlIW9yIT0mMj9q4q2g2l7t1TuPeXblw7KQg3mcCEu3XX9cloI8mq2dvSaVMmRN/UPC
d7mCJkgsFhBfHaaxPQwelPCi+rDrcMKBOEKn3h5451K2ads64zEHVpZ90pWF63tg8EW5ziVQDwTX
118ZF9nIYaIdi97icpTXT32gjkUZhLttHn+ItUB77Jbl1LuldZ8P5sj8a3ucJvfAPlHeFE4TPHpl
PT+gtJSx0U/VDmyLedRDz6KCc3tMRXs3t09j2r5cMKi2I4wHC+Re1PQlg5hZq0inOFOI+p4gw6Dl
pLhAmsELX0aju8vSzgWPJW+JhUwk07Nuj1JUfY3K2APgKk/Knzn11aRbzCaFYCOK01Ku75Dp3Ni0
MXVutUbGQcecTdAlpqQisVimA6nXkhl6Nl8NMoy6NHgZ6Ydjp5qwVpUv9FwNx9pW5oM1zh7qM7gb
BZKIQyoZ6/dWceIaNPNEsvKsqaGfGCyB0+a/dmL8RquGKC5CiwuLi67ZEev10TGM6eAu9ltTMy80
8+2DFTiLUY5ZuaGuRI07P1kFChGiTcYxvx1efAMCkivAVwT+ZLwJz54wbxovYYCVML9dJ5V4ZJWb
jlGdx5TehDw1eECq2X5jB0ILEZ0Uoix1cdMKTcxZij6COzD94PQZ3o6j0VBX2X3gsFy+wDGPx0ZU
L2rwHwVnyS12y+2+LuEPtVSeXKxxEH2INF+mYdcW1pWEQhY+R7AV05b61/SCgMmzGP5mjbg30/K7
CauDXGkS7WrvbLOwAxhExe0HeZsa4OWgZsGymr9K40c7lD+GQKL6IHJ95VRgRGkhp0gPKA1Ov6R3
FlM13EK12EuxjEdf5+qHwjp8BiO87mA6lnu6Wh+Jyoq4D6rsHmZ6nnAzAtlqSDeevSX9LiqemCLV
L4T37F1RDvatzU4Q48wmhgCzhTnzZh2zZch3HT6ix8BFMc0MrjsZhkUzTsGsw1Utyquw1/1P5qTy
RpnAMrcCIKQqY5We6DQKb6rRK3hJqxfw7V7M8hVX8DVzRLQHiL7dW6MDHVeOUb34CmxS3po8nGZZ
xjRw8aDQ6tLYWY0zaX5UQ9BTZ42MtPp9/UDy6yt05ILK09ZnTKlAyMyy2Ilu6rvYrTg67/HRQSEh
tVolBsrKTcGlMqpTa3yZCweOQGblZ4pumldqDMP76s9ZemMPdFBCKaSmAzNP6xOBrzq7JIxXutUN
hMvtwTCski18IrvGgL18MUVq3smm91VS/zm3r7fZAljFmOZRjUq+SD51GAF+8+j/OfQnGMykH2EI
JFkBADPGyur3kdGRWkSvchmKFt6nk1sX68Uo5E3vlGAfw63fzx3abCQxunIqzzZcW81QE8SzB/uz
AGf7OvhdZe/hf7S7EeVlZ67A7FegVEdLSB59J9D1afQ00fOmNcKdqcf8Rz3zHRGgJu9oGOLaq1YI
THbK51+UhXtTcue713izfo424Jai0vNpc4vpq+xbxPxmSpf9OjfhCQgXy4zo5Zcz+2Y8oULfmlrM
sJoucDHYTB4ndrvO95sLlQnfnad+0KKYQUcGgIJOC6fZdzY/suvN2Ztda/LPXLYtsTk4XQ0zpkGg
C9bJ6HP9YG/ae9Q9wn26mOZ3ChBhJtGMyXB2c3307cz5rKwUa8ifLhGP9wR4jKcClnQw8jajjeFi
JUGJng9FGuKbIrm+bwCfnlwXI9CwdtWN5YrgDRxOtRPNtFA+3HCPoEkAnVyUNVO0qk4/e5xiFh63
Sn2U3E3vLCubjr00xwc8hAu5R1UdUta5GJePg2n2wrrz8urF4E/fMQGZT5674GTuZLqXbK7YEP80
yqwmxoe1ntxv061nKEqp8YGzlO+zz/0U54C/gVtAziXVgGkYZ2KsuyH2A0ejAyn7esJoeYMHee4i
NnUc9hRO4NoBHhKHGIuJe4KmcvMJnAF+FwzFhNHxrONk76kMTzDdQKRHrbxuJXYu4eDRoEKA5zLI
sWNKvxTXdX0JvaLe7mvGdpFZATgGC9Ps9Ux/xdgJc7dI03wDmll/raIoufcF69meLesK+Dl/PhZO
GVGy1qGaud0pN+eMJQDGwLE33G7PUbi6F9kMP3pTy63bLy9oPxOIK5fmMD+FaeE59QMHIz+ZymU5
aN+Z0GFZ9ComG9dyxgyeSsDbOSfsI11JGE3qQByD3Lf2mWztjxVqXwyxGkwYyvTeFtBMg2z9TRMQ
YO10845C1+rFpQkDhsi41/ayM9vpPRXs3B2tC0ld7VPV6NO8BMfWN55ZynbS6bqdbbhcCJYcuYR9
lqq1PJ74+TnTaOFGNRNQMG0c1iV8hexCWugZ4THICfZ4Og+58t4yBSe49VR6wz+VooD5bbzAhxyu
UNQwE5zorOpbjZt8bKy0/IF2DpcPX8lb6vl8PKK5qxE0D1Np2jdyXQxSXk7xGmgVPq6QJaDKMCRo
vSWMIb0zzgQ4cObg8OhgwJMLh6zCtQ8ecyLTF9zASv+udvI9emtMgMZI5AILuc29feWJR68eUtK7
zmMunPfVENObS3anFtq8dsl7HMnXHbv5aKdWErjj3oGkcKoCiFncxGOuYNUebTYK8AifIIH9Fn2d
5FhG4r4BGGDMmY1alIJOJjHrOeXRYXoO6Jr5Y+vA7vB6t9gFdf9Mhqs7+kwAI1emO0mBE9guaL1r
/x3wnk5L/6jrp9lfjoHjvYcF/HXbvoXIBM3cg4iMmbtGX5nDX7pdH4eBPnUc5nhTWOmTi3TXD7SS
Bt3tzElrLuDvLoa6H9k+ZakqhCP6ZSp9mHqwUbZNOni2fEoxAv+qqOq9NADBWWP4gtkP95a//jZG
7GPKq3DMKEcn1mX46QgUUhd3KOj+Q6C8XcPR+Yz9L4Ep/rvPLL64PHUKFzpRgq6/dWxr37n6t/bW
l9lwtwQc7caBCAdslh0u+JNrz61T2LJdFzdqnI90Gg2YcSwqIAoyZaM7izeDCfHByRBDwakctsY7
tKubbOFqR04mt6MwNvcxKPyrbpwXOILpQ2sh40WTbRiHaXFRARzIr9TK3DH9bs4svcw1OliRxepc
9dylKURhAec1EP6SWGtgtjuzr543Qc/LlLbr02oR/6TTghNbnl1XPjB5NNhDaBS/6QTBd2Qp70Qy
CINuxYAY7qgDAMtc2Cq87TULdRDj/ZlvOhxlbAhcPmwvuApFGRynMPOvXFUDp5aBaF+ZwhKs0fVy
coeAiJijNohOs31qGXYdhqERzEbM9MVIAe6rKvSZgANqLZn8ntFrqa6xNP6oQgm0Y1uQNmmdA7d2
WHxtfucbLViaarLuTeCQNzZFlt8YGfvHtHHzN4ftbG9NxnaFBX8jv+QFNbQrAwdto9dnINg9lT0K
DHYXgvHEf7zFneerWNupw+mZ2aezgCehLcaJnYET6GhCF8TejR1kATF7QQrDOuy3+37rSV/gLzNv
WxwbO7/ryjMOeRNZPk3jrv9X9s5kx24kbbIv1EyQzsHJ7Z3HmKVQaEOEpBDn2Z3T0/dhVDVKGaVW
4t//iwQSSCl5Ly8Hd/vMjpUQfAdTPMOLzi4i99K7koXVxiqVuqmhqW0VBZyr2iUsJyumAMLOjS88
AvyvOsvcM9CbaB1IR599xekZhK3X05S9kn9AqSkWOphsjEPUoL+46gfDQOJeoV7r2vpMjck+jZOt
FPtpTp4riuX8+WdITpSs8U9hJgOD1gZKnwCTpItLi99dpNE1FDx6M4CpaRXumYeuMsN/UkX/xhK7
O1ZWbK2kM7xghE92bapu4+xusuaD5bF+6qtpXzRL/NeeMK62Ydrv2wGRJvRn/8j7dWFykQbrB2zJ
ni5Y88/9WqiGVWKv7G0UzPnWa6Ph4BI/+4KRh/BKMUfbHscCup171ybMCaWDKIaoyAo8rownBjMp
7nufIb6Jf2OrGRtvMq+vKpbeWc22pZBblBb/jhdYgT9WM4iVEpTcoCRPLQSDQ9lO1IOOo9ghRmZv
ata8i1s76GFCmu3rbI/YDpi+Dc9p74WvYW0hZJZ25ZxmlxoxdiU1RGFkNHI8cXRjM7VdYdvlc1oA
XKEfVfE9DVbBtpxjkJqI2wnImFyssCXYhzwXGroRthNfmd4MXzwGtet0QQEWeao/Y5ZNX3HBljOn
GOZ3OsbepmF7vE1guyzIddtfpXa70O4tu8Bm52NEYE8HQ7CHrsFI/tKmSXJw6nDA1V2l6q0cem+d
gi07NCP6K03m3a4udHKsfUu9WbMRnYe6CO9sKj3gLmh9weEZt6feLfK9twQIqbyxD9kSKmwG7wsk
uT3kynFFJSqgORc7xZLZ8rdNgGSGQF/hXK1m7H5LcNF+DzEOFgmzbEk2zu8hR+yn9k28JB9Jek88
iLP+uePBsGPOW7MG6cNd+B6bpJ+nxweK49JQrBXzOvEvFcsrduXDsk6L82dKSvrlhrReDH8JZ1ZL
TtOABN2tsXMs8c0lyUm/SX2alnRn7BfmDxkS3lqZCgKfWHKgxYxFh8h8ZNz0S06U8LwzbQmWhqdi
zK/eJOs34GtvTk3CdG6ZK2XvqdMlf5osSVSqddMthQfEU+ccmGayZFapKDGeMKCnP5Ml0WrKaN6X
oe++EJ3h2W+o/L7MtTgLs0u2esnFYmIiIqvf47LxkpyV7yHacMnTBu/R2mBJ2RbvgVufqMu99x7D
DQjkog4xmywGH01pyetmS3KXEnX3QP0m2ef3YG/1HvLlRKmvsajfMlOLu2YJBDtO0FAHRkgYnT99
Sd+TwyW5Uy4E4sSe706bYJpeRTS/9G54FyUgJdFmzopWqAm+1ep/3ZoIOJQu4hr/k7L5af72liXd
xyKk97/1b5iQ/dcC7PHQKT3Tdd7pF//SN133LxJ1Ls4Li8fJsvj/j77pLhWNwDIsz5coBb/qm/Iv
WAVuQHX1IptSj/o/0TcX5+9/1E2akOB1wOXAO8q96yC1/l3dVF3s+bGdx4ciZLucGuCERqMZ9hFB
+23ZCfE0RLa+++UU/YYP8feU/3JQnp8O4Xeaimkrtj9wOmzVBzLFBHngZQPXsekDeOIzuZRpVVkZ
r/s8sPIrrHcM0kYed8TQ4xzK/J8/BY7YD18dxACMTxRnh99LfvwUYGSaKmdKysz6mFT0iQl4OdEs
hrXyiq+FmJ+4Ub//+aCWt6CoPhxXYuEVnkShtly85H8/5eSKjYnlabU3XDV80ixUJ3+y8Wi6TjPz
O9jjPY/QkPws4OEfSVV3SIrw+tcEkCY8Aek4fW/VODhf+7YWzxGE+wERd7a9T2O8hKHR03WNZQKx
5ACDSOSPbsaa/EK2KWeVPpcbuy7KG+bemlpLO0B7NLR3h438pukyOjyw2IzYIEhaDFTeZ2ptUPCA
fd9Ea6onlr9WDkKY365Jj+XS1ogHH4r9ItE49aasUodxkakihqi5yD5Rrl6+ZeQ/6UIwnHXUeceZ
J9QRRlP0RhUoqwQs+wdY4NgU6ghr8Jzd1YG+IwLxTK7T2chcQWVmJVjjOlRw+sfmOJEvuGW2ba88
ZpQ/c9K6KwAVjz7y4WPkEAoOa6FIuNEDgvExxFaTCgLwZbZHrct33Tjf0gQ6uJvY0C9W035rwhAz
nu1uh8IT+6C26QZcGEdiotbLV8bPfMgUBmQf6C1+Gkx8nbes+YHEflOTf4qKJMDUylf0Zqt8q31i
pz7bj42jxt58wEHyXMi0JT9rn0e3hsA3GBi2IYgS5gGR6SUHnSNhXrUuq1tHRnhzir7ZW40xvc1N
rboj2zK0jlj3lFBOASyvOz0a2FXNTImlE8n9WeVuRSApbzL0StJbt4OtSEsyVsRSWiEdfCE1ArE2
9nUqT4HUg7yN6VcK1op2HZonqpLNbDtaODAV793mQSTz0D4yGjHHQ5710TcdEKK7No0EwueWgTh5
mTNh8wjKXm0VN9oSSZoKapAQOfTBLYW8GmMFXN5N9KjPkQ7UUxhU+iEG34w0bvA+B9mvYyQ1Rinb
WJhBuxpFwlI09lNR7heQusumo5QPIos9WAmVCsrj2ANS5OXeWN9JOOhP+Vxiy4kK0MvYoFsf2MDQ
u+bawgk1EBdPG6u8ho3l3ToDKAyH+UQCNxAUKgEPh/Vr/003eQF419ZFvqV6FBNO2Wh3F4oMkkA6
sIDaYkGtCSM5tbsRVAl8lTxfqarCYm1sQ6NOLTpZ4ulBe6Eyjjn9C/VTTyNDfq7HyWNIn4NUwKQC
AYgNcCTY07XU3q37zpjw+fmxh5ik0go/CaPL6iT4xk9DgPC1glbeijWhK9/c5IyeBLjhxFock0HW
PNLaEk07u27tXUV0FKyFyonv5UW+dEtEUWEeTWUTKbPyyLiVVQT1ssGhQw1sYfvh1jdTwcYcP3G2
bqEfTS+seL3ugo8j+ISR284fxxnaPRQMUk9NGQ6fVeXZj4Frjs1NWi5GeNtrMk409nyxGco2yV64
q1W6jYiSRc89Tt92l0xGzCQZA3VwKCh7vKYlBZ7rKBUoV32cdt4jXPE++aFsj79qFtMoT7wi7ZZi
bKELdDSnO/ZCjqS+ZDkUG42jOt94hG76p5Cd6vdkYE53puiNFtCiwe+/wjhBcLOhF2pgNxnMu5R2
p7PdlfGDy46YDj/Pr4eNYwRTvANNUn6fc9D8m9IM7ZYzmYDBVe2kP00pm+dtkQr9GKgGNmZFZrwk
6iAybwE2p+WZO9cOLwO2wmzrpuP84OAfyNcNDQRwwttFywza3sWuxawcTxiNCsW6Dwz9RvbAbTco
5dZt2LhuvzecHG1j4jH0nRSlzvZM9QPcsun0Kks4mk813lVqASQsBRT1bA8HoLlvcgXOU3n2ILdD
6ARfWJlQyxCGAcnZ0VQMOCbdhWey0Uhq2VCU88aCY8+sEtvEd2nnwT1Wu65bZl3xuIY3ZFLMIcfX
nHYCEHtdHm8R2PH8gd8XKyl948m1ZnFnEHamHcKJmV2ShQM6T/WwiTuYOQYBKfIcFYmwg0nsnFlk
KmLv5NKwi/oQpSPVhi0PCoyo2TDjNAwr6p7qKE4OkLXrYS28LrnFL1Pme6ORFcIrAmu27jw7RVFV
eL5vMrJWauVS8HGXuTlYcVUVDU7O2s6PAB8D3hamR3hJjFxIKKQd7W8GJU/VXi+h47VyRxxqvI7D
2zg120vbV210pyZ44Si3TrKnM2X4ysM0uiVCxoQzaeb44BKDdOjc6r7Arzg2I5ECdja81MDtqfIL
vnyS2S6Xy9nrmdut3T6pnuiEraeVCI30GAzavUni0rhNetG3OO+shusCDzk8Xm35DwrHUEQrHIEB
27wIYbUgY9u6f6blgIipIJcV7whu6k9ZGRl39WhqmzGy8u70gBbMFU9aYT84RVziT+9MZ28MUyo2
wqCiARyPRoxL3Enf8JJlNZRlUuiLGStKL5tmMjDeRGYZ7NkMt5A+6nAJ50/5DxcIBP7IfC5o9eWJ
Y6xLB+TssQW42Z5Nv+zi04iOwn9UPW7FTGwyMzf8m8aaxoeABGV7xnaYxTtYD0tuOXNy2tMcVaHD
OU28xuPRttcqr+Z53ZZE688BS8Pu2I0iZLEA1vCHHk2i3akxjQfdDos0YDXuldc4vAEoEfK1zqiH
3WAA6gwucms2Qbsn4Zv2e7OAN1ON/qZrCH3svFabDbzWIGIkG1gDzWWMGC+0teTRoe99g2kAgx4c
/LEFah+kNo17TptTmuINb2XfMB7udP9dSfc2ri3jXGm/3eJS878GnWCWbD0r0vuBa6iTWUs6yYTG
vBq0apdBwF2zwz8NYREfLNWREqF1kg4sOnTMdWd7vCdNTDU9xIM6vczkKV99buHVENj6p4iD8JQN
cXmsh4Wi6M8KDm6dbqpmwFhjKOuG8hb15smiheLVhJ/w9mQv1K4wmealaJ/rJhRyLemUuzhxbv1Q
cdGcDNsbT8hxvL4Xkq0I0uSrrF3zU+rWD0PrCwkYE+x4EbJwGKz+YQ66G1ap5a6p80to218rp023
ebHccUbdHnsqIzdaBwKOODaElIjnuklUtM/FdGoY8oPBjCShFZM9QK+mQ2yq5CwVDUaGZxRriay5
TXwjv8n94pa1UbVRXdouefcH+ihZFtC2t/eYMfoiuDYwIxgaISNb5T6L8RJM0Ao2eMkPJDAOveOe
8d1lG+0MX3zbCW8qnALMCaFJO9h0V3QfA8Uf2+BaDJPeWb3sDzwefuqgyvaubL92UbAhrxIeTBl8
NpsiWHkTuoIFezkLO+DlY3ziz4SnqWvr75EgKBM1JvSpUjAkj89Mmg9t3O1QlO5ZNVd4CMz7sO1Z
ShnuISo6E7OBw2srttLTPFG8gYAqsNpmCTmsYqv4EOtAoyGGlaY6rEjvsN6yZsIvd+UXDNcNnomH
eLaZskNdiJFaQCWrVGQbJ2lvxhi/NjZ4xgvVHGxT1zqAYCjv8e5yg5tRXJ+dODK/F1TGHmZatn4S
EEhf6yXXlrvqlfRGcG/XlnWmKwVwKpV1J2DS91lqVJAu/PgZteammod4PRJFfu3tKvpE5Pwx8ibz
wVHDeqyCeK+dYBNZy4PYqq6xMla8jlZg8zY2kNm0cpckQPQGcnTjtWLfNBjDNrqeKWNLhxvB1YOr
3rwxcTSERcPlYd34IZjuypavlT/ctk5w7OvxiCxT72m7zK6B+cOH9dRZroezIT7Uln6qW8gkdSAD
/DkGVYVgIz2vZ/7lW88sZCB85ejyWxJd3hfVys/p4FvbMTdXbh3WewL843ZJofMWAimkucondbYr
L17HIreZjxT2Ayma6ix8536a5QPRJL0vZuHdeKjX36B2sGBCucKG3Zy5RPWT14ITMe1LXYblJV5S
WkMKbx+OVJChpmUmWI+IdOSxoynl6MbN0hsBXNbodwAMpk07DzsqkAtexxn5/HUOPNwJKAx0nAeD
ziwchuWhY0p6Nu1Gfp9oyfviD33EwLLFVF0H+ZeplOImlpBRtsMknZs41uE6qVsy/4Vn3eeGpGoz
HK21Dm2aS1MyKz7Zhr0xT/aP0E6Sz9Bf3Z0ZIQTqsg83RgB3MZyHz3lfzNs6qOsTLspTRXvbijWT
vq9bLU9QnZ7MwPAPZELly2jhEPKQ+OiyreQWm6aiyn06OeCEVwhf/HlvoF0Ar8DOddRdS3TvZzXF
xStev8epGZwnbfOuG3zkhJBHP/q099RKKyIWOcAhg2q+moXMN6GpRjwYSbUBXvE5FQu1AQviVKSM
G6oSUh+3I0LBNCmI+YLp/szT+2z7Bduxmh5KOwmSa6HbZGdoez/ww6zNgQamKraBknqaaMHUAAbD
NWPFdJ6TLbRuLQfjpgecnfiTEe4BgjB61k7SrYnx6ZU1zeXJwnZpcV8Y/avEVoxvl44oeO8Lj2wJ
EJCYOjtT2uxAlJ3ZgjJLm0bjKeRuhp2nS/eblON9QEfNq0NbDD7qUkewyYa49ps1YLe43+hGHy3P
PDFMoLuxzdVxDEyTXETjPkOZsa6wfdN1BaUOW1utcatIH3gxlpUdADy9b3wPIKEbqacyzS9Dadmg
L/Jy3VqZsyEJEJ9mDA8POPbLk1d4Gw89/LmtETJWPVrCrW333qEwgTtNLvuDwgjLcxwnz6oZ1c9O
s3YQgE+28RzOCY+44WJXNqp5k3RXcsLfNWUc6PDmUSoGB6aN0zPdwVsNsBf3bbANg7k+IfSKU15y
sXbMOmecMotrV5LFomexpwb4EfPC2OEJr317vHOwLdrd0QjDmD7QEQnde6BFNwrAWY2MDKY9mzUa
2TZW1MIBM1tg7iRicAhBl0kalzy/ogKVSNTAVLpAjF6U7hwbs2Bg4w+o9N/8INSoyBMxQCfaAHmI
PXDGsJr9nYkx0uRN3sE5IxuhIrOavluDBQfP6ZpPaigpE09E4gImSGf+lH8dTDRiipncvtX3QW2x
EM2ZIcQTmyaaHuWXaExF0b5mmmql8jDWsvPUEYsF8A5GrVgci13tuY5NsHF2rZ5mXg8qA7XN2p7w
w4umixJgMB5tuLgjirnHToY7So22sYvZX/jXVAyNt6usvPoadXD+wsYROzs2aQ7289anjDi1Nti7
XOapEdE80ISQm7/zxlXrIE/bx7ZBS19VgW1RSGxMO+mMA7lVUj8wOX9WNcVoRc457WTzySrJAPhY
+Qevum21cUob09imRjivncZhN0t54QbSHRY0ngGrkN/wZfRpiWxGLs0mYdZjuo0+tDa551VK/q9f
axtjB9zOLwV5khO3Yrsjh4gt3C4MkN0dG0idE64YyIsVkedTOWIC1xtco9kEyju3s4NfY2aideTm
Lehk4D2iPHWf6M7m62Bsf/bnFGpYSF+UvWS8vG1I+RseQKp8boNyyl6wWTERDj2aKxxJNL5tGBw1
q5GI18YUFtdr1MVpvoGtCDQUbQl5YoK4UmxmVxq0GNuShYRFqcJxiHnJMvOOaLuFpfMcJzj1NpGb
xSfBT7tJCfrglErgQcoBl84y8kxiMONNN9CHO083Y+dkR6Xbt4ae1XQix+e2/c4pMJ6YsC3jcWqO
tFCD5aAwgaKjaiZbgwus6trotqTL8JMRm8QCc2dX5nN8k1lsObAVVT8t2qCXQjbRMersrQuIt4ck
se29YUEV6ngM7YY8vg4+JkC61DatZZanPM7zPZwzptkV1Y2Qw+AzrYxqkA/sc/F4NIa9jsxuemzs
0Xsl5sh+18vtY9dTNuEMkbUnTaPpUhbPtR3UhG8Y1SLMfvKK+Tq5HcM+PQuI+Wlzbw80Arl6tgnS
9D9VSbulUlF1VNJptoTuuqPj0ItTkieqhsiHwFTQssSY6ZhkAAlqr54UXY8VG20JX+eqOx3qDQ73
6S4cpKKMgqviGb0m3NqW2RwM0gzr2DHlxkglgCNHhk8sFNOj5yVc9MKo7hrqoTzHXEhVWXFfBUIe
rTgcTzl2fGMHxAAek1fUG/KRdMhQfUbzMsxCqp4V17PRRxGaZyyvXkybEgvtOTyJ2vH3uQOwf+sE
ntwPsKguUdYZ2yJK3UdMN7OmDCrl+5GMxbFbDYxr2/7FdGX9ec74K24KoXMlLcS8rTtk14pGt7tC
sxhug755hBpBV80E6iFI4mwJQRKl4XlgEUSo072zzFZTnG27QjRbEne7NlDqmzbhrg3It4dUV+wM
jGLeuGNIkRb7wx8p+4tzygR2gwUk3iuivjeORaqEVF2+M4KZh3826We269Bg8A1HLinbCaGXSGFZ
drSDZ4zIvyQjM1qBvExcr+5uJvbXl4DP/4SwMW5dtvdflYdMuXaj8bNbZoQRMq3YINEUsiNkxrsw
pmLYUBjxCCUciRi1p9Atx3AdeJHxecKFxdkl79DllNvJeXb2HWiHkxUyJ1WOoz9RV0eTU5ZYP8Tc
/iSFWmAacEt3Q4ihf6wj92GiNXSt5gwO84TfI4QUdRyUwaPfYylBgzAa30QrFYNceoKI8mNxgz3Q
eKt2crAXogmwiuMN7NN/vG+qXlwKZvKHcCSIKEpFP/hcVsc2X3qzpKtvx8jGF+nn1h7VLvg8RUly
I1v3TY+ELO2EslcJjf3Ww5vxve5Vv6P2pb3p8xGLL71hW1nW44rWtegA/GO6H0L1ZUzbvciNjQ5Y
05HUOBFewzSg+2ETlu2Ra6t8cLu8PGrt4qSje4KFYTtMtBNnSciuBysisAfVPCiD6vC2keV2TJr4
0GUFTu5ZvRSE/I9B4ccXBFOf7GZsg+3K6jsT/OJ6bgLSwvFSCGQUSzO0HLI1E1P20dDcIBnq1v7m
YVPcF4QKyT5XNvSFKKi6H+hQ83fsH96plb21onZ8Yt0j6nUXd3obep5xm1ZGfzRASt6YaFe4BqHC
PaEBgMlk9rDG50W0udUXbHbFGdERH1HhHBJV+og/wxV7ZrD2h/ggYwNzedONd2lIpK4k+vgMNQmO
clv5eUx5qAVRdQS2fz+FTcmCNOdxWk19sh8bUv48R5tRPA54cNchHcY6aiQOCs7OIMYbMqz6kOlm
3wLRemAXfD+awxKvcecGTCoUuStRM7K0osQEmXlW7K4pM+uynSeDFOuraX5FPuj6rxP7RJqBux77
GcwncMFQjtZGAOl0Yq1unU3k4ZNHb0d0dGVkiS8ZGaBZuksCoY5+sLCYXrUb8M4iIQlYzQWZH4Ik
zvX4jO2SbTixOImrn0GkF63KtL5UtkvHhkvyd5m136eTXaFHjnlu3sYVy+CdxJ7YuJZkgyOI8XUG
ZCZSgt/g2ZU7WoLkG8bYjndxNW5QNMubxozEU6gD5yR1yN4ptcmWD43h3ocdPj2ATNaqQWZbjX1f
sYRjLbDOi749Zj43JsFSgBh2Oj2yP665bGbrvnJHUEuSms51UoX2vujtnA/pqPTBMUYfJmMyBFet
UnUgHz9YhGWX6iELiTQ3nepupPzr2eL9thI1dyMuSfCKiY7tbdH10VZhbV2XlL8/Ib7oXc4aDs+Y
HZ6TiQ1YV8TVc2jyeGfEFJymXIiHqTSxsSEX3SPuuCeRkjqf3NxTXMaePsjEDvbkA5z7nrfaU8X3
hqnQptnhvaI7qGXN7jcdH+g8+tp5Zfbi+fAy10PX+/nK8pfTUmDV+TrjukUoTrDdrPhEbFaUO31V
fTs/W7R4rKy+tjoWjW3xfSLPvJt73+f6YHPqkzBEeuvsAztsorFRBf9S25Fxseq8OaWW01+y1A6f
Qxiza/ZN5ga7mWTjlGb9k9Ky2tMbm65D9MsD12KwjgoAatikshBtGI/j1G0Lz56iV4glV9rP16Q4
23FbJk3APiPzEJho9zMCvnplO7VC7Kz0vE8MnQ3PpjJhqBZIgeG6ZaP8U5OQzijhHVOEN7JI6jxi
WOp3oDZwFzWzMKxzERo9pqHGPE9BGzCJYMLmlWcuRBi+VHDVgLa7+ZCDV0EGcp1d1NoyBSMk85sJ
/vJXuyZ6Sr7c5ck0wvS4xdf2jWEc1nuPZOwuGFtxg1LL8t+ULA55rLX2S9Pk8ecBqmPrMIgBS2gs
ZXe5KfsTmfc9pkPD3Kp6VG8+nGTzIUNu3CBezk9tRixoSBdhXXjBZnDMfVA1j71JE1rumdtuim/S
ftlPBQ+1ZpBJ/HUTz+VT0sqvAX6swK6v2E2xGoeULMBRpOdidM48G9e5mWdLwfnKpV+GyCLyL5Pf
vY8YiqyHP49RxAJ/uEwp82jcwOx5Nd0vrL1y4W7AOt23opl2qTlVO28e6DSqlkr3ZbRTwcVLyzvX
KBlgwLiZVHwT1dVOj1AKRj3ah16Lh3FkGNa0Xszuel7HHeRQr8Oui2yFL41XBc5fON/MI1EqDj6C
f0RFotHXVHAHOf+df4IajZvh8lG0OEQNa5/Q+caljmOvSMJha2exfJTsArfgHm5NA/iKH9B3wz2y
6bN+4ww1/fX6pg/lzMum+xmU5d3MToKaoTi9N5gdt70GNp1e894FsZk0yObxuqnH7NBOpryLBv9s
5ZoCYFG/WGb+zfb9W3cSyJPeDdXw9AxG8ieVrDXWVN95yJIiugemcK2L8XsetQOuymhVDQu62pZ7
KG/wDemZ2AAJj085r6btjEYG1oQdr7K85JwA/Fqzc49Yu8dyw5A4vkZB3IxsqWDwlUO9oV4z3xV6
BJKnL0jVCRaKyP4+u+jumXHNcD4VNupL27KCDZlQr3ARcyJJ2axFhUWxKLpnzg+Jr/hstfazHcR1
TLqO2klKg6Y9Kz4KUmtGT+k4Jld/aIdnboQA/GoJM7XruUJnMgRwir0B1ATkzfUYW/Q6NbmPXSqb
7Fv2rxbVoc6E0ohGSzVsTSCbrHpmmTcOCxsEX6B9dVGl+CvKkgtBh69GTeBk0SdWDL2/EtS2fy7P
r7U2i+x7yPilPWU1ZdN8ddZhdzG9COoavpdS0/NAQXXr0PbA+0RQXC3fS6ynpc8a3n4wsbjTHj3X
8r30ugOFGl0YENGWGLm9+VPzPF39HwWGOMHplxzimoXUiwDKtwvdRtVf/uxNEUu/xd/MQH7goii6
6J4Bd9+7c+WXXpE0awJgWnF0sAmD3edOrh4Gq2HzZLKdGDejX5qS+sSeM95OiL1bti5zRzFiEL6U
uhK3uBccA9Rhnsv9SDHM8FAyJsfaN6BjrFSUmPm2tfsxJT4/kL9xg5IcTBiPzcX2Sv4nk4OupO0e
vwg5toVSrFzxv1615N9eNdxb//8Q7orWu/z1x1sX/5rDFfydfxnVAvEXJUyeZwpJX5BpW9jR/g0X
9P8yhe87eNiY5gpvqbb7dxBXkN7lrU9ogpy1LbwFLfn/4ILmX64EPOljccPM5ov/iU/t75empEkH
giVHxjVGBNdbPtuvlTdFJOjmNug5Qzdx8O5MKS2rtsRpwzA4sjNn98up+Y1F7e8mLelI0ySq4riE
fn1oRsGH45W2lXXAu6MD5Jtx7VCg8QTboThOM6ylyY8ZwuZUMP/5oIvz6z/3378OSgjasog1s9qy
PpjxROcPbJcdyCuNa1y6PFt2qZ7NkyfP/uH7/d2C934oQs02BjjHtPnRF3PcL7d62dNuUXuC9mdd
pJdgdowN3HGHRtSMvbnl0iirZLd//zdGx8OnP39Ta2kP+uWr+qYnfNfExyi5PkzH/XB+jVaB11C6
O1CmYpLTs7SgSG8iurDF0UuipmrSh7TNmBfH4bbwBSp3puV0GassU//QOiQ+/NpsF7A/v1/ftIeh
t3/4NPhhq3bB8x96AdmI5gV2fKteiu7UCItFJh7u9NLXQfUl0fUP+hXVHmlsZjc/OcRhQz9+oBHJ
/EqiFt4fI0N26swRnM8Rg/tjSwkxxsJaoi2OysI/B7fHIPwQJJeibIxjEfvYQ0SUC1JVVXiVFoLD
n0/4h9+b821RWelSCuNb1n+n2F06Sqhz99tDpjSzWsZRO1XNxp0AfMxLsmpZjqjYuYHk2nwrbb/b
//n41odre/nBbdyODpeehPL+Xor0ywWX4cPiXWcBZAMidqAaRnzSnQHMh27gDcRPuNBhGztnsIl0
5DaME4rSBSs0CkK1PQPxR+Yn495HqvvCdZJH/+AG/fCAef98Qpig1IRrg/b94AbFXqYSxaV4wPIF
sp367E3njt7Bz/txq5Z4859PyLvJ9dc7YLnmoPVbHHS5Dz/egbVSFoNgGq/RNHzwK2XT2RvFuvxT
3jJIqWQ9fq6CJl2aaK3gxsxpmMabFl1aTZ0bdnF1BNPYfest17ibQTM/5q42v440cLOMSvPHNLPq
F59qjqPsdPrDtnJIMrMSr3o22O6P5DvNdSN6+7NDLpwMSDl316HoeyCWQf7456/7dzKsfL/DAumS
0fdQMeVSAfjr88bosaH4RpwfIGBCA9cOtp3JNdZ/PsrHH5FzamEtQf+2vQD2wgcOrU+dnh55Dh3Y
CEVfDOSLOsQ1yf7TffMzdtJ/PtzHa/r9cFiYl/uKSLf4UJEmRzg6c8vh7KKKrrSVnfhgFHjaY/8P
V+dvHlC8GJY3LJeMJ8XySX65e4pRlJHddfmB+Wx0zYlMfUo9M3+cjaZjm5zkj4UVJw9//nofnxnL
11ua3xzuCu4I8eFs0tYYmLkqqQ0nufiNYbtPloo1IvlXt7LslcSI+XkKxvoFWyxPtdY1/ukH/d0Z
Bu/BugSENfLX8oP/8r2NYYl3mUtaqJIGMQ2z4rrRJa0NgnDf9c/f9zdXD78kPYB4Wakdsj4crLdT
OjKyqD3UhswfnWTgxk8Gua9YbcC/Uur7n4/3Ecu93BQ2yywa/CCWcII/3BQViC7Uh6I6mE2DwckB
XKC2MdbWboUFqi/Ws5HNd5ZE346NNIw2YeUnF1AVBPr6OPHTY0WW/4oPsPumcS99K0SNpxM5094N
iWdcQkfVL3/+0L/9RTzPcwJelSaaxt9/EeAmmScIgx6AhbjIK6xMQpmX8Cid5unPh/rdRU8+bFk6
0syLWfnvhyr9pOmoka1ZDrXh1RKdxfBkHE6GaPyTg6flHC8j4z8f9DffD1b2UtBHmY0n3eVD/XLF
zcNiKyjJ8I3sZXbSLsPrNNB7XLqhcfnzoX5zf9kEdVyPg9kslT/+/PHUMFyDhRcqrFu7wkvTS2HP
/rZ3mu5eK2s6CptZ09rVlXthBBb9wwX/u+/K0YOFDs/C4GP4Q5uzHAzm+YAf8bEW1GJdoOrBPU6q
4B9KU5fv8uFtR9SCzliAXVL+19KWBbq3PCyLg8M76zSWtMczZWOx5Juz/TmiEyvd+CTvGan840/6
m/OMO9gSyNMuS13nw3XU+Fk+u4NXH5LG7HEAhclD3FBOA5iHEtR0XhINCco4XOo25t7LI17+f/6p
f3cpS9Y/0vVp0/yvn3ru/BADoVsfnP/L2Xnt2I1kWftVfvQ9G/QGmJ6L4016K+UNoVQq6RlBRtA+
/XysHnRJOSXp7wYahS6jPHloInbsvda3UpMEIazIjG5icysydVslhuWtSsYivykx/uL2smJ6NhUG
p/lg8RB9/yiHTuCYGDrkARpydEUzkhI7sOGO44aM892vv+FyET/cYFJPbbTuYegHnNJ+/DD6uijt
hhCIAcXzVVa1j736bdH0Fx9iLwczK6ClapMy/OOHYDVpvblKWRGSEZ6PtTRe4IZhBvz1l/mLK2eb
7DsYtxhLRh+vXKnm3pAGIb6j37hP+L9QQktpjhB5nVr+5tn4i1fDZi/lTEWbhwr5w5eCx1H0yD7a
A0cme1+BgLQ3kckRY8YifU6NxriJO9Fn9Ph9EFv/agDc/PP2fB/U+1fX04WQ5S1fNmAF+PF6Gjk7
lB6xCZX0vzdt774aObverz/kL559Z+HTeYEF3u3/7OGRYTbBaAbVgZEKj+FM0TAnozolGt6rKhoS
SNH3/a54+YvNnHedCF6+GVvVx3p+dlN8LmVcHQwQIE9Yfo2bEILDQwia9pD7hIv/+lsufZOPLwBo
9dCJ6KraaFM+vABMlq2qnH1xyB2HlLBx6mMMdZmRvvMyBI8sDBEpTlE0PM4yjG+ieiD6HVsLwv3E
y5t36Vrl/ZDbnALaegr2htQODeAhffXcjNofG8XgrCkL4AaEDRhIJ23I7Wxs9UDhIp9//XX+4g1w
TYohb9l7Tevj3uT4ptJuTXakLREMrGTpO5uAQO1nwBr99b/9WcvCyMZgc69oBvz4FAZ2KOFUFBS3
vpFstAXxdW4NLLRLL+Lf/yiSM1ifwKNQuS838bvdfTIbXU/YTA5/dDwUA6S1GaN8chF4/aaQ+CNU
5ccV0eVox6mXFd/HZPlhe6+yxBjMMeblGhNaHIsbg+OrL/cWI/YX5u2L56j1xHytcUDAgZ1C/404
pfJeGXjUIRa79g3o5vlCB7J6dGea1ltuCQAlYYjXX18Ye9kMPvy2rEFU2qYNNw9z4I9XpnEn5aFr
bw4VyJ+zHBxSSkhHvJBqhDc9ZBm+LzNtHzRqNkgEVmysRWvPt0mQNmSKusk6tUx92wo0jxV2rTux
DCkI1lUnP+vD2yGsgQZnAzCa2K/OA+LF3yza1rJQ/vgVOGCyw1PQcLT+P+WMJWeDghWPPQAvcnU7
gQsMiTkjp9Kk08Lyc2XUKS0lnQ6gkK3Xqczn46+vI1nRP7a26CJRz9kYajyO9x63/sOiGtZiklli
iUOgoWzARG2S9BpqR2tB1ZIQyIzuGmRmupr18BTkRQBBtc3MjTem2btdiKexxai2ph2n73H3ZbwM
uSbGTwC/mdp8TRqbf3Z1ed3X4GPnDEM/7Bxj8F4HBN5x2p/ppm1a1d81afKlntJHxtw8Xs54TKoI
femitTUKUh5jlN8OvNSatCssjiZAVaj1h75JtwSnXEtUMImf75WcHk00Ln30Yo94IkuocUV+Ow39
mSix+SjIpQZE9bklObOP5uuJJka+8Wv/GOYEcuBap7c1Hee2eQrhlcvBX0svvFB2tk6i9qjJ/kOb
t9W62eVJecSR9q2LUVNWaJUVDlMv3XpB/9nRzPvQMnmLVgHnBTL4tc6NrQHfYFUWxmEeyLHzqoM5
qGTrguZRUY9YLtcOSkPvpSM7FiZX9EAowaZAwZJAOeC4NJcjzshUXWXaSg71bFygP71z24jENLDz
iFmZIZKl7cWvTtDcTpj06Hd/oqWxkba5C7wLgsneMuZZc5E8NFN/TF37Sgbzzmquk8Q+92H7eZxo
sPiETMclAWhDsYffvJ2AY1tGuI2TGCzWdMb8VKCUJS5DeydZy33W3A3yrEzvU++/ubPbE17iXROc
umunN1cY0PVoTa99iQdTmt/C7n22nVOHL5MFdQNPZl8y1kIfeQzwBfu1OmcR6aKTEz6h2q9WES1e
xmiXQFYDDpfFCdvRXUlQc1BmzbYXyYONlJOnmEwHzJImseBmE9crEwFtUvRc16m/Ljv/MeFxLgF+
d62CN09iR1wcq3mGVmR9JXBt5xkEEVhjjH5oAXv7j7JQbzYaQ1y5zbo0EncfoK52fOwTlfpsmPYq
GheBzwQBrBJXzO44/cbG3pVXqj0PYPKYBqwjuWDJjCNtn3XqeBezQvZbs83W/hnz06UzInQW2Lqw
QZyaFrEnxOZdHz0CV0QZ496HI/xio6wvUfgIsktHeD3A1IMs28Jg+4wE4CuzCAKW03NNxrEuIyTg
dnUmnvPSQ3y2qAy2o8UIj2XyMZ+be3Oobq1IfcWFRJTMgoWLvwHQWEumWZbm3f6aWcXZ9RCM9/lT
bn6qF/AUr0mWj0QL90+Rqg9GpF5BKgEVdRv8i+n7IjOMySJyDPGW9v6FHbebquUijAQB9+0WdwXI
4zQ8dxOh2mQlJX58FEWLGkeV7ZkoAcRZ+pKEsMeIaKFRkGvi9c6qrz2+LCtIhHoNVAhEfj6jv8P1
GGJjSIDRDEdB1qM9VCu8XUeTJrkJ23zmAsqmOJesIzDZ4VVCdt/0fS8/O1Oqq32J5p3w2JG2I1Uz
WWI74oouy9T7bNf+KiixUuBknmp5l7kFpEI/DzfYsldV4myVLzWIUML5iG2h8PZ5GhhJF9r378uA
6Sh2+Kuqla89ifBPoWq2nOh3jRnhiewv3La7a5S4pZvpB6QmVr07HBBPS369YF+DF4Phd1EvytxE
swQZHRrVgnP/qnDfiEB6ANpxhZ1i18rkMHuHrml6nqhCbGY8eNTLq0ymt2bxZol8Hcr+k4qMg+rG
20lrWC3Bp5xlFdU3DjnxVcwUAALS38YK5nZNIoD37M2BdZxsF99IKM6ybctrIDr1Lmp0QECGagD1
VIQ7m6VSD0nf4oPzvAR/Nwo06IbInjHDzbRv982gxauXlrnBJNnPNjqAEhROJP91M+7uOCqCRwts
2Cro+HqzKwj2aMZDbFtqOzYWyVQwQcr7DD/wWyhjJCQ6L/tv+A7vAGS/m5awNwSFzih8QURORdQt
6gEG52R/fyHV1jh6OVYtXYjgqrQNLJJTLx/IAn2LYt4QPCTkNStTVSuXQdQjryiISmgT/hEqPBby
0Ji7PZY8KEQss6S9NCXgRjiE5ALHxkMjpuzTZDc27gsz84EZjMa7Zyu5DSPNYmgW2aQvvKyMHjLc
I9c1dDBKF7cWWztsSXKUGpyslsqbt8YiBM87CcM1DnqNp5CDFo3ouP8SNU5h7nrIKeAEhxdFSvrr
NPPhK+1VE154NzuqvCFJmoYUWPnYSRHTtr63rQeV39FAKaHxlv1nyujqq4Uy6Mi4wYGOWsqnKOm7
JfJHX/p1FCNIsgvJPRpSuO3xvQp44auyGni55sjd2W4oUFgb1nitBgAD+QhpYTVPc9ev3EgRxllm
pdilJlGvI8zAjT3b7pL4JW4MAn4uMg5zz5mPRtRs4+wUIvY5GoildnXlhpdTVGFRqoUOP/uu0R5x
r7D2GOhB0qH/FEgfnBZ+qBMpKW85BuVdjKz/gGqK3owX3rujQNClq0PNoeBe90X74OWBc1Az/cjO
Fri14O73VxWiXUSTJukXCodhg0zTfqV7pW5TByzS1LvFiTGbfUzIaoYnahnbmabmhRmnW0wSD3Pc
55sOL96JSVKLOc2AaVrnNjEvFtGPAjTKNlN4UNeiGBsuko+ieNdCpyO/A7lrEeZhQogzk81Vovuu
26LekkQDgJFIlsAoHa9J6sWQzYZiaSN8HZusoOvlgiFE80iQFeYEWafgA+aQSOu5TC469PybALT7
ZZo6UHnnrOw3yRK6DtZuwhNKaO3ZcW0ssJmLawf1zguBVNTtsMk2texAFvOMW0d0dUuEYu8YT+GU
QquM5+cWnNQeYYv1DS1r/R4nBLUZpi9e5+Y2JjeEIx9F9N6KumQXSze/HudYXgRE6ZgsGDoL1jS/
xBoLLn8fDLh/IADuwwy1EUZW85WopPFQp8l4GqiR75RbJpRDBsKWcqhJhB3nEyQjQO+tx4lokBa1
o+7tb35XkcvMZHSjzFHvIDk8K9NhfmfUDXPpdtQz2LDUnM5F4A4piemSyyVIracmaYLHeDC6Zxcv
5Ckhg73fepNX4y+RZn8YNTb9EP0lcKiRg20xmE25JZsLxVuFpHsFY9S5nryQ1BavcsfbGgPPMzl0
FkAJ6CTgHnp5kznwi1ddMxqvVj5BMzHtFLRSXz0hywzR5JHx07Q8axtYd8TXOnG7WLKIml33GGL3
BI3k25gi+0B8Un/yolg9GF7qtSvc947HQ2zLG692Utx3KTmzq6KK0emZumA3V/OCXByaPttxNI4u
xoqEcrODt5lhz3rwZESpxH0ujtw8u9mJTvb7pKiqN5++1X3PdOBV1e8jWP+Bxbn8xpjK2QbQBovh
QrNAbqIcda5yWHzHIA7WKdTANUrX4L6xquisdReuApKPwMwNPYt56jTxF79X0TXeX7IGBYlTWhK9
sQo8s/vkD9V4aVV68Z+nZ69NykM15uYap1axc1o26ikKUNajNt3z2nY7Ytm7LVr1RYhtdwSR98bO
qnz3CEZh2UE4Tr4MCEqwfTGpuc9UFxWfSoNwd/zj+mC5Q7XlwZfVqtHTNw/TGByQEiBrOcnPHqeS
PbPW/NaWXrtXYSDvUfoN2yow0rfJrecnOeTltmnqvbbt8rYL3CegEVSfhNds5mGpD1N7nFi9REwV
3GE7xW1Ep/WzW7ruZRd6yalyOh/OW4ENeoRgePQmx4RhyjgvXxuzo8/SbTNy+mqrWLXAhy+WauG6
mfxWnDrtefaWPwDnIxnRfI9pmdzOIDcApUEJrwzBzuZFELFNw8se7CEwd3HijA+tMMJ9nIb9NiQm
hzR7eUUaFuIyAOAMPetMh/ekH/jThvlWjLUUt9dDGoyYOTRGoLW0jTTbD9qiUaEC51tqtsnOLR2F
zp+4J/LYPeLRq7SxVjLFdBHDggHiS4nC1S8vXNM4TEyeX3G7RkdQrjlNbReahB+TELNJ+7a86KdZ
vaVxk6YkHXvJDE+kIUFkHOjUbZIAgPxIHYS/qaxh63TWlfRT77GPavRY2urRqZUZfIMMZwiLqei7
jep86W8FguJbuO32YQ6FONrAHiGbZzYa2DBYJah4ruTkLI92N5/biq9J7D2dslGideO4AE/cdb4o
WkJrfN71ejIUAm4yTAvssfiUcHBXdyaF7NYlFRBpDilGZxasb6kT1duZauVMkFtzEAhVv/RjwgNP
tgeyzf6odRThc2r6i4SakzOnU15TciVbRoLTOoRQs5Gu85r3Q/tstmQ+5HNnfcoU7FwdB0+WtOZ1
WDT2ioECcrYUze0xGzFvTqIqSKSO8oM/i5Q0EbwxQC+NQzZM0cayaucipkSwhwFTQE8XkcLTnla9
x75vMMSH/ksgCxKXikDUNr2cdV6Q3uL1GOmD3rkuitS5c2BiXBlyonUxRKTvdEtcs4zVfYtWRq8L
G7S+qEzEHeYUkpqdiOfUaY0N2Rbx05g36tYYRI5LXARiVy2XSAXFRK8EG1+Q+WS3tiByiIpj92MV
r8nNfHCtYqYDNHFwZRZIE8FK6uwyAeCEyzc5YfL4EqZ2u3IUGGEcAubBqgXBQQMSZLC+ZntHgfPu
G5V46eeac0jaPnfx2H4O2uiVtkK/xo/2qizWXzAxxAu11ksMQfjGYV3Y1kk13wWFfsK0HhP6aGS3
aTcTIyvh3OwTnJuryq7J3uv8YdO1KIQ6mx4rvqHq0vRVtHV9TaZsUwGZiBJvlxJBsoMvuMbX3/4R
wnpJP2oPgJp4k9iZsB41c/KMEzKBGU0LwKkeygl2RK+0PHGuJFzbxYsdOVhHeAc0eS7uawcgi9pu
JDXA5i8Um5jEZfaZLED/xAnX3Vitj30pnMUGVki4NXJl7MZ2oK0AsYbFYFRbu6qXQrO9nPKOYIBW
P0Vmz0EFktfJjEw4IaZFRp1lZZBOEOVG9B1i4Lau4T/mUzWjyTaaHAanRXLcCI15rYoErGVn+Je4
vtK1NYt+31eGsYdaD8arrwJA52N1PaIu/ypryLdBPd53IvZ28GzMXdpl1TOArn4/jO64tcXw0ESj
zbxfek9lRrZFmyRLlhdOr8RAP2zCO3br6VSa0jza5WBetdjQ96kQ3QERKS7JKswIypXqNHPI+zpk
jrnTfk5eZYPxIerC8REnXQR6yCBvUbrg6gljAATsvGQcVjfkQMzbUg8LamLxjNKcbisyQXME/UTy
lbQgcEPVV5gp5LZovW5rD417jVB+sceVXy2V6SeNG/XAit6fcCUyQSIhYut2XvI6TF4OHbhGa207
xRO9mu5La/gC07SffbJxcLqNV++7KnTOeojVBtFgu7K9qD8ZvVVHh6ymrSzcUW4n6SjuXbkkKKR9
/U60SLZxJknCDuDxjoljZh5Mu02vIj9t1i6uSwLZ6HgZaUcw50Q1nYIz3xEvaW64ZeU6lUZLCa4X
p0i4d7imtIisELVeT6EERAMMjgdqCEJVEdoUnyQ1GFPZ7khnzNcOrJ27sQBiIjPWwqEq2q1EuQbD
lrXH5wyzyctKXPpEzBMpFXJmjrKi3lmaUGMD6dPOwKaKy5zCHl8HhovLCbz1TeD3/pl2fbubfGfm
OV2sUVNYbyJnENdW5ll4PwfjYFDVHcOig5KrHUKRADTfYZ8i2ULTM9AAYFZI6kgHCMfwUBqKwawp
6XUooEPI8C9Kkb2ak+lflQ2wZaJUrvqaAr835je30URdVsUl6vVoZQ+2/S7SPl13TT3dYjQiMY5u
6ScH5NS5xAVsYxXqYLeYfvcY93Z9Abh42qRefaX7/oXxMFAiZT7XBSRcoxPlpkvtxYXj67UyAeCW
Fvxp19bFrQT5ytA2MOGSWl9cUhPo68Vud7J6O+Ng3sR7k/RM3nby31I3jp6IHYOFkmdfC2+Y8dYy
ulqLfIa6kjEHd3sNJmdOq7ee2mqnURweLVvmN/gxSGGzWXMDk2IFDT1KlHVTNe6L22OPGKoFO2bZ
1aOhQDqFMOl2RQzZNJkscjRguAE7SqZrxGyvYSKnTTdnxKNAoXotiPxdc26yDlHqQkmAgrqqKx92
IL1z2i1V7qwyvwzYPvL5Jei4WxaxsqvEzZJHEUUXVtHRlA4GAetg1EBZ5vqxqnXNhiJiOEFOcRqQ
RdHQmeBil7b/ANh9P4lBHSM3BbYd9e0X3RFMb7bjlShJXDFqHm6vi+Stn1TeV7Nsnmx3qC/IgJDr
DFLUeg7H7BRVsb/LA5C2BUaiYTf6qrtoY6HupwKuSAcyl/TNErPVSo5ZcXYIHMVvkL7PMBlXXWVA
V8PSsp6nvjqZMSM2emFy3OGqsndkf8ybvMLijRVkKxcemm042KM7RZct74qD7bnz+0hFemHEAcT/
OV4QOfre8WEZoTZAsurAaFNWIN6cGNSN0xiK6oA3L0pDj4xEZuU3OUoxtIasjs/kDQ/kkclTV6TN
lSZW+oyR8iUq2m9plge7oGWgMHjtRHxLhC1nGKrTCL4XTo70+28MPixCtxLRP+YAzJ7LMG/fvOY9
bwPOmp4wDzb+SlyePhAde64+E8pMNLbjd6e2H9xT0YzEhNkTW8jg13prx5E6xLmFGcrXib83KwtD
xXKWl2kiaOX58V0ysHjFyVwuDsb8nt2VvBxgJZs8IcM8Jr9PrJzAFbtSaN6kAigIVPtGUTCKQr7E
1QCxqdExnagi3WL/J7TDs4hKCKLXFpr7qR2imPjxhrEBKtzrqYYBsILKdeHBrLwYRJmv0a6JaNdm
+IQ4obcp4ROcMKwVZTSMjRpAOWj5qS36LXQq9BYeIXLlGlqDmfALNQDflD3RbytRY6iNIGG35Qjy
QMu4JsgxoG9eFDepFxC6l1CCpzMDHZfYtnWOsXZnirk4ouc12ThCXNAVwX0ritmRCNwoLxzSMgDy
+boF5ORZnUUESJ5a2y7L7uhZMRzGKqblRDkYBAXEwmj0Nw7sSLzrdbnjY4arOFTxnqiX7mqMS1xC
6ezCUwrWFippEgCKy6DLvvRkPKyAk+kDs6dsB35928w+4RSxSXuiibrz4ERLJot70w4w1UQLI4+z
k3w0ezLlG2ifkCm6zNjiCxphE4zZuvI4SQvTb94HNA9fwOLnt7nRT/TcATkKWqB7y0+cy45B5qea
iFGWBSptByuPnX+TCR77IHZfILwQFxDV9qrDQ3C0zKI8BnjjEuE91yqsjwHZb5us6R6FRV+8dJ3+
EFVKbbzGnbdVFOrPvU+q7n4CC04+j8v6q2rX2+MX8+5pmxab0sHL6siyu8RdXJyIQZ12qe2mL/T6
YQuQ60NnGY8qU45YbQPSZt7tECuz0TfhnpPWYqYzklPHU3qmMhAHIYMIME5irFvtu6eqmk1qWO08
0lKgxRwK+9ymvrr0+jG4iaKE2f0Q8RSKkDq8o6W9w1cGu1v25G0QsnIL9cO/GSey+uaUjo6XtN1S
i3lnNfbEqQeF030h5IbALtIw3XA1cg3vTe1kpDdOif+WIfDJVtQv7U1tj2wYLUMmTd1wirtEXbJZ
M7wL4+CM+wnnZU3S6oHIvuq4ZFJB52vo7wAjiT/NQUqueNCbx1Ak1pNFj2lHOn0fUUmkEKTmfuaI
jOjxpY3RPueZ1DvLjMZtFgD0xocAq0XUQf4MFqW9t1q3uUo6rI2rksDGZD2ykolVNBtY66KkYFaS
5MTCJWLiZ7d+XyWbKUzGS3Izgo3D3O2rTsk18Jt0CY1aBlKY2ofr2TDaWxEX9rkkFPcht5KCaqKe
OAsySdg2qd+fC3+AuZnkuiNCZ46Yn8ykrrwNWdle5MlQvZqVT1R56o/5TT+ldOThlGT+RaUJe1qF
jcgvVAgwD34MQbubYAQF4WZ9s4BmWsJmrR6jZh6yMYOwCg0SE+34ph6yjq2XE/eF2aHcJ46zNuy1
NXj+oWnM4G0CwXUxsy6+E52ahGfqMP9gOS776miAaFh3ECrNtVe09Vn65H9tMmU0D0aSuk8Ryalf
TeIY6RbGSR6yhiGXGViqXjplgrWren7dLjfgMnRIfws3cJ5KuJ/vAJ3MF24yPFo7i9rtYBvuqktz
yLOIVUBSRP6SwaIcA0UoOvNwpzjS0b8v7EOcOva9LFugB6lJYFBXZVNNNrJwL1NVIVsYTK2ol+CN
O5sUkzRx9sn4WM8hZoZGVDgI3D9+LyfuAbqQXg/Vtiqaz2oavYjg6p6/Ss2KN9Qj38QKomsHpeGl
10GPoI+fxgfwnuOjiO0SQmE1Rae8nedmZfvgVy+TOiAiAtlnpu5zJseHJDbJ9wgqFDNZ36fqvs9l
Ye3cKnd3Vc58f9MLp7xnVpkUR8JW0mytGcA6G5NpWEY83GKXjyOXzobNWx9j927hjDBtZUNI0c9X
k0UmRRhX52BQ5X0T5novu2r0tjrouCBqUlxSC+VpQvkvLXfHU5pbO7QTVBaVQsVTMLoCb5LQ3Vhj
9CzvaWkkn2jDc4KODOnuOmswX4QK1In+eU7gXV4+YTAmKDYiCYl5qND7uJ70VzV0+gpW4nTyvbzL
zhHKnysasvx4YgGJ+1jEK6GOeE6XaPbLUfBgrrFqocmOOvkZe2x8GeUESAT4ZnZx0+c4W4miX9XB
lLxaBnxDb8oVOdr4dfotFCN+5zzlgLSFD2Zj1UWGIJgxTuI+qJjrA4sqpmoDD5WnMYk9JCsq5P+2
TpxdYFF3nugIZNkaTmbLYlEqYsUgID3kQ62/EhUAMzAOHeOLYaPQ94TTPNDVNDjcTcLfZGHhwBSs
++GxNZ32mZACQGdWHT5xZvCvcGsuPKMiuhStT33QkLjGJl8bDBQV6xUKGurx2F4EdKVMul2e5giH
lUe69wiCZaVZSK94DzRQHpqzxTrvSuTsjjUlamPLmOFB54Tw9QnLMT/JssjCdakRg9PB4skiCNt9
CunQ10CNHG5Eky/Z861ZcjOJajz3GU4NZ2pVfIfYjn2XZnB1nWF02DR9mF5GZVTeRLoGTkLMkmut
yFnSgGYNQoMVmNstYrYpPaEV9p6cpuIhYBT6ubS1/+Y7aX6RysSmDQkILuTYgQBeG25QrUpO5ozV
pyyfmDGYvDzE5HJPczm7HUnoXvSQLljqKoh4Ag3ZcBNqADcY6Uguyzd97jnzqiZt8ymBxV4d6FEN
jwaRdwcTrdu1w8DgHvMm0cwDDy7bQnyZBn55P3lB81BgmVeQtVTwxmEHAJHoNe9GpnGjUBDMBn4F
2Dy7lCBbe08dTWyfcGOb9G/6iJ9K2L3UWULa6ogfNyUiOm0I5WuLGObN1OWHNgR/e4HVHkX8wIjj
JS15tAumV1foUPR+8kSxE2AC3pNiSj4xneJyBpY91deDCieKjjSZtyYTo3z3h4apQ4v8Ls1EkMYV
9yz3vnR4hEmo5P3WkoPOVbhYsEhxLnaLrhH8lapre2sVA+s9H8IPjabhGXg6beEhstt77UDDIEE8
1zvQ9s5TzQawi+ZxvDC9mLiYGmY0qeYjkyNLj1uKenagwudf03E29zbE2kvfDFuuARaQGxXEwnsp
yrYk5Q9eHU1U+upLh4qbNFal3os65TDUVhXh4JOd++V1CmZ83+hGHE1DiiMAG/Ok55R7wSYnfUz9
IU3uoFXOzoPjynpOMjgHejOLr0vPZ43MSFShjwBNsiLd03CeOFKa+zJH2OMlRnrX8nxfQyuPLwec
iludev3BSCyGZSM19boSMxdpsrNKn4NeqGkT1DWd1toIY+M0VWYJ4F/wwNk9sc7rfiKIxraZuW7q
oqHYNumS7lPGNShwunnJTilYScDMofLFIYfTRXfNwygt3sUlMvS6J0dlw3XwD3ETGevCqdpmM7Si
ZSKivJNgnsDEPkRhalvSe3B5uvcwjSqgPaXwvpRsKFTJxHMcZDJc5hWiqQtGoWxZ2sdvUrsIwSke
8kM05s6hy0cPhZLHo9IzoV3LkMkHwi72CzOdhkfX1D51Y8sm5YUOUndnKu8ptIycpJaEh1fnETPK
VIZ2Skg2Bv811aF95hjfXU9Nr1eDTBe8u1I4uvLRuqFHdd2RXrDCeW2tfBQTUCtG3DByNE5dNyi4
Tdjtd15KODNcI1rOIzlK2aoKetZ4wrvn247DUU+LelTmOY+4d1dzbGGgMQZ6bNtxtDLjEuWBKDmz
SCbteTN7/xT//1tpx5fZ1xYNzbv+r+WPfRUSl3uS6v/+rx/+7meBxz/8Rw+i4n8ff84PP1b99x//
OvkmNl/0lx/+Zltj5Jtuu2/tdPdNdeU/f4X//S//f//l//v2x095mOS3f/ztK/HeevlpSSbqH7zV
SKH/JcdefpH//WNLpvM//nY5famrL+3HP/BPMzY2tr9bAZ7JyMTLhlwV9ejwTel//A2bNopSf5E5
osxdYkP+NGOHf/foGkUh8cJYLWwXkacCJJ/yp/7uYwEljMI08TZ5Xuj/O27sH3XjBrL4xUHMb/Cj
SJTwhLF1WEsIbyrFRUzhceEiRv6dkvNHRfyfP/6DYha8T8JBvoAmZCtxjPPxYnLc4jANA3lklEsE
Lo8hI+NVU9e/8eL8KFL/8yOXf/6dIDi1RdBLFchFM9oM65JDAQEJBYVACZ+Sd77xZu9GZ0ZS/Mar
+LNr+EEnToCRJ8idEAcEbLG7HliZzmxoENi/e5j+Qtv/wWL951f6qOTVOT5aQBMHV3ULS0QyydkP
LWmpZWL7w5ky2H2Fg3mtSuIiqykPb6TRG5zFlGH+xvbzo4z8z99h+fLfXVajdA2e0K45+O6ISm4w
3cTckprZPeKqKv8tUfefH/JBzJ322qMXGoiDkzj9fT2E1nteNiHxG4lB3+fXl/Nnt4tX6vtvMjJI
9wkvlYcmq3HFD04nqHgmv/kPH4cPHtJlhj96TPBoDta0QEd/uPXYRc+//u1/dh8+eEto0+het4Y4
cJJ1HyncZ0aMdRgAKg5my97/+lN+co2sD8uCCQ3G9sNYHCwIWVvD0hB66K7+5ln62U//sCrkHOqs
LMjlgcMCo+W+pV6oCKxst7/+7a2fXKQ/hPzfPawgREd3MoQ8oJsah+sEEL55zLWPbsfz0fGsG9lJ
k6ac6O9gihXZ0WIULU+BVrK58CrlZlvgdjTWdBZBkRop6ya6OrVl/e5X/FFb/q9H/aO5ZMrEIHA0
yEM8hwCTOmGqlMDVxK3QguW5+TnTxfzNkj26FHb+9ATfIxIbeuYcIhSxKf1/eDOWa/jdtfJcyqOw
WIbHxoC8CllhcGfUXfT663vxs3u9/PPvfnxXkgmcD3lzSERS3zH0Z244tegW/7O37aP/I8kkbSJ8
AYeScAjkpVZdPQbgF57+s1//w2KhBxAFmHEwUZhl/mikbf51mJrqN+vdzy7Oh6Wio8RG+1OACI0m
BQ3bVBxd8jQI/sPX+MNiUc5tENWLtTcEdxaDVkqaZxvZnf7Nxf/Je2Z+WCbYYOcYMFhzmFrNnHcI
htmlLTdAkTbixHj/9T3weVT+dIP861X5aLuxTYihZYDVMhma8YqJpfqGCs0Kz4pHtwRl28GR/PVH
/aR4MD8UD2R6a+KozCXvEzXSGm9foe8DaxwDerKxtjYd39dARG0D5v3NUvCTh2Cp/r5/QxDbNZYD
cv4QkVsa7QI9NtGqihKI2b/+Uj+7fh/ecKcdB1SfgzgkhYRqv5oIRzG2+ISR9VclJwdOTL6efsMn
+dnX+fDCE6oh7RgS6qFTMqyhIJOxu527tH789bf52c//UCOMkvYhVBYq1gLyPvFiSry5YPzC31yt
n/38D288DQ+JFjLDWxzRokeZyvmTZOPf3GzrR2vTnw/zh1eeQxuwbjMXBxiM894ZdPg/nJ3Jbtw6
17WvSIDERpSmqiqr7DitncZnIiQ5J6Qaqm959d9SgB+w+bpc+Dm0ByyJ4mazufazqt9KBvl68r1S
kSfPQ1ndjRJqQSJMq7KGL0MGyC5Srr64MuXvH/61gLKmBQiBZhYE+EQeuH8/Mk3Jv4tvcMelx8j7
7PKZeGxNDaHnibCDAf2ZoxxWHgqDO8klE+LKnLA387+vgAPSy6CpK1yUC6oBJoSIfTgw3OPGJwmp
QbaDJqFVokPetUmWRQGk8yXw26AR0t9vv9vrAcVtqhpKNMqtY9hewFaZaEjMUFMF+b8a4faDImPv
QcCvo/ny9o+9Ph4Bsnj5pq1HZCbqCkeoAVU/OeitY4K7dZNdmcMvtW/NDrDP9mBXN3awKNq8I9UK
9+sj6lDffvrXJ1Qe77/6bPnXcaumbV+eVchqSNfiaUZ5iZzru6lrQ0AFaS7+zCsvKsfXsaaHjesO
EnPwa3OYuiaT6L72U6CvNH7pw1tzA62yYui6fV8JB7UJdHy5PiBhqFVqPLO+88BZP77db5fGtzVN
EKRsmhzyYigEQC76ioIK/4FwrYAVqP38B5QN0dfR05mAIUiY6QOq63E7/fZvXxoR1vQAURdpoKZt
zyhvYFA6T1Fx8GcK09+32399+uF2jXrcjpB5+DjCtJtEXg87XAHOPCrvcJs6ADL46e2fufAaNqBI
VoCtjlnQnukMNmwMyu0B98rtlZe41Lq1U2hQq9XGe1jCwzJ7gHg/eACEtLt1e3Yr6LNwzCHbwhm1
lf1yhzrxBw9atxu3xq2IVyhq6TwyovEdg9OD7HWDitbAsfW9w55FPByciJ5lj24fKH0ncL11oE3l
tmNG0vVl6wqkmFh7GJs5VDU/UT8FTPYchINjv1sBjltkoMpz5GMLvTUfG+5tpy4mV3dilwaNFdWh
8YIWWh08/baA6FoGqNWBnZbbZ7XCdqvLKhZNjZNQrxuk+EN5MChrSJ1aF/tE9eyzFqh7R94kbs5r
kd/V8w7VbcOvbm1bi/kI0zBAoDEhKMEmmNPDR2MMUfbr1roVqRM8clEeNzVnb+UScjDo7ua2r365
tW5F6ggZepX76Jfa26vqwaZIchgUHt1at0JVxHPeU7hqnFF9Rz9D6fZOYld1BRp0YTQKK1LrUM6Q
M6DbJWrjFChcPVKideBP1+Arl37AClZv5tUQ4C7vHOyueQt8NkJs390mYJvo0tE2EmogzXnsu0+s
b08AbTj2uhWmCojbOQ4Bi4lDM0PUDdPE9R4yyn5xHJJWqEa8g/Kh6xuwG6GzPbZwjMT9FjQR352G
jQ0s4OvGgx6yyzNk7hsm4mb4Mm2+upJhv/BZbc4h8JlgmlYYlFAcDtX7JUQF1TEcAmCB3R7fitgN
qhQDeyGgSsqg2w5j1W1LwiZAjt2mytAKWt4LaYJ9StC0pucGmIB7XkSL21RpgzdUPeSqgmXOmcJy
F4yVpsAFrOwcn92K2hHo+L7gSFFgcBbQofD7oObVFYDLpU9rRWzbrsJfUL5zJrj+TA18hH6jkKlU
ydsfdp/QXzm1hdby2jBfxRXg2Wc49xIEbt8nOB38qFEZwMf4s0EV2rnsRn4lDPZZ8rWfs+IY1goU
svsW60reFuKwragoTOo1ghICKtVrQNRLfWYFs4GEDabV6LMVThAHv5UMtTpMuE0V3Fp3xwF8MV1i
MCGgBQotm+k2HrNrFJ0Lz873D/VsVUdJMYQhNSZRWJv36To1/Z1ADYnbVtAm78HYiE80wESxsTwA
Rb5Tn2BNA5OUt0fTpYe3opgIkIvoFlcoSAcCQAa+Oa2iHq49/KXmrbUXd/rhQEuwG4Jt0dERf3Y/
PBQgTae5A94RlX/rPN2tTSaaD4WW/ec6GL54vNgFqygvruE2g3IAlhsYuwMDGiZmL2Y5DE2zZ3OG
uPivNLP6PJI+K94jS45E0xTVGar36jJCwchUonx9QAVCjjIGDit53D6s5VcUjVVfUUXeoUZzoFF7
jJjBLQYP4zOgUdy7gU4j999TsInrFP7CPYoE13FD9VbBSv4bFesUtlliDP/M7TpEn1ezoaCPhT3q
hLccHBGldle+K9/oL877lRhk1vgFC8Mz8NuqzuDzwVQECLuwuoEeAubvxoiqS2XNNn7wIX5t78kE
yEtaRFkvj2AZQ05OFgg3d7EHq/srq8v+y688Ed+/97MxD/wRLYnWNc5WZnwca5J/QKLqZ7aAmFwb
OhdJMZQ0gk81lHlZ36J82W28WpPrtsFGBdSl5hwW2k+BiDwRFM1cWXT2Qf/aW1lTK6+XpVrKvDmb
YewgKJZkO2LDDpcDyOpvp94sj25vYU2qQ+9HUImX9bmKUKESBACpGDh7XsvAX4o6azZdB8ggDGuB
qEVBxtGrBYMhXUxvnR7ehqDBXY0DisKqs2LzCrzPOOAiSkzRNabqhadn1s4FAO58ZhJlY/AvLlOf
ReNhVHD2c3t6a8LbshkGUOCqnQsApZ8y6UO6FfTizq11a77LmJePywBoG4r55U0xb33K6zi8Np2+
Pj5tZOcETEHYBcDDl1LUKNEcOvLvrDZ4TL799BfWemYFl4cajYoSM5zZWkJHXrWQZyYsL6MYd6u6
+vb2r1z6vlaUwSR8KRnIUuey0fwdCiO3h6jKzZXWwwt9ZIWWqtiKbJkazyjfBowB5iYmgzh290Sd
Cjh/NW3RT1dmwUtvYsVZDe7aNBWVl/rRVN6jgPXfPDal2wmBWpO+CaZiUM2apaigXFPobmAU3qv5
Shhc+NTU2rSUfMBdXE36MwqYUa4PazjJ4VOpdwm4hk3blR66ILvh1A7mthVVDNHzeUABynxbymkj
qV+R8gkFNHDS5qCso25tbsF5qkhc1kdG84nfrZwH9YcJYk5z5VEufKy/pMrnS1ZY6wl3M80ZRLkO
7raolP2OFdxjVxaPS+1bwxq1cgLmMUAkR2v1fZ7xPg08rB0Hwz7anz28h10aUD+DOsuuY48BHN4L
iKavhMyFJ6f2pNXkFCcV2AXKOlrPW0TzU0DGza3f6f6rzx6dD/icoqfyXBoE54FiLn+qIGzVbv1O
6cv2o3HiBCfcOI1634c834eTpGbN0WmyotZXDVB6obuRxSmKldiPZQ3iFK7u5vvbrV+YrKg1Wa0a
wn8GL7a0aMAllysKDpOmQCHtcWmabr6hYPleA+te+srWZBV34QyvAT9KuzoPjyvKf84ypvPN22+y
x/MrWydbAxlQXIKDiibPK8pG8//EjCrau6Bp6yX1UL4znpDfW+o74XvBlVF7oe9sTPygZVl0MQpn
cw+GhvXAGU9om3cMiroAkm4AJeAK+PbbXei7v04pz8bwvEYKjLbCgwFsAQW2ipe+OmjqD8GV6fjS
D+wv+ewHAETIUHgEDkFfo4gsYQKmeEe9wn7O8QesGIdehfQtSDAwrs7yHwvACp/93o8d+2d/rWeP
33HSFOumPYiqGpzO5i04FhG5dt9/qXOsKDHzmi+EbQAA+tsEV7clvhl0LBx7xoqLUndlCBYT+KgB
TEF67MXfw4TkmkbtwrPbIsBYVpr7mSYpSvX4igMLSvpPjHbMScrI/5opPOt52kEMjWlbnxezAK7X
imz5hR2PaWD5Bwnf0Wn821rAqALsP97JSNlW5GcBMjKqEvLM8R2swV8DlAGWiSgB3EcpMzA94z1A
GeRRSjP8cXsBa/i3KPGkMyalM1vy9m4UIYwF+lH+dGvdGv4ZWXYue1icUc03TzAEXIHnwhYdTEC3
H7DWON1PHF6H+AF/ENM3YFGaL7MJeO3YPHkZvkWOGnftZWtaoybzA+BRYK/A1K78/6Ph/z+9Dv+7
OXw2SBuSbVOohgI2ZfBbAmuuNu9Q7g/i5dvds3/FVxafvzqhZ+3Pq2nDsMryfXjWKGZiPhzggS7Z
DjAYv0aHv/Ajtk5P9FIAtZLhGwSNwl04m4AJIVXHwb2SSMm4hZot1INydPAJqh7PdEIhSgOHRJhg
Bo43kLY2rwzBuGvWvjjX0YYCHJ5p4MWKLvzx9oe4MNvZMjwyo5JmqdE8LFh/dgoJDdkxt5s23wrh
Si4jENPATyyDaj/BWKw4A/p1LcIufV0rhJfVMDPAY/IM2qYAPKnepvUAS/PpMS6CzjF75VtxXEhm
urYF1yn01VgByRhJiTowGIs5jh4rkr11EargkQLZdRpO3QSV57wSt528b63DrVAR2IyhOgdyG1NQ
9XoA+DbHRLdtTdCW8wIREM3P0xxChAw/QP6uVgWSxC5jE4i3l5Oc8DmpelAMUXzhPW46hqtLH10D
nb8+8JktpVshCF6DRebwdA884L5w3MH1IX18+9EvCB5BRnr57NITgQTmDR7Opourk2wj1RxEiRPs
3LVxdMjVxH6BbaXzRxREej83HfjdXl+HHLXTHQpsp14+wljC+GMOscE3MEn/yZex/FDLQnx9+w0v
9Z8V3AEFV7XE7f9O4yBwZuuGI9tQ0uTW+v6rz9aHEAV/IKBH8twXMn5HF87TeCuvCp4vPbwV1U3l
UV9U+OQeK+J3HMW9x3HOGqfrxP9xYVyzjksQieQ5iLM/HGjxBDkTdXLrGTukcavBRoWjfzchle5n
OPqvADVc6ffXJ1UWW1trPW1jHvnwswZSH3XmIfBEH1TnMZQYNNNAr/zKhe63pXA9YwRalAEjE2Qj
mRY7KAXAkWpw2t0xWwOHqsOwoNJ4qQClEtdLwYH1S3F0+gCRFdkolkHeCEC61KgBhXaagTq2ZW5R
herGF+O+mzGVFhEaR+Eg6vSbtnzXbIy7jZ1o/+rPoqpHnfAcFF6cqrzL7+lq/NvOA7jWrWOsmNW4
dTNNG8XpNOoQdgJbCO4y2O5urVshm+uQg/wOZC8dmz9RUzXwTAfH0q1x8rJjSDGjFMUb0O1wkr9v
9AJ2TVPn6dutXwiqv0Ybz7qddn1QT5lBvqsVKKhiIEaMgAugRrwFWn1x7CArdHHJZhaUHuBEH1Jy
nmdAMBtgN5z2cnB4etlDU4Ei0rho4lQUBUjDYyzBOCH1lUuYCz0krNx2EAHAPGZZlsb5bi4LMAlI
MxBRziRRdbC4Zf9h4PryJaQhZFYoCQIVuBaoWVcpcGuOk5qwQheGnVjOu3xfskqwLccFFOgMmK23
x9AeRP97YGLCCt28LmYgJ3G3AGDI8qMHZutsFB0/ubVuha4wqMfIC5qlC6jzCSqJvw/bGDg+uhW5
TcsBczdofPUUAXwx+8YK75fbg1uBu/uJYYOwEyENnDoolerea6CQcFuohLXYxlszgo1NspT59W9/
626rFrf5bo9uxesIMEhI8zwGA68o74ceXo2JnwfQJju1b6vhOiqBS+42L+3KlX/Lchb/rMry2gH+
wni01XA1Y0u8qjBODeT69xUyZWc1Ecc1NrQCVUfbsq0rlkGAT/tbXTIPvEu4WL/dM3tEvhJLtg6O
1AAxBmC/pHTV9LhBGYJJGXSdm7bUy7FSZeh0785sSRwpVQ3JRb8vKyi2zcCaXUye37z9Fpe+gBWz
+YruBgzRS6uWrOlYii96unoqvdRFVsySNiq8AsJtDB5/fIrGDXhZMm90BKcaNRr3vFtBAXN7ESuG
CyBH52XKs7TqAnmA0eh8FNC/OH4DK4TDeN4YiiDwJqIna4IdRP27C6LMba8fWlEMoj+JNwH5Tl1Q
/xZwq/w3khLS7Qhny+C2GvMbAx8pZTyEi7zfHLJ5dUsRM1sFJ2BYW8YaV1mgCHanfAryI5y3N7fh
aavgKLDRVcGUl4IHS4/FEIOUV43U6XYVb/9yJQfesaMzlGXIf9LuYwYaa9I3jXRKbzNuLbYaDjdt
1OHyyAQym4HsqSuQk0xQo3IL/gWF29C0JVkSBfdKZBg7wUyyA1VyuV1h5XtlZO5z5SuzHLdCGOTe
JjYo203zMTcah0RNxncjkKYDkLAKuMZ6qDyYJuiyLK7024UpiVuRPMYeH+t88VJF5hFEyXk5Q+u1
fHl7nrj0QlYk0zGnhqG0O/XgGP2nMRt/bIcw+OxjM+cf5gAmNX5VrVcSo3+RBK/1nxXZXZRhgjVY
+xu/C0HzUhQoYIiE6uxT63f6UxBqJKP6eODBvQK3GtTuxZD4Bpxu872ChwYsmbSp4I5W1v78RcKW
ZTxWoYJDHnQU4eK2zNtKw37YkOKTzEv1KNk//VhCIemLsfn2dqdf+KS2dCwOwNcMmhW7FB9M1A3G
YWc4sbiVyzJbOMbaChtyBsS0Huc/MSv+W7qydewYa4qgETBroEbgsAvPv7O/9PKWwATCsXVriui0
Hw0SMtwUjmUfw8r7nOW1W84ZfJmXk9sA7tGyCSC+qiX4LavwK8+6P26f05oUFhh2aBqV2JFkEzSS
c7Xdrl3rdumOLM7LB0d5aL7C2BUH3WD4nZPisQj7K3u2S+PQCv6t7HEXiBJ7cOGa/A4+Vwsg0NR3
O93a1sXNLKIw82uss3nDvlPhxZ+QgAlTp063dWHZuI1LI3ic1nLsEx2sfaJ641bXyGxd2LqNPcdt
eJy2Yf8fPML+gcWgW7fYUjBMeNVQtxCgBDhkfa+DOjwTOTkuf9QK0EjBtQUVTLt1VZR/zVU2fO/y
TLjtEGyJVJENuMwiAG9XUTi+R76ugQ91RU9un9QK0VjIGtLjLEr9vuYPZuybjwCAtI4DxopSgqLx
BUBeHPbHZlLg2anq/dj6tdu1EFT4L+NUww6p1DNmARmGW9qv7fohrFhzpW/+upi/snLaGql8xo3o
IivortZR/xbQIlTvzdTQf5S3DS2sYbZPxG9P0EHon9kczzdhZfL6RFS2eeCZAimQosrndw4uUH8K
GTD1oNHDPxY6/Vof4Ns0jUdjev4IP/OIXXnqCxMMtZb7AgjuqV01AN2UI6/beDEcPsNhrd228rbc
al29SZe5wFIHW7Ub3EVzGEPCc8RpPNrSqop2EuTqOUolHI7hRis/ZJNyzD3ZWqoSFF7DtyBLxe5o
2LSQOGlu2hu3R7emgXIOAP+F9V06bvCbk0EGw8icu2HJGLHW6XkUBXjcHGYN69p+CFsVPShqti9u
z25PA0VQi6yd8OzBRpJcwnoOzEs3EQaz9a8ikjTXK6bf3Qb8p5/L8Ya0Kntwe3ZrEphYs3ghzNxT
sKm+ZaSDddu4VUe3xq3luoU1IqwWsBMofB+uaVP4sGTMTRnH/s47z/LpQ+jBlmzDzs5DWcCNAHHn
/Wom/tXp0W39F50VIX6BnV0MZmOqUV2UtG12TXe3j7tX5kZb/bWa2YM7xgQNZDaP3ymYdj+Jmbx3
Xe91bgUTzNZ+eXljwmGJo3QFdve25fDTbDh3Q0DAYf3l4gHjwK1uah6l+RT+w4LqSWi3Ik/2F2z3
7MMu+E8L0yNsfE0o3slqrG5hv+G7HbcDK1gjFBZ0YYlNXqsX78asRO4G0D51q+EBLfdlxyyAT4/C
gzN5jYq3I5xM7lEucU1ueklQ8LfS7FnfTHCEBBi1xN7a76sT7JNWBCxf4cxYByZc0op6bDr0nion
QKirqj5xwsUCxCgcqBK30LCiGsgVnIl7ODctXuyfcGlTw9g6d7xAsTVh3hT2QeaZKEX2pf+5jJs5
+2be3A4QthhMr8GaiwjDlnnVbRi39NjBMerg1DG2BGybPaJZiVw+zKIHFLaTR5DtC8fG93zIsy/v
wSYCYG7kR5mOu9MkUEi8hm12hYp1Yd9jC8BME5qgzwbs8Tu54nJVk5MK829u/WKtvqh/QJk8GUU6
L3ooD/CJrwooCfTQu41I34ppucwbsONTlML0BAzaQekvSpfjo9vjWxHdeigjNQTuKjzq1RkSF5VO
G+3dTii+tQAjE7fKEkzwdFFNfgOz1+oE96lr0KZL39WKVdh1w8U0xHflfV+m4dCiiAflkFeSi5da
t3bLQw32L0i86HcRfVpjOPHVoe+GdKG27ktDLAOf1E6kXTYU3yHvpp+XqW2dNuLUFn71FGiCtghD
6LtN/hkuONlTTOFT4TJkqK37Iv7kL62vsDrCmbkBRGOdn0KdY9/s1r61+voDxeGK0TCNlnWSpxxn
UHkAWFR+cWvfiliaqUAwOHCkcHvmTxUL+ke4KsvPbq1b4TrKsWMjyXFMwar0QEQVfVJza5zClcZW
uDaCxTkMVuFYS5ouKZZhSOQM5x+3Z7fCNYTPBQ9WJdIGHOpTrDfvXrdZ/8mtdStcYbtMy0Ixke6K
+mMnPXo0Xhk4jnkrXOca0++wr08tp0cdguxEuL+5DUlbzQV3gLUq4OsMQQgs8GBbShTMwQfYCjp1
ja3mmuVUGr/dF9ei/ba13VOs6a+3m359N05tLVeZ7Q4UpcnSsc+b76AMmyKNS78K0rhXbrta0E9e
rt9wla8Wr0CuaIGlOWw5tExYAc7l26/w+kxMbU0XMnM9hJKhSKVPSxy14tofYLtZZLPT9oNGVswK
L4MbFLzq0w62WMmsdDrEjkc5WNK87Bu20nqZNhGlI4uK8gj2dkiBqY5gtuHWPeTlD8AEK6rGPsK2
T8zg7bc+3MfjSTt2vhW1JYU8JJKYcVpQTA9TVP4gi3cNC3/py1pBO9AJfiUrdtvbEsBOpYViDwhV
p4QRrAhf9ktXjqACwFAqHY2n4VTkhUdp+qtFxBGa+d9jLrUFXUC3hpWGSXeawz1Nngf4so53AwnX
j17UltldFMB3AXT/7pvcZthzF9tQwIzI0/6PuMVtUzDRcfwKImfwQy6glp8zFrW3BfRzv9cMPkwQ
tMN17e0hcmESsFUaeik8A7s1LBtLNX/lsESBxWfewRU3MKv34+0fufAxbelZpyc6a7NGad2gRPCI
q4xNHWSfZdRtoNvyMxh44US7YK+61vPwlWy8/snG2U3tTW35WQSjFi0lQRh16kPH1wEVNOanW9dY
E8ywbV7YDnWUkombGy5y8X0AoMfp3EeFNcNEAVZrH1qWVKGED1DGeisF7AlbqEzcHt+aYZAFIVUL
aEpqwMF44lAB/YhqOn91a92aYaoCcHGw5HDsX03+ay50eTtkkZtAiQprisnAS4EAXiHXlZVyhMsh
JMEJjAF45DZB2iK0jYh+jRusTp5G2X5OewK8M2yunTrHFqHJTsRlNkHP2ZQwjsf9dAsShlvT1qE7
BvBgEn7N06xrNVxruzt4N4RuQ8YWoFFVr3LOPJ6iRHnBhUPQPQ7cdFeGzD6FvzL3hlY8VYOB+5ha
RAoTW367wHrmPzL2g3+gvLmpUacBb8oHNQUZGDnaLVdNQyvMUBcPprfpeBp5i4GrMYvWZFmXxe3K
CqZBL9errWSh6WnBkQsvsfuI/I0/TVWg/ZPb97biDOR2KDMidJqP/MqBUjigUq91u72mtkqsYx1b
yS61on4TJmppfvfBeg02tX/XV763LRKrYJq2DQ0aZwwU92SdypUluhPMKYlDbZ2YmXoYZayoGihE
1H4EMNAkvCXLP04db+vEIlyjsjmKwnRoYMKrYB8UqEG5ndlsmZg2OA0uhYBB97YFKfiKVTqCLebY
+r6heJaYC7e8avuIhSlY2C3MxOm/WRlf43Vd+qpWFOcj7Ro6BiyddNWddCWhdaOz22nT1oa1a8O2
ETCclG/Th4z6bTK06poi6e89w2sD0orVusOOW8FaO51bVjVnXHqOd2MIQ46EmLb7Ap7TOCZcsbZN
clJ6WRKFeT8d9xsQ2IDXbdklcJ1u2kSI1byHUUPtJab1so8a9nFLUs5RoZzyWJRbYV8hY6C9ziBB
GUK2VhQAwuI86FYgSbm1vHLo/6H9gj98t/Q3WPa+lWxwe3Bb9oW61Hg2HJlVWLaTNFbdlOqaX0ur
/r1ifOUT2rKv0K+7jRnsyWYK+6BTtJVaPgHiNshDBHBol8BkO/iU+2UnUVHNpbqb8xqn22E3G0tG
Lif/FAYTfMA96KnX4yy65YGQ0R9P5dLxBUaAcl1OvdnWXz7O5UePwFl6wrYvCWpP/xS19nsnVSK1
r69hIo30PFzg0iVWcHrXAWCFSU179t/bM9h+jn+lr8j+/2fTAOy3awUDxjA1gCd6sCNXkTgwY+J/
Q9Gwxw13Gt/e/qULc4J9mc2mAkxG1fN0LuviJoTT9T/xGMAz1615a8oBTFFgt0OQW/TC6ZYDs488
nWMhO7Vvs+uoHeCcSbCCLxioh3IMmg/R5OP06fT0tpawh1lnDGUoNlWNgGvruqqkIdwx78qsj5w3
GEBxAb/2pp9+BwjqBCkpt7okyqyFpNxzutKEPA1lJhNt5EMcRL/dusX6qJUYqR/3yLDMER/e1QDr
IyT9yG0HbvPnkCsmgej7EDw1NX4ko8f/rHCReXJ7dmsh4Tns5w0X+KQzI7+WEs99lBCKXSuRuTjN
WdM/ylAnjfxDiAtnUd3Tcpmfyor05alWmYqTAHLaR0jAow96rTb2DkmMevyueQ3w6ora94fKkPpD
EUZtf0TuYvmke6n8o9lK2DsruUXeAXeOAy5q/Wn5AMtJbg5zNjfFERcHTX0ce2CDrgz/v9ekr01D
VmdBXZyHcL3imOYKATFyKM0f1RDGEmh1NnErjaxgdwxY2DfcDJl7yGAa1KnlgXbTxFJbRYnqLpmz
DKXaxPfgII5hPGIudBtptohylZmBSIyItKS9Z5Kg0lNwCFTu6P9BbR1lQ+cYil7crAwjYyls3JdT
EfXixmko21LKuJwlPD58npoICD8N/PAdTCwLt5t5POXLNWgDBhCbrj3L4Rfy99L2SHHi/sN3o1RQ
W00p5NSP87JybJGYSLCCI1ujVefYOdYc1UJbnm/hGKaZwqYX3pSyflJtVjpdcVObN7eJCZfPw4i+
17K7pYqPBxGOtdv2whZTtrDd8ddxwORdbbhUxJXZXdM5Fk9SW0sJh7IKW6GI4eQ4Qt4BnmgChxd5
fHtU7gvMK3OGLXqMBviWjDWGDRv8nh1WVYOYTFD5LO9KPoV/3v6V/TO+8iv/I33cRtMNC+5zJ9LN
D+usFAUhOlDX7osvJDxs8SMokdxUJZaJvhc/+2atQA71G387GFQOHrZM8f+E3zS/So4MJsrGsT1z
ezFr+aiigmIvufG0LYZfRRb/7LUjhJHaIrfJC6ooaheeQgWbfQS0uU5xpe+7RZwtcosZ09izYjtj
pkDdR0wG50nx8uTUL7bITQ16nes6oGk0xfOHRRX9Qxxlxbe3W78waG15G2VhsdUypxCVtNV2UCpv
1iPqRsanDiDv1S0BaMvcAKOaVNxIvAM2lknW5Q/MtNxt4NhCt4pJbgo50zQrmuwki3w7By1zXGts
oVtWZWswBTVLs7AIbvTsNyio9B0na1vm1oJQ3XhVxdJxHnSXrMbrz3NQul4n20K3ENni0ZNov429
/v3GfajB4TR3ZZt0YS6ywWagCQ2BkgVLvX4OIUhi/w27B+nbI/NS49Z5H08OskyPhWbJTfEuKPM8
oX0TXrmy21PPr0yjtoJtbuBxX89ISftDo82hb8ohPIBjtIENRqKW3Qxk6n+omYy/3n6dS4kcW9aW
ZXBBM0FEIdkPkAXIt4EPyYYKkD97aur91ES63M8rYzXdBGsWtgU4mEgQHmnm0yExyDEFp4HXZE5M
3ZTNlynq9LsyK/wqwW5RLHeopsN1+NuPe2FesElpqlBmdzuk6VIH45qEkN189SFJ+NV20o0WTm21
3FAJE2t/wawAd/JjFwzs4NX1emU5vjB+bGAaKZjXGG5oahYyn3s66c8c5Zluc76tlauWSIAc5JMU
rJPuCM78eFd3fe62DbJBaUtLZd81DK3PlUloRfL31HMU2lNbK0cnKIdCUdMULBV6S8uYfI5MfK3e
JrwQWdY6Phe4L+nB1k7rNtbI3dRl+702fVUmKI2ZmiPzw8HN24ra0LQB5JRh0jRIO9Ng6MMKXP+K
Zro5DSFia+dCOWbFmgmSRgpcsRNTHE507VgN1zDkr49RYsvnSt1g3t9H0RLHxRmmAtlRQVrh+PjW
tZue/E7Igfq4L4yig2KhOOJjuClpiU1E8/K+Rj4TdvGLEuNpy3x+rHTndgNP4n1eepYHrIZVDiEu
4VOO5f2AKzAgOTVzusYmtqNo5VViMLCsTWlT1k8F7PoSkdHm69tT56WPSl8++hapkunGD9KwL+av
yNoX78tVX3OGen1/TmLysvW5jpAPaYYglW0HvfraDfVXIVn2D+gYnZeMg5dNiTdI/9FX3TynEmRT
J40tia3IzinhWzEvAeSSC247QAA94NJ4vHXrNmu9XzjTbCnGIGVjU6RdxW9Q9ua2zyK2rG4bZRRV
axukZT8tjywv+M1M+HhyenRbVNc3gsRC49ErKfJ//SbYNKq7AWlwa96KY8NZvcIBBKsBUv7fxmKY
UJ5KyE+31vd5/FmkqSmaW+xA/BRuyNWNRs4Al4alG0Ce2Io6iuU9EGHkp0MOMWYCG98BvpKGO86g
tqCu2iIQrYLJT5cqyI5iVQsoK7GbpIPYijrBezlAvRSkkAHkv1oVctzbuCaaSGTFMmyseDM3WQC0
3trdLfBMSoeg8J0yNcQmpQle4BRaL/iwXiu+9j2tfpsyn9WVUfn6Ok8iK16FV8k215jmcg1oZeJ7
cbUmswdlU9IXQ/GEDG24ugWYLbBTbPAkiFFYyTa63YKHsX2Q3XxNM/W6vo7Y+jqTFwH8ozw/xf58
Xe4pKcTH0LANWH3KZ3nIJlF3Jx9FKOTY/d2rOkWeLWMrZ13ObV37aQ6rvA8+NfJ+nFTvtEMltobN
CDFHvgR6HSw1+bEZ4DxQbdviNrhsDduUawlaWA6wu5j6U8fVLxjvmStD68IKaruK8q4D89kgLjI2
z7+HzehHPlbXvBoutW6tz10d0YFoSdJeMz+BYWBziMP6mowK9mF7BPzv2ZLYtqIeLtY16K0kVfDj
7KEGmJuNJ+A+FdWUQGW1dKdVwo/l1t+A0j3wtZzXXWPiVcfNkNA8TOAxQ1oL4Ni/UWXomORsQ/KB
LyImh62v9XzKujrMEjjR5lD5cRPm9yZupjyBpl7wYzx2mX8YBCqdDsjWTfEh7CIxwTiuy4tDNJZk
O8i18Jd0KIpmPBTN0GwppzOdzrHEbuw0LXyKEg6DvAkY4qlubjaqIVbZNuP3dyhJnft3fTW006Es
cJvzqZcw4j7zHBmBk5oMvM9KEvIwyb2CkHeTUaDZKjkbhRvLrpw+5TAW+e5jlzf+004wpkbDfFYH
Mi3eetCF8cvfdGZmPQx6zudEgy+Yf4nzwc8TfwtClpY4/i7JArHLE9Ss4DiFY1fR5P8oupLlSnEg
+EWKQBJiubK8zfbz2t4uiu72NCCBALEI8fWT7zIRMxE9bYNQVWVmZcpAz/4S+x0HFHF1WE95lYbC
iUzPezOeREwCeccHsrO8A4mzPwjkqanCB7uXv40ZbqoJXPEbyzadJilSk7TVv+EJr//Di0tkmXJm
6R/K5CyvPGkj1DShNp2NZCY064IgxHwup7G9LDOQwHyDkXNwgv0+H88UlqE9fsTAJjmN586gzYno
b4Qxhj4nSDmMc1UR+sIECdOnDtFTZwRCWnHyMEWvEB/IN/m+szBYHyxjCqQs0MBGXDiZFpk3fRWE
BeKGzE8zOGXKigwqhcdYQ+frpCH/zQOfrrqc0Us8Vk4j+4vOO/enfd+TNdNOyrmEW5ndD3M1sk+q
62i8VC6E1Rqbxu66DbJ+x0/YQM8FV8n2awg3/97U82+BpvS3JvA/KsbB44saPLNvpl/8Sze34bvz
06xK5kOIVRauuj4bWkVg5UzhEpe1XcSKJY7Icwq72VM7Y5oAyJGONh9n5l8YtCTsJJsZiMkkIidO
bW0MK6gVQIXgSNZMWVP7Bjyy76PhFFFbPyAMujVvIeya0zId6/kDWsmuKbyP1Pyp+CCbA3ex8Ycx
oQl7UbJb2WEblFQHDR4Th3YKnHlJWCXomSPZakN6YmunYkuSALp6QbamCLE7TbJu2iZVpgm3/tTb
eWvPPBI4kji7VQMf6pnKNE9wv4NKJ9oPWVvHQClHNSFpaptTNeZNONAQQpDWsYJg8r/W+zIlL86M
6jImSap/vF1ZfOjjLlB3YY3AEbSD9QTiy0b/FIDEP2yMxCMdeLeV8Y63e0qWbnmoQh/hfe6bGkvr
w2F9XveQLV9C4NHk2kLCi2hEu/h74xn5WmK9wxACzvLRIxKdmy7rYWnVZ50b+gA/PZwtrvWMxMxC
OHznhzRZjHto7ZwGBV6mTEo61fGP7E27fHlMvLKA0i2JDzS1w32cLsAioYwgv7EAQaO8rrYWqFbT
DGnBBprqMiD1eo+0J1C/pIP//13XW50+3vJ8O5vZgd/CM6sR2xM+tNOrwCOsizAJWgKnU6hM7/yy
+zZfo22DzRQl/M9i8YljR2e83SY9jery5uY4HlyNJ/8s98aFJ45I3OkuCof3WpOya1b/O6hGvBcD
Y1BXJBWSA1QWif7mutm7mCVluJAQ8Ytmi7oLDJgrjVeWYCNogb3Gdp8slIL9kWzdH0bkYf9JtmSZ
7xrIytcPtTCzPKiuUdu5JVS46VYd4oZmYW8sYOCkhqA02GXb5Vs8r10ezTL6SARAy5IEnf0JpHbF
QoB84P3fpDFzaVqZFlszz8eYDchtn+FPH+39901CkKmFj3lt9b86gEIwQ8wCVP+J+JTw2DvwDTuf
BvtYRbOuGCGTIc2Dbmlyr1ebYRoTz4ApSGEcZM1bGi1//CwM/E7ch0V8GctifMxXR5MxhwOVKSqw
snlbO7SDCREljkxd4VGENcbsLq7uVE1Wly82Io9IKYU8ekp2PFbXY+s7m4KwhnMQJAQZJOzLyVKX
VwjERQmwVRnbhRfIbfuFClZfNtuzPICrYpVVVfqwb2auMkRe0EKArV3hMkde3VL/ZiGVv5EmxJ6j
NkLC+kqGrA9QbmrHcKMHdZOH3eRfxmmevhDatNwNigWf7VBPXzweZG6bZs+DMO5frO3wC7YkPXG6
fZotflmQOpp1se3yMKqjAk4wLMOhZJcW2ijI8LcYJsJK/YJ5Q/xI1/6bdA0gW98hwUE597J1WACI
UjIVtYQXyzhIkFNzetIroFDRQnLAuXzuVfvMW73lSRXOR9LP72OzfwsbsHLDFuDRwF8yI3qeLpEi
OOFD1/xHZikybapnFYW/7Rw9IojqLk2j+WA387jvWzpn+xo0f2GGw/ZSLDr9pdKwAkoEH5l9XUvR
jcmpnRC0rAbwNXwc23x3e/cfvuyI5ru2f/t+h0dakHQXNCe2bGt7H/gExQoxFV8hAmO/5TKcOdse
285uOW2D8Bq59jiG+7PGhsEZhSK4j6N6P6yC2SxYEveybH79slr7TJE5yfGNLQ+S4znV6D4y02h5
6CNMMkG9xDmajfpDdt6/GNDcl5jg+DbwiC5G2bdZUMHxe12tP84D+96rCA/N1ZlI2ynreXfwPZyA
OMwVj3zg/kpJyrHaJKcqgxxvzitG2TcslZY/9cL/wDOL5xCrTMdgiD+gdVSniRIYrSCY/lQjPTXj
cbifIj8MOotDuEbjQ8PjmdlX3aQIHEHkAg7d1DzGUvk4S9Kk+tIVCtocTXNWD8amJc5ImVS9Lequ
Ztc5qNXvcJzGhz0irFi74BDG1XgNGZrJeW4vAo1aTiM9lEGkAsRydWiR2Bp+TCC5T9bUW9aO3RmT
sbiXzl2bmrzpmoUnfDwlrURcejc3WSfpnm0iYLke64ud5Zus9JpzxLTnmm5T1iKjECyFai4uCHBz
L/wzNMtvDgubfIDssM0c3cYSnMH8G7ucXdEnpKmyxTXTKda4aYlPgivMxuJHTusQhWJ3HzuU7sVa
9xOycXiazU1lh3z3i1O5Z2z6r4HuoimCZeqb3LVxXSBowmQzrABxtxjxXYVbUh03MGYtlDkVD49i
IfOYW0raE7PJmvtabhmnQmQb2oKc7es3Zsk5hMaIJlHWYxm9hfSFJRapLdudUFNoik4vZs/TNVY5
s7gS6Uary4I8pu2KdeEmgygxKgKEhBbLTb8JSzKGZUF+aSStj66XNq9N8w3PJZ3B86SCjWFMiy1e
+NsI77K88YgYwl/C4v00cMkW2OqH4SG1erwT3XJdffqr2dvr2HWXBWlHpyhtZvWOXdP0Hv1g2D8b
+GOgyCVu/kQEs/N5sPFuwdcyQBi6uueh0l4VVI4oDoIPKSx5E0XLDpBac7/uU3ows6UPrTKizpBN
FCU5d1vYZyExKSaNlKO/6HDXZM0Mm2OLR3Evkaj1WdmN5iM6/xeRJirjLiD3Zk/Kuonv0ACND4R3
U52F6+TKOkg+l2q69O2MUIsWTZpG7/cIz/mwHIk/DlPXPcLq4Wvm0C2nQ5dm07rHY4a1zyRfA43h
xTRhHot4wtEQE7qkILikVTzS0x52JM7GLegvmE5YBymt8P8amM0cN9mZsdDWVyVicsaMMOP5YdW8
QfOKnc48SSp9aMJwyBcdXkdQaBmp6jaL2agPNh7jdwZSEHFWyBwdYaqVtTLEn8Kkm7Xe4Nl1wxyc
66aZCokKuuSB0PvJMpxTmFJygQ28zvzX8sayvKFV/yJ3BYREYAbLhjXt0kJuMBI4WxHrp11vS5ku
myxaAx+70Tf9Vx92y/3gkgVhUbpCmsM+FIau08G2Ck0QtggOFKDdL8OG6YRbw5TpNJhSo16XpN6a
F01T+kzRU6BV9MTkJI7Tc7P13S9kjUOohuxcpJ62Q3Newtk+YUZbH0JKUReTPTEzQlANz0O94hGv
TRK+rnYe/3MzPFtH3bMT07wNMmmG+NygEb+HgSzPm20MXqbO6SPXFAsyCw4+hRYTNuXDOGbTJmhG
4cVos8YM/U9AMdKm+/omtlQUyqoBmI5pL9BuKmytmuq9lbD2xHZfXwflElMSZZHS6u9Uuf4VNGR3
b92K7jiepguLTY8jVtVzliaUnNOd14VTG7lwOauzoX1cAqFN9JN146JKbeIoxo0db9ABwT5N+rCq
C3jTyncnVJ9k+Cznr9TXCIQNE9o/QJrS/HJyDj4Fr/Dsatuad84nikGaWILmP6JgSVn7ERljizW9
dddT10Z7Fps5OgfVFN2NazV8iwpEP+Yc9E2YKpNSpvDnmjp40BO4690P3oj5JKfFZMyobn7YOBxS
M9hLkXxO5lXn9Ux2VCfVScw7EY3BAUjMT3xLMb+4ab1s3iRXoAH09y0SJ0Pw5YjDXGmHWCFbXdaN
9iKzJrLvKDrJkEfRBIklfDKrODMp9hI7N/fHDZuhZ1xxyauqY/1BW+YQ5kAe5AQRfmbDHWn0G8UN
KAcXF3pKcWOG42YOKMVuyFWzXAl0kwWa8PQ/bN2OfYlTOamrthx7U7d9ptyNAAwgUo9Rcll6xTn5
g5VOhyj59GnwC86tV1spoiXtM+UH3HB1vKs3hAne7R0CPKu5/1g4QIRsW4PAwC9MDbykoWbPNObD
+rW2wmwH5B+HWGfTFPFA/Z471wRPW9vhJo7Y2CyFdoHAnpKb2feQWv/pSLXqzPd9SnCxSWQtuqbC
ZCJJ9VaLxgMG4QQ6/HWoyCHhUbpn0y6ma82meilcEmIaBB4igiyuYEycrQCADqEnyIWHBG14l+M+
FbGSCIURkBzcedaijWFc/PRoRPKhlaascbNc9co03s/EkbImaRWfklD6i8SC4fsKdqmsebjeCVu/
Q4GU3A01ACONOyHD+pjeYS4HIAdeN2PRw6j7HMZO4xE1rDp1va6OqCPqYd27uYiYN8UUVuFBBV2E
Xa0grDLpyFLOnTXXESRTjiZZv9uIDQeLf88Bv6jCIY73VgwtUIaAdd+ASddvCA7tMRq7quCT60qP
CzPnw1ydgbFhvPPAUQG9QBA8+JuHnLDPCk4QRVxH+rWRw6gzSOfrIa+D4X1FkkLG13XvM1i3RgfE
9O2HUeNGXuk0FAuNeNnBq/e8LgvLZtwojyJZ6gzKYZzwqXUqgxsi1wXFJVtMTNKzDK34B+2oOKFR
Ss96wOCI/+FzqPEjwcfeFugARUmX5h1zKztYvcTPUZw8xmaoPshuPpdQgX9pdSG6aIJ5VCvfkDam
zvCJaues3RCSminYF6PtC5scaxgYdsKAJnf1zFWuYiSf9czhFnTwLgVyZx7g/tJlLFZrPi8QO266
8dgiX/SfVdA+n5ANcEfYzA6ahPIQKWx8jLMcvqpJoaHekN7SkEoUO62XEuaO07PpJvE0oAb/Qswg
bL9G7k4jA1CxO3mKbd1cla077KjDuGlr17c9pEEWQmmGOzxsLw2C7T+GsSkNms9bN6azvZmikhpM
7DO4BNz+usDYJDBsNc/tENsc0cl1udX0J4qq6DgbHJGGjSe1sTRjHC0Y3du1hL3qvx3ms78TDBWX
KER6Wqh1mw0iMCXYBPtIbXxUWmy5jbsvP5L1pr0eD4Iynre9aDKyeFe2iq+FnPFrBYr7I5B5etap
f/JouY52qnHp8v4uDsO/vnPLsW+SxyB2+A2q4WlpxDUOMSg6sQI2ishXlYrgGKYKqCosAq/rGHUA
RgBxZ9pWR0kYlnCSBfs42GF9c4ZfKb81UELRHO7NXQmV0mdEGrSUif7mazLndI7/NKpfC4Yw8WsY
aIevZJoyNe3LZwsrsTL22MBqNMud70XusIF09MbovOrhaltvCZxE+d4+oD/BO0VxQBD9HnQlYAB0
Xb3ALAFLQLycmcDgP6gO0m9J3lnsnQ1wrb7hojTrO8s+FAnGS+CSpkB+oMnQP3hoVtSXHSsgTZsW
5WTCx2HVaEuVeaPb8JH2cY+OYVT5WrEWmsDKHFbb2tJo+d0GGqLiKCxXOE1eK4aoRrLSZ4vYmWcZ
RktZrys6uFqrzLSIaeM2OZBqSwsE0ienZmxpVlP1peQgDnHkNp6LVJKPCC8BUPVav8E8+LzgdWcp
gQQYRz460FDiPhj6Lp9YMx7gTv6SgPaeVNVle716gxreJpcFmWlPQarTvDUBriSxYgNqq/vxPCE/
/m5MR1HWosJ41FsYrbkJtKGkbMqFHpd7RfQyZBHcfz7R7XyjZ9WXiSt/HfhC8oh4f4dtp/qJjuOE
+jfv+OWAFPc2I07wK0BW/bBU/MO6pH2ceRVvN6zYbJ8j9AC5Y0biB9f8Cs83l61QwmRQeqzfm2qw
/xKrEY9qxiqPcwCrp045fulkirq8QqxMAHnV8ZOokDFw3OA3gS3qeVEKKLhcn3m9T/1hU3piP1Wz
25z0CWcXI9zCciWB7WWSodfJooam/bVzjavvQzKxDNNfV+DNWnyCqLn6+5ZCUp9nHiNkGEblhr6u
Qar+eGnW+CNMb+1F5lqRXHtD/dmruFrRpqAAfs9du7ILcPQ1zrGSdPuAIfo8EKSp7lheXuIQvWwf
DEVIV4yjNzjuPeqX2BaoXyEUeIKI+5oGVr3KOG7NC4dR5HbYqmqQT4gQHo4LUZiR+aQxai7dOvKH
Zhf2IhOIrvEhiKcgWIIlS0EV1c8bVhENkDrXPYxhaJejZ3S2xTTavroEzT4PryZYUGdb7Rd7nLCA
oTK9sU1+TTKktgQECn6lncdfELowTDS3LivbFEXS2ohOoH8OJiaw4Yi9vEeYPMGiMwOn4w5xDLD1
Z5qR+363NWTai8oj9ziryb6s/6jeUYTxjUTukDSN/TWlaXVaZNu/aN7v/V0ST+qxQlXChxGJejzP
xDZvS19h+A9TH74lXRe9Wub6/Vitt+6iamJY++JrBCY6RqNDLi6s5UNMdFsaPnXRTB/VzXr+YCPZ
A36ft97Drw86+3Nch0o/oHaP+sQGuBifO9bQE84XqpdZoURSTbc+tsAL/vZ0VvdYSxzAaLUUiwtI
aE8SRLR6jeADzEt1tkSGKSQ8tEoVXS+kOXHcFgBJoRU/4a8Vrw6TDD8v8HXlRxJF/RMTE6xk+kV6
LLrfnItxQ8nxB06w85vCetiL3Tq2FdWANwSO39qfWSwBKTB2M/KE2PX41GkaAyPqQ/Fqw8qof870
8D9B64gcHQlHtCmTePRtLmPHEVy7gYMYVVc5dGqD/GyW3tQPGhnAYZHaZsRnUhNr7gzR6pKOo75v
4QMZlEhRGZYMKWAyeoqjac3bYB74dSChnQtfm3TIB1L/cJAeOudUqqFEKnv9koqIY1t61P6EQZbR
bBEMgM9iU3jotyhuGbga/a+iDKxInQ6uAK69u0I6vf1bvI1fsQTJ/EGBjLsIWrfkX0eBH5d1Olks
STeqOcZYxL5oTLnjTciUvAcGXOO9b2bv8oFvdP7b+yZiVZYo5eyVLHtPztEeBfxZi13UpTNwyzt0
3cAuuKvj9TJU8KDLUuqsyT28KkW+RTx+wssQGlxLMKIRaRNs4sJEI7FFp8QLcmesxkVXUyAMdA8B
r7G5Py3RuJpcoxeDMGl0slF3cyij4CcAphwder9Uyc13EyarfwVID30H8mTkz4QAASrqmbXtk2l3
UIQbas8xMtHsb79HfRC7iWHzFwa4O5XV3OQR0szfISn1H/CJ7x6S1SWHpdvXXxAkAMCeULzvfCym
PscaX+MyYqRB1E+4sj8GLePLAK7sbViXLj23zbBivKdBHLxYYacH4sXQFfhm6//wDvZPpxIRn0RE
CJwezWZyRnT4uGzKP7cbePa6w3SZkU5hlGAd582ZaAmsCdh+3aFDBWBTdFTF7ymdlkc0//wJtJDU
Wd2oRcELdE3HDz5sTZLbdDcyjwDh3pqNap3+o3RbyYHTBjGn6czS51ot+zHGZIDg7Rr7Sl3r9DVK
BQgEuo+HwAnPcWtuCaD9mtIhD5RoyXmmMW1A244T04BYBk0+TLQyvLsedqjI5l0SeQ82uVuevKUx
UPt9iYK/jeib7xSA7/0s15jkKcwvwrvBsA3qfuDWKt8AIYFSVAl7xxw32dK3SrzNJJrOHhOwP8aR
St957zDWwjtpOPtq77r/FGw5Yfts7I3sBStwCrZgx4zld41GOBHVWzNym0lKgrrco5sN8rCCmc9W
J6dX2Gvtv1P8U2Z7JRaecex1/3hdB+Y4zzi15Yo29WUACoFZTTc280Rjz9uLbaSXCncYrgCfABIb
cE+rElbXbZC3ymMNG6LBvjmZVfhX56r0T6c02nfD3PyKPrR+pbLFg5DLZrCQCCL2bwfVSJNplIMJ
fHyQpCVcADHdiRCUS1vJ/iwddvqzsPX9Eyb6/c6KPb5zLYdXHeJPtGBFO3K55/3Q0v+wCyWqA3ND
rZHY4FuTCwjJf+rOzH9ZP7DxRq+b5bwDTf1vNFLJknaApA8TxQQLpLlD7e0nHaDUhht9ac0I4JrG
gx0K8Om9zk0a4broOEFp2sHYSyDVTbpmFZHpB4C5qrqrNO4PwFE9qU7Q043QfTaOYrAfq/bfEqnx
j+53lACwgdvPOoKyzEUwuGfWeJfco3iCzaBzBzaQN5Sjj53dmZBOPFjX18vFWqrCvCYdInam2YM7
oipSvwYwdAwnGsrHIyw+6V72QTv9CCCff0kX8+4uhf+zLPxUAzcmjcEdDoC1qo8BhzFxnrYgtXN8
szQsKgM6DG3k3vzq2rD7PZt1CC57J3VykG3S/4CpX+NsX9I25zphP7fxI80hwe/WfOilewzmWep8
EtgMzUGk464P5PweddBfHMY2WbqjXAjKcijkAE/kPQIITEB2o9uKsUtaVIHrdGlhBMfLzQAAK9Gd
d18baOYMt0sIVnvqhkMitMNNqzZzxSVM7gJHwOgm6/YHuHHa5zRcdgCTgRxeETuKEzNOAcEjdWsU
HC2dsE/tBIkrgHHtlLw1sB4QZ1yyXGQ0IjPU2LRRv2K3BO+WkKX9G49QcmAhYd8nwBZammLfJix/
L92QPOxTtbqCjnK+ijpd/+zADvbcN8bTQ28dJkSztTMIYifgf74jzCfHDhkl99sSbBh/gSMdZrP4
O2fxRx+BXQG2x9qaSk5Gtb251/jxPW5FhS9iUrd1toTIBg2NwcnAXL5tiJxwBOmVK/pMgzkbNkX/
qYRgCBuncOsysqVUHEySmp9FCsABATxuwiLcu/UN5LHjh6DW63q4eetUBdnjBQoZboZ3WBlX+1Fi
ZfVvtQZmyXSUWlauM5q3HEaVpn1uaTOBl9ANkD+iAErgWGsDTKYdIe7Fq3iYNG3uh7CDzD3QkfTZ
RLFmdp72YZpBj4zo2/fV8bFMatO+4/sIgrc18azHc0psUmwYv1kuGOshKMGY8ZGYnaan2QUwkWoS
dDSZxFqefdn8Hs7oRrUb/tGh8+kBf4X9xOWGZOxateCsxm4MIcuIKxeXcKXvuwwuAU0MBY9Q4YGC
gV5y4Bf934k7tpUTTsKaActFOkbgwGSVYTVHfVGTCI91jvcWTXu8+78Vrbh4aEcMbRg/h3m/QVPR
tlxjwO53qQELlm+c6blsKxAex8DL4dFhN/tXIuubF8g8h18a4+l0mKAKWYuxHURfLJhCgg841c3T
M+29i+/q0YVYSwZIG4oDmSuP2duMYfcL9LjBfxmipPshcd0HV7AAiTt4gj3UHh0p9qcy4AIoTHBV
MslHo9FGQHECY9RL61FdCoS0hRj0E+g98qhCobl2IMIJ+JCGzLmADLB68Irg4uQtGV/D1oRfPduW
bwhB3SnVfR3j19t7aAkY69azo13Y5t538Y2Y8wn7W6tu5ajwMzq6Hd0entCRN5raPZuDPelKs2uW
FKiTNz6iHZ+Qizm+NaYG5U04G6+WNPiho76pa2DC6/I+kgp+heNm333EeFMgzsTu56Tqhs+tisM+
r4Kt3nO8cFylCGKPNrToHXM5rEwgKgvWpUK75xCO9BzTOBgeG2GS9eRxg6clmZue5qgAw0NiVJJk
EVY7f4DFOJnHaMkBACg7TresoHAq2LIN8/1iVPOo9liQzFmG4dfhui1wRZn9DnUf51lgWJwzFQEw
hpwvfXFQp+t8GeKgyZsWmw5Zv+2Ar3qOXvWSGhUAmPZrN17YtGAcxOiJazfZh63NgCHBrrAfcLQ7
SkLsJ7ZT+xCuvvXHCn6p5nNW4PLOYA9RVGLokXwGJJaaMknkGtySNta22MOW0uuKZwF7bslUmgXJ
OK+/lgWeAyZrUnhVoWyoqH5ClEgFLV41z29wmqLPQ8L1k05q9xuPCm2xwNrAck4WX2t0CkP0GyJC
DplCJGaPvehpiEpwoSlixDyX/7U28kHutroWOUCD+JumlQc9qs2Gz06T/X4K1/HeCwX6JFrWpuyZ
Zt+Wtf41iDtl3qkFbXeaUon/JTDG2J5cgAjxf8miWiwaS7y2cgoWE91VgaHbY9IE9t8irP+b6H6V
UDjd5nSCu6A6LD1jG+R2gW6LOeaskEFXmZLAbOZfQkPw3tEUDiRDoQ2+IB3c8TN2KkJ8+SKXKkeI
YnjySiKfK4r1MeHin9kckmTWiAQD4pgJih6f4EeScdg88EJD6zE8yXlK1APD5x2VbcqqD2TS9ONb
skgg6AahjKLQQcjv0IGNwQukMuhyM+lF/c/Job9WMZY4it1WqHNmbz+CNeR9XvutI6WxtX+NoR1Y
8UtUmE6qqlddGSIKsyoY30WcD1Gz40YYed0jrk8YmzkTAfKkqFN1RsGPCkDSUS/P80z0VwDScsuW
adQU8JVbYBEzq3ErbR2A1HH4Gu+aIEi3Us0Jf4jqsf2wA0NTH0yg6VkQyx2CPw9WyO3YRc4FRpZX
qSbPz4pMtQS7M0p5gtBlR9cWUwYaugIn+Rf7FT1w5BTHOQ/tLvhF97ffAmN++9JtJHoeUw3MUXC8
n0CqolesAcM+rcl5UBCNwfVpHvEYgK6WCFSfHGo4jy1Qro3rkyaLfkDLNbvDCqfuBD9kSv9yKZq3
wfYS+MVGLIC9YCIH1J3GHNo0bCFYGLBAVIKnTj7qtbKg6eN4RCsGn88RhKhov8kQLO/tcIOUIPvu
zMnUu6kRhjIAmlRT0thDSldrD/VC4qbg4BIq6FZ4i8I3R/YN+wfQltZqsrfnjjH/rU3q8dUvCLN/
loLjs04ihGdlKsTWXVZDTmKKKB2b/7k7s+y4sSzLTiVW/EOJ99DnyogPmMFa9o1I8QeLndA3Dz0w
mxpDDSEnVtvc5RkSo1G6109lZeRHKCiSMjPg4d5zz9n3nbqtY/eaoXj7OyumXHftmFYbxVDOAWcE
qn7sZimKcKuZT1SuJmOsMLHA3rm5+BxSdiXIh6IzUFhrmW+WzpkuShaup6t2kO3ziB/yIewNUaBv
GN3aZNGkuVKDYkNEJcOsW2dJSY0yT1XP8IsWkpNoFMa9o3WIxlFW9+enFdnpll4paln3zbx5w2Ru
qQ5x2fTTmhmPyfAxr019J6gd07U1aycK/JKrr3EfOzeDTTOKFcGFgl6UCz9WMxre/EXmsbeywtTc
a2wHUEcvm+2VF5GZCjpVocKNBK6LdetG8l3L8ul2aeMWP1MjqmXd4z59z82hqFbKtth6aFgxAlq/
TCELaj2tbzHBLi1SisiTyxgj8emtt/PXTMvap7B2uJH0wcJ8BRLliMmtzIPWtaevSdu0A5VXDZCl
ncPqPAtzQ660Xmli7bFMadgY0qlUEA1aRaFG0WJvELimdpMMXl7S5C9OvR31SU2MV43GI65flc5F
6LZhchYnHaeSLAtrYmxo1hEz6qzIWFo6LjcVGKTkonfLWjJIMuW00bPU63hCn0rtwuojc9UB+Kg+
F7hHp5/EZf+Zp/xDNCrsLcEr8k5hiHqiwsaz/mK6Zfv+x5ICH7IWs7ZM06QzpejEUpxwTMNZMVXG
T5JXv6TN/4Fh/SNYlMQ8CzXnRN/aIQXrXou4S7edhxXAZ7VZrNaFYVKX0gLPLzTT9atQudmsk4Kl
pJuYFqsIeL6Xzn6yNPuPhc0+4kiZIiaVg+uWQwRbdBLn81qkP9vT8U+yK/aHRBXFv8xcC8VElWbx
mBajepmQzBff7FQND0co5KY/9NF9xJNGsXKy0jOWrRin6DhrOfed2cjbP/bTrR/DW0I3RhB/zbKV
MyFMyxj0va5XyR/LYXyEn3plokeSzdXbOa31QO9EuWEBmPhjoZ6PlNO88Srdzfm3V8IrQD7apiPZ
wpPGP4n4/5N78iPlVDutWGyccd4ysH/R88HvVXn9x972D7c7fYZRsQ912XIrfkk9L2CTdPUHL5gP
93qt+h5r7GkAmNk5ezmlCHgZ1R8icciPfNMJV4VV6+myZftfeqwi1WzUYv6xFTXyI900W+o8ocCY
t6ptkje7bvLLxqjib8sR/u11+vfovbr69Uhq//of/Pm1qucmwbfz4Y9/PU9eG1IpX7v/OH3bf/21
H7/pr3dVwf9//Cs/fAc/+NsvXj93zz/8gQE3Evl1/97MN+9tn3e//HT+iae/+d/94p/ef/kpd3P9
/pc/v1IDdKefxulV/vnbl/Zvf/kzVeF3l97p53/74sVzwffdPpd/wmXcdv/5v1+e8z/Nf7pI3of3
9u9+wvtz2/3lz5otP1mGZ7N0HFnHtqTBPTG+//Yl18bKZdugeXQhTumkklBC/Jc/C+cTNkBWX0nT
ZeOWflqu0Fb9ty/pnsUXLcFox7ThZfz2Xvzwcf3t4/tT2RdXVVJ2LS/ux3PXslzbtlyXnZSmIaXF
//14bKV1MosE1v8ae296bldmdmOwgHZeYw+XV8Rp8m3sVvEBmVlEgbBPBqG57tWTmON2U3Tj9D5q
HepEyFJftnomGx0P6Gd8lWXln4yAF7ITrJwc5YJiM5pec2gcgfGCqt/GShfTizq62bybaDc/OSw/
PEV/eXGOxTvsGJTuwnNO59F3gVrPriKvJMG1rksVPp4Mn5d9mtiMWPXmjREG7mMP5z4D7lLsNds0
4PkUnvB1qAkvZu0+V2NH5fbL5fK7bpnL+r287Zr39+78uf4fcE+crtp/++0y+7tbgkHlf/6vH+6h
09//9Qbw5CchTdv0dJM1ZMI6nf2/Xv+u+8mxuMZtHAS6yS3Apfft8pfuJ65GdtpIXRceTQXf9O3y
l/Ynm7QX/7FdxHCdn/fbv+u/cfkb/3gNOisPT/fFd5dGFJYh40dLnsZG46Gy0CcTw8MFkmiq2LFj
tzlIpTtvuLZRrEmTuBk6Mntl/cQoRHefoIF/1nTrITZR/9Es6o6yrJvabOOwohd3keXE1x0BwRxm
gjOcHH+auHYRsut1rOfel4kNUE8jmaEbV/N44vqmKTx9JYxekKSqavd2GdG28VKhHZ8VTWod2mGK
bqLaETWVOlkmn6mQTexP71w/wp/rrImO1AdrkNFn5cpwZhyGZY9uKQ5NDNs8YoRZzzd2Y83JFWbc
hFbAUDnGicbx6gCwSVquWptQybrP26zB5uuWdxnDsWtiOcuVWVbjwcCwzzQ3b8hhqNw3Frs8jzE/
PQ12NB8s0/TO5CiTHWrbuMrrUcOC3bKDQyR29RL2bblh282wUqzt2mYirs5ZbzYdaazjAKEOPhLi
WORY8blyCiZMoiMiSvJi6beWmuQOz6DfQ89Ye5r1uTHtyFcuA7IMk+5utiwC/7md2F/yRKt2WRSZ
Z5MzkV1S9K+dY90qNbJ2I4z6ldnrCxt552bVuB7JAdM6L21jeg1PU7dczvOFmeHhdPJuxpugmXe1
6xDWsBQNMi6eYWvYmrcu3EE9dLluHRSOHgy9Y+fsT2OZxq/py/aInBMPxkFcwgaW9zqjyo2z9My2
q2y5XgwPncRmMBCYGk0Q8ce0valpf/HVDQB9VetVLe6gmDpBy9i8Re6L60dXR5V2u0KLopXG+hdE
B7dbV0NmHmNGXg8Oout6MPUHHPbDcRaZeT4SgXsIh75c6wuLIuBNgwhpaoVtFifZaojZBWfyBtBp
xjBKCvshrRLb98bY3Dk22hwXJUcsRm9niH20pBGRFuc3MxWLHgGWmBuO+Bt5MTSulfnWxSWayBjN
9DFjlTCgck8LiEwUgBrD2Tm5C+1o4KvKGfL0DZ70uSnadaJGXe7Yg0K8IEoZdzKYDG8wmJT1ZrFE
yL83xPWAgKeMy36ecFzgGGeI1+XSIShrpeiyENRG0rKFOI/YNPEZedTBKZMXQ73ro0ic5Y2l3yWe
rVE4lu4Y2B0jUx/12xQ3DTZgZ/AJ1shuo6lUdCsN/UHjO1V0sLPMJksQW9VhZBayKSP3ZLAUpnYt
Izw0UgLz1I1fbrtR6efMzrqHyEvr80S2rsaLrHq1sgQLcBxWeG8N+FLFDktsGYjRTM+1fox5Io7l
MR9001tXzOAYTfIRAZdmTckGAKmLajbHHZO5WLvXhVGeo003HWZT/ca0KsmhpFhZFZcm+oRReuPe
tgZrb4S1+OrMXnjNOuKiWc91J+86JELSu5isxDoWs+sEIXlK9NcwbC4BYgpyXBheLbwYtczYTdtP
rzSlLJt00XH9ttPyqzgl6dsDkxj8NBnJgE1t6/S4Da3qcpFCu65sApNI0idLaRyR2Rn7al/bhW35
fTrCSq7T3NEZjabTyDkciafOPaWhlTeWB6Lyy0E3XKxRXTJxp6b4eq+4uOYzqRyFN6ha6nSd2Whu
PLpTb614umBfgbCwa4ckPhr4H646psfnoa3w0eVlZQg/7Ad5Ng+ZLrBzZ2lQ1q47br22cPahxl5f
vwXNe2GFwjnTmaAWq7wQ9r7F+bMuIqsKMIOiuEhIR9eoSVhZPOxhe6EN6HJp6SZHF9LvWeFqzYNi
X97M/YiPx0/C+aZq5T0LYZJb2yumL7VrK2BJY0Qi2dLkbgin8f33Fx3/uAL/oWTfvlenKrf9H1CS
CJ0C0fH+ZWFyfO6TJsm+r83/9m2/1icOVYjrOKSpeLyeygmqkF/rE77CA52yReci11lwA/fnW31i
yE/UNGyXchkDeqYn/1afGOITiSOPmppvNC3qlN9Tn4hfCLcfhSAUP+uDLhIyoB4rFLttlI/n8Jc6
sB44neIhf8mGnKwpawgYxSsGiElC9kOUPOWLQ5Uxg+YwjsQ1B6/mp5jTg1APnyNZiZ0DvmwNtghH
qCXK7ULwTo6FPGJcxv7KilSjLR8zW24877rDktvE7pkjmm2mtLvF7O+xYnD+51dLp7ARs65g5WSX
jJrmIObQconOG+4NVry3yQaIZIE5wIB/n6XlqyqMfeSRUZjitDrjbb2wRXvWkTXxC7dRzAIoothN
t4kM55j22uQvnqQpAfHC44pfhhlkFedsCO7w2bRR+6419Y2XjwQ0XZ/dWwpvRnLkmfQwRMtlONs7
Fb85XgLHjmAmgc/bJWTqlz6G8de+ZQRcuo9jbMmVMyUPibhUhlUHZj88WyG+b726b0z5ZqXjtLIM
Igz6gmO69HkWp5RDrjxvrEw/TNZ8CWxBC9oI67fH8kefBd5PDHH1fdJVIpjl+LmorQtW14wHOrH6
0SFwtpqwIm0x9DdPgDtWA0wDoAhQXgMnqVqcr5ZdrkJUmNSfXBngG4230lEmoZ2lda8WEhwXeLn4
i6K9K7KxPZhMk3luKvAOVfU+h0l9X2gyubcrcpGi0s9yInuUB/MQDL/tCfldDc3/ZxrAiWP9L/qd
pi/fk+9PldPf//U8gSHxybA8soc840/tzn+dJ7Trn3Q6Htp9z5Pi+37H+qSbnDUEfj3hOBwtqFjf
+h2+R4dk70HGx2x36qF+33lCW/O34wTZ29B59sGK5tByWXr4oSNm3Ygem2Is9ksy2b4R3WtNNgd0
Q4AlvfnzaLqE0dKzbNjXOju5HGagMCnqi9lLf7IY50fh4du/hD5OksJDjzc/CHd9G7NyHZf/vs7G
PUVdSMrcTL5YXv3T3eInjMzHF817iPYiHZNek4/k+15Ptamhx0Vf7Ds9pDQqAznJM7iexs5oYrGp
Q0IRRH/zC01EzWpJqhmdL083i6SLEX3rBd9dLd+60O9Flx/pRr+8dB4dKEI6DSwN8Onr3/WejqdV
M7YT4iDV6AWR5T1iO0qCpjb3sU2Ci0xQvO50+/5f/9rTy/zwNvzwa3meff9rNTszxKzmfD8yj8IZ
jt1OZK2xEq77EzH2H3y23/8m54Nw2qMN5Vkj8n0cjy84JuABD4i+i/OWJz99VfrpSvnb6+IqpqJ2
dfuXN5OP9yNANmy8Rm8xAuy1PCQK6WTOejTDfE260K8b6zOd3BZV52sT7qFGBFF2qGNTBqzmfJQY
1bYFA1QLz5lbi6DHdohBm7HhNu+SmUhTCU0Cg4RvQjmpI0WSd67WZG2rG2FJcdWzecxnnvmCWn6p
sPz5VSoeQz58PsGK8lDs4ni458GpNq3d3qeay4k/9FPAxpNhLSx39L0k/MIBMVyTxvctDwt1ilN0
PUn3gh5JBqMRVp+bDnyM3w/lF9lqF3OfVofZiO90PPMbKx0etIF85Jw4ATyaW4GHmvhlFJ8THTj3
JnNLwLf3Q/RfSteRFHV2YL65Adnm7hgkEAGbiJs1ETciwbl7O49PZXUxBhVp9FsWYR/xc/OsJ6TS
GJ27QX1o/T5WvtlgnSDat2mT7p0O902JaaZrZSMVdAvur2XVa/EXd3HAGPSbatRpJDB8N8YUuDym
sOA9ihJUMUqpH+nbqn215Ug+SkvCHf10te+rusaq19a7qfV27SnzaiaPw9xdEtp5z9gdQ2LBrrYu
rSBL2GdsAWZPHJMm3uz7XV0mLh2DcR+JacuF8qKFsea3ivRhnz+5FQnTSNFQdWq7tAv9fE/EoKDF
9BubYCtTyke9C/Xt0HK/sDgDP3ALgATd9rbBWAQCQV20EUEIFFtcrVlHPLENcdMvuFlN/kJlf3YE
14U390WgJ4X7uetJq8k5fZKVjpuSBhCDFT5cr+bMATK15k0n9DjgQvLwiBwm17KB1rifNXmaZdre
Q5aO99YiJgQgFKm5sPJ1arSrcmCnkUePUTvTbjFwNdpIKSnUYKVPQan2qaNepzSYPdfvM9zRQiek
TKPosDq5i2NjrcXdAXCc8AmdHfHtRLjY2fwBCILw1fUUk8vpW+eyaN1rF9kBy6yGqamT3DVFsHTJ
zYJhYp6Sca1P+Q6752cb/iURowOnMwgDjCmqD6YUU11zbMWt9Mp9NL1FsTzL5bTCY7QlnFb3EEw1
ln2UL7q5rK2h2bthcy7ZTzLnTyTqSbR1/qBru0jcRhzo1WgGcDd8kisY0nV/ch4ncToBqkCq8AB/
dTXnfUBkxp0kuZT6YeJ4dXVsUNx+UXWFw4LUsG7ZB3YqbA2cANq5axESxTBmZhd9Xp7VJITt+CLq
t5F7EwGEMpol0Je13iGETU90tX3Hq8v6s15dZvWAG5MqVj1Z7vxsxs91/6bN7aonjailpIzeOk0P
cnEVifsF0lUxrSdCDbq8YtEx/3VaeRr4JKLT0VtaIlHFX6fFIWGyqbs3TF5r4q1LoR07OWzc+jAV
N6WBSd4TwTj4A8wLDGgrzISm3V2UjRUYmrOeqLY1JE6owBtp2IHmPcb9Uz6tieghdxDgydxV8sDb
67XTzWSemKbMuMeLmo0qYW4G2KX8GMdsBfApzvfLfKuRaJX60cSzHmaQA5R5SHSPVTz1ITXYaRZx
CQ/FpqJ16asYbMmrVVBKGw6X0Rb01xqwwcYt4ks5DCua5sAevXXX9MHpvSzYJZOM9gaO00piNikK
tniamOe5TT1V4mnfGIW8sRQJ0+i2dipM5e7ark9+BbmejHij1LCp52HV5pFfho8FhuV+CRYPgjAo
Jtz/h5lMikgkjAJ7hU/l6MrnpDn2CXyLRPN7Tz/rYrFTOgntkMRAaZ7LOP/SoDKSyggs/Wwumq2l
L75mN7Bn6DeQKUpS8nA720bbwW1aKe0KCzsd5s1pdj/qGVg1Gcil35ijIhz3zOJKmwgnZ8p5SbDS
Ni9T+SRwwxSF4Kecyyq7SZP4wmuex/IyKtm8E71albvx7GYNyAtqHHlxkn2Wnqzx36+c8AJ4+VYW
ugXpxDJOMmKI4so/W1m5t6XA5QNLLW9tNPkO0OV+BAW9qUTyVDYn1ASZGbz4Rrup85boUeQ+6lFk
r4pOzCQK5w32XQRFAm49h8YyC7GZipOPI/qqCMqPUbwcAGjdTmbkHcOTo6fKswJYHdrnwOow96sh
h6tGkKOyt5oZuetEa46VrvlTx9ZptoGtBy1/DxcOoLQBR2CNR2xkb9XQiB2hjGtiUmdgNM8EeLeg
06Ptvy6VyFX9XVFBGsj0DNthfuSJj0aMRLQWnAtP23VKW48s6wNLtsPxXt6eWJFBFi/HrO/SNX4l
jGBUKJYJZkXXj549qq0wk+I4T2qs/A7AD2SyHqzgfsjbjWjx3Cb4Xr30eUZ0w34J9eMtXJRpr11O
H3K1n4vBMe6UZj/gUIoDj/tW1G917pLRoYXm7MvTu6nD7coOwekihOdDNkGem+nem7XkK8Zi58ru
l+KZd8dRX5b6stGGgJZ0VWEk9AsQAcDayLFBUjnDPCyS6CEyvGYVIRjG3oVG5m0Q+tloOo2fChXU
i/ewlBkcrYjHKeKyP4yfcSStqqHf204XvlSAYGYc4bdCTN2RXQrqilkahJhZ2FexatLzGTvYSh9c
zhD2JUIMauaXeE6rh2SuNuDVzru2u5CGk113tquBhyseRysEtDMStMVegejKnLFavNMCo8mP4CXo
44Cvd6lepEukGKjjVejU96MRm4E1N8DHUpRUGCAJa8yZwnDCy/lSeriYCWbDphnjJrDI+GKm9MKj
05TKR9LREr/2smVVVIrn7pDrG9jvTykGNQACoJ4ZQWjWShtHHiWyPZS9Pl9XnXioJAHivtEPDbbN
c61ZuF7d6MLBN4lE7b05oBkRywvyuAr4NxFHG5YCZUlRJtXWG2f3QOFlnmhJME4aLUJn5ETmCOFs
8pTcV9UAMMBoLtt8qNeqBA1B5iT16gvOwbNpse7nRRxK3YTylGTBXBRPhkOqIO4eIRCaq3aZCWzN
JH+Mjts6k1JtI131a0HReg60KIcuh46MD6B5CqWF9utNgk9gwj3IJ7lo17k39q8dXtbb0vAezILN
gMT9KLTNx8gjYQ4C4IodeGeTBQKyzIdnGCLA1No6PU7V1KycIbxcsA+bBWUIaBBfZmx+6EEIwPEY
TowWKhGJ0UnrWCTWOg9T3lBhGMOjm+aqfMIsac94KSvFhoY58w74u4RDyFyCU3Q14EPIYi2RPJjS
1FCe8tprYFyAiOjwXrMWHIIvnWJ8zyWG0b6Mb5daaFwKSsLH44rRredUP6TZVqj4lb2niRc4aXTX
d339XOrwFaf6kuCA3wG3QlbPol0KcNJXwDF5Vb25t9qncuR8WM29MRNt76qLRvTTgzOJQwc48CoT
M/QMJRhLLwDlery8Wn7MVFCVVYSNed7XGNIPZXjWz+5uymkVNPNcaNajiesWw3BiEcwyGbzIYVRr
13ySCGnnNEhUTf0caAy3gtzsVrk6N5uyXJ0eaIsHfZaqoF3cteQ24sbet4zKwurQevX5af5Y8bzM
ifF5mH+59z3rq0g3kBUxEA/mi9FvNagVK6Jwg3ipYEGJCZRgMfhEuuRUBeUkfEuBeRyJZ4gHgAYJ
/K6hqm8rjL9ZHu+95EotMw5b49gu6ko2xTna+lg/qOFoz/Mqo4ow5bM7XukE5XJ32Hgs2YCT8Zwx
oihIb1n9az+WkHCybrsgSipu2LJvzyKXoJmELhHJl2QpD0SYEh+0VXR6MoJvsWt71yrhq9hYpVNX
kLnzll2V6CpoM3OjewUaoh54SUZmlh4pf+zH96I9Gh3xl6TJV5HqfI2Ta9D7YwQMKCvtQNkjQw9Q
qw17zE81FWX0mpm2X2t7Bf0BOFbKBtCiOHZJvjPNz4Vw1mFibkwi9af5gqZMSu88DewT+mNZtvl8
53BE9Okl4ZsjM0UfJEQeJy+G+95PZ2mZzhDEzHxbD0kNziW9aKZzLaQMm5QTQK7LV8B5roCfrJd6
cc+nlgcqvjEmOMU7bAjjlCoZfcZ1F00pjmYT/wFvw/+NFPjDMOKf/qD/B01DJhLHPxcMV8/FSzU/
f68Ynr7hm2KoO58Yf9kWMwhOSPvErP91AiF0+ckgFe3ZhnEy+Z+8E78ZhMxP2In4mgncywCtiwD5
TTEU+idT93THsyzKFttxnN+jGMqTIvg3dQWwCklAqKaeYZCvZQPfB/FMcn2SDhm6Xdak0T507DL1
47ZdOcViHVU9jFflaEV7B6bRriPBfHSANl3DmHVvpzClke/H/AqjvqRYttpXTeXaTjkUohASo9FP
cgg9ymus64Gabh1NMFCghWz6xsx/YqqVvCcfXwpzb93wXPxwnvdxptIPXl8kKm53yhuSN6NpwdiI
qtobIxwqkIGkpZI5I9I4W0eDV/1IcN6GNm4715axJNtp1sUFogsLXgtjZ7IYZlfLtv7C+FMECftw
t42RJLtfzlxSEc2XsdXHV3eykm1FbmPPwHC61vsq+Ykx94PP6ZfPyEFs4mPiEjKkdSpmvxMU+6ZS
7EckjNI4aQGNZSqedZZ1BjV8qd08zQRcpd5sYTcktHOsIWcshAoWCZuhxJhs+zTq6/V3V/jVr1fI
9yLn37/ZlulyvWBfs8zTvPvHf1Ouw2iHQtPiHeA3NJ6XrqOwbs9Hb5SbxQbkgVk//knd/g9+qWXZ
rseeUa5+8VEK7GTfd45WY4zgg/6SdLWW+8lCRboSLNq5yuay38EIAf72u18s7ADuYURm4f4yKvz+
A2A3jRWVC79X4THwCfJjDtCq+3RquDr0qn0C1/sTjRXX+gfhk5EB00zPI43jIAoyX/jxLbbr3CS1
mo87p5wOOPfaBiZppB/AL3dvNCfGq9OE4ssI3YrIpx5uWaJV3zWNGZ+RmaHdKDqSnga2g3479q19
r7mMFKsEBIS/pInXbGvyVvR32pK496SZ0xXMluk2cQHZ8Dh+be14wmWB1YRCGgrTYjc77CEhUWeo
rw9sySM9Paj91JAPS9K4vAtNdwkMmExP+exU28yOnGfClH5TU9hkhRm1vtHiXuqcskVcLAbrTDKX
v9M7FXNi1K6FJOa4ra8tdR20GsGcuFhOfzaiCrpk5c7JmsVzPVqYNW0rzjPG8Fb+zF1nwmL1wLo2
zdDtWdw+a7t8HsYnTWattXZ1s6E7Lhx1A6W8fBawg1nV3oSTCcMUzdKvyim59AbUNKIi3aXH8qY7
rTYMYC4lWChvROFNmV7MZLP9sJiY3LFr+kBEKz/qQKTnVcEsZFol4H/eKkfpG7Jbza6NYecFtTy5
ksLmIdObR1PZJJEiNLjSZ5ZXXCt3BqyKtnSXYyI5Vo1RkdY1WPPgtty5RtzY1EEyvh76eGxpXGYH
ThjvQivA4oF5h/vA/PK9lXl9bhKT2hLuNFYLnYvvFC2EGrPsLtukDDvmsSbYrK5Ku2y1WFUIBEtY
hyhOwze6FvOOjcDW0SvIxLcTg0snbjTcaHZ2ljpmNAZdhDraxyK7q6ITPcFr7WElQ9cDrVMaT6JL
JG0lgouTyMCzIidYGu2KqHS366BhnCdTtAVxY12VFpaKktzQQZqK9E7VHrBBvcyZfUYa5w3vTrzx
ovzSYB/XdkmdLBi0FqYHYPcbIHLFJrK617ZaTF614657Od6SqlHRpkasdXgENHhxsvLOlV50y8ZL
eEJGq0CPusN52dcg3esklitv6dw1H3O8cQoTaAsU0z5E5jNBQGbhfG2m0kSm76crolMtSLS+uwNb
4riBw4cBBKeoCPlFNffgYnonedqbw33U2x3S6+ISma4lileWRmSOlbmz2Dx46yy68TKlyA84bdAI
W228bEwDKZ/FXWunphnuo3reGk1a2VtPE+lVSQpoI0mbX9pjA3w1Lt/CQYuJNMVhkHFCXIIc19hN
BK1iyJYBLYvZXlPrJ7lxnt+ddiZF32dPiYelxiyvurDbm22lrxiqPShdXbZK+yzhYa0nb+jXjNjj
O0jQ6pCWqrsF1oeSFTPppynb6QUPpF2TO5TM9ezF70Meqcu+d+AnWkYszxGrENzYsV3vjN5JAFhW
K+Wmrl+2yWEuw8bv62yT1+VVirt3L1zNIIJfLNOtzTb6AAwed0872GttXqyNlGn+qAYvmVc292aL
vwwcjU+cuvT8pnBJusqo09aDMRr5uiGyBqaQZ1PAqVetirmMdxDxpps4LGlIe5fgN3BMXFh9vu5N
GrE0cb3Eb0zv0PTMDc+EYS4PIBftVWsmL8PU6FeD5Rb2bmgN+DR9Zx26MT4yiZ2zlVAufrkk0kET
5t7FINLuuk1yfHhuGF2WPZMUtigfptK6L2U0XUGdOJPE/zatqc2Xo66mg+mUL93waGqhu+qFecxm
tjn4rlklX6NMu2uBmmypDVhxn1pLQFabFCUP23Wk6st6RNNZVGXdgTAJ8ThAWZblcuE6FZ+Am8cb
OYhiK3hqvQJaLC5tA+Kl6wHIGMIwKyGY9PmsVnhkyvSOC9fZhBR/O7exInp4obqLzF0iiD04Iba1
Y+iHBLd5tDKpwgpfVIq+jCkVDhbPTm/IKE33eh1WZzoOyN2JcrvKBUYUN3aOnGu2r6O+0oyWokGr
YGCQNYzFyDLGAR9l9cA+Dfs6xKYVGCcteWF5dudjoW1uzEbHAcuG332MY1/2YeCm2GHHam7PxGBC
HlkK82KpwnnbStYZd8tDMfd3XjcwCZ7LQwcRKvGXoq8ZYRQJCVWx7I2IqUxqweBL20Rf2eXY8XFo
Dea7avzCs0Rb22qGc3qy45DLmc81qNiB0cirmsY6bNPPSR9fF51GLMhtivjCBQS+LYS0dmzzWPUQ
oW7SVlerUOvyzax4bgE0ah/K1gGN12t8ShPeVofhxtCySSIUr3kGuTExkvbG1bXihoL1Ho3cWmvg
uLfs0rCu5eJlG+FA6Rq6xoV3opjINEO9r2TtnaVwv7aYbgffcUNU7NgGFsOLcwwjOUyZ/BwV5X4k
4ZvOXzw8MGyA4Ng01NdkdK21vYRR6QsTwRqKObHvr32YXGfky3vFyMp0cmwwocs6FUPrXwq8oasu
x+nIgqgTY5fjaO5fxjokCO+hSvbYV7wOnG3uvshqwEs5qHFvaIl9iG1lHTlux2Pdiz5Q/U5ZX8PC
tq8qWw13BU/TdcrmQXjXUYgIgCa0lKBelBwRg1rjmhy8/YinsFprqU1/Elv6Kqq79CIHxApA1/UH
jf8pmwYINTOwwnmOtG3pinKXxCyEiTXop672WEEfhIsOLHFIj8rkGT7QhbM2E0uQ67jXSd5jXQLX
REJfQvH0KoHQ4MTjE8FTGdSAWdeL4dwnWXPXVd1a1s2zIwcqkmV5q8fmFnBzdO1GeMUdaZ0rVbUB
OepVWAl0PrdS55iFINr/H+rObDtSLNuyv1I/QA44NAderZUJSSa5XC73eGF4F/R9z9fXxCMqr0S4
STd4q5ccIyMyMQScbu+15qLAvi21hAvEEzUrIHJXEyxSZwKIZnS0dvDQol4vkCCn8Eu/qonXHDwV
XLvn2PTDeuuTrsVfeLjbXEbWp0TVW6q5pluh3WX/laCHKseIqbVvbg0v/Oqzu9oCQTG3fqh+iC3z
SaSDuve0pD5bpkIWjTo8NxacQ7h251rrk21fWdUxtIo/Ox+qcEH+NpaXa8UrXFWNKDBjf7fYZCU2
q6g41Yhpa8TTkR1+hhv7UBlDT7WZiq+UvbGB3Zoe9N750lCA0ZTA5hmQQjgBxQiL8dto5YfAksNB
quw5EX/Z3XhrCPsa1ohxpLoHKzvxrSsBe20XgqWUTRPfOLEOvNfKnT+i2nmsnbr8PJD3WOTyS6UU
z1GdASSuaucB2sGRLjDZ5Kb2ibiKAiCrua260HjK1QEkVtdMh8kJeoZQkM1sFYq3NcraXIzdyWll
4CaeZe1z2x9AzVLkKyhJEUbwcSJVYqKZwYct5SaZOyR94fxoAzJle7Xa5xSy8P2qroIpAbMtEUZQ
EU6qTU5OhLJiFycFfXaq//51RaXsyhrjc85x3O3GwXgwIc15VRMdiWJ5dNjRb/BSGx8KXv6pxeFw
FM10stL+PvS+yZhuLSPgEOexR3JIINGXe8QG2BwDTDvjE5vC8QG9XUepF2WK2kC1gnaxRW1HZINC
AVxvTkLNDiyst8lQzwk6+nVrh+Adiu8GldaPvseGqEfldx+jgt0WdX4fDDkdeDbFdRZ+LXkwO99g
FJaj89hy4NhnXRVekegT/oEThPFbVbuiwgO9zSrNO5bjn4MTuAB3G84MvhkcEwVsyba2AWl0Vnc3
Eae3LYqKbWFxyHoMOdm91k+3lEzCA33i6rqNYIDlQRPBgBysm9y6GfLYOvYKGzChdA4fptbCSCa0
Zhj8jWoU0EcVJQBmhJx/awaaf8iRIH41INVzV42+5ctW7gKLPqUyaidrGPc1+5VN1mfOIzuKnmqj
tWs1mFqZU9ET6os4/5IJ9IgFBo+NGImU2SDhm06RsAD9096O5bgJWh3OSzlon6g+bAf4JqJv0r1Z
q5RD9WskjMlnrUrd0Omtq3BOZ6jZw2TwfX9UTnuSaAuyJ80G0+x9M9txZ5STumXlNXaqBlXTH+A2
pWgMKr1C0DAaJyCEaqocI5gHzGjFvT5SA3as4rqaXKurn4j7OPYW50Gle0JP7qI3ue5MizVSBh+V
CIFIkc52DTJmUbgcPdUINkM/9ZtID2b8UkmlFw6dcgA4hAAGuwg6KAx02yiqoHFmZXrufsFcgu6u
jj54PdMeopEuGIjkoe7tXJF78z1XAQd2QBY9/bF3yk9YQcHDXpMiGtGCxCfffBARbOLhK9GfjF2B
wkAM/rS3tcc6GditjW6hoSedfZEaHRmPPafpq5+YO8F/atcxzCt8sFeNk544zIJSeSplCnLc8tn6
2vde+NTFVcFINk5WWwHKZOZJq5PidEct+sggI6YufYazm5/CUf/qG8GdZVznaND3dvGHNajala1/
KSIyEboKop5xD0X/SvB1/qhBMz53aWbdeb53MsCqbJspBoweFY8wcR6Z/mgVQ3cwTtLzbXjOjpmw
itsjh42mbTZE8KRiY4uYicGhZjXReWmDuPgzTOm+R6N3K52ag0+lHkwph6ekTncQofKdKtHcDr2D
Nt9G76GIEiS5CDh/w0K4gRErHxSmNmrhpCBsxxI1AJCR4qYf/eCHDaSJPgrg98Br/BtIujtvQpic
kvNNLpCFnCOgJL2T4M73iWDvS+pKs83TWaUj1QdVNfpzZqj2GZAnXgBao2avaLMcloyDKeuPkdS9
XdM+1VNtXXmp4LBSKTHF7ER+wXtAylM32tDze637nCS6cqV5ivOYDp9LaThwVIL+I2xOpEKtRg0K
ZORDoXez9jdoDmpkxZg9sCfG0aDayJsN/YTMU3X7TBm3Ueud9aBnk6hpQn6A3Gye0ry+oaFkQKZW
qh3MJSjLqkJohhk0px4f0G2JF/egy+CPCArRY+r00YlQtOkhtWepUWCaAtHxaOd8RgBqOXr1496s
FPE9pABhWg01syYkb5FGtBdAlMCH1kNhF0XWn1LS5x5VtbWuhTLSZbTikSWDrnkte/9qBBKCFqC+
TYfRR3KlVfdyskYwf4iFsOUxY9hqdOeHhuMSkBRfadZw6r1Su0GQjlNGTsVDqMzIVew+4QZJIvRU
GQ7d10bVTJwzBqcbKzI5IJdZfCo5fx/iGm/oEMMtBFfgevro3+imb+1Ds2h/jnbtfBdFBw2DXjF7
PnrYYOa0zLgpSYLA7w84b1MpIy0gX4ueBkOE1lZoI1sBBOz2Z6g/GStobMb3kQ71j6NL8SzySf04
pjO7HJp2cqcLJb0nNiv96mQZAh1IFptJV4z7kHAS4IJs9sxUopGIM13RST5IAcySf1LTEVIeiyzu
XVk7goMH6rkrD2aReshL04t3YGHZeOQjZ6Y2FafW82yilsNvsmrkju+xu4t08Sz1Sn5NOedvoBUZ
P1UVEgWqt6S7o5RLGmCrdNmJXYfWzTXQnnUvmXHDKhC8hMISQYI9Momm3RQ6EQ9blcfxh0DP7cBo
0vAaThwT0qJ/hLLx2YRvp5EBtQ30DEQcuJ52O2kxXc68GJ7Blfm3uh3pB6UVH4OA8I2cPuuzpzfX
CXXJPY//kw8mfp/Si5ae4eD76Vo3VdGNJwWnd/br5qkdSy85pV1THiTJwEcz6eorS0wP1lCDTHYA
M01R/aklt/uOHe34UGlORA9WiT90nP8OneStzLEyx9IJ5G3ij26cVQZtxT47zcdxMCuTceYjxUlg
haj/QfT6904QO3ewbjfqKMctok3zG28x33Yy/oMTePAr/gRh6aDJ+E6phH4EzxTdQcRBiCeYHzHj
BaXY+XT9ym6Mb4Omqa/0sM3uqy5RPih46Z5ZB8rHPhMe6O+QIvVY675/7HoBYsVSoxR9hhIFPxDs
1jY0EZg1hePEZ87u8ZZDjvFz6NX+0ah0AuAMDR6co9DtpIW/NcLSvlIUMpVUxfY+9L0nb7Q4hn6H
DZuDsodhnlmWZCOqfQfslrfpNGmwiwb2axn0YXPHapOUR7IUxlNkwDKeDJKSOTfEbHmiPv0j9Njp
d5mvXStTEH+KO795+lXRR+nfPJVTr5z6wKmeGz8oaBnXM9Eub+/MQW2DHYF2+Y6agOkqhqoc1HHs
vngQ713DGKcD56Xbxk6LL+3UaHdQb9Jwm3Smt02m1HwmchDlUa8o994Ad131u+ILYXL2LQdqvFha
5TQ3GpCSinwP5GKbIm2m75URU48nZAcm3zTYbg/5474kYGrjtGG2L7WC2k/jabdl6GdugP+XehOx
VViuktsuIEdRrXVjFuxl/fc0jryDhiAJsWpffIlH337wyAC8irVC3ExDRvYNKYrdnUNgcLCZqpTS
7CQ8YgyaKW+enCZOjwkOLQJtIrVHg4GYAVVd4PxUFI4QbL4Sdp4B2vfW6L+PYEKBrY8ZtKJWfgj8
kbaJYhX3OOYM4CXKt4E+MUGXuW4SlDfqd+WoVdhZcqxzYiIhArivBDpNOz/Sij7blZGa3yPwim8L
gEUs7iL+RsIk7fo6tR+KWhOnvrbEN61UfQyUmrkfDTEdBjPT7syMRXh0huKLkvJf1QiFL+zL9m5s
bMiaadE8NW3o3dS5eZ5jDp70JG1uUpUYGgCaKmFcrZnYD0kgQjIJ2uxoQkgNNhTy8hPMRZhdXpYe
wgLvJ1ipgkIwR/2nFlAtnKGSNLxN2Br+ba8b6bZCnfCY1iy3R8IXJozISLfYdyTT0Qx1UkxrwFVd
1MvvDeBaZ9PKpvhSjN6sumyixtwoEgyp2mXywSPDXKPMnxVfcI3aewhW9lf09IIgPo4MRy/IUK6a
aWcdIOiZdxmIhydjoEK+82ts/Ap621MbEHqpCLLGAkMbryyL6gjrOtt5HYnNxvIj9S+syb8ywPwv
zHUX+9mvut7/H1nwDPqMl5vej1X4f26+ZvHrtjf/l7/a3raGUU7qwBnQpRj0vbEj/G28c/5jCoKl
/qJb6C+4AM5/oNjZNNkoqqgWnjz6f393vc3/4AfTObwJUwW7hqXk33S9F1YJAz8/dzV7dXDJoBRf
NL2LjBgf1sFhr1Wd+eBYGMgbi9wcgKhw5V88ld80Shdmib9+iwY+jg+DxrSzaJSGQwK/lPr8XqKR
QTOjZLf0ttIrj0yb+zgS2l8aDT6i3yM/fve30am0Ndro+E+MhQ1EDgyFTBbQRnNIkV1vUOBN45RD
IVDpt/+0hdHl158mpUUpEx2lY/yCj7zoSxuhhEOHnH9vAEy815S6+kZvsf0oe6Ehxkk877aK7BxR
XFTVcv/vfxzihNT4aUFTfPEOByV0avbMwz42M/D3kmhLiIVqhrY2zG/Bq9T3qojsU5R40fe3f3qh
mfj1d+NoUunJa0LlD3/dmBXALxVTAnT1lCi9ZSMaX+lFG77TYdde93/l/DMcM9B6YFNVDcrpr39G
JmMCprAZkJHj58jZMd4QZE8kTlqKRwpv9j5u7DzbWMkY31s1Z0LEuSNa5I4i3L/+izVB49vADWvS
i144frzGaKIhxWRQKqg4qFkr2z7I83f4UfOn+UKL8usPBoYDLIc/HPXL4ld8QSsN0PCwp+o4faK2
NSKmqskw3FQgnuly9HUWkLBr0Q61dNv/SHuj0d557AuNwa+bwNurMd/QGpwNvq/EFsg+UI803ITT
cgC1qUd+0kd4yqL3IwrkZGFmMDI//Pvna0imIlwkfM9Ly5hN/V4ppmTcw5oc9r7j/9RG513V828e
L68Ovj3uwH/+iANjgEQPs9v3BQeieJbrMhOt+FTot1rM+7MHB4DR6+dXtUbBEXr+VHQKeG3q03b0
rOT6Xz8wpDASb6HDGCTW+PWvCItwiE4DFTrEVDVr9nHbSqTOO3P3b74FqkZMb7ZEcgKq5vWvVJId
saF5dL1rm7Qzze9QFrdh/jRaurozh0Y5WtJo3vkC56suhoEu8Kxrhs4Eoy51THrMtjasap5gP8c2
QTPY+h2zDY5N/Z0ZfCktmr92vgRDsxlvvKvZmfpS2ZJQmEUqDa+RsjEaUUB0+lfbzo1oZ0+VquNI
NsrsOGhdTIki6TIqqnKMfmp1UZ9JFyLxLANJP5zsnAzz49vv+DfPAZE+6vwZH2Rpy0ExRaMe+kJv
9hX17msO3NmB041zjbwgeOdF/5rAXj9zXqTBWuYY8ABgArx+Dk2ndnVOvOfettQtSNAjK8vHUOmu
NdW/Id6HHNtI7tMicGPFK//t7Grx02j9BHMrBt5ZIfjyJXStp420wOlXS5M8aeGltBQomL/9OP+x
EbHA1bKU8Bs65IJZofjqV2jJyyYsmv2kkI6WQ4bZ4G5QyW3z+6NuK/u3f0780ie9eqbsvalK2lJY
CF8Yqa9/0PdwnzZKlO/T0QjAawx00bYqu4luUwcN+b6BHYgfhZJTKkDOliA5TiQCOxUpK9asXg30
jV/zNR4Em3z/WsA9BXtbWu0NqA4ENXR2Qas3U6ftfJCDhD1QGuYAIZACUnuP6Ck2pocwxxvmMwsp
oqjPJbiT8BD2RWfdSLPuflAVBo89gS96mIbAG2+myUmd2cYY4hVCPbRrU5uEzSaxhYbiRm+1PTUx
EB9VBQofHbJJQh+xmKG+I9EjCu6hF+WjO2W5ZXP+tTwdR97IXw3/JfiuIZjg/DROg8Ipa0ToY3R6
SPKy0z6iaIgeY9sbfIpiA/qYXpFO+piBEUD1k4A5x5+XGaZP07BjWijsMqcR78/AtaYGsr5tzT45
20AzCJzO4wK32dwMtMEJfE08ADqgD8JM3cKYih7zoPSCrWfK6CvUaLCNlReOP2s/jUh5IffhJ5ks
pFW3TLTqlUJxOzh5kIBvohnyvyHuLTf3YNSn3dzUpi4a2zHVm7jF6nIn2sknCAyLUX5DrRF11AbS
okMYmA/AIrnL/cpQd21nVjRdnE50W3qC5BsnLYvFTpoFxz3yLtr41CnkYJ6Ep2R/AAWegAaBNI63
c4DzN0RDWnCiIBDLfU6Z71Dpnkr/3tYETpNBPjcNUmp2D4RA78kRiOwPZL0QZSoboTzYSkyAeQ7f
m7CrAU47Udqc12dBAm2oWGtUshsQYHWHpiK8ckObz/laWE6bHCtgypTOE7siYYyqqXJN9Kchuf2x
bbZZo3m3RtaNnovLk4C0ckqUayIdiDYget2IDo7ReLmrdzDwd4KppkWj4xn38Kz06pqKvFlsIJIZ
H8cEK8S1jYhkpJccV42bS6M9p0hx5joAvh7Cjulp8gWPYmsTy6ruM38Q57AD3zskZQ1cChnCn6z7
4zMTXJAdQ5OwdX/MoPsQgS5L/Bitbh2C2CuJqkztKMUCloffG1tGNI2zsflKe8UkhHzeSpPwlFZ/
EkwmnV2dFDQqrIFrDEWJ5y2IAgqLMqCQSPOqtB4HfbYalbYdjTuR82r3lQH1+X4aJjq4uAFyDSu8
3hLJbBaFQkPPrOmVNmpdk/Vr14qJOcRI062gDUEKt0H63Cm3cdHjyUSgj8kmKZW7ZkyK9rv0YVM/
1YPjKBvHaounwsqt4TOhevXD0GHeor2nMz+kgR7y/Rbe5B0UWPAJgy+g1eEB5+L7tUz1pLetOYUb
QZPjBvWC96zXupXhG44waZWqMTz+miz/VYnhf1c/+P8NLTifrS8XETA3Za8LCPzP/9bN68Z/5Hzg
Z08sJIqi/+rmpf4fkyMC/A2D8+1fpYW/dfMm/wo6hzavOyxIvwAY/083b/9HM+FvsLmm5PAvoIIG
y9b/LGsKl5Vs1dlAv17OWGZSoIWOf69mfX/Qs1hewY/8m7h68fh+6eqLPYAmTY9JRfHvPYf6Vm/g
BK6iKnlnn3Pp6ovtcozoKPU6zT5DMAbI2UbQ3z2juHrx7n5T6rh09Xnn8aIO4MN4tky4fufCowDY
KOFt2Vbyna3qpYsvdmaAPepCqoN5NmvnifLRExvZ9/Tdl649//MXN25HlRWWhjDOKV3/gSDTPn7v
OHnp0vrrS0+VDkwh0o2zoqofTY+JM06Jon/7gS+2rf/zLS4qEH1uOZHsFOM84t1+po/SXldqk/3h
qIM8kElp7pM81w9pVguSQDGVIgaM3jmtX/rLFkeGKvYplZnSOEMNDre4jK+mTnx/+w+7dO3FHpUc
zqL2Bl6IOfRn33H6Ta7Sil518aXnVyWhprDMXj83ahbvwglxJrW5lRdfjF+piNGGSSDO5mh9L8qJ
toX+c919LwZvo1WYgLxMYKzkTU5mf1v0QqybGazF2CV2hFaHF4hzgycNhzjZV2Imf6279cXgVa02
8SkdiTOukCut9x+Cyl75wOdP6MXYLcacYPjCTumx0JgfPEADhAc575xBL3yIS2S6qSeW2uiwD8c+
YbsuzLy+b9nD+yvvXry+e1MvCT/rquA+GptgS2qbxBhRPL391Ben+/9OD8tTvULcqilpVyGyjz6K
uHTgLKSEq5BighJGybpDTy//J1tZtq8RzWmHbI/9GKXDI2BGhDBKIcyVf+liSEs6ucmgNOXZ06Ij
AbT2FY6P9PT2X3rhNS0h6203kjArg/LcJN6j13H8QL26ctFcMtZ9QfhU1BT22SwdoojK4huicnfd
jS/GNOhyUkMKm4AoKsBPRkxW0xB777z/S09lMabbKdRMJcXInIUWYhZj8pxdREqXs+6VLkvvhJxT
JSbC9CzjNryG4RpsrS7QP657NPNf9WJgc8K0inbw8nNG3R9Eh9HfmoM+fn776vPM85tdnLlYl/V+
6CbbgXFDJCQ4W18HYdtm5rWJdHv39k9cevyLsa17ZUcZYbBxaph7j2PzxtHXvtrF4kv+pQfT17DO
LfHRR8Sjc8Ripqybrs3FWKWtLUpd4/hYSnELEOWm9ON3uHAXHsqyLZXNXZyJ89VZRKWFfhKd4nPl
FeW6+dpYLL8kISdlVWryTB7wyVagZ7zXb7rwwcw9yZefo2eQcgmNW55D0oj2XuygWugSeBNhq70z
Xhe0/v/O10tauaUQj4xf1T6nki5W4mj1dek3j+i8G5CbYWjtBsXPPoV5v+2m8s8p8vVjOZjT04ib
DvlMoR0bv+DYG3WZda2hqmNBRCMUBEP84Nf1N9VUSfkq8g/45E42lN2tVhjNqSpT4VwPofi06svX
F9+PERexHqIdI4uQI5IZJdYhzNFGrLr6smurSiKxCATPzo2Y0BXHKPEzFffOuqsvph0I1l1RionS
SRt9h34NJFE8rLv0Ys7pcCUFvlI6Z6n0z7pF+WPKfqy79GKuSbIszcYpd86tKiBfkDiIyGLlmdRY
TDYYp4wgGri4b0rXcglgfGf1m0flbybhZSnaa21hN1z0LGWi3plAiPa+qqEtAdOxb/q8/EpDx9za
imac335OF0axvji86w3ecALC5NkAkniD3C2+xvmH7WH21bz9ExdmuLle8XKisA2tM7HFOeecYQVh
JrmVXbLuzKUvJiEIemYckONzpoEBGigvy8+tV3XrzgC/IMUvVlw0tmzRddZEOy6vS5H/QcbeO2/6
0nOf//mLS5PNh87bT+0zpobwDscQWQRIxF3Pbrt3Fi3t0m8sRm4cFISQTbp97mI0wvFIvG9hAa4J
KPh/bDIzf5B2BVknbT17H2gFSVe4+fd9nmlXE47e+3RsSN7KpbUfCmDG6z6HxaAnkgXQXqGaZ0Bl
gPQMiDNW8bzu2otRH4eWBfUrYofhxFe2imS2iMjYXnfxxajPdHz/nqzZYsSVOBg5gcJB57yz/bow
SJY9oQnF5tirpCU0BMWD71SdZxhK3rqJViyGoI5aWBFeKM7tTLJEM4gZKQfeturB/OJPvPiWM/LX
ZKd51tmPk+YE3/Mpccp23fKz1NJAaDBiVA7WWfe6D1Yq0AFX5rrPRSwGIUKrqE8iahNwB11wUrss
Kq/efiaLZt9/ty6/+CIvHkpHg9wh3Mo6R0af4DPr/W8G7oFHEuMrBPWo+UnBdpoPRuIhX85D+ZhP
8jsSz/QjiSYN+vKBsMtyLK2Vb2kx7uy4HQYdYuZZqKLAxaAL/HudsSotbxYHvJ7QVH90sHwnKdkJ
1pFF9xusi/eIxpcGx2LkaRgW6U9bCQhAGR36ukKZrwIBePtVXbr6YnPmOYBRFVsm51CR1q1tV5Ca
jHrdAqUt1lct0mg/ctI/o7N9dKR1DPx0t+q+tcWgRoRL+w4jAWG7IUDADW3ufyUm+e+3qy1W1RgO
gz9ZWnJ21OQblo1DrcXrhvOvXKIXwyKd0rRu5DidFUX9llUEHlYNHo11T2QxnpPJrP3BU3nYCoxY
q+M81UeiPq67+vz9vLj1muSjRNdt7+wNhbejf19uk1EbV977YnjK1kLrEIbTWSukA/0MJ4kf2e91
IuY395uN5Rws9fLe1cBSAcLiLvIM9eeUpQ3cnzz7UBLdDYig17eYL6Z1tadf8r0Xz6kv8JwPUtrn
sc18N5+zOQc9qVdefTFaHTtXksRM43MGz3CjeM1HkoPembTnN/mbp7TE6LQ+GpGspkDRRoU8kYAR
HFpSf9ZNBepivAZdG8dT78VnxUvqYwrAFq+P+s5jufCC1cWQndChW1GBT0uaZkSaF9jfW7PtsaTn
Ta/SuS5mV6pVADxeNRrURS1NNae+1T3ct4rFoXDTCq3ZBWMhmu266y/GsoP1pkD7GZ2bViHXCIw4
FvVVwZ8EYC+GsqLZcW8QwUSKRQGZownGbdeYwzuf0aUulLoYy0QNgN7PFYouyCP2iJzDLQ6X+JjW
qndIg7q5BtqB5YcEo01eOcZPMjPY9a17cIuhXnkY2jxDi84ppjW7RYLrVHfrLr1Yh+MSHIo6NPEZ
7veuDfAAefXzuksvhnWqQKjptXo6G+gWNi0BbW2LEGLNxUFHvZ79gkkZDC2tozPWGm9jZuiBevHO
wPv9nKEtZbGCVycA1Xt3fGU/lITTG5a5dUcOkhxf3/ggh66ARz2cZd/VWDv9O2tI7VUjTPuHAJ9i
C67bKKL3HaTVhua++aUZzffE8L99MMJYHp7VfDA8WLaTW9deuR1IYjnW0ojWnGi4+mJ6QOaq2I7X
jC65XJyawapCKBLtmg0QV1/MD2ra2HaRmqY7tNl00nTSapJwWrXUc/XF9BA5noaTOpauYnYfZUKl
PXC8VaVqLr4Y/lLFskQ+l+WGsJ1m5xasXd/s14wkrr6YAZo0VCt0hiPEGrBfIPXiQw/hYsUw5eKL
OaAylSip6Yu5vSm/kOuIxr1o1t348nwdqW0RZGaswxCrDqPzlHn5miKRwCH3eoxqxNJZVmYLV3dq
Z8aCkS6Yhe+U5y4MouXRutPrRJucUbhK1EKEKcONKpGmrnre/zhaZ6RVAR4Sblh44652JFmZervu
ZS7P1ijTHXSUtXCnUqu2Q44SE/ftqhMhD30xQO1MCyaNvDg3N4LkcypsTMzBpAbqcdWjWe6XFcsL
5/6s7srgBp5HuElVWC/rrr0YQ4HMYVLnE4+deGqsuoAdgsRYeeOLMWSA7casSTlD7bsBwEMtdyib
Vs7pYjFzDZ3oB+o7wo01H26hn1wntvlh1WNZFhD8vsoj5KBM5nlYoFIGV6p2T+uuvXjkTjeyPtm6
cEsQ6YdMUWnvO+F7DrNLg3TxzO0eu/oIfdQlDlJAc27IUayjNau0IAr39fSShZM1tSjJXIvTpk72
Gb2AlR/iYuZKWzyItMCF6w/GldqZt3qcxiuvvdi5sH2XFM0ty01a52PfeIeh09qV114cPboUvw5W
aOlqgX5fWdOjOcp1C/+vUvqLs2uhQ6aMMmdwodAn/rbCM4dL2xyJHFj1Jf6DXcohH9mSwQjS89um
MJ+jNnledenl6VVNMt8KPRYi6TmA9xqQcokCm2bd1RcfS2TZaQJRd3BNAUjIV2sgSsPQvnNkujCE
lsfXqCC7LcvZyeUKgbiysA9DJNdNLMuTqp/oEx6SVrjt0Lla01+NIMfXPZTFLrScTAsHQyfcmidz
UIzWOZf2fNxed/nFKucQqz0oGs8cp7y5zT09+oghS1n5zBeTeTk5OlimbHCTRuoHmy3vHinmvzOk
/V1DFH8FjbwYSQA501pLy9ElR8YgLQrmdaYSkbzuySwm9AYkPKCKcHBTq4/cwBLVFR1f/+u6qy8m
9MYAHYCNU4fcFtwBVr3+lUm15tqQzF/P52S2AUkje901O9W5doIRhpk2GF/WXX0xSgljKCw0Qr0b
QasA7BgkT9KoVnVyBc6/1/dODb4guCbSWTDIG4KgCAR2TV2YSy/m9LqXoQEAYnSjwio3CiQJXFB+
s2ryIlv89Y1zarFKOK+669BIPzn2mO49UJyrBpI+Z/O+LK7qpelEvsFDV804PGlhW7leCsz07Vc6
3+M/ipI8mcUwlV0f6AknOCYBvzloqtR/JI6VPmK+rd75A+aH/LufEK//AJK8EkXmpuZWMgNAZYfV
LsFLvKfWAAMQrtKq04zuLEYtUS4QjHupuTIPvhiyvPc8/entp/T7BeQfFulEAYJcZobmouxRz7pN
Zc1vLGtN4QtGw2LQdsLgWBfOV+/lg+oQ3E3czbdVd740OVYAopyq6QcXCnP8lCZBj0pI9947Kc0j
/zfvdmkIlmOryjrtezdVivGx0Gq/JW+wBEIWCwU4Z1rdh5UPBQmpf/rp7T9png9+85vWYkBAOPR0
Qn9aN0/AZREC5XqhAmmn0LTnkvij+0Yr63DVUgA/4/XHOzZ6PsaVwYRqdh+USAGcEq7aDer2Ytoo
raA3yVGE9d7DH87rbz5e9JW3vXhGkdMbpTHpHWUDRHNd0d2Hjt3t334BF0aDvZgzTNRDMMqJl8GA
0p6ED26Ws2a5ag9LDunrJ477iEZDa3duU9F29OgkbbCBrxvI9mKO0BNJmUBNezcxc31ja/wHENF1
j2WxrpvCKwYF/JjbaL2yGxLQ2JVMq3WPZemDiogmsTOVrz71c2S0Csmvaj88rLp1uVjYq6EfyiTK
W5cDbHQFYMTbQCez32lNXVgA5GJhHzAswiVMehd3ZPGxAQ8CnDWqCEhrAtsdAEWtsoMQarYYrUqj
jJ4JgdUNJ/GlMeEvd/667fIvgM7LdbgeVYKaMgsWbFib+H4BOcM7/rzuBSzGa5GbiVTAXLAEQIEe
DOd2aId166JcDNeOsUScedm6sG6TfWZU8IUd+WPdjS9Ga9oiylC7tncJOKyPdTHYtNyhaq27+mK4
IsPoLamXvVvOOYkqXsCNapvVyqsvBmzudVHTNG3nTmHZbkgxI8PPya3D2/duXlimFqt6W7dOnoho
cCngzmFYvXHjG7l9NVpevG4FWaIa2mkK+s73a7dX9LtMF3/Spl3V1SK3dDFoMyLjrDLmcxdF1OzN
lkwL07T8dbPZ0v/UpLh7G0ByQPLG/A7oZncVN6Z8Z8d5YYFapis5TkCrPZl6d6yKfDMI5zEKzce3
X+ulay9G07xgWwg3O7c31FOU/tH547pxOudSvZxgbCMWmKBF7+Y9XtQRdB18zTZftyNYmpNU2Okp
pObe1VWygNWxCXcGgKnjuqeyGEoaqm2U1ky8KgnMbtYGtRtWcBtXXX3pN0IKAHS/AyCqgp46hBOR
PKVdf1138cXa58ROPCjQTN3S1p761L8jJmTdd7hEyvCJkwgb8cxzkWb7KPMAQyjjO/PLhQ9xGQVl
ZGHaR6reuGE4tFtfrTJyS9+59oW5a2k1Ss02VqBrt27ZOMM2LarkCAYc92YfravJkWb1+ms3DSMI
/SZs3Ei31QMwfHkMAUeu/GIWo5QePKCCyW7cZlCnG28anmHg5qe3v5hLT2cxUKdO50iLOdqlIhrH
0NT95CFWy+hU+4JAsrd/5NLrXSx9ss2zAoJQ44qouco043mUwbrd3tJv1I6Iw9HnQrXQZg5IhTo8
Jmz17fueh81vTmdLx1EYdiEEt4D5kUDNm6HqnH0/tPIwGKn9qDUi24rCV7elR7Dl27944UktTUiN
IUQxjV3nVkWFsMNSE8ip03tcuEtXX6yDojdHLRJq5QKDIX/Vvtej7MvbN37hO1r6j0L4HkJtKBtb
mTCAkYKibltBNEXYVe/sEC79xPzPX9RJVRuxQQKW0IX5M/zMVTK6+5ZRt6lA5e/f/jPmJ/G7N74Y
ybbTtLloOMc6ZUSSaAQMpa11cl5CaP2+VetX5qgmn9/+sQuvYyn/U1reMeik2MV+8wNBNTGfKget
FRfX/wEes31yB0fgBMhpg2PhwHwmTW3dpRcPiZM9wC7bCM+qHAkzJVpoxnyFysrLL+Y7OXVJMqY+
Nqr/y9mV9caNc8tfJIBaSb5K3W07cWQnsZNMXoRJMtFKURJFavn1X/UAF4g5bjcuX2cCNk3xHJ6l
TtWKiGef+We9SrepaVD0vbxE/tS0VbmT9WFo4y9z0rVZ70Mmw+1gLD83gJMaYyHl+rArpo7BtkBi
ARwZjl/Uiksq0FUvUCr0HzraRL9W2k4gyDTsi9Pe7cId99C6GxXZH7pq+gd8ug98uwaGe9VwoX5o
RSVB1PuGDGZ+qDZVPxbTAt7yuO6eJ7qoJ7fdW56Nd4lmKJPODzRpm4/eiAyrEiL66rZ68vLSTCti
ni2m4KvD+MEteKLZB4wqsCuv43mV//gcHI/l16rSKA+yZ+qBVn30N0gtIY8ADYcbEErrm1GXV+EU
58N47Ycsu4XKZlzMk5weRvD0p+0ADnoq5PAFim3lpzkaBygYgrTZJWDEn2WZMfRih3LcFMvBRXWq
uZdB4MzNEuyyWtgkyV4hKHogeqtBc8XWbIxN4GbFdl2taaEmD2IslrdyvJf+Z+h/XHnBzgf92gew
LDiREQgsxoiB6V5DeXFZb3bw27tt2y6q1T3jZq96bDuEhNDWUmh3b8Xk5pTtqhok7roYSpZe7sVV
JqHui9E3t69pl9SgEr96Cwm8vKFQNtm9x4XsmZPh2jU06JSWq8QYXZ4IQHzAKMzLxvFALKv1WEAX
Pe1YWkNfA6pkqRH6ShRy4Z7Q83//M9JpwIUgKwKhIMiXZlVFvXQW0gnMgmzTMkyILdXJ1MZeXkuo
mjet54NFcL3Sg7u0det9jTWoQqnSXg5KPWg3y/GmiCCC6PY5rffVAIlUyi3ycuktz8hzs7ItXUB4
OBTLNIOyKQzk3bwcWmpHEsUoh1wLjS8ciU0alGjlA/WIXaseinvzFwW6OKfzsGtmwAnx2LDNyyEg
cm/26TRA0sBt6fMb8scVNKhMbnsBywnm6KOBshyj0Bp0W9t6Tn2iW20Utr2W47k2fOyG5Lfb0pZV
nrleN8lnDxPhrMzaGFhKcJUe3Ba3zDLm4yZMj8UlyFFBJb0+RoF+dlvbNsp187pF4f6BqOmTFgkm
2Q1UK90Wt4wyicOyTciKGzhC2Ckmt5CacryClkkmxTS1QQNVl9VsAcQRkWzoyOwnt41bVtmKcBx1
veCmyPUWaoIHTEq6bdyuw6kWbWovIkU+0/44gf8EXDEuPfAQ8mUvbQdPWKBijl1Xps8RQEAm+kqo
eMGV2EW4pV1KPUG0N98aGafnZxiCAU5ARGzbMkthwJjpKcrzfdx/LwXGKKIdQqdOX9Kuwo1ltHAp
mvFhD7SX+jp89r3kGl3O2bpfiavs+hufy74q/X16aHf5pYYGyWmj+ycexdcYiS+du2WdapoVdJUF
fmCo17QO4hEKbwiw3M7GMk8w1SI0iRIwOVVVmTY9FPYwOuS4uGWgcb34u6np8NAwHWZ9OXXphval
285t+2RnWqVwx85j3R2hI8TuIpRprvjb88V75bPa5beOBOGyC1Bz+c2qv8cc2qNyH/QtBOvitJOg
j79yOS/cH7vqBlnPFRN0UEKmYYu2HDT9hiOIXvlTkiSwsbfP6tKPWC9qYbp9I2YbHpRi7WO0U/qe
1c0PwJbjKyHp2b+8dl62AQ+th2HkGAQuUaTSDY0wdtjLqMmbYfc/jYAuHUaQbZ/WnoCZ9u2/6oJl
2Iw6EBM0ULXzzm9i+IQBcdBQe9NPt7XPv/lHDFLTZlwY5OseoJId3OoxaU8z5PbckrHIsmnaxF64
7wXSDsjyQhxwvxubzW1427f1PQZUl5Brl2d+yKr6MEQF+bT7zX4FhHDp0C2bDpKy8Aq+G1Q7mqfI
LH8tOhZXrumltS2TLsFYKMKgUSCSah/Hpnw0Z31Spw9qU+gs/RkeISb1EJMRil/tADnF/bvb2taj
O08BYEKNUA/AlfwsSPDod53j0pblao1ChgmgZ6y0LO+jYBwP4BW61jy64BdCy2qlMjyuPGYeQB9+
lmWEgvmxJgaK5QboHseTP//4H6YkBx9Ka+fxSGhVYzKij977Sn9yO3nLTH3fC+ZgG7cH4lOoONO/
dKJ/uS1t2aiHFyWGji3LV+UlqdL+PUrw5OC2ePDyTOJxrBLf1BW4G7YGoprtJxDHOl4Zy0JnkKIZ
sxQLOE30Y7sX30EXPzh+S8tC11HTslk9nk/oaKZ+oD5Cg9mxGGNP/831rms9CJ5XNS7KNvcTVLG7
0G3r9gQggoVGzVM/P+wJuydsuy+a6cnpa9rzf/1Z3wRinfKBQjw3jTYIRaPU6eYU7fm/0RReMo58
eqhi/lcZQa9eopB3ctu5ZZtQ2kCIluw9eHvGxxrF0qa6ZpoXIih7+E/ia7Z+gxeULMk/A3AwmS6S
vzSEHm4ldS2Y2rNuMV/jpNg8/ApF66OZkxOFIKLbM20Pu/V+soDptGgekt7Mt9yvMyNEfyViOruo
VyKmwDLTBiqlYOMZMNhNk/Cm9lgMcG/sRpIBna+XDkaosGqg9tQ8BBUFpzYYFKCd4cj/69vjbkJK
VvVyrkH7wJ+8Ehq8jLgRk/g2Yc4A4Tvo/ZD6Yd3rmz0ufu7e6DQYfVb3s05FDN20G1Y/BH31sY6b
3/EmnYBeWNt6S4MWOq8TNfWDKjT9wOu5/yuq3MaAsLplqFzUwiMRTiVpvE8A3v6ae/P/0776PyIh
pHsvT4WquvXCWtYPchw8vHRkTlVXO826YufWO6rCAdy0IakeOka+sjj6ojsl3XyjPQCsk5lC02As
H9oNpIWQyL2NxsIJW4eNWwZKFKQUjDrzrHt1kbG1hOSu5F+cHO+/pCR/BEVghAqaPsbOSQ15VQbV
0LRZIe/ttLo9ZNjtc6UMM0XOtamzCTpxUBrbHOspNkUOFZ7cPKFQd2v494Dpd6MvHt02bhmoV6q9
k43keVQnN2M4gXgBmsNua1sGakyymUHVLPeamBybdS4PcuqdJoBD6J69NKIoqkXrb5KiPMa/ogZ3
gELTs9vGLfsctILUUVDSvBWLhPLvBuml1vXELfMEaIBHcvWKXPaeuuXch5Z759iHJVaYC3U2UAJh
fDGP6Mq+r82W/F4TVJkdv6hloXIgPkSAmyjfhpGdoN3nH3XLf7uduvWCFpVqvGVewxxN2We6De/3
wThF6MSeLgx2UEknSxLk5cSHVGZBAzkml10Tm+hGK9J4oBZacqiH90dzJljTlTi5LW5Z5763BYGM
1JJHCwPi+PwQhU7VPGJPFo68gZBY6S85ME78YdpDMp66cqZuXFLQ13lpnhjCYBKES3Ne722bCZQm
s25WTs4ckqovFwc3L+n2MZzz0FN9Gob7P3wjTteQ2IOFI+QUwWgXzLkng+NalSSFDKabSyQ2Imls
TGhI6M/5IubbXXufMDH0ye2uWLYZAwczrKgl5wMLKwgxhmUKjNKT2+KWbVYhi9aJd3Ne9v0pEfwb
rzy37iOxwUi1MvMKFmqVJw30w4OkO0EcwC3UIjYcifuh3tuSqnwOo+dWt4/UCDenYo8Qtss0DUIW
Ko+biIN/dS7Kx67h+uB05PYAX1PrBDxU7Lx89UsQFFuThbs9nhg9eWlAOzjFFlPHKgfzx5rFrKMQ
nVOf3XZuWafPTNugoChzDDBAZU5XcRZMbuNMkP+13s8oVvtZJVbmBTfppruDHznR22Bp6/VsWDVP
sV9LgCWCw6D/DpDduh2JZZyaCxHPM1ZWyVqeRLkOhxLsAm6LW8YJabNohN5yn6+8EPcYmQqaTEM9
XByd1rfBRprrSps96PMg2aDg2gSR2m4gIrC7IXeIPbIzdqWBHPo+5/3evYt3HR4qvjiejj2xsxFv
XrrAH3KyFzFECduPXsl/vX0yZ3P5b0kBGvEvzchbmm1C6oy1oQn8rpjD8Oc5BJNpuEjHh9QGY+1M
kS0cwz6fVfXeaJX3jLgM7oTEBmOhl6NMnMR9riZULlIoO/kshRaMdHMENiIrWMuw8+JR5GZAszYL
p7X/fZ7Ud3vxINP3os7t77oA7+wi87gz8os3FElqPBG4BUg2LisUo+KVX4qcC/XUxuMvHY1f3742
Z0f4yrWxQVn7CGT7NjQ6H7fvvSI/o4i6vUnU8mC7iguva7HyvPhZvEPifnOiRcNlsVwY+og6mpZa
5wZcd2kfkawpJ7fEgtiIrCah5RL0xZwXOu5/omC0PyNLenI6bhuTBb6MMg4IrnnNIHpRhtvnZI+d
QBrERmUlMytrVkR9PmwjPwrVrbdoWlyjr71wUWzGgAEUPW0dLVPuT8lQYyh4kftDLVV8Td7o0g9Y
j2khwHeupn3KWenFQ4qxjvi4eVH4y+3kreu4hcBRL+Uy5HtSPnRm6A+raNwAcf/RIpe62iA5u6u8
qccPweo91EXjBGwktig9E7HQoIpB7GWaJ26mmzie3NyKDUWKO1DcdaqFG288miFxfBKJ98PpuG0s
UtXMZuyDesxN5AFbsod3qxrd2jmYQ33pbcG2tldeWI55O4brR1YEe7Y1Q3nz9tbPq7ziEm08EhjX
Zmi8eEM+94TLA5eGfZd1tVapmKnO4kl3WSOSzjHksCFKu1rHoh7FmOuEDem67kocGJCx0+Htv+eC
RhM0E14e19RAQTgq1JQPLdX0790Hbd8HNhf9N/SumX4WyWhYCyL2kvY3UFWEjBD0bMjwZSE0mN5F
VIYiq31PDe9Q5W76FMU5qGLPUB9HdOGHezZz8ILesNZ4T8UI0sEc5CtPq5r4crcUGxXvaw9SyTem
rzaIYEPlOYWUNnUayw0R37z8+3RA5TaswZBXdLgBqPvbtF7L7i8QRWPq7uXarGAmrLxhzPtR78m7
lUvC/oq9GukPk/N0Vqfb1LMEwclyN+h+7E5TofSSLlKFbjGvzeiqynYNFYDZeVtMJxQtf4Cc3O2N
tvlcS1kxo6CJmu+tOjAuT361XBnDuBCPxtYb3bB+KSa2j3nVYh7pOJW82g/zXjcj0hkPfJ1vX+4L
r4Y9h0mk9AfVhmPO9ujA/Z4e2gSikU6L20Cw0QuEZm0w5hsZ9Ce/o+Ox0qVy+642+itIfGhctjPs
vqnGp16I8FR7unUL7Gzxt4QueweRPZWHWyFTgl0nEETI3A4meWkVC8MU3qxxb0CstaZhwd6BesPt
TtrIrt142x7MGw69KzBfw02XQpvATRmTRJYvRN6kq7FfR1R4YpUGZXxHPXnlyC9ceRvZpYtZmMIU
Y17sXZwRlKXuaE2hdSjW4sqN/LcT+srjZAO8gq4Dkd9OxtwTXPzd9uq3EUV/CxcPKvm9XP+CkG/x
3vMKeVhX8E2oVuhbzYk6+aOuPorQQLW+G9D5BH2juquKgL2roNMAmlv8rysHccEobYbrng+hrwbY
TVm1v6euM1ldrOuN292zHEtCZ9GSkLa5CeuPezhWh9gAXu62uFW/EJR7zUJhk6B5+acqt7thdNOP
IjYILQyN2Kutm/Io5kedtO8h7/HLade2fhv1oNIdKznmgWTjPS4ev9VKzFfu3KWvSV8ae7L7ErVF
eHLVLB8IfSxizy3ptyFo7ZrIQmo+5nz0n6iukgePNptbxm/zz2PacwWOt0QFLVyRr2ysB8V9++R2
4uez+rOFqyvw8rcoovFethmrWJdqBiN6e/Xzyb5i5Db9fBWvIBQoyyknWvt3nojNh2Yj/TsVx907
EYXyCyIrfWVq4ILXspFXZQn1LhlPSIw6r8ikBsHw5kngeAEVdnsubPgViIZ9Oq3DkEe+9w556c00
7W7pkQ2/CivRD5wgOKqpib+0qDl8XJNhdvM1Nv4qimVVtR0+MxSgvUzWqHwb6VjLtPnXu6mt18WD
1dbGk6dugZA2LdmPt6/QBaO1EVgok0Z1VQiJdJ3+isqlSddBODENh4DDv7z9iyyLjbTIv5LJWw/F
BqXm0cSO+ZCNvMJUjzcGrZY58er3O0bbMfeJdN3tXKzXYyei04tCQ0Du1bcBwbTqjJs3s2FXBWIi
0OCYLk9Gb36nJM/QXp/c7rmNuiqHYl0wwCdzFkYHiMd/bfvui9OR2KCrvZLoGjEsnQAudqi78qfc
QU/ttrj1eIzLPBa6HZC8EIjerkn5Xe2BY3xuw65CSSBLW8N1SRDr3AaR98gKubi1MmzUlZqWgouQ
9LnRVB434K8Odc0cP6f1fpSNPwxxe64DevMPWpXv+9GJuCskNuZKxI3pQC055LyqwptFl2EasMGJ
fh2rBy9Nv/YWSCKuaMD4Ld6IuvTu+nG48hJd8Fk26Gob2yVsyqXPveHQRVGMCfuwcLyHVmAH0jim
WIJ3gpj+Z1epuxrsXW5r24grVU0Qc+IoLTbhlkLdKZtKx3jUhltVtdkTL4Yb14p+iUFmpopvToZp
87m3QEAavze4JknA0zGjUcIdz8PKDosB/ItDXXc5Y1hzmIsuW6Ir2eGFaMWGWrE5aIOyT3BHSo5I
hTZ6/T3pZkyXeV+e3I7GMk6+UpQcJ9oBiDZ3R481D2u8jG5Zv608hjo6XziPurxHxcyLijtdLF/d
9m3Z5lTt/RYQvG0QdngXbtGpoOOvt5e+dOzWsznNJYYdh03mA7LNuznqx6yZNL+L6O64ectAG0n0
Oi4FApZFBUcMt0YfmmFw4mkJuI26kttEBOrEMp+YPkViqoAc6eorpa5X/RYWt0aA/M3zUUcrh7wv
45s2OfSV09wtVrZeTz15bem1dZUDBkTSrlef57Z28bZY27JS3SexwcTMkHvjplM20gflX2NEv3Qi
52v0R3pUz6aJ/AkeETWcb2Am+lBPk0u0gm1bxqnagNJ464acdfqL3tineKp/vH3JL+3aCmtDw8JZ
TvLcIpqhKcIHVLrjKw/++S78J6XDti3bDId2acUghnz0yZAlYRV+gkxUc8OSmR9YXCwHyKJ62ViO
19oY/yZwr/2kZbOx2UWtKJN5N87bt00tmO2tRNEcNaf1e1H7+HXjT+ngzeDMngRvP/GdIHyVdPja
TGz9lPSzzlBN0A+tX4ibtmu2JyKi+VDW9FPYTF0m22HPFOft/Yx59rRtB32Y1MBu6mFqbqZlYadm
K75LJbwbsq2kdHliAs6sW2BIEfvbvIk8TpKPHec//cJ3GXLEl7IcEYt1GXmkH/KQzCLFDJIG0dvk
FCtg4/ylZfChLqc6wR2bFZJJstM9bSYnshwsbjkiwwGfJmU75ElZQqBW1dkWt+3ByTpsjFnX9GVQ
0LbPt80/0i1o0oJTJ7w9dm45IykN5UG9drkvgP7wQBHIw/oft41bzog2/oL5yVjkpT9+S2J+uwWD
k2Q39m25DDZOomUMRkOb8mfpiR/Bwo5u27Y8xoZ5T15oHEnjx/OppccVpYeT29qWa6jp7INngZag
mgrkXUBkd+8brq4Y5wVfxywLSqhnlq6TIm8Cv7vZlq273QEWGHZaZS2NvIMX9RA+NLETc1/AbVSY
J/u2Muh35JMJTHXUGoNysfDhi5yOy8Y96YqKgQx9D5cQ3IQUMzLeIJ1godi89cZvG03mQiAVNHX9
7EWLOozVzm/cdm7Z1VYMfTDBVvOIgKbUNKRK69hpugc7twxr39FqIEHV5iNKzmnRBh1E3+lHt51b
Hj6JwmnuBKoS0hu/1WsUpHzunaoS2LlltpDS9kLgqWVeNaZAWn8PSc71ymU5f7dXnl0b96QA1giC
quwBjiu26ECUrjNME4zZOCXBXSS0ei/L3jEcsqFQNW01pM98AVh+/bkSd1FCvrp9AMuKW7S7Ad+c
Rb4tfZuGfbKkZBOf3l78fP9eOSQbB+UPXr8JGgDRtvFTxfkhbtgN4d1f/n4NFfBvoea137Bew76O
63DeI/wBMyPrcUnqX33c149eh8FLz1T+075AhbX02RylrSHtfQiWB/DX63B8jAqKnQz+Um+ZX1Tr
T6P87hr0/uLWLJsHdYIP5QlUUWp/V2NqBrymXVkM93UPzpFMhEKS0xQF9e2APOWmolN4H1Ev+NZv
dfiOju126y1d9UFSmhwA/HLTDeE2QJUHZS3M6Il8p1t86EiHYSPlVHoNuI1QncmeRE2Ed1hDc+sU
L0GXbRxYzLdv1NkvvPa1LX8Bms8EgnpKgkjNVJhjWvpDAd42x9UthzFOQRLqfkDZwceU97yXOl2V
Y95hk9ZHKHPNQNYj9SULhXzkmIBg1Yk8DKduPfV9UektoUTk4b5ksiO/i8Dbrzz0l87cchE+b1AU
EKgKQBQYV6WPmhS0bVcypvMr8soHtdFpxAyTl8gevZeyqbId3MtZv4XQOumEE/wlAAUNfvqPNLXr
wb0XyaTNz2rSh2kW78xWX7syl/Zv2Ti4uOoE7QCByT223EHAYs/a0Q9hzCN1S1VspFpdhwjBZSPy
MYnVc7fUj6E391+cDMqGpbWgbBIETMU5upE+oG/8SzkDSeK2uGWtCzrha98v2Pl5coLK+455j25L
W6ZarZGZWCG8D6iCQ1mbNEVKmfrx9uIXHne7qRzs/RIov2/zbl77KCuHlpwSqI9/kSNIQjRNtvtV
h51bCmB3wgqhaBWYoM2LTYtsJNOT6qjbMdkUBJusGtZgqi/XWyUzPHw8g9iPo2ewe2FADPTJ1iyw
rIiEnxeOioIfLN2Ve3/hK9igvE6gBtRPMC0QmB+LbnrPVH8rQ3asMSsXJG4c/9yGsG3DxGNSwALa
svjGS37P+9kJMQzXY7lOAVHfZQ/ZeW3zT0Sq25LHT2/f0QuxlY1aMwYt6xhIRBT2RpT2q3Do7wgg
QDd9q/nXMmLt57d/6FyzeMVD2wC2HuTRUHDgXc7LmE1pl8gRLc+tv5l3stz127gCm7/KKWUFaYEB
UubaIMq/7aZXftpuh/K47ys89wJV9MF8WJeNfKJzBAIjU/anefZ0CvgHz+q+BhFsXHpZ0Df1U9LT
+h66j04twoDbGDuPwLssCT5i7wff6q793g5ONJFY2krc1l6DK7NFmyCi4tQKzPL2U/T329/twrNt
I+wgVj9KuWPt3ds+NuEcpsMiGzfPbgPsRn9f66qu4VeofF+UcQMsczKf3HZu+XaUrKVB3w4hpBYk
a/X8N9q/jrUcG1rHwJI3iYk1eV0FQEwmZk7DergSzVw6cysM035TtbIsWzR8t5+LP83ZvrSuO7ec
CdDbgefP8IfNHJzM7P2Ya+NE7x1wG7YWV9W4JCu+JycsAoOX/KbK2K0FYePWjJHL0I1bm5crCU9F
kcQZ2FzrG6fLEtoBGA/8kDbwEZuavM+QLHgnfbNf8X0XvqcNXRtWf4MEDB64aNurW8lZd4cS/7Vu
9YXYMTz/6p+BKZfViBSgySsS1cc4AcWyn8TlcWulY63YxpiFlJa7obrNwxEcl2v3CfMlbv7Fhn8O
ca8VW02NXsfwtE7tj027CflyGwvfNWIJxmVqc7XS6miU1BmmeEq3eMuGwy99Lb0EVdYcajtJWkf8
XUcwC+F0HW2c3dZHHPIiSH+DSEJGkEBSdIudCIgwymxlMgTV3GCArHke10AJcNKkROPtd9u5ZUik
3KQZoT10BiHE9yzoeEqkdw0GdyFcsTF2o9+OyIjiFkzOfuqZ+OtcqAOZxHPDm8XxLzjb2R/2tFVR
h6J/1OY7pmKnGpz5bf2X2+FYpoqBmmAeBw47avpn8Bb3menItdGdC17GBtrFMbDwvJwRRo/NkAKX
vKYQ/HMsa9vAL7+LvFVpIKmFHx2mOHzegsjtVGyyLRPJIFAM7jHZzTc1nsRC3ZyLbwVGi4+CswAR
Yd6s4123NE9tt1ybK70Q0NqQr2llajbB1IB8Xkzi/ThQ+lyGfXWQfQ9iUtJU4IJKQhWntK+CH6vW
xZWM5sKHtmm4WOitgWpWAab0CFBiBaLnPdG/na6ojQgboxC0ZDzEFU0CeoN6R3QzS6PdbMtGhImR
dxCpWdvc84JbMxV9arhrZGNDwpIZmJBIE4RNrQmf2kBGh0AZcyVCuPDM2kRcSTnF0OOskISNK79N
qq18hHJ4/Ft1cEqZ0+Hb4DAWqZVoafAXTJ1Ke92hwtevbmdvw8N6FUdTNCEeHuLqH1GwfAHxouPG
La9vFjSq60m16PeivbkON02bOJGDB5xYRmwk25Op1iKfSm84Bklw8mnk+IrbELHF7ENQC8QIE4Mq
nxeUj2O/37p9zf94e9MtSwlTWuIJrDYgQ2j+HjWgDm7LW/mNjLZ6ihqk7gEmNTOI6XKZNgEtXe9L
8PIdjJPNVyIaRF4n0WdSLx2Sdu7E4IyPaqU4FK9sPdaojZWD32ZR4PVpXI7XmsoXbJVYOU7TMT3q
c+QXgDfjrtrn/dZrRZDFbeCdXE6f2SCxcA7iZuvmLidRNUKdOpPkqvzq69tnNkasDADyRSewRY1/
6vpUxe10HNu1/1hXg3n39v7Plvnfogiz0WIVKTrA8CeU+sk+HNneLpnufY1gDRdoofSbLkf/ym+9
/mAxGz0Wb1AxbUKA3XlJ6MNWMXHH6sgtOWE2Y9cEVtquE0jFTTfcyObvZFqPb5/RpX1bBmz21quS
JW5AwhTro4n8+MYbi2e3xS3zDaclhpoK0rZipjJLgpIdVn91mdYPmI0gwyjBMgpIzOdFEIiM0Lk/
eKH+5rZzy3Z7sXWcFXuTr1HyUwzbAtYu7iRshp1bpkvGeW5FMqOwgkHy2y4q5ndR1zsVVpgNqJoA
j476ZunyQRVLamb+owqV2/e08VQAOrEloKTJNZv53QqNg8NGqtXN3diAqqabKJ2gsZ0H8fppDJbm
COkqt3YogNYvPT2dyD4xgrQE5EvluyqZxKOquHLc+tnL/ZlPQbJqUASNs0XJXyxY30t2TR7hvMFX
nJiN7NOLTEgTNrjmY7DPaLVydMJ3H9JsFG2c2176yZWY+98232s/ZZlrva878RIgrLau69KkLou0
pYTdGjXru3gCyflcrv+EA1ciizovSgWhKsW0troVkAe6n2iQnKAlFdwUU8MyPybVY5jo6LBpoj9y
kCSBlqLwb0Hjn5zkTJpTAZVXPFkKVOSHYNuXY1kU4WnhQ3fsuSlIWo9zdEv1gvHnGSzax2jfniuv
F6epWWV08lc5rBna58WY6nUBK2AJ/duntg4Ey9bZE+YAhKf3ISh2cPpBUOFIyHl2qgbZ342YmwE4
+WqnLGVV3N3VyeD30E4ak+JbpH3xGbo7aHD4qH9+YYHaHjENG9xRhkCHEDo8gvK1d3s+bHqzak/k
Jlo8tSBvyINgP/RTfyVEO9/B176q5coW8Lwknj+h/WFqdUowtAetuY4eY8+Ud07e0ga4BaGa1rbG
HQ3YjomPkXyVw3wNP3ThhfoPmI1GDcWXQtxNKc/2NZTHdhGDy5BawGwomxhBaDEi1cwF2HDTZxIF
TqMqWNnOF9gOzpQNBUXVbuGtkBukxHA7nbIRZvN3VdvAJERQUcExqs8YCCCPC1Py6PRBbSRbOZlm
CIcBMLlA9lmo4weFCXOnJI3Z7F2xR2mDIitCP6+8TXhfZai3uEX0zEay+UGH2pyQmIbf1ClszD0A
PG4ga2Yj2YgBZj0GgDjfyg3Knh4pn7kpo6e3z/zf8sMrhmpD14CujtGaRHe7jkr6PkRc/A/a0OFh
BRYv3beCfGmF2rJ5IPImhDM89QsJq2z0t+Su6Ze1xr/Ev3K7YHbfKu68BpRaogb8XTb3URH8UFNr
rjiMC4+azSmW+EVoIkwP58LzSqi3sy0ANyo6TodxPrdOgxECaG7XzYbWsVAsCdKLJmdVcS/j6pGt
xE0mntkUYzzsluAsipAv5d4i2BJIT2Ufu1mhzb3Yo85DkIA1mKNRa4qBvQiYotWp1wS4zcuQpRpW
HZeU1iDyCQno4ku8fCJyi4dsaFtdLQsk4uGdJJd+VvQUr+i6XMu1LlmKzb1GoRfFu2lEiTza1Oe6
WeObDVCiI5DIiqUTinn3G7SZPohVQIJAdN1jzyaVYha5mLIh7vTDOi3hlbt84X1NrKhpiQQrd33O
zTj7rirQk5ZD76FEuqorb9QFa7HxcAZNHo9XcQ3CCbFlBDO4ADGUPUZyWGzarJKDGziO2eC4cvWL
dY85Cr7Jfm/wp6V1F175Ky684xZx29s+8sIaNgaODjKZIG0JW04WlLKWBpFbq52KTcxGv8UaTWKu
gQ2HYFBy5GO8HWnrPb+989eJswJmc7Q1e7KsgGQ2ua/8JUP8CZ6MyhjQEEEnB4jxTt1OfOyadKfR
lkKncfrgtWAuffvnLx2cZe0BpA+EHmq4kjj4uynbGziuK2nDpaXPdvFH7tOHG5uTBEl+F+mPdIO4
IcT7nDSScWrnH/1j8W4cEauO+Ca9WkGuNs/Pq7xaTP8XHfPKi2sTpVWL2bbCQ5gjN9JBlHEsks9q
xTRY2rC939P/cXYmTXKjXBf+Q58iBAIkbZWZNTlVnt1tbwh324UGJKEZ6dd/J9+VTVc6I9h44QWl
ZLxcnnvO2vLuXx3XozzIFenkYxlV0hzqPZweiNnZPZ9k8EUtNdbJoOWRyog+bcCYwP1PSQajvP6f
QdLQL+Ph6imFnKwxBD3KZ6jh3SVTp6GPod55TRAX9oh3GAeZbVdQEYriLGVbkgW7XzKFOTeQCBzD
XkSiQDfPB711n9kceDbtpFIM4NdJl6R4hggS5NSmvjoj4+QlHUATl/VIxrUPYo37Y5G20bvJ8ukf
Xce1537jJJ9XaugQzFv1LJb5U1K1UOG1mvmFby6r16iIF4h8wRyUh9KiqpFzeiv1fG3FO50ebylb
K9yen+eVbidL6QIRSHVjo7zSuEvrJWQwdc9Q1cub5seGNz+Jcka/UNAF9BB12jmBWOEzCwzJRKLe
TmH43m8BOde9eWUAvTqEtFvVPEocUnio8F2czu7NaTrsldXls4yNOqQTOcT9uvrNFJd+i2F7YNWc
ls+LGr+PtFqySEXLyatXXKIJeDAfMZyAj7n4qJLmXZf2H/yadjq8rlvaCmbRtG7NIY265DhGid++
4uJMCWr5ka4WQZ5WjTnY5t7YcfLrcJeZjgynFRRDg3xBpfmBBLLMmDGb3xx3UakiDmuLGAlfridy
5lhFn6p5mfwOe5eSgtZrJPliCyQ661NhjunopaGEvdbZDes9wmlZDMUzS/r7vlsfNrb+4zdTnPOH
NX2kFroW0LDf4iMT04YK88T6xbUuJNU1/d6EBB9e77hjMIK7zlAyL6kwmriUFNsHJDQ1hnMu1vC8
sio8JFRIv7DQxaSqAdX31VIF+dCU8h5GsNtxBjrs1e2uFJmKk3iCa43Ma2XeBe38ZumF5yx3Iali
R7Ui9HywhuoWZ5tGlUpgBr9J7gqR2XmnAsXFxXMg6AMnnXowNi1upGOvnG+uEFliFE760pTP8bbr
UxWWyYG32y09zGutO5fRNGoQQ69ofVzfbun3Sb74jaWzOuGyWxYDQTgRKfsgxJz35a1632s3I7fy
wixxQwQJEB7WI3vPoZKd1TRVx76rkzfrIl5U3bZ5L4vlOZjn5TAvvee7qluWMeGkK0C5FM+2Ezs0
EfflpGxbHb06zYXyN9ESu41CPXN02lhsdVbPym/XcVm1gGCUe5ZACSUszSEK9icbhcrzw52jVbRK
rypg6jkZyqNh84H5+ZTTxMXV0nmNkQgiaFqKKqva/WtU9H5Pny6uFvbQzgxqtF0P4pyW/UvXQvLB
bywvC+6Xi+i8iqKGNrh6pr0qsza01cOKqMzvKuASadXaBLZmA1qf1iUjqTi1ct48P91Zu3UttKJz
q56bagyzogrEYZ5gU+rXMc7hCtNpeFpadMw+NF9gKvY5nQov5UNMFueiobq0Af6nEeKBVH9gsv1c
sFj7bcT/AdFIO6xNuGC20AhPjMHTCm7Mq09cDK1DgERNmOBYtXh8kOFOszWZPZ9+XKUyrtpewDdD
PcfBxg9mjRBEFgO/sfYvaZtXciIuigZHjhr6HWmQVwGRGZ4Mh6xPtD3ukC/y7HknYwQRg3StCQ3y
CTZdQI8VNOJXzzte6CzUJOhSMWmtnruFt4c9Kj+OpP/Hb1yd05XOBO/XmqZ5gUBmq5aHhKR+izR0
F2mkTNXh+T2PIfmH+ql0fpjilflljlwUrSmTZa2LLc0Da/ShGUh87OXmd2N3SbR4KlmPh068sifj
SZb2zRC3N3rl9cx37BJoDa0hVGbWIAdV0N6xsVsfKxlNj4uY+N/IVFV3PgMbu8/vEIJvpFqGFAIC
6hjYbYMaiyfcGbuo21aucbLjmpfDW2x+qmBL94DyMq8LduwybolKkyYwCLLl1oSnqYeI3tIG0Y3+
/99F4L+7QexibfMeq1LPWKpI8FbHMAy7p3qrxGGtl+92HbD9hNTm0O4ss1XO72I2vNVtKI9bevFm
T9WHYhXi3m7NcsCzLHiObv/YRVwf+p6H97Mu/tKzVh952T+QaXg7VpCRCTkoTx4vxZmQpgLZlXzx
GmWXolvtpvCOssu8wA+itoe1s+g/+bXtbDuCUpokJEjyraT9sZDFO4A0t/SvL428NgrOvrNXui3t
vOEmxZpzYqGR1WJ63hjja407O0/X9nArgTx7Lk18nlhyoYO9doY4dWKDqQ2KoBFVmushWsdM2zAw
B8PGxq+GKHZJujRdq6GgJM0h8Tod1jn9hud+r80+dkG6iMwDmeMlyZkKlThOS7mWB9IG8Y0I/nLa
vTKoLkxHBobHwhV7cl2r4SAhzvKw8rk6kUntfpuDS9TRwtJymESaDyLMdd+Cs00av0tC7BJ1Gy/3
bdGo+IBgjGgyFNBDnsWmRjGv5ETsGmFWqYHehbRpvk+ih/Ccbu/aoE1uPNtemfYuVxdTOWsGLb9c
zfbDEIR/b4x7frizXNd9wR65G6wouh2b9hSawvOcchbUvkOyMzIdFhRjdxzwJwodyK0H2ivP6rGL
cQFmaOulqjCiy1wdbTkndyPdx0MjrXmiXVEfcUbq73gqCmmmByEf19gEpz5O9X2lcV4u8BK+MXVf
N/aAfkH6+4VLChLPwkQyj004Ppmkbp/SFcm2rNxDdWoSzXrcZdTwZVgH2RyAkUdLxlfQUEdKRPmE
97ryWEdxP2coNt6eGrVPd5cn2DILi7K+JzU04P+8919ZyS7NgksymYuhT/J2itqTpFN03lsrPsEo
Kf705z9xZba6EEvDoLov1ijJS8X+VdR873vh5WdBYxdikVUDlcuhwdFVdOwQdgPPFiu8Yv3YZVhG
u4MnGOskVx39zFGUeZhD89WvUy5R4y93cpECKQU1FOeAO8Sp0Ps9yn/Go1fjLhhooYoVqTlJ85AF
b9Jxvidcf/Br2kmvIGQLYhYj2ux3+rkdJrjSLINffTr0rn7vlKLBStj1mObRzD7UZn1ssFj9vvsy
/3/p70VEdGDdhC1TJu9kQ78vKfXbjV0mUFR0jEaCpke6PVUyeQmq2LNpZze2U8GhI4WlE/G2PvB4
glohZLH8uoT+3iVF2Y/dopMkT8VaH+UMTtr29Y098Mqid4FAFsnGdkij5zYBnRXWzQ6BndhvErqI
VgrvxygERZqTXc73EuJ2KHllH//cLZfJ9kps4wJabKHW4gk6wX1TLPdrU4UZi+V+1OuOHaYi6Y17
7WXFvPZ3nLGFCiXKatmcIJqfkUpYYbVXQCWfmKMQYf0Qpgvo1QLOE3/+WVcGxAWxbJD2+1abOO9N
+C1tq7eCEK8MYOySVwn0e2gRDHHe4sEx42J+u/Pai+2IHfLq/0SagC2F5Uw+cPvRjOo7bHP9Qh0X
yBJxMQlVUZxLYye/zqIoP8Po1svXksYukSUoS3db48OTTS5HiM791fPYj92MXSBrrxZqpETjdb8n
2TllgMn+PE2S12elK0O2RqygBXxz876K2JuoYtVTWVXLfQTLz0xHfXlXkzm4a0Nlbqy3K+vAFd6p
5VTYZO3jvGw58ph9mZWNeoltlMd4uTlSvXz680+7sgJcETRdpgnuoXOcb6bmzyYYyUEHsR+lFru0
V3TRmi7EEud7HIN77i8qqjbwOwdc2Guv+xkIVyWQYdP6qGY9nsblln7ntX5xzoGqK4ZBxEbkACnO
2tb37SB/+HW5E/PzslhqCO6KPErK9LhX6bvu4h7t17iTYa/nsd/ZLDgyC9itcUMsPoK/UTceZK48
7cUuzMMhukGnusN0SVnYZW3Bx7+KlEfPqR2/dqTfTl29Tycsljnr7TK9QbDlpygWu7DPnISjhaQY
z1GqpI5TG9V3jGrmdza7elTz0lG17THPySYjHPohe7uHXXTrSnHlAHWhHE2LARa1scjToYDEyCaq
IzSqcWORQ2jf73gq8owXXc4fRbI75UnIc0HY+IGL0R4s1+bGAX1lXbjIYqlI2FQVEzkv0uQ0QDfR
hp6X4f8gi5Mi27JPPF/a4UmZ6Ieab9ViXPtsZ83psERlMMqf83Dc5hOnW/Q48tUcvRYdcxcdpvwM
sP/S5XY+dKxhRw5nYK/GXWZxCSLR1w1Dr6xrnSGzFzxGTbx7tn458n65AqihNcNCMFti0sHat7bk
Hgnof/0+3bkXlUuJIvkqxWYUwDe5ozle/fxqd2IX6JrTXau6wEY3ijrMzD7fDU3huYu6RNfQTyha
73aeqzEIj1JL1ADAQdpvurhEF+9tt5XCos/X8iVexHowCpUyfn3uRNCdRImJFg3mom6r8RBOoESF
ZNyv+iZ2sS6N5Cw2R41+X7YPIfJ32cSYZ3zoql9t7TJ0pG55XoaBfJwG82OH7rHfDu9yXWrneHkC
Lp+n0zY+yiXp7iD/casq88oO43JdMa3LiaJyHXdp8i1k5Gz78eufh/RyHX/lUvQfqGucUMea7DRn
dU3ftzZsH80ghwdl68pvW3fRLoQIax/CiwbvciaA4licwX5e+N2yXLaLoeqJ8CZgeUQg+6N4d8er
6JbU+LV+v3TaLxtYNOxJE649Gi/XKYP045Nod797lot2BRR5l4AXl7kewrVgRb4dXr+eKRJX+wr8
lSRQxeZ5kUC0qNEHEKmeH+5ErzPnmDKi4zksd34OVfW1pvzGzeRafzsnqSwUiQaNr47q5O1uq/uF
3PKiv9a0c4xOuyxaU5Q0j3THj3btTdZ3gR9HELvwlpbFGlfM0Bx+bV9JGRzHkL38eYFe+XCX3aK2
5bwvYdAzp3DngMtVm3WK7Ue/1p1TdFnoDgK4Y/lE2r9SrjHLAbn53RdcfMvMKIBdcL3N8Rxgs7pS
KisT5rnyXYCLJ5OBYsjCcihgmwz2u//stvnbr1sug/HLwt/7WA1jurK8a+IXOoQvSc8/+zXtnKFD
2SVpuQiSmwGOpBk0KvWXliWLV44R2Zrfv3wLh25RYU/zUXU8Y134pk4nv+XpipUNNBED4iKKEzQ8
irYOD7oo/Ji52BUr66a1DKVqo5xL/YPhyUVrzxXkLH0FoUvCYKqehzt7B/HYNylJPSNFlwujy1pJ
1a8knxgEKeJFI6+rEvngNVdcNKzt0zLd2EDyWusD26DqWPlJGcQuF9YBOKgj0qNpxn+mqvjQQCHD
76sv19RfFk9L8dAHOJ/mAoYAEMQIfprZM/PpypMlw7CU0brRnFRTeGq65G5JC9/GnVUfNKmq+lpF
edG2n6O9gdJlNf3l1ynOsjcRtHaWCXWU3Wh1ZgfxziANffBr3DmSt85C0yHRNI870f4T1WHxUZHi
p1/jzqG89zreqm6m+RBs9iFa6/fdZD1fLVwcTMqQhWohJN/6YLuLxj44Jqtf/Qle+H6fiCzaor6C
jHs+mfbTEvew+Zn8PNeEi1IVpmyQY5lIvqh6OCg4TWY7AZrh0+fCJanULptqMrjU6rp7sWrFCur8
1G6FCzZB5KkRe0XDvKwafh8HzXSIElS4+X25s4bUqEpVEBPmzd4eJ03PAav+8WvaWUIFtGkMbXWI
3XDPC558WZrVq4hDuPJg60D73nK557WFJ+4BlbLs8zRb+enPX/76JUu4aFMzMfibr2GYR5BChQxW
NFlUbcso+KaKvr2Rbbki6y9cvgmg7KLbXeGvNCWXBxYZ/UGHDYwl904fEsjrZpa1UCfD2wmh8BWA
F6UNsI3ugdr+5aYoTn/+uZex/u+dUriyKmFTm7RnzZ4nMBu9TwLxtZ8TP9lR4ZJWkN4vojmVW26q
3vaHcYAGb0ZaksCCQyatn76YcIErYyMRj2G65+3WWghGrOLQ+IbdwmWtWiMnM46Yb822vqQgUA6s
Lm6cNJdj9pXed1GrdknTLbZkz+MUGD+rqP5azIqetrDhT/PQVdxvqbvIVYj+UCWNd2TJ+PY1Lvlw
IJCNv/UccDlfXvsdzk5i9qUvk6rcc8jqLycUsFQ/yz4R/wag+B5FvBYY9rAfTt2yk6PgsGBhMQng
B7ZXkVckI1yDSkWHYoSIYpjv7EeMrTgbwtIvtyBcilgRO3V4PAlzyJLxQwMf+Kishxsf/r+apNc6
zzm014DEBsW6e76NoYKYGQQwLNTNz1OxdUdZJeU9NygMXG3THiTbSabTqj3UpINJV5nWmRhlhyd+
OhZZMgTRCTK2eEstFvgwsWLb7isTRs1RtkNz9NsznBBmXZqOjrq2uY3G+TSmeNfew80vTBcuHGFK
Iy5V6Gi9VUWGl/nlDm9Aq+e3OxeMMBgaGVptLxQN6jk3nRWJ8jyuXZhLU2DI456s+VrjZarVEJeE
oYTfl7sQH4jbtB437EMBgQmxrB46/OO3PbhMXrrtU1Gm3Z4vbPvW61KDJ+VeOSjh8lYtE8mqSLvn
cNX6vrzb6+pfv2no5EMmFJsMyT5iY26bHl4AAunobIbfpV+Hu8CVDneNiu5izxlEB98kqzEHNsy3
XKvZ61umq8Q2y6U1Rpo9F2yiGZzr2tNGu1ukwrXWL///y72unnra9T1aDymXmSj6MFt47ReBuVxh
gDqArdBiy/tJ8U/VSLZ3YhwDv7nogoUdT1hDg2TL26LTJ72hHjVlk1/NnHDVsYJKs64l/ZIPjPxD
yVAdu5L4aZEKF71SdQWMrreom2iW6jCuWt6DW1Q3DopLWuiVc8JlrxDRRLQtJpsTUcd3VupIH9My
jM+65tV3HtPhycYKJEE6Tb6/yInjZRKtBoJuc24LbDb9gFrvcPPKmAgXukIyo+zZqOYcrML8KCNC
7jgKhf0CW5e7itiqhYTKaE4HApvJMo7vCd6oPVt3jpHVkA34hhjzumUPevoIPN4LvIJL9+8rd4xS
Ou0dG/Oxlj/C8qWELZ7fynKpK9bYeJG4meUt3+/gnTZk0xq+eG3GLnQVLDuqTeg0gqp9E9fWZICv
yhvffdnQX5n4Lna1tUPFUaI35qkZhjtutukE4CN6iGDu/dQukn6P1XKrav3KzvkfEGohuBQX+CHR
npCMN+ny3o5j9c2vm5x9WaeTsfsUDajJmfdH8O1LBjsrP1gJcfTvc2cTnUIdVjPkcAn/ucow56iX
9vtw+nvTUVuTsYtZn6Na5gsP7LcyDTwPK1fSaKqXdCEtpnw7jl1eUWGOl23Hb6m6BoQdDyIZBMuQ
px1q1XgYZqkt/eQqhMtBtVUxDxaFTzn2supNvAMl0YHxMzUXLukUjXVg1bRCMK7aKyhyzyiEsNN7
rxF10ULAct2ewjc9N/V0F4SNzmBe6Vd7JlyKKsZVX4yL6HNbxcHDWKXN/aZHzzXqQlRRQJQUtOzz
tqUfUYRwaKz9/udeuZaZcbEpizInDGXf5xEdxYO08UO/Ljg6uoOMuncB4achjb8KtRZPelLVG9YC
ftpsc+sd4cop74JVW2GR8lltnydEbwYlLZrdj31C/22Lwp7hyqpItupo/V72ReU5FZzFDXNqmLsl
qclbMo7nrhvMqW3Z8OnPXXplR3VV4mb0W50g1M1DUNzHJZj+MtrzDuASV+E6V2TUk8nH9otFgiPr
xna9cexc+W4XuIo7Tvu0ZV0O88/jQCZURtzK+1xr+jL4v4Tnm7Ub9CxqdMmafLwj+Merq10nwMHE
yVbpFe2i4AcO83XGAuZXrCpc0spEY5ByYU2Oba6/i6FWeooIkwe/T+e/d0nNO/m/4DyfY0kyo5ps
QI2pZ+OXcfilv2torM06IF2+Huo2jLNxaz0Pr8g5c8EqTIhPoi4firA9i35YzrTzq7NFGc7v393Q
fiySkjf5WJLHfZk+N/aWUvO1KehknSCn3VQy3tu8Esk3lKGprF/LD35j6UTHtWgkaJCty1lCPy2B
PVccMbhX2y5f1YFqDUu8y+UBE5XOGlOpM4QESr+t0GWsUjuzUFOh88TO/aHU1Xaw4eZ5LLp4VZF0
m2xp2uYsld+DUu7ZPI1+a9+lq2hFi7JIIo25MpLTHgXjsSalXxLHVc7q5MRQ9Hjp9SF8wBXly1BE
938e0MsCfyW6d+GqMmJlRfimc1Q6iL+7JOBHvuOdYIRN6o2K7Ctz3SWsoO+zRVJ22MlZ8AlmFhCc
TQO/+xp1lmgAMrKyYtc5s0tyDOJBARFt/SQFhSuhFTZiJoqoNk/aZTvETf+0w5T9xlK61vPOMuVT
IWwbdCaHlMP4fmJ0PcYy6d9oCWrfa3Bd2OrivI6awrLL6Y7ltI9TdRB9V5xKG+5eyKJwoSujln1N
pgprSnQ5TJMf5l3cyLhcmTeuuWPRhTtuyHWTW9qUOcxB5amykb3RN9daF79v7lU9WSPtaPIGYsS1
kWkW8PWLX787p2lSRtAQCromL8Jmf1QrT87GWHmE7/OtR5Ert3LXyXGFCEi4cNnkJDDhx2BddZlF
9Tq+KasEvHFQidNWUHFjl3i9s7j7Ej5WZhx6CMrlW7u9FeU/4+6HX/L08hd/iQ2gyiCUsqbJh51/
SYPufVTfUpB//aOFq/4VDoqCTUu6fIxHfZqG895TP0V34QJegYbJLvLSiDu6Ls6aankiRHpesFzA
ayrDpU/XqMmnroACRLDUmeoDv1SCK/6VwHmItJCCyTl52RLQhkspPJPHLuNVD4sZ6VqavN4k0lsp
rR/HeeE3vvyyMl85qlzGa6JxNJZBr/MJCEzyxCgvqgOoyRUWCzFXPzU3fhoZwmW+BoBqy2ZaDRHc
8D6elo9m8TNvE64Q2DomtI66tc3rpv6ObNrfJoAEkNe+4zJf3QpA2nQIQoq00P1Bi2r7VI9q7LMK
qph+0byrBNbMupaEIEaz47ocEr3D407eUka6smZDJ55HJIIymI3qnEQsPRAxNyeTDOJG/1zZNF01
MFYGPG2mEed52vdv1lW2sNjt4GmF1/hqORAam/ut0eQGZ3LlhHflwfjYheveLy3e3kgH04OVApND
ESPR5c8/D/i17nJiCKY40ahRxREZ1FlC4V1BufLTJeAuFNaNcoTzMBpfO8bODZnve1Hd0ol5vW+4
S9+265jaKTRYBlBzOaVF/6NhU/lUU6pvDPbrfcNd7qxJY1jUjKTJNV0Po4T7ALPNJ59+5y51NqXr
VgbNqPNFqJ9FYD6PQX8joHp9jvLUWQEzLHp2ta1N3vN1+iCAWf7Vo9pTZXXNh6wr+xa+oYkfS8xd
nGtpFjng4RzDwEtyL2xfHlPJCq+tgrs015K0u0DCHVtFNf4s6fhAoBLtFb9xl+FahK3MvhmNjHXR
Hm0RvRX11J68xtdFp2yrUTUH37hcxzQ5psLEpxpqKzcOsisz0yWm5hKGJDSddc5t9RzhzpKlw3Qj
g3qt7cu0+iWemgtGCkAsOu+seOxGUWQKzu5+4+kCU2W7h3EnTZ2vLHljw/WpmWavmz93Eal5myuE
JqTK276ApFnf2YyMk9dNAk/Yv3dKQFM21/Fa5bD0aQ6gfYKDIrvXFZS76BPScXaad1LmQyu/1Lgn
7nq60fSVvcAln4JJlmZEeWIOg/IQ2ejSyEdmhulpDTvyTgUBgRu3rr/6TXonJ5VCprCV21zmXTKn
D/CNVAfkM+WN9Xplw3cBmmJUWvB6L/N5kt23dZuGO0XJ9jTBd/LG1nll7rscDZfVpko7lXlbSpTn
jNV+0D1hR6/ucUmaSeoEyrYKrfPtcelscbK9GO/9GneW7Tau1oyNUKjpWN4aPj/Icfcz++EuSUOE
nSTTkcorEI8HrUSUBfBQ9tsTXJKmRuVsu8Sbytd0/rsuYCEaFx/9OsVZtvGs55iC/APbzT/LcXhu
ovZvv6aj33cEyZSZklKj6TV5mHX3F9XBv35N09+bhqm0XEbVq7ycR+jzsB1XOOGH50GV5ffGTWR7
I7sgOMd6PK7N+LgQ85ffdzuxJA3WEDk0NC0J/Ux3YbIqgCWaV+Mum9fjrF5EVao8QMruZAEkQ3Kh
9MOK+H+QqGCZu5KmwZmH7buS2VzOiV8k4PJQqkV1mLI0OCelid9OWxe/VbP0O/RcHIrOq2omU6h8
7qLlbVKw9dSnCfPKu3KXh9qCeCVbxxV4KHKpPi+hExuS738e0CtHk4tDFSXWTxPh08u5DIosDVj/
lkPHuYXcP53uZ7xoH0ka3LrZvv4uy103QKCXS0LmNTjXfVDygw268tgpMb0kehJ3SLa1d5vpg8PO
eOG3JbuAFAlgW1fGZXDe9rl7CZJgOuJCIb2qD7kLSBG7EGXHGT+ImO9jod7FEDn789BcOQZdXapC
dryBdDDOEvECef3uWFJObxyCV8bB5aNYNCIUaQOVtwmEmBphzN1OpvpJa7wG6SidswZl/U94q/VL
MHMXmxJyTttpGoNzazGLkwqWnbXxK+rlLjdVsHTB7EVujVhzgkTnOzOoG7HblVFwsSmZTlEFDjE9
z8v2uVmr573a/OIcF5IqlrUMWpQs5ExucWbW7a9Jcr/J42pFhesGabkWZy4Lt6coFi9NOvjhjNwF
pCi1YymgPnWe2/FRb7LJKCGh3wnDnWN3ZtBC5mqV57puHvXIvm6oX/VaUC4hNRZxNC0qCs5gJn8Q
s5p7SiY/pRDuAlKwk2v6YbfpeQqbl4KAFx6QT/MLzlxAimnMbSoHHAEGsgyJXr7F4ez3Fsz/w0el
pi+HtU3PW7V9hdHM+8WsfuGZS0exaSqlDbk8lztkQvdo+b4NXN3Yev83Jf6bSOYuHqV7/JfCQXKG
2E6bbySe7pYpmZ9VNYfzU4lLxH2PkvkMBrvyPlY8eIctrn3cYE2ps7qUDFq3qhUzPKIndlBlMmep
ksuQmaWefjDUwXyKu6j+txI7UxktavF+rtpYZW0jkMhRaTS/lAAE/45CBrgp6GsN1HGlJ60SfZiS
cP5eJGa/wwsDqoLXpnlbFCSYM1tNK5xZEQlnJkinOSswZ/JOsB2u2ZQehEpaCCrpcM1YUeB1fh3i
NyAvqq82CQrocyYLv6PrXp9VE+j7AGq6j2JdDT5pTf2oOe7SYYYVMIaIInhC12OZ7dWIt3w/a0fu
0mEbHwHqD6k8c7i4dKvospliF/nzKn/9eYG76JeJ26KeLx9uUPT+MuC29whf0p9l3KhnRbvp4c9/
5sq54MprjdYMvGdCnkkf3stEf1wR09/4Cdfadm4HpdDQv1mG5CxDPOwEejtx1vu5xnAX9tJNInYw
E/Is5uhcSv4ZAoV+karLeskFCRqdjslZk0RmUfAxIORW7d2VvINrlZh0cRdi8aRnWaMGfoo2dd+M
Mzm04+7ncMxd7ks0yzg3PWzQJzG2mWBbXsEA129MXe5r3UHn1oFIzsjKPJK9IoduIZXf+eAqbNEF
IHRc78l54st2vHhfHfq66/3uTq7ClurKKSgg2H7uR/mj7Mi/sHr98OdVdOX64XJffJ+gUBVO8lws
rDmWii6nOILBdpXAuydtg/1xh3r+jT92ZVm5HJhGXsZCLl2erakosnDtO97EfrlgV2sL1eVsKErs
OtuUjoc+tSe1xn7MIHe1thbOxqTlIz5chvrOhOZZjdJPbg9mqb+nIlCbQuHEjNFd2oRBiyCpTlw0
yfHPA3ylz10SjDdWQDYAYdE4CnkISF9l6U6N36JySbDRxPB9jHl6ZgbvfjABWbKdVZ/9Pv1ywPyS
glcVKS/+1+lZtDN8WMIfJZN+G6ULgs2FHeqtQa9Azvgh6R+6uPe7rrgcmFGwjwt2kp7h9JSjxhaK
HnzwS3O4AFgcDO3M1stXC1RYh7I+xEngVwPAXQIsqcne9tWenjsYzxQmsBmDqYHnPHEOVEw7FcmW
pWfbpc9tMw/HIqxKzynuJNzKLRohKqDisy3b+7aKlkOVFJ5L30W/xqQqdF0qcS5t+SZq5GNiPeN+
F/myRSk6wQtxjlY1ZC1Z7+mQfvNaOy7zZUhBYG1QiXM9fplY+7buFr9N3JXYaiCkHcZVKc66xGpP
qXgMWfvO76svsccvK77BzkSSzcAdcQrOwfItqvePfi1ftsdfWraSNG1ILn0diPD/OTuz5jpxLQr/
IqqEJBC8ckafc2LHmZ0XKp0BJDQwienX3+V+uqHjuIrXdBtjoWFr72+vdQsDFZynFvm2bU9nvz9d
G5iXtbOJb0jmRVAGGKddlYSvBLr/TrU/XLPWjJQ3eoLXA9g3qBVjuc/Wk92k4uIOPi4I36P0RxqI
MpuTKbqSyMTfsJbNee6w95R5w2RWVGQ8xKyPUGcMqMgKHGgPU03LEEVqne9m1YTbNtY1GcJEwuIx
1dFtCrPnSd1tqzyuEZC48C5SGs8lcTxCyMSRzKpX7rEvHJFrTCynHS54lAmsw+qKZkuWwe9lm305
rBx+nxpjbdOoDOf4hnzH95iYJ4/VuGnWrSkxC69yAHVpdJstGfeStOORRctrGcoXRmVNiVWlcl1Y
FNGtGfj7qKpVBupnWyJojYVNaQi3nphGN2nSHeLL7+m0bMt4rLGwwMNDOwp4dEtxeYYOzYB0TZVs
PCTXYFiaFojMOqhaQE/v55BA1I2zbWa/0ZoHW3QFwfEBlJ/kdQDFnMZBNuJVzOOFjrBoTYRpylqn
B8yWZwopG56dKEQM36IsxPm2s0XC3hY5bT+QHI6pu7xPW5nB2Co92bkfd2HfzBun7WpF5F0zkCDN
6bNT3H2w1De0Vm1q6edr0kpKpBfa2fNbV7Kbqd0tzIuNj05+X8eJnH1s64TdyADYLYDjM+vVazzd
n9caXyNW2NMk8ZbRWy39nsX6FC7Dppsp/w9hVUd1BzqS3lBJPciovJZT9Mqj/5wR4P+BmblERSHF
SMeutvBJnX+xLmr2S0X1posvX0PNDZVW9zygNwTSd0vYXbauNr7Gw5waFYFKFr31BmMSk8dapxun
Cv19qoQIBNJpmMMbS3KfiUBew6XYtL3xNQlGIlnXdRjO2N4atU9LLzJI2NhNpTq+ZsECVlP0I5Xk
Vk/0x9w2KIzIV178hcmyJsGoF3wWflluskzna22eJ3k/qGxI+bYojK9xsEhPS+lrutxc3JgszfOn
WqWv3aP/nNXka/2stm2tLJJmQfmsHj5YXqhHPTblUzTJ4swb1W67FfA1G7Yg+YilNk+oBqTv0WAJ
WLTfFOjwNRuWUwMgcozGWzLo+RwUzu2EF9saQfgaDiMpqhihw9NTJvZ90jVHLQnfNjPXcFgv5qWC
rCpGxRtk5V0pMmvDV640L83N1YJdtK/aBZfIm8RmszOh1edOJsVpKCv6yl75wg6frC/ADOXXxKL1
uXCAWaDstWsdfe12/dL7r07UgASa1jMZb2IWsN0Oa3ODrIp8GHJeb4q/+RoJy8uqgQtHN95Y2TTn
kS9oPmPzNq6Qr5EwqMs4aGRjdBh4hExT+sSE3xRrcvGc+fy/m1+jnYLXl57QtaKgapCKrIVv06aL
H18jYYr6poVvz3QjkRuODBY4J2LQuLwlwOdrJMyQNEzqKhlucWL3rWwfRtu9sh2/MB/XhnZDw9K8
Nn642WB+m+gy2dHCd9sm+1qNEem6ruc1aW+6D/befocxzKaqOherlUp5FA96mbobTkbYfVp3GIdq
WwUZ0n2/z5Sh4f1E56C98cAVO14kj4Eqt3nd8rUJZyO4SRRx3a1MP1bEeFx7qo3jvYbCgnQg6GDA
sz13T7Lo3qG9db9pCq6JMF3VVaNL1QHsCGQGPc+G9Xrb4lkjYaVhSH9FRYcbJvCIkpJdEDfJtgNj
jYTNkzVFOzy/eDksu9rll7hndFtcuibCpspBGAS2Pje4jL2piPg2p+r9tgF/XrD/t10tDfRSJ/Tb
3XLou2SK9W9luvH8X8NfvvE4RhPT3rwhP/Mh/kD0+LTttVcLE5njthp7PDrv9H0+n0jfbbou8jXg
5aO8rFP4RN/K0Bd7XctwB9OG14rVL+yDa8ZLw1W5qeGleutQBYNYbhgfn1P42zbCNeWFJJ3TURHU
tzmdPlAbvinr6sOmAV/jXJwoeGy4or7Fc7wctSE/gkVs62aBm85qEi51Uym0Ad76YvoHVrCPBSwZ
t636Nc8l8jS1yyzdbQQ10frpMI/TpqQ3X/NcKiorCO9P9ubhcXhN43S4I6HZpgDJ10RXDd7Dc0BL
N4S2cof2wz2f4NS37XOy30ecaSlDikT9zUIa+VBz5w8iacJNeXW+ZrryUcOiYaLNbZ7Tuyi6sSF+
JUR5nhH/zU3zNdJlB04Vahj2luZV0B+awQHt6Yh33wWcbR/DoUzOYtRLvXFFrUJdUaXw9Ax7jBOP
ySEXPt1VXftt00dYU140MhDyjYW+iTb43lhhsqTJzbYzY0155WgcDZcgNbeidR9DOBTLNNwWzK0p
r7ggSyN7Z26B8Ozsofet8yXdFvmvIa9olinN+97cughQch+gSzghyBhuG/LnK83/HXfYH5PaeWVu
kSH13g0t2i+hz7/x6avDdJjq0kBU296WQnwzbr7lHnKBf3/zf6uuf5j6a84J/FGSogvV3jA6/hzn
dWmzxrbz3nNj7iHtJY9REy5v21H4N73q5oMJXXgX2UDdJiF6GIJJbfbPm2GajVzn3Q5ajM01V34I
D1EL6os2ZsZoQ456pznCAaeK4Q0sZ7fx/nzNUBEPx6ZGYvWyWfwYeHhq/Lwt17CWyyqpUHMI+7Zb
1+SZq+GuGXm+LQ3P1wiV4cvUhAp5JE1zWHA1D3m10aCcrxkqyZKBYS+br4MzZw0j3F/l6Moff580
zxPvD3NmDVGlSzUOPlTLNZDDD9Ol+5Gm21gMvqanPM8bZKmr5VoSBt2psIOoFdqTtnlO8rUKhJuq
ZEpkHl8BIdyDoxwz5dSnLcPC1kspJeiXSdp6uBqWfC7qUWZtgfLDtoevQtMSAUdApqi7Niz6iRLf
BfmdX9sevboxOsWHsezlcG0w9C5jdtD/NF0dbhOwYOt5XsUSxhapGK9UU/1Q5CUUGge3KTHC1hPd
qlpGPu+6azJl42Llj1bn5PumgVnPcwHdhMH4tL2awH02VD62LtnmZsnW85yhrdvQZHZXL+cu64ro
rqnoK7tW8sf1ydaQYNk/1wWayF1hewiTkvJKiZXZUFdhVkXjg4RJ/DHSr8kK/Xk3YGtqMLcxiSpw
vldsaHLHwjLK4kTL87ZvsDr8UpIa9PvN/upZ4b4KA8mrIUT34rans98PbjangwstvkIHxeaHfK7y
UzhM5f7vT49f+A6rNQu7Yj8EaeivPZ+Zy9yYsJ2A2keRhSO1OyPoNqkVtuYGedQlAMNJd4VVUpI5
qABlNJ/tKwHInzOzbA0OxrGB6Ixb2iuJ5/y9hOvaVdc2PPYJaI1XfsczJ/jfM4Wt+cHABdYvSTFe
00mHO1jTFbuZ2uDNSL3aV2lZHN0oWJaMIQWKXxTbLnJsTRZCpJv0VdyFl2jK68MCfeNDMG0Datka
LGxhE9hMyxBegqJkWb5ECD03XvrZWmNu1LwEfICH61LbDCQ21Nq3nQhrsDBuWQzfNzw6jYGoJL01
WQ+7+7+vihf2izVbaOdlGJygwzVdRtlnDE1116YS0ysI7QuTdY0XzlLGheCIQPVQ+jxrOlfeCivY
1UwJe9z2J6wWdhXQmkyGDdcplr+4gDZhDxDh78/+F9j500pYHcelaaG/XHTtFdFJmWLgEXDOQL2+
lVCGPCChW59zeGfdjbMyu76ozZEMJj8wZ8zPv7/CS1/oP9dTbfyIr3SNjMuaJPkW582myylbg4gV
nabezt1wDcIJujvvlNjWYcfWHKJqFgjc8R5RjKnegslgw7baC1tTiGOEoqmF9ck1ioLHORXfeLFN
OIz9B0O0ZY70V4u1AHX5WKBs1CXVP5u+4trnE1rs0N+dl+ZZCftbNz3SoN+4hNdyc1qP1vdJGV5M
ahDQTQdm0k21EbYO0POQTdrOBbYeI3Qm6nHHR/t524isly38YEqe49mFl9OzOjHuqrHehEyzNSKH
u7lioZPV1Vv7xEx0lYy8Jg75woJcM3LMk6DORUoupZ/fpzz4KHz1Sqz4QoyyBuSki+Gg3AfkUrDG
n4MFkQOv6+TeeBLtAZ8tHzaN/RqWYz2xbhE5uaDBIcur/B6diB+3Pfr5T/u/7EtXdbGCcmB4yVP7
U3Vy7yED+spu/NLIP58y//dsFUxzFI8JuSBd8ZMI8WVu89cK3i89+/nf/+/ZQV7HhS0wJIWt7xtD
oz30S+PDtkFZRbZYnpiHFC/emPqtTBpIHqbdNtKLrfnYFvqtqskjcoHrz0PB/NnP2xoG2RqRBcmb
mqTCo5NJ7hIWfSti8lqy66UBX51rruUD7AE4Xpt1WZ667wGuSZsmCl1DexWrE7R+MnKJk+qD1fWn
xNlXIpo/vzZdi6PJkQLWa/HabAnvBpme2i7adP+ha2SvhfaRgPELRqT85tr5kth403ZI18Qe7BPp
oEOMB3XVIel3k5HHLTMbZPDvy4blKmgQ+T7vJNUnUi3ZXG9L96HN8PdH0xnNHa3EcLSqeLC6yiTT
m+6xdE3qFbMvI4g1mWtHhjpLzLTsl7J7TRDjpSmyOtkWMB2jrxSFYl7xoQxmoK7LvO1ySde0XlnS
kZFW0kvq8yc1pE9JNW06keka1fNJM05seF41TX5vR7mLLdk2tdeonnFl2g0jpknucZ/rCwm4Mxf7
TXNwDenptKjmAvWhaytreUajNdt7xV67C7/wNdeUni4mTgITYsGn/mnQ7WGq/Ta+Dc7jv0/xJFmk
ctVSXdOWJRkz/J96nDbFbnRN5ilJ4zwoTHiZhwBWOv60jGbjo1cr06opl8kQqCuFdg1X2dQ9bfuS
q3NSUGfSfMKDx7rDBut2xieb4hK61muL0BIABW+/XIZoYJmK2wlJbYAi2158dU2cAlrlUZiq6+AV
XL319yZumleSMS9NwNVBCU/2Sshc2SsWkHYZgRkqy0By9tu+5prDgyTBMFak09ehKpdzXMASMx42
pnTomsObiqpLo65yVygIzhlT0VtBUbnZNOxrEE8HudFmsssFuhFxNtOBZFRu80mjaxBvadxAlTDL
xbB6z03+kbHytbzCC990jeE1iSHtHENdL2DVU76gRNmZaNs9lq5BPNIliXPwOr/4fpr0LmqVQGu0
GrYJAUPa+fddKx8kdquw1dc8iL4GYCMUUdtCfLqm8SYdkDYshL0qloPPr7vpyGQ67/8+X56jkv9m
c+gaxxs70gE6Td11rmv3baw4edc6L98XQ/qaacNLX3a1WhP0c/BkYfa6jPNXrcwbKskmbImumTzY
e5M8nLy9pg6i+7wW5K6KGv/KHeXfrtw/DM6ayxN9pKZp1PaKLkyzF5Npjszx+VjoOdzRiA+7onEk
z0LZ9x+XOFlOI+bwtzEY+y+oCxRfKA74fA8R6vxUDWX8bWqR44jDtrQn9BP0O6idhPmBkqjdF7KL
j0sX2Vc+7Aujvub+WOmDPsW4X1B92kNdrcraqaLbdpn/cH9MzhEf0eeS+CVTpj5VffjK3v6vTsGf
Bn0VPyv4S/VoXXNXGWAP3skcoDsoei/OKoRT/K6Hkke0I6oBqQuJprOA33q9C4J82g1pwQ9dxZEW
jHoV7KlOQpXB7737wHRIrnkxyFNZDGRfAUE5CbSqfvFNIu5DptDBKdO03efhjA8TPoc1lvHw0+jz
8hjRqH3T0lQdDPxk7p49o69507xWwHjpW623j05WqukwnLH50Y7plfhtYh90LXwnoGfhbd05xCWc
PDZDP2W0T8Wm4iZdi87Jfhj6tMB7Q+jjPh6/VAnbFpusecQUGhO4IIzqmsfFfgj9E6xethGxdE0j
ugrKf3kUVNdmat+nZQ4NpPyVHeOFD7lGESsRUJ0ntLzWaqyyPmnVCUorbtvNck0jGjoJW+taX5eg
YW8m4SbALhsVMugaR2QJidK8TOU1VuI+JmTnoX/w90PmpWFZBfUw0WZGA5y8mrT/Jw/aj0vIt03B
NY1YD9DqDKSUVwz9WxEgpSnMtE2/FBv678e6UdJxaM7Ia4FLSTYb1MfqQm3LQKz15UqO7SwwY3Dh
Kvha9Uj58LLduEGvWcSiN8FcLH1wYbP8TAt35dpvyxSsYUSpSxiAOdzl+7ZTMF6Xd41h8dttM2UV
K3TBrOMyGcrrGHT3xMLyVHX1tloq+k9+/5xwB4i44HVxtbSc9r62aG8vlm33nTV5yGzBC2hNodwZ
yvwgej3vjLHbkgVr9tAyqIcFSMdejQ6mg6N5ktFFv9805mv2cOnrZJmwii5IW/V3UbIse9PSbTVm
9I78PuizS0btyzC5JENX3nrbj3fEpNtUSehaY82UM7oCIQl1aWGptXMqYpkvh2Dbhrsmpqxrw2oE
zH/pwrTadeGyn5oy3BZDrbHAuRBdKOI5uQQOVu6Ki69R3W/TvqdrMLBrYacEydbkIgNW3ucB+xrE
fbNxNq4WadKHuknILC5xqd7njo0HHS2vWfA+z4s/hH9rYCopdYs2wTy+BMLxo4CV3AUIVbOHGP6w
7bOuuammDoNqKkl86Scf7sOGzh/SqU0//X05vYCsQtLi9xnPlqVhsGIVl1Z0VHzloRDvR52STHta
PNZE+SyuXH8aHHzY9104v59LPjz2EAT90aNvXx95hCaMXGt2jFQ3vhM0Jw8cceoR2kzkY2jS6jTE
S7rzaOS7S+ElCXYDGqJ/f/8XDus1qxOVQ8iHpoouETP1PZhS9qZzcbKtNkvX8BfaKIHN5HF04WP+
pQnce3hFb4sF1qRXGGC2PIcxl0BDqn9JmmlXxOlrQfpLE3MVDNgkBU/cTNGlAXAUZ6aJlx2N2/Bd
KAe7LSZYC8X1NIIA0uQj5CmK+SnxyXwQunwtJffnNgK6VoZzBBJ0FvI/F4l6+LuqKaY7hX2z2DU+
7diOwKtBI3tJX2sjeA7v/rSUV/sECp9+cEsTXcY0SfcOH+VUsqDaQ01aHi0ilO+vzNjnB/7hF63h
LBIuVa9G1Iao9uHw3vFEtbu6teE+0a3ZOTSLZjOL3PvCQBFkD2E/WmU6dB5fsGvRVG4AUu9ly9Uj
7s39BxlNxYeqmtNHYF+dy3gzMKxHQ0BtLCNKf1AKf45nHxOiywfVB8VJ6W78oKNZ3HnbwhPkWXL1
iozBx0Xx4uBKV53MUMytzhI2hKcU1nSnhgX2o2YuuDkd92MWCaYyp2X3uaBQTnxlcF4Ym2cI8/+q
uBZasFo2+XKx3gJ4D+10EPI107oXvvAaIGPt0CJtUcUXhVV94rJTx8hwdzBVW7/r5KxeiTn/xSv+
9IWfX+D//opy7lRj0xqnAtrIyF1txga6DGAlshFKMQfwTfZz3HTNdzI10aGi5c+QVjwLzawziSLI
qSvn5BUk4YUN8j8kD2/CqgAzfOnc8qMLW5HlBkO76XOtYZ6gcfNseEsv3MdfJ5Pprn9lX3/hW61Z
HhYUlYo14nYSWPjoWdnuCBlhKbbwZNeSdJvyKl1zPRC0jmWYNxSfqmK7IO9PVmxktel/yD9YVaBD
TIQXrCXxCxbW+bFFU+E/fx/85zXxp1m22uK9n8NC+pBfIp2mnwTppwtTsblxJdyhKwp3HOtkvgie
jKe//8YX5tKaBmzJMMdD1fCLQub1wjFV95C+y99uezr9fdWEZTOXS2/4pUl5e5HQcshaGabb7g1r
v9nZxYzMEWMXu0zWZq1DRFKMCf3495dn8b+FuT99j9UBglx3rSWyxRdH4rLgu1KhjafdjXUvCMtS
dHr7d8s4xN0PiRR2ajO1qGnRGVVjQEwmExrB2XGBp6+qMyiQWRW/LVBYHPSu7UI/lJCvjhOU7BbX
zWG1g9uH5p/6f5dg1k8oof4qfJMWU4YKgl/uVVxFxfeiXipkpaYC/f1wH1+MsvdUjvrQzik9FWh2
DQ4dcTgspsHLsxljkRxKhka0Pm/aE0r4N1rNCopxFrq7Q20jsuOmjPZjJDSujyUO4LSHCP8ZxpHR
TSvmH0NJcr4niyzHzOdVeURf269CBsuPfACHpn2vsoak/edcTPm9g3vRk4E/9UNTWnIsBZpXxyU3
6tfcza3L9BTr/KGFj9cXkyQkOJUu0vpB+A7TI+sQ/RlMcqmCrGJh85DKqt13hqjMoLduV8wV3Itb
Hxlcc1lzk6EsIZjb1FkV6/d1tfBbir8BfX1lP+10F+b7OKjUrlLePIp2gooebRtxrPE53xJJ4uE+
1fnkdnlkowe08uYPAQzwztqbMMg8WjZ31YLGrfNSTbR+DxQbUtqlSb8Eqm2yRBQxhdcF/cgLSb7n
nP6K58pdaiXbT3DyK1wmuSZyB3as2oPejvam7rp9y3t/VEnRAf+QQY48snDIkQ9d/anuNIVUgy4h
RtmWKfXnsYST+EMaTADwYWjQjGfV5hP72Li6EYfAWfy8n6PpOQXNbbUbRGzOjYzDO3wAh7e0CmD9
XT0WSQALBCR++kxCQU19yotkpFfRVelcHrBtOtXvAqsTewsT/GjGpBt2S1uQt9IUhMMl09JjXjgD
yVM/ch/s+250xV1faVk+2Mm3R4n5ftMzhOo8qzsokYla7G0nWRbhPmL3Vpu2fhRVoskx6hpBjjZF
nH5U0ZS2+b42C9IBGfLnrn6wIvDJm6jJm/KTr8LU/tMiuhq+5wgcyc6WtmoqvEijgxPShnSxO2lR
RLrE3Hp9pHCKao80gC7pt6Ef5PI2yC3UOySI/foLHeZqhH6TY3RsMopaxQCzjGGwN0qJZrcJJSn5
XS5FKG+h7PC/GgxJ9AitERJkM75FdCxlZOMj69o0OY82b5OdJTnYsqwm0DrZDd2cJm+gjJ8WTwJY
bHsE5M7sQ+LwA/vFuKCw2TjxPn9Ep75gR3De8Xgsm5rLn1VsO1TxcDcbioeaYR6eEj8M8cW5WkGL
qzYSmYa68Chw95ABHd5WiS8Oqg3yEWB30Qwi69JxjD9rxlj91MwQ+HtMuIkQsBB4xj9wH9bsvFgu
pl8wBgyGR2hIygZtt1NQ3DHTYcaGpVLlXR+Xdf+Tpa1ibxICO+inqk2n5Ix2Fxl8LAyvET+6TkwJ
YAzF+C4RY51/wk9Z/7ZuIljhZSMLEnsvBen8SfVz7A/cdMR+0IJP/o0IMa2vwptAHBoaz/XnGJW1
CBdNXWIaQ8wgPdWVT5s3Cyv68pwqZZovZEkofJZ53RXhbmgb4osMUkosvhOq7+2PNlfPrSQODSUn
FerInfVk5uJag7YMz3GZInAHwj3p5W5KzTAWuyqK4JbTk4k/b64exjaf4cvo+mPtm5rdKDajOTo4
6XJ1qSS6qT4PPI6rjya2aUyhVzTCLiujegGxo7FVmLsJf5N6bNF25A55mnfRnbJ5pJ9gH9eJSwkx
wKNsy0if9Ij/H62ii8sP8WyT5jGnEBLSmQor6s6IYuB0uY/sQPSZpEpO9rikCRpfZ40Pcx/EHHVA
6IB6E59wDqFlIEyl7O9G50f7U0CLMT5TV1M4Gw2mKrKujdt2X3eVDn8s7RD4kwnTflJZ24phzuIy
CvZFF8K7c0eMa/w3R8VE3lptKwuBaQ6trADXGNIUSFDFSCB1Gmfiki2hw/mURkbm/xSxHIN3oglD
f7FNXE4nbrRIbmEVDsl35eBp8rGvKByJFLRL8y8sbEf6xgje9O+4wiT9NdBgEHclCrcNgZMDDfk/
nNC+PTO4XZBrZ4fJZhFg/+anGIZhLjM2QAbxs6CyC49Ogph+U/Uknm5jw3A3yvRQJNU33/s8vU9C
3ZVPExbCUGZcjF3+MZllHhxVPtL4SMU8FTeJ3oFg17A5jMq9oZxdIXkzBqeq9U10LWhF2dsUekx1
jMYlyM13+xz+WmihJjhLyHfolRG5xy8yVbV/XhzdvMvRZD+PGbW0JeJA4zCqbpJCnFnulqKIhx+L
abrqm7KR6r/1iwwEbmdwDvmYuKQqPzAHQOSn15LNbt8mQeyjYywZMkmHvq/D5FaV2GQfKTzJuvJs
CCmTcedo3zdnXzYTK869K2a9ZBI6rvEXGTGeH+bFpUbC9ySuoymLFyOjeC9KSSKe9bQOhhtNGpln
Fp6nAodtnnd1m8Vt30bhAURAnHT7ktnI8ZPwQ++fOknGKTrB1VfKIZs5ILmvykdNP+9iP6BMbuYc
PWBZMttiiLPYhvDcQAeQnE6wD3RddcpZHBfhXsZpEtgLEvOePdLBwIZjx6Y0br4pY31dw8s9LOXF
lT1z847LUJsl08koKrQtDfUS75Oht6LcpahGkpOyARRvssCAfblbIK5dnUVgw+FXROpYnEYqg/pU
IvOU7KMlbuGHK4xCvDTJrozkMXQiLzTKMfDyO8RqWOaTjseKPgV5abvD5BP+Sy3Chj+FGVh1rqcQ
tTjK6U73UMOnwRQRZOBCxU/Qui2Sa1pQMp27IEqm+RwtIbskaDOfcVyPpjrmbTCQj5ZVxXKI0yCP
1KmgUwWnrS4Ywu+JoeTMecjVKYGaqDoUVnbRsEsHaKm9kSUJKdxN56nTOyTpKECiZszfFqawyfvQ
DEOD3gc23wW+tRDT9/FO156kl0EW/SlFFNV+RQEXzBrsn03CT9HMW2S6Szul4pCwBNBTFhU6tacu
AIEvMqkkDF4mNFQkwK9skyGoGrk9zVVP6bsQFrdFcGSCNNPFxE6qxyDsovAKOQuKaA1LFy5s6AK0
aflPEbCmPSdSXMKEu7uSwsAFO2zqnsY6Dfy16ZZK7pWYaXIXhV2b4L91Nuhg3QIJxX9gq47Wi2Uo
g/KCwDpmX/oWJ9cD+D5D3+X1Qqo7ONlgAsYgE1DS6FXUmxMUoxu8SVLxxZ/x/abqcYkjqFJ2Rv5A
uQmHocqXcwERvF9CdKXvsnGwQ/2Wxbn1N1GXs3pg6EiKHuYJad33MwOBewaiaGSZDbqM2FVoNs9H
NM537mcahkF01EVPkifuhR/fRx6M9/u8MG3+XeFd+zirhFjKr3kvIGwNVngp44fFpMqha1LrnuAv
I7HNSqIl+io6PmP9tt0whTskbOWcOcJFcZcgs31UkwPrlOVDLU+0GkSHvWKq1EMe+yJAQAkL9yYG
0CBTA1jkMCQJ5GKjmDRDuCPStMF77xpZjweUJPKoPj97mZ1SkeCo7kWepOWuhaMEQ3C2ROJHbtHU
2eximB2R+3gYI3lHpyVyGR2H6bQYrt4LZQpI4VYC17ijU47LJBsJLPHe8KS1dZlVKjHNPc0r7cLM
x5BoxfkctLTDhwsKtbwxXVh6t1P1PGf49wBYlY5K/9jhgMD2B4Y2b6es6KTds7md6h9RPgePsBvC
5d0Q0V0tovR+wY5G2wXpOh4UHzBrQ54JVcfjHWwhXJuhi2wm95DITVCGzdMoLW4xJNs4QoYBbiMH
PFifqwmL+EMp6nSc3jQ4FJq3o4Pv2F57rckjAoX/cXRlzXXySvAXUSUQQvDKchY7x/vnLC+UkzgS
ixASAoF+/W3ft1S54uWARjPdPd0dwRblcDhxihTJ+MuK6LPsNNlszZ9tMUt/Xlbefktzh43hgokz
Wi4xYOuEDIU6Q31N48eANhBR7wneK91YrBcv5roxzWaDhvoL3pPxFiFrsDfbv8X3jv/2cZ+8+yzJ
PzGbopidikPprNySdl/rObXs7wEjnaoDiXhyC0mOtrJ5K9KpQvGh29H0Hrs75pyuADLMVcB212AR
NFrp2sAdb5MPEsmM3tXgYp0RdZSGnHandLXJ+sSKxSdPsByNfnbG5xDKCAwGeUWPqRvydwzGubtf
hxlOb9Xh4SDKqz6yGTKcFJDVlNUyndxU7q5wN7lT8rFQBKPNsEeP+qStk22OYl6qHksAP5BgG/k6
ovu0DjCG9u12M7vvYavhWnSyK4guMibNsot2/oWUytw3A04Ee8kRV7jeFYZ7NlYge1zdm/lYS4SC
aIRDRdmXwdjkZJxg2p3H7UNTFsfnI//yTan4HtnoHUVWZRajazQcTZAwr/AIq072lJUGWXnrORsk
k7djt5RePLwiV9hLT2KSpRMKbMsSQEywV3iwDPabmlL4fl/h2IebtAXewC38/UsHiOAuG7+8JVMy
x03uV1ZPVNCktgPZf3Y+j848SdLHaT2iqI6QZnUG9E4/DRaq55PrTX/Du5LdI/mhAP3kjqhy20yv
ih7bW79n+nXlbEAyhAWkUU/AMV0Zp/A8KQmW/3TxlqXpDhZimj9pv1APZB1iE2P3UO6iyJ7zDSMW
WpK5imNMhecOlRYitIAgsMUPTwu1qPB7G+hdp5W9x+laENMDwxPg3EW4DjlRVeaCQ/fttwsjzpTd
bmHHfOSqgoDanvt5E3XMwnJZKPsKHWv9Xd+hQOXxpqtZaXaLY+A1sZx7NGyQxOVpa+8RfkEavti4
NGM/VHlCfQVnOn3etnT+uWwLipYek7pvedxkLcpupCZe0tx/t64YMJal4jI7TNxhXEgje9SMNeGh
Ghzs6nMNw8mDAu+AZfQ7lZvDKwfNOwpF20SATxJ8BlF7cgOxmJi0ux7R/gcWil9do8DApjh+n04P
exXvS4vPH4nPS6UGZ+7hQZ5gCkjXf8Zk8X/ziPKRdtH2c9SLr0xqs6fMzv1/Pe3bKyzx2rs+NxPq
iVkQEGWySvWxaI6OBjSimRINBONom2RhoguWjNf6MD1auiyb3K/16PNybqGc7qEQecPCGPiJjIpT
DmvZyzCjCYTkbg9pxSLV3mOqRm8H1dEZ6q7sPuGFnksG6O8s9JbBBZVSh/DnNs3V/bQyOI0ZiwYY
w236hPSkDtM/3+dPyCbJZUmj4yXFzudZC74N2HaA0T1CpFktekOakZr5z7T5/H7NsuVVINwAb37S
gUvJACRLvAwnw8QO9dOcXlgvVBMKihfdqukydvZA8lvh/EkhQ06WxLTyU4yqe+wLKn5oP2RlskVK
NVTG+n2c2v04DapfsruO6OHUKZetdZyO0ysTYn6e05F9tPHc/YPrVgQDoAyNWZHn/wUkDtMbYEb5
uCHl/OoTWUTlDtOJGjvp6AGOYdXnDhzQh0MdNJcsAOWqeynac89a+NKl80hkhfyw49IWsZCNJlHk
S06GPq5njcTSMl+2wwI56tepHnB9NcgaO+Kfi9pxL5fdeJD7OOXBvSfMeX5fsC3qmhFzzNJgWoc3
/BIK+UADFzcaZ8MKi00+AkNSxx9CDvUzg9LglkV8DHh2GBExVm7AE3BPRo3juX11IdG0tCtdxn9t
1w9zRdBDIRUw2TOISR0Mn5GVtTyJGC2mC/16d6wJfJmmODfiAWTYPDwEtL+iGVwqHtOkmIo6CDit
4rdHf1HluOo/smznVyj89CnJIvuvdcQGQJ6+vYOq98seGL0qq/B29KIaAcf2VQK5+SPlHsfIb192
Uzxm2P8fbeQR57czbkvLiyKv1oXPCiucPTXXkeP2a5SiBi7hydyhg1TsWSZmyW6RdflfwrtJVhkM
iEwZw2r2J5lTjrcYBABpIIVBm8LxVHUz5of7hR5v+Q5zrvZTG0tZGeeRQOCgT9Eay3XaoAPfMWVW
x1ZsKw7LQn502q8PKArxhzXSf1qwck8+x95gSciAdzLywd08hrU7L4X8k42O/UbLxr9PRHHMZGLa
ovvDS/0PaSBZVCZzevS1QJ/0sIVFhirdaXEfiyVBMXdL8jIgBXUuCd5/WYZtFPcJOhBZmX5KllO7
L2E6iSXd9DWLtboz8RcEwvHDihLfYnLoOxVAjdHIsaJYguDf4aWcjrVgKyTGCfYLWLV6OMU9OEYG
OBUhEmwIT8vOUdnyFPXvKYS1jX7s6OrumN1dM6wSG5iB7ABc88INRQNph3tN5h5m9iTdc1a2tBXF
cwDVegHigdkMRZG0AIbyUX8zjhBT8emILhziWBRobbLkuxRz8RiSXb/puMMEHrhrbZVyCezDGSTH
r7gO9sW8joiG/ONcv152ki9pEx1qeqEwi/4VacXP2uauu18NRfuHTMJhuRy+694R80e3mmCeffZG
iM8+DONwgbgurJXdAe2dMoWNTaxCjOrnCCH0I/aupoeZY2GnaZmWtgFmkW3VhBlE3AmA8usF/6O4
SyAums6Ux1lfp5nVeE6kM6Lac2LnJsugLq4k4RIzB9QernY2pc+FP/BA8b2lKbmcwiNRUC2XGpdF
e9rpjitLpzqf7r3o/UfHlsWW5hjTpMxMmp9Jah0AlONAE54uHvrjrRs8BzYrZC3hmxuaju5C33Vh
xEkdoNRIrvjcRNYwRCVcuwIEn59cTK4JPrqPaPVA3kc0JreCYifh1JJ5Oa58GHR6nYqU/7Cr3oYn
nnUwyl6HMOFA4GbLzBXggRwaywGQXUK0b1mVriq/b+V+YKfEcFxDU7Zt8SN6r8NhSticrPJtJx1G
uH7zNVJxvu7fpNVFcRFODN/Tjsj5uXCxjJ75ESdHhQZd7+cIKTruNBw8flq3qf8YXMAgzboDcCbc
XAZQK3Ea/xklRwdCc7aIJnYz5NfEWroi/DdlDjPtRva6Mx1/nPto+23d2tELG3TRYMIDsIKtnnks
8cDGD7b1tOZh7ZFDmh+brKcMnYHFYKZPeeHl2WLTkiM9lUV/wsb5DYhEnp0Pao7rl71g/4fOlrxs
VijMQrZV32aCUMUnLim5AoJ8kqOnjzEsA+9ijN1TqQ+NtUqbtBxg46QkPU/LDrHq1K3i51yMR1+S
mG5XRK72aZV0uziHxEuMzEGxhpjFvslZ+29z2qeY0v0+mZrtTJBzxOP5u5mXpKjR9VoN1bpe5zNC
TgZcySsGs3IekrzRACqLUum45y9bKucbQqB6Vy7oLBXyVZR7kRO8HlBdvDrreAx/JV1BCo+y8OnD
nGzWNUWBTd87ZlD6gfLm6C5Yh8h59E8RmjWSGHiNlI51qaz3LOitgQaz6C9DRvKsAjpK1QlOTMrX
E8m6ovICO/zZ4jNQHkd26DJDfOlWxsSjotJ0Kh5YHu1VlObdn50Ow4YZoyPbqSdWc3j37eh5yCFO
WTIVPWJcKAXSPM+ClEJq5a5hmg9TT/qQeTmOcJqrlYF4rfnyW77CxDF7BG7N6n6k4iFvU7wnScff
M5cAr8ox5pZwvWjVu4jcwsphL0a0en0R22rXaT/UDGzj158CDUjpi1WY0sfUnek0BVKqhY7Nzpj6
2a7SIcd2xdAvFwWaZSvsy2r18YuRlWGpXoFAqLxFy92sXYdKgM3FnDxJsWdvYwgD7LfaeXiJhu1I
H0w+7geGdQ+PDw1qAqGpLebAykCcPJ81zHBphYPHp3KZ2y4qwaQdL1qYY62B6eMeSFbgf6VDvKK7
EjHyD1HIYfoX6Oz7EuMl0AIya3xIE9xM71tL+6SapnSCEreVUXgymWiHs9XRZtAhu+IbVPruqV3h
m9ZkU5fndQfNmqt3Xgyhsq0RLzt2OrbqgL3CG4g1+znH/Mgb9FL9hY1xf8Y9j5tJGHWngIthvQlT
4xezsMnHzuOdgk/dMbJ7abxc7o4OgTrg04AzXFY45u7N2B/jhwHY3QiNJA2fZttPquLj74HB5g4A
PN46euxvMG7CmuCINZ38NLQmfVwx2lxxtDpfHzQ1YzVZrCphuhk5hWsRjZa3WKcuO2dKj/P1Sxx/
VCAH/MOUQhZwDwJrKn4de4hBxll03ygYVn3Osz3+2CATcfJki996AXZMdCa+QriQ3a8+bmEDObPl
vIe2Q4cOMubTZRZvgcj3GOoZOnPwwpnB3NvCT5NlS37d2qV7y71/TFqW1oqlw3ZBg6DLPjmQlhwb
97fQ+7Ld4Ik5Jc2UiXA/pFlyzQ2135xX7CxJDotYwHKSAfPlGIhgvLpfNR40AFIdYwTlCy44dHPd
Uqo9tYAdAJdWY4cViTOE9clfCav/qNwikDOu67d/yJCOO5T6bSi16Nr3YzQ7x+u1cF2LyG4oPN64
G4v27p9KCzTBrCecleAywbJw0fnb7CajL9rlw+seSXCcWBf7b8fVhst4CR0AzD0FD2zy6a5VRfxy
RFT/nWREmm1OdBMTcGU9agwKHUVnSHPJG5oQcRfmdTp5ih8fEydPS6eB+RUDLhkFkqeceC5PgIWR
4Ob51pl6BbL2MgwFJjERED81WtLe5k6j5d2G3X1s/WDq1jKGWyUaVTnnSTi1Hcz9wFmJFlG3RXLx
fNre+b6uyMaGf3mJXRN+84rPF3ognBHcTpc9YgID3Q3SrJpGZgECtIL+XMZuOzklxDOEA3ntMu7r
fWb++xotR52AcX4xPBofFYMxLGBOfZG8jd5x2qEWJTnU7EDD4vPaWtL4BQAC7kJxHuk64AR1LcaS
XPCkUqrDuVRhQgt3YNMj8/Ijjg0WL1muMbp164NVkHvmLfreKga1dUkWYADEiu620ikpAYnuGDkd
fBJ3m9oS0XldjVwhWh/KvGwQhdQJxRIV2zm7KN3ulxSRJagix/ENw8Zx2nEinjYWdRcokth1HL+y
jiMVzjAcGb+5kRUNvM7/TBDjVfivWMeabQtjfD3AEPPQ3VHrYi+ehp6Rd9/ppAYxSR4B6o4Pc6fi
P3jZaR1SqStKt7atd03AcohElJpKgqT00DbtsPUfVAAzpIoIRJHEsuYiLKjiUfQBtVkLQLP7QKic
Ome+zU9bDjkW3ov0L8fS4SqbQAEP1j2sjJ8l79wJiDRo0Xbfa2r5eubu4FHZtdtvuOwBmunXcDU6
/YuG+9MIn71gQRc2tnAUeNh7cFYeOP0bEYQDyR+Suov24poXNnpYvPnIZj03g5FgV0RbnI5RRT+C
pbhocJ+nb0AWljNAq+EOMfTyBM2hwUV+9J9J6vQFOGT2PFr3tvCxex9Jlo7Vih4Au0lLC2e2Ybh3
nctf4rHjdbDAI05RVqhykLZISq0PVR5Q3NTtFP/BRtmCz3NjdSisgnxFHhlvJuzr2gpClqksPNt8
JSGekLjssbRQmwGqJrM78YR0g59JDwOxD+knusMklJMpSxvBdVStMiCs4OzdiotwyCLwMU/m6In4
ptYlodHpyLBUBVTKOREYDoBi2/ctFPt0Qdt27K+AUnsNsuqwafGfXLb0DxsOLR+RLs5No5F5af8h
xjS4odz9wOZaLtIkt1CE3H3knSH6Dh83NtVZAiUBaG47y8fEDBn9Fqwa6lRsKvl+0DiYuwThj6Mp
qfPSvBRYJrO49rYYtyQZTez/K1YrzWce+cwc5QQ7fQs1L76AbgNel750EOfIak17AUz3iItfqxvR
Q6c8Fw+gP4e4sdvU/n8PsW8S7tyb9GunSr/kNmrazfRHBVCXo7VMHZTjuBGdwvdls07kx2GGFJxX
i5ip8aETrXnHQDmjRxpRblTVjeF4Jzv2ip+LLvfyBE+rmFTFaOYbQJUEcoahHeZ/G8R709vcs2N6
iZN+t1XR4eLfa8u9RVIhDmv/TS+zUVURw1wTcydorLTEtTxNj5NzAZ+0CEBry+EAYF2NPragGiii
P6a7oqApErZgXyx+uEgf+SO6LdK9H56FuQwrXODfu8ngZUoSUE9xQw+f/ATxmsdPUKIM4p+E89+/
lUOIDXc56NS7emMkxzSrgTBckR4RUwSEyxA9ofVxollyGb0VHm8JrG/TQRoCYULHhxbmxozB4jha
u+mUO9cBN3Zs21NV5TJf91cnQc7U3QLRE0IDETdwQEqr3a5A+5KWrP9iP0PA14DP00hF3Ecp1hJR
0JA+4N53tilapLr/GFg0+c8CkFKewDPP7vBTTlbYuO6VwbUOTBnXUwfyb9ln8Z32ERhxWIPQPLqq
WS65qvsZarO7MYHiaAAZX7j2VhxMxRfIfexxXWy0KF3zReXjw7LbvThz2eezuXoeC7RFIs/Cr3Rb
lag8odiTFdMKpqlWCga4/0lAW/R5X8kxm3pf+Jq18MmASTYsU+PAHqIOfe6nwo/vapLiE9pK1kIw
MJdRJPZvS0w5VfeYSTHtllMCn7S/7GCMLSe6ZV2A/EdqQBb3WOkV2p72bgMGthKRjTcDPmz8AwJr
Ct8XFCz2r48dATGZdaPvyIVgATRV6BU4pHLgtgb87bVLVJfHTYizacLsJF3kYF4a4ghow1nhYYrx
inqCAe4yTToJP4jY+FzTxeXd8AKy4PD6IScJV6SG8YgJv7NYZPvHiMDtAQz3kY2/dyACqzl1lAp5
mvNuN3O1JCyYmwggsEuLIZjUO+ABdQ5fW/Mvc6BoTaF3cqYCHyowGcFJkmAdtMd6QgnTxOQf8P6B
Nzh9Y77VuTvsDaL0cbrFDKOZPuEu5flYtivDfHJQ1Al80mqcf+Mw9+mNuKQzpfHUp6e4dxKnfzBU
Vlu85LAeccU/IUn3saH/2R14LsnypRoo5AXiPKcijC9ttuC6DkTZJxSTrL+C3FLsdci7tX30ZNzc
LZohTr3r+9md4naxqoZknTXwA2foTTaT/5VFPxTlTnuDIyrQVqBlNC56V6jZusHfP65NB2X0iM35
nDZxRsL60KYAdD6YCNn8C4qv5K+he8gBLYBABazt8/QbA0mNmQPUBj23mYXgKtbF+JLPXRGpcs8Q
5FhvI0ksjATS8YeEyGZ9LDBeHBWIUW5uUnd5dzoozm8zFyCBS7ruYU4qA8N09u6187QpYrIvJeaH
8Hho7YMuN+x3hKrvgb8+RVC9sBMo5k2VPT3YgYZkN/cmMetetYjzlRfYxSH/msgjGkocHuxx6mR/
MSLy6XfiM7J/kClP4vpYMZADHN2O9z2JN4vmGI6NP7e40GfnoVijIuPXgjrAfgzS0ioZRoY81YTg
KAHI6HHQOw4Eu0gyVhW4x0KtdQHJHAuSu8uEFyB5awcGlGgeo7EybT8+LWlusscF3S6aFumQAAIh
mbobho6HK+Kd7BXq9ewPK3YiGwg2yI8k49urwJOF66A3B+xaVQYxKCf2xUIjwP9mwOZ/ty1OywWG
/H6qsTALZJATtIJXDvY9vYMoYXtOu/QAyK+mvC1XRrYHP0T9cN8PUqPboGr9SOeC7g9kL+Zf4PL2
v6rlaqiKuZVpqdc0BasnsCYSQbxa+aLd8qrfeqlwcTB+AcyIf67ohEE14WGJsgvReJvHPGsmobYz
y/ne16bzgCHI10HWSQE25JjtL+kdMj8X0Om4K7ZZcEChyfCeLJv+HEEU/oX5sQ6vAXk1v44IWwfP
/TiY9t7aIYK98BFtxakFQ24b6CbDXBfTotCYeCqnB2Q4eLy2HUCUE7a9+uglg74Drk5hsL9ByX3J
jL/g+qXcd70C0d/lDMpuEMS2YGJETyvfrVDAsYMWuszjnA64UBlpHwHgYtWrhNx1WP7FDsk8jYSU
Bc0WKdZiqCd2qPgczTZKfhDdavOOU8X91/oDAC5vyDA+FoCxbYkHp/jnUszD7y7WJsY7FFZ5ggXn
nN1DQ4aruluw9pUVg+FViOLkMlnTL9iqBLDgFj0/b1liAG5aSBW6J5HoVLwAqMpeAMEO4m+2YKYg
a7/90LBtfMZy6T5VcYb6gI2pdUHtj9YxehGoXc9puwtecb6xvMl2OUB1yk2Udvd+nOn4fUjnCeVS
yIhdEEC280uRAzI68QzwyAkKL8S4CuIhUVFHztIrEwYaHz725Hg1+OpuS3/oFHWJp1N+LE23WRht
UCFM8qZ2gLv7eUxUoPWAlb0n4TQpmhSqJLxXQXlVyaM4AM8iPQDClRKe8Fw/ymOQ7a+RjT3Cj0e/
tXmVzW2elgCRgmmoyTi75QKt8aMavL0q3dEUJLQ1qEtrXyx3Lj/827wEI8uIJYssC6PAOmhQnGd1
rOLKFSr9ZTvWxZeATbMOBAfq0P18LCG5h3yUDK8atxI07VN64M8TM4DKHyysOm18Maf4NTa/2dqH
Dn9F1sH8NFvb6bXYPX8jSOz5nhi8yZWLPYn+HcjvwL/Z1H4mjtpfOdm4Pu1gsDYkm8+7aMYA6LiK
0JZlfxLUPiS6rwhFjV5yn7HQbEou5j3FTn90GuFq0v5FznHGv4eZbc9WJON9hFbnZZlzAw3KYPG8
xpYd4BhWBKuSKO0XAMf8WPDWr+Nk5FNqppE8bjF0qN/GFin1s4KiBTfndDzMEdoqiLP7YXgwToJT
gfIT+1ZKjmPDeCThADC6wMCWx4K+TdDNXXXsMvE0KSsrjymhnDFMb6VnWXGxE/Sd2xSZH5SMS1GO
IpGPcwzTnSeGqijr0Dv9E5OJgADApOi6NECc6Tao0Y7NpD0WjFw/9LIiebqjiE1JAUMYuieoUbkM
P7Mj1pBrsQVZQ8hGexqXhYhntfVWv+Zcy/5q5Wi+en8clTIcFPDSsVH2smeug/Q6gcDvLNH9K1dy
5NtA+wKs8hUTSaEbY5PtIU0mdhNza64F+gUILYoooS9QtOxpjWFrWd7DmEBeyX2mxrdubsnUdGKH
YicGBwNE0LeLeCC0II9DTCYGhmFYhpPwrcov07yx7htEfD0A4s249h8ohd79NMU467eWBrBCaKQc
nkBQy60FIJueIIF3OaDHbcUXF6fN2UInL3ERgWO6FNpt/jpC2fvSrxBvnuZkbsca1PAhnuLQguqW
EcSYDwpkGKxlVIzZvKQ6If4lRCte+3kQzmFJAjcfu4Hgxh8xdQmEij1OFXbk2ZKVUxucuVG45atL
OgQZQLA4aDmBkYfzoiN1GqHxuRqPUlH2WLfYKjSq7mGJlvXO5jDjmbQWzwVf9J3bksyURZRBDRQd
UE9ZcC2sYdLSmwD/Vek1Sv29sS2lP9BRHFnFo1TTaxpY+NfPOEVvPozdbdwT8wuhVsDMe+03UWFc
98fNuSKDvgJXh6tAxEL5h6DRuL9fwQ75RplouXoYHOLXNJo/sfbLBfdL+vNwIKntty2y+YwgKIL1
JEd3coGCn9lT4QOHsWBAk1xNXyjPHbBMBLmQVoZzGi9i+8wLxniVbj6eqrVz0xUyBPtidJRK9JtH
ehQ107i6KsjAvHza1gAVAk6iw6jGyT9IJ1SlnE6GBj/cpKAbTEbvqYnm4rooY8ca22Aiq9oBM/gf
vNXrLxEO10DnhW2ENGu1beZYYbZPR5Vsp0QsMxrCaH9kZstPvegRwrOtK8zAXIxiVWtD3NmERf9F
hzU0Gxv8N5bG6oSFybXe0d59WwVwTY2dg1++0D1eyHmABVKYdZ0uTj3FPRI5zyMiXB5BjaiLjHf1
aKKONqhlCTjH/dhOFr1Q2RehuLC5P57wKbu1QUs4zlCTZMRVmHChLqWzOK0CfMHzjMvG4gHGRfpK
drndp8W81pBUwMd1FyvEqqktoOjWA7eABYPHfbEsKTgRbW8pC+Inm9M9+a+3sYvTs8cSUfLD2r5D
3kDvx2/JQthrIrP8ewvlG2IzGQ5XmUcgiXkR4ExnVZ98IgssDiUpNn+TTPvLSAeIYFQAQTvZL9hg
GNU9vNNzgc/e0j9UD5k+gVzF7gDo7VFV2wRX+qsI0E+oOBHzhbSsoGgJEnhVEZF+wxNDG7DbFsKq
ITawNCbpQ5t3gEizOY3ciWE553GXh7vhm/yAbAuWJrAgCK9YPcRO65DbIa5auZJLYFAbNWIcIl1Z
6OUC/JhwV+RhEVfho72cMX5dIB9fXvVgaQtMKduOF55PABoCTPl0OVgeHQ8QzEIXjqYv+i/bKOhw
b7evuz7oc5yw3J1BdB17M+FKJJ+ErF8BDVA6DRWACWgMPaVjqB3m3OMRuDDEaigshs1NFGLlYTQd
464I2OvR551MaVQbsKPyBeRSt3xbowKDRQlyz6Cx7EkRFXdtL1sLsc+I6aiA4ojdc7eCIT1wQV9Q
BiHMctPcYsD0envCPJ9+FPOSYeMo3eRejlEq3jOI2+4Ij8wTg49X2qTB6vgB7eba1rGGRP476YYI
sCCJ8ob7Hd0yXtr8YvBOoG9Dgy0rhvERtFi8m1Bjp2s9SsUzbZ/C5GULMG+PDZDvRbRQdEBb+4pO
ZVvxfzuBlYxRT29wKOXRnZ8x8TVLEZv/0lTvNQqKeEN0BFpbWOp1aL+7UGSVmUBJyRI6bRQCwImo
4gQkwAN88dB0gZXfGjzj+INgMGnkmjJ2wlUJrYKAbAic14BOurR+gPLEH1DY3jY0rFmF2xRBtPCh
N/0phgjkeIpXs8QgTZB8c/qqw4i8AS1J8pKNUDFU2CWJZSNCn2VPfsdqeDln8549Forx8Aghn/RX
6CK+QgsITtWtx1FVdxtnS3o5xNxh9iO7T8+FbmP5mWDlAE6BCJJCMwTC1ZdkaPOfhc7T7CmP9ZLi
UEcywaaRHkWdSbKv1bq3Q1Y5FIWpsrPDmklpoH0zz4fD3YvSL0aIsCr4NJLpf9Sd2XLcSJZtfyUt
31ENx+TAta4y60AEYmBwECdReoFREoV5dEyOr78rsrK6OlldXbf5ds3yRUkSDEbA4X7OXnufULGB
IEaM8ZB2QahtYNtzMHa9C0RLM9t44nsn57jgOt6Mpu2fq75p4mvR22W8Y7pj8myPdfqKO4x2t5O6
s9z2vXZp3waO44/PqLFOfVXNEtGHNiXYJjhrB5dtdypqTSrozYRlyqKvCgOwLaDjaRYp9WRh2mmj
SsnM3Ne+nN4SRoRGqbeq9jDY1AubBCdFJKE+E9SZcbzpmmGsonXSfn9fr2NhAL1kCTMiGC7ap7sp
qIvvBiK+uqnTxFc7xwn03pPGrDdzU6bGJr+4DDgvV0mk4yzDPIJXOfQWz/8BZ+bcd3GbndNGooD6
qUVl688ZsMm6DjrqOUosIS4Zs31Et+WtNxJp0oUn6TnfJCXzxg5j01bxjW2s5sXsOdQ2QLkJLXbt
EE1Yf2lmld3WdS31ZtSe++i2s2FTo5t+frYYfO9dzwpx4i0pJD6vtU7lQ3/BuBDo0JBPDh3tKrJy
d0WOMpb1mhtJcJIu5vWglBvflSto5UNFwX7nsOnCEGCr28auWtazlWeFjHxk7q8ctkjTs2qeotkG
znn9bBbtemxi3KDfLXJcxnt3hFyPTFiO5NYv/Kq8WZt2yo4Sg9/TXATug6lqOdB+oobeT1WW31lJ
IFEV82LKsLQFWZyESZFIfWsYbY3dT4JEhwTqVeKz0zntRH9/Hsq3YM7a/FsLe+YfXA+s2KPhnPGt
dTUXDwis7vKS5MtMk4s+ldqC3Cr7BwPj0jursgiQTgwaa9EKCYpXyR5b8Ygtd63vqM/m5R5FbKoi
ki3Xnz79O7SkDpPcsVv91i3Core+TgDuW5nOtn9TQwA+gqlzkymr4KlGC7VsH9TYDM3j4qt8OnMI
j6cjqFo+E5biYp4o8vYmsBmwssMkgXRHGECj937sG8aOnRGXoha+ee23g/U9HvKmO0l6FID7bZ2+
6XQ2rzOQc7V3XDPp7gxw6G5j1KSSb4dKLRQUc6KO+bqql7maOPpP0NjxJ7Rb1QDsGNkNbsXk52Jb
1DrVIFyizEfEeJwdq3eEsJ/il5XpKcV2AMRB8moYFBaA+5SbIMnj4hqThk1Ps8KceTPZ3WTsFgWK
juRlQk8Usy7ye4NpdxyHnU5fN0PNedTqS5lArrk4sNyp68q73JpV/5RwAHQ42eRZHjZ+jNe0DFyP
xpE5rtamH+IZUWJOQUxIVeIPnTx3uC5GkJudVaVte/JjDEYbRuK0xzGO/YompFszB8MULUCvMVW3
M2/XFLJTqIaoRq0fa5MZBZHfYVMY0DWBRX9Ti+PW6oGr9Ci+J17uvnF4htjQU6UipiW6VgTHZuhT
gG1uG7e2/aOWsmYPQGLgxqDvsUuX0sL/NI7tZwOLqd76JD+1oLTMKcFRnTQ0SMjcaGP+1+RuaOY5
zDfCnop51KIQt+e6oE/Evq+gZEXCqUiOceQs8XQD7EECFsE7dR46KqffgX7mIZ4nfvPkT9iqdtY4
69tkGPN6p5g29eCZqf1aYIH6towO6vMSoFXcmOD6+WsWC1qRQgMSBhyvf5rAKDunH8v1LSOsJlKD
M/q3/iSQngejHM99App7Yq6G+awUlcwudc0OSmRoZX5ME2TIhr5BMhTbWOXItFlObtIec55fPWDG
D8RO6bS5BiYznqyWPkUU1E6XRo1E5AgLkJgkgjd3f7Rp7DV73QFTb1J/4WGd9VZlPhfC88S+Z3KP
FeqSgyaW62laew8whDvsZhmN+KT0tARd2A5UZVgHXBHrkDPB3J0BMTRvdtBD3FNx5JMLFs6NzzEF
H12Eb9nOOTKixC5RPwzu0ZC6s75WaDbhUMZiusfcJ4fHefaT9Lg21ux8InxnXTZFZ5Tmjv3evpL6
NwJRxfoWOsAvz1VssMjp78W5unFVly8DpZpYI7zcUINLnzn+1mhZRE1ku163hVO0GLHQS7Nt+dak
0aO51ak05y/wm5eOMochAyq9bXyM78QInEsSmuxnBgiXAU8ygkBBg8pCf25TivTsuvWUjexVd7PY
mRU5U3qvVs2io3NfMMbcZj5YSAHQgc8EcJvT/TIU7JSFhz5axabTLmHuOqq/ptPq+wDJldsnoAYS
QAOnV92vV+3IA+1+5Rln3ZqeCR8Y4khZ+zvb52gHCOe6waNZm/2wWSZnXM4UZPrVbQL0wg0o9Rg1
Ka3wYNPHEA83opSuN214hsjmwGjweWspA02nWpV4CIjjuvYWH4SXGnKxoWgb+US96n/WPMH29JO7
k102+lO/2BC7S36AAC1ux146YSdd51uHPvI1AXI+jZ3j7LQjOTm2CO+oMRDTXh8bO2yhM15Ir7gT
lUjDxgVIcf0exXIevGrnVkVL4l0ejyjNQXmt09Z/nBIn2Dvt4IKnFFYoLB7SGTTpS8IjkUwj1+AB
VrkUHRK/9slhtNNP1C8R5v1FSVVxbaGQeOVdPfnp3doakrjvpo68EgRSKSZzU2/HpbNFubbu9Gro
a4rFAorrYknZZHOuvvSxRE1OWzd9tVWLY7DOlmhdBr1NKq99XjoTRNSZls+IqP2TZ2GH2pRuLb4G
nT0fAntGsq29bGRsOQwkZv9+Cem4LdwbzTzfWAxgfGlszCfs1TKI7MLXV1k3ls9O2c5fCwIt+jBl
VdjIMPyqFbvreZU9lIqoqueBFbd1GSHUosGP8hNGJvHdyBjtgCHHeVytrLouTJknm6pdxs+VBg2E
5272LgcxBnBT/6oOnm6jwcBfWqbW3Hez7gFEOVpFDo8DetJ4CJnamKaPptEkX+t0FmVoqtHZFoJB
hWVgi4fWVJdtyyfZrE8MGO3a7m6LrOBhoxnV9MVZcvDszFuTB3ba7gQ7uG6nevF+WIbJ4ZLqyg/J
SWJ/6JR9mum9XithWS+2Uy53tQRiMyHLz73lWgLEcYjRNUF4PyU9HiYsM/lu9PocZ76V3AW8xBsl
V/UTew6mHBurdK81Z6OcflDEoJ7kymsJFdrYqbG8cBrtbwaqIToF9bjFEp0/DzC1T8kkvC35Vjry
koS57RwDHHPT+27f70rD8qotbiF1w9zfwrsBWWX6ALUYnZt7ax6sr/lsug2CFMryFndlb0baaNZQ
FIt4rApaxjP3yRKZNBmmLzTZPXGw0KzbCP/x8EIF+II3AyzIxpnSbRiSBM3vytTfFnXjTTvTznGk
m0hNyXVqtHIK47zrtkrn9RpOcUuVUKdVG9U2EOJ+XPt5T1oojYqRBK2LjhYEXz0/MdLI4BjIirT0
dJEGnGY9CHNSECEY5G9aAq0OTp36UWNCs5xiY8AdhxJ/T1IDlLe2W5N7WWbTehqa2o4CNaKIZEZP
B5UyKCy6YeQRPQ47MfpkY1RDVRz6+YLaXBzaUV+VHsVR4BRjyHNt3E60qA6tmqdvmQZJXtwBKZ2m
rS24qQOqsQ73NZndE5PhjKYDSbLz+RuiJ8EmFiUD1gIE6UveYt6FopsrOERZaLxOcdrjiu9zQaFe
A8hU9DiMqY+LO7Ik1kPXTgBn+WKceF2gQpO+cLgmLjcK6ZYh6XF59CDOToRrzFd2inVqSQFylLmw
H1i6R2zK2yY1d0jFYHBxsLjfYUZmhU1p6J4mKuAfJdvRt5R4911l2dVtvwbd576QLB4965BORL2v
TXnJychbo97qMjEecjdo33RlVTtoTJrUk9E3oSXp08jVv2SMu0HvYJaKOzrSRv2jwjr/tMYSwcQd
vI5jyQobF7vQhkUq+l3qT/AAsWUgiXsvijFth4oc7RtSrwqIxdzdK3poEftRfKek1k9B49S09PL8
iYrdfxwrzAeoi1lVRZPi/UNDpPuaIR7dt6TvsNIB+99mm2eIoRwgD8xc31e3WIEY/KYNJUzNpkoE
rQa4Q5qXdZ/k4ZRPxslEm9j2sznTqO8twQBZi0GcjDHut74FlrU3bXT+I51r+GhrsY2MVktDA5SG
VG9uJwntcJxEXx3ICiw/2ZkjQ9Jf8hCvJehy0EKnLEbSEhrui/WVQzECe4C6mFFAHPLBIr5gpWF2
y+asP2fa7e+NDpcvlpSmCGsOwQcnsPNlT7JbICJ6y2tyLEgRSLmze3FN0X4REGnsnV32vWfszUMf
taNKB9riXvVizv56OWuuZHKtSW81n9BE/bMbZEP+nLSDTZSCnYd92diH3nZa+YWD9lrx3MFrEWZZ
0x5WD2MjsTmYXmeXVPNibcblnlKCty6tTGvdgo316uDWkDOAG8Knkk/NwaGxVarHUjMoHhrPog85
dCtpSuQcyWTvmfW0brBxl9UT8dNTHqos6S8sRJAn38s5zriT666nhS0JS4kfJo273gy1bjM7EnZd
dfjUgqVyCO+gKv8+ZXlX/RwqiZpKE7Uoj/py9VPna9M4aFiZagtJu1A8+5RJl0Sa2ujPXuAJ6ysu
USlZerJ22/ugNlMnpeYo9HQqnXmWe6ZQBhWj+XhHwpRt1gvTQcjL5IRZ9gds3vU9HezgvmeM9OMw
t4u166UGcuCQu1TXxlCN8xWGu/xTzQyxz+vk6TJkbPCcRbZXzXFUEhByaFqnvcrqgr6XqImNQP2F
OF5YmmFadP5zNvSQ/g6I0feMebfxyW44sn/JCWLxINJJe4SP0vpVU1F3TKWY1SuQLclV02g51pXb
B7Hc0+hz410HInidFCJ7XTCBPNiGdj4PFBQIk2AGVKNumjmnETO73vQkCBA9o0XvP9C1nbuHPG5C
RPgyGiseRq0fXFG7dTs/p3SOfHD4ZUe0FRQ1sv5w39A2i6xhNW80ZvBrBBwXBR51edhjWgkSKriY
eQfYJ9gGiiTmXJLOP1t0ib3XCDcLq9Edj3ks3HEzz0QpYerNfoxe4po0Uv35le5f/oCTd74N6AwV
286dqTWItaB6sxr3EAu7qDdUhO3zSP7TfpKpd1XFWPZLRq79HFsafftEzDOPaQPZo+J6N8HgS2tf
roO6EQCVy27xoBPygCbELo0p0ZBWcryDAahtHVR25IMbuicoAL6Xp1FjbsmTky1SJPrgxqcqB4wg
nGVvD7W7HTvYWXJAOLyytO1hs7YVj6igW+ChB3qy39IVj8IGB+uy7ztpIkys+rgUdH1pJyXxKe4R
dEl2nV475kbiZi6GYD6OgZZRT/kWuX1e31KlknUCSVCempxBIogo801ZFd3Ji+P0pm7yGGZhsJ9k
ZYjilJcV9tmRNvCNP3TB3s4DMmMM91GYjT46seOigMRFcCo4mZDWoeeDzBfl3dVdHKhr2gEcZLCS
59Jqtp1eiO8JjFQy3GKFae/a+A4zxnqtFQtzGP0mUkpUpDGhDZN2UZ2wBjrUdzUQb0qQx3VGwx2R
ZPDEV1KZORvHWVq9xeCgqLdL/zVxhjIMLqEhYd2V8gt1gNjRKVy3mLXVbZf2GkhBxGYSCmMYxS6x
c5MhvHZanGdorX1jEdhldq56WTARm8eczZSz5Nhux1a4B2ce+xaCtxz8bSMLg8CL0ttByH8uXQx/
nug+V1YrbgThOsRDrPO+Dlb3ccxM9Z0BvP1d7wX1kbXRPDjraj+kKelLbJumpzcM/ZDZpmOyEf7u
Iud1liif9LL93oVRrL5jG9dXtlpmYjYpdTYsJsFTVdvWFGKTI5VJE4RwAzA1yRBOzz9VU7fQPSF9
jqOfv/SPgbVUEcchWg1tMatvDfEvZ6IByPoYZv3gCpJCQ9Wyo01ymPaqWNujWpzgYTVq75ZgAfeB
gt4403Z2rgRkOLYPPuj6ZA5wm53d1sUeV7okjHgpyqsaUFmEC62V7OyUZfva9b04OLAFlJzJMu1z
Il/2eJvY+XWPOZCBm+NmzYb5kNJLuvLreN76PPS+u6RNP/pevdASqXGI27SUt4wcHMK0mtiRZ43D
Lc+Dg8VoHBwmMeE3U5o3X5TbQUF3GDI2Lmzm3u19Vl9sylbvnMCckoPfFN2j7K3iycTsCgRUG5Fl
tNiiFH7ebQ930G4mRfuzUTgv19pU96TOuWdf/CY6z1ZHU4uW4Abty6KuZdbnTe7bAxCPSzBBvILl
pvlEbglTCuD0nHi4WnIUyrq1g1NJvMUTI3aJoLBQOG6T1hPnZZTzi+rMH3q1sxfhifReDmlx63lp
t00saj+zGMsDSq93jR6lIgYQeSTP+nF7aHOHtLSYKBWUq+7y3KL1DUyWfI1T0xp2A3U1AYA5oDqk
0qW1zqJEyvtiCu1+ntVoRMbi5Ne0FzCeirHcSRuULWn8ieArEmd+sPHK754BmK25U29pagiQeXec
b1Kj16+jsSRX4zrkO4z3Ai9BQ1OjO5B+STsxrDICKJ1jaRHpo6OAsPkc03pG1PS3PG+s9pyzWaW4
O2a3U0z9AFkuN3PRVTMdREO68Y2ZFg39g5JBI+M90Frm5CHxElX52afs4XHIcg7oHZop6UusLgiL
6o4qanXJxYjTASMS1fOqbpA9i5IngUVVcMv+ilt003glzNo1ciWDFqOVyIaE0++aFJG/Qg/dGyA7
zdv/HEH5T9I530+DHpIZqEEyudWKrZsARK3DH/yxS7+LGsUXX8lZt9aJN+dLp5ZT3ZvHj13a/mPq
J0WakGVZixOWMyw2e1UOH5xvIt4FihoCtb8oevdEi+OTuogBypzbD0bfvpsYlxgxjcK+sE6JGm+p
dT+zz/2L/OB/9kG+CxLVMaAJmJN1ovbB/Jo8GAUA7YfebvPdVAlvNtHeLbDzpoq/OYP+KrnVP3jt
d+HNqEhwA7YcaYkQgmI34pgZH0zx/4eJxzY2NwsE8JTCKG/tzLKJ9PD7j32Y5rvAZnBkH3cO1nKO
iphGigiY5GMh6ab7x/u76lqM7pnbUloTv/Ri5/pfvNuXC/w3cbPmuzXZi8ZMzVy2Jw8t26DjxDhU
joFDlJHH+cGJFea71emQ+ulCffBLRPHTbqtbvJXbj92J71bnUox+rkTdnsrA/1r0zR3MzM+PXfr9
2uzsoajok5zYU29NSrhm+tjcFPPd0ly6kTwzO9Mnk1xvf7lzdfGhnG7xfuQxIV4ZztNEnxKmw20d
cZlTESTzh25w8X7qsWyF2dEnX1j2vn2L+twdIdjGD32U4v3g41TBaip/nE/ePF0pkezNJv/0kY9S
vJ98zCe5dj2Q0KnmrMEgnC9KDh98x9+tTN8mUG0QajrFDBXcAS64O9lp64Pv+LvlmU0C9zAwxEno
PL7pF0pXUsCzD+2aIni3LgvM8J1rw/6pi++2Hb23OHY/+MrfLcycrgf2HBI43RTzSmA01AaVU/yL
x9bl7//Hx5YI3q3N3qhaDpPrQEofkv8MSAJgJT74kb5bnn6g0oIUyIpxGhL4OTn3TvP6oRvx/QRk
I1F+MSV9d+ow1ezsspCbThCQ9LGrv9s6nWRxifQlCJoHOKZ7I3nKl3z+0BbE+/rHLYiZhKvlFmN7
ioW42Hskh9mCaJqPvfR3e6cvpMslm+aU1KtP8MB0g2DVhB+7+Ls1WpMpkwvq5RNwfYHxOY4EpsEP
XvzdEh1LlVXjxOaWmeUjaRlUkfX4rwahur+NQflv7nT/3RrFEmPaOnd5Y/AcPlpGvm+c8RnJHaig
ZWKdEEZzAUDlsZXraWkQIFS9nl0/qNYIf37yjEGsOOYuspmMVUCtc+mVU+iEQ6B+uIvJeEQYu0uA
dx+uvvgU9xAReN6fSCzEq9drGK8RasvVlnvqNGnZ8/RdLvQScINtqP39u7kOitvShAaDBFpuoNuz
kyScZ5OmxrEcnYesD25zBv6M8/R50SmNqrWAU6LUW2t+bStrY37067qIBs9MdsMaBFHRB5e2cPup
ANfflckorlcjnY4CFsb17A1Z1PpqWWQSrdR56ok89YNd9nOzwSZj/CBSVRJy704n6JyTPxEyAd1l
71uS/c44+xo6TjnBnGl2G3RxfEu+4M5M1PQl1xaOscHbasZs7uCjr4Tfv6ywDUdnLG+NelIR7XqD
+rxZXpeAk4FnXlV0GTozbuVBGASc4FGjP+Rnl+RUKSaM8ssE0GaoBVC+tsnrJ/kdw4OzqdL4nCUj
AFxzJdrySOFaPyx+HO9dA5TFAwu+IQoKq5AGmZpIWHOsu8m17ybfnSOKwAoTnlxwx2CwDWvkqB3y
zxh6eVB+zjMn22aDsReuudwVBAaRaXXTBsRSVk3+tJaVH3I6q3WEGHwg/+GxvUyqX2osaZw3t0Hp
F3pLXu2dg6shBLIjPKZf9GFwc6LBi9Q/k3I373KhzwbeNbxEbiiSOA59Pv3Ctns8VvTB8aR6yz4m
rvHg2QJyu5YRrmH1TF8x27QTsiiA1CgwgtDsfoR/yjCFkWgUkhZhRt6MuhhiV8Tg41n9lW8ruSBn
Ox2xtQjbg03Cddvp4RwHw03DHXlJ/Nz5Adlne7/nqEU4yeyG1aQPNJrOc1I/zYPei8If612D4OI5
gVfeK9iWs3bN65x4v50igjVMZYAPRJBHOBHeeYVlZAiHznwSFpEazLWCMCxz+u6uXxVgVOALEljZ
87FPOsmeFPI9Au6FhPB5V9vxZ4Ceva0kJldJI+o44jPZdkidm8SDBuNdIGx1NN9WZ/00DIzyuQsS
qciGVj2BLWI5I/pqQnJr1jEaq0Xk7kbo5VozYIqACd2tmM7Qy1Ach8k+JUvpvjjjiLWs980HvP7e
2Z0bRE8CQavPMxEavAnOHCKBBvqBRJBrl+aG9RQ3I+nxzbGwPfOckZNJ50eZ0WgFd52Ro7jM+Zmc
JNg3cfRsSJhgmSJ1oTPwDIld5/ab0SlyPgINeZYlhI5gAseEzo0dXvwSGAuWTwXxKlE1Z6ehsK/o
s3+TyeTfkBtKJM7Qs7z12q4va1aWeM2zzN2Tp26Fzcz84alLT5Vpez+JjNf49skNJbk/gMr1XJmt
UTdl9tm1UPq31riYESG4124WWP6WQGc4MSKOdnBIsbGtdXs5Xn1NUwYFgOsxKxuF/03EtZETgtE9
Z5lZHISq0Qkx0Z2nNX4uM+9iulmBvxz6P5FVNSeoFRYIiabBeGlmNc4C1yRIHutwV2WxcwDdfsV1
Jp4Dg0oODpgBmyjl3dYgBYoZyVle8u/JvHVJD9gtszYgV9p4vDyZIfd8LAZPKRaUna96ufWLngAS
mfR8FimOJZ2Z9Vnp8pbsqfiaLPxbg+d4W9MJtG0D4tVKMBLijjoT9L8V5DJ/EV57qIv+wA1m3Cb4
IKJYpiTJxggCS2uHTV/B07gd0US4p1jTcbf+aGuniQplFw8TWPSGA3vyIlDMH3LT8V76ejSuzSaw
VTiPA4p6GTTjdwN8pCeqpO4e435886vRuDLp114pzUeJRjKeEoOcL80nuu0Gud5zslgjYI523Rpg
lxsg+un75PQU1ZPHjCsDqt+ssFVop/wq9KCZEMnkerqs1i5YoUHSoK+Jwe7vhhl3UzEwvsx2hgQy
q1/4ZJzGC8hbDr7SW0wO5tBln0vTHprTZDiTDgcics/5PAUytIPhS6+M+myTznyaqjmRp0L5Gq3G
G15HUh3COhhWQCbHfcTjCVM14OpCXK62ZEZg0yH4FaSeXA8hfCIMyMo5BOAd+7VokvNUzsfJFf0J
c2WKYbVz7gppMnm7KNXRqM2zYq7IznbVKENdJXc0Hxn6sjrjDLOU22nkMUhhagJPXhlEMXdfJeMe
wmLpk73bSjKSgv5xSkvx2eQjhY+usLDg8W+c1m2fCMRZx62Pgmlv/dySL+V0ydPuTNO/6ar1QMit
PjgutNxCpv6+g/m0ydktXpMihfYgPK9GHrV/klXg3zc90uhQZj9sEx0urEi0fBl1bV61zKh+mfqh
2nWYJrclD2TM+00q8w0HmzJMs3GApc8IE8hLMd0aI9zAGFdE/sjBt9GTrEdsL+KYEMaFd0+mT7Jr
oXjzCr22diuiFp1F7AILZ49dDehKJKjd5sO03jnmSvWB5sUDLVk3OCNR7EzCN5rIaQmsD/0a/iZk
oka5YUBGda7MsmcHa2xxxvASQOe2tbpK0oU0IMbejJ9mPGWPDa3zM4B4/YQXZdwNrp08FxyOOS+M
7TxEzFzRB1ijpTkVghkrprBTl1k+CnVuTGueRnnZbOaWWtpYHfh4JzUAEIJdFndElXva3s6Ncz2T
Q4r4DvVdzOWTo+KZJPj4E/KKIfCG9OXeYk/lmEcUiD3yG6CSwN2y7inmXBbCYdZ3Osn5DCtp/HXi
4L99X/5P8tbc/fXsqf7y7/z7ewPUArU+vPvnX/Zvzc1r9ab+/fJT//ldf/yZvzw2Ff+9/5Y//ATX
/f33bl+H1z/8Y1cjBOtP41uv79/UWA6/XZ1XePnO/9cv/vL221Uedfv251+/N2M9XK6WZE396+9f
Ov7486/iMj3x3/7r9X//4uVv/POvR1W+/hKmfYZn6lX9ww++vaqBa5jun6TpwuV4UthYPql757e/
fcXFrW2Sfm+ZktziX38hw3tI//yrIcw/OQRxeSaVLN+Cw+LXX1Qz/u1rl2sJqHff9n+74t9e4h8+
pL9/aL/UY3XXZPWg/vzrb+Pp/l5H+J5ngfrw+jxGKDhSXn7Tf50qF9icGIvUEcA9HIutsuhnqKGK
rbxt3W2TBR12qhbTaU26gsM29lwmjn/lj2q6Z7TAjBcD8GJDfui3XObtMcVluiQ2uaSz9ZAJUhaJ
wySb23Yd/dSZs/6O3idCFxI4u3h3axRadQ0m/HvL6391P/7HqIb+tcxe6182Y//2Ov7S/PzlAYcj
n1n2/X++TbmXVct3vpa/XG6tX3Y/suH/g5v2Mvjxn9+zm+yt5Lk7qowGxV8XweVOv/zQX+9X2/qT
5JYAHQ4s27YDn/L1r/erZf9JSN+2AseTUtrOZWTs7/er6/ElblJp+dIN8J5Trf9+u7riT5aH60p6
vs1acLzg1//N3ep7l/r27/erJMbSE4SjBZZpU7P67wfATwwOKbLYcskLswpnx/SbIMLeJffluErS
4IBkVwZouD5jbfvRYCpDmdxOc4eUmcZredUR8LSn3/y1M5FuRMB2QFE4hLk2jsG6lKEFlL+1+EM2
ozI/1cmoDxXx6w/SEHJXzs4KBM7uXFQEyOWwlcrs5Y5pmAo7I6OoXJ2ok4/8q6ch+dk207itYeGh
JlOXHFviUAIQwDJfI4iXlkiuoV0xpQlSeaVbfVpWSqKpamGv1SeCTlKOpwrCPVG3dbk+Y/Z0tj0a
6VkC5hwSO1HwkUNUz/0XFltHiEKujkGfYJuXZLrrWV0Fro9Zn9j6xjeJB5Q/RwYD7NzJbH5ABjPc
wu4eypRwex0E11Y58fJT/QVB9KF1xCtil9qqwL8isu8ld0uC7QHSboi/gQk30/GKljvlayHTNPKd
eqTki60UnnE1QkageZeJSPmz4KgIU1g1P7RjeNGcz/0hZRL53p/Ws2gNZtoY1Rhy7m12lgycU29m
1MQQRo+2J2hfU4Ucq8oYfTjP4Gh4IwVFLac2xM+EWYRZIE8EPv0gOqi/GvArR8QNeKTfoTUTgvzq
Guttjd2XXD3M1njdMQ+vRXebIjnusHux97ozMD7c5m4Q/d1iT8U105e/to2NaZVUtQBjcDOQl5VL
guNlcMjW8Yj/bCRiapw2U0OCYluQN5qQk4hIyhCMHsaZvsCuNbItp/9+I9aAzCPmJ9G3MB7ZiIe7
nHizrwK4Esq+Kw+kjsRXSYflFsAIHlz7094cvNcciMIZs40WxjkpxdYpO3zFRJUuIwOSLxPOUnBv
4eEMc2mZVZ+xKXFS+VJ2SPaTsx5w1T4tsNIgpeSWVqjtuuMskziHCQsapk9iHUUv1kNsA0WZ5PAw
SC0bbbJIepc7ncQEVpyjngcqSB+ctTFPJcmUVyku3MeWXLeYlbIvBsY18K6TFtJjWYI079aOY91o
7ad+5t1rCcgn5PegiMm8VYwM+J5jQsMei9VEJSOGOHNsI8ecYVBTCnioW2M4k1Njn6AkiHQL4IoI
MpPJriLqFttuaBsM0snwXzmhsqfsOqdX+4lkPgzGQer9mAuNbj3sxlztsXc2zH4zSDD3LRKTyWHc
kuaAoYNRQ09OIxrQ6aR/GQCi7qq2ZbSe5eoTjswsjKeUsYv2uOzBmTiqjuMEyuUOy51DOgCus/GB
sUkQHo3RqF2g8hcrVipU+XAgz/lU+gHiYqPjvQOUG4cdKDiMW+nizCYdgTERnJzneU/kKXy8mQCN
TPlwsikRvQ4sfyKbXmakHoLRLtc84qm1tPQDxoO39RYslgQebzU+kbEyEliV82RJ6QqkDB7ZEbf4
5LGmCeEmRMDy90FRxcf/S9J5LDeObEH0ixABX8AWhp6Ub5kNotWtRsEUvP/6dzhvOzMxkkig6prM
kykdb1GRE+d6/jOiNby7idBCAj+qaHGU2K0eID4o/aRP9QjBCi/xT0zG2OwSiOTcaEW1Z1NyDkiQ
8Y91I2+k32khK08EpYyVcun/awjxUk2ahTCcv5zOta7bBDiRg+GqI2A8oIu9/9zJuWhekpGVqu4x
JwsGKxvT+wM5S/Uld6rhQBBhFU6tulHGa5Hv9+1Nek75ZgjQOAg4Yckkg0C52synDnwlXAir2VtW
b1yYUyMh5OYAqVbYWObVgBFtJI4mkKUd2zktXTitAr07vIOB0AlU+oQt/u7VnQyBPFoaD8pXn+s6
HuW2vdK4x2knUDnSoVRuaABuR0/JZbQitnNDYKahWqQXEstJWkz/7Qo7gIHJr51dkvQ+CjFvJVOp
1M9ODgrIdhp5GesnRVsbt+uq7RuDI3zEsmURYqUy7WGY3oH5vJDKGgJ7fbLHbvhTA/QOSk+7Q8mb
AL/WI40MJOIltJFfzhxH4Traf3XKstz4nnLvurIjCRw5YCKSbSafhLT0B7+urUtDnkRIYCBQTnx6
Q7QuamaIUyNJ5cR9bVLvb60WRSqd85Y0y7zHuj51AVI9MGezuexXBpPnyUB/g6Cbka0u//FweQcf
SZgJB6DJbpqmq9jEXR4kIDCXgJdHe7dhQ0R50SUPRjnZWKH5zfvFCQDhG+e1Gq4mai6LAnNOD+VQ
ZFezXUvU5J6j9hLafCTm1nvGnJT+1ki0+uWCGeKIy8WwtzsFcyxBXntdLJSCfpW0MA11Ukhz64B+
w/qWYsUE2ufud3eXsPaj5KHxZy5+ayEFsB9M58Btw3lcoLg+IgBdD5BZ2tcZh9ltxTT1gE+GgwK9
D3Zj0iv2SB9aHrf7P4P581N3MzGsvnvs2MamENCke6d2fmCEWWFdO8SWeNNJQl74BIlkR3W6ZIdV
St7LshufaKK3uIfVVAza9odYSqJOPZNE70WO6iKNPvuaOex3teW9kPLD3ssbvpMqRZxZkcGt8GUR
KbHRLIPA24na72LNddX3xIz1yoP1VUNXCviKYDfTc+jHlukabEDHe5ZqFLfSNw1WCJt7mPQMzIH8
RBc/HJdm+6TTJsoQsl/ajdg+GAZjWy/0V5w1OmGc/j3Loap2lbPU70pBPy25ivnSZXvVZvbdQZlt
yXEbZ9wKEu6QRnwPo/9O22XrTHKJLtOYuJvtkpLRQoSbhM7uNkRlQOseYEbdsRiYbm0/5bWjMc4d
JikDnOJ318eR5vg8QxV10Po7Q8GP4DXraPK95USsSlNGXr8WYS99lhRWnx5G3ylj0/KeikHIXUdS
3n50egk9jUAYs6yy/WjM6hdMCCgp5DoG06y8O2MhiXAIqb0P6oOYXqq17tqnGmw6qsNoRn2qDaDN
t4EpBdMsYTovba2+Wjm9wKQPMl3shmGCiZPGiyT2ODWS7MiXSGSDjbTPMBQpAvr6CgXbeR+R86o1
Y+JLAugfUixcMMhjdeorOT3WvfcAQhwPeeF4BQPh4TvfQOlsvaFBFNAN4ECNV4EzTx8HhoXvAFqc
Nwse+oPL8gTc1h1V36A1pfmvX0s+xQvWmiHKHBws9SQKzD4rGkJzNovQ8addBcU+GqZk+QsRQD9D
XthZmw0WGfY7rGz1J7UYet7BOxg0dqKYb9BUI39J7kY6EO/uofZ4SJ2meRbLdkS8/gHVCVITcywb
icWdCJFV9snMvY9sWd5np9l3jn6bBelyZADsdWgXvJlUut5K2kc6+ns8n9NBJfJX7jrkCbJ/g/vw
NI+INhPVn5j5Mt2FdUhAaTRP2bRHxA1Yz40Rf+/6WYvb6o8+iqiX+rmoQBvxy3RfSvO+xjohA5LU
0wkD7OSpf95KDm3uyqDibSVl7GY1+RxuvXYlEHJvecPJ9U0iIO5G+folx4lBv+9C1jKCOjEBgKXq
Z5pLN6oXQZrRODqXO8WX2CY3P2Nbr+HerogIPSBGWYLAM8eCiO+M0kjI/qrBxSJvzX0Qqf6p9Vy9
i4J1Ztu4oYhNQhg5Z+WhTu13gs6B4RqcYpu/co1m/42h9mojzhJw2mO53PONyqNoMmylMPIL2adR
AVT8ep+4HQBTGo8Y+/JDJZriccEtM6bzTZudS9G798Mx1YenwbFv6YKaNJ8Xc58oJuIdUbj70rDS
Z6Vm/TfOuXK3Fbkf5/r4g7msjSvSOIIeVmhkICDhZmBQvZIEHAMgqUKEydaDUjYIjfFpKQcV4GM0
fousbHYUT/Inz9jqcd7k3xViyYVc0mPLHjGYpne9yqs34s92s51HbiX3BvEpJcM3boU0YH7IyqVo
lpsS7V9yHxmqWt1wqzauUgvDwX30ruLOcX8YXFJrMVNlmuxgaLHEda1Ljzy0huxNx0xIkarqn2Ts
QQevq0nMRPrWs5ZiyM+kf+wRja7DSY0lBEgma/vMKK7mkKe//ZyUxWCY+3xjAtslYWJgMy/hLf/2
dB2m9tRlQJdhAWPaiCk7gWwUpXyAS7qbWY0RpFx7Cs+Qfeid+uqyTXhZ1+7J9YDYiap9Asf8QlbL
Bziwq9sNS5Ck2beDMSNI0yyeNf+g5fWJ+w0Qmz5mp44r+OpNFAycR9lZWmQDez27T52gOPjN5SVh
b3bw2wp+0mRw/iEifkfRrUeKEfpvhkRMx20jQiuFUlqLckbm9OFDXLdriEn0l1KDSVjOgEzdOhCR
F1ZjB4KMC2hfOrzVs2/jw4XCbc/pG7Z97bR465NZZt+unVSxTo7J3p2a32yV7mzQH88hwmieezyj
lnjFBUugs0MJ3TecRQlmMBt/b2Awer3oLvFKbVE+ahyUCfLqANgb69nfE9gVpU073PHuITOb06K0
x/sI+DdufZfIirw8ejaIDqXxAqYpa2pnm4pDhrnoFRMOsDMk2zvCY88dg6cUShoDbNRRoWuZf8as
O1qihZWv6/nN3solxtE/hnk10lWb3Ytf0M047OLhqhEINyf+wZs891D4VUmH45dcJQaHq789Wpp6
c4xKxJPdXLE3Tbhay5OVtb9Gu85CYjq7AzMKjFgZfdyZTBQ6Kur7KmJbidmP1xMddZd7gacrCmVl
vxGRWb6J3uipv0ztOPRl/26Xorqwx2qjridxaRCKt3tc2ybCEZDE9iShkWWQg6LSYCdaKVM+Zg30
gNbI6ojMFNIVyAi+1NzzP/6q8sM66HnAtmy9KMd9a0UFC540mu+kNrrXQnPNuN2y6qdTlnsCTAPT
abELnDAJdC1LychPRhVZppVw6FjFrnar4gPzg//Z3GGapvAmGDzOT26O+rHwyoGhjmh3bCaZtXs+
NDXlgeyXen3obQWYfOHaqWfZnHT8xbsETFS8Efr9XchG20M3IjNtbeYkSErcqnw1U0SwcBOmeDlY
V7rEj45jyz6umsSLDasXE7Atn+a8tp4HCztX1GmLOgzwVHfreGfgaGsXOrYzPlpYSh5pwL1LXemw
dPxBnMF8rmG5FphBvZExSL6QD7cQPkucEwsv2ZCWtnVYf8ioOWLW018nz8iuSUn0oNJEcc3NDPC8
AfoH2/8pJ1GdDExNTR8tsaCXYfExwui1flxhaGVlu29c758zgJz30rvNYpk5WYkYmM9jZT6YLHJB
Pc6LHQ8ih72qrwMdc7vN3zaLFpwfgAQqQ5cH0Rn5M9DyD4uozHRGya+XjRcD1eLBTMWyhzNr/G2T
OyvLyLn+XceGwFlUCaZMkhrKl6Vcvhu8Lxhi2vSlJDEkSldBJqCfJp9AjGvoTQgKIpO2+t7O86tL
TcWKRBMGfT1DlyWZBSYtNlZmkX6amZdQbovJjGhwrr4mSKN2NKsD1JSbBJGU/QGn3cQB1fCx2dmn
rcAeQN3+hsdIJiifzpl6k9EZNO/fQ1NiJlk/tbm7+EliMCbCGdpOgExTvL5aZW0RiCeLUnQygL+1
6XZalScOk8j1d6/QLD9gFQXHuNPs5djOZeoHszd7QZKnbF17I42grWXXYdK9g8si/t0aDXmoQPjz
iRnbuePZPqNnyx5YaS/PQC6sd1LrH7oWQy+nXMK53G7ET3u97kYDybsx22RMAk1iXtDuTzyE23pz
RAFFeankU13jWdI3KyG6RLN2kJi5Eh0/Bzs7Dz/MZpJoM5btZIN0OiSjBrhKm88uhr09ak/jYVXi
5lGGtpW3sywiFuplSV4JM/9XU6ZFyUidEEKp34LOl86+20ys52uKqbQY2dvqvXbsMMiBG2HEHICK
aEOTCPpwIeElXn3iLB2cHDpZn/uicjLiCAdvvlgIgJLOJRK0lWFu8Tfrgnq7KCEs+FDPldYsLyUZ
Epd+ScwdZI70uJnlvGvoQz7dvI/LwdpAXcoOEBRcDkrfR/Yvt0KK8rVx+ruZjWi0oZm9o+uUFJ6L
sK6J21pnEzMM/IdePw0s1q5Ew60P9UohSRNq7s1mgElupgn4yu4waoCYQDmJnZMIvmA14csng3Zl
FiczKlwiKpTefholgOzm/9RCpQetNBhJ9ElPavo0Qokvyvt+Wn4tJr6q5FW7B4xsp3SuI5bDNvzc
fDOe7KU+LiQQ7+piIXi49TG/GSxjeqOFaj8wYR4eWkCd+tY8zKBSwH2lManmVERMWfxWA6foNmPs
qvEXj/RdM+mA5dQGsmX1DxqzE7lHcS+ciNNm2tdeVv9jfME4WHuBoZtSt7bp38TliyCxe1fBVAq2
DdrdzAn+buj+aZjsZ91psBHZxT+MZH7M4Lz6xR5fBLaOQRkYxRS01vJtVHmyS+biuUrSKSbTfn6H
m1fcBrPVyzAve8BNCuWZIT8bJilzYz9rHttmdaq1/KyTli380v/Xmixyxy7Uis0M9dE1g032Z+Fa
gHb8Zrq5A8gCRxfqZHV3eRsOKdnBkclH8oPG9WXdjCFe0/XD7gDq0Vn8M3AukUickCEqyku5moHU
Zm8/M3w+ZHnVnpem0ohhkacVkg82QTUf2L1ypoxpdS588SnIzvhrMtuck+0N+nX7Cu2dhLSstIzz
rPpvWnMjKAnFDfoCC3a+ZgYhknBkKH+xbE6Z/dglPv+6yzIJu11zqvXSjzpSjcTKmz+0waCRLTFk
QCk3jpxuBRl4HVZ8of3UrWNQigLJ2FSMRhuvyKvUN7HBRR/WCsEboSKjBeLmTsbnh5NRxAiaQMkw
I1iT/HNCSiAHJk4Sbm3Z/HUH34bolGrFKfGIs41hH3qfxmT1TcARWf9Z/M73ohbA5Td+5eUE6nMO
J82QK+Nqk56+qIZf8MQxJ2/L15DiLuRZeddFPRpATHN5ArD57NTbPc9QXjgyGLPptn3RaU1esGwD
f1wsfV9ohc67Ovg3QnLUC/wHed5URhq45jsy1mSC3T2B52fB7KLRIW1pN9arePQN2jxPT+WZBKic
yzB3gY8b+IdzVGpaZj+Nm3Z2hP3VSJJ4E287bbrvI1gR+1X8HWxeJbBmzMLWnzHL1XsjdO+CZ+7E
/6o7AaMTu2Yg2ACDdLv3V5MFDpFpIbkizNQAt4Rrk8q93s8AOp2nwZjyI1baOk7XOX32ScxFbCcC
R+MU0uD8vyUJltekGcQuYdNlUn9xuM75fnP6mNDqU1fY5WkqaPSMFERem08Ri+U1NpIy3y8mS41S
MduG5UKcfN4+G63LyE0+GYvu/5mmfvndExZ+y8ChlEG+ObjUt7yO3Yo3zoQX7oEHTsYnNa6P0GQ4
Nax7qQLUA6TAHNv1zEs8E8FLJWfurWyTxz7N3+hu3nhGkQkaiCks/VOaeLG89HX0tmNX+U9gSKx/
zLxA/2qOoUc6EV1XYCFlPGqKpyJxulcPfcfR0vW/KamCQTkBzwxmKz9AIOevSnQzWERzyxfnx964
jFuYsA8d+xzbxfA+Nzqj54TsX1zaPNCj52xfzNur2FiqlUe7GCNiJAgKM0FJuKNkR1NgoR27Oqpd
FBMSfxdY2PoZ4/cx6RMWQz49M6c9RNBJwXMsWuOXsVgeBH05Htvacx8B6Y6hStS4c6c0/WT8DRds
uUuVFuF+IH13OWH05N9YlBpXODE2eemr581eJ2KQADw+F/BtPtijVdFGMUt7XF17wqO2pgvbUvtj
NLUTj2kDL8gsdxPFVlo0xlEv8y/m85hV6+ov4VaPXPAQgzBWti5exoztCWSU9pDUNNQ4IPw9WpRX
32AFYCO+IqDR+8tFWMbwkUNir+PSS6prbjnrmRH8End6373YbmFe71/mIFL4mgAYgqEtn3VdJ5yo
3YC2oC3z5jIxyRIBT68huiBHacOY21T7pu/7SBCEEZMTcezdPAtqVSDkEm/uUp1mIBmlVrDXdBhs
S0BDQ+mVu1Z1vzy2QzFGe4vaOW93lp+wam21R2HXyuTdsNUDvuGJnjs7OEgAITNaK7R5b/6iPH8a
sokYGDRMv0Ae8N9beRLZs1M/VwpE6VIU0Gg9lhy2KeVlxsf63K4opA3WVE+6aY0XCAAC/ZZ/aAke
2MGcNGAu6WDAq60pX3vKxkjhJ48W5WtHb/DzlwEn0o7HcMS7DXyVrGdin5RQTcQpaEV3eu8ZP+cQ
Ueb+4e400VOhSTUh3NuBd/ffw9+EP5G9EH7ini2CVkDJFpcGBjVSIUl1W/a/0u0+izObCM/Gj2kM
R2ILuflV1rx10rsOeo+Uq6aacQaAe1pUJ10AbPT36LpWTHxgpPLUuJmpXv+pHNSrowAfC663jCpB
Y0hIXn1cE7+6eW7mnJOV67/RO4RT6TN5LnejIsTO4r7M6ntyq0GD9vSalX2GmiW5soHsNfn7gJyL
rZbgNrOGa71o9ql12/kAh5B08KF6pUfsYVWYr9qgIQB26sfK6FE2oskOUh+ZlKC1giHA2krC47Cx
vgSWlTDpVWNMv1RJLhxC+fD1/nFHMxuCCgr7k0vyVgCLQt93TIALV/uLmEzxpyG1JKl3CPK8ZekN
339jqm7ec9fa5Wq37HHddf41jOPPMGPhrysa9r6kQajrDy8FvkkXosdmafWPclvCpZMnH4nw0Cfx
1BOjBXMcUV1rvrYSesuQn9vW9TNK+nl7uoNZb5QAdbyZIGpyAoIlEOe2R/SZIXYNoCTkASloR9OD
dStcnjKQJ5z5GjNvzeqP5IrQqY1PPu6OU9bXl2xqb2nrZtcM3wSbUQU7omkZgcyzYhEs7LeJ1ckB
pnD+kLSVFokuZ5ALDJUZaWV5p2FhwuzTLC3Z+qlYYKS8pUc+oQdvtsGHeRVzXhhcmUn6rn/fAdqs
bA4zmus9qRrj3xUH8wFl4/BcgAOmgoUpGOc11v6RdPrYqWqxBTOQGKIqxJfDdPCMS4rxNc6Unkw4
JOZnxtwW6j9qEa/u7BcPMjzb66U5kODlQpeqqrNHgMCtzYyBeqkvwk3DSa/Wygh0kHTBYGykoyvj
sa387jyij4wg1paRT9wTX2Kve5Go7OHbQeN88HP38w4zjYukTANXjKwvXBaPwFLV0a7LLgbGTPyj
6E7GVmn7SjKtLLzPviHAdlokF20+xcREjTEhcxr5TiCjQZzHapOHVHZ/e1PwiSAeXdp9PpTPwh2D
YjozbQulibAB0BEfBp2x24B3/DD4gjKy/vy8vDoeuubG+Cgbpste+6I5jFSyledTIzXDYRY8wIQy
53w3m4xaW3M/YI51J+M2LN68q8lgCk1/fud1Pc368LJ5I/qLxjwyrmW6BhxrnSKSOWKgPTQORdyY
w36Z9fvrz1a4lHEFJZ7o8Xue3Z0URyYeeVQApZR5bOALZprxLZDjm7wpuceqMMXF3vW8lIYTg0ni
WOQ3l0O7J/eHJpNsYZSbNAcMG7STNGCNWXzMLr7+nKx1g7ITxKFtPJhqHHhmyIx4A3JbBKM2EBpe
1nrI1PQRcoq3L4pyuUkM3ebcjIfcYVfEjInPUNfftlnby3qpHlMN7oIBlyJqbE8+mGNbR43fWwGi
GpIEB+jb8AcIZmXGeDVmcDoiQxRSG8Sidrld4MFQ7SNsIjtEmJ0ch3akD6i50fS+/15chx2tXj9s
QPfRa7sz97j9NnisUZpMlh/cFqgFKnBm9DX+XnbFJzRQ8hIJq45LHRmz6PUfDwHcQwZrJcyWfqSV
JNbPNsaU+bVw3zdk0bu5ZMvHYL1ddcgy5Ofmgobc+rRoWOq6QvoPk4Fug3SPk2bNMEBarBBMoQm5
BOri1MYhEW1kuyTMGl72ly4mJrdkL6yVROKsPxnEBcVeAREvzSAo0oSSdupiYwwshmQf/mocMUaz
op6jvB7N/5iE4AiWI+JrVIf3czH/WVuwyHYRzpMrOWpJV9x06yrQQhPUEKu+ly+oUJy92ZrVRoU9
XV3X3jk6Y/7afBaGZjxBG+QGmLznovQ+0BTjQVgY0RIdG5KGNLLdo4LtMv+Rb0J7aGgbPi0I/qRz
JZ23H+0KxY3dZ+ZtZvpz38mwnR8jgYir+WfR5LFQhG5ymCa9D2Gy2jCpcFY4kjXA4mf1fR38xl78
3Kds802Day23VgirpZdewF+9+BC1ziMy7tBxUQgzqqFTSzIIuojIuTTPKf0+aJpQz91Hd8ke4OM+
b1r2q9Gm/dKn+E7cx8wWz8iALWC2UguByGVRavgvKXEyQTpMbgwCRrFvk9sZVqkiqpnvK1gcqf8T
INwJBtZE924QtBXrhrT80MFj/lYZ3GX7Sco037GWHv2b8hiBb61101n7MbEWTzVBm1C4d6oZGc8Y
3Hp3sEg8Y9CqY0pSOJMS3b13Fm0Nz8YwfYk4izcy2sx2c18JyqxI2+3lsZtS/W3BV5xHdP2OH/HD
eZ2dOvGeyW/jTdfdZueQX/1UeCo9UU2KXeUDFKbN41yaDCP9wVSAAi/xAqIoonoozSMtahlNra1i
cZ9yGigOwpogvBC9GSBTUYa9TtA2kXYBchxyXzSyEPzkpWjc+xFrDWFvmyTHyLS7SgSMscj8lalS
/o4vDAqjO7xPBblRAGEASXcqfSJBklOJFUQuqhhx14/et9GGTwy4o7fGVt8y8d8sK3CR58eem2uh
2Tf6XhnOK9X+o84xtAzzU84DF8K7PzVlTaKT+SCK+u0+Dd316NkAHBv+HZNX7nSLVYE/Diy8ENa+
kcrVRWLRbgAfOBRcBg4jez3W6d0zMjOWm1u8MHsn5z7dEVkG5joNN/e+KJ7Q3deG9Wxoa8yQVCC6
KV+LCvECSMWXWks2dsbCj4Xm4NWwWgZeNPCEzWOTCVXb4/nqB7nXpD9qAYm7BKvX67fSCI1qxOqH
LYym0EKdT8/YXiZBvYoBo4jTXloYJtf6mXrSPYsRcuK9nrgY5G2QJPTfKzWlu8ZuzV0NQicc/eWl
WmnmBr3dZ96yxCLRgdFIWDOTydi+0VI24pN9TxCZkT4Zox4KK2siInfM3ZotJ+qS9tw0tbbvinq4
8ImIILOIsk9HSdjR1ngX8hCGoG3mj8YFKprbehNqCfRpyF9IBDfiTljdebesb38mNgtQbdI5npYs
e9SmnjON85lIbD3u/eQPZCZqOplGFfqtgzb5BHlBzWOvSlXGuCa5+Pr8xRq2PyDW5PoUGiYIa/Kj
qiJFdd5cBvXbnD6OTGfvhigQ1SPLF0Kz9Btiui50TcJQeqqWEz/rLbMw1pHAKfe90+gze6E2edw0
kocdfJNRByAGU8dUACuF7r4ySMYVZvmPncy6JxKoSNZoKIXoPuzvtNPnswPg7urDUN1Cdyyz2PcS
52i7DaWRP5Z4psYRIYDKnyyCLs+0Q/O1MRGbBwtqF5dNuhgiz4XOzxxsfVJ9MfydldPQTueJ9+pM
5iNl5OZF1QAsloJxYGNKjLbWfKyyW4a4QOFWRuVa6pHGipjdBQvRSOO3j6aOOIbV6qp/dWPK9ovY
qBXKBDrff+aEVV5n/1kG0l/JVm6Ah2E8lYtx7q2+pj5q+iv6+SnbDetdA1LykHpBBhv8sTDr7akh
A92HDOZSjNULmd5h2soGIp/vrtxmZkYhk20KSCxHNOrUDvCj1Ygd73MXjf72p3HWYU+i3BR0+CPI
9s6o2mxcGmDf02jcsBFW5U4K+pVs3Pyn0TV6yKWJfrY7lmWxnVWTdcQ+Z/h0k6hDNKZ9kV8spD2a
rw0Jfg9yphwil/4yk7nwZEzmuMvL8TfJMRjH6HByqOGh8sz2pAqlHZaEnbUitpGRA0M0dPo+p5H4
HOrNuBpDdky1Gm+RZzxCXFwPU13HViUeKiLIEzF9SGpa+O6x5S+7fpjOOt8OyMHftZ++5x37bCn7
iGnAJXH94wJFSTeZ8lEbxk1O9lJgTFqxG7kdyXBxrfTUpuMUisXJaHJW7bwRWB4RQGTvqYLILytn
C9eew89c2JizQZq+4LPumpp4h2Cbxc7AmIZ4kBLIZyF4mpbUeW4l29Cglonxuxf5iMqhSaZfW66J
61wlOWlFOf3RCm45IgGljDtLH8OB4lYiIOmSi0EyzQcF2JPltYBVUYV4B3z1076gcyFOsc652cb8
x1VZETPufq4t/F4MNR6kqf/UGFhZ+R31HHB+Xu94SG9gTsN+7pDz2Ret7l5Au317bL6oKWz6Rmg0
9k56ibZbcq2BaHz3CiHOvhVEhocmUb9IdVW+z5UTN9PCpY1u3jWjkVgO73cJFLo7WIPVgcCurN+d
1qnPZaCyk2lmWyybJ5smrzyCZgewblbLY10ZD+PcjXPkM4+8uDOD6IDmPv2U2/0pLWv3V0FibFAs
VXlkakIKeGZRD3Mninl4UCC13lRRUtjLDOlPO8qzkD4p75MBuFDTzE+Grs86m6GTKHk9aBC0vwAM
NTTtWe2/KYJXQfmu6mQ2Xn5YnMoPE2VtHzIzGXuwQP5BTlFfbfDJrxm6WZYUmnbEasjn0Ri/J8f8
0wAgCbysyglvrz5B7NpX2pX1XTfN5ICEuntakQLtezQt34SVaMexacGs6I39CLrSPJuQ0y49H+4D
pzKbjK4smWfzTRZdNR8FUWjfQ+ejCkam4S9GznfA0M8C1XypzE3elLZCh1VdtLppHoN48w/14Ovv
+SK+czkN52lm+uyWqLoXPvBb7tyTnxb7SQ1pMR+KtrS+Uqx7kchq+cL7CoheVXSWLsgW370Uav5H
evVxG9LhvOpTgsRkwmlFuCNRPI69/MwVerCsXCuGTISwJ2MXOeP6F5wiFDYSGZ78kTCluhgybiyj
fAKvy6hR9wxoqYQp0qat7ktOVDCdsOOSRVT3kSmKd4SbztdgFxizG8Im+sEb/woOODQezjYCbmeH
ysifIVW/Gc0+E6Z5awgNiQ0r/65TjbXCbHsnV/Y/xK8nw4EBlNrV2ihe6MDM2HDTaVfnfDpZ1nzl
EwvHmWyyUHoeuEi1vtWaRf4M46GQLK2jqXkEyk6lfWbGxnF8f/fXfPsUEnkmq2S/Z9JSvQij4Cro
Ufgf+tn9kqPvXwi+IBJvqao3kMd2sKWbCjfMgrTd6FCESDm/s+mndrEXTabCN1szEwZ2Z+6sAZMS
8yFkJGD3sqiytG03Ax5GVytLcYDfyfhlsfoqRjumDtY0OWzXDXZVYhOf9B7sjwf3aFjjeWhNVFdN
Yo8HV3eSs1G09l4MWnHMaGSZfhjJcVV3oJsxTrvWz88OzhksEQO+KNkorE8Qx8iLCefajE1W8RMW
+QL2n/QeCTKAwjwIbc9bsbGU2pJXs6TsqDx/wHmB0JKSoTxsm0fWgUCBDYRA/kYViDbSZAAsGLRT
+2Gwx5ClxU4nuQlT431KiGaziBNCk8ukkbNbT7+Ym1AcuZ3+oljnh6mW+mHvunc4oH/yLYzI0Nqv
tZB/MrjNIevJ/MJ61AfCPVsxwbdFEzATwTIsOvfgwbCOG3QS4bQUf/CC/CL/6RtgZoFwrh2PPVGq
h0GzR3AOjrED6fjqYnH9tcCnRI7NYFr4b2NGYHde65+TDzs9oT4IM/0uJ279IxnGt6q0X4iHhqkg
eqgEherDCW8P43bnzaWQ2JO9AIW6rZ8BdCK56It+rzQ7iQ3AVQeL7C098NBGRYUq5zezap7QH2Cz
ZIqIjva+k12ZyOr56gepVdzYKsRzW9qv7X8PSFU5zxYyDjjf6xbXkmrNJCmRoQzTxmCAzx1uaz9H
eqeHmk4Lm4GE9EdLBIahD0dUndmBepujx928XxisbO6zlpFerbWHds680HeLCvVhhpdE05wDxFPn
gtOyirHZk9hoAFCin+ys6g+CGnHICvszVQSJTHVxJYRJv43j3exJDiOfi7nuFffPztexWtQOVQ06
EXa8w8iZgyh3sdoiAioY8aTS57q9HsjcaB5ns7Ueeg/ZvZWuLPO1YRl/ISSfD93ULBfKr44dm/Zn
m/5H3Zks142r2fqFLm+gI0BOd0f1tizZsj1h2E4bJMEG7Junv2v7VERJSMuqwuwOT55MbAjkD4DA
WuvLzudDgIjjxX5n4fnH8BUVzpbO+y1dLUm8wQMo+2L9T9jO/8q+987+rB+G7ufP4fab/f/Ae0cp
3Gqvm+8u639e2u5+//v/8d3FCo7PkMUw3rEQOuuzG/Q/vjsZ/V/8b4RrkRD/L2xv/+0T5eH/DWER
lfDDCbxJv/+j//LdSdj4CP5hpJgSVMYx+9/47v4Yq0Rxy+aYQ1kOB0O5KBiaz/G1G9SNT7BuLD7B
SjhRcGIDCxWYdUb0xzHrWnzzznIj+lEvW/NGYts5LOi/PYPnmG4lcFbr5pMh8QZyKpPKsxO8x/tK
KyyjGcdJ0o4IgmsjwUHzPD17pv/lsH3uqP3zWDE3rqyXRBY4opbHpef4looIh9GjWWX09e/tn3OV
/vTHnP/IH98+AOAOWy/9Pwr3jhbkcXkcqRW3iLUTuPImBZE3azQA4xuoTWKxg0jvw99/8LU/yHEG
24jYSZ1/cCpjyJNxvYnoCQGHRH78+w+cH/Of/qLzDz/7iyKcfZNh5OFxNr2ar2ByB2jHmp6BJmay
gt3S0SCHqO3belU7UgraniD1hsTx779Pz6/xnzrgZClZhW/bsAfRfdQIeMcFHcJaOP1lDW9n2DL0
DPL5uKrgBjE21BxH1jSQnAQ6YpVP8h/eULjDnw9BqddqKsMZQwCj2Z53zS8Vzvkbf99rDxATx/PG
G1TqHK0DbnjWXn1GGDaW22ks3v199F5r3ZkbyqjIId7C/RG0yflPbEabmzo4Hwd7Ne8mo0E5GuKs
PIQaelDTJzoDH7Skm/KbeSInGa0r58JahgOHoQm27UgWCGcP0jY4SfPrvpOOxnA/HK1lgdkA8VzF
/kyPEbu2RSkd/v4Dr8xtyimeCoTTsEAwRlIhuDj9oHBnN37i7RZDpYZjPXW/6obLy7//2CvPOnLm
HgZzdA23PO7AIJ+R7/scsIZP1TAEv/zad6aaPiIjmZcQESgNIGGrFgGSxXPTd288jXM7fyj0s6n9
eSXEDfQxI4P3sgmirTrNHbUTvNwrVHVwweHo8e9/xms/w1/+DBc4AkeGh0qGYWTDRS2h8IX1g0Lx
bfNhXvzqOnImjbaZ2pQvVZRYZs5mxDVD0pGMH/3+CGfWmCElBGY4jBMWLLh56zvFb7RYm/bp7Cpa
3hiq194oZ/bA4YU1kULoTVeK9TKoNtgQNe3K3d//iFeaV87O4oxeIxgcmYyqZQt2+4v4AnO3V0wz
hQL35YMeQYdXEZEymUo8gaHUINmNgbKevXcmjzHn8B2tRZSIfjJ4Bmu0BMgZWPPN8wecejYInGrj
BaMf06qtLy0N6/mIm8Vtfu83/k5BK7bCeBssMkF2Zv5JRX3/HhhU3Kf4Ne8UGiglILUTuHotMpzy
i2HjSwwHJixGfiV2Tm15PmFABNGCad2pxPTaisseZG7wkkbRvbU2n9+UP8xIyqkyeP81DBh4xC2k
wZBYa67U+yrYJnkFqEBljotma/0ZeXz861jruX5jJn9tz6OcwisXnapmmzEVQlllr7KgR8YXfNEx
tnURYucRbAe5CkDOeQZT4An3wlodJMw6zcOEJILRb4ARC/JigFcAGhTk8WmCg/YRyds4MYlUyd94
P+h5GP8wvNIp0HAalrxlULhxAmr0caMpDtkAZ9lK3IFwEF8hGG1+WRDrqwsBRFR4t3DO6luUelR8
jgxCc97oyiszUehUArdTaCGl2JIhhbxo5qqHUgDAAa9CCM+/+nwLjaPNaFLtlgQDy/aGI4lCGpjN
vVqXzjwU1XDUNnMucG6T9sAebvFPuyxz69d56cxCZXeO9lhw0dnBtJ/ogYLDrHmk//HrvTPyiESQ
kCdrkWi7RF9CrMx3PYF3xK91Z+RbOOMKQETiBMdg0CCNNKoAaUMCQP9GhbwyQ/wOwnn2aPu8Rbjm
AmnDsEIJCv9Z15Hvi6WYLTIGIxOU0iNkWAiItPoHSLo983wsztyHeweEfLJOJhJWmhGKFXZG3Y0i
8Fx9pDP3bQLJK6NEhsLYhvQo10kfNth7Dn4PxpnggHqB8bNdtgRBfkOCOFn4zjpbvDF/nh/vHyaW
0Jm3kE0EIiK22QkcVzgGG3DRkK445fXquxtuhC+2Bk6LZksYvnnBBqFPtRZvbYJf67pTzVCZ1WIp
9QZp3zrcwppPsLWA8aTwe2/OIVDP5yKIAAfLO8x0QVrFlwxHxLiBikTiNzT8ZesFCXC1nfZbAosh
fNpxrfcTLohPf2/9PCf86bE673ydQnGz0WBO5gAY5iw000kMBoLlYVbSbzYNndeeT4gHLEw6Jxwv
/4d4AJKTwqnp9zkeOq/9AE6PgPRgThoRStxIgRNZrNBa/X18Xnl3hPPa06Eq4YIoxkSDN3Sdl5W6
tUvp13XhLNZYqFNjKB+SFvIpuu9C1u9VtpjMb0YQzosfIjwLDkMc88CZtlwZXNDdANxd+r2Ywnnt
cT4aTBRC2VMHS3z/AKFPVL6DHRgSNL+xd9Yx8O6mVk8MGdl63PbGhl9WmPjfePFfe7Dnf/5slQlB
XRdRlE7HtoSgFdn/UPrF8ejZdadoEYcggE6C3BQWqS8d1NLQYiyp52NlL7tu7IYU3B6g199dR+jB
WXIAia3fqLvVGkbpGGV0OsYzDo3ZufXef2CcajWIh0nB55qOSwGZyhgZpL1IyIG9+s6das1EGDWE
EbQu2M82F+VJ59rzZOscA/j8jTELSKi5RuPxNlZJqRCJmiHM22995U6tLjBPpzBC4/ZqgGd4gUBm
Ry0itv0GxqlV2A5ZDe8KENqwKIDGl/8c4aP0HHWnTvutG8C2ncdjhTzNnRThl9/aMr+eO3VKIN7j
a4Ysd4Xc7APMQN/6ces9e+6UadvHS4Hd5Ah5TJzhmhomsBG+Y8/W2csXRnGAJ/IgRtfjkcLH1PP3
qdKlD4YCmalOnS6jYLVAy8lGO8iUtjqS4QEmEkh0/UbeKVXWLrCYWD0lq6jqDkl1NkzszIYfXs2f
kziflxNFliWwAYgk0GlfXsVFTw89glf8NpTMKdYR+FBc8IZjMsT8K6wl973g934ddyu1xz0wksqG
JM+CO0yPX1YGWZJf206dxlDqKaRcDEkxA+eNIOPHxgDf6te4U6ewvQbwp45jAodAjjA1daPgMfbs
uVOnuL6dLQgYwbEul3/ylT6xsPpP0PKLnOX/wQUjc6oUVigdYL1eEzR7tqvDsC13KzIU/aZe5tTp
pMMxg4V9SOIY7m8AL2D56PON+u00mFOoY1syUiJ1O0HCHyTfkF1lUIZ7DrtTpHAgt2rKO6AzV2Tw
VZVF181bN6/nZ/eHjwMXgRjXUuQ2qIYE6c3xLYyI9LYMUvvk9TpSp0TZwIYObAO8jlmKdMZq/qwi
L6ATZdSp0U00cZFmZkRoFtxRoKt+KdvovV+/nRoVs1jmHAbaBNG3j2Jcb0PR3/o17VQoEmRTPXA9
HEkaBPugABBlI57f2NSpUEotwDgBC46SIPd0VV+iDlxrv447JRpk2Kd3DcakzOr7RiNYpsr8ZnIX
OynsvPIFZ+rHBpEe3cyuRei3gv4+Q332CWBXKPnh0RwTWembqFmSukv9rll/H0I/azovB6QUjui0
rT5uMOIX6pPXQLvAyTIuEIto8BBFZr53S3wfbdJvniJOPY7tZJZ1lkOy9gV93NaBJcXI+4Nfx52K
5HW61AUiCpL+nF7BanMRp/Fnv7adijRl3oeKEmgCc+xuwWv+JmLuubC5xEm82G0LA++QZLlEcmcv
ziGs8L34dd0pyggpU4MIJ4TvyQd47yOcBPs17FQkss8QGgz1eAJNc4XggN7uEH7w6Ne4s2LOuH9f
V7hEID20F3OJu/2WF4Pnm+Ksl92IfA/waPpjVIbv+Wh/5AJccL+OO8slpGQracG1O3YVfw9CxY8F
xDKvtv+FnKSw33G+UBy9Mk5uxkgXV61YpNeo/As5mfViKrGfxYsSIr59I8XHUmZeG6x/ASeXeBSz
iVH5C18HALpFKpsDww4o95pa/oWdtPBip7jvGBIt7DdEoz3hAP+jzxOFYPDlZ8TEOUG4MsZlhHv0
0I4m3/GIKa+tIY2d8uyySeFMd0HHl+X9iOjvZQIg0q/nToUWFTL/EUPcgx7Gb0sIDo+RUsxzxJ0K
HXUHbeQ4DbB/lfciQJBQl3ltUhDc+XLEuzMlTQM2lTAGD8lcQTFLRfHLb1CcAl1xKt9H1dBDYCC/
6H65ylX44NW0K6xauiE1EQsAKKAIaS3PMXk1sjm8tinUFVY1IdB/E+Q7Ca5htkO9NXeKI4zDr+vO
4jla1iOKe+6SBvIXBE6MXXAdTGT94Ne8s37OAcesKEY80Wn9B5kr90sfffdr2inPAQtPZmXTJ0bq
D4u1l6Sq/N5DV9s0pZGRRSm6ZIO384jobfjRy/qHX7+d4syBuOu7BQp7pBbtjVhhLH5r23n+0//9
VUVdFdMc4Dx4QtpzklVTOO46JYvbFs6f3YwQx3Xv13+nSENTL7Vpwi4pc/61zMQTWAFeiz+NnBJd
oHgspUo71P/UX0x9B3szWAqJV8ddAZNmGZwFnKHjgj4hkq2GJ9l+8mvb2eFmS2tNR2C2CpEJhFhZ
PgI7WUfI2/FbpJVTpyLTGsnvJV7JBUCCij3mrd+3OFVOjYJB2eKDGU2na3w/kPxdyqXXNRRVTo2W
0ZpWLfKtYSCqWBJEbLhHCH/upfSlrl6TqYmEU443MSXbCvtam3DhKRijyinTagHlc+mzLqknC8vY
pE7trP1OhwH6ebnQDZ0YR4E0nwTT4/W0susyXPxqyFVBxbMuEc6ku0SlZ4PXtl7HHYLx/F5zp0Bj
vCUw45suoc30ntP2piODX79d9VKX43YCDNI26WX0lNPuvjSt10ccdZVL6SIqo23RJRIjg4xGYCBa
JIr6zYeuomfgBWidTdzi3iZr98hXvB+D+KPXeLtyHkLwnVWHcPlrZA/DKY+DiuNIAuk5ME55FkUM
VVqxom4Q9rKPRik/IIBr83yi4uVLPhUh0mBAQkq2GIF1tBd3WEn9bs+pK+UZgzpqAEHA69LEgiAb
J1pNj1yfeDJeZzgwEr3svjIVg2CxQwimGB5y3d/PZnjweqyubEGn68zLUreJquOvNaL+dpmAT9mr
cen0G7JiEusFIYlaZ7Pa1zj0S1JgfP3uP6grNVrNiASgKrVJhNykdj/NtgL+Ss2eH7vSmWNoxYiY
Y4SPdtnaHyotEYXfZ+HJa3RcsZFSyxKRidhkLCXSTCX08Bxf7X5j74qNhhLqu57XNumF0vD6I17i
G9DagE/69d7ZBSxwRnYzeDwJYrzgpxyqj0tJ/dZqV2tUsmZG7vWIca8je7H2BHbRssku/HruTDUT
n/hqy9kmRRpuTwSW6wuhIkSJ+zXvzDUc83vIVjzWM4+mP6kxQohimDay9fwBZzuAS0TT1HbCyPN+
vuy66CPw7X53CtQVGrU4Mo+CsQImBzHyX5FKtFyMppr8ht4VGg0kWNaNh02CNx5RF5C+7IIVIB6v
kXeVRt0a4I6+ROvhhFDckNorU7+lYvqtoP7DB40rM2rzBVLfiDUJQvkQS4XbYgRpwXC8mL2uYm0u
KrvOD2PVI9uhh085GbKsDR9hcQO3T8Rh3z3E8C1fGNxLNhegdgu5UyUiLgDVaCNExW+iaLuPc8uC
ERkdbW2+NRkQGgBcTwgho6AejEdlx2VEKj9OyfYSt9TLJWLqoyJhSLwXl2lTzOC8EZwmfEa4bLGe
kAEAagVHCtG4n8t82E66jZGNT0q2jSfgRJAL1k/g6HxdlBDp+0HIoPjeU9i1k2gDbjzpgEgwB2Ti
hQjpncJoXwMVafZyVXq80LTR8c05axhdbjf2wKJ4Ru6P7C5hHT/H8jRxtJ7mCtwJhMMIHR4nNQsc
YZcZcjB0iVRc7GdjJDlFXQ6XNXLhOuTBtLrvTyUdFLneMNozcrDMhHi5oLrrwAABLI9MyDIrkDy/
IRa8aJTfLsSV1iA2apomOzVIF9Hjpy5qN5yh1tHgV7muuAYpmQPU+XGTxDjL24WsuMk25NZ6vf2u
toZg5EIR2SZZgW4DjBqQvWRpCTzpfu0732bISqVbgDzqROoqXI6sr2HbRwKVaQ9+P+DMy0PVzmmQ
DU2C+4FfSAC/CoPeT4xOuTMpWwSsTO2qmgQkKsh3hl6BBcrjgv3y67szJ09hu/FpZDYp2xh5yqpp
Oa42kTnqdwVOXR1itYhRAsXZJMgRa3AeiehfjShwr94LZ+S5SMFcQ/h3Asz3z1SYB4Tb+1WUcAZ+
wh3hUjL0OxzTpI/LqzSkfsfWwhlz0HP4SnG2mcB6DvRNEIORWCJF0G9M2Ms9d0c0B28OiSqaIWJo
Me0vhH8/+rXtnFsVMF5PtSJNMq6jvYN1ML9o+FB5LrLOrjWTOQHnQ/aJRnD4jcCXFXwd4/DFq+/c
GZfZ1iV4nRobBEIFAkXn4pgjtsWv767ey6o5LTaNJRx3NN0eijLwtIKZ+B27cWdkZgKrdAiYE4yu
ZXkl+RQOOyShST+NPAzfL9+Zvqg1hEwNXvZ6VFdZzclXfNOufkfBrtpLLVW7VT32fTjKWi5TgShw
RQblN/v+Jok/u8xnvEQS2HkOKPJKIyALIfjjAEKm11vD3MWjows4OVGTBMgj/plBbf4T+aeVn/KT
MmcCCxmvi6wwNgFbfQougVaie5LOc/jG3eErvjrKnGkMdtMUIIyoTjbgzrpHa3JEXaaqRjL33DfB
Iwxn4F8C/AwSdGvivUYUnzxlQQhul9cIuiT3GcFUdV11dZJ3S/C9Kmb+owtQfF6tu+ozuIAlGQvs
bue1BdkU+fz6HK1U29LvY9eVn0nCNxxinBfgdKDpNRhtcIatQAATv+2JK0DbyNjBT8tqQGFpDlws
INTIhzNi8lwkmTN5yH7D6COxLVlHhPJm2/gEb8APr+F3NWgg3yEBb9yQoN/V/X7R/Nc2AHDp13j0
clbS7UZ7kEeqBDvnU8nMFWO934e6q0CrgHzVM/JJkkFM/d4EAhcZ8/bBr9/OnAHKZKfpPNUJstSi
I8JA9a4Kc88doSsU6wtRN6KmVYJN/52atuuy1W9kuZwnhT98Kp5jg56LfvWCe0bZIb25X1h2Rcsu
2um8mf0WMVcqNhuZR5PhVcJNBER4EUXtVaZGJEn6DbuzORGgAnNZkypRYV0AvxRdGEFXz3fRKaLO
1lqncY5ga5HNNz0IdXs1FNP937t+nu7/MPCubiwGDHyaKdb3Ejg8bKwI0p4Rx02RmwnoaFP7bfZd
DVm0yjRCXmaTkBGcMQQrD6AbmIDEjd9aTJyztSpAku0U53g3Q/YwDuQD8uH8JnriFBXCJYaIdOg7
TqnCQ97hKH8bae33eF0ZWY2XMTBQBR6p6tIP0xrYhzoL/dxMlDiLcJnXSA9mfXmeJaN7W/EwGfIw
8hx0p2otThcAkqlLXIbjVKJpo/tA6NxzYNjLKWFch3od17yEQgARTnuYD9svWxk3k2f7TtEikAbk
9qErk61T33F2dFup7OnvRfXKbOamhImJ4LYaDkEYP5u02LX9OP2ceeuXhgHO0suRAdC+rrP0POw2
SnHg2EdnbPbo9boTNyMMzLpx2Tp0PtXnNEXK7A4pJ35rCHFDwWK5qTXscf5G54GuhzqHHgEBz3Ux
eX3iktip1miaU4udLQgKmVwPkSbkfQM/3wefJ0tcVdkqc5wjzG2AkHq9NFcFoeSOMRuOb/Se/3k+
Jq6wTArOFomQ6iSQY1i9aymtR0QeTm13wofYyE5hLGR/aMNyaW6CFV8FN1YVbfWF4QTnNEq2XSoR
rOEOMZojEgrWwJh3FYjjDHnY7ZrvEc6fbt8BRs/HU22x5iLyv1h+8EqI68kWw9WaZxNAseOMJpCB
ke1IlYvtEWD1tbg355yKRzCAbH/AB5vY8P92iGEmUH7eFTYLtgP+7T6/5SxtJq+tHomdaQa6RkAS
YEg+6pQWd1Ns4huWM+23wCLd+2U5NYEJEUQ+mYQt5Kdk7X1M9Xu/18WZY/CtuVaBnE3CN+hsSyYu
WdO/FaRxfqP/vXST2NkYIPWy0lu/mKQF6Zdfdv1WIhB5herhMGMPD2p4LMvsi9df4orkgEcIpZhC
kwQ2kEfAKICttqX+6Ne6s9/O1nTENyI3CfgK2QFh/U9Dwd4ap1dKKnK2BhTEs9F0IyjJ5Zg/QFUt
3kWZXr4tBQ3eOIN57SecSYeksdLMghrTL9zIAygvXZvvpg6H7Zf5DEfbGx/Vrzzy6Pz7z04cIE9A
3rgs9VHng0EQebgAwFoEAJRVWwRIEABsb/xFf17CiCui0xnOTtKuxKDVLIDQTT5hIvJcwCKnoAOE
duAgoDYJxQ36wOfTwOkbE/RrT8IpZgVMS7TBg3swGtjzSwDBwlMTxbg/R2hzSbzUBUicfvkcQrQt
wVkPEHWBIEF43fXnuFVs51cNTmH3a9zm+doViVLhcILmGnBc8KX3Xq27Qropx1EkH2mW5CISJzut
1SGKc6/vOOLmgBFpaVmqMj3QKb8iYAKKRvqNuauhWzkpe3BRAOPdxDGN21OVM6/vQ+Jq6FYEoeV9
bNKDydm1CoPrVvqd4iGX9uWbAlkhOdNb0oMt5vaq6PshCUL+4Pcond19GqpsWnmAl53q/mhtJ3Zr
XIqTX+tOlZIYPLMQAcuJynt7DdXrU6tXv3BY4mrotFQ6AOshT8CPLUFUGOoL0pZ+UlTiyuiCdcHF
XtXlSQ6c3cFmEdjtXX/0GxenPJeCgHzFm/gwVCJfTozNH20HBJffsLtSuqyJgY8UNeApQNiZskmK
rvFbxF0p3Zoti640NlLlMOa7eqzJfivDN2beV1YMV0k3QZ2/weGHIuqnZgfV2N5KJAp7jbkrpdsQ
GNZPg83hWqrWfa1t0wIKWMd+gjQinTKNqxWeCwN0UySaje2iMu2um8Xkfj5IIp1KHSWYqqrl8aGa
N9yM3UMF8MbI/D59+8M20NXSCQCjEfAEei4Fbg9Ek7wKYTACHJY+Im2oSfIQieQ71U6gb0icrs37
djDhhIRMCy5PO8akPW6WavatUiGbkjTiufI6gSeuCm8Ls7lF8np/rIEE2SMLFxkTIvXLUSCuEK+M
ATDnEYi/uVo64MUHJBYHxu/6mLiyHj4zvpVm6I98rjJoOIZHGDaXN57aK8XiqnrGuUUIj1r746oo
MCWAAu+V8Zz9XFFPaEYZ8BajvlUIgJiH9RfpMj93EnEFikvQUkSpDOcv4G7QlzknEZhwYA7UB79S
d/ZWZ3CVjGimDkCISqw5azHW+yyUlP/w+wFn/u4GM25TCsr72GT2WEViBgdReB3vIxX25XqPXXjI
LQeClZ7j0OawhfleKC/JPHEFilZNok8HND6NiOMuwYkGCY35yR8RFvqy6yIbEXAAiOqRAYiw54YW
OxwyffcadFef2BiwUQhAJMeJAc8RAfRwaBdB/NZMN1NSQz5MRMCHYwOx1K4xnb4rFR8++fXdmbzF
bC2n4BIfgxhXTcJs+pivoefAOLusvJtpg7t1EG9Sxd7X1WK+S7Ipv52tK8ELAFFv05KPRw33zAGI
qGyP4vW7vCeuwmaDDSLNJ2yslGXf+4o/VCBIec6QzoqcVThSbizIKTnIIrvFgpSeppDR/f2Rnlv5
w6LpamxKEGyYaXh0kmkZTu+zEUzX0ypZ2Z1EZ7EK/v1nXpvmnYebTjwVtMAfEbIoOEwMaJd6ATTW
r3X2smBtlqphkGhd6zoHoK6A/KNZ//Fr3JmGDaD3GfSM3dEudt3nVQuQUpX6zZLCmYJjK8hQAfwH
WjyAQVUWsR0CjDe/adKVJK4Vl3LrwCsbQMY+0d583GgR+j1SV5C4ZZXYGpz1HG2UqX1VLgWw552f
fB74y5ePtFZADaootcegCrp9sQHhxO3ql9xEuHzZeipE2VEQ3475AOrlFlblPkJyvd/C/ftI+9nh
1EhXHDl3OjoVRb09bsQunwoCMJrX++jKEVM+z3SEWBl8Jwo/ynl1soy+dUb4SqFyp1AFpTiuXuP4
JAIcnU/Bj6asH/067lSpQQpNCn6GOiHnKy130waZ7JAt/We/5p06pWXDm4108Sm0VQ2ZIzCF2Y2k
ZR351aqrALM9SNm0sfEp7umuiNlVSTyXbVf8hSCudlgZmq4ENqtnxULtp4wlrvILfIY8zRQgzNs5
+sjMVOxFFs1+M6+r/CpImQ3b2ogDUrgu6s6+J9IvTZC4si98h+CjpqrEQUL+UAAkC47zvder8i/J
F2KEMmC0xIHJsaKJsCV819lcjR/92j8X17MJoLa0BbqzUSfR0DNtWfTi6mzVeytP8DwJ/mHRdhVX
eWBALp9Teaps0F8M6TRVd70iWh/hU1Xppa62ObsdtvR/8HH9+2PyTz/qlK9aQWecirbEN84y18ue
lnnJ7NEYVB3Qp+liyl3bVMDV7GreYm1firWr1WVzJtVXJ3xYFwY8us1M62WWrkH6jfMZsruaQFsN
CCs47/O8wybHtjcGcDh7O/XpTOXlEoCwaXbdVoLcviM8zrnedYOy2Ag1Eo9uF8Zto79Z8O6AIhRG
5dUl3wwikw8rPuiVPqztNHfAngOF+oAIuXnKdyHwcWDU1sAI9zXYamMgBWDxiIY3F9Qaiej7CmeW
AxjLeVeO6GCvmvqjZRV2vYUqol+VrfCPu7EV00FCd853I0bI7KcJoOhkW8cF1CVDABb81uDQVo27
paOEzuCkA3T6pc6FiX9UegToB0bODeDpHdK+ivXzWUZ3AZjeuuxqhEb1e5Bhe2oO4Ptt6RH8YaAX
A5Yu/R5417aI95Oc17A6sGkLyTWNJhmf8nDcKvir2ma9ACWg3itpJ3lbkDGPDiTnM99nSrbYhYFG
e4gqBODullbLtoZ+s2jAOB5ifByqPU5IFt2gZ23dKfAZpYJvZMqTVChsGzGXyGq8wtNqsnzXRdjZ
7WIalNVhrGr2tR1A25vXbVE/xnxb+cl2TWjutg7Y009Zy5S640PK+c2WZtGoAXaGR0WcYgA3kYiw
STWWt3BoRHheFohJdE6TLdbjiSDVGLuxijSbuVglX+bvbVTljd43Ew6DLxUcSPEjXdTSr/uyFiCJ
6Sg4x0CWY1nPAVwsG0RbSNBR4zQeVzzLprlkwJdu7BIYvijbGWnikzRZvW/kMlcdPr3XoJ/OO8up
vyZjb45zhznqTjZ6LB6XhekaJAhdN+xyCjcu9o3OBENKbLaWB5xCZNGXaOB1cx0vG45pzkx1MChn
O+AwfwfOsWLYQQ0D5xy0TM6Le2oAhj8hYAWY4JrNFKfaZEC22oZr5mHSsFuStQeLt8okQtZIOX5n
JfDkp25Swj6osKLRIUv7sPiOb5+oRNFUopkOfRE2/Z0ZiZaPkGe11alYFWxCcUOa8GoLgWO+odls
tn/yumxGOGa6oBF3LYo2O9Y2W9mlrWjRPmVBFRGG6c1oGe5UBW7xHRkGQ7+LIgW+eZfquNLJPIOo
eUW6XDSfi1mu4R658QRudD1zGiPaOZTlj3SYtdE705roe8hla5/gLgfkGbdLWLugpm/WW+hY+wj/
cROIH03RTdtlxey6PpqNULq3GSrpRyHwml9ow7Y7MFz1ibA2Kt5F3ajkkUS5zT60Jlu29zNk9CzA
TTRyA0BERhKxvOznoa5/GdzcZNeFbPmaAJBapknLYtpdj22s2L4QXLAvgPaK+B86m/QOFvLgCtdI
2w8YCKpdAWrlQSMgKDgs+RbNV2BITNsFwoP45zLORXywJRyD92rNyvqO6jSnl3OTj4C1t1mxXMRr
R2Si5GLIE5GpST9kbazt3q5DgEzEgsQ9rAqV7KeraevD7rYn20AuuZW2/AhwR9q8G8NYZSeSmUYd
BkCGMXfOYdRlJ+inaXfbxpP8USIToN6nOF+a32UL6TCVZM0yH2XYDJ0+ENxWTdemQMDxKdWjhYkB
MFr9mEV9LC6B8bVyN6RBJ79nWVzYPfC3Zih2UU1TAvaQ4MtlX1b9cBhmRoIDGJaMnkHIs/3Chxg9
OIREU8QZLuhFDiZztyuWAKTL+hzJs0Og3Wbu2hnGNODIu/krI+ssgVfTNXI5gVOQt9gu6Z8pSljt
izJj1V5Wc9g8rS0PQwQcVRUiz3bcbFt+OQ9wmz6u4NN16S5rB7Vgvt/sDDx2MWCZnnc48Z76H4YO
g/4wZVt8DZZFh1XBILIm/lCiqfPTtMMI8DpotgoZnjOrQrBzbQ22fUxjc5wmzct1p+kQbdfz0gNl
vVuAl4ovSLpiowg7W5Zd9kCtBbuty/PgQYamY4dMyDE49GSi8UGt21Z86sjGi4tp2OY4GasmSA/t
zNL1hoPg9Z7QvsgfcNjLVrPLy3KIT4iO18NVbPAZc7fiECU6CZNj0RvSFHjWoBLZclNpUph9s3V0
2AvbqQDmha5P8xkWuq2nHwZiKjgyajEM7/MFt1QXDe6Ni7sGcXd5u5tWAYoOwsV37dzFFCzcuB/e
hX0b1N9YvkTljSw5EMy7OqvK7B9eRhtehwq5bf2x0YDDnvCXLcUxrIzoP0ozZelVr/OCX8KRKsvb
ESh7ir3ESEoJPHPA058b8pIRbN5nRXjRN7nWkCDD7IIXJUKY0lVWDKu9sEXFIe1lkPqSY2+BPtxN
w1qzhzqIo6upKuNPEQN0foeY9DB9FDQrg1+Q2j+cRa8XiFIBbnlYO/UA+efyq+lbMh9ogAVwPxW1
+WXh8vpUwYYRXkhMz3Q3xa1ZL+hcP5lOFAfEIecf8FWDjKSNBAASlt1WKUCmGV79igB6cAdm6rS3
PTZrINHj2vCkh/9H3ZcsSW5j2f5Km/ZUgwRBAmZdtSDpHj7EmDHksKFFZkaCM0EMBMnfep/wfqyP
q9Rtpagq6ZV2zyQtUpHhEU7HcO+5Zwiiwjd1EcHV8yFJh9nfdFu0xkVdN4Y99mLiwb4aA5VXl6x0
JDIQLIPedzlxbDNfdBOhLeMNjFRyi17wpkEqcXBfxXBTLEBzKs8e/+Nmk50satROwBaili5FE+v1
U6u1tHkPAdF6DUtA+lppvWRxk9xUfUuOszEBvYLOVtHjBAbWQaQ8ftzCHmYwlcCufyIh9mImomDG
euhYHkW494loagRep5WZbrfA8d3MxZA7Ul6rJuif4dk736UOR3zBup4W9TR+20g1ZWtf1l+QT9Jc
x0gWrnJvgJ8f2kSvMSoOu4wr0nQZtR+nUEI+ikJrY7AvtHAchFdfi3WQjT6InyLkrURF7VU4fOMz
xXkfQCF1Vo0BqbwBaVieBbXL/AP8GltnAlPWrSBBNLMzT+22fE+H3u/lbEFdzioY9N/xySZVPi1B
pR4qpKjPX+jYl5k2gaJV3rerg6NKKRGwjpTxVMnTFoUWCeJIv3NX3iT9je9RDP4YbHpP7daHxdCE
ssejqiBN70QwlfeRUuWCBO9yGD6As2abR5gQJNcVqcv5qp/Wdb1N4YKgCkREJ9sxhlXOnPUu8hGi
7Kep+uQGLcmXuqLzXUOj6V5pvVWZhwW7mYFYb0vybQzrKXy0CGQMPlGMwoKPcYKTFLZN1jKoaOMu
QbB2Wus5yqVCAu2pqjedT5NLMZ1KnCvzdGPznlvXNFdoTjZ148GJuRe4bFOdzb4H1Uqy20j0Q76m
SEzUJWh5OL9dFjSuBP24cnmkt3S3JKJGOnadl3743CNRLEuX2h89eHTNOHwEG2/NVzrGeVTFbQJz
E4+4BD2KDtcXBF28KQlM2txayC5WqOyNQhTgLMLrerDBWlS6Igfmwb9dSwxF4yGxuxC637zr9JTV
FJnirU6GZ1S9X5KW3bkQwQyhxRaN1wsTu48W1J/JJ1mLm5mKfJxC7AxkN19VbTcP+dY0GDUg2fkx
7P10xNig1VnYdPSqjZXIkVK+3BvS8VPQpIPOiRxv0WfY+SrqUpbM+MxIP92qaqogXw9hBbtXounG
G9orH+CugFPBWSSSFs042WXPwjqe78KBaBg6Y3AvnmI++GqPxOtQ309RRT9xg+idwsQlsCVeBza5
XQdVpnuiGx/dYaBJhw/GJtsdi7suvFLdOAZLZi7wxRDjxIUmAhxIfjWHCr3JNkhxLnFkqiXncSzv
VzCrAiRDY/d+MJufILjvaBj5HDaZZZunIqzVXWuAYeLhyW7a0RW67W4PLW644yUdhkKTMlJ5WFdd
eBM7dUkKThB/DoMTUHcrmQuOqPOidxMJHV4EmvGht+mu4R2subINSeriSUHKS1+kScZrPTiU9Xkl
myAPG1gPYunyZc5Sn+CQiBw8Kg4y8QpFZboQ9ILSYpILnwDtkVNE48Aea/wy5MGN2Jh5xJKpaNfK
DVftgvvkMyPaz/sobbsQeVwa5nphXFNerGlXfRMzk5mh4bZ33C2fkDVeRWh5WNmYWwe2Hk48jZK+
PtFaecz+y/WOr5fg3U1v9Gw4b8mOI31oQfmGUrfQW0zZi+/mQB5bJKnbJ9eV4fxh0C7MMciZoi9r
V/o5Z0sdFKqtnsXiXDar4G1tobMaMZfN9NJUh8oqGKTE0PWj2KP5tlmhshQN+QTab4sYbRIdojby
V8voxM73KT23VIiPHQqqfFmbrxJG1nchIK37KowSiZgC+8j8fBpH3Awn7uX6PVRN+DINjFeHqK4g
L9gas4mbKYj0PfHwH4b9PbuBc6jLeLLCjcSR7Qply/QiATnp+zlQIJjbJc1dAMpFGbAXzgeTrSO/
wcwKHgPI3KU6M0SeccTNx1Xz6Bmnu9y1UZO0Wd8vFtwbhJ1EzAe59EiAKFpsHTwf53FmlPWhdqnc
YWEgdCuR62lL+HfOpX2Iozg+JaTFgqOdRqh88tAx3T+HW7fc8UQ1D5IgwXzfu65tp2whtfAmk+jf
1v2KPMT1kMyRfEnCRZ1ss3JRNMOU5P3mtmU/IKb9tIKQGz/7gKePsvMUQQORHdLgUPbp7LusxF7h
MH5YK/K9tuVqnxlLkjWb637hICeHs1+L+uJwcezWZYMRENfhqpAVPU0Gq2yp6dgUMpnD4DSHMVTc
UOx7ctJVWIpbEyzG7mc4V5CXLemiJBdrPNuzixWTX9CL9RNCM6IgOqha1fF1s8wd4ovlMONoDZVG
Gr3rFLmbqKNqB6+gdYDJhkmq4xjMovscYGciyIytNasLz/3oshXAeblDIH1a57pD1e2zkgaUdtnK
Vld/Wzij0/W8jPP2FVFlHgV+ZTnD7d1hIzOVNRCpNTv4QpXRleZd3TwsIdCs3TjEtN/bFAdfgR5d
psfpQijdTWkf0TsIuRp2BiOchkUoFiaOIaR6y48at2h/54zliuSrkHN1MpOhJMlgNcNR/21N1K0P
AHvSCLgOSMjb2ZjO4CSqhhQ1lOqx9R9bwC/+c8tacYxHUDSo6X36OTS0Db70mC8D+FlGhlhPjFWq
HKsDlX9WurlFAox2SzH3UvOPCVwq7Av3FeGfjJlE1BQsnQIUK+XAgvkx8VuzyCyIopSiyil1n4uS
dtGt2fiy/ojLRnTfdQ0F5Y43yMb8sHbVImChwUZ9j9Ry1i67YYZf8ZWog2i8T7A/cQYTqi8FAuKR
UsDf1QDHiENDSeUPtK1a0hfxphc9Zl2SJBLBBiM6arQvzZSvKFJRWKPusf6hsSgR/ZVoZatfOhOM
835sAiuOxgjH8Iltwutiirpl/tIKBj1pUrXCfLG+nea9kqQPctG68FxPskzyCTwAe702TSzxkaQ1
5K0Gc6Ncq3lChzUlMBp6cVssOLwnpvJ6lNF05cuFf5hotFqTWbZt6m7tui7TCKDNIESUjiJ1jjfj
fvUc5QtHx+IPDVmSXZRscZBVwqWZsR5FdGad9eYhDX1a/ZiR2MN3W0tIVSQenl5jJg2iUw5b0rOv
K/If6yajYyDKE1LG4yTOTbc1ATqslQRXy4ZlfJVGLExPFtdL8yq2uirWAe4nd2Nk9K4Ops2B2BOU
wREdG7U5ATyOo5Fjt+RwDaPPdLagVc6+kuooqssdhUdmQ5gWj2Od4yJU/QvDZIrsm6oabKECVvvd
vECfAywjgLBzS6uwvuWNJ8CB6rW9hbzBHbuyTobMsdKdRgL87kZE0kZHFN3dF95Uo78dWm9OdkqH
rir4ui45Yzg9gDDK8gvcXNCRyB5Hat3o9sZaIqCQgL2OP3Ypr3K1rYjbgaiJHOpU0+5mstR0N7p0
5uyUGpvXSC+83Y281U/AUuiuDyhKMfw+CT+uWxrrvFti/8LgsfOmo4SQrIKrTI2VjGon63za7ynC
1F0+oWEdc455/YzURL5gaIHD06Am1UveOQAhOTyYxJJDyLXKLKywgqe1jbpcgf8F5jlsc6KbUQwW
qKENNtGfUj+z6tPi52m73mLceM9wrxmj6z6pXW1yS2dVn0cOdhicAZelIEmDM66c47sI6ZbFPKZL
A1+OEqHQAyqL9CGsKDCZ0qDZzxKkIp62pgwWsGanbitaTNJRKpQW2rhv5YDEmWPUAkfMSnif8LfR
AlvDfYbuBamNCwHtabM4424CLkb7iJlbpK893AxQ/Hokod7GDmZNOeda+bseI9Gv8Yb29ssgma0+
VqOEZK61SnVgA/bxUx8JtDjIBUYn0CIpBUAQUhVxAM7qY1UD+gDQbPatcWuY4aBYyjrbAEizok2T
qurOq0+BnmRQmYVftFEDzUfgK/PdquTmH4iagvSTL6fB3bm5FvWJVwJ9za53ZVsfZ1ktYYVDN2I/
Wo/C9ku7St/Pu00oeGW347Q9Y3zQgy81A2fql2zBPa8PS2M8tnc0vUS0ontMesIzLBZwm3AGo/Ns
8IlLn7EffLcTla3QufBwWK49d0P72feAZDI0si6+CYMoGd5UI0RbtGOpo6cg2vr5diW8mW/LETlv
Dxy4avQLmuRulaF0+MEGI9LDEsqO5HEMu+xr3GYSN7ZcWOSLMkkXrnIkZYH8m28hCGuPM7yNyCmB
TxM5M5iTdCdUTItCcB9ZhhuhgLJmiaIebueq0m+E0bq6jbZyAAewJO1wgO18EN1D9ZgmY44Mp81j
ejOsao8kWK/3IDWpPsdMhLmvg+9NgHjDzfJj0AEH+US6fkIXkaB8LEItVIMGBkVtf+uA/rU51BHW
uAyWPmF0BnWNoXRnNhgOAfJUq6+DasWCd5WU9srLmvtCM6XaXUcpn4oIeTK2zSbdr9Ue1VSHtiCG
CRmok90l3AtZZ2PRVLVYTqUF8z2HykMKVsBHgRi4opc9ptEYZI7ylMwL3XJgYio+4JwcMWufcI9l
QFHDNoPcc2uKqR9ct48XF05vac3aLkCdFMaWIvEVXjg/VNt3UGO1mG9Zk8897sQ4DzotrpJIRety
bENO+YvTyGG5vqy5ReGN13ET50240PGOpXW3fAzwbgSuBnR8o9tfvKhR5M98m+Nbd+lPzmUwtgsu
GrBdYQ+1llLerX1oUJhpB4eDGYMlgE1pjkkJ8zYjphfDt3rFkQ0a15r25E3bOZj2Dv6xKA6xzQEA
IGtm1CcjRsfvWNXMEtcib7bvbYVZwpem8WO7j2U8BGiGJ0UHJCknun6IUdrgaohEGrO9wtE+vVUq
Zp5nFhbs661PY8efQgBrNcJbgN7brwJmrO2LCtwY3I8S45qHWTSTgSPAyrsoT+cJrsQQvSndHase
UysskljRvU5R5CU7pCC66Qz9nmQ+3zABGnt4rOm0TgvCEsvPXmEOdI1KgifXrYtj8zh0TatPqaR+
PAYOSedfKCHo0ZNhSSDJGfvAZV0a+eB6JHDweQiccfWnYEOqYC5QBQy71fVc39bGQqbSM5LOT1sH
9lrOicGIpqbdAIMYLQP7jSdGlU8UAFEeDUgnaObtFGwI39YFhbtfd/RK0jVDrdFseZgu1h3WcRD0
oIGR+6uuTTbyElaWsVPdYo6XK9JjfL+DGphoNHgDYHqA92ZhwX7SUeRymvRNkGHP3STKXPCogcF+
Yk9CEKOnfR2EmNYkAwY0a9YhII1n67QoVugqZfHBLk5sBxUvARlgyBZ5J7KWSiSdoQMLm2sWamNe
mIEn+lsqY9dfEyDb6b5jlROP3mOwUnQSGB+0haCT3dfD0CXnUnZD++g5Hsx5jXhrTsQhEAdoBfjl
yCNfN3bfuLSXp6XRon1GUQsoCbBhstYTYAXeA2+O4bBWk9xhM6sgh7dGsqoCU7yUi30L6u3FgDj9
DMtQYsJcCNhA9rsegxzjjmnvNR6sTRul7xeNh4aJJ1YCIsmjVKyPFI8d0ijBqnZ7xuwD6NaMnbwX
25ZeM3RdwTkKSsCIWULgPRddhnA8uiJNkqirtkkndr11I3TTYbSO9rOvnQB+1zpYc+wtoprXKgs9
gFhMKCNQpshk+AyLO92bL/0c8+h+hGmCifYXo9YQ/dvCEM3O9SbmJhe9922x9vqSB2dNcst0GQ/H
GDpcf5gG5Wgh51UN15GBy0y2lC0Jj/GmGL0OTBgGe8wWbV10XAoU12oyCvAY7Wv6uqRIfz+Xm2yW
D0CVYwu4vCr19p0OjMqvqh1JdyQUEsUjqf063UDtr+1TByvp6nkcWLxch3Fg1h/rxBp1Xc+uT3eb
YxwAiMCMOsOgzmEmUsPXLiknG9840huf2xWBn0eNX6Ep3BZFbQ5Oe4JZdxxfOJQz3wvQV2+7Geni
z8S30txou4XDKUVcHSoCwN4lNArCrkh0N2ncfAVyEgB+YjxQBhAhSrDcDFjn/Q7DpBZoA47QSzPj
L5WICPRM8zUIQo1twicNmYNil2cnFHp1mQG5FXcmnbsANgF1Wn93l5vxe+oAtkEDzuRxGgWKEIKT
rnukWkfW5bEEfK8z18UwYvAU+U4p8FBS0IgFYMVQOZW3UZVav8f5CQvDuRvq+c02i1quxy3t2UdU
AUm8ZM3UuNMKQHL5yNNezXe4riU9GNQpWQ8XmSlDho9cioECoMdli7njPapikZ5MBYHALUYbPXTq
SC3Y0L9PLVpzhrzJmNlX54KJZ9ADRR6YpmqBWuip+gB2QyiLeUau+4cGhERciIjGgOWimHkpXlJF
BNjEA8EYCjBXqafRZjVkenE2coz/aY6RtXZv6JYlMDF0pcS+oiXb6iBLLAgQTcZwvNotk90IkUYG
b3nl5X6BqhOZPsMSJ9VnCKOBTGfOI3tmuurRa9RN7ifYfvsTuuGFhYWmFRgYf47p9t44J1njoR8H
0+2I+NTET8n852jM7/1yWEfnxaBB39H6A0fPU7M/qT9575YzwlBOlHWa7nFLEfSrYiY3BoflH2Wz
/wu3J1wHv+X+oOuOLOhcqLsDbIKpGmt77n0wwqbNgNoCTGxu4Kmfiim6XwxQohxZuAHJAc2i5/h9
/tGFxvhPqDrvrXXkAqCtDnS6HxEF2hU15AM3YN5NOcoljO0wcuN/INP/F0yk8B2RUk9mNTGlyR5q
+il9tOtYukLJOokhvUYnBhi8CjoUhcs6/DlB7nszqwbkKhzmEdsnHIEWFp4tuwmw1h+8oX/Bf3xv
7aMQh2fSSjDQLvqvrQ5fPFfln2Nuvvf2QZU89UqWbI9ZF+p1vR5r19E/+eLv6Fk2DO0wuoTtAXft
wHoExhoC3/j9BfWvnso7bmW5YJDBRJ3sJQkMrtS5RN+Ny/fPvfo7EnTUKgpqDZ4LOjUY21qBiMZt
fPz9F/8XK/S9r0+iMa1RS4PlUqUi+m6Guvc5SdYIoTw86lWmHKjMB8hJmPpT2XbkvcdPxaVPYXjC
9sgSZR/jSZvbJgQ68/tv6JeF/k92N3lHjU6blSbzKuN9z0UFnEsMqweOi3/e1tAmLzEKX/yfIQ6H
5KpWzVOz1U8hVho7lKZ2FVoFWe0Qbfh9mWmlosymqIj+9tv952+ySM1f/wt//jaqVdeysu/++Nen
sce//3X5nv/9O7/9jr9evY23r/2bef+XfvM9eN1ff27xal9/84cdymK7Prg3vX54M66zv7y+fBsv
f/P/9Yv/8fbLqzyt6u0vP30DsGsvrwZbreGnX790/P6Xn35xBvzPv3/9X794eQN/+en0OvzHzev6
9o/f8/Zq7F9+CtKfRQRahkipoKng/MLE9W+/fEn8DO0z4qZidKoUJedlkQ6IDK3+8lMa/hwmYO3C
zUSkJCUXV0szul++RH7mUZrQBE7akFP/z292/7c18rcPA0/i1z//fW5sSn9zUbAYiqMYXJ8QrSmM
WsBF/O2lVccS44/g4lmSbEOSg6Uijw0GDXuTpO2h6soUNmRzPc47HWh3O0nm6jPZSNFns2xkB1wB
Qv1MljQNMzuh7gXc7/stC+IKpJs0FfXHmQWQPo516r90YYVmp7LlAg1oQxAqvYQE/LQmko5klIEC
5MAqBa9d0fuE1MuP8DxtGcTMHUg9asQE36SgWEYQI2Gdq+EV44QthW1j4x4tWwubgvact7Uhzz5m
EvZ1tejPPiAb+sUqWPdmmy5zQWCiQCq1qU7oK5pvkd+OnCWmzxu4Ip3UEoO8sSbKYfSThn1RSXhb
m9pjOhuRsLsahH0SOFC6PVW6ULA7Ok4wy8t9yAa76wl8PLYqCIGNhqDO9AhzR5dootcF9jJfBj6r
w+gxnIBD0q/+rf/W9rtTbwOGe29v9uZV/X+xwXBn/d4GU//3/7zbXfiGv+2ukNGfBY/pxVbgb5sq
jKKfBbh4JA5JyABx/e+WitnPMPUkYcqx2+A6cDGt+HVLReTn+DJ2EdhxAgUx5Mn/xrb6raYq5ZQl
jCFIE/8ClUnf50C5KLZ6S4y7n1c75oGR/HYkCKvGJkn/rasGPypBsB/OFR7iaGHkvVa+STGRcnJu
HjDBekBI4cchNR/+7mn/k0PiH97Nb3/EL+b2f0dqx5T1QjFwoKU24UfXiKOo188bpmT/3o+JcaJF
MTxDWcwYT99z21eAj5W3urmniIYIg2dS9TsVNH/QsLx/M/gpGClBghqBjBgn78u8FafzEmIcde/b
Y8cOYryl4x88r9/WSuBF/fIjwAfkSFem5L3ZcTcKTX0im/vhmgFo+aNi6V2DcXn9FOuKMEClMQio
v5zpf/d5TJiDEQsDlnvMNG/SQZzcUu+Y689sWu9iOjxbDHbISLJRzbvf/4z+8a2JKEK7yrmIkih5
v7C7ZSDedVF5R5bupgWb0wZ/1Pkh8vK3l9LlDYoYAjXBCSIO0vS9ZLNJaENkMKV3aQs8rhvgywtq
Rn2wEXiy4wLjrS5e209RA1AQ86oYvKsmJFlUCZCWhE+zIZTtjbgAO9O8AxG2zLZZ1HtVV9+YoQmw
sgoAiiBpuUcgwmdCGkzgFtzRBWxn4qMeZ8APgdZwLvLRLambJTcOrgua+6mQhvEzKJIp7ipnwPlm
pPPIdg/97Tza/qkStbpa/dLJHMOiH8u0gDMxwPzklFKF8ovN8UE0fNlr70i+eNoWMtDPYIbPVWZ6
g9SruU44Zvnj5k/tFkPABwD7KoYaP0u4+qwWwa5m6BGAZQq8QrSI2xq7BYY/us5HqJ/WjIA7Axar
LT9SEDMhWrqEJKVxdWO6KQZ+NY93HEL2D2lLRlgTGA5mlANjHtoKaKf4Nj3H0zLdVHGfnNJE6p0z
8ONoB5he1WBpfa1FEp04HKsxToVvGOt4+h2VtM8XyFEKqTzZLRLz7ZWHckexkI6cd/QYADPea75+
62vAGmaYP6cVNERx6+xOXPgL3VpNV0g+53Cqrz6QSH2S1XCRYCzJvoGrXe4xBThLI8EtRioz2BYU
KM44dXhSZaxuiAmGnU3mKV84zGWtHMFX7itxM3bxdjvV87C3bGoyB4lHIfU6ocbpWFGmTXu1QHqY
eandYZxbuFFihoNpupUuC1v8Dkj1oTdT3HZHxNaD9Mg7/rBMI8I2FhubfBvsS2gJKHRB0+4NBXk2
CsiUyYnbIxznxTnsXHwdak+udeJZ1nZsO8GBSFyxsqr3ydypfFsIL6ZBBM0+MIrHb41jN0IPKyhR
pMk60o4fkpjEWDIufkthKhzvqgt4ZPrtE+L6yuPCtT+tjMZQVpg672axfRipmM6QZfgf0vGvc49Y
UtgtJHsjRJ+jEVj2bgjNZ/iQk9vWszbnMqkOcKZqd8j+piDKLCE+05TerVOXHJvUUPBUE5MBuZVZ
IidaDAzfBnrTi1gkOL8Gp94IS889DdP+hwC9MFMM5Noe1u87KIaS84LtdtxC3Z1azCmRhrKq44BU
IMj34D6SWIw/TBPPxwuv+ANswMEerGJDHzTGbwC2OcD+gIH8Xc4lBsdS7boNTlFgrYLa3xo0Rytz
+cXSQ6Mb2g0U9HEbK3NwBBylUII1iofcX/V+kG+AKjWm/7TKGLxVsrR1sFiqp1e+Wr4bGHkYURwX
DDjwsZJuvA2WeTq2cTXvuARDuBVcHGlt1ptkwSXv/YQPPBkk/nJCinAE5XTTSZ11IGbWWd+F+goV
jT/DL0tna+iafSg1TmsNUs6oqn2sRtShSR/C5XatT5OJk8KV6wnKgqF57ZNnX+J3sLXMy7Ier5OV
YzxDVZ+1cCfeS3x4GYe3bDM8cc8KSAZ2cgGD0U2+3s20/a5l+WhpYgMclmP8JZKLLlIzP0OhgWHH
UAL+rkYIu+BReQeeQ3moMTXKQgA+J9aCAp/4pjrq2a2HfkSMFkhA9satasuB246F7+BzAI6LBPvB
dvODVu4bxmngD5WW3+sJoS481nGhKFzoa5PQmzVYmiO1uLBi6pqD6wJw1TpIj0iZVjkf9FyArCoq
kKEwZuU+BXlNW5xboQ3Ia5AwcwZ/Bu5POFQRugUPFEmhX2qqtTng3AeZKZn6Xdf1ah/1ctwTBv4J
opvG+9CLaAccvTsMyZDcQK2y7atp+r41SlwLcItB6SNjDlYYvMFHxg5zNyLXFxG2kKconkEJV+/Z
HEqgsMO3aCYu36J4y73lOBPbrv26rL05LMBKH8LJz28gP7cVKHLxJbrLzU+zmpozTr/pCDiYnbG6
krNDdFUuRxZjjN/UV8B3PowOUm4FzloO+RwIeuF8gCVyum/nQR+8x+DU0BW866oRV/AYX3bBMNZ7
R9cGiivAyD7Ag8TgRXyuAbLvxkb2R3D61SFOFvk5XMC8TMYWTK7INfeg5fJdrcopp+i7wBGQDuqC
uc8XFaPVAwEVJDyFIMIhUOkTiMsy78bSHEx0ufJKnG05wwgo7zCW/RSuLYuymgceRzvugmy1cNqE
tmffEZ0ciKPtoxhB+8xYt9b7GjKS0zYt5NZ29yNGZ80NiFj+m0EiNNQ+whW6meKrZJo+TFCA7cEU
mnE7woQTuqW3YQQbzQ+oiHTTjyCwhgTk09nh7JpAlIXLf26b6g3sW6zpBIkrrBzIIagGMFGDHvMy
FtT3S0q/wgtNfo9mHxTUlOaOp834FaxHEImrJKiLIFrUbdrQCEc16656OpsjBiRhHoS+OS+c4NE5
1AxubL45hDfSnTYhZeixTftQgSWJZ+cbeQU4vo4y3NpTQWBHddVHDci3yEqeswHqnv2IeuJ2RFmw
Swfa5SC5Qc8gdHoFG7hmT/rqm5QIDo2XKTo1QfzR6zG8GUf5leBNgFxrMKBewTQGFR5cM5fBu+Oi
3qHjI4hLILnXHe7rAUZSOSsT+zCkroK8kpHbsLbdmQPBhXKKrRygXC9w/zkF5khv41NQQWVilhQD
5xI+cVj45mHpMH+QJRy0QfBFEBSmlJC4QIhlHDE5RYDqLh3n+pPnQXPsRQCMWld4aRZ9IauVICuM
IPoPQbADpy8E/WAFS3KufDHNUN/MpvnRxKV+rVj45i//eaYLLBx7mqu2BKcJw85rJv1rk8C3FeY5
GEHzqDsseure0PWFqCE4diwl3+Kmeh09DV5ncIT3LoZ7T9CS6Oni0A0rWHguZ12z2lvVAhcZytkX
naDyMMewvU4t93kN/lbua2Xymq9BbiBM20HH0xVcDygtzLzeu468SojIfFZJ/TWk21vMhuCoQOG2
iO1dVuDjaX1eANfukn7WuU/mr7RL8Z6JxwliIbHLMRfD9RjM/haGlyyjYFsWazQvQxGokV9BznUH
BuAt7TF3JvFOxy9afsKccldDCpoFOCgzP8fLHdinSVE69SPotzcdBPYkncGcLqSg6cEO64wqY9z3
aGgyPMUI1FzvCtMS6FeSFKhvouc8FhZc0rQJbhr03v9N2nntRo5k6/qJCDDIoLtlMp18SipJVTeE
TBW993z687HP3rullKBEd8/FYICeViTDLvMbr8JrbEcMnFwW3DxXKifJHZdkVxqpuqmrsljBGu1c
PVdVoija3luEEYZtTw/GM1WoclnsT5sOsNpe1w2xMhL1Vy6SdIfYUbLqAD6c6YneIbaaOWdVa6q8
lAGzpsEy1qPJ3qSjMW/l7HMz4wu2iVLzVY9pJOoqFXA75iIt/MHYCqMKf6Ba07ulTqyeIH20B+3Z
rNQYHoo5O85FqFhXtZPOqyKflYcgneS6E1I8RAg5clJtOjY8rQDJY1SVzzrbBHmRTCY/bRzPgM6B
QqukfTvZsnE1XRkv03SEjirb1xwi88UAyPEySuWzKYi0ogxywUJkiwBLBcUustPOJSoqvLmE3ACu
lqZ63hm7ScnbezZJcjFqdnURTiVY56wUt7UkfhVFZ/DIhntwqQc2nPTUxrGvYTMmN2lDyGqOxY8x
rNk1QKcXhdR6n9f6Y2m3ct1qo1iraf6Hpm27Nh3IYAAno6290B2huoSdV2Ryuk4rTG4s2aSuWkb9
Ohz8aS+KMWxWKRTeB9iL08bBdz10HTRwVkBG/fNQg2XJMeuAmuk9Orx97d+YKVynPjCCS+65addX
KQBpI0ZppgLqRRBYbEQZ4Z0WgKjg0vfbS7xkUreEEbFPAMSDeFLz3HIlHMLbptGN1yxP4nVWopWb
0MO/X9TrroOigj9jlfZ9wV5Z2zjeBWxIOA45FYF90ajgh8iOziCIGtum4RRW4I3OhGq/gYY011We
GZB3tXDbVGHoxb0ebAgRjHUOPMT1JYhtKSMHCopGZBFkq7kodRDWRXkZR7CAknoCLV1V0Wasppdk
gpQTx+W0A1D+28js+dJp2O9tETr7MDLCq2k04PL1eeZaNaGiLnsIYFm+6ONpwUorG83zZ5R6XT/W
5rsRRuy17/cCVPPkDF5PX33XQRJ91eex3ejYCmyrGV6lUfrxLp1E/xLlOjAWtQjWWqJ2uyrNpxtb
D6eHmG7lWTXTD5bKHLsOjctLwKtkxZMEDTT1zlNqVvEPuvyAKa12HLxQUZJtZAYqoEPC0sjRb41w
KgJvhCXtzr6R3Oqi3NVE4GUiMKrjzJJlFVtitfDMsPUMMRSMBEn7/CeIylB0aeJvDb0ZvLzx9ZWe
R+UK1BAss7mr3BaI+KZU5zuyLdPNa9rwzBz63T4x3W7yfUBNkRie8yY3F4BAcz3ndNZjc3HeSkdi
5hRNObCu5cqJjOLcxwRjl+qxcdlbVXxrsnn2wCqCrWx4r4hE4yuEkcerajYkHojjz0xDCqB0onAT
dtq0dcwath8K0+teICKF3gFRYNKBmDRS8wzMSuNFJmEoqgY6gAuB9VeZ7QfO7dZUZtsbIpFtau5I
4AHyEOEjvg9tOHRpOtTnpjomm74Rhcdlpl1Ycd2Clw7CqyI360OupfqZyHNjPZlIwWmFKby0SfNd
XbJ4VUwC6oYR5oa5ib3eTHkL3Gfh/CzD6LdSqA2VIILXTAHXmAAgbUHYrlIhHyENprsKcrCrguQ+
10Aqklg6D6RShVv1RE59GzprrelRSJgr4fk9CPPZ1+VamwnLFz3sfazBWJRax61g6xz9iHnJZSS8
wpLoSAZC9cLQfKWacQ9ygjjM4F0I6nm4jJ2+XNmN4UDYNMwfEnmGrRFg0BBBxl/Jqhh2oIjLVQzX
aDsCp3f9WSED6BTjx9hmYCWiOSDfEm++oier0nHkRRanL5Nv1PseW4+VPvvjNe3Xcasmw+/O6pyr
qVSARBnOcikWI4oZAFfChSYUKnF+XtDB2QEuG9YIvYarZrJwzvJjEqZQwivtLPkERxllvkgzfmpO
B8Q58bNbJi5gysfkFebgsi2yX7LXRy4o/YpDYl4gUpcADFDbtQYUDTqVXtLpMHWvLsg9wxLyG/Zr
iCcUEDo6m0ytKhH6NQARrPs28VdB36Wu0oU9J4QEeWwVZSWtGZQfNATX7NvfPjoS8GI6E04x+2HO
CWvDhETeH7pg5wgw5R1mxGdFMCQbO8J0qoJSWYhmr1a5tuNgrKJB7gETGtd6kmT3ij1jpNaWD4lT
+2uZl4Fb+rPpIokfb9Cj5wtE2lNqKoa1pTRyD1PoSYYQ2aBADhA3GhUCWwLIBp2C1Ziow2UpMTBF
gnOhoyprNc6aja3qA7UtoW00dVBC0NbauO3D1kE4OQ+ZVNLh/aAm7WryFYyaRAI6vPW1NTJ6OVok
S2QKbdCN0yHzLB+WFfwYY8EWcmMXGj+hR53B0AJlbxXdH70x4B6hhe7VqdWsG0G3KbERq0h6mdwW
MTGTBT9hGwLY2ivD1GDQPeS7rCuCnVmBreqlU68hrLWXfAIIhFGml9jSiIvRH9vnOBY/+xKutT22
sJ5lDmlxyMD0S3CXVWjJLUIq5OZ+MO2oUJGeR2Hsso2zC6cJy/siiItrRA3+FIJkCaprtzJ7COXt
UMfXjozzHb/TgYdKEyunPLruh6K+0kqq8YblNDdR3STng+xeLP7D9UZ1JNWi5Jq8BdHY3g6uomlO
iICUSdKySooNCFRnl5RNcQ52FMGAFhB56DPdQKPiM0vLrCcnULXndtanNRj5zp2biT59pVuwsDmY
cVha3NYQXS78wA9W5Wh0bsWt7Mqy/2ELHG/zKkZ9om61XdBM2d5ilq7hjnEO7LgGBliJQ9naITCA
RiWg9KPtABB/rQgV4IHfOZu+tRuX3gFfU0nc5uau25lB2m+qyP5ZSa3d5tS8bnB3GNdOVOmbUWPv
gkoMr2Mj6reFP4ptIJZ3ilxuA+1VrAtg92S3iL8Q5zyhVF/stN6gW0euAlF6Cg+BFMVeV2zzMpdD
4/k67M951EwP+G0KM3YMthDJQ9cvo2Tvpwk1h9hOvG7SpBcAhdkFEiWXIusAhw/UEfI2E5tyosiA
Q3X9Bpg+vEOVOfdMNqorcsrUfrQUiEkPh5VS65s5pKAxbEOl9IIKYgbi2QUCK7o7wADF/jHVLpI+
RczFEiT9QEwI34I8PwdTq22CTjwlYUUxIfYXlGrbudEw41KTKMghhB31ac3JXVOtAT+q2nhmhRhE
+cpMrcEqygvNBhyAmHa+hR+fuIY0i8s5hSjfWmayqpDmuAkDu9gNAY/6rOS/5yDJ9ly03QZ0Y4vu
VDedxRINk6CFbICheLplIf1dHyy5Idh5r5wN6Mlpb3uZBRI61M3xbMAb7wzhBe2+wgyRPxyAlLZD
FUfg5oXCuErZZVbcAJwcPPJyDtwZbhjoF56mTknEtpNJvCp7I1/3OQWRKqofCHZjbyJ/Wk9j7Ltw
ea19oDvidphgHgo5uLgODYiQELEJuejL2NgLkza21O9I11Oy4Mds1saLUlfukQjq140F4rkMsJm0
/U5D+cPK3NFuKEPN1atMqRX0SmOtB7USbh7P9Y3GpbZyQK7OrmZNv4em139pvdbdjU4zuRg0BLsE
HqJXyUp59MkQLiBP516EALZHOE17fMSKraYWB+LwRs1R6ZDKi41cJs32hlfabMzdIPzohhpl6BaC
tZW6Ml2GAqMEpcdxBiKXtR8zq7sH0qxz96jd+RipctvoATL7Y96vkrpCQ1GFDjFq7eTqdlR6Dhzz
FegoNodJ+38okP3vM1r9MKXqpyiZ5HlNVfOuq3Kw1F1jj6syTbrLwtAUDwaMvlKUQnugw9IDfCQI
dPOiCugc5AYwTDgkflacAa91kzZNb5ADeaz7pcA/zGDVQ+yOZm2oLyyHOkluD/VbAnjvGt5lda0V
ZK8QBAeMp6OHePbb8x6FLzRhcxOglT/CB0dtwvKsin5/rhHpyC4ofkiZa/DtVLtFScEJQP0uXte2
BQnSKNSrfHSeJzGb2yoeBHWolKgQqRTPAFJ/LoZ5huRpVdtYi/vNQB6/oqyquo0yJRsdX+uLMdZe
Q4QxUsobgNOnPoQJEyFjNbommi7XNcJMP7ukUK46gyCrHQGBqiCHXc6Nf6OTIm5A1Wt3hi/Aj9cW
5TFqBsjLhBhI2nAEztvIHK5QBG42SBvNjw0797qFQhaSFNr2hT6Uj1WfB54t6vIe/QdXiu7VL4VJ
K4K3Rjei9NmOVW0v/HC4Nom3XHwj+p0fzopnNJH4ZTuZ+oe08KeR+MMVrTX1F/JF8UNsFh0QfQqr
ZyYCHy5d9fC2ovS2xXIVoY0I7CPy2Vwh9kaAIr9i4z3oTQHXRAxddq/CGnNlCCkYiOKMyBZ6Vxgg
WxCR4tqqEWkAc/97oJq0brOovtcUvbuEppx4o3DaLcAQw/WtOTtv/GpJ4KY2Q/ujL9KRbGOO4B1S
Ppsaml5dbRnX5KNv3KTdta9HAtGr9pbGYrhLeUKoARNv4P4o3b6gjmbqUE8mOHheOFMqAsXSclHL
+NBFxos6ROk5OagJwNjvr+sFuyIq9HHChlKjH0rfLavhxaA5vA6NLNzCVO3BmKVCuZhoRnh2W45e
w/a6iQdqDX1jEOzqS5ASQFZEja6gfKVML2LprKcKWkNWYL5apo/qhpX14zWEVmWNCIV2JnT472qq
iFWmUNmGZILuaYaw3UZMjvpnzgaxCh0tvdWSNL6rYXddAyDgKBCJwBpqnPZna+trzYrW6S9FjDM3
MtxEx85grw0jlO4o9kNetKh7aUUq99Shh5tUtdnL9qA7Z9xi6Sqx6vDRiZLyTJ+79nzgTV1V8bww
hGzlspg6UK6i3UHMRJmV/tea7K2mgKWQnxlFPq2KUtPPUdJptqUdt6sSewtyhsTaZjCrV10AZtVz
0mH60Qk71mikUcStrRD6pIbqfWu3YltExHZFp7ce5Db7tzL17cYs/OVdJ0/Tlv/Ko0KBL1vwvTp9
tDIpf/l6K3bA29+wqpnP6Bg+jc78AK30LdZ5iiy1fyhjqp9uF9p6txorxLDIEYzihw1JoyhGtd2y
0XGoUlT0Asa2GVcqxYWHShHyLa60KfIg9tkXfhLqxB5Uu4rIzIgYkuCiQa7yMKVzRuOrss5s052G
7jKytXKrYid3yY+b3WqM9XSrZVWyUiw7xLWxELtm9lEAIV/qUaGMAx15iGScti1rtTX9oP8Zxnp8
gVMcpgkNDZxc5MhfZGbq6TQPr6iJzCjtmH0AvZj2JAyAIqOZ5yiPjeWYCDqH404LinoT0Vbe9CKn
txiqsyf9NlzbShieU1/Ozyjr5HuDrdhvZZJ3eygwFfmQhcrQIBSXwgz7kt7JoUr6cRdTeF5nMktu
SecC7mHZb0bHHHaGIAaXvga/WUprk7V+sCmyfqZpzxXSoTfiSXS7YDsU8y5DRtizB42cAeWSVR/Y
yFAkOsJ7iW96/aDPG/opv6K4N7ZBYafrDmKL7upVTKLu1H8ixZmhngdSoxaOjs2qXiI9PQ8gGqbz
M0hN9Y1yuNryt6b6rodhuu66YFwl6FJvwqQdyDkyRJjVsL5sfcRf0KXSPMUe8o3VWMa5heDcSpot
HmO8bXTBozeydPR+5jhZY+8MT9zJai+CyLPVO6tcqSXdKbWdnhF6J0HPUMqLlschsuEL1fmq7aaX
QaBsXtcLmb0P7ngy5YM/TRlfZCaPzLh4daoMFbi6AseQ6BElDrSeaJ3CiSya1xQI341OU2qdjam5
ShyR3k6dYzwlbTY+KI3RVl4/Qq92glTzGlgFLnyJxq1ais1WYj4ZTYFtQk7ejTxJCPW7185hoCKG
EinUuWyLPiWpFNTz1lrU5UroRSqtn2cFRne4iQvFAqcN5dEbk/EXrnQ2hJC4wJOoMfuMIDeBb0P8
cjUFAjq0Jig0CrPeaPbQ7rDAahm863dZMARn0kG/1Mwt7WlKhaG6cSiJcRxruO4q2FeQmcJzNFTU
X0oqibOMxi82Rj5qK/aa7o26BouJrOceSUEDHZHMPp86AwyCLYpHp2YHx8Y0eZMp21Xtq7j3qPS3
u3CIzzK11OhHmuMOphzsG0W3Ni3YnLUyFO2WXzNuJ6SPNiYUuMc6Xxgiqi/P4gkpvhTJqvsgC8kR
Yqg8ZkDrEo7lCxKOnduYebZKSnR+Mqfrz8OyyTexaLOYAltysALb6tmsxFr4BaKqGXW10XpWOaX3
ypTGsGo0+yX0ZUzogMJRWUbFhvR/2GajSO7gMTo7oVbRy5ggr4cIX7+lRjeQembtevbL5D5HaeuW
qxWlS+iLEN2cQmiJm/Tqdaf5mTuo/YCi2hxNB34QHVwYLBrErwhNRmoKbMqaVYN2RnA52VvDKKuN
0+nqGrPBGPl/RZ/OqSbOXh9atPY6OW0MPb3S47y/HpXSWLW1/pZZ6D2gV+NfDXrenmP4HO/hVLc0
q4oFjqMYr2oHnnQsLZVKImR9WFRrKxzm2oXm9jskW0A2TglWuobuqgX1fFZzN+yHVR8ZpttDtiLH
HSnltQoloyLw4zscZqzbJB3iN+p5XYdw8Bzd0Hr0VxNHZQs4DQCr7SBLyfYOVw60NLfQ6/AqpfVH
tX5W92gL6Y+iSB3Iw0lzyKtegw3aaTeRqtPGLM3rnmjpYJDuVWByUlxFOo4pdK18iZ3Vtabq1b5I
0not6h38/vMgGhbhuYlDEmbl5Jm6iiQwLs/UUy1RUTe1xXzAloUTX4UZ0oN+8SZRfaDxoujnZqGZ
P8MeMe4pACxbpkvQR5iyoV9AW8+ibis6yzlrRStJUe1nRGgWwmw3Vauy5iop0Y6p4gCjj87/HQUc
85j/w07FgD11M7I1OI4zQX+zSPfRD1lEkYwIer9pD9NDWbbNTkOhJCWhjPxthjgVwg1CuUoioL0E
ifVaaRuDRldT3ReFwWT4+tRujbpN//RC+k9+o82HGMWqB4yoKHbFgUK5sqRDkVq3UMIA2RCy/jOv
B5D/Duwp0ID0+nRTGgsm9L1kr7G81inIqB+Wcv6oTScE2D+SDz7/dXCr7/96X6GZA9Uy/EFH9XYa
KSwgiOKH6rpwDhhTngA3HsHzQAXqCFAioWAheGDB2f44mjLoaLf6anabqXukCtV/RLxZQIempqpg
bUHtmDreaB//vGGMUonohNz2A8ysA1CRExDQz7/f0mwkBIGkm6btHINZoyzONNsXxi3wGKQHVwvr
93sA4xH8k0/4MMIxlhXhrAI9TUbgRgp5qAf/p8kl9w8H0YBG4vriCMMwNO3YlhLml6nDRK4PFt9g
9uselJ44BcX8SPFiMTQ2rWBFTFonYNOP1nqskNBTtaE8qMawbqkX9ypIhIeMfvz3X/NpUTRbXeDM
gFlxBpXW0QGJO6huPT2GW2zyHJX60j+i+i0f8vHvHx8RlL0qHQXU22pGJO4Mp/ITH/BppnQJe0Jq
OohZC+Opo5lS8rJFRq2K7wZ1eq7pVibiNRPWDv3XE5/ycXcBwaZDahqaJZkssN/HBn2qslgvjsAx
q3yLeAvq2G1yAoH78WOWIdhY2oKRRXBZaMcy/XmX+WJqe+dqdtzxrZ49v1ljIPH9kp8a5Oigz1la
SF9nEImGcuXRy9GjlXEKin1qlGU23+GYSQfQEcgG5wpthXm48rWVBhqmO2EU+nH7MmF/MW4A4ROS
cWTU4+2ryxlNrDC6KyL8foNxqK7iqQ+2/2zGHFto0rR0aarcwM7xyjeJaEpVreYbOg4BrOwp2SZR
nW8wgAQuo6XJiT297Nm/KWC2AMKOsxLXJIdPCvPYrS0aEMaMrFbcZDi+ZxtnSoIrWy3zy1Kzgx+d
ZeYvfTLciwFi+omhj+hn/39sS9o8BLybizz1x3XzCxBq0tTFTW7tEoXeikouOTz76U0632RhQ4z/
YwBdhTgt6TaFGiKwWt7HSXTiLCxOUh8ngbKFpTlgxRH3/fRciAFtUCqA2aEIH4W+n4cnpyGhvtGa
Jx9Z0gw40/erfAS9Xz79w4jHzwed9DgctDw7OFrtrxoZX9SO6VZT+IbGEl25knSMXs6ZUjTnWdkd
Tgy/7NXPHwwu3ubO1yz16MRMetTSGwyyQ1zVZ/5YPXUzgBdK0H0URTDQfdPtekCcU2meQdi4V8ie
TvyEr+ac2IJ7jjDAgUvxcfGjpNZFS6Z2oC53NSrtZZ/G1E+1+Y9dzE8wplamEz6jonxZjIZnwEpx
TcWiUhw/x4q5q1HMtZE5HDN7JbT6nF75v9gUjiD60XQOPWSfjz+w6wPg0qBqDgjOHsx5oWI7jtsu
+ts5eD4TadnabF+BLp24aL7cHGShgrcf/hlv8seRm7IRiYzT7JCAZGwmot+cOxpuRmb8KI0nvf9l
NxfKeMIMVmhfbIr3wy7X7LtrdCKBCeuSTeHLcZUru6p/GYdfU3AwQgcd4CffBzjeXFPFBn59Kp5y
Pl9EdMTfffTRdKtFVID2zLKDklAsmOPpxkCHZBVmgArN7KU3waq3qIS7QwiOiBLcK9WL32lv3hmp
teKx21RohKAjRhJm7KVKFWQUJdih6nUIawVMq3pjKBMY6S5flwNj1HN2Q8SQkYSSqiEeTAhmb6a+
+1NkYAaNPFgtIAtuPk/koOQw644Rr0fopr4KR7mW8/wEAOzcTijH20MJnrnxsiLcTG3u6TobJgiT
1aCNu84v6V3q6Y/UD+7NXL3xk5IAnn8NDB6l/ckTZX5mV2Kdm9WjMH2U9Cmejrk9U2o1E0pkgE/g
S6D0g1Cnjy4/KDaEjwqkD03td1/JZ2CPwL6Hdl1nCEFMxXlEy5baLniEILivoqZbxY32KJrg3LJ/
J1SxUuk8mBKhX9H1W+TZSH/pSaKLKehF9BdTIe9HZbjI42pd0Ilc9Va7Lpvg9sRFcPx6L1eh43Dz
Ql/VkcA+WnjugZmau5keVNO+oU6C5JozltT4lbMx0LbhBFwwA+tnzls9ns/F6P8IIyRkqbs1vvac
d8oBtNepG/LzYaALrAnbXFIIqpZH15NeUHWJZFEekurN4CVgnSTVWUX8qOKNQ61QmZ7b/l7Hv2Oq
tyem5PNZoLoPH8sg1jCX//XxJKLHEfcm4iwHtVfy85lGyUZX8A+LWjnTwx3VP0ibji+z0wKKsury
uk3nF6qH4dkskCRSUt086wanva6rCfxmhLg7jj1yow5J9/b9b13uoo8viSFUhwV0HIjH8jgqmqyh
E3HfNvQ2OEBls1GtfJ1pJ16LzxNiQC1GFpEnC76YPIq9QgdU1GL0dChR7UGB5dkCH23o9kHvk3Xc
Nhd05Dfff9hxuEc8wpC2KSCOsQmOWf/KVFvpKBgymQdtDwxLOVcrZXj8fpS/LJ8+zh9LLUmBTSoH
kkbbx6W2QXrR+zWKQ+3so/4tKh7tGcqZgy65c4NauRd3l0h00xV3i+qKtOSlRhbOmPOLerz2BxB9
fu/p9nOe0DzM/4xUYlIFVWsBAyOFzQchLdAv0KNdjWpy48QnWKOflx+OnVhY6UwVmcTRUxXFQQkp
ayoPs2zP/Sm5QcAwgvuknHIX/OJRRH8JejmxE5RFsvuPEzVEhag12pGHPAX+kVC5eqOqn+5axXob
8zG7jhw5XkL5m84BuwBgisZT7t2fdyE/AVovB9JyyJmOfoKJK9CAXGV5iKqHaTBu82ymSl+5AFic
9FWq6Yld/zlEYjzCD7IAg5zTPrqDFATAVSNhcoPcMV/lMKfU5Od0HVhtuDOKUfuRJTUas6MAS4Xy
vPf93vzyc3X4mcgGCE079rhS1I7eIsJWHDI0yDqU7hA0zm8juObUVNS9DHKvc8wTl9/nc8dH/0XX
XE4EecHHdW7U0Ac5skxymKKPmXqKNf7zAOvDGMc+bJHll8rct+VBaluHcms7yVVpPICQAJuLCK+z
zgVC811+4k754rSQcuvkdVKHbH0cdpe6gL/h28yocO57W9CJ6n/MNOi+X7gvEiuD7JG6KzxwGMrH
SWQVAdzQcqs+NMK4bvz8Bxq8wDDSXRA2dyAIPdVy7tt22rey3hS4ATV4PIw6WH8nK28R/Tyxk5b3
6uMl9/H3LDvtXWSZDmU20QmvCWix/OB2YueA5HCVpt4Myf33X/85nlgGs1Cb4+UGAXt0JY1UaecI
zb4D9sd7tQA507V7tPl2LYTefzwUjx+39rKaVF8X/vG774om7r+JThePX3yH8Y1zSAQWfEGs/Qn8
yToxi59PBi+SIzWSJhRhPiVtujMqGPAxml7mh7yXd7oenrhxxHKFHa0U9QdNB6muU8M+TskBXEgQ
knNzsLM/tVashP/qaH9GmwywhFgwejI/zIApYyf8F1/3fuSjPaIDYgtse3nim3JXicULCA+QEwv2
+QCCx3WQEuRCZSKPHxEcv6wKDIdxY/V9Be1YNy8hbmTnc5TOJ17Gz9uQwE1FDMUibDE/rZYS96Cx
cIE+dIY1E6MAXgh1uMLTEBZeWSXziUN/dMbo8kiHRSOSVjXt87ZPAmGKDuPNQy/sfKXkWbmdO1Vb
J+lUrvGx6mBYNPo/6kpQOqJzTg3RMai9aotawccD4GN+BRqwsw6233QbHxejFV5lyXlvDJh0Mr9n
yaAkpzbp0bu4jEqpxkaTA0Ksqh9fo3pF5SQdVeWAGO6wV2uRbNoWUlRXCFgeTSCuFSsaHsknYQsT
KZ/ZQZNkq7pPkqfZSgAsa+GMoGM3pAc8mYLzLG20mzmIeGnHIjwrbHFicY42A79YsNsc4jyKrcST
R5FDqaZaF7SFwtl5Tiavg5pT3yTTiXft1ChLTvPuOpKVMaPKmyuHwbHv1LIs7sxw8TENQuVCVQt9
8/3td3QfUTfkc4De88YgdSLl0e2H5YK+ALSqQze5yYhnyonDeurvL//83edU+H+JSnWqQ/WrhRgQ
/seff/ROlONcWJnCz5fT2kpB15y40P4SY3t3l36an2W53v1+9CYRHJ786uDMN/aDIw4k1bSIkKyG
/tMD4C4gzrvycVZu/9vCLFfFu4Gx5RmLspPVARqOGL2yO/Flpxbm6Kouy2ygF2mwMFxsIApPVUdP
/f2jW2WapxmdJVYmn6+kvFWD/7axjCO1OMvpWqsAd3kgTAKle1UqJ4770TPzPytvobalUdawj3PH
JmhH6BNKdbDtu6rYjnIrmtfv1/jTdf/X4fu/If5Kl96tsZr0fWoVQX2Al7mOFzhFh5Wm/ahoJaDY
U627Ex/0V9jwbjQbZlM7zRxFysQOQO1mD/H++w86NcTR5QUE3dGn5bTDuM9xcBIX3XxiiK/31d9z
dnRhibgO0KJgCJjmgIEd5V/tq7///jL+u1nysRjLE4iFhyHZ1dm6u/tvM3R0YeGdEIlkZsnJA6PO
w/N1aP/jFxxdWQNC6WaU2tWhvtdGbqcTC7D8659uRFtCINEIMMH5f5ygkmQTiY2mPoxZs4XzEsbY
5BVPGB0dvp+qL1f63UBHN6DdIBmASnV9cKxrBd3EOTgRg3y5W9GfoCZF6cb56+5/t9SAjaYYH8X6
oGa46vb0JqrrzLr8/itODXK0nwA/jSbyH/XBjIINDIe7pLcgTOcnCv9fXiWOxCZAUGwwjaPgBFBU
LydARAd7i0/HYK5u9GmPEPj3H/Pl2i8CLeQWoD+Oa5qIoip2brK1pDiL/XP9z9x65tP3Y3y17IAZ
iH4d5NkwKf24vzKtwgxH7+uDYl3CsII78C/Ox/sBjl4+gN0temwM4DTIYPyKqvrEAF/NEkVUqVL3
QULgOP/KjDpgBufykD03w7oYt5C8y+JE1P7VvkIokvAXdA9lpaNp8tPWh3RM+cPsLpT0aayvWnEi
FF0m4vikSw0BNgmSiB7W0V1lO8ic9xkVbAjP95pTXSiqfWUYi7RUcJZG4ezKpaT+z5f//aBH10tY
dn0VKNTsDevV1ZyX7//6l0vz7pOOZm0KMn3I0FY6TLZnBnvkBwCytd31vxgFBX2gJrQe6UF83MJ5
YMdEpkF1mNZhdG2Hr5KcRTvxknx1TmisU2azDXXJpD4OQi7ZQp4QbIDkrNzo5onF/3J/vfvz2sc/
P9voCEBRZfGDDuDpgceqUzffz9OXGwyfqWUXk8kfZ55zRqdPkyMZGyr341xvbZyI0O3BlX2rJTtD
/1dT9n/jHceMTVmb6ZQwXkpYks13UyVW33/RcYX7r6iRHN7SSaSXO/LozFgtvLAWLOahtnYw8OH2
gytqkHeApwpT9EW03vcjfrlO7wY8Oi9RWADyqhmw1dw+vkaLJCt23w/x5aFxLNonBu8LGpMft4Jh
1DTmc4ZQYNuNGgzJt8qwXGv//TBf7oZ3wxztOI69gXQ/w/g5fmzNNqi3lbad8DVA7wUbB+3ETfPV
k7no3CIwyToBYvj4WVWGAx0uWOWhyW8S/y3z14l1gahKegom8dVJfTfQcaXaMntsF2wGsv+g0KXL
E0Wqr3aAoVKWQP0Uube/mvLvwhjVyDLowdyYtr6xTcjJOOac2AFff8HfQxxN1RhHiEUbGQcVYTEz
3PanLrOvttjf30B/8+NaSBQJ7N6kTRHA1NOyxJURPCqJh0EmTyz7l9OFpjevAPhPyk8fh6JKHvZ0
6YtDMcNQeiX3zRBi+34rf/k5f49xjJLsmwSNJsgEB6h8Uj4iyFLJtQ9D5cQw9l9X5PEbTfj6v19z
3F6ycLub/EwvDqrICqgUjn2VxlnnjRWo3Aaq4X6g0naF0VB0HvdgyhG2g/VljfQfqzr2SlT2wOPw
byCYae9rJFAQ5msWxH+qpNFO6m3gylIqLhx2iWJXkLOLkRRHs9j6iQgMgMBy/p0oinWIjcD04qmq
DK8LLSQgcdvFsaTXnF2epd3NUAfJOoSSiNglAmWUTxfCTSi4VITlBgaZUA1rFCLyj7TuVhNCnh48
/HILEeHVbmv85/4fR+exG7uxhsEnIsAmm2nLMFGjnDfEUWKOzfz0rvHuGrAvJM2w2X/4qhiJBkmX
fTbktWYyQ5gYOxDLmYJ8p4j6Zdts/3pOxe9pIFddSODtK5Q4EKGwaZgqTx+2ZT3VW0X9O+iBC7NE
I1oETgQSAkqZJJHwbLCsBCX6PPsAogSDvNZLttbXBTRLJvF1GFCBjML2fE90dehYkFpoVntQoYBV
FcYSH+BIt/dGU35jfJER+R7nwyGnvjchze3rLh3vEvwvB6ZnXSBjlN2TjhdbuZUR2QCYThVmRLx+
dh5p9mA9KnNSZ70l112PTMoBZrXHoiZSaGSdPAgRNx/OkKi9NY9d5BgUfV5DLsZNTedUExsNt7LU
op58esimuBPG/fSpZGIHtTWKP6tM1yAdaWev+izhOtoGi3zrMoLSSzBpyp65wXZNjvRtTFjONYsI
QU0Wbl0i/EWuc+eP2kLaqgNy5uHce2kG3A9FVcdYXiD13ZRzatwYSfXXCVpBbIu4x2mc0FCuoCf7
LQefWsO5IJpm+D2sbUQ37vKZTR4YMSAJke7GdrTWmYlOiaAw8ZL+khWue7rKiA6Wt5LySPWSD9QW
kPO6L74diJSM1fxINpukmwHtbBqvIlGdOGcyrGWU9+uPMZ/nOPGnen3uHKQVfcrWUJumSOLiNt5b
eZwHrrdZh2VcfwiKaKTrXT4Ut+5CG4ZLGaYliMXWwB7sCJFHrqqHo7KHNprb+E5kN1NxymCMT/DK
ya6gCyqEsScrkRxqNcsDC5Sw/aDdkKMpTXKWsywCsxj/+ln77FaLoS2Gnn3s9JhBZcXak2pTjsfV
eQcstdo+HVaYAaih6N/2216VvePrphJk6hOQLVmq3ddz456Nthl22FYXXI+klMYxW84ztKudje4L
xFiXXJQjfzVPJ9TiDhZ+Z3KYE74AlGfO5yJylvRYDAkoAOddqcU6bkOxHAXyWgYGZnbpi3Q6qljE
j3GyZUfVNphzgKLeeSsxe2+DikumGRBrXWX/NAP0hpTgmJDq4BouM0H23nRvsyFt/YzcHIWs9W1D
zCWGS8Kv6NwvmKn2riMiGLiFQUqtipkQNm1/BkVB219PLjP4m2MduyycERNniSG9d/VpCdPGrV+T
ynZ8k3/cmXK0wgVi5W7KN4eAaLOxn4W7UeU4gTJtNnZtc8U3tXUbdqNe+pDjBbTba5Z5IQAIuBOI
ZcVmTiHW5MbmH+E94FNCAN9E6da334lGTB8IIFhV6WisF4zdGgyW85vSEMA4Oqg96ewUfUFSBubg
1v6Q43TdSqTnrDGjhp2SJkwH3SZdN1yBPIjjM2ubwjnpxqeEDaHdcI3lj+3WnFKX+/NUg4Sxmw2t
Ubex2lh0sc+/Ed+LDayXnrYf+ZiZATZG4DIqkxifUMFqJmA9ODYDQEm0jWmaEub34jjqm86L4HqZ
4QZtcFdpWJHZvJNfVbzoARrAIcg6Bz8kYWqZFT9zrX5bInwsV+Y/k6W9me0Id3Uxv+u4infK4Q8g
u5aUs9t9YwHufMeIEYP/75c38zzcRjZXKxb0n5gLFyS7wU1hdX9G+cqP2SEOyEUqcAXqm19kYPwS
UuEkv3qi2m5t7m0IM/7ccX+YUJezdAoArZ5WgJ0gTtQL/yJPYpkBspRZ34Bg0cuXzFEkBK2ufJ1U
962tG8Sg+B/rkvUTiid0AYXendatSc4J0yGM8gLe3Ajtn5YR+SbCp9q3TJBBVzWRZaLFM3i8xDzN
qLF2BoP7EGCzfaoT51diIeN3LJob5XjQCGel+YwDdZYB1QKHgr2o5KrTyuw23xuzlNGU0yHUeV52
0FTsx3wU856KU10AIg63bSvzU19xBl9HezfMDLFdLilpmcb64zBqw8lOHI49reJ/YSQjkZDv2slb
9+Cfll1Kb4yv+DyyBkImlIgo8W1pXqM2+XYypnEON6WMp6zQxKdtxkkfEHrM95lGJnTWvfxVxopX
vMFF+ltr4R75sP8mLgw9f1N9Th7y5UrlNiZiuR7Lvl7j/vPyevC7VoAJ8jZ5S3wW2xyhK9s3SExD
BpbFDfOqd0dZH9Y4vq6EUXxcs9kjfNsC5hU3Qmvi/mDbq+eD4erP5agl91YGlsQjyh8MymSNbSkI
uiGfK326bxW5w0xI8xCXOZ/Bmlj9qW4lO6iuBWrAwvJo8KGxc+mlO6eoF2Z7ibUbSnKG9RXwVZec
AQycY79kuzZwnBFIUlqXfjnU22lx5LIzejM/KkK4t1MhWblOJEDqWP5WHVu/ivTxSR+GIZpF6b5j
eC9BblKq4fprA6eCUoPrnUSnbRvvCr4iCT8SBuTrNut5W13YCKPMycolYnrEFl7x1dfri5DA1Wat
/GvhpPppzmhKoY4Et6xld1sDmqeypuLAhuh21zYjD4syVXIjcbwFeYOJb73uP8GnS0JefPGTGkq5
Tywl94NeLVEJxILo4di+1qieD2PVuQE/qthpxB/2Q01UGmPV0MNmn7w7eBV8jdfO+3bRSeIH0kQI
u9G7B6PtRlKfyRYuAw9tyUUKZntKnL19NVDj/rOJGRPELNYKDOtW0Q3QN858oxihnMhZfxBdFz/H
YwKOaOyWfVGLOMRXv0Z2wnKxV28czrHrQezUqqvab02edVBHjzLlTbgOXKYKd5lwUk0xVj29fZbX
GHZBmCoaNM4gsG0sRi9mvrPzyd1nrp6HeTcR6PfYUctH98muFUC6mLtkepWf+87W/Zqw9/crWIIH
vtl8F4T9q+MhOXU1V1vVs+is8xZO/HIqmi8gzdaOZV4daVwsd1m+VWG7bv2djjAUkoTH7+qnZVOd
80wMz/jm/9lKV1yCxh/YgMllXcz+MvWGHha6+Fms64e2sCNjtwYx2Rmf5gAAB9zPmh6Whc4cO7mC
a3yuSHbXw23KTiqyE85Ud8i2XdtbbPmRhd8hWl2e4mVtAw3DHz9D+TJ3ogjZTPtzjZxZDovrJ2J4
d5ApQoM4U7X7bvX0mWwzEfqFXQWHK9h+7pQdzCBrfH2Zx32ZeBlO37Vgo9UWCDWTJZLmhrUyi8vI
kXxPbYXoG719Op5XS1BL5OVwyrKye7S6Kj+Q1qpCzaw33Alq+Mcfft0bU0GEdV5X5pbO/1sDneJP
sJTnq2MdpEERPwOU2NCH8zPUNM+gq7owqrmJCKa2aQ8rpxYvUwVylMBMEXpt7V603k121sYNymzt
4R6WHoWB3s3Jp8opQnZFv84PLZybnjvr1H04ZX+zLNYnsbuWbLqb1qt9Glqw7jeQC3XtYul980mg
/vp1ZNDnVyiGgVlYU4RVE41sqize7l3Ti7Oqcte+U7DTLuQPmSvb0vErOB5HayAjbkA9CgAhcQnZ
bCgEtbQjz22bQ7Fltm8J7aNUmHpLXIJHt2X5vOgEBY1bpeyNjvAr3GJuoGmk3LLj0s1wcA9mcWRr
Yo2mKk/vRTvl7MnHvfOEzxe6dy+fptkd2H1nh5XD3r23M+cKxqe50PVdpTCid87wISyDvQG2Ft1T
yw3waE5atuvAzxzzkvyBxtU6tEZAzSwdc+tfdCtYU7X5Hk44P5EQidm4qOC9c/nR7cIj0N6ax7x1
3jzb4WFx+wS0Yk+cnvPMr9P4o4xR5clCGhCkkVAW8/UkJD7ut3aeUj/RSKTASy+dWvk/htpXP1eA
7PLQA0nJ9d7V+FFFyWUGrBEHppWvFzhRFvyW3Nourmjvi678GIGGH2ab6LU/moSqtdLr9zP7qk/O
ovdhCngkEqasdphceDmA3yb+zBeT1Hz6yj2AHRpoxT92mizfjh5PuF9ya2+JpgapNaS3EFtJgyab
JarAc6aYc0E070NFMN2oXRMo2uIcjC01fS0GCcidYzoa2ejcFXHPs15fMayT3XNCctsJe7VC6UIv
eccKD4BFS30kjvOrlexeGZQip2WutTe8VNq+X7Xmn7ci085YSOVzMVvEzaButCod8IegrM8mk5w4
50JgaZ12AI7BGhB7u76OjSLsuAXc2DMsEt10zavy2PRbanzDR5ZOPKFdkVPMs4YKAO7jva4W12fs
ZUTINvXASvLNrwqYqK5y2PgxnS2gxWOEuW7+egm4obbBHSDqBDkiV7gQ9uTPsgCbAgMDZdrbzFBf
JdxS3Vx2FQUGRO5pSrAT852021DbquVpMGhvdNkwHXqLpUigr8lNryxgG5XlwgnNxruissY9adTx
E22Ce7aXXLuFLAnJebbUrkL68Z5y3JxBkhRhvhRgpPluGfdcdYGdoBqmM9CMT0Y//04zbpB0mDx+
lnK7MdInRNaxC7WGgojPxSjEB1faiXOGK9C2bfAbTXO87YfWiVLCiKGRGFhFsWP7cy/IgWdpWvBr
ut67bGywFP261V/WlnyvmTG/JEbdHAdLQw2iV2uTHVlVLNtbqxMteMp0sP/SwsKH3S9mGC95GWE4
zrCyxsRIBK6YqFpVc6sG46cXmf7s9dR63PIoy1KAc0U8cQBsLRCdYrE/a9sZDle38sPmSEGHuYcr
0ZgsDdeYtVuABK+evr452XatNVfIoKrlnqeV2t4ZZRwUFX3buebaSjINflrRNEGPsmRnMxn1nX5Q
UFG2Bxoa01lPCM/EbrLcwQBWsBHxhmSVnh4yGScHt6v7x9RwnSd+FdO3Hb6ZmUuESqGXh54VLhIw
g84tymejDTjQMI0Rw3D5NuKFjNahND9zMQ435hUy5Xd4mBhfliocOEbPkySAVA4KxpgevxngVDmh
tRpeIqiqAbJpWJe9cVAe3zWII19bX0wRjCz4Da7J2bl58y73nDia+/Zrmfr+hWYTzKtkTXasK0J1
lHyw67rKx9pJX7Z8XkI6QMDcTLeBQ0Gcmjak6Ut7/J0NpwxaUbSHdOwlZw+fmQ519tislnq0plo7
gx9yzvDV01tHltuuKtwi2qCi08Jt+TXEtfrXPsAxN3eFs3BVHdDpUjfTwkhinkzrmxfLr4fOPRhZ
DwuYHdMyA9V0SGwjjuxrbirJMlxqyVUvYbvjXVZDBnRq3nU1qCB+PjvFoWN0UaJ7/1gD73baWPNM
apb6187dM9voKZcuNe8M2VS3XAunt6WGsGf2cepTPMIe5Cu1Q9yC76WwqQq21i4+UMMnu7qeuGis
VhVRziAu0VcgFu1Q5oehabxT4hh/XbsSNWy3LWg7C+CldP/aVu/gsZfFadVW60KQqg7lMJMOSxKz
f+yqcaGOLwcQq70Ehk3meOdOyYiUK1a7tlKxb+bVFytBKQ9r/5MuEKaAmgjzZNd88cdNfF9BHj5p
nmbnxrFd+AoHzG8RW03QKEvcYXvrItD6dObkZIbj4D0VcCBvnA1aON2D/mSMywz+1x3vnbJAgW6D
smGXffJNLdVeS3wPD5Mp0oce5/bFK1znHdMBXSqHjX3+uO1dws7bDjqUdZCOWkMw3WYE8N+MbEOj
6jLyIdSS0QCg16jqYxjs+Ay1tD+kqegOsVDpPVBXFdZig6PLxxKM+WyczYmPJrETznG9s6JmhsBX
xfm2b3LPOBsAT+B9itY3TdQQniea/f8+oT5Ru63e/mnp6NCCbRf7OMys+RHEZamM+9pOKJgsqtXm
AyvJAPjclI+jnFkcyKR9nBd5cNvsubPBs6SNGqNSDlRkepofWXLvbj00CSeDZu15A5DMW6UX8o+1
qfbDdof3uC3TswAbiPccAtqS5T+JWhi6z7SA5daZNU2q0dotmYqhRdlLSASGdlVHQSCdQr9DSMHz
bcE3WRNPj6rGHA48nOYO4ZGMtNpoT1q/1E9GnDvvy+Z+OfXC90XnvAH0Oewa56ot1Gr3KK2u4Szp
6meWJFRowL6ncveGQBRa9jEZznCT5aoMrEyDnj4uXaBt2xLmbekB/dfaly0bcK/QnUAqYQ9x/MSH
ISj7ytYLagWPxQEZH/U2OUihbOsDz/t0Yj9nhG26GNdtVH1+4QUnry1e40g8Q79LWxoThhNPh3Vy
rrjXAnxUJdj9RlAeVi0VgEX3/YdMeuoBR+yq7zSBt1SPZfVH95VwnNtLz1/Hxb6Yqp12dSWzsOlM
9OcQ/1mdkfBVpYXsGoJRqE8xyiKvcHbQD0C+SL7id+CY0xM7yGgHkqEP3Hhd8PcMk3UZbVpzmwED
tVHiPe+vy/5L92t0xXxA+gVgyWJH8WgUdcV+J7CRSJ/bemcKM70YfTOD93XgqHu4GPrOkG+YqN/Z
Kda5tLWfVpEq1GQdHQDQVcNRdsRftXmJjDgef8zKEwmt3ZVSJB/a4eR6UOnqKwF20If+3WARJZz6
itoJ67RRv18ZoLN6MhrJO2KorT+X0//GqeYPcqztCbEXng4aT/QzP7KKHbslwfVFA2EIlp7lorLT
gNhqgoOYO/BH7oDJMyo4fCwy5k+TaHqGBmDuQcA6uziv08PcCiNoWNo7YmuqTspm75xnz0qJhI52
A2xx9M4tOvEPa2vxa7o21vtVZi+jl1KlmPNH2l49AXLRzYBXgXxy6RlAXB/LLMRYtMHHryoJLL4y
Y1/P48eFsuLWcjcQbzSnO/WSkS8fd/nQDy9sIuBxVpkHSE2hR+lSUz8BPXaPC+zot7jXVcjzy2K2
reJjsnKrMLz0NWbwH9RughlJWO4+NjTtQJETH2GXi9DKk/nFbVCFbexWB1qiyn0+zrTzvKm5crKt
sHPbr0qvv4qmEoFJorqOFqfXuvNEPdlHZTzely742tGFko/UKadySo2og/ZGr7f4GgXn49RWJT0H
yXhFmzrzC2J39cc5NW5X/03k5Z800Zr4pq5HeO0Q72cStdOQZfuezfjbTbNXckwy25OUywIX4pZf
Fz3trkrgB7E1+2croIbXMHdOmmy+4zK5tihf+7cqP9vdTjxdfwFy4CEvDts+S9iJyEHA68mlOm46
uNmc3bCuk/xA8VqGwuzE3hbAtAfGS5DnQPwntuB+sdRQZY3c2zsE/Ldk0vw1L16EYDgn+17s8tK1
HnHYfa3GdRICcayRJKLxFCFBokFfIqBovOoi51UcNtQygdKzX8judVA5Z2e6r9i4siDi0vE0Kpvr
e1XG76yXeRejYugTOKuW/rVyHp9z21WfAhJl6K2DKXxPbuK2yHvPjOJuaO64LY03rpF9uqZ6TVod
k0QJHXgQE70w3MjndGl6PuA6CzzZctY0HuktCajybmz1+SwbkI30iWe/yTT45xrd6TqjQzHWTUIr
eOh3+bVChcLGzMQE/mtOGDOS1JjxayEXKwVtfrpG5d5q5DtlGdGBtAvibeM6kdkaBS68Vn2GPydn
KLdTa0zoVMZsB66PQLeqkDmtrCNUJr0cjEW89STAXLUwc+my1DnjhvngvDf2DmORwERccofbIQ9j
UqcBKj24w6pkEUQnq3ItgCWQLZOnXOuNa4eId5NfVpP6rRzqKLNwm6hR3OViYeOrm5PfxVnSCGvf
VkeMQt47jqWAIYzFT2mAxXR1bipw5XcGil3Tz9pF/xGaUud20OFCYujyq4rEzPWtw/c2M3+k3Fym
HrowH8F519yTt7YL1nr+NDmqwhJNQQAa7Z+roU/oDbtbI7mWNA6TLa7ujMQVFyY5zcXiPGFOZH01
1MbnPLFX+NQWpHnLI62uRIosRzCxreKCUr380JOkO0AO8k40ob+GdJzpBuP2dPO6i/ks2R8Ny2Ea
njpPp3MbFz2MQyC4WQlAwHKSFD1WMt7VVf8Pd4YRyc4jVpjz4uZWV/oFLOwJ2rfTr4xlxjdZQQ6a
Xae6aGNftefKKKqLzmzJIXQ/LMDBpxxjFh+Hlm943RK9ujWX0rhr6eoHPGTcHPVxeJmF4o6ea0uU
eTiyzcx45XFibm3MUzRaVn7aHK842fr18t3zETBnpZg2km7XJUUa9t4w7PrJ6Q+McPDrdXXKksZS
HrXGMzj+at33aLSHcW69i7p8JSXtnpxYpdGWxcYB75918BaD21w8LO6O4eX6OJkEpQdnNo/2FXE+
K1XdNEsPNVi5W0jAaAVuDMlxkVKLNrK4kVKTDfLAc89Own+BZvqzUVczRoHOeNKNJGKhF4mU5jD8
7+FFm7SbHlLRp32ox3YPdlgvkkuPmIFpjWP4jNkh+av4nhNF4s2LxckWZXGYBpkdruRwSp2NwX7u
US7gK4qKBe49mIA2mFdaWhJRDC9WFhCAGPRMJJ3qMFnokzIbhMFCU3c3JLTIpxy7BFAbKs+irbhA
DwuzjqQI0Laq88Ie1lm3MuPfXCFXwkcv9nMP0RCWc3Nw5VQ+CG5q+yQfHwq0uPvc7hDkyFJchvwa
xpbmFIJm3s7EouXJtq32KDUAEI0bozfss/4zzbI2ShB7BZI7abB5lcH7hRcBtpwCfZY+PZkT4xln
RpmBFIUdtnhQkVVv1yUmQVxbWA3z4W3oYRnjlvOKbTt4XmJH0yTT/VzODJ63t62b+gMqoyZyJjk+
kihfGR7BCcu7sTyYgLxvWqNvz6togciaU/fQWjlY4m4due5tzGi7JL9T/fwkuYIetMWkQzZoEtno
dWYt9X+W16vLKiFO1M5gH9VqrE/tNNJ64oYRONxqaoiIsLequz613Ujz5p+ssOf3ZK7t1F/tlSOo
4FBo5+SnmlZ7V7hZTB09F4y6df6D6QpBrWf5QGmR/Bsss96ju8TLNhSMepMuD4rcmW5rAytFamwo
0Oq4I9uWeCfMd95JX3EyJUXekuOtntaxLdCn8F7eVLHuabPi1kY1dN8X7XypRVUcHNcdr/dEjSQA
g0NDMZty1qK8zlC5Ka8NDP55TX07t17KdvT2THz6U2urq2ey06mDJ9gU9gA1OPaOymniQMvm5bZd
kgZVwNVVYHoNMjPvTyvFd091wtT622IZ42i7Wvk2m7J4mNZ1DvQ+GSOTt/BdTbs4KiYGvoaV1Kfc
K6wTsMlsn1fFSy6dkpJU6GdlGQt/gAGTW11I32GAw/SJrJ89EzVkmLUeDStO3opk/amH7gPSSBoI
znL2+xTts6nlLiAlRaCG1+kqOWHbxdHvkK+Xe88p1K6xNsPHmGWEGafQpS4VsLN1ZWxuLy8gstne
99ISNHwqbmc7ruD3C+0V292RgOrt2ohsx3TgFteuu9sm63MyhjS0Vl61ruArDu4yvfH4VPdUbOLW
g2L6AP6hCORCk458jreLx9L9oZ8jgBk7DeOjwmNPxO2Pq0KmZq7WZ8/t7gCigSUTL4ZLPy6mX6NF
3KWeJXgUzE83Z97XWn0HxPpapXX6+ybn7Mar4/FEeQOpgBF55kPZmFlPo0+QkaUPhKz5urS5+YBB
sriIFnjwlsJN2dK0i0TWYpCl9X5HMK7YeTV1Inmr1LdsvKvlJCviJbYLsGt+m+mb7viSpSHNL3Rt
QlmHLfYYytua/It15/8Hgf+emiOIvRzujaP9ULc4TF3aD28ZwX3M43gpOLYPucavk5j0glolX1kv
SK+slu2wAS0P7K16cOdteLP50UIvZ0ImdCM+azhhw2JIP9juASAv2caeMicUSTo/x43j3HUpT6hV
0GbKSf4e28HZdsreWJqaXpuY2WI+Y5AT/Zj5E+nTkD5YHLj9VEVeKoajMZbD/ajHw14VWf3sTakZ
YuAyAsIwSFhhhtZB3M32p2Xo6jC5q/mewJ170Vo3CThqMawyPnHB5JQ09lgeChTFVeSmdAzXbuz8
3J7cq16teOwZ5jxO0wR3hbYUrpYrS1sUF9Pu1L+utuobOlSSyb8TP690yny7m2HmJjWN2Sxm1slo
7IKDTv8ulEvNA1Hmaxvi7r0U7nZY0tzZmSnFac8kstFk0AApNADwcWP/HZr5LdWSZyyFaH2uaztL
SWewd2OXBTV7fu3JVjDMdupdpxgoUiAxuYAUemflc/+lD930KnRqn5x6F5/AOkaUKuwWLIwJCmVn
d5SLCWaR0QnGYk4OKUC70HNGESUeOwmV6/54c6OexWj+knzIie0Pzn4xzDwQoovJGPK6ZCwkHnJu
Zv5gM83APIP3y+DGQyYXsDuzi4MwW0b7Guu+ZjxPAYJSiNJVn4/+hCTineUoY5dNzourbOPRlK1x
oPRiZ8cuOg74ljeLa8U3cd5t1AVVjmUqfsogFp8ZH1Yvg8WyRb265Y2wT+xK9Qklbf6GUcgJWv44
rJZR/kiXPTOmFfqjWXySIKax8xAPd1wFgp6HVaf5nBXGpWAHYH7Nq51gyYiZ4qWrvyeR38bbCgH9
PitvIGPqxpmGjd/QMCiSH/wVvCphipbw+K8jfheh7AtbjjvL7g/SfsaJhc9QhIX11IqzZdGVvEvS
k5sdQMhnjH104Nqee7A6bng3SHfwRnFLrql/pF9l7xJXnKnx5z1s5cGufjzngbrLz3RKB3Vj9Xux
UQvp54EmaD1GWX8Q2kWjp4VezHlo9BezeN7quzTbK4c+n3VcG8Vg7beaDyXtKKUFBhvfdXOz0l/K
SG/eX+fPI5PGchqYkNCZ49XWD38j/pVU/CotRBbQjzdL9TOChjLiW3r9ouox56Hg8thhSftd0jwn
8l3rbkSbHy2G17Z8cDpvZ4/aTRNfd26aqOUvDxY+RFF81sfdon5WGhhWwYojhZU+v670qFQSzRPb
BlRGJlcvetzlfBD5Sa5nN80PnSxDSx708qFun2uenJ5K++IOdPuBA09DGbbmDRO/wB3csJl+rp+a
nf5txJrqHODbhrMnsty7pn/TOS+TtjgVxn4WZzxix6oEk0wVzcEw6t95io2WDVWhKCq9YJqf4gQk
yUiDdfnhAPIrcXJGunKyPfUz7x2MHQU8eL1+beyjTSsCwa6fxTOSiVPK/hHfGN4jIT91ke46ca9h
15YfSXNfiuOQ/lx1FEBDgtniD3jRDDx0F6+6jsI+aLLMzoOHTFGxfOl8S/G8Lq+gTXxmHUpeYnff
MtMi9q+xmjPsc7ZpKisaxE/JVLXirYrmINs05IeXJr7NJMo9NriKi8t73EZ5J5Xe7RrqXZQdbIRV
jdYzxJ3kS4qb5kif959RGMWt6/JcbVRWxWXGHu+i7+RoH/olYO3n3rW0oDJxuZcIvVnywqVg38RG
d04npLfloXRqf8bdmLbZYRKYwCBOsrjLcOmacFsuJoI6yYnnvUwdB6/HkK2kpRr7cnpBTxCCrQw6
boP4zzNGyzO0GBZcD2uSgSd6Whi7VRcbGdeSy8hS77n2RtK+Z9rrmpcCjKZXrIEa7qzlRfceu3if
s5a5tX90Kvda/6pvj4b3wlr/Vv7NSGsYYDX4cKDxHfQpZ0dtf7UhGRa+ivUj614yPLCTfoiT5WjP
elBABu0aQGIedg7a91wWmCUcV5ZwpD7hG2ffp35S4lWZYaNrB+62x8a4KnjQDWW/EnlKyZil4Wei
0eC3U+1X9tdi8/HlNxuf1pgd24SezhoHBAMorrV7doxCY35dCD153g8+T96+9479w0pgkLA0eyXU
CWS2m7EfwaPmHLcrY/njdTdS4s1ML94quJFwIPIdoGAKtbKOMqW9TiylYSf13fihsO6XtDgU5qfB
xvtagyBnwyFpP5uJyOD0PPd31zfhQhOR7ayw1FgLaH2P6HleciOtBOsqz7irdapExDf1epGYZ02Q
EUv8ZiH+ydP4FANWd2J/yH5AWyeDGWn5uUM46Fqgc6Z7gah56hmLMzriysq534Vzs5173Hsr9tTU
ChPztW4+dJ2/yELBw3pAY+Ob2DH05AN7thNFg+MWQLmEaJa4n4NxXU5dbot1CCst/lJTG9JlRm13
sdejVr2N87elH9ZqL7g0Fd6p9v411j18tCADJ16YDUf0qadGrK19jVtuxu9XCKBoD7xWs2JPh7Gc
tWBxvjfO3Ln77otnx7pJWXqx2o9k/GCzLCKMx8WHKZq43XL22w+zdnGXA8C9weV5uB+x+VXvWvPR
0bVpJfWt809TTwlPypDtqmpv5K9q+nbqdr+yeMvmATeEJwntumPrsNZGNOg5R3bt99U/mdw7qg2Y
zzKpAXL4pNo3JEEVBlgaDlDk2c/bsJVgZIynr9a6v4pWPe1g2Y/l8scY5D+Szmu5UaZbw1dEVZMa
OBVC2bac7e+E8jiQU0OTrn4/+vfp1NSMbEH3Wm9s+h9Utwf6Ctidq42wfqqFVtlgv3SXvOPy5BQf
iMP3EC/a+X6tXrSPWnZ9kO6V223HPB0S+Rj/dcAlfw7ibQm2Z+zr5C0fH8XyUSEUMYezwYyVeMFA
HaBTINbIOJEkIew5YqaIjrzhVNL1tufbH0J6z5qotmV67uzyOpEawxef7phfQjk9jhM6Qg1IWN2b
ARBkTtLUWzZRGex+e/NvjwYlp73dnUmBX5Nby1zEwxAu+a8BA+FTBTeguJ5SZ4uudHGNPegi1Ubv
KMwiGa/3tJXtK8FaRV0lvHZkFkT3oXwqpf5cTHvXJ8fK/4AwYJUud5X7nsa/8n4IKGqvDv2Xf+yG
B9nyB2d25c1Y7Qe4OZyTxyk9SrpT2kZs0vVy0/WMy6vNqVpUnBm3A8L5qbinYspD4/TqVeR+UFDZ
PPmU9rQFX/Inh1hAQSmJyHVRbiUt75wtdNyFwfqZuM+9vuTBL90q5XhK5gtNpxs53N3eNLhpXqIj
DUa9dZ+1T7EFIe96EaWN/Gu/TRktTHngJFP/LwANg0Xh6lGhSgjBz77y4q5Fe0Aa5CojTV6Ae29Z
D4t5VD2rrDg4s7cbuTZs/2QaEBL9zsnvJSTJtD4iVUWtfr+op2X68kyemM8y+89IXcRwyOzpGGuN
O91tkQBEClWQGD8n77w2V2n8NFCEbUr+Bd28X+A+Rj0fmvJYdS/CRoT5JbyzdJ7i6ZXSsyY5ru5O
peeKAPp1H/iQzNV9ADLbTA9lfnXQ32bDf2U28BCcXf+VspaZWyxLcLG8utZLkl/1eBHJablJpoaP
XJ5IytSrz7wSZQRP8YRuCvkUWPez9dgCq48u7+PHaj4EOmKRQzvyzX0E601gNUWT8e8sqeSqLz4d
6m5JwYooCdrcB+z5zvCYFmaUWfSg5Q4yiZ3s8M+gkoq5nMWtwvCuor4vaY7ae8rFdBmt/xId70sr
AKum51Dds9CE0lOsPfVmhMKYxZ6wJbpd24gxnYEZ8LpmJpCCtna2kvSeZqONxwXs108kmaFFfbWX
22mXn2aKMsr+O0NLXdWUONTHyvxNR2/TWe85B4AlciIU8xD0uWKAn+EVk+lXL+nWyBaiuZaHvK8I
RwXCNbnm+PFBz4rmVCYfMKN7HVxxWjAVJLv11qXJ0DF7kdeipZbPlix32dQ/6YTOkNXhoEm2Kv6c
XdT802vc3pWxGxod9D1o1er+jX21XdPnqf2KU7JbEXnmHAkNCKYytpmABXCvrH6XoaU/2eHSSqpN
bKCc5vc+0VYeWMgVJYeetl67kge6KamzSL4dG9Yq/+3GGj4CLT+KGi5FtfX0aSTvB56bY5emD/Dm
mn+yRt4S0xbugR/l6nkcP5x2L4cHejFQYnBoxztV/9iw7SrI4D//Gj+SmlSPOH5FJsMu3h1TT+9G
86fDEh4HVJreEox1pY4tCKjAtbOxbgpf48PI52ND2xG6kxuqn/ypmI77g4nczaAFbZm5y9KXxVop
DFQR2N+lH7o8mjnBp3g7SPvNKrqvVchNKfrQsX+66i91vbNLO05CGmlVfkwqYzlH+AYFCOO8jhSO
XluDSzd9y4LX1DIjTT9atf6bUYfEL/XyF3SUFuK/MT81rdGaj5oenPVY43xZ2BBL+V9C/7Pa5qs4
jN540fJl6nYSOpcZmFLwjQkxzLYj1A/lt7r7cu3HrmFIsyFqzl2zK80H7e1HeXQ9/P8U5Lh+hIYi
HJgPZZ3tNQ2+E/I+SzwO6qyds4Icl+lPZbvhDHQ8GEcLmrQFxM3NVw9/v2HuEX9uBHsUqZFhjviR
NfOmDwiz2zYGaKPfZpuyHD1s7PJx9n9oKPy30qvjVE5YOfeN/YJwdZM1M5jPL+e7E98r42x6xyrf
64KGYT4b5Lm7PgXun6YTHvS/VLsqfZ+8mKh5TiKMSSeDxwemgKqjC+Sz7f7WSYta9AWeJEPwhtKM
7Nq8/BPzneheXPSq9YUwEvgLnmRxL1skXwd1K0zyz23P3uNexurPlnKbUGykwKqyF6nhlOiVabtr
LF+LyQ3H5X7oYkh/RrJ3E9XXQtanB8DOwscD0Md3XsZrVz9X45vRPfvqaVr2I4ExtY8UnzA3dXJL
/kJ7Vf2nxfbiBOc+E8cGqKRYmH4wIFblG13eD3NGRs4Zq+CmX59K71zJj5x+mHUZQk9SFk3zXzqd
BJVnK3lDK7Y8G2C1Yp1OmelE/jeiQm31IaHenJrdrGHF5eau65+Aep0SCiwz95Sw2sh+uvwe5dO2
y6mCTdqDzt7GZsHgoGCuv7PpK8CsnKI9MOyP2vrXqXGf2svWFkeKYlB28Ryvvn7UBiXlxPTLBtlG
mUaDIm3EGHcr1WGyw4nhUFlcTP8cRH2LKAid1hd8XieghniDxe+NqqFw5ZRGW12c4gBc3/DvMRKG
a1FfymaBLMf9CNRDCVS2RNbYn3rSzPl9eIqFp8BS5airTYCrNo2/2OmiKiYYt3PCIhF/vkKYZM2R
4YjPIMFOBA5bBzocOWCRV5y8YTkM5CqJW88arYLI5Ie+3xeWQCi9fpux9QBjEdZIYZ0x2Nv9EGXm
rUFo3Ha1c+gWXnZvmY5+k3zoufmAzTkE6xj5Ulyahtbmdg1BwjZyKa9gmZE9zifw/U+X4VAG44mS
nEf6VrfTtOyyNu02lteQdS0jPxbHwTcuVZGcU9vY1VD/G5iMX2XIna7mp2QRsPgQVZMVrm5/7Hlr
soBoosr+RP/CHEHDFTex2uAMCQkwfk5te2sqcVfb3X9z4cvIagjcDcrgZHLZovkOhbY3nWFHa2AE
oTsVGP7+lupx6J+lMzIer/XGCm6bXPkBLXSdsmJnzrgGvOW0kvyCJu5aBvBDdrCvlQlFSWWW2d/V
FbReDUOv1WGO46uVjeSoEkKv1/5eUwxZG+O2gM2LBf1rAMuUrJ99TuYbn3lFV3g3E85bJ+671Q6b
kQtzKCy8f6hzrORsJyXtSPmrSVL4bK2v/dpHAX9HII/USxIGcx45HBwd7a/rsiLToZ8rCRBXrHvD
NS99Ux3snvcUTSVxW6HyPaRaxWdn+Ieime6UOYeNO7321GnCZlL4vgTTG+r+g1TzEz1R79OoT04R
b+2V/gKTWnEyT1l5bjstSOKOTCcE1rCoS4OW13kQ+kfH7j6wDApNvHMq3MiFWK7YFSXxDajayRPj
7pW8vYRBndOSyb3AFTdI82qLMZL/626jxcDpt2jMwjRVh64f6Kob9lrM9JVRYwmzRyP20bOarcQQ
aBe394fPzo2MsPk3oP5yMr1Tb65bwqvvZcO0NlrT8wiANHjtLjHA4wSoz+zO2xIAHljqVyzBU0YK
ceiOKT+ULH9Vw/ftV1HrckUhr+0spGc24yO97y6wQbxElBChrEH4MQ35sZjKbaDKoxA1fs983831
J2xyuY3XFIVwa+yUgoa5KQ+ternASwCKTDPlCPEOutiJNEmEaZ4IsDtqEmNuA8lOasnsXPgTRWTJ
Ph7nZesQOtUDRJRze24SznJ/fXWQvo4Dw3BnBIqGS6iv8daOHoAECqHOiIuOxUINE+a+OEhZRtRt
vz4iG9KsdLR2S/uZDs0tNXUPVMSVmxwrQqWS946Hd1lIlTf1Y217NBc4VbszzPzZHt6KkQ2vxytv
SryC/Do5Mrr22R2Kz3yRkYNsBXHkYa4SugwZqXTLPIdFFBlkjfSs2s4QSrFZXhRMWDtwJDP28Hjk
3B+dbh8WtJN9ykth1qGP1gEZK2ZutOArp3ycUXDIm9B2DBgsN65KT3U8bPK43dYNnDY2B6ooEUa2
oWq4iEh7R3INLt9GqfIPFuAqDRZRPs6U3Hkbq7D3nl9tLbe+Z7484ftly2IgHowwIQvbt/C0K4lt
CO8l3T5hVoOFOXQSww0gMsib0C3xZg3dKcjHTXPb11KK0yuzPziMu0pXf26P566y1w9zgmobl7uR
rXAFkm09ZM8+DU3ojf2B1paaE1NiI6p1Aapn4fezUlRngY/atgNZac49yyDVmqFpTDtOhqONuG7p
1dZCoRdM5Vur85OecxGimn1Y05geR6d6alzEiqgn2AoxseVO/dFjTGNXg2OxUcbmprhDE3vX+XzQ
EvEUdwnULCOZy9uX7nFoRVMO67vyLQKKYlXaxvEcEie+s2Nvo6WPioBG1lLiJqMqfEIW7gHHF60N
XtLj7xxoGcUrP8GZo/LiyzGQs69x1BK5Xa5TFUrDBdPIq63Eq9wqwbWLRTT1t8i1wmS+7epdaNf1
Rfj4jk1OlqavUSpZmyCVPzYmk3ApnDB1IP6Fj36aq1TQBFpKTPx9/9swgbd8XmOFtZfteZYqilcR
2UB7rWnfmcD+HeaNTTL2dL0q61w764ud2wc03vvW6p+pOHmEEb5r+eWMs9xrI5qDBjw0nw4pbfbJ
IPcYp7ZYyiJIuUcxMKrCQfqYBAkmfSQ18rOdUIr6sH6mWNk08GPIFNY42Po9QzkzXKqNp8BmdZvq
48DEThMuLbTurE+lulXYY362vH0w/3O4vcaWH02O/EY9FpFmrJjzcT3wpyaxC9nAKOwkK+J353sh
eBvF/RfPHgcsbmIHDfLgDR+l6+7sMn+YAOeGOYUQrvF6JedMdXvs/dA7Qyjn4sFxmqOpccY1496S
+RNucLBQmFlI+6OQ1tF0gr9OZtSEF9hw0vq5oW7lRq/bAgBO6i8S0S66pRYndq4NoTT46fmQfUVT
MUpDm/PI9T4WAwx+6D0CHI3PCRlhGJOHWOp5hhHi36stOKXgvWjjy6oxqk0Diso0eQnq+W4oNR5C
xP9uO9QbjYMBcVazB12G0cgwDFJ3neWwC9wNDhZF1Nc3LsUgWAB1/jw1tE8vn1Ze0AsyouVxPRLx
sXJbYVZqJuhBnOq0hwWIW/IZXETdCm41SoeZJkFEazHLKc3Ah5tsc/H6O9rt90T/nz296APs2o8/
2zs3yy8zACMOlKhN5LtIxp2OlXM/TQ3IoU+2RROw0lADDJ0cS88MRzpCvM7fJreVsVpY43GnCrYJ
qfp74bqhcv0NSrOj3WZ/je3/Bv56p+g9aSnEdBxsDU59mhRBGASIzlZ6cpPycBPCMPZuFx/l2Q0D
AlKS4DCmpYBM5nVjuwmNxeDvjcGlDRQ2gE8mt/vQwHmTsao6akF3NLB/FCnTHI2cuSREo+qSCE3D
brYCPCD0zcLa78YS2rXHYV7Pqjk6KUmNRCx0s8vc7YCukKGw2kDiw7j3yhqNpUZ7ntcOcYgE0DwZ
C4Z9KpH9+6aVdKzkBWezLR6R/720ZaUowPZvLNFoPZp+0/o7+o2HfZWlmDvH0v/Oe/+fUCLg19VB
QZgki7+tNiyW5V44ce34XQZWcSYwqtxP2Li2Ex6ySEqEQjZdL4fYq6tu0zXFV04x8kMjUYAhIaKD
Zz+m/nBUlgld4CwGC4/7oUenO88q/V6LXu9xGma4yGtJUaYqqDVN4wffNHF7JmvKc22nFso7cDyL
+Arhv7Wtsj5w+PtXy1mqAg4MIhDfoc2iT9OyWYM2FGOcn0bLPbUBERmOwllNRz3OS4pxD3hdqruO
hJB9vzr43dqOvnFZDFFXeKiaemR6M53cXA32inao9jYY1fq7yvql1hGVbU43tu171hdtwwi2RsTx
SUvEQJsn8anP2OurQs84UwML5glL9ROitPSYKxu5khXTckA9WP6CYx+9l08bLrmTAdCxGdgku1jY
dR5zcjl8Qk2S6Tq1mfctK5fskkVXj2r241c+Q3sxXSd2bvOti9RpeYb03yUJVbve4pH50AcKl7cN
j03GTPVNNem6o8mv2oqSPA+MSV96NqYEWVQPqDOSPoCTcpuXLip4Jqqe03NJH711aP6KdWDFzZqa
JdSxZIAI2yN5JBxw8T00pWoPkxbPyqfb2JEmQItr3lVuGe8df4QeJ4vknZgb7tvBx2/skrlyDbLW
w3s3BLtVTeYH1HPwousY8sNtCrSQ+DnPqlfjLrFa5ywCqV+H3oICDqr1yA6Js0fOy2NeGOtf3Zfl
h0Ague/WeTzUsKU0HMiM9yOPYXSI/mMyn2zjR/aI9wNDv9iJBc0S0MpoFjhzdcZygcPgfw9+TUwF
h1uRd5iYO8F/3E7fhcAsecuAPtiL/Zz5nbV3JxQkDDBtYZxQqwjQ6R7E2k0qjioTVBhAsHzDTIvg
M1lrd4dmLrugi7G2lgVH0eJOZSirh/lINS2yD6k1HGDj0vPLdMKV2LyKRjCjjgYndYHLRWzK3FF7
J8cEj4yxd5CEuMO+ufE87RR4/4JMUa2NDWzcIG7Fn1hQasJPnW3L1p1BMxLG6iz1Q5PWZRBbDqCa
OO9n/gsOKAsKvBGVvrc0AcsbMnMgo2WCzQ50Yd+P2S+lXBkC5wlsqC4CfAsdBFhKbBd8R0uRbNnw
aUy79+nFoTa5rBbu3Z4AiCVFYOuDh+a5Xh4MdQ9JhydIZ9NDZqpbthQ9ZLnHeOEF7aFtim87Xl+q
YsbScjdm8uqnpONj0CSlI5gXpH5Iaw6JajjMrfY5Z5iaNkPKYVrdPNFu7NaPxWz7XEt1i76e+toj
ncm3qAnTfTVmDaZJk/HOjcFaizjAJtLL5Tp4VXvsm9FHqAvOsJ0t43MM2GM1Q/BHsZgNtktrPE6v
pAmk446Pro5Zv3YcAKCvjIW62Va519JPXSY/dpD8x5Cy3plz3XyUoEPO8pqURAMymqdkbcTkG2A3
T0IMqBxxVRz/KdGVT0L78e+wSDOBFY+zoxf7DzE34fM0OersGOgKK4NyZ5LvA06U26lRrmY0u1nY
x+SzMdc6Pn7UUvXjkSxJqP3EAQ9h9MndUKRTYNJDxdAR9aok1wDra3uw8RaFlNwAsC7JAkWSd0Lh
xwVozWcLsSPoVVivSbrja02ORtbBCokRU3ld4PBbDdM9T8Q7IHtiXbiU6qNSHzscJNuJ+Li7zkFI
bDGkIXaGoR0ppDLkLDbFYDA5y279MFb4bmcybJ4J979l5mkZrCwaiVdCFsvmQolVDJZvmJtagXO1
dv/fdEsrITauD0cqmA9DYMBAWnm3m9IKN6RIO/E1mRXjN7KrITMnmu1KxjtMFAzqOP0oXRPkWaWx
xJiL4ocXXxQ79LG8QrrCVwTXjeg64zaiWRtVNKXxmh9701RMyonhfa0ei3YpdMJk6xabxARtsP0Y
T4geyjpss4XkIoHHIg5w46K168I+VQniBfmYYB2hjK1FM6HVEG8AuPKGXtI4Vttxbe/aafgVVO6M
T5LRDBlCnF/VZJfHXuHTU/iWHGD09D7I+pkiPSOIXxPDmv4qLnTiwGzrX+17P+BZQdROFXsWY38R
BjH0X5CMp9H75/oSkUHVkW8tDMtAYkvHEPd69V53rvWI00F/EBCEC/cmlJ98679haHI7ysrJ5LQe
SCVLSDw7QhsMR2iXgt9nru67m/oxt0CrPJacyBuKalcm3MV4tbAtO31w7UoLJWNvnsti7m+OpBaN
ZdaB3kgDt01bfvhrSWSP336xwmrESUnR8vozn4yKLuoQeoCIJj9PizuCC5hERInWwXWWh3aVf7HO
blOuO38j8v1pF1RQc+c9BNKY7+I0xtlLKUgXeqIbh4i0O4cLrZU9DwjOK/AqEP55ls3eWs3JP6YK
h3M8x+2J/BaaoZagumKrdC+V9kl3mYIphQjF5PxWIYaNSAAARKAJ3bizUgSQ/pSJW9AQPDG+iTAX
5BdcGinz4DFLAkhrx5h56yRovwFTIslpSebgsxvQbRJcIXeumz0kQNydNsPE+ogHdgoQl7ihznOa
A+u3KN0n5U5PnaNBCtvxak/GpVZF9xbHbo72oQMd0KPN3ZdreJB+/KmsXkAeO6/TkEKEedUb7Yvp
nZMm+tWdA5JPxAxqa2NZp6z+cWmbJ0xWL6WPk8rBRsldzmm6WbvufSBS+b7KmQEdaZBylBG0UzjN
9CksvxK4lfFU7ld8g9WDaMu3LrlZxhYPWqueDNND/p4j8U+6Kuz0Ck/gc2f4ABWbahz+yrr6FU5e
g02hFJIubHRHQhWvTJ7oMWxtg2wGwYMa780s1pH0PQddv83QPQ0OZYDMpmHXGfVeZvo/a6xod+sL
/24ZklvZZICOwcmJdVMpOOLCthQS40WmWm9bB203qPizMWjM7ZxXtgnd6piUCub9n2F7VVQWzDjl
iva6XL3vDGBuVzfZZ9vW2EgWFqG2NNZNTmpLqBcP3SUeT1gMQjCiekmr77YS1RcBajc9dwFIGTkK
5sxLPNT40mk5ua0FItLWXvtkWrnJks+htpK+lr+AbrCAco+hTOhlAgGQjt3hZscpdnFqAK/m/mwe
m7yeeP9jE8GhWmIidhK04m/sIfKo2pbEicFEPjg3cx2Zckz3BfZ0sh5XZ72ayaS/S17uIjJ8431a
5L+qgPQlVa7eUZhFlpQ3ur+jXeomrK3pYRr78c01AwTQskcqdcskrgpKaFgX+xeY3BeBcXJbxoa3
qXNr2HUljD7jd4rXQbzZKWWtBzQkTrQ4/u/oc02w9HikYrBIIwL1WOPcFVtw6S/VQ78AxXVe0POX
XLYoIp4hWOL8Li36x1Vh9WOasxjNis55rNIaeqJaBHwp09OmqMl/bfFlwEbxnaQjUqSsHzzglO51
kZP/aFDQuhvTsTrHUlsRo00H7Ek7nO9SI7jxnDTYdXGgfotbahsKFEbG0TOumqCpH5XzF42Vh9jg
XNiiVfWj3gc6mLUHTBz79T/prM7WqMTAYiL0hTetCUuHB47krOkgESndjYHsjpmf+cdSKbByJ8fX
Og14PVG2Q3zM9YOaOGGqEcAN6NK+gcjYjhRZJcB7BmLP2/lBBNT4QdCNDAtPu/dNbXWfhej7U6eC
4rGf8/jOssf8XXhugLfX0OFUZMsuIM5aRLF2Ukwoajk5rvhe0akZxMJtREM3WpUHxnHEf35wEktH
LhhZmHt2ewAoQbJgCc5ynw8Up7Z1mupMfmlBxu/iZhPugIHOLCN/Lf5f3IVIEP8CHj7qQHU0ZwZI
W2DGO3M0f1c9fMgFF77IxfKfD4Bztmfs3HDxzYn+uuJ5FajqRDnPF7TccggxpUA799XL6makwUiQ
SsdASGbI/F/rKEYkpq5NHwzOnze4vI7M0WFqj8sT9i0rnKGrNjjLzA10PkhrdcqC5RYoZLThXGRy
55jC15tVWEPUaw7ddGY2G2LsQ33Smjt/DsytEBCsul9aAhNAslyULZU7RLz4hH/ErXdWtMD8TRaO
537WbEdDZqy7jAH8pyCd6boQNE5KTMf8T5DPRc/mtRTOL+ll/UalAzwVQ27A2FBIMtjGOt7NHnGZ
c9sZz61XuNtCzhhlYrumdn6ypP8ldZu+MWoEH5PFBZ6LzFUHTJLTu6qcfN9gpsHyh7sYQKhr3lcP
s1iNUGLbE1i606Mp/zL55DTFIZbu9NiVREnuqgSSsA0SLgprUafONnKiAoSB+5Jxm4y18sOZOqIj
GnwTwIxL9k6B8cIGgisyRKPabmCb1PYWq3oWi7mcPWttIgZu9m1Ak1Nt1J9E7xXbyepfyt54F+wD
Ud4v5oXoKvWK/rm/h5C28SEmQFhmEZ8DDHzYBLvkG/zGZX7BnuK3sfrulmzcWbqINxqU4bNpVgGC
NQGyrMq98Hy1u7yzf8tOubgHdHVIK2e1zq6VNMPP7Bkyw6Hq9yTGJWZYtFZ2Voi3TpmH4qka5YSe
KSfjZsBR6pXLHKp8AWzixEmXu3lyzKc+difniJkpDjvfKvOdFVv5HOJGQdCRe2osd3mmCZApUZ4R
g+qa9rlzsDsuBCQd1iQ2nx14U5T3fbmjCJo2W3wHF1osoDZz2RBAYJg0GQZEohIKH5Vra2xXz5s8
ICZRALMsrb3xfEleUyFcBLeL/z5k4PGFZSfFtrbXN3u1oZFIk7IBTeME5eeCIKmN2+IwmOZXkXI/
Le0C/9B3ywr9mbfqYy0ynZDz2iAgqOaUwvhWE+YENnP1TTUCvVvOfZoDTMUis7fziEhm1jByxHyt
EdXkas+hefsfgldvKId/ZlpmexcV5dZCdbaFNqjCQTtBVK1F+bMGsboUbR4TKBeXkwx7GzZQedJ8
WJ3Wx9+t3F075H5Usr+dqjYd4P+gpXpZMyCkpntPlXDw2AlXbwM50GdnANlNyPWWLLUu81qur2Ty
Noe1mcyraRsyDPx8uGLXrnettRJn1JvzAR4AGEo68b9yZOgArmRkWG2xxw6LhKPnfM/yjByueshA
4kS5L/3GDLsJfB0bOYot3zdpM3YFik754zDdXPK6cr8JFSDNzQXQrwh/XPnI8H3r3Bn7tPfSUDI1
bNUMnSpns7pb2wX5gl2M6AlTLjSYqIzjHnqkXswMP3uC0MWTyaudw8lxYxj2m1BGdXSDtj8P7u2J
4l7Yg9pRrtOLapfNtXnlXbhxUACbVQooShwaTYNjFRAkpP/zEr7qfq2nG6pbRqbI0vfZW8SpElq9
VJonBN1FhcBSFiw/Bkxp6QgD/WbaEoxKGLJP5Anps9BiRa3+M9Os+5kWEoNA5PUBa0lx7pKqva/H
+VtImdwzTFQ8V2iaA9V12KTW+hDIdrqubS3PuIBJ0IOI3MrBJXbGTmr8g1jkRp/TvVWwHg1uc7Yf
GLogA/rKhsTcEm6DPacjHRhR3zqhSCZJmZTizbDWy2Yh5mGX9LxsJsD9jVVnsiyS2wPMcbYsgBkD
Lpv1o0i089qnzGtTijWjHgdJ+qMf7ErXqQ4CCGuD5+1DlumtpEVl5HRIAXBB++mWRrD2dZ4LLiim
FSghUmGyxp73DimKfylCsk3ZTPFBVPhI3QoV3kjmB1wAi42ZTQuTd4EhfQ6yHfyYvdcToa0EJDUP
t9Nr4+G63NTcuhFVPXB2Y0NylVb/LcRcEWEa38cSZ3u81PlWkTuFfiX94wwiHNecP5YRebFSsX1I
p/KVYWkIfWE8lzZz26aanO49kWK+D7pEXNY6+3Ho0ORD+kly3/iF2M3zxPMdpNOVrdHZUarbf3Rt
CVDt2MjkWhPCK81+q9WHJs4G/dZyj2wtCi6PREsZxyR2enzLKVyQcIjT87zqRIofUpJ0Tazb9ca1
5c6++McOC5xkG+hVmJ5XyCcKfFPJ3NY5ptz7DZvwZJvjW5LX8b3fa3VpsnqM2IzQ9U1V9gy/gWtc
oQ/OCDNONyu2qM2qsn9BlTXnsVHlGXEGH51EJQCABKF0owfzUhYtOIs/uEweCaGGKDud8plAMvug
19p8hA9C4d3XiNFGrArodm7fQ2LmDCHrQFbWOHf2f+4k6nueOdIX0vSXOA3g1MxuHrzYRiCRNdb6
l2WDve1tAFTlALZMA9YatzUsoOSaAZ2g6div7GjGjr0fO8q1k07BtnoN+LpVdyHfLj3quiedJrGs
8yrQ2dikEmxQcCIIGxpMF4iUNjNxWmy/w1OpmS8ts3qetXMtddJGgmTuPamf4su7Scqbm7OQt4eh
0XEVEl1X3MnR+GeWk9plvTN3hL+2KspzczyRRDLREZh/YbeOw6oSaHktCnIo5xA7WqSWc7qSnJNY
UIStKD6zskcS7JCY6+n0i8CbapegsSD6rJgvTd2wXgwBqiaDBWCbOi3TvEBOEUir2mdr70XJUqph
hzYNhnoN5tCWBqujhYjLVzN85jycAyyyy8VfapK9YidIbyd/cU1B/f/RgPAKYGU+juVaqLONW05c
i3Ig4xwOFXU/3Ft/sIZB/Zr9kD5m0vevcYqUWNGU/EBb/C2tKlYx11GRj7iHl6ZBt45oF/sRtpr0
pizXecdsyV7TnuJ6Th9MH0tgDaBMrgnJXFZb/ooUnhUsG08f7DZEOcmRhBA4bx2t94eUEJM91lg8
/jIRRJAEIDYt2agyWVmlGND3hoUfqDfBblHPyq1jJ18lssrjKk11Ifow2ZK+beLh6LJw4lQOizmQ
57Gm79mb6/ek7O1dEmD0LZZmwiuU+tFgLvaLalaMcRMjlmkM5c5appsSk6+1cprPPPGRBfsGz/PI
K2Wb/Q9LLdTqauGqIZ15ZxBa8myNQ8C7LW62BJT4vB9kGE39iIuDscd1QI/LmPTTarAH0j3cnhIP
QHX0boHAm5zElNMYuUQ7UXl4K5zixcYvP0b9mi0f+Dz6MPg/0s5rR25cXdu3srHPBYgSJUqnlTu6
u8tuu30iOCrnrKv/H60F/LtaLlRhPMZgMIAHYpGiyC+8oYb2HGZut/LsWdtcjMR/lQPOwqRotemT
GBJI00e3rjkgiZy1x15l8cFEPn6teo3uMIpSB0N1zn0v4QisZF7SnCvzmj0U+cZA07vS7fEuDUkI
+m6IPnpF+pPjGM3zzJ77RHn00o7ecLTSNueMimBzOgrEuB0YX0ZU2e7lMMZE++B/XEL4jqp5+Ckr
I7T7J/AdnhqCXaBT25e2p4P7mMx8Dz6BcN9xf/kq/dYg1swSiXA/4aZwVwxlvMGdl6ivqNCdDfoK
9lcXAhig/qh/8tGmWKkRvK+OvDbMm8nfmIMtnFVEy2Hjl1NIiVkzm/UsMCnWusmSNZMyjvA8xYuZ
RoBBTJ4ThV8pILik1mm3SXqP+GCADUTByDtMUAwAAIOqGwoKeZpH+yPq6PPqGNJN9ONwx6iCr4lm
00SgaHYwtKG6dTHh24DBAFedofh4i2VlwyWrNQOvhgC374z4ftCQdA+62tqxSMFutNxfmh0ADC99
9y4xq+7O5AtCZ7yY7hFB0CjouklFEOChIO578FYpbHfjXdKVqO6Hub8XZGO7cewgDw7+rAaC/AQ9
5qhEwduvt9Ks833kRNaxN+3kOIY+QguqiGb9CnNl1RAv/Z7GT0u8ogyS/KAy3rpaWR9GJGd3rSkg
IHuSW8yUOzIAz/iFhGi3oYhuI8ln++LoD0H9KpwYlCYEH0rpNQkANHGawxqwCL1pq9tKatFH6RAx
G41pUzZp222VATnT0OL55WlR/Jw3Prqe3ObfnBACa9yRL6IpjlJpD2QglrWB5O6I8rUD9C/rbHNP
a4AwuUJiEtWfgYZgNDyjLC1uNdtqvnmlRV+KjmX11Al0QqDN1GuRFD+pMpi/ulZwuNOV29pGRCLt
IOQwaTGQDrgEdLOkvfJKMmbRBuk3O4nNbdsPzZesJcVAnISIu3d+QPQF2R145o6AAtSLY1WU7Ouh
fQ5KFd7lLcVTAXxtMLuZ4mL2AWeQiN8cuvxk8QAYmrHUnsrAST8kjl0+G1S1KKzOhWEhYfzYE8jM
YbRByschPg3o60ML4SvfOSYJIZ24FpOLXm0C3ZgeXYvAAvYgRR+6K8CccA3rIwI2FLBag5JfNPwC
ap4dHK1RsMPKr6amZx+7EsMBHcDWt8To+wkstqwPOQfGRk7cY5oc4vsRhjLoWOGt6wjxeq/ETDtJ
qGeaID4eSKBRle0h5KBYxVGYi1/EQURsVjLfyVWFEUUFP8kRqArUjjG8eA5IXOTXgicB3xzNfqTc
blozcvat6tPD1Nnl3iunBiEONX6rcI3YwZbnpEArkGsAUivtguYVxwlUtWRq0w6YWSaECQdBv+nj
0AAk13t9ehhKHGPDFHN6tGARCda5h3thaI+GI7sdKZhx6Ksm+J4VQrsxPRrCUz587yxhs53T8HeG
Fh/ox6Heiagvdr2IJQzi0ETayjd3YgK6S7uY3BGjgJ3EsAOMKgi1IBe13Ccj1cYoNPYDUt2r0YSn
3fkW3Z/Ia7aTWSvQpjhq5E1nf6mKnkrdfMyOsPtuOlPzbp2BIvgqHKqvsSadr3KsaCnmdpHfIAlc
bWzD4lWgIeD7b2kLDhEMXbalD+EdVAT7xsNEZZvpeYROhNIOceBH29BvNY5VP9uaIyDl0nB+N1JD
G2pWBaPYg4pPEKNnIlDVaaaSkiG6G/wnhQZanrX24uu5vMvG0HkxyjTYIs0e09sCKytbS9x4MY28
3jacZ7PpMN5x7DdCDOMenwDtzkZukGgFuam1idTyBsrwL9p0M5gKr+R1qCtkmOocV484btGFjN3o
JrHAcifIqdku0sxUAtBeT76oTEOeMecOzTo4OIE7iTstLorPVov4jA31bNuynT6YxEK3EWIA68oG
nJJEkf+g6Evd9+x6rqemBwIBNyCLsfLqcuQEA+s7DSLzCfr5D6B/lOemwd93vd1sSjLdvUsaeIs7
hbhzjLHecfMW+2Ti2IuqzIX5mfYoR8lwF8a1+0ZPDtO+MdJXmF0CK7UxtMAusl6HFWUTNuAaITN7
i/eSj5IDauf0YKLvplGjjAQl4IFYkf1o6vDPNPqFQ56DwNQQtUQsWz4T0qmPKATAk0A9CBU6VBHh
tgQzPX0M9oHdp8Tt2D5HtvaD6z2UKI1xJPXRJHeRp/x7MK+gAidKpZzDwGxFLneGnn6m/OVvS+qK
67EzNCJPLbyjkBdsR00ROKWF/nsK3E8VzJdPdqLxSTlVq2AyGOoFlnG1c5OQ2ArSG5R6U609oEwI
WoDuw47d2VSTn90H6WAdfAOUiY+iQoXGh6IR+0gb0vksfPSkyU464Dvsjimfik0QTQh8BfAGM91/
QZHkMI0Kqopd0rDLhpRYbEwohcFkNLQs2ccpHGuCAhgDtaajn4VIcKD0fp3rmX5DvRd1iiQs7nTF
ObR2ZzMesx/VB00HHNRQGUITDB5PnKt9bSblc1okCAEltX6PGve0DgVlAtcO84NLI+MA6BaFA0Eg
s0sNJAOGMHutM/rlHLXBjYm0ogLuPxI9F4hdrganUZse65qtmZXhZ5mNGIRQOgS9SSX/1tEs8zNI
J2tXz/EEShfFvjGoQVMRk3cThPJDVHXuLh1A1IZhh+5GD4x4kGn+Gocqe9EsmLekziPQLWrgcVJ8
dMfB2HFKoApH/+XQxLp6DvW63IVoM78C70TQI3HoR4FQoOWZCwistGmGpEVqHlHmHUbDlEzxyq43
ztwbsifXnNB3jQEyZ6IE6lG7lJ6dhmuhx+aIOK0PHsw+KpC1DqpPWjqgk0Wv8BH5aJa4KdJndN0R
55AoS9ZTUW8oMhbog+tU4eMqufeSYvqYE3rdW0H4NKJasYmy9heHSr8aXBwF4fuPew/DE4RFiG8t
QD8rmxARAw2KzciuUZvASKNJupsCzcB7L6V6U5XUJllM4MeDKcAUN/oewe0vgcO1sMraAOVjoGBe
0hX6Rlnxb7RAc7YrQgXQRUtwSkB5kecQz4Pff4Ni8rVG5+Kmn4LxtaFkvqEv2+1AoFGkyBqXWCCw
H+ir5fva60hR4EsjrYCNTq0ZoEXjvIAnjRabS+1ijbiMu4pjWotpYedrs7ZL5Ie5gqohdX7EiEHe
l05IB7EjktX1KXjIDerFa9oJ6UvhxOne6Vy58UbKRK4T4ytQ4qSB9FryAdRfv+4524iVgf50uTMg
20lNs85CwOG5p+4HowAgEd9P5XOto32Ctr/+ZhWt9T00ZkUtBUvIJp1cR0ihPgivV2u7jcddNnn2
ztHd6nPU19QVFGmyPcY6VZpguAd7Ln5wAkA9jRKFN02MLwdZwQN6jlymhl9D2qEXnWRueg+UNCWm
ygk88Hj5wTFMrIUgCXwN3d0HaKTf0euLt8Zg1j+8oA1+ajnClFHshTtRht3KL2f9y7gDGw0GDo1r
k7JWV7SvoV7RLCJcA5EL5VR1VK5WrodRUVS0wScawx4BeRK/9FiNPLvI1IO5HxuUq3pvl1ul/duW
QG/4V/Tao6NwsIBI3JQtdct1rPU2mPgkARgbIqF/X8ZZSemkTG84raZPhllotwY9/H1SthwxBCui
JWgCHEOWGCkYeJ7+Db2az7XuP7eouyNVTp0pcT8V/adcUd8TFHM+lINy7nyQ5wA1JtJU2Rlwy4AK
xuyjh8hWM4O8yQAcT7l+Y6QtngqUa/emEYcfjZkWpisR3FMyi3+lJp1omPodKt5zeU20w9ZthuSO
BCN/moZU7jSc0HYItOBTYMevoWaW+bo+RDk2L2jGuVRqHQrsmKRsLB9N5UPqbE0Qj/ImSB/gryJM
0nq0R4rGgOcRGfadg+DPLJHSvIbdLLPhoHVa9SnIEsCeNALA8w1mOK0NVeVbDpJw2+AawRCYXrAL
9M2otcUuq8wKvH3uTT+8PJG8/BnXkYXlrV/7EVhXDaV2fW4VRY58tqbJpDM75BtXNu7eMXlTdoUi
gY7qEd2z/JUKs/4NryPrYEf5i15yKFLx/S98DrI2Os0rMbhYH8XDm9M7xQNcp+BHK4LuQUyU5mjK
gNIrbZdoAq1TJJ7a9Imy8Pi5yzkKaMFilJ6oT2U5VKtKDW+CXtBPL/F0OksuyQ7Oa/IubfQvI7n3
ykyncI9unzPLtkGkQzOVTdWwW/jO7qygx9OgjAl7YKS0fB0SVcPZdoVqVHHnA6xfhTYhlov+aotg
cQZ7tjdmp5gGDWCXkua6UU9dHJSfcokmzyrwA//OHWJ5C6Cv2NjjSANUN8eHMkod7u7GeRQZ5TIM
/pK937rItnbKBRZEB56uICYco1vdlxSfn+hrhIjEZt/B9fhbSXr+ZAelOAwdInIRfUSwRUZ6S5UV
Bm5q5PvORGLOayv/w1DaP5Cpz25F3kHvNXsHtX1vWo3ka484T3E0gyznuCBNF0Puvdg2oElfFRRX
MtQdYxqax6ysaCCR7DwNCqJBKCg6mD1KRE1UOI9VV3OFunIO0SCARIMeUzzk1Y06TKY4HvEKmfMn
PCTDQ+gAryJnM2YF6OzQ8jkiestZ1TduuAlCKClWU9Qv1ogSJgcKUjA+dkzgGTU4OYICbDuG3KZO
8d2fg+esLLtfDiqNP1K79XeJiwnKlCDJEmhet6eGmR31bvSxiZENPS4UaKMImI4y9ZGqNfqDHjCT
u0bBuvYEHDdhoDAgcSAOjaq5qxWkAcuV4yv+WAZFRk/eAsmBIG6LNwdRiShSpMOm0VhouDUBEt6B
S5tKzx+R8QphZ4HmwPau3+Dv1YK/KKioJSCKNfjUwoNp5iQFVguZNyD+hJRP4yY6volC3hZg83e2
2bk3ZToVe00ApGknrTrw9RFQ19Tbm0iFG99InbsEdOyGyI4jqWm/FCALDzXQmZfSmfBqbTFTDB3I
YXZCaOdJ3FmoPmk75D/5elVN8D7qzidP6C8qsfpNlI/yflLWF6OzkJpPuGObjI4F8EvnpYVjdx83
3Hx5w04pLdDaidaCuJOYBnTgEPajK2HIloCyaLryuVBDJQLTTCRtaUI9YIUVbPrYhJCDGDcJDuzs
eqxHTv46vxMu7AGzLUnQPIOuepdlByS2dJDgbXTILKv8RvRKzAM0FXmYOGk5EaXe3CC5xRZGLkgD
wEQim36XstJRDwzKgxVp4QM7zLzBxW06kM60H4xAh3rf5hlHRgFpVjXFG1ZJkIk7rVUrQZoKftGA
fVIBB6GsR5auTMHRCexoiCsoSjFcGg08+ovJZ8aJKOTGniCydLKCeRV69eeqqupnvcb90S+deO+P
g9ggvWZtgOt+Aw1AjxAJzvucG2hrNz6K7EWNGAOk7TUYH3VIInQFzNbl7B+Nr+2gyvuadj68I/pB
tQDV7JcU/HvAwpte9N8wVdP3MO+dnZPK9hdeRvatcCNaSa7+A8m+dFehwvri9u63QDlA3Cr6E3TT
foL2FVtaOWSr1NkpJaH45hQ9qBDZYrDV2ZT+9HxvSeI1ATWc2qrl7dQISVDi67WR+ILvlYtXVz4Y
Od9+YaaHVjP9J8Nq0hdJ8giQvBm6HZFTeMum+lE2NC2KNCeLcALuJa/Tt72hgy+thb5SSss2A7ze
lRwz5AoJ5tbDBE8TfGC+bX0uwsaj/YSFXwBjLhz2gxYY8IKox1DMGRuMtNBEdIHa3UZYYWx4FeTj
gT5unST7beCxuEHyKfnejEX/bKlW+1b21IlSw2wgJcqXkjDzkW4bklS6N3wl9nsDcWZTc4Umgynq
sKla6kZ9B3whivKfTI6Pm9rQivpccsgjWlNOEdS3QyIlcsJl9RxwAB2CAs1M0H/0K2iyGhmsdsA4
OK7Q1jBgyMVW9GhNIQlFCqdWhqRRanBbmPve6N0AD8AEqlUjGGPKlvqEEk2LGwjAKdBNtaqmW9ft
EDoOnPhz4wGgdAxaEHXMJWHpPWtIIWzd5JpG6a2qUNGvarA6/RuGlFSW40ShNaKj8Q+rZBjyAz0b
bR3HMCI7YWKZnmTcnzrECr3HjGjKIFO6gw00oGtMfMFrCOvViHMCjcc7uCgfojjmZLGzcVdbMSXV
gC8tQeQDTlcbrJ141Gnp0FcL85aYAPw9VBodHLLS6nursUt6EcBv6B5I8o52LPyt06nfvtt2Po3T
YZizfw19K6hUcGusTd6PtBVLDwQzWrmI0UX22N7a4Nd9gkKrbSoMsHzOuzW+GQFZdy0+A0b6XN7j
MtmCBcDqp0Y4HDSDa3V0YC20GbW59Be6dfzWtw3aobaGEjrChiDZfOu2LnwKLGA4fgajZv2OGkG3
WKIArCXFL4cS7R5oTrHHKG6cf176G/KB3HQmTf7A4ENHQgKNwVnRVOcs5qRG3zsNUAPSP5ZIaq7y
yoZMnsh+U9o64l+Qcu8oKVHH74nnVjV3MIw4FR8qLKEQO0X6LHSgs7SugWxwbFf3dLemVxv/hCP/
LwYHTaBt0zbUtrINRkh+4JMAKOo/tRZgJgW68mdsmyGZQ2yQs5asjTkrI8iOZrVtOlz+mWndKRtE
Xw215YYstYN3ENU3MUa1G4Tmna1BKw8ZEVOhGRJZt4aIQ+xDh51ZQlIu6Jr2/UPXacYrrW1Ik9Kg
SGkr+1Z6hJlcFtCdhOlvi3SsHtAWt7bVlJZIR2AeoKoQxlsFQW4w0QuyeIhXEV0W+SwJQqkaVFoY
rmXVImhjWyA7fbSLHNGhGN8ltBMgwUPFrPqPUe81bwbiXUitUml6Lk0wZzlOROup8NBiNtl/VYjC
C5aUrw4N8p3yPrgQHIj1ZucSfQL2Wmogayzy0XuKhQgSQxoDBzp3ULNWfvWJGb6UGY2yqUv0+z7I
rCcQ6XMF2Lde9KKAvza4Ltx78IHAIysq8xa9XvrhMLJAgitLiDu7h0upee3b1M4ASgORWj2EZ04+
2W6bJnyTXIqrpKNwQYFd7tnwFOdkL5GnAcKGwHi0R+UO4ISOUNss1qppxCKR7tKCJW6m8KK7D1aN
kCMKINUrGbHYd5DGoUnjpXJbCsG3EmFP54loOBhcX2BjteFRUeTWD0MJLhk3slgVz/kAv9cDZMVp
RL3MMCpn5SQJshCFw2tLIdyEroU8vpWln8GYv6rG5sDpUuyPQ1yHbTeufqHgCwCKJLhGWtaON1M6
ojOGZ/HKLaHMjgFnuTYgXtbwQ9dRqVkvE5BUYHph9RkHGWPvFEl/jAPL5k5h29UGzVXaaNO6LiN7
G+C9dGsYINy5uQUAFrOly0pVS0pVogGX5fupMZ0fOV/z2kLQd+V7gKguW4SfdW43HUfCRJWKP//7
P8WJOTxgOByWQ0SMkUxDvND+/E8fb5mG6RqWSQsI9Vfx/vGt9CWJ95g/w4/+6E/FOhfj18tD/Oml
zhCWS8xuGrYl9YVfOzU3RcO6y5/FdD86rzDn7BjyMoTIy+PMK/HeSZ1JCOUaLJWpY4L9fiphUE3W
mLrZcxF9oHwhC8zHOJjb8K2EeHh5rPk3XxrLeT9WBdkpnL0Tn8fhLfN/u4jIujTCBRX4JH2o6zvA
YpdHPLeKjqmEMFyTf5nzPjnZB7Ll+ipBWD2D44WJ1uSPxMbgLi6PMv/uxbykrpRt8iW74JjN96O0
gtavFWrZszRvLS53FGxIjA+JcSj7n5eHEvOzLo21mJGPYycbnrHyHikGyADt9Ay/FkjjL0DD61aj
8Ey7o//puschpuBaX5nsn58Wu9FRrunqhuA0nJf8ZEkxxkpd4IR8WreKqDI7XJ7gmTf27vGL/ejS
Tq7MMc6f9eI+LKmw7DUf7fKny6NY51bxZBKLnei4jnCcnlHK9NYPNpO8aeW3fzfE4gNuuhSfiZAh
DGMnvs60rmhzeYQzS8V1xPaWUpj09xYjJAOlPPAR2fP3JP/awYvMXGKxK4MI48+lgktmUB8UQINR
aX3/viPfGmUN2+05/qZWv8iZQvXkJLek+612K9tHkByB+3p5ZmcOpdMxLf39mKBHzBStp+xZIS8P
bjYuXMBKcp3kR8+9uzzWma3wbqzFWR55rjGZ2MA8O1Rhe4ikErkWMX65PMrZGdGikQDOpKtbiw2X
TYpSrMVna7ivs3Bcv9E6JAks4CnT98tDGWdnxPdpW+wNl9vj/eoBjFa93jAjAmqsWp5R/9vZvy1c
TtYfS/nRMr1t134KrBt86ejV0nSQUM0+uPkDoUToUfL4kKCkN9zgV3n5p/1xdihDV/qMMDeFNf/z
/pcNSdloWuAaL1ZXf6mMT0Dmf/+7EeZfcHI6Nf9/BDN/ztynf/n0xcpSz3Who/P7KwH+KN5oRJeX
f7/N73t3vC9WaP77k99feTZVbZ0RFF2JHGuyVWLdxde+6bOjgG8z7PkAJ694P0onoCVhyma+UHoB
CYVUjuEhgtSZOKD1PzQDpKFfPxtD8lXQUhys8jjjSv0o2dsOmX+HO+WKPHB/ee5/7g4bZifsF4er
1DXcxdEf594gdL3ASNT9bNufott/9/jFpCWSj3FPv+hYIbGa7tp/ei8qFnO+EE3dIHAzFudIGYcF
4B+LMu90aId9NFzZGWdWh+c7IHlcpfNRL1YHH0pMvDXhvVBwz1a28xc/37BtxYWCtr905mvgZOMB
WhWF0mv1gl1KhfDxlVP23K+XQkp4gYZOoLn4cmJpRngnDB7ymrfjrhr++bs1rDkmsaQtOfkWl5Qo
cquItMQ/2gj9GXw4//jDB5riGA4oJpPDy1w83wwkMDVNaS8haoBI0pfawz/enKcDyMWNB1lejBk2
zYjQgXTcZ/mVQHhe3/fnik3hHO0MIZRt62Kxe0DaQRBpcv/otnDXIbmsRusvNiiQJFsnVuCEd+Yt
cLKDCr2IsGQAcFP7P90HA8L85SX689BCZcW02ZsE9Ia+TLosrWm0kcbakRMIe1ngeyaWQsY/36jv
Rll8B0Ibq6YyzfAYouyEjFh2ZRZnPoR3z19cgcjjw4PAavrYVDdNeENV+PIqXXv+4i3wywmeQxke
x1eFlGF55Yw+8xK4LlwHTpx0CdQXh2ho4fMECiE55tkGVHpyRw6HxdrlOcybcbFZuQBopNnSoFe4
DDnrskqAAzCI3mLdTpEzuweMVaEKH11ZrTOfBV8EiilK6QK89uJYSkOMJ0Ce1cfUeSQTBSch3Q+X
JzMfDYvJvBtiXtGTz6LEf55TvayPMfjWHTaGKST7scSVbdKf3Lg91rWFRipiUJShU+rZ/3x48gOd
MoWwpbMMBukUBxByjIqWHFyOakJ/2sba/rEwVPMhKrAD16cwAhOE4WhN1H1/efgz29E9HX4x+yzQ
J11qojruyuFLrH25/PR5ty3XVvKHBN/VqcgsPiYL7aYRfG51HMRrNR1LNJ0xpkSPw3XarebfXB7t
3GaRmGuhM2NQl/lPan7yJh0AUwAtnAqjc+CqdGtL65dZpFde2JnN70rH4o6fwyB7ufmTJoOpllvV
Ed6dn8m11z1P2Fgg7k0d+vKEzr0cywLy4PCpueaySgb+oCydfqiO0JheKtu/7S3zyr12bs0sW9L0
pRBni+WaVVk4TE5U4WqIFsYLEpDGUywahCQjTb9yxZ3bDMowmA6QEKHLRQDm0zrRIzNvjiBRc9rQ
X8DBH3oblaUGtGKixIcBGdvLKyjOLaEijCbu+8+BuAwM/KwFjcqgKYgDCvX2LqAtmPxGKHLnM37X
dp/7qH3qIUZ0Lrp44SF15a5s1MvlX3JuoU9+iFgEEE3ZVwGl8ebYIF5nd89jjnxK+fnyIOfOstNB
FkuMNGYNFbRqjm2zmbQP8XhrKfrnMM/1I0bf9bXv++zqmvP35pKrCDlP+uSLQ2TBiouRSelgb6rm
OfK8K1fNtREW55PKvE5I/OiOgOx8CueIywzelc/sP2u/PKbY/QB1HGpOXDbvp+EqV++lNdbHWnsC
EJMD5QnFk1u+CTM7SO+AntkKw80rB8nZl3Uy6vy9nCyep+o0y8apPiYDCOfuJpOvHkrXE4KxNOPa
ZFWCDbm8P8S8Af6YqWUqAgPTss1lgu+BdUb6NWiO2O5tdHGT9m+B91R4e/T40uCmC8Guab9ATF+Z
69nXeDLu/Pcnc/VDpGILP2TcQH6gV/rZw2/68tzOfmA2lRtdOWxJZ/GlB3lT91rh1UeT/MV+SJEk
NXaXh/izuKtsl0gEtyOlSxxKF/cZchXQJjhR8GbpaF66SDM82/WT0d4LV61F/TtX34X/Qes+BcVj
GlwZ/twiOroANSq5DaxlMOSj/jFhHd8cUfvUoY+VV1bw2vMX35oTjT1sHp4P1BPYimyvJIHnLoDT
37/4zACYxEkM1/PYjtTGYUbkm1L6SCYq0azTGTwZJGNw1Cb6eZdf3LWZLT41GaA1mDjMLMfmZsIl
L81vLo8wr83yw+LFkPdQd0fqfLH7xAiLLUV1+Ih9m2u/OjUhDh4bPy+P8uc8lK6TwSlpEX2rZV2I
nqSLFYesj2Kn4RELvWZzeYA/P6J5ANcS+n8v6cWBPiGcAVy8Y4ABCMXeQPyMuPcvxpiLWgDrCNfk
PMmTswBH6yE2Ar8+9qhRx9tkdmG7cmv8+TaYBnk0QSdVH3d5L7n+4HUoxNXH3NnAs9B9bsNtHF+J
nc6+jZNRFt9LCmK4avE5PabyS2R+cNPt5YX684JgFq7JWfPflVq8jHYwCZ8Liwui/EIfkOgFU0ZA
08l9Wh/G8tER18Klc69/jsyUI1g8Z3mG0nBJJ9AL9XEENq+ZaGrSyu6uvJwrg7iLSEh05lCPiaqP
QfEBBzYXyWLxcnnl/jxpSBfZAIKSlu5QeXq/xbwoKkE28L0jsKM1SOauOxrkEUr7SOdeOdXOT+f/
xlqcLfrgBKgSpUQozV4ZtKp2kXPlq5x/7vvD5f10FodLFOnDBNuI2xNXjAiTtVbRSLKMlYHpXVVd
S0nPRAnvxrMXb2gIO8OHdNwcA//F47QMtVu98Fe12DQONtoVCpJ35XA7iCsf1LnP9uS12YvwNfLK
gT+Ek6a472Jc3TfS3TftldW8NorxfnN0VluB8GQUor0hevOj+6B64S66vAWvbAt7ESqAUA9bF7Gc
Y4A06iyGiDHllYP03Plzulzz358cpINdQsoZ2RYOJCs0040rU7j2/HmKJ8+v2qGZvLpkCsPnwYMc
8nR5ic4+f4Y2GLpNbWD5uvNc5jqyas0R35F1kD9O9c+/GMCQikIYjQl92bDQImj1fWlSPYo+I49c
vP7F401OSi5MRfaweMXVoEdt14v6iL4eVorGlUPs7PKcPH7++5Pll7Q9nWng8bqB/PiN1qa7y7//
7IcAjpdeOrflHwk5IGNz7IRXHRXyYdn0WlF7otqwbaELXx7p7AE2V+hdCgDGH3li6+ilBkePsKIH
NGX7O2GjMlMZuC41LTD1ZDpcHvBMSjcXDJkWGDGDiGxxZMYNClaRLTHcSjDClf06GjsU3vemuo0V
HqazoLu2gsN6edyzS0p7g9rrnIr8p/V78s4UKE4kUqnm9TEyyKgISIzl0zfHurk8zrnTZW4NUoS1
6GUtd7aPCuyIfhNFy5hMX3pbTI1v4kFeGebcFjSUMQNKABb80TPTHKsFUm42RxvVEFSr+30STu5f
bI7TQYz3+7yALNxomLUfS4qCLUBZ8P11+ZZ3u6K6EnqcSeAIpk4mtPxkVQk1JFKMlT0F3keUBwB9
70YMTzX9qKt7yj/Ya46JjqSktwnTKxfc+fV0gXLNFb0/eoSIjwCoozd9tMAdTnX7AFHx7fLOODcE
GgqG7lhSEjouDm3UGURs1ml7pKy3ekKB98rbOrfDT58///3JDg+wO5e15PnKDNYJDl1a+ahajDj3
l+dxboeDdiNJIAB2/ijmJqVywITn7VEaGGJDb0vxDEvafnd5mLPTsUhC5qanSwL3fjr6WCO7qqF0
Qh6x8m08PNcGruXU6C6PcyYi5RyiL4MBjIHy52LjYUdq+j7KZcdcFmsblvgkbvryRoWPRrUpr8Wk
ZzYBUhHkhxSqDcL4xemHDyAk2bQZj7b/s1lX2bfLkzmzaAKojGHZXByUkRaTqQCWd1agBg7uTdfv
pvSmmWBGX1my/5TdFmEvw1ByMSAhQ49bHAyop6lE6ybWDI8N0/8UwcPNrBctfpbq0fB3Vh7MGpqr
IlJrTB83EDrXErAtKoh4a4K9/YtZSzlXy4lY1LIFnEs9t8smHI9tugcxjxYc6ODo6+VBzr65k0GW
+zGWnej1aOSASlef8ukvkm9hnjx/saZIMUWx5WfjEcR6jxhcin3hlS/37O44GWKxOyAqNBZ0G6aA
6SOqoffIkYdwhv/dQs0LeXIORYM2TljJjMegPuBwGtbPl59/bRaLc1Q2g/AbO2Gh8EiE+ds9TO69
q7b/bpT5V5zMAkqzqaIwHo+hdWcH2trq4G+5t/Ja7+X8tuJrJWSwQLUvZpMbnTfqQT6iWrQRam38
c+AY8AT5f89fzANMg4Bmx7YS024wD1FyJVU4cxu8e/4cYJ6sE85NKaCDajz609YTEKkgUuwuv4qz
Q1jgR2xKH4DSF0tkOn6aBC3SVHjHmMW2x4hXbC8PcfYtnAyxWCUoFkNap/54TKtH7Jan8uXfPX+x
SkGF5V3QMwXsHjHM47u7/PxzSwSO1bTBmppcyYvn6wO9wq4xpqNlYzb8Yyw6KKVX8B3zM5aHvsVm
AsTALQmQ6v2bHqHVZUNY6EdArYhGH/0MJZTooNRt2A1XXvm592HN/ANJyM6MFieVqIsgzftGJy25
q3VtXXfjlVPqXB5CgqiAPdGEVKaxuIkrxF5ynxzl6EsU7/jKs1joK6tBYEChLhxhyGjU39vQup2i
a4C6czEH84KkgM6N9Qd4Aj3nBmXSSBzdesaBO9EthrKJ3LkwzbwrEz23lJDaiQwtAoI/MK0p4psT
FVfj2Ep904JVRCX18uabX/xyY5yOsNgY9dR0iEUzQo/C52O0G3776V/sb3r6yqIxprPPF/uhH7MU
ar4URz3dYMKL9F3kX0kQz62TQ0JKC44mFSnx++2tPE8OiPtMxxxpkBQlVqTWL6/T2RHYy7S7LWmp
5Y7TIq0IpjSfjg0qm0ETrX5efv65Q4Duk0XhgDCIWbyfARpPZgPpeMTNMdqiuOtF2lbr/mKZTgeZ
J3ly3ocQsqVoivE44cljrgzjL07i0+cvXkOTjFNUukzC9PdQxJGmv7xI5zbr6fMXmzUZDQwnMGg5
uqRHAolBbEQaC89Q88pxee5t0yKgVk9S4VDner9QpoEnbB934zGOELI2ar7sfz4VinPgBoWgrfVH
JYUYa1CoFvSUofC+zfUHE+uYZLC2QFOupMfn0nM4QFKaMHVAvSy/jjQNTOS5yv44eHW20d1BrPIc
8qrMHFSijTRc495Wr/HcwzNBFu5zWw/lR8PGk2qgHo64lD50V062M6/y3W9avMrR0sHCNPymMgvX
Tfqz015K49HRr+RU526Kd+MsLtdw0NJSF1V/NKH6DfGzHiFOGa6G4ql0njtt2zefJAL2l/fpn+wR
pQyybIqwDk3lP3rKlqD2WsW4KsU4f+HimhgVSrwbmIDFsFd+spoiiLXZR2wwKrO4MvqZu96gDUgF
0iGhctTiKNHcpHc1R7VH4X6LsH0BdQfHOsvvPOtKk+bsS4TZQWuWuILw4v1nUiPbBNsh646T8TtB
eWHGxBT/j7TzWo7barr2FaEKOZxOZBJFiKLSCcoKRs4ZV/8/kP1ZM3vwD4p87RNXsYyenXr37l69
FsTOSMhdn9CF8wggUp6RsFxWPPnPDUVJPcFa16JSVR1QYA6mFce14H0B2HI92SAGL9MillZKdg6V
9HOLiiIh83FSqm2lrZWzl8wY7AaiB9IvF6EDXC1pXurl8BymuzSkFf6Doj1fn6k1E8K5QvM4pnsI
E4MDgQ/iuXfWWgZhzYRwpLQIQr1hwgRq4mN4T6udsraFl9abgjybioSvRo3hfL0hH86hDKuHZ9ho
ZGjMttcnaeXzv53GyT0YqFZWyBqf7z/Z+mMTv+5ZNW9SsOCAGDVuchLlwu1RSfLkOF5YuFL9RRo4
9qgb0Yv9qjFcGFHPpwiNS5vegqhwHdQlQf+/co4uvi+c7UCaqt42GISpRTuj+xBX5soIhH30jwWV
CeLtRrFELCeHadpBqGjTUgl70Ff0jOLv16do2QD5OkvmFoft9XyK6OxPoA2ecrftzAdq/nd2kz+U
XrZy5IQHwb/j+GNm3m0nuwktBGi74oHeTY0Ed4cYFRIvQ7sZ/Udd+RoGX6+PSti8/5jDU5FZNXlg
mcLCZ7y0c1lhVH0IN4Zlb9T6LQM6sSDMm5cbclnXMk3YmX3jUKJQzPcIz2wH60kn/R2mX66PaHGd
5sQn8HreCJpQGK99Axl22FLdSeVJCg89QKZyO3nS7XU7wsX478z9sSOcy3Ao88Io29xFy35ESL4z
90pN2yPCcdqmsxrpA8J76UoouTw40q0G7ScaOZDz3WHQid35JrujB/VRHlvvzl9DgK2ZmDfoyQYM
y1wp4K/OXQf2LfPO/xgVbzqrgFGpfDg25ZT5J5yYMAa65FAcyd3I+JB1v5zyMSz2b1idExPCzVWk
UwppXADfQz5tY8MNG3kDj1AQ/1TWHr1LGwGMlEHTOr1Z/Mf5aDLaDfUErm4XwpYtyhzvvBTeKgWa
lWTSPyupsYb9WFoh4gtaAug+nHsSzg1qmSQn+mjRB5sr+zAI9xGM2wjFba9P4ZoZwTUMuGwlgFvQ
ldSfEQQhWvnDUFdS6YtzdzIUwTnMNzMUTjQpS3Cn1bCEGYkbdpCKy/7enD5cH5AQYP4+safzJrhW
yefJ7ScMyGFt9OqTQbm5U/M9YonXDS05VX0GoCJNZNLvLQQcsprCei37tK1nxj0kUw9aEKyYWFqc
32k+w6TCc4FrsHxzjHxIX93YgeBtfD9JnyDre/0wTm0I81UpkHtrHQq16bArADMpm+vfXxvD/PdT
NzCaeoa2EYsfIn071Tun6zb1Wn18adUJkyko09moIkF1bqXTFLU0zSF1lUE9Svr7qil2Wvojf2W6
4vfuMtCoNYnVeIKLbqD2UF5XrTh1PTocjVtIDK/P1uI4TDwMUILffvN8HFra16inmqkrT8cGSlbo
UjdVcvx53cpS+AEa04KsgPQUQOpzK3ow+INV5LmLljN6r0jCfNPKO6QFd5YG1KteCzzFAuLvaSNb
TUuipdNXKS5Prlkg88wkhxXYmO4tyZi2kVRpO3lQJDQMSv3G7LoXSDPRLVeNcQ8dd7TvEPLeVHne
bpQSQSYa3aqNiizMNlSd/M6jBXV3fVqWtipQAFUHMKIrFyALqzN7ONugA1CzTzEStJP5RW3fcLef
2hD8LSycsqTI0BvIqiuV7yuYG6W1Asri8p6MQzgMkzNmfgrkzUXb8s5S+w+WNr3kqnaHUPtOteHK
16N45bm9NneCG0kVaEjRaclchJatxyrddeVbLJBd440EnIJMmLBpFXWyFFSA3ClHmLW7Dbrv2biW
Y1ocxokRYRgwMU8WhKu522UFkozhpjQqWrA+vmGjEd3Ro+vQvyk2YVuS0plo87FA+X3QT8cJCnGF
J811K0vXLsEXaTwVbB9sAecTFhWl1kJ7TozX5bsp/OjlxxTek7H8GCQ/r5uap+WkJPD7fJ+amt3a
iZOP4ExSzJZYbxg+9d2jtvL5pVXBtTsmVdO5pVA4NFZmJFbsQVTR+MmDb0MT0yP5Hdgrj/DFUYBx
mYkVYB8Ra7MWrGWF2U2cTZ3+2VyWniTb/n59ppYWhdYLY37A8m4RXW8Br4OCtHju4r3S5uAgNBsc
tWLbr5U4F+bMgUPAkWeqhdnrni9JlUP6hiZw7MbNjyTal8ohtlaWZY5whFV3aF+Hz0mGqYV75NyE
k0eSYRmgQMzib7Tg6InYOnT999ltCNm44rwvxxUfsHA9nlkUni1IEmtGzCZgnw2bWHtX+shzTObW
hAz4+jotTd/cmQVm1YHrQfQ2QQh1B/z3sduQPBwi1M3LTWqvxHeLw9EhY5hj/Jnv5XwCNdLsE/IC
iav6X4y0OMbmDdonOwXtuzeMxqDyqdkaJXWx06OtyqxDswa8jvTZAiqm2F+aciXKX5wx+iRAetIS
dYET81Wz8KeAtcmg35egEn4v97+uD2NpvuYHv0mpWNMvsjNmXoa2XekJaRMD3s5mIys0YMWESePK
MTUXfAH0ZKSYDHrryb0K0b0UNd1UwePuOkijPJVm+61MPQQ3DC1COsFLpScv896HSXiQXIhBD1Ji
HJBQh/E6KKSbZlLSL5YCmb3TTPWmBAHL+3TKviCZGt70kxr/nSAufXAm1XkHO6Z213X+eLThVt4b
NJrsLEltbmTDGFyvLiB+7/vhiFBMtGMjdW6VRP27rpfCXSX36s88aWYFFihCN1OtOT/kotWHrZrZ
7U5rWzohprL/u9GRYNZQnv9VIbL34qdG9MPPc+cmR0/uzshTaWe3SXcEyfYSdRk9sf7k34SSOR3l
PNAPECQiKiYFMLjD4g2vuR7fJPTg/Wq1LNwjY1yC2jPjAy1z0vH6si/4TA4h2DOI1CgbXDR6Qw9W
O7Eau+P4Meq28GXM0njXbSxuLc66wUOOB52Y+KsjHdp1NIzdpjwiFfw4SKDZVsaxuKcYAHkynUeE
KvjLfEqoGiTYSIt6/yhn1copvxwDuB/ml6K/AZRCrOKYJqryOiSsrjfmvyYDmugq+dwHykOqWivT
dTkUyh4gG6EY4VKGP/Lccxn50IVdEWMK8vJbaS3tJlbDCCj4PtATeC1IgV6c9DxXpjJRWqaqDaGX
DWoisRLcaQUYeeqbOz8f7odK/jZ6NlqX01HV8i9yFK9k/5YmlDuaagK4KZt+5PNRymjAIqvDxoN1
0h0gf5A7kgpGXt+Ax95e34CXQfs84j+21HNbBrz3mhFqsYu83iFXoFen/3hqgF5/sCv7XbR2JSyu
INkleIxoartIMvZtZek8RpjhzjsUPn0+qvnq/T7XxgA/yzI1GaKe8yEh9OI0NtlMN0YoWPV/1Wmx
MmmLg6DngzelxjjEJFkXSBkyiVrkTihP3yGHc31NltYfYhX4Tn43Z4iUIL5UqbmBeKKbBu37JIGV
ADESaP2ij5VtrQSfi7ZoIgDPStn9ArfTy6oTO6UXuR7o/vup4wFcWfWw65C73AUwzrrXx3Z5Xdvz
TerwmqKR+QJiA1LBc5wedT5dPcY2wBFScYfrJpZWB8qROR3DI8cSUWoo6iC6YeWYGHzr4FtqsW9V
r195UV/eDgyEOJPuC5ARPNzPd1meKDpC31nsJpm6l9NPRvndng4KtScfbv7rI1q0RU8mODEZz2QI
tuqmMpHUDWJy2mn30SSvuTV4bVNL0zzvKI+O9UHt9OgtS3ViVXANDoGH4qUsVRMMN3MEsTW1FgVM
Gwqv6+Nb3BTQgujEogovofnvJ+84Pxlj5Cn82DXyrxlV2qj/oJor2JIFG2w3IIX0CzCLYmTdD7aG
2J0TuiHvuKnbORm6f2uVgYWtd2Zk/vvpQOyeGmSEkfQvHb2siMTHq2dKMSEeZlmA2V28FeWRjrkC
7n23QNuvaeTPxZi8U/125cGzNA6LaueM8AdEJqIYoN1GXi9RGccntX6Rwufro1j8PF0QDmA7UqSm
cI2jWdIQVPN5DxZq80aN11qKli5yXp+stKbPnbliTDKMaT2p8hC6UH6MqNJJzyAdUIAg/tyWJeG7
NeTfK8kw0GhGIjfLm+zORoXoARksgChvGK4Biwg9Ezy+xTRkJo0zi48euoMq7bqhewdG9+W6iYVr
HIosSpJzGvGyTjT2lVKOEhsv0T6ZKIYlsn4M6ocycnZKoO6KV4I35kAJe1zf3H86dXEhKxYUZtKh
NRLB+FJ9SI0K2XM6p3r/y/VhLdxO9KLLxDlUOhaqUd4wtk2hhW7lVTd+J38Lcu/WmQY3bPWv100t
+QcaRRkKDuySI9quw8zIQzt0rXJnIdOWP/b168MGMmJ/TAjeoZzjcLlgkWgazRGe0sggROgYXh/I
4uE6sSI4U8QSfdlHLdYN4xtVezT6m//t+/Oanfi4FBXOvLb5/mSlyKwNT0burwQlS0Ng1eGjApWi
wtl9bqI2tM7j3Yv7yfYIu69dbAvXKWBJkiwazo23nfB5X6vxr7pNnq1B0OJetZ+d8LM83Fva6yOR
mbSOlwpRwmXClSRp1AxNHLjdJB06uGjhzFthr1uaKl6pVLoZymUuxyjjxpmfkG7wMQdH9f31a336
dWGtE2dE+Cvk606zzbOHei1bKDIN/PYjpwbmpTrZTFUBE4QBIZEbKGjVIvkdI6glReM+T4b3NMSM
m7Qdfo1d887XhxcUI1YGuHRRAH2yYOlmt8EdJOwFfH7SjAhLuH6svje6p6L5nkntJzXpUQMJk22k
Ib7QKHtNiQ6zNnWMGMSr5/j0F4gQrwER8FLP+AW1qT/JuffShc7tdRMLvg0NBOpL7BFEEXRhGX1T
L/u+Un1XdhAMf5dW7ui8PljEBI0UiAPOjZSCbwtss7QSzfRddPXq9G7S7iRvf30Uy2tFPyhBgwa5
h8g6boZG3Go6coYSeghfkaEvd8OodDeS3UgPEPX5R90gR5RbnrQFWJpvglJH3Gr0pdtYQ/Dn+s9Z
nFSuQaq/8wtAfAT2Ra5W8mAEbqM8JekXo/zl5ysPQRETPB8PdeatsxxemsTFwvHIU7kjMs5CF3/7
k6Llj8DXt3HzqylbWujT+zarXrQYrbBgFpS6Pr4Fz0JymJgFlKnKtSjYbmwkm7TYDly7C7fD5ykM
Vq7DxQk8MSBEgVJFx8joWYGLNL0SP4QFZckVysHFMdhz+yg188vSSiv3NBLUBYHmhOppoyDK9vEN
s2TPNN0YwJIQCNlxmzW11IWuj6DONtYGRIuSdA2VszyOP1bmv5+4yQbNs6zosRJ1qAeCYWlLdWW5
FyJIesYdcyako2Quvmedws4dq0pDktwlQq3hSNQfTV11P01BfDMWyvjekX11p1nDWlZvdj/nBR12
OWz489OPN7tYnCp1MOa9TrAulehVDc1dYk8f1b578Ud9ZUMs7rkTU8Ke8wbwrlmNKUB03qZroWlT
86nf2uhvrmzvxTWjngfHFWU36AXP12wyck2KMqJ+qz1mz3GzEoYtTRoEEPaMdAO7bws5AS+M/QJp
tNAdtWOSD4+29qAk7RbZxcP1Hb5mSD0fhyZPOgLOGKqSF6/V76X6AxKqt4mzBtdYmjB4QemTQ+yK
d6cArvSGqEFbXApcLzlW6s24krBZ/DzJE3IMqIdcdODD6xyjJsnna+exf/HKN1yAFFfBcJCWJpsv
7CzKRoUSjUXgAv/3d9bkFy+0pPQPCMPqKztr8SJUDCp4pG6BaIm5jALFMnrh1cAda6nZehnYwCGO
q0fLa1CH1FDYCsLgOJjhjhRVtzOigk5vpPZ+aX3rrKQKlk7U3PQ3czTPHUjCPoyzqDMUz/Zdc7Dv
FTRkk87bBa/sKf99EfISxMNyE5ECE8K0IC2yAD3MwJXz5ocd0Uo5Ob/ikpJXU79lQDQfAbeCNeiC
Oy6feyl7OwpcJXa6fV+OxfvWKLO7vuxfSQrxz6jwENzvOF6S4udHC+nhrhxD1jEw2+F9nQCTMcon
ozbHnT8o6rvKL2cig3JceTQsbiCa99Q5WKNxQWyydaTQLOVoCABGZU9FQNtPZWxoikO7stg1FAIT
C3lfq3acrac2u57aACKQr4fq0vtD9+3cagk2QcSjREFuF1ORpDy5C8rqaOZ9Ldfe3Eve68SGJTiV
wqssdI+xMbTHvEfR1kQLdrxFRH7lUC65FyAi8gzRg3RDrBaqNuJ78HhTJI5vLH1rpc+vd8Mzyy7c
MdyQNOKd7xU44MZqNKPUTYLuWJdfKBpulOaT2rzhhpzbrukLU/AxohCOr8bSCFlA6mpIHCLVvAU+
LYHfef1oeCbgw2hPJhOonY/G0PzMd+IudavxMLPt2rcNsNm17ralxT+1Mq/ZSdgUDXmVaVqfuj3q
3pVR7ZLhrygINpn08w3DIVsBLJdmb0t8/XSynqEYLSdupO0sNEadjZf/NTbDyqwt+VpyFvNLjhzV
ReLCA4NQmWWduK3SthunSh9zrfnWGvHKu2PJDjbo+SSFysNJ8EtROGjOYLVgKiZYj3MNjlbNQRYw
rV+uz9uiIzq1JNyaABa6ylGGxEXS/JDBABvJ9kMvOYgbG7dhaO5MXz5Mk/08mejCJ+GLnisrB2vp
4M4JRo4WBcMLAn6/jmpFSqbEtezmG2w3T3mwBnb+neEVI1xKDnQGAooCGSdckkoBqcEYZqnrlMZH
vZx28RTu+pLhxVCu2bQtJUjEWf3woAHEiQfnLs2j22GV0W9xYYnuKYrSJHCZ7YgmNUVPPHVztWx2
tVTuptYOdjVw3+sLu2iI1sHf0DliFMFbxWkchm2Lt+qHOPqYGaF/6Ip2zFlD/w3pdUrJNLqb8hwa
iLdoPEH7bzZMrlIfnccmeUPcePp5YYumnuUZ7cAN0inmpvftTfv5+lzNp+lic8DpO/fgUbkWq19V
1KIQrfqp6xfTT6u4cxB6TrM7bTL2fd3srxtbXBiblhIyC/oltkBxfIhtHMCGlv2e1pKNXL9PLGNl
9ZVlKwRrRDa09Yr1o7oNnaRMaxTOdDnZOPn03vDsox1GB93vDnoY74vNuGmLna7uVESM80B57+XB
Td32zcq9PEeG4uwaOOYZVEecKlImD4FZoFyc0kGT0DoDRKbZBtpUHJBiR37W6tJt5iMs12bOi4Wy
9cpMLK0tZTTEe8guXlJwpJ7X+5lSIl6XNDfOqHwtczNC2scp9kNp/d0GifSGBaYgY/1GkwL2EW7W
SO672KOY4Y7Swwz4ccIvuvrX9U20dK8aeBBgjzPXh+jOCnPym25gTjUb4eu9EhxUmBW7N2Qt54ws
dEVkz7mIzm9vy3ekICn11KWAeCyb9NjLyuOUhLvrg5nP78UGIcVFemgOhy313AxUEwT6jpO6qfLV
MYOt5/+S624TWF9a2u1bZVzZEkv3DX3V/9kTFkjXuiigIR53hVay8beqru25JQNzQQB2ERjJAUCc
DyjvOP2lEc9Rwm3o3xtP1+dr8fPgN6DmIwLh5jz/fJraHY8ZOyZq7zcmzGwF7K3/kwkxJU6ufYp9
G4RvFjTp7TiUySOE4f2KlcXsKrHaTAuA8NaF7AO+ZqzkCpyVEabW19EbwhsplNKtoXf9DYwB8RFl
ZuW2bBIPCE6IuHo7JmtYoiVXSdqc0i2pZDylEGv5XdkmjdkRa0nTFtDNl3gabrJkWBns0qoRz6F8
B8qcgpSwKawpCJUpnTvgkOiAom2LPvbrF+3UwvwLToLt0a+zIImwQPRrJ5vGOLzl+w5Nb7N8mS4L
3ze82g6sXErcyX6X7Nph5d2zdE9Q0J77lKnRXxBhJFreRXVBbN3pD3bUbOB02nYgXbiZAunBQaLe
UFZGtORGT00KDs4n0A9zB7Bv46cbWB22aXWrUsXT1th0FuPPU0vCJpv0Bqhd2vA4Da2brIpvMt3c
t2l0mImnejPPNonl39n1uHGk5nOWmbvMlj62XrSSeFjchQTAhNFciReEH5ZvdX7e87DQh/oF9o87
kOg3r98mtFJQHiLs5B9hoxulZOZFCoST1q/go+2l3r1tdcOn61aWLo2ZNpnYhp79CyLXLgczM9pT
7A7msAv8Fz0i+/ouNx6gPoRV+MN1a0tRBOEauSgYYqwLnjJfhjp5SEG0aXD+borOuUkT5zaIk3d+
rN07Sbf2PF+qy5LM+GNROGyOVFM/j0C3jVH9rivSYJvJ1d3YTXQlpO39UPoHCUr9sYLX0bb0cmM1
a1IUS3vl9CfMjvPEn6jpOE0hylpuXW0GbRekK4/c5e8TB6PZQWVNRNlCUWl7jlJyj/kf1OTHJK1R
gyx5dvpU/jMgBBZGEzdSVLFqYTp6wHez21ZOfmj6GqvDkhuh6xBADqqOEPMJb61koDoUSOD0fHr8
NsbUflDScavFyV96uMZrtTgmgDizODBtleJtZWeB1dJGGLukjt5Zo/4x1KFK07Kfb9jwJ2aEN1c8
2GNq1kydYXqbwFe3vkzznT9reGTwYx6uW1sblBDRKHImDYbOoApT2QVNsCmCchOa3/4XK4YsLFOL
h02TnP0sdfe2f5Cr97n1eowj++3/Vgcah/MjA43Avyas6kbtj/VPdS2jtuj3TiwIe7qo0qqxZk+U
aO3DEChfU2COVWrQV+a9t/z+uVbX2viXt/fM28TWhr9J8ANmkBR25ECIVTkszDHOUXDb1G8AjVNF
A8wNxBZtYzE+os7SS3YJLt2RvsRPdv75+uIvDoLuC3KE1ty4JqyMVxutkwdF7HaFSt7W62592bgZ
Wppvqmzl3bRmS1ijIWvs1BxrHJu2VYcbvd/0kLVNK2WSxTvpZETCPVsGNtDTlBFZnhNtymDYNZX+
0E32bcyV243T2rtpcVgk1sF+AGGhTHy+uVO7KUa5otEr6O6SuZll3FaWREr3LfeCYcwbjnQ71cJz
Oz4KhaZapolrD7dKeJOshMmLzobOkrlxEZY7S7hZrdikxSTg+VQ5f8nSB6340UWf3rDZLN5g/Kuq
Fy1xXlHUbRIygibdTsZtlGy69IaW++tWFu9PZ4YK0Acx17jP5yn3taTz5/VAvfFXmsv7XDJ+XDex
uOSwtdF/S9cqaZRzE5IXOpCERYkbj9vc2PrTxqS0ufZeXvBpZH6hPoACnjKtmH8Dv+/JErGuq7Tl
LaNVN2PTVJuyNz7Ug/3OyqRPYzStVbsX3htnVuexn4Q3OcAz0/LBvINZeqQZ7g7nsdWN9rnOpr/V
QfpLKtpDHqy1LSxsv1kMhcQNUQ/5G2HVssLou8Smg8q276sCoQX/3gTqdn3dFo3Mz6h/SrYi8ZMP
1tlIbR7WpXacpkfJeQzD43UTC7uPV/uMgWf38V4T3E/RtElWVCYXUbKtt934+s199nnhlNpZVsSq
x+enEHasu9J6vZOZ1dbBhQJsBrYpOLOmC8Yk08FPQwRcjdtsJRBYmp3TzwvxU4vKdz2YfN5P90n0
AuvGygovnEwY3vn5M1qIVLKwjWiG91QnAtzCO52nK9pQanAzhrwOyjU+gUVTYPnnVNZMqyisdJgO
Rala4E8sPdiUmb+r1b/lwd8M6ppK4JIjAEjDuSC0BWAoxIFeHFVyFrQhEA4a5RPzRm7gdxodKpOF
tFej8Bj19afr+3jpqHCyGRq1p8vq05RoHTl0EGoqnOkDaul9Xb3049rlubQhDCikSGGbuDqxBUFR
88LWwwjQdun606P2+uNCczTtymRQVRQnhPCmm0K1yFp1cNXqYH8N14oWS8/Rs+8LF0Fq96VVSuD+
JeM2NoxDoT/C+V8j8aCkd53z0a++TDM5rL67vjoLQQ5tMGTRgXiShhZTqWnmFPSqaT3digjF9D8S
7T6VbuHSLta0qxf2HhUsMj5zJnIm+jm/Dqy00zLZ93toRlypvR+jeFNM39TqqRw/y3m5sl4Luw5r
gFzw0ERTYn1GS5Nw7FCQdFMneCdF5lOdGS9h0+2vT9/CrmNPAzvmbToTQgjLNpTGZCDu0+Gku80Y
fHLe0Kd0ZkDwDY7TqGPZtbSm55s2P+jTyvovzNPZ9+cBnlzSNW3TJIP5vp1+96XdIO8t/+f1OVpY
+DMT8084MRF5dupbUz8P4aPch7siaXA1j6ac7O3svsjklSEtbOkze0Lc0XhN0Bvm0PHQsTajSuaP
SJ1fcIibp2pNuHCeH6G2Ao6PNlliDvqexNRE6LR9AuVf50bVs3FUuo+vn7vTzwuHpm1l3UstPj8m
cKkfowYV9sfa2NbBsXw99SMQYuqzRIhzU7H4DPUdI63tMu9crX9UmnRXTp98da3wsXDX2TOOjqAG
8r0LMJ2aQpulV2rreuauy6EC0o1Na3ub0e5fHz/ZPEIAj3K1XlZoJTuOVDQdWzcIsk2o/5hW7rWl
lT/5vrjyRSZ1tN8mrds8IRv5WnXFGTl3+vM1YeV7rUhjv+Hna8BEovtpuKvLlRBtYS1o3QEbpyom
VSKRNqGuB7mBALtBxfeOuyXRbvLpMV3Dpy1wlNmYoexgA+vhqhdc2BgnqaKkauPaOmoa/bDxyi+Z
991TP/XJCyJyn4IbEq3WU/BLsreBeaA/xlgTJRDcHDB/uqX/kBj/vn5PfJBuNungtbAMG80+ku4z
a5utdY0Js3lhQrgK5JzuPRpdhmf/U9VsJtx1C53Gim8TNt2FEWEup6nJnDqohufW2vVRBHf5r+sO
Z83A/PeTiQqVoO7IdsP2PHyTvifZ32/4PEefQIPiAu+a888HTaHbdQ65t4RbbumDfi0X8z8zdGJB
GICql75cZ1gIi616q8X7twyAB41DJROmKWGV01HVsymo++diKrdymG7XJCuF2+vf3/+fAUsI0Us7
6Wzdq/pn23rk5Tcggg3z5k4aNrm9UqsSi2a/bQHmI/b7jaYQG3zyIZqcieaw56R6Voy9391q0YtT
HDv1obG0faMe/bDcGaB00nITWSsOVIgLZuuzDgKFSCBNPNeFkRa+luWVGpbPKrBch5aPfkb3D88D
+MWCWvi0tnYLU0tug6SXTRhKW+/895O9Dednwx+c4llJoT7xbnQiw2rYVGWwiU1tc32jCNmP36M7
NTaP/sRYaWuen2p28QxL5ybP7rr2INWun/yMgxcr1jbmsPZEWZrPU4vCfCaG0rdB6BXPXpZ8qRsc
UKAemnq8ozFwU9JoqE798/VBLngL8mLk4Xi7sIhiTB/WTukMslI8Q001/sxXvr7gUc++Lpw1rZPU
rLX4evc+GT6N1q0SH53s5foQxJfXPwt1MgbBJdW9k+mVhpVxvOmhP9LDz7Uf7lrn78o8BI6zkYaj
V9/VQMmuW16bPMFTGdVAFnvAcNFuWxS/XskafzGw+U482YFSXZfpVPJ90CtNuvHXsP3z/38S+v7+
PunXGQIJHR616PPve0HKw0fx8meDB3H5oNp3Vfz99VMEpRM4HFDndP8LFaWk6axQozzynDxI0854
JWTk3xH8+bwQY8lWpIXjmBbPsNx13ZeuXUsTLi0xdwRkMARAdHvPO/xkCVrwXLokafkzbV5O/eSt
8vYvuTTCRFpeITWnBVAYQTbWUAyjaPIc5vk9REqHJoK73yg2fm3v1WItt7p0IonlLGgtdI3jLnhQ
JOqyBq4UNIftD1LubdMcnIr8bK1UXhZ2lgHflj4XJxSYyYSdlYRS4Rd1Vj6Hf/uwhP7Q1tZlwVWS
beciMKF2oCAmnPkJDjqpmZLyOYnieFNJ+l3ex/uobQ+9o+yqotnGUv36435mUzju8dy+yVO4fC7T
X54kgal4g0LZmQVh2lIFunG1Z1QF1Xg7PcR2tjKGhe12ZkHYz2lv521UMoa4qunAOrTdRq6OIOgt
8/P1k7+0BUBEzgkcruuLZpPalqyh9/zy2Rie7eZd6W1a43jdhIiOm48/RDP/2RAh3IPUlX2kc2FW
Nc0ZwdaQXhKHrgPzSffep91TRKeSunZLL7gE+rt+N0aZcyZWuKXlvDPjCcamZ93egRjWmt31Ua18
X+yiCckXpUXF9xP7na7t6uHX9e8vuIDT3+8IHifowkoxfb14DppZp1K1d3H8wGT9b1bUc8fpB13e
+6GGlZRcxy0gao82QHPlAbw2V4IbiFWpTFqbsXRd86XU8geviG6uD2TNxPz3kxsAEdfyn+kqgj15
G2RCrn9/bTmEMw+NZK3nGhM11chH7qXyzpfg1145jWujEM6953mNXMpYsfxjmmxRGrg+irXvz37n
ZJbavFXlzJ9DIZ6eG6eF7mngJvt03cr8FSFgOdu6Qkhe1cVkdimjiMttJz+oMM3Lhyh6itaUvcXu
gH88y59DLtK75JBOaVrKIXQQiQz96NhPSbKxIR9UtVDfx7ZX7KdYPXpyfGtL7UZ16s9JKN+UUv7Q
d6CBusD6en3w1zcKBefzKY5yxfOijCnO032QbWkqjb82a3JUYreTMHDaS8+tTGUayknMifJaRdkR
/CQbjxzcLq7DfhMUybQh3PsQs9hIb0zVxg7tYdM6MKf7Njyt14e8vKvg69QBjQEtFHaVEphO2Ze8
97zqAKhGald27dL7mQ31x4CwoZyiUCZi+OI50qoPVtzsQ12iB8TalPDI6AjoSLpz6AYAqIxSpekK
KbNjVcru9XEuL+2fnyFcKZMcT4jKco/l7YPVQdxcaJuBwt4Ur/EYLJ+g/yyZwibKAq03jQpLk/5p
Cu5z+SkLbnL/vlkrVC5e/39mVnxYOpZXtShF4ZnVXVyiVr/hUFyfteXr/8SGcMeAfu8zL+OFXqJA
ZCovZv5Ypo+h/E4vHir52Pvfx2DcXze6GHie2BRuHKUxUxRN2JKDl300nH4jB/FWav3bOs73im1+
7NVg5RSsTeV8Sk58q68CKyKnRMDh0Hv3CNe2pr/ptv6zLYRLyGpKU61mE5Km7JWqBdTo3455fah6
63B9Av8/HuaPrfkwnAxn8kdEmkuDyCB4bNSfqf5iWZ96r9rItAs7YI3UF2f8lhhH0Ekr0e/KOTMF
f2LVfpd0GpuyVo51c5Cdl8zbx+3KCBfXa+b5pnndoAVFGKCUaMWUNRPrZdVb+FDadrvit2Z/cHEP
nlgQxmF7hhqlPreTUd067Y0O+XbxMZYOZbD3lfuxfh1U45874cSc4CU1+l9b0+q5doFTFxsSfde3
xKKbP/m+4P6KBJ6Q0GTCyvj4uVm7RFYmS0xBIPscy6PCZAXKjjxa9RT6v7xwY+UP/vYtGtNATv5b
e7Hok1hhR/M9QzHUYDMk/iZYuSpWNpcm+Dyon/XabEdOanJo/WdDfj+sNbWtLIeIZomTbgiilgnL
aUn/0EVrYLblIcCuizYULU1iOalQ02gYHUIMrbrxkDxq7aO/CsVcHsQfI/PfT7wMpNGOljRzWF3d
jNFTb9y8Zc/++b7gMTslrdss5/ujcTDC21RZudwWXRUY0v+bJMGJ1H2cExYwSUrtxtKdFXxV/aO1
qoSythaCJ7EcyhN2PE+Tv4+gkYMa2F453fMnLp0VWmAUKQEvikg7j9Jd35dUCexhL/V/x9nRiMqt
an3LeSlcX5TlSftjSricOzRhw94g5+BHN6P+uem+tDmFgjVk3PKk/TEj7K3MUoLeSgmiav+LmW8l
8z6OD9dHsjZpwvZS2yyKM5Mwo28eSnuftP1GD+7oL9uar6TF+9e7/xmNsNPGMjNN+XeixtkkUJCl
W6l/y7pA2wVfDf9cNBCmfUH3gjkHamW887UHO3uXl+/MdqU/bunMwwYB3AIQ3qVK1QDqv2ijAecb
7NvhKK+t+2LAeWpAcL4W8p1J5HERttVDnH5v82NitZuw+9BYrlH/gJBml3crg1ra06c2hT1dwog+
hHZXPJvGIcs2HjoSFoyjn1+/306tCFuawlIQKy0jU6XP5XiM0p3XHUJlN6krG3ttOMLGThszquqk
JlHgeM9p09+VZXVIlEDfxNm4EtUuxeqngxJ2tmW1Rpo3DAopMaJ0L76bhr067Hr5yVZfrk/g2rgE
R6oMtL9N/4+0K+txG2e2v0iA9uVVstx2r2nZnU7yIqQniURR+y79+nvYH3DHogQTzjzMvDSiMsli
sZZTp3qsS1F3E3k2h8M8PtHxL/LqlyviPLG8kxttSqHhTepamOM3IW/7Fw+Pjs5vzAYH2mNF4KJU
8uhQGy9CZ2LOb1kGCoA9BJ6lZduimWLbm/b/svhUZ9GF4JBi3lJ9jA6y5krgHbiNGuPTul0sh892
SvkEPpEOWRM7u1PaZ1v/Cz/g8vucSegiAnBawrIyaezK1c+mjgQHsm3V/t0kzgDMYzt2SQwJ1knD
fKLv1/VW9HXu4ndgJwfYAv5kVtyZjZ//zZN8uT/cfe+yiEZmxNRJPoC01qRf6vKDxAIgBPsK72Nc
SuFuugFyskQ15fIUFV8y+lUmAaY2/LeN4i44mSwrrydcvXHaR5onKsRvZhwvl8BdbVDs0t4Jccwd
pbsqIbuIfo0JcfPyQcq+6GO2R6cEGlk/9PG+V59i57em7TNDFCKL9IGLxYoG/RJWhCvZAcTRsh7A
0/V9vH7n0S63dMyjsuy0iAUwqvI66geS7cf4RRH1F11fBqjbllJCuGcYhggpGiI97aCJ5p+Ivs9d
e8UkQ1qXiJHUymv6Y1r+jaHX0EEGiOXnFN3l7wfoz7TTskaYl/WvcqK59lh/hKWIUXVzGRdiuGUU
RFEnU8Or1dRfavIeGqJmTJEAzniRSU2qGDt1Gkq8Ve1vs/h2XZ1EAtjfL+K82W4H8LxgBRjSq8xu
J8JgbKor6PJABIdqOYDoy+/3SgL81QQfQsm8pHZT806R/HQQRPUiKZz9UiVw+w8Newht4o6KPxjf
C7j8YOMXPCYiQZwVc/qc9DEGp52iCAOno7Oen3tdd6fh618cC9wHdF/CLGl8/WQaWmrNCcz+DAg3
mr9Rzb6Rv+t/L/v/iwA+Y3kyBZVTEs6w+bKD1I47h++1qD6wqVwXIjgrkll9mAKpCAfyH7AKtL//
yx5BzHIBoSXZ4zghxG+jAOg8KjC0oh/PXb1aqvVKzXEEknWXawdhqmtTlS42h7t5YaupNbGgs7l5
Z++L76+aqBi1+apfSODuXlT2WWWySriRelPyjAJyIXqNtjeJTcnCvDZwjXJKJE8tUEsGFoFiOB08
KqxRbK4BFwA0RJjaAVu+PGTMnZuylFbIE2E4YkVG1xweiPmM2XN7hYBHhfQYahlY7cds3NPwsWw0
N3EeAbd0ryub6Hdw77o2tFXa9CV+R/hlavdm8w0Qk+sitvaSjcTAiwUSH0Tgy6XmSdjmRj9kwBYp
ByfNMS7793UJW4u4lMDdmCKcs9Hp+uw0a3+i4lmvjposQsisZKDllE3mUsFOBTY2PjtppCFovaem
eKOlRA5xEZkYRGxZx3LCENfry1HY4S/c1k9Z6NaARPAd8kWykVqynBZz8ZY1qpckOaZ+e3nW7Lrs
0DWPXaq5BaYPNVPpFS0N0glTNcuDQvJHnZZuaKG9jFAA4mXBQbJHgP9ZGNADXA1moGsrCpw67eZJ
KvvqLWosVzNbX0rOBbDESvK7tQWOzsqKYAsuZXFWBLwwdmVlY/Vm2++xQ12QHHlxoroEXa3Xd3vr
YC8lsb9feAqTbNKqQjn5zYxCf4oTF6rqD+BPuy5mc/MwHBWVH0a1y3OPwaRnRldU1Zuc/5bH0suU
FxJF7oTBr3kR7a4LW1057B6m1kJNMfwTnBfclausMCGqNpVv1Cy+Gi156OmNHPGfLdiXIrg7B95A
U5dQ/HkL2+KDSvahC0NBnmZjFaAMBhkS/kO332dodHEy+tRXBugky7eWyl75bueiDpYNJVsIYH+/
EICCA0ZLJ0X5piahS4d7WI39ODi+IXpz18VNG8ypF0vh/KsIRQfQAVAcCPgklfhRcVo3GeHJ1c1u
Lo5JpOyTtt1paXzXgZOC1reW6tA4h25GjIkBETlgd5yZr4zC6tGRX7xpc36MsdhOFkCuNvSbYezR
+MVmY4LqabmXVlYqBqbUgTp+DO/6BNSA4TC7vSQBttAYoVs0IqrfDfUAFT6AtshJAVzCz16wJTuK
EwwPfsslFS/0xyjyvrcEmGBWQHuz6rChqtySeozqTAyjeOvaH1Nc+b1jHK/f0w0FREuegR5Dmw3q
5TetpX1bhKFevGHA2yi/ujuFfL0ugR0sZ7MhATNYEI6gY47nu0zRA0rHQi7eQGvgYZaOa5J/cqN5
aEHTpwymp9j+OAlir+1V/SuTMw10bLUU403xVI7Ea/Wglc9EyT1jvLu+tk05YPEA1hdbB8zv8nwy
0PLafdtBqYG2Gsa59qMEaLyhtHovS4RVpI2HAiT+aCjQAF0GOwmnDjGYSdJqSunbPFQot6T+ABBU
JYsmZm5pHXxO3FX08aO7jrPdUkdzyQExzVtsHKddUQhUTvR57nDUKJ47EMMlb2Va5xhbo5f3lilM
76336hPnjSZt1j+wmjBUT5kqocEgfmuHeC/FuQ/aAr9WeoGntHaUwEdkWoARg1heWc2UrLWxwCj6
sX1Dy9ku0Q4T/WHFoCN5kJ19nn5cV7f1zsEYGGjfRHsTAOw8i09jZt1sRvAApynyOsC8iWA1axNq
wtcDwwloKQBg59HxvVV03QAyN+Bc9L0xfC3SxwTE8tr8wxq+37yWhSju6owDKdu6tMq3zHSdzK1E
LSQbe6UACgmGEMC81yT5INihWgMA7luShYNrS2bqNrWIxmd9/6E1IG6AabbhIPBEKlCrZGrltntr
451c7s36MEaeXQtOZWMp6IxgXi+mr8CrYRb2wklogGZUyDDHbyBEVp/rMc98w8bEp1sPBIMRGIgV
zg4mJPAAPANB2FyHVQg+iNbYYW5y3YgYIdYLWYrgDIstx9KgxF14NuIgG0/N4b+tgDMsmIc6VWhr
Ds/lp9am9Oa2KsSP6FBhdPcgtsCEh+VB6DkmCI9tZZ+VrvT7L1Gj+zevYCGAuxSYf9v1dVTb52bM
3blFxu3Wmi23As4LrDWQaCDasM9j0eyA1nFTl86Di5T07vpK1uaX+RMINhRQXYNLlEtfEDrIU17a
2Vs+PUx5TF1tQsJbvV1pl2I4jZrGoZgUzcre1DvGogbuVME61ir7OSQKaRjw42PcC+dUapMqz/Xg
0Dc0HLv2oZdFCISNjWI000hF4orD0+OP3AhDqnUSfTPSFzSKJcoP0p2un8XaSuHBUOD9m2jIx9xw
bpPyRgFzot1TnEWLlluv0L029kuH3mynlnK4+5coYTo5EeSEBtgGf5LEca8vZOMwFgvhDsOmFkiG
JwgoRwTKo+4p5NaiLLjFdSQ92EAmsNPyXXU0qrRJ6c3hrGHueVHt7Fk0tXN13pAAKgyoC3sxMB9k
aUMy2ylGOx3Gs97t2mgXWf5QC7zS1TYtRfB3D6FWkptgQzgrqMy9OFQQFK/Uifs8p05JG1qRPeDz
oXLf/QnBkGeX98XNfRtMChui4zCKr9VgitSgmZlMkELuJYxBGNDRf12ZtpbB4lCUNmGpVp2Aozw3
DdHm/jy99uaxD9/C6b2LBfq0bgHGUwEThV5W1ma66snKIT407UEF6UHlT4PxkPWVp4MuZu5a39QH
T5LCvT7pfwq0h8mS6MVdF28/5WMgF8JHzBnjGxXyao4Su8rU0+ikbmkoO007pNPkoYYHFvP7Mn7q
p0fSRp4y3YUGHhxyMNugE9np9WazbcBug7rVWVOepVWMCBDzF09WEXnt1GNqSrqz0OOXj7c6AWzB
oIGSVTCooH+VsxEV+iDkuJrUk/Eu9wfZuDWNwX2e3b0LX2weFH1IS3xeG0YfUP64rQS3d1tloC+Y
HSoj38vTBIOEu7ExgwArGBDhDZghhNbxkPi6g34IH1jh0tzng+WWwh6MtW3C3l1IZsHOxeLCeaBa
OuvqqZHv6/lpiB4w0vv6rVvbJohAoIzlMXJNfnFo8Ky6IlbVE2nc3vKoiHRqQ9Ew9BW3GhxAuNa8
eQVRShiV8NlR1fDb6pA+NNXBEmUeN/aJZR8VHA6Qo3i+l/ukh5IWEy3XT1I9HInUPxJtfKqqeX99
r9hTsMicOGhOR2+3jeACM2d4v5/Wsdwqcq0DJfa904+G9gfUh27ovDTqPq2ASJJFzcsbpwOAlYLe
aFxTdDZxC6vaOc+dXDNOBQbW1urrWN38duBYdBWmAIEmShichs21VY9VGJunJn4d+tktftTAdJbG
+frObawD9hYDjWDxGDcQtw5Dmy2rSCXj1Dt7VfI0wSpEn+dWQVWnQtYWn2/kVwPpFyriB94SoGFU
4ieDCSZOcE9sXWHOlByGxskEN9svi4pKARsKzFJ+oNGVWTWFP2fqhH2dd6l5ouNbTUJwRCg7xxK8
fRuLAHcdVBjM+2xwNvsRF9bEyWYUqorRPMmA0juFl4rY3zYEYEISYm9UYmVUxdjfLwSAf40oI8gN
T7qy7+KdLpqbufF9JEGw+xijw3gWOFctV+VBi5HLO2VoxkFd0U/8W9VUQ1YefGVshCM7jeUCzM6p
0hETLk9auGtyr0pvfqwW3185giEeqhT5hJOsPLS/00Jgn9a2VnMY+oTdY8wY0rj9z52hsVpTCU9D
RtzKmZ+dsXm2+h+WaILzWl2XgjhN0ms77sE0Fp6SyC/updFPbvYFkcTBdQNTJajjVlm8UbXiHoOs
gDpxck9Jvpv6W9S7SiPfGiExPg3IQIgBQo0VTVCLhm0l0cvojLG2efgQ66ebFQrfR8lN1dC+Aq9v
qVAp5tpWTddGZ2QGaX9IRERk6xuB+RmgZAHXGhyslcLaAzap0Eh0loY8MNrxniqFqMYrkMErbQ5e
nqgZIGNCD+8g7x1LpLdrCYCmI57HmCfcarjFy11yssSRcnALn9odwNetSFuZ9V8+28vPs2tzYZY0
leQxkiL2aaL+oI6elsme1j23muWFmuJFt4d7kAdvRMME5Q3fuo1IWfUqcU5Rbu/N1tkL7Pj69i2/
z63HdOa0ycsQ65ldrdqF3ZN8+3u3FMG/1yDD1xQKEaq5l1q3VI/X7wX79/yRYFQwvCiww2GsIvee
hvPYRLNFpZM6j14xwe8sDnZ0GMJnJ4xu9nCRJ7qQxWVBRkLTepwgy8as73jn5CK4wIb6AsKioo6P
4BF1R34xVg/OY8kIT/bXBBNk5FjET70l4DNaA5YT/gFfE5QjvbcMjHg/NfeF7vizNvjXj2PjhuiX
AtgPuLghNVAVTR024UlJ6F3UWfdFvzeyXa3uTLU9hJoteKg2NHghj7vwpjSCL55iQakh/4ppdyBx
dpjS9Pf1ZW3tmw7QAcjDQXcMbqblsrqxymuSYVkg3QfjhynI3W5+3oHdQg0IxSa+gp5kOgFYoAxP
cfM9R8N/fnPdD7EG0EVge5IVG14Vp1gDUZrKtPPwVPdASu0rVYCo2VqApcpsxDOoflapL6J3U2c2
jnHS6l2veGm6u77/W8eMSIklnE28f3yesy8APIhKUz+lUf5M9fRR1bq7qHIEOIOtZVyK4S94XGMK
F8JDcPvs5H9kUVci0xLOVgHx9+8quASGYcTg8EGAe8pBA1kR6s1W4kUGHioRaeHmfoExANYKc5HR
nrbU1xYMVUmRJAaaEucPmTpPDTqD2iS5u34sm/tlIq+qIZIFLIMz7j3GDVjVQM2T0rdeU+yH1Pqb
g8cISubEIRrny/DgyiAlKJ2gWPO8q8oK/KX+JDIim8u4EMItQ5ezVB96CNFNx23s14zcWoBjof6F
AC6qLJPcplEEAd2EiXZW4v6Fo7AQwIUbclOge4NtE9jLds6T5dwezzDOMzZiHeVpZG05hZKLNNHj
0NJOWjEfByL5cymIvDdUdiGBM7Eq+MRD+HbaKZTep8av08PtqgTjimnCaG9AkY/PueCmlqrcEvMU
heNRskKvGCtX7QUP0oYuYfqGji4KABnBFMbpktoQcO7JoXkq40f9RRd1Zm59HhlQjJUBCxiqDfLy
YmP6Vzj2am6ehuSr/SJp7zdfaGRVMC4NPXhAD/PvRFwoRT500COki7UfZPq4/vkNA/g53tBheCE2
AXn56yPNydK5lKST+cM0ek9JTa80MMPGEdXV112zQImpmL+jwwBigAQfahSKlc6z0Uknmcy+PPh5
/iBXz2S8Iwr1LG0nIyFuF4LnY0OFAb8EBhMkgZaBmsByebNay1JFZ+c0RO+Vafh6WR7S6OZAEIix
CyHcUx5p8pxETEhuvBT79GZsLPiJsXGARCJ5gfkxnP5OmizFMxh+TxbtnvSufqKx7Dd99gQSWe9m
bUAeHANedRNZY9tmun7hKya15BjlnIYnp9ppnSv9nqw7IoJhst/LvblAWAAwBCAPhl/y+UI61Jgp
34XOaUZXvuV8mGYQpkfta6KIYPcbp8/uDCijFAMlQL4eI5ukrfGCITrop7sawZpSo1muUe+u79ra
AoB22WT0o6DuhAvPWWKtGeNaD6f2HJuNGwyyaMbl1vcxaAP5b4A6Gff68lRGyTDmos/ac679yu6M
8p/bf76BCcl4Q0wHxVLuKeyKyBrH3G7OzvjFjj2l+I/f535+WM6FVjf4fmR71lv59dZfj4k0cHZY
tIk7qHOP1ODM4zyGTvQ2ycfa2Dc3+wkW4DlIqeKBBdyV33snC4Gbskh97g+WmflOLWKSWh/uZwyA
UEBXkLrl/WhJnULk1LPqDBy/E/tyeHNacvl9zoFu5cgMdSOtQAxEnzKX5JVAwPqSYedB24CcIFLo
Kl8DtKkSzXbelufCKX+23eQ5PetI0H9cP+f1Q4VXg1lBoDFRp+Efqhj9A3Lep825Gb5TXfMmII1D
oBKySlTVWp/I5/uEUQpgjwDOjP39wgg6mMY7GGWL69zfVY5biageRd/nzAVpeoloLb6vRbvRcsmv
6xsl+jx3IUbD7qx0aNqzhEKz8WMyRL3cGwIAi9QRUmI+t7aa8WsOTVmFttyeMzCi10dlEBVMtgTA
Q0D70OeN4BNIRd7rZJ6a9Jxk31o/77/fvEEWbhvqveiUQM2a2//ZtCczK8vk3Nm7BmMkBK/Bxn1Y
fJ7bfxJJcLMKfH6XGj+qY979x5/PuQNp1mihNOD7KuhmfpZ2vL++PVu/33DgMmH8lgoIJGcwpklR
51miyTmNfX26U0J/VAVJznVKCsg4hc3bgbOBYJV7ETons6NZThIA4842Kby2jr0Wc6Rq2wLSKHcH
UfvuhkYBnQowN6yUvIba6n2R1rMdJ5hbJLt5fKxF833WAhxQ2qA8jXiIjZjUljZjaEL0wEoG2mjp
a+jq7c2R2PLzTPyFSZoITZBNwufnZNwb4+QWSusS2RQcvWgV3M3AjW8KZC/yc+UWyW4WURozzV86
fstVcDdjBlEjoiV8PtUn19C/Sv7UfQOi2L2uwBurYEVv5L0UuPwouC43C20RIMog6Xiui9K1UuLW
gqdoSwAKiWgURdpxDWYqMA7T6NSxO2MMZveaqqfbfz/S5qiFwiVAioI7hUaaNbvP5OGskMcic7w4
ym8/ZxaxABaCsUprnBJKJvU0Nc50JuQ+uoudm1OPLGL59/OcQxknYxRHPT6vmu9ddjb96/uzNlDw
w0DjgU4QAyEO/zzU5VRJhlnIZ7DyS/eFrGQu8mk2oE5tLSQw5c8alWIVMEgAdTGsmo0/WiqTniK4
yyptPlfK8UuqHK4vhb8Rn1+He2foGHgIjDNnNkxlGuakrOaznU32Cxj5y0CR0ubOrOReclMaisbp
rZeDpdhgc2FFfGCDuLvR2daMbhAyBPG3wvajGydRqfCYFp/n3o4Y+PwkqfF5bXJc0n5TdbQ172NR
hUm0Cm7bqBzXSmRATK97pe3OjkDDRN9nf78wtwg4Iqch+H7uoNY+PTSpIKrgVRj7BHww7h6gzujR
47EISogQvh+HPlCqs+LsbBmX/PW6am2s4VIEn26JtFiiNXKogaK6deWJ2Gg3P4+SGHBz7Bry/dGJ
o3UV1bI+6OQ7O390RHXdre8DLIHKCEMjADq6PIJOqpWiJXEfII0KPrrEvX17AAP57CTUcBsU7l6r
IGyyNUw/CFjrIkHHcfbP9f3nsxw4YtSOEKzj4deB8uJ0tCV9QwxgNAKjPEohek3d0D7iraPS+bqg
jZ1CryJju4M3ywYxLXcK6OMUNzpsA2K6YbRTBK6H6PPs7xd3gVr25EwlPj+k79LwQ7+VeuFzny5+
Prsql9+fSJ8PA74vy9+VOkiC67uztrA4BtbBjjQ765HmvGXJNBp7onkXgB7mR1U2e2uQXKmz9hiu
IPA7Ni71QhT37GVapqFikXUBqfZK/ytN/aKLBDJEy+HUtjD6wjRHLEeJd2Gyk1LfqVxJNLKa988/
z+TfTeNtB8aPkBrt+F0w1oNLCskFN5A7G42XkD9KdWyJaFlblwWOHjsotE6s+gcns2zmLqqToIys
8Idij5MFlnmqH+M0nB7GpJruU2VIRSQPK8A2FspIOYD8+x/PHbedUpkA5FFaSVDXVH9R6skM8Zrk
Fug5BgyssZw/Qxt3+zA1q8cSWx+7udROjTva5rCX6g4DAsNkzjGhpcn2tWFFgnfiExt46TLjB8Jf
lZExRwctgPPce+2kVZYmcUaDqi2rOwsdqcQ1W8W8L/NB8ycVTLCtrYM6sRq7Q2Wj6TdVlGiPCTLf
AdiUf/fpjFlbUik95QjZ3SR1KKCgWfX7+i3bUP3Fz+SstYLeo7BC30vQTPFzp+e/JUz6UHvreF3M
hi3C8ChYbRN9k4DhcGKSpB2dSYWVUF8txb950BY228KgGtaIC4SMwzuWM2kxbrZW66DdS+HZKYPb
fz1mpqKtCc0J6wpwrCpZpTdVHaS9Z6Q7Y/Bu/z7KsvAo8Ggi7uFMXTb0llz1tAl08pAcuuwvNv/y
85x5C5PGKLQGn5+Ms5G9V4KcwMbZMk4XVhcAGmLVdzllRGqJJDdBre3sxI8sQZpS8H2+ElQ1Uk7i
EN8f6E4P3UHgT2zcgMufb3EXNW9JWQwgjAn0pjmmHYYwOq03zdbNAYMCb1G2EHciJ21+FtkuXsuk
qqe2kI06yI3DTAx3rgNi1J6TfFzXpc8sD2d4UAkydVCKmOhT5ItOuRaaVaS0eYBfo3l2a2uekpvU
c4pU3ccScbwSpE9+Csv1EDt5vTPTsYdtAjPuL0Dp65MVj9+1cMr+zBNJXjBEYzgXVUwwWjmyX6rE
GvdNghdFjsZMdcdas0TGfeNEUM1gffUszkWZeulYDFKmy5Gdp0HfDUc9ndRDlZJ5V4fat+t7tSUI
jZco/wLFowGMthSkZ0VmOaRJg6bM+y9T6fQPmD5GX2elFDUpbDz/OHWAKXXATtf0Dpo9piQrpTyg
46Gjx6h87MnrVAqKphtXhSE7kC5jHReYK7pcELL5GNuZWXlQkkfF3lNR6/DWhl1+n7MkFeZBmnaB
7yfVq+o8VcmzTQXXUbQE7mHXqm5ECyxEyMrd9GLWu+tHvvZX0JKCsAGEDXBZDB4D42SdGremNgZE
d1X9OyqLsupH8cf867qc9TJY6wuauNBfpbHs4vIk2plklgHimKBIDsSntcCabHwewC30uQNBp6GI
wx1Eo1bEbvRmDsbuT3yob20ZwOQL5rLgIQUQG7rE6dHYGz2VI6cPGkxA0N7zm8GZ/xMAtiDgTJGf
WfkDPUgLTSMdgqH5pVq/0psfVMDskYVDgAhfCSmt5e7X04y6nDQhWRKFHr0Dq71AwPoiQABzeYEK
Q81A47R0sGgEfGk1BgY13KgObPkUZrf28WKTdJDXASoEHDneVQ4CkaJJK7EqYgQtBnvC/rWCbOja
JmGqHyhnkB4DWQoKQstdmrs0RvNPZgbGYyN/tcvUp07hG8r79auwwo+wdSCAw23AljEPh5MT6mEb
V8QK6jhQ/gGPs6Tv6z/99AtcQIeoEHjeG1cD0hjRECLqdc19yGMkMSdI62IwlgZF/hfHgsWgbo1C
Gh5ZPgExR45dyGPeBqliuk9OdSuDL7YL30fVA1UcIEd4b7DH5JE6jts2ALDZU31MYhIoLzMOSw+B
FdGgVLaKNndAZJfnAZYhi6A3uQ3MeAB08qUlL03xYL9JX0s6+9cPf+M0FrI4HcszKXa6ELKkAsks
4knVrUBQtl1gmQD8wWEhIU+hpo+Sbk7N3AaG/Nw12sGmvTtaCmhMRHOBttaC5DV4cgCTZj2N3L7V
aYYQpkZm62dr3kXW3e1bhfAIhstBIxUS5cvPRwhYpSihLEPgdpZvNjf76QDtXHyfO4pCiQHiCpMu
yOcHKfFSSwC83lIruLdo20EksE4slqWG4VM97YNE/11M35v4V1l/pPKPbPxjKKKRQyvqRXbsgNcD
twOHBFw8zEJf+NNGLw0z2A+7wBkdN9d9OTk0rxPYJFv53Uw9Jz3m6X35UVVeOXlDuEuyE3p1Eb+h
ZfP6ua06kfmfwulFUThOp0paF0xWiTHfz730YyI/EumZpmzig9EGc/yikvN1sRtPEC4wqCoAI4Vb
yROTgpJdqzMawwx9a34AjQDMwHUBW+cJUkLUN6A0rOC03OGxlDVJB9ldYFmtX5FD7dTHfq49VT9k
DtkX9vfr8jYXZDBEN4gfWA/KUp5sVyRtFKcJQsN4qaVwN5bTW38z/QY7LYQXyEaANoFZwaWYYUzy
Si0RfoFJQCrvJBG6l/173rqijxOeGTxMJDs410CfQU8gRWEdyPVjE5u7YfrS2Y9m+dJW7f72HQNI
zjFZLY1BDJdLyUs97CJVRWAfV5o/64XqxtNQYbClJaI6ZYfNrQq0hKwpGakWOJycKCM0CpOMQxcM
YIz6ltOx8ZX4vQgHbadWkYgUfGMPGShMRaELdX84DcuFmQBJWBlovAKpAmaSgBX83lYP8QzKuJsj
Juwd1OGzUwTPIedIx4kV6/3MEqaRn7at19uGe/2QNl4N+7PcjDIkIg+eja5RQpLFk9UGYRHiYdrF
tajTiWkUfzbAn0EPoNDrEeROkiZjIeVD0EbZHrx3rpWMz3KfHPrJeaFW8WRqVeXKkSxQv62VAb8H
7NgnYyG/shR9MFGv2l1ArfHwXTJv5ajATUUI9clRqaIdlAeBKsNY63Mx9gH9I8V7WYRm3bA3iMQx
5BwxFND4MmcIVDmaMJtj7oMx1Fyr+4Zxx140KbcfPwuhkPkEzpz1JC1VuR7bsNdKpCbJV+Vj/nmr
bgFVjFZcvALoc1tBzFnnpl2i1Bn0PX2AT/eAPJzgVV/v0lIE55V0RWOHDew9yCEHby7sA+aCP2GO
kgB5oDLrvlRiBpBGKgYnjaCZR1N21ahPWtqQIA2bAsO/xh6M8KHuWXP3bDnFUVe+RVWza9TIt2sz
eqxCOv2MSJJ/2BizsHeoObgjaEfuwk77CRYZ8IEUub7rcjvaO6kuwlqtH0dwiuI0GR4aFSre/YjU
dNCnOSIBSbK7SK89W7nL5+nY2+PRhNMOjOP1o96oeEAibDxjn2NpRE6Rur5KHRB2JgFNZcXTFeoW
6qO7a0tnl8jl4FtpNLiq5Gi7xDaBM4q0f+pKH+GB0N4fWtIJ3IP17WcUeIw7UEf2d2XXpKRKprKX
4yBvjoVX0uP19W583oZeg84DmE44ctxyc30mihynZVANP1N0u35c//xarWG4Lj7POTcgvy/jpsTn
KfHCxPESc9iZIguzfjRRoEIJHE0qJmtB5SwM9KYP7aYvTrK+K/JyB4a3nZEcWlVwR9d7tZTDPWL6
SMtM6iDHqk9DiWEQv65v1sb32d0EYBQczwhPuHU4ZpYib0bJqf3HNB8Qal3//MY2wXghmLYB3F13
6naJNcg9Su7IldnfTXnaJ1+kuL7Dq3Wzh4lOAiQh0PcPjcVEpqUtjipqTyTrwqCRvuTdPpr3ZnLz
rQBFFlLKgDcBQoAm16UItdCcsUQcd4pGv/woRDCdjZNYfJ6zxnquV4Xq4PNS9W5/lK0gd7IRysDI
MO47CxBbdvmWP39uKpQ10UkZJMnblKKUK/sVfSjCe3t4ilvNTRXZb+sPxxSV4NceHwgG4L58ssOa
K8qEeFaHubIoDQxQUM/l+A5y3daNB7t2aau95lqzu650GwEkS8YjHY95gxsBpKqWZYZx7EmA8Znu
1DzMJfVi59DHxk4f3zt7r0tPmAm309T7FCTzufLNcUAnbOxQ3CaTp2bfrv+g9dGyPhdMSkfGBw2a
fN2GZmCimcOeYoz5vokOkShttbZ4y+9zRqICB6sj044GbfVKm9xtusqlQu5l0So4BSqp4VDwUtAg
IoZfVj8V4XADwTp0Lkwcs8mMjKmhwWR7dXEc1TtLBHfdXARIGlkQijCEv8SRhvxRVk806H8l9t5R
BImYzRVcfJ67xA3CXycFiViALFUPzDRYIEUMVSsee3DtMkgG6BmhUvBUuHMYDDONTEmnAZnuB6d0
W2Of9Y/4v6Uf8ozuaO5Z3as+fxtDEb/lxlUGHxBrloYfh4wTW/5FZiY31NGo7ZIGqvNo0D2ZM89C
8Ca/oNdHEIFsimJeNUtQoLrGidLVHuVJvcJBlbso3HXUDcMDDd2yv7kGrcGu/yuIcxc61ahyvYQg
XXm1y6fmePvdN5mnwOjEkdfidXqo+0pt08+739H9IFC4zW0yNRwHGt2QkmB/vziRemjREm7UNJA0
D3PZpWftJyY15qLJk1t6jWwUyi4Kii6osC3FmESvylTH4zGNO8vZqb0LworrG7W5kn9FrKrohZKp
vWkmQZT7OO1CfbWJ14d+Kgyq104JTvxCEveQJ+EUDrHpJIGjuG2yT/v9hKG0t068Zdf0UgpnCuqy
qey8t5MAJMbD4BaiUvrmKpC4QYoDkE/H4o6EyvYgyWZMg3D2NOTERzfPjkYhcOA2Dx4gPSR+AdpH
g9Hy4MEtXgDxYOBUMGvcjL5a4xGMf9dPfssmg66QkfoDVAVRSxmIdzptMso8wEg1hex7EXJ4a6cu
v8+tIa/RIjorTR7MzpsBAmCCMkKEfg3qSO71lXym5bhQF1yqSF0jUw4STn67yiwLiWVHRZCkceNa
g/49jW3Mz1E9uUQHR1ccTCD3qBbf5WXrtpXuNlriN9atDYZQPjSmYqo3TA6yvHyCl6Q6tc0EpXY1
9Gtrb4t84Q21gCMMBhakqdFnyxO9UDp2VWVkWaCm5XMZhv9Qpz1mI7k5+gF0A+lC5NYYhoP36tWs
Aao8aSAm/uenIcLTbOjd4uvs7xe2k8x1jS7VOgti9Qu1AlFLhOjznFprI8BTNRL5gTO/O76Zvl3X
ta0jAEsA3AB4lAziv/z1A+a7RVPbJIHRwdU4S8b51i5epkSXErgFzGhjU5uKSdD9TPeH9+sL2LiW
i89z15L2GiFtBXypUx2a0W/7J9NIdnVhCi7lRj4HfUFIZaLOATQ2n9+u29k2aJMkgdk+JmN8zKVy
N2DQOcHUrCxAy/3fyMM4FIZD0dChzD3JTY95HqNGkqDKYhfExvcWfVfHL5Lph+VRHUTZoy01w03H
VDRMsEHdg4t8k4lmxjjHgMsm+9AF5OX6KW2pGXAQbIIVoEerByBS5D4b+xQvf1bucvuhyV9n9XRd
xpYm4AFjuS/mXPCA2qYp9ToGdUpQWq1XYkpz2J8BEvcolXbXJa1Xwzg/gVVgfekMU7q8NL1eOwhj
8JyptL5T87f/I+1be6TWlWh/UaQ473xN0o8ZhoH0ADPwJWJvIInjvF9Ofv1d5t5z6HbnttUckNhb
askV2+VyuWrVqtEgaCLy67aQ6x25FCIpwOJ0A9o2w5MBKjxk5ierVkWeVdOQHnwJT7Te4pDAphkx
oQ++Hzp1o4h3qIRIDobT95VTpfD5zO6YNQ9r/U5XUZxvigBICEQN6OyBHM3ldpAlXUHJg+1wtf26
kmAG3Yhv3P36xnacCTEuhfDUb5D3gpCZvubZjy5RxLe3J4F3kTiCCKJJ67RSy251jnXSjCLsyhaE
KQBEDCp/byOAI+bxXzlyAQDeKSNaMcBtHd7oGFhFVLUHPuy9/eyG/SvaURuqCoANeM+lSGl/bGNa
c/Aw0FNe9QFdMhT9PEzlk4aoKjASNdkzkHMXw93m4FKqtGEmn9dh5pA6Ca7FqFmOLgus+yEfCOKh
0BkEmOgmedW6bOkGNx1qDcs5pwFPnkn27/1mAK1LfTwuBYRaTuFqVlePWa4xPM2ygCQfk0xhzLbs
DDJPuGSAWAEyVNqdNZkRYKdtedKax8TXIq8aD7enICzVpTtrwUbCSSIE+TQwBUlHx12MFQ3c2Wkc
Imax0KNPzfC40jz08/snI9JciBPjKY7klvROLktUkjjNnJ5SUu/M7J27OorJbCzXhQRpMn66LmzQ
IKF+7sxd4+7vXSvk5ABLAzJANCmSCxWqrq+MzujZC9qGmeZLVr757MXJo0Ql6HoeYJyB1y1AovBo
LOl42MD8u7M9lC+NVga2owWuu7s9lS0JyGijaAGRHpFMudz2yTJzZ7S86uUDKMQDjlZb/9v40gUJ
MLalsSapXqx1Z83HalbEulXfL12PqImYER7G9xv8WPC9p1iea4MP1i8bKmqiFBwdYiWD35JWx6mr
2Qv1vrdaF9gUEPxc1bhiYxLnUuTAUV/xqitJw140P6j/dV7v3oKL0aXDUFi9V5dOxV7At7HyXW/d
/abHGoFIStARIkAgw9Wndsb++jl7Qa/YlkaLig9mcw/Oxpe22CTJUDA7Yy8uetpNcB7CUhXsVImQ
tpmvGlKrQGC8GNbez6LcOxBVtzlxkC7t68UqybgoOjFeu4DqvhSeO/1Y0Iz9ZLXoTWL3TbKDOV6P
t3ddrMqVPHTdATAY2Xh0n7g82Bx0GNqKcrMXm3P0t6ZRyg+1/bO3i6Ay37r1Xh5dAKXQRwGoSgjD
FSu/3wsjKSk62rOXTvue97Oag+P6kFwKEL+fPeHHMWOm0bRQsy522od2Vhh11fhCR87Gt22e1gvH
UU/WI7q2KoGh1zp2+f2Spa1T2q6jjwVKy6gxo8l/ZmN0e883pgAbLpKwoJBDGadkbKvEns0FNTkn
BAkBWazLu4056HIRgwRaAgU38Hcul8jN0rpMy9Q5Gd1zc3RUVfni8y5V9mJ42S9Ym6azqkKzT3XX
PHuW9tN36SMIryI8fw7eRBWrdX0i4a+BRQRE+HgTwL5fzoa1bORkTJYTi7J/mmw/VeHiK2Rs7Ajq
t0QVFPJQcA2lC7wEP7bf25N+KpqPnO9MFaBPNb50ytsudw2mYfzMPDXDR8NU7LhYA2lL4DQLcgxU
TCIRLuSfHwoq3DfmTKeqjk097R543j2D1fgnaix/tbx7HK0he/Szl9uKfLU1qOUCHSaQg1A1cMhI
W5ORSVvWzBhP+kCD2grsLgt090s6/fgLOUCP4iUnek7K0+vMkWuejnLuHGXc/RSVbdRYjYrr4Ork
YxZgsjYEmgB8sXLQO+Gj25a0BsKuOiDFlbmR2dxrvCBCVNcL7iOR+pfuSNS2jhkB0fgJrcHXMB+j
JfMXhS5c6ZqQgVCzD8SQBfYMyW2nk8fQ3MsCVDk5lMPxy+2t2BgdNbnoxSowcNeE314PRjBtKZcT
Ss2nfdru/qfhTenjtWmaerZi+Nl7IoeR3uuGonb57Ovl4hhaJabTTRh+0Pbpzrbu314MjxQTyNBF
xZj09Yw1qL5wjOU0PZH6OKUPtxdnQ0Evhpc8RGY4yZS4GB5NHDzvvUXf5/cygAHbD+wUSIkAcEUl
ndysw9FylKHWrX7K+yQoHxdfhd/fmAMEAFuH04yDIMdGh5obzbxkOipzkyDVzICXbTjNKjDYhpqi
0ycuCyBOLcEKKxlEHwgtnGf9VDpRwyNPVTa0NY3z8YX8M4PLJ91vMo7xe/1DmX+s6v2aKzzD39wt
F0Yde4F8pdgHpFquqifBgu6hFNtcT45RZe9tstLI6A0WJf2UZrC1fZz13sHyxjfcLfOP1lgpnIlZ
b4ugKAxyyrW8Ci2rINYO3KUZuBG8IvD7nj7QLGUhYLLVc9Zn+Q+8Wn0eFJY+a3sDTKHR6M7Oo7e6
037KjOqAOAA6hiw1+4ayf/Yhr+aGA/u+Ds8u9/ug17Q0BOdC/VKYRj88lnYT+W4bDebS2qGjz14Z
udXS75NeX3Z0SbUYb2VzPzKSHdBInkWNPmdZYAIqsUf/6PQfg2dznHD7m9ZPPLABtgyoPo3rruld
wNKNNNQJZ8fV71YamAYlT6jE1YKhW4cm7DTLfS28rjoMGe2OXUGHsMtYHzf1sv5ILXN6V2eobi/K
dQy9nGShp/X6fp38LkBJhPNaejQNO1b3gVeSaY8eB30woBjpX312QYhSO9aJm806ByBXSsJlqZ0P
6EdC/i08j9OwYUsbw/br6KPpgD8MZDO9/2mmnO5bN/1nsBJPBUnfVEbgyFDFZOKGlNMbAFelrV4k
K/Lau3x+SM2gLRWQjE0R4NdGY3EwrnkyKDGzq8wi7boi7HjA8k/FMVc1x95wJkTXS9gF3YVPISNZ
UpSCNWZhr8htOSHp9oX2bBtxxe/tKCFM3Lkc8R1nR7dLnHotCmc9EVTj/1hVLTw3LA9YV03wfIB6
AzluyUjnNUUSTetQC9mGK4sAZrt9CajGl1zVlnsDTE/vngp03LbBCcAshQPxu7ROMjzIlYGkXbAl
iTTA5QrxITOywqHJiZM1/d4XSRKXnvudoezqtZzQnqgwawPlnsjYBOWorXtR1BH41HiXZNXDZOjh
1Go/OxutbRbv0+3pXysiHFxsISC+MO54OF9+W7cya2im3DqZFlhm0KY03yXOv7dlXC/xpQzx+5mG
oPCm7ToAbE4kj/znrL3bS8DwArGKgB6ImGXGBc9szLrmrnlyuPbYhzUwn3/x/cCjCUoKtE6UL3HN
qrtqSGGmUjjJnnEaqWIG10cVMzgTIB2hCWWgKeG2dVrtn+AHCzqaBm2BakBV2HNTEIDQIHNAaOQK
3TZZqHphSWudCu9l5gcz+bwsb56harW2pVTQdMBphMtwBWpwJmbMM2I9qF/ug6x7pADf0u7z7V25
ejYLwibRHgml0nhiyPatLdDkp+u4eVq5Ga1uGdT8ubUeyPiZFj9vi9pSYMApAbQFthWZaMkP7Wt9
HvRxJiez/cS1j9Ph9vC/kwyXBgJEbRgXIHJ4J1eJGmbwnJBkIqeR8cBffhXtfEBuJcyKR9/7YfSP
tH2a9TTUenfXNO/48BmFbEHrdLu1OpHqeR6eq/Zfc0V/dIWDv7WTf74MN8nl0V370TNTHzPP6cd2
DRagIaf49uy3FleUu6OEH64lOOUuRTCH05LOnQHOjKO+vFs/3h7+dzxDXly4xjhgjoOqcfk21/VR
N+C+QedNPXRrL6gMFnIQINIjY31oLCxqtfeuB77INJrmPWu8Pcl/JuCaSetvdXU0uqOmenpcTxrs
CKgOgwMgClHksKHrrJ7TI/AQ67QLA3hXijvn+qBfji+Z3IZMOe0pxl/aX7Pp7ixj2C3swRsmhSDV
ROTdaxPTamYIMuGGgYG9yFfFBb05FeEoQT2A0ZP3LxN57xTV1LFl1R9ByfYyNM3D3A7fOq7CA2yJ
EsXIsI6A01xR+I4INCT5WDvgKpufnSE99B0Sm73PQsNIP9/Wy+uTZQiy8f/KkvyOOilslzLIyoY3
E6cZjZgbVTxpa3Pg+QHCiF5Tgu/18mgV/jxbSZ7YceuiO+swBKo+jluTACk+sss4QCjjkbyHKqNo
44L7Js4sHuiw8k0y73B4bi/V5jSAAhUty/CAk6F4msaXtQAPdeyDsFsPNPRmui1gcxriGkFDMbTS
kSOwDrX6xB5WTGNkaHGiRwXtP40aV5yVa3wDGmQh1vtfOZIv6xqTB6imbse5l4SlgJaXZGe2LyPq
09lumsZw0eugL99M78vtGW4soWA3gLohToZiTmmjfEIzm0yOHrcpogSBT/a3x99YwYvxhfwzFy9L
B+60HONrY2j6kVWE+ettCRtn80KC+IIzCW5e+Hk6QMLc7Yn3NQfA9V+qKm7YWiYT3LK4LQDWQUDx
UsiEt4zujbMeu+4Hln1Q1RxvrRJelFACnErBwHs5vJY6bTaakx77Jtq+TTuaeAFV5W6vMmBIgJwL
kYLIydxog55gDvlaBVryD1vq0HU+knZP82PfKrZFMSX56HSdOxG95tiWvP3gVs53b24fvS7b3d59
4WdcXuIXk5IJpJcOmLp5waTW6Z2ZoDnQSc/fG34GJJIq1LUpCqgZlO8DrQG29ctNWg2NpOZQ6LFT
/FrK19Uoo5lPhzw9VQ1TxKS2lBpu+G9wO6rfZcuGcq0e1JWVHoPJIqr074lwS3DjkO+3l29bDrwN
YCpQpeZLiueW4FbTnUGPWXogbh7WdJdZLyb9cVvMpjIIp+b/iZFUb7EWYzSGXo/HNAtLLe+DytaC
maSK6WzJEbAdR7B+AwEkWRucXOqkbU5i1zumRtSsgf/p/pmcSxBfcGZtbBRvE8TySDy4wOtVxz4B
SEsxiy1jcy5DbNqZjKry16pcIaOwAneJShVlzuYq4WmPBAminVevlnRBRJUkjMSr9R2NMuHF+JNC
fzenAOpPEZrB21vOv5TpXPtTVpG4YVMwHT1E9m7vg0qApFFGpRd2OfQknu3XcT/0ChKx68J9UT3w
ZwK/fz/bA4s5XWuMLfa5r961yB8PI8Jxpju/ue10dDzUTK7VIeHDazm6EdXQ69dydzpoeBqn2BUW
Kl+KCr0SKI8y9E0e+jxiRaOAX24uAp5Igl4Gayznn0HWn3d245N4ynZeGgFz/ReL/Gd82YanaEK6
JIVD4pwcaP7Qqizq5vcDIwOoOELvV01tkZVg6ZQY+H7nszd8+nz767dsm+UhvoY/CNjK70dn9dnS
VakhLtWHlfvh4hzGOdvN8xTdlrR1s6Lk9je/FWqM5TCAMfa2mfY6rPVCH1y/3JHKflgsL5yJNgYL
R8GopyKk35zdmUzpNrJLr8+XAjKRIAs0/2Gt3hlmG7jdz9tz2zQWZ3Kk5whNnHJh7arHS/UFNBy2
/S1N/+IlBzq1P+snOaET6QcoGmTgRf5+nJf3I0FSrEHOJVFhLX8npGSH4VyW0Mmzg10Wo5ss06LH
Os8j0SCxeHLbXe6g68HS7Fa0aEE2Iaq6t5p/aXT4RS+313Nr39CUE/4DnqaI6Eg37qBXqwleI6yn
jZjuBzD9o4nwpGr6tKWRaDcDZwVJfPxHkmLVvY2sFGY5Z+8L+qEb3mvTpz77BEqdnd4rXL1rVnAY
y3NpkjGmrZlwPkMaqtwebbS/yEHRw602hA+zI3rz0NrTsc6byOu6UPfWb5yzaGjTo26SaCzXr2nn
hUPbKszjNYb78rtkI7406ZCZYq/dog58/6eZPBQuIh9joLNjVviBTuguUdWlbu7wn7WX/cTMM/I8
aXEyDWuJmsz64sxa1OT9LqX39scUmKazhZd7Yw0AxDqswMEZln01f2zmqG6Ppqq0b/MyPBcjnc+5
WtYWPYD0OEHPPkr4PnFY0JT1E+mSYElRgZmiYiVfTnbF9gOrPvbceVxaVPzTck9T5AYBm6ZZEZkp
CyjlXdiW6fH2udp6Q6PtOrJm4DRHkbjMgTvnjd9TX6g8e6xrdEfU9sR6GLunpUNVcJk8ZS18z6oN
OFKgt2Vv3WPnosXL4cymeMWYO1B/Pe76XfFItd3t4TcPM+jdfkcqgZqRTL2DfK2G5wBMFvvlw0kv
yzHIKTL6wzeTf88yFTZkQ55oVgWWKjwKgE0QCn42naKY/F7zKR6Kya6o9/qvhh8Wc2+TT6kKZCgs
g2SN8ZgSLJcmStTA+HYpKmOF7jtZiZVzll+dtwYUHByVl5+8REdVx1RGgGruubbsby/pxq0GuZge
DhByWzIvE9D2WZeUmR5P6cGhkZ2FpqrB+oZSXIiQLk4EkyZ7tDA1ba5C0r4CWXe/2l1IkI5lrk+d
W5TYJxfMSGDBADfU9D+KkG5LVmnzbCwQkRQvff+Y342SRfdMWDDsAiqIRD3n5f4baZqykjK8qakR
TesOmJjo/p0GFx4AoKKY9ipHN0x2Nha+ucZVa30rZhYBHfizUiL0thTKI6hFR+QWORs5jka7jA5l
4a6x5j/6zqHV8mBFgdDtuWzcLOCv/iNE2g2tghVGomiNPbcJtBrNPtCEmzwVucLgqCYjfj8zAKya
K+oXFiZj7bI+9EvUOylEbARTRIMV5AGBkBa5wEsRHEHperD8NU7Jw8If4XJNX2b7bjAF+L4B10Ts
ViSxr8AU3eBk7qSv8UIOXXcAUqVRAQ23/EkQiqM+1AWUETy60lpR3exxHS1LTA3jmOhpkBfjhxFo
nYm6u6kG3pwYh7Iffw1m/86lVjh1ZTiYqi3bsDb4DORuEZcCf7ecrtf9SfOs1lxiJ6SsCMEwGN6t
excCJN3LiDUBcuwusQUMMts11j8904Oyu5e5EuoN7CBKS1DchXS0tJxJnzYTshNLvIK1MvALhTXY
8hLAb443J2gKwEksVxIiuTaA11Bb4MpMIAumx9Ysw9p9V5jaHmVxwUKenYQFnf1Rd/+9vYKbqoJa
OGwSNkjkpy91vmoqoy/Wwowd1pthbpDHznYHMOmiBmHpis9giNilxHlgNjyq3v3Rr/x59ecvhZUp
VnnDkMAiggwLyA5xxUunb0yMAvET3Yx7Zz94/7pNBiTT3lRkWDfOOJIaSP+gthkZLZmgZQKIcm0L
YsaUPZVDF3VLDq6OX1Xth0hq3V7czRkJhikQazoIOElPEAMk1uYymlbszR/W5LszfmAEQDWqQjBs
yQHgFLAMJP03QhadYWWMccih/c6yH/s6QGN61JUojtvWeT6TI+Nz+8Vg7oRarnj2nt28Dca7O1Lg
oJ0LkG5e5AIAXzEhQC8eURjIVNUE11xNQgDq2gWAGeou734+Z+A+q3Urrg2mH3p77IKGjHmAhGT5
ZKYIWSVr3x5ap/5u9DMJ8Iptwh6p3sDPJhXmTRwtyc+ERSGwKKLpGqLDl0evtBOzzrTZjuvhqUXn
leqJDIrX5rYIXP8ip4qKVMlAjsOQIinc2LHTN9+ZlT55fg12aXt3W9E3FQOw3v+IkYzIXKTZOugQ
k1sgK/bmiP9FaBVr9UeCOAJnt3+Ze0PuOLUdMzRE3nHj5fYENl4XYKcTNFrIO16/03KyZnnVECt2
hshO3lk5/KU9Ld6h6aQS7bC5J2eypIfZ0nPcWrgv42o0AmaEXgPIrSp6tbkjZ0Ik3RrHbqH9byFD
+FO/HyiOY+SjhAxEYPCTZR/Gocg9TnkGg4O9NmvtyXCXh9s7smnTzkRIE3BnQ6+0NsdJzWrvHcp8
+9DRwCPegy4kaKyK7++X5yL74ABtjYtYl24fwGl6Z9QryBusCJ3qAtMaQ/REjPr7yxCwYAQsMSKv
iq4jkpFzl4ZrftNYsdYeG3o83p7H1sbjasNNgGcY6N2lo1iYDitLksKEskD7XqpYD7aU93x46RxW
9egsudiWydrZBZqSP3mWAsW18fyG3/pnBtL58NIyQfc9zCCtDoDu1xWSFcdK24GEsw64io1GNSFJ
z9CUpUxBcQJIUOMhGP88EwLc1eH2pohBZEuP5kGmC1aV30Q0l9YLjE3WUJnUivPiZdLQRxVVyqn9
j2F+abyPBczAbXFbZwcoZAAaEUwQHVouxYHbtfPBb2UBGGCgGuCLM2lRPlN0ZNzdFiQGup7XH0HS
4iUg52etAUELygIfe8o/jBlIvIqMfSkRWIm81lT5Opv6DaYIkDoS8Vc6p7Xfz03BCyvm/KOX7fJR
4bNtj2/huYw4DOrNpNNZF1xw76xWbGeHhgX+rFiyLX0DSxwsgCF0XD6fyOO3HmsaIzbn/VjtkR0p
mOKFubX95yKkM8qyeWaoRjLiDD041ogbj3UWFp5CybYWCuy+BPQK6DyMfN+lko1rCnJwkMnHBUij
gpyYa+gPrQqztaVhgtMMdBfw2/BKuZSi541p8j4H+SAxd/nqPPjMj8xFw3M16/ame3fvb9xmiL0J
RiIQJF+Rx8xJqjk1QX4OXUKz10n11NvcGtMBZgdAAKAEpZNpdJ2/LqRAa84lTb64JTd3Xd2VeWAv
lhb69mz/xXWAaAMCmWANQfMSaZfmVauJZfYG0upPbvNsq47jpjoLjBi4qFCiawstOfPLOlRCVUOp
GzEjZdRmIFX5SajKRm+uGmCOeETpwAXKcZnORc+Xanawao0d6KsTmYm+t4oPZq9wl7cEIfqKaD1o
XFFoIM2mnxx/8XLs/jgRFhZ28dmYjT4wCKBPZkGG8H7zeS5O2pzBth1aoq1IPNpfQUvISjTR3VfT
Z9N/uy1oa5cE0bEIXwg3VzJqBI+AwvQ15LTHN3f+lqz7TkUNuL10f0QYl4rQGihFWSeIcLuH3N81
64PVPxBV0+Ut3+B8IpI5IFXv0bLGigHvvPJ9+i5rgtk95Elg/kqS6PaqbQqDUqMZLRL1iARfTqlp
NGMwNRzWsh2WB91h9gvVexcPhJI82NxH2qZtZydCiJWic3mCjiO3P2BzTcHXAc8BuVlwv1x+QOt5
RZJ5pRGTdHzfdsU/vE+QKkIAMZgSlTJu6siZMPExZyc5bYGcXTQGy9ftuh8VPSoZUsXpkb0FUceN
mx/xaBQ1XkoobbbWvrCtk33K82enVjwZtmfwZ3xpBqww0GVUp0aMCFvQGz+66rj8BdQKbvsfGZJO
lAtde3+CjD5Zecjt9RWab6D/9/R6e+9Vk5Fcq2lMR0ocnCfggQ6IGAeWNkW5in9PtSXiCJxteptx
yhsLUmDf86Dr3WNSeX9jVNGAAc8R/HMFiS+nxWwmlKtAsaL0vaaH3XuuItXYXK0zGdJquUnXaBq6
zwK08y3j+4Ecx+nXX2wIiFOATRN/5ewc86u0IDWWymCPVfK1tvJAnxOFU7U5jzMhkhVtBoORwUww
D/uD3vkB5TsrV5FHb276mRDJiNKxzUvThhBD+yjIO+6PDpgCS4JuLSKoBdbNS6VCoe+Edqw2Ark1
gtbfZ13ldFxPAJxk4IhDFx7cZYhaXwpYdQMIAw0xXI5WAk5QDSo63S0BSDGLdgXw09BV5FJAQhbe
aYWNRwDVdx5Ht4JV8ci9Nu1ILaNIC0QvoIIhMtNQy/naDRyBSLNZ0qd0Jp9Rlw8YGKtPfqcqJhdG
6dLwIuSJTD0oghGtueqQmyZz4RRjacXtEK3FVzQ4BXWAnn4Da8vtM7K1bjjJkAEgJ4J1Qr3PzEnf
gdEi7wYrTt4DbJFUCgO/PTzwoaKLGF4ekuLywQCZK8XbTC/eTWWQ9y9/8fkiA4gADXZfzoV01ZTY
Wo7yoH4J2XQYjPj2+NenG+uC7CJyPKKGVW52kLmMe9TP7Lh1kRA75g7gmAoDsrFEoAkWXT0QzATM
StJcu0Z9cIvK5JiUnHxqcn/+pvHMOt6eyO9nl6RR8I7BQCuKaeCYSGL8injeMCwk1tASckAUHaxT
3zl34Zd8aW0r8Hh56PLHnn9YQDi2Nj/YqDhAWxMFRlPki1DRg/Yil6oG8pkmtS1Nj/eJpR9qkAff
nuLGARV9vf8zvpyTW+s1HXUDeOeFLPu073e8ygKj03ZJcnfEAdFLgPeB7QUaHdGFy5nYzdppdYW7
y+qX3TO6c+1uz2RjpQx0xcP1a4KfEI7s5fjEqmidz8jwad7XKR5V2MHN4XHoodLI81/hZUGzURIL
SJrYA8x4/mLd73Ehe/xn/KukU8oq1+k8E6jBX0sNxmig5rhis7fmgAtF9CcEzSL4pi6XqLOrHBVH
sxkXOJP5t95SvWCvTz5SjciEI7gAu4LjfylAH7g5DA2dYo3tS2Bi8iBPo3u3GSIQjwf7P/oJgSzy
UkSaJWxqLFBnMPo5yWjYDwoH6PpEQABWCCRZyNNetddzRxt1c642xSar97ikwraOem3PPMV5UMkR
v59dIg0g9KTgkJPCje+0yAQRU2IfS2WF2+amoB4D+ATE+q4KvwdilOD7MybUs1RRN+j/TqMbmI6K
d1YlRijf2XwMRCsXm5IprgZrb3bFA2vqfzyTfb+9/1vLBv4PJM9RP6EjUHIphlR4+6/NOMaUxq6Z
A3dVBtReor67H1mOpyCcI7jzMFdXdCCoPRycwTWH2HYOlf1x8o9OOgRe8WlOvy/07fa0tlYPQBa8
FhE5N6+wF709FAgOakPcrsfMjVlxNHvFVbIpAvFyEVgA54UMPEAhosHGthjjjFpBo6PZuBZ4ze4v
5uGCVwMdcUGnLJPM9WNeF+BwG2IEliweWSSwPYUF2JoHmgSacL3xRL1qRKRn2pRpFvSZNZ8GpMoq
/YOlSl5taZkHVBEeQOj/cBUfpd1IGPogzbDGxaPbWM9+be+bqYsa21N4e9deKzxI0XfaFfGCq1hp
XrgNQjOMx946Bm75MOc78PxG5vyJdqpg9tbSncuSnyydP8yAfPLYmtEd5EtXg9JC1UV6e+mEkiHw
e82u1WWFwZMWS5fyb2irwuljs4aeKmCukiJ+P7M2NknRaG2AFEvjB5JOvyt9XONZ7xVAmus7E9sD
PQNXHnLBV0wFczr6WWf2PEbUH/1D24Atilt5c1POJEibYvPGL6jf8bgz/+X1Y0IB2VfhCjawVxYQ
OuiIh3ODY+lI61UlQ+expeJxQl9r7UtpPK6Fs7N8UeNOg7SuQs147IynbmwV09sWLTANeIvDY5dT
TV7qZXRyjRmAp+Ztcs1H9Mh7KZr2w+qZO3N1wqU136HuXg8cwNtXp/t62yT9fz4AfIegDERFnBwW
blBcPs0GdMXrTpXxi0xT1JX7VnvQx1eP7sbmOJAny7w7HoQVR4nff6RK/mi1DEtfOpCKHkNBC5eo
jZb8n9RWmI+tg3AuRvLpWspGmy7OHLfem1N9bep9A1DR3eTfoEE5lyJf7kttZ7qQAhrUIGvyIFMU
/W1ZQWCiwE8DlgfA7MXvZ+e5K1eQ0i4zlKSjTajzPkpXdtB8b5fr6VfNTV9vK4U4VJcvO0wIzzpx
g/zmG7+UZ8JCLVmygoENTHJG+0DKOhj5A5mNyEBxCqsV9+KWGUGNGiyiIC8FNdelPL80KUhbUh43
bzT5bKnYnMQz8Go6Z8NLWsDyxPCmGsPrDfqQZpGbgtrTCJBMAmFcUPpTpGt3p19FCRWeWoIh5/q9
ZXZZjsBtWsdW/dmfjcCiuzw1wyb/cnunrldOBELQWRcRKrDWmpLqgeOwGsGRVMV14IAS3lfSwl+r
HgZHFgxJXPgUVwQj4HatOF2XKs72Ptk5v/wFmbAdO9yexrWVF1J+F/3qiHHJD3mUW2ZrPkFKAf7Y
wGzR1EKxIRsLdS5BfsrXxcRsT0gg3l6QCdrh7Rlsjg+iBARCkKBE4/lLFc56sx8blEfDfzyVoZkq
okab24Ab1gLaAQXSctRoLe11zswZw7tLUOYkKKavmhYRP6rxOro9la3NMD1kcgFRB8BCDuDxmYFq
Jisq1Ie8uHhHVDsgcG6LuDYwNtxGVMMDZofEmiFO7LlBm2y3yKa5jvW8iMj42K9vNioHUK+0y6u9
ptf72/K2lu9Mnhw/oM7IG876Om6NKSAM5P12/mKV6DWoN+UxrUqVS7G1hijqRxhOWAEwQVxOcHCo
b1eWXsVUz9FoisJBouHCfMW8trROxL4EdhREM3LbCYtWXjnmLo4/mDMewMug2KfNaeAlAf8bOVCw
Cl9OQ5uW0itnrYo9wwMMxv1JKjCM8mRWVQxtBBMRRwT8nIBDGv8jw5VMbsAEZLTGFceCoXnQ2gf0
dw90B1zc2tFxHvry0zoSfEQdGPwDq3b3a8i5fNnPtPJxrFbId4rme2eRpzKhQwDQwz7tqo9W5SuA
7lsri5wycO7IxxMil7IZNKFev6RgcGVh5XZwspZjq2Lp21KPcyHiWJwds3Usxj7nEFLpkdYGyen2
mm0MD51AnyZET2DxZJvXL+aIFHTZxXaQI0elskObw2NwQ4Sz0KhcLOHZ12c+69akWhqgGNOgn17r
r3/x+aL2CkkEgIt+s++ejd9pCShZO4yfNF/Kg04/3x5+Y4cREMX1b6LoykI10eXnJwlx07GkTeyP
2d7Ru13hfJhUhm1rjXAhAMmOqAV8J8nOsLnpW4TJmpim34cpDwZ+/70pbpz/ChAfcLZI+tTbE7yn
Jjac19b65ZOX26t07aGLfNSf8aVVov2UoW/O3MRLmQSTfeBJ5NtoavZ2W8zGBQCgIPBJKLZD5FVG
D9VzOdWgy6rjUkfrWt5ZbQBK5RiJxddk8t60dFCcjc3d94CKREs7mDT5hkMlSM0Gj9SxPdWogeRI
8rSp+07zO1Xv6S0VQK4VISsQi6PCSrJcS920tOJGGwsy+U/VrLgCtoYH3whwioKJ+qo2yE8KVnoO
TknakOaRLyU/oYXW/TWpSIGeSRFqcqZmVbZMYEWGmtW69ljM1vtmVCFDNiYCRD2SIPBigfCWiSEt
JyHZlBpDrH/j/SOv7g6FiI5cf4aXtmFtYWCyHMOPTpR9XPXDbQXe/HrkQECaIRCQcrobfXoR0Gkx
fPrNGr+amqpSfENfcYfDFUOxIDB2sjGkjae12cLGWAcsWUe2ntWRq0JubU1CEJoLCJooq9Yvd9nN
dW1q53KMQRAeFrskV/G2bFgTZG4RxUdkQUSlpU2o67zMRjsZ4sV5x5vHnL9bgE9XdYHaWisgbhDH
RcN3D3mDy2n4Q9+mVMNaLSA9TqufvfHTAKD7/g0/E+JJln0ClKV2JqxVb7+14VgpLr+NOaDyAE9u
AHfFuRZbdXbgOKqOulEnfawlB2qE3ap4sKjGF7+fjU8a3StrG+OjN50G9nMzXBuFid2w6XjUo48V
sHEgOpa3wcjgv3OvGOIeO9yRJbKMNzSU5tUpHV/v3gzRUMMD7hQVu1dxTr3vyMirpovfiB+zRbFW
18cCMAMHzzofPeSQupGyNmPv24OR61YMMHN/TAaFq7kxPNwzXEEoDTQF0kTaitWwm6ziJix4GnTg
nLi7qbKIZAsuOPT+witLzp2MuuZyZJkALUl/Pk7Zj3vX/v+W4wC8gvwy0suXn8+mdiCETna8vGf9
c9IoHJCN1REIJVSc4qmLN5SkqJbJ3LkFuDj2mbE3q/ULeJQUuaVrq+QA9gYVhSeIIK8cvqOV3edW
RYAX7ILMDjs/SrqjPSo8tesTJ0qHkfMFMhEAE7msccmzQS/HmcTekO6Ys6Ou/n9Iu7Ilt3Fk+0WM
AMH9laSW2myWVFUu+4Vhu22uIMF9+fo5qJ7oliBeceQb0xP9UNFMYUskMk+esy3M24ldYAUXqKCu
gnuSEf+VXo12qFQU8JXBLa07Zdrw6ZnoKxnPpSkD9QKcOCRmENlK3q+MTGuCOCR9LtViTwy8BOco
/4QcKzq77dtb1JFZhVAOQPBw6ABinO8w247iXAkb5dlyi/pLHL5d38ALC4NWDwfShKJqjsGcfx79
pnalVtx+Tvr2tctCGNHAZ6q8XjezsJHPzFDJTG7oE7Mq+5nR0lVntx9X1mTBgIn6CHKAKFVctkV0
ZgvtQBUHUa9/0hearfx+McvnWVrBVg8IjMii4S0jpvHkxgi1lJpFSY1nlv+M2i1/J+XjSLdk3ibj
75unCust+DDQuQ6OVskU+gibJKtAAlxtSHSfDvvbPw/6CPhcNEciYy+FObOhxXNPFPO5oG6K+sla
tnRpIU6/L20oOyHpRNTEelaPdZi5drTWlLxw+hDWIHkF9BjwMJo0P2DZcQqrjNTnAvRUA+g8sjh1
K848ZY1OdGEogG0hpgVzOPLkMhFWmimsmXhFnsEY3wfhtFJmWvu8NFM9rdJEyUDvmblWCEJ/7+aF
Pvv10pHjWlITNuLzieGnsZfczoeJLiHEsmjRE7AbQ0RAJ0eiSjtjTqN0fmbdoTMDPfs2prc7J1zd
oocOhw7+VlrqSeFQ6ihrgI1T223QSmVN9/q4sgziI9LRRpSJ+AMXOABQcqQW6ySbzTwFZyXksLPx
eWw01+pfri/GohEQneD+A0wERZHzyeKa3SlpHZJnzj5DlSKESqCxBjhctuEAawgwmwDrndvo0gYp
QgOAQJPeRxkYMubPA12Tp1k4fSJPgZAKpRAcDGkgkMMK0zADtREpfpf0MYzvQgVYq9fr07VwNM6s
iF9xsrfIZEGvoYpBjWf8KkmQhdvr319w59DRUKEhA/0qkeQ//36cp4CF5yAKhsi7nr4pzZ3D7rRp
dlujcou1zqOl0YCTGAkQAW+8KKMPUeZYWQe6prA3NtbgfJm6tU28UClHI63oAgKVkuCOlQLRsEd5
t2I1eaZk+lEPdNMxIwbqge9zFLFjo9rbo74xS3ND0ZdW4zZbeRIu7D60LwDZB8A44kkZK1BBoIQo
gpqoVl6N6UmL7/L+7vqqLc0jqglI96NFTKzd+aq1ScgVMJPOoL2yHrW+/RQ6/cpbaml7A/4s8kmI
JC8A1mqomlGdCxPVD8pAwO8U7gDOyT+AKUElHfljIJRE5C17nRarYPBqgPMn5ezywtJdMo2+mWiJ
x/n4dn3mlhYHpXkhhom8ADhBzmfOTgq8MioTN1mZeEaPBEpyDJM1eXkx/5InBbz2XyvSjWOXiWLU
EAR4ZorxxMrObYsO1r4rSbszyYqLuBzSR+gNvCc0hJCmlbxdW9dRnYzx/Jx2HJVy1VN1tqHK+60T
ByuQQwJgFZqAF2j1MDZRxMrB36SGSgSKlTmYhwLMsWW0cgstsG6eWbqoAZNk4ujTgyWVuowdQ+uL
w34byUsDqgfSoZMv/h/SFJf7HQ0eGuDPcOmC4EnM8omj7TKF6Dm46kD/CLKcDTg+Qa06r9Wfl9ZK
dC0IV4s3hvzID6k5outtxKlKIGI3TXjoB0768/pSXXoHDOXEiOQdjK5qeM0m0K915H6uh0dDa/zr
JhbHIS5XJHSEoIHkZMFQ0M1mY0zPlrNj82dl+tytiRctjAK1AIK+G0FdcqGqOGfor2rSpjx8tmvd
xUNkxU0vfR8PC2SlgPSGI5VmCRSVQBo7cXkwwsK11cy9vTMJRWUISSHRifwjhH3PdxStjZThFVxA
fMmfim38en0JxH9+4mNASwcJXNwyeLzgDYOe1/PPF6GeojfMsQMd8ohZOLgJS11l/sqQ29YPXQPl
+HFlY0mr/rdJpIVR6FsirxqspLeq2LADu3jQs51Z3+X55vqoVkzIj7KqbQbGcbMGUZr+cDo8nYgz
u3FordQBJA/936Eg24aKPG5qmRbHYInOM0hzBeB9/akZ/K7os9gDah898U7vhhydKtdHJkVaf1vE
IwGHBmHvRaGRg2Kc2nNvB6EVjhunbyffQTFlo0HrxiNtSzbRWHF/0sM1PtalsYp+cqSdUP9FCvN8
p4R5FU501OPncL6rqTfGfmvsAG638pV2AOlIfQwR7x882KGLhRBPLO6JD01mQCCSZoyf6/Rbp0Lk
4rYj+/F9PNgpng/w0GB8P//+3EN/pOd1/ExBja496MbK1bP0+4GkEzhBBMVIw55/v7ANwBqQoQMc
7EHJfWettUS6Y8Tvh0vD6w38DvA7MjwoJQN4y1BfDPp+3EU9AfmmsQGetR1XcsmLhtDqhSZeDdle
VVqIvlVqteoHMwiRSy7V9I6M812nP+a5f31TL8wY8voCQAPSMmhpSjOWGJVOStIaQQcmCd5CY26N
HWvBIYhnNTBOiEJhQxyrkz1VR0Y5zCk1At0YgkpD54JSv7R5uZKWXRwIqDTFKYFEurx1Rz3r2hn+
PEiHh1q7o8y7faJwNFBWA5gWOBIpIkwqlRXNmKAFQ/OzaVe2x+vfX/AuIvXwz/elhUijjFNjxvfJ
sCm/sSbbAIQK8WkBnOxcey3lsTRdqFWoOOtI0F3QfLTUzGb0R+qBvgujfZGt+MqPDSpdbqB1RoCB
tBbeBvKzVJlLxiEVrAfqzMinMZydr3aRQ95Xr/r7qIQLswYThFZFZgcaK4gHnUNnV5ZzsrM7u3Sr
Wit2lWOOj84AVM31uV7akpDbQgkWSR8UUsTknGxJlJ8qMlutHkSDfVQqsjeiEmVYJVyLFhccNyjJ
gShGAyeg+3IWn+Uk5aFZ6IGW9S6MuKBw8uqk90HWYdE1xsUlpyHqvfgH79eLd+ucO4i7J6YH6DWH
5DTI4iLX1l9n+gdbFbBb0Qj68aCQvLhtF40exZURUOcYQ16TkqeZvGb6Y6k8dMrX29fKgF/Ccw+P
S2RLz9eKx1lpVk5uBEY09J5CWOUbCWr/ZmWRPzjip6akIw7GcZOWLIMLGY86PzjmGn3z4naw8BqH
O8TMyTEL5Ox7e6hx6Ibcrja6PUEThpPpLrUgQ9ADrPkYx7W9chQXjTqIHPDrF1Q0TZZ39ohURKAT
6od5BG2aTaLbj21xiNceLktODJITIjXkCEICsUNPDpZBeVNkjW0EBS1+6zEH5A4yxbX6ptvt92ko
XsIKIjq3bxC89oA3QjIP+QBpN4I3Zhocht0IrXHICgQq3WtWseIxltwlShlQf0O7vYWEzfnAipAV
0YBm66ApPkEU2TX5yoW/5JIA1bUFPhsBngyc6lCf08bI0gNOfcByK9CcrIFYF94bopr0jwnJ66Vq
UlszCkNBB1bHiSmuklh+3/zurU998b2fo50zvl9fG1k44iNgEocXPZIi7SDnhnjSNR1zcA0g0dt+
nsc+vk+geL3T1Ur3DV6OrmlGozunM/Hm3mweartrPtXlRCFxm/7iFh+DLPIbM96Wdcm9NAqtXdiI
JvhYgxZyj9b4eiVIXTowOIoAWqJXQgPH7/la60av1dYgfvO4UXq31faO5YEUpl/DtyxuKgAjEawi
YXIRsuh9WgxZDH8dVambMp25KJ6u4VsWR4NoFRBwDMiWAzxKSqpYVacDKvVlovA6luP2yAjW3EWf
7O76ei+PSASs4sV8QboAyuLOIsOsB2T+bFt347iyNEvfh6IzXkHIKAgxufOlafKYRQpFkKTw5LXO
hk856VdMLF2ipyakcDWOR9IqTagHWU2hHtcr29iEs0QIu4mgRnF9vuRU2cf5wFaD2IYQwQIs+3xA
mqbkYYSCVBA1kemVUBzWlPYhTovN0GnflFx7Sli1oUXy1s3FbXCJv23DbYoGUxWlKWmkfGaKOtTE
ChQjCT271eyN0iKALnV12Br5VP28PtglF4fWUmRTCLyMZkuLxw29bXM+wx5R3S7SdsOEuu2t/AIf
w8KhcoDzIaK+LfbQyR2UlIWmNmZjBWYVhMpT/nx9FEtb0Ea5RQXOUMNbQLrixkqz4hw4/kCfdpVf
rMk/Uw0/Tw6cT78vzZI6N1amp/h+Dg4vZOvrlEFfezI/26mqpy5PQg3iEqQrPdCFvDchSfHMBaZ3
sGLFqwjLdzll8dbKrMHLVAig62To303gkZ5Rq2m9GPrC9+VUOvuoYr2rOdz+WuZxeHd9msTPlIcB
ckcwCOLRBxSLuIxOViGywBwHo3bQOczLZijX5888zkGLGt3rqbNyjpYOrRCXxGNGF0K90lbWaErq
JprsgJd73XmbHpL8mWr760Na2L82qFUQYggazovozeG1qnJa2AHLj1DIgDjN/1BMWTMijYREWdfn
KR5FgN3t9Hk39eOWOSsjWdjD6J3C5kVUSEVf8fniMFQCaMMdK4BEzevkNL6Rx9GKH12xIecBw2hW
x3q2rWAswmPUTo92Nr9eXxAxF/Iew+/HAwsvNiE0eT4MsEhTJ4krO2iGDSt8csfe0X0xNF4YrsSY
S/vrxJI8mFRJ7VjNGztwKuU5Ds1jaPB9NGufUzr9dX1Qa6akG8HSQiXOIH0X4AS5eW74s83dZEZ2
ePpx3dLCCuGO/mf6NHo+fWpBR6VMcUQnw4euj6Kt7IDFkeDJhqADj7eL+vpU9JVWgeIOqSXjvrJK
l1ibrjWexkhZCZ4XN8KJJfFLTpzNiFIjGcXJbNrvRaG6vfPTBu9DZcyu1vyVrqW4FyfuxJzkou0w
LpNCz+0gN0Eqb4modOWALngBAJ7/nTox4JMBGSRkkzPBC5TZfjK3dPiSr100a4OQDg/6nNN6aGCC
DQer/aHru+u7a2UIlgTOgtvprTjGJHHndTS+kQRStvlaPlnWmPj7sv93oizptLCqtutmKpFDaka8
EPirrs/voOR+7Ev1SOz2iFrxLx4qO81INnpjPYGCZvMnAxWJeRDzihL4+VrlQ1S0Nh2tgEfOp7Sy
dpETfeXDGtfE8nz+a0as58mWiLJY0xtlsgKwjTxmDv0JKOwWFKMrR2nRDPRkQZgnYJryg011Rk5t
pbOCJPpSJt949DtPVooMi37BEPhuQEEB15SOTxpDDBwdInYQK09GWbkmiJLt9IXmL9cXRgaS/L05
TgxJpyjjXTvoXLGAd6v9qhk92w69pv8stLno9CVizy1IiJqyuJvY+3Xbi9OIsidSICjcXPSlmrGa
dTxJ7KAIn2Z2l+ge6G6um1g8wCcmpA1BM9VMyhYmmto1+l1cffqT7yNniWwOQNUXT5N8TososrAT
Qusr6LS+UC1cOTrLKwQksLBiXMKPjSbmqpZTM4jI1yiKR1fhVes1RZK7JvQyM6IhQG2fWanc9XO7
Hefs7fogF/ciojqMT4QRMlQhpwliWCO1AoFKMHzzPS89/HPdiHClF3HKiRHJSYWcFJaiw8hACY99
0vMf0N4pvpSgjjkoDum+F3M0bNKpaSHrGK7RXy7m4uE40B+N1OMlt3JeZ8g1M24FKogi4zLbWb3q
t2HnqbR+AQXZboqnnzxK/wL7+51pJZBr6u9t1j/3tL9nnf37+nQsz7noEQQJzCXT8jBEc9eXoYmM
LssDvNXszyRtpkMTO/ouonwtabD0FLEFKhxdxHCKhnRQlCnJyEgyK7Dz+0R7sCsfhWJd389rINul
dYY7g9oRiAXR3iXdBGlWFDl+hBlQRFZuYvItsOKdmxb9Ye5nsplouY3Ubg/x9cP1KV0aIhQU4EwB
iQJsSdphkQOscj2jLtkW31r9J2+ezK7ams5+MlbuhyWvc2pJChpTkA+Z1aSYQcZ2WujNazTc6tLu
gEAbdipySEB3SHEJCfN5zjvVDKycMw71jsT21amuNnUCWaU5rt5w3Qu2FNJshpjk95zF+eNgNPy5
G/r+rk1jdHgnGvcmZTI3VW4+X5/rJdd+8gPlt4AZp4pJO6zypKX3bYl3eNG43PwD73tqRVrROFMz
BXBlFIChvdj62lpacHEUoslR/A+JDGma80YnYazhnk9D+1ujh/ehWb6jydy/PlmLG1NHX7YglUPR
XBpGbneQ4TURHDlG6bOGezGfPtVm+FMthnet5mt8EIvb88SetD2tFi1eyqginzYTP2TlJ+gw764P
SUQNsjfHYJB8hCwKmHfFzJ4EYigPtBT5bhMYGi8N/abaDiZUcl1aP2hrT6jFVTqxJQ7LiS2weSeT
UcBVckiKQCfNVCuPrkXqiycOSROgqESKXoa76pkdsihBwkzhd2UYu2NRgyJBcbU+v7s+dYvDgeQX
5g7Zmgv6GTa3w8SMwQpKbfzJJ1QoZ+uIQHRlhVbMyJc6uFDSsaphRtWnoNKTPXLJG2g1vVwfzeJe
E3x5Qt4QHcni7yeLkxTZWCca8EBqOP6K8vKR5voKqGHx+JyYkPZa1aKbzaqEid6lhmdnG0V5rEeP
r5V0F/YAMkII8wB5BgWj3NBrJkbU6TVeg3n8Sou31jq2xVtyvHnCkDZDcRpwNxS5ZMC9YtZdCoo7
pIQwGs2jt7tMaORYgOggogTBleRroghFfbuv4ZhHt5j80ly5+hau97PvS76lUsuBAwRiBj34zQqL
PfTNgC5Y5vea+aTY83ebZl+hDLxidmlpAGkB3hRASvR9Sg/pPp7GAVUxMzDTxJ1wLJstqsWV/np9
cRa2Go4/ei1EmzKAKOLvp7tZzUKgTlMT+QByh5yO7prInqtTt9Xidq/NfAW/t3TRC39jQTpXSAHK
JdUqzkin2KW44ehBp194/DN6NPPZrywzPkBIN75v81hzZ6cjXsrUgLEMuvNpuYn1nHzvMsLudN1Y
y1suOA+Ud3GckUfGhMsEALTuKk4BGgmo+aCEX0cl8jQU//5gstEHiQYaoBfBuHo+2XGKJjzgT8xA
NZLEjbR8N5P8dS6sN6zCvYGS43V7i1v3H3sgkzm3xyu7nEE9gHdWhsDet7vW5ZmXWt5kp27Soy19
xdMv+Ea8em10FKOwBNCg9PRmyJ8nrTUiTLR8rXGLw/XxrH1emr+xzayCEHze6N7He2L9yedRs0Az
GHAnqPufT5ddlH1NFHyeWQ9O+QmF2T/4+Sffl87agEh2akJ8P7+j6rZKttc/v7Ta6PAEQFHUfS/6
xKfKUFK8N4ygyVnr4n3lJ3PzFTrsm2LoN0Wp/FLtzPCUfi1oXXJVp4alG9EZHKTh6AT4B0+9Ieu8
HvwTOv052GtyQUsbAJgVAfNHG8hFJJEVg24C12IgCHtDB5ezuz6DK5+XI4ihYsVAK3w+JRnwWqZL
bgeqQndZpN/h+C67tsyGtv3UDVqgW7XtNQCV7owpW1OkXVoP+Fe0AAEQtsCOFkd4FHJFCyjb5fN2
qPa02U9rMPlFK0LjGVVPNOTICVDVRjN83pc04Ebojpp1BxWlyB2Vxkcda809L0TfKCcAOY+bUBOh
1/nRTIG1HpWppQFYsSJ3Kod7pllfqq78WgMO7uamA+4FpDOu74elE4WiLHoZNLRWAhNybpVlegSA
6agB1M4fKiA0bc62kZZ+n3pl8EA3/Q7FL83tcudG+RWRwxQtcIgvCRglsN3PLc/xnE1mE2kB6boX
MHE8ZDNbuYmXbjxUgXQdOE2YktMWRTJWeWzHWlA0ewUdLaHid/HX6xO4tGwCZYqqOQhWEWCeD6NP
wIyiOSXgTVEEQn51YD+ZU4UghzKL37Qds30+xJEflhrZXLe8ODpc5dgvuPcuqrZF2RgaJzgDajP2
37hdj282N3Of02H2/sDUB8QKpejLRrh8NidqKZUehFn5lNhsn6nxfVimK/nzJecEoJtodBJm5MoK
avdjzeMaZtiuKryMr9xOizMmAPQQbhcM2tIRU1OrKUcT35/rp2q678Lvtvr6BzMFbm48odHPcMGe
bitF0pR4CwR9Wb8Z+rB3kvCvqrP/f2Y+0DcnMe2M6mM41KaGe1yr/JLGznbCjY98UmyuvNQWJ+3f
EX1kuk9MxSbp5hiyAAEHxALtqokJofM1MSkx81LqAVHDP9P2UQ07MdKgqJCQKQKoOjEr6iI5oOyZ
VeqbqekyT7TIbwZtFXS1NDTRA4VyDcoNKLSfn925CXOBTNcDwjaKvo+jpzRbebotmgBYBxZwoQMO
dW6Cd1Oij4wAuTzn70NYfdJytjHStT6aNTPiJjuZP1ONWGyUmh5A07R6yRI98SFJrHwdZrXbrOxw
8dqU18qh0B1Fbx2SwvJrdFQJ07Q4MgKhUeD2id5vmxREXJVl5B0USdLykc3TtC0LSHvYTWh6nEN1
own7DAd7AtQ5a7N9aylsM0aq0bkDIfmu6cbSoyVp7u1JrdzUbAd3trrk3iyr55SXJlLpdbZtoXe/
j9DItCWZhj4yNLCyDJ0kk6nCvdfmTzOxhwiQgpYcEIsI6d2h8wYIc/9SGBUSe+SboRDlHY9FulHi
qXlsphFxMKq6OkSAEnWDigbYcQ2iHY0wUt00iRNfL/r2rjbKZEv6cC2VuBRmwCchKQwULmpq0h4p
q2Rs9NbRAVqBKq3GXBUMagoexOhJ/wMPeGpK2idxFOuVM8RGEDlebj7VeHLS7fX9sXSUkTsUTHMY
zgUEJ0+dOc0tONmybx9FnpeXYbTpS+Nz0dv6tjDsFbTf0q2BI4xCG4FgDbzu+d7v9DZqOkXXAgCc
vlvWtAXk5/n6mBaP14kJadqcJAr7PtcQSKiqP6nGwRnVfV2Md9fNLMUSDkgbbLCZqGCTkv0RZKOV
orO0YBzYWwuyxLmedyaDRqAZc7+NuszNszV89uL0Ybcjcyka3eV+2VmJaNYniABNdpggIdytzN3C
9x1Uw0yk3tDydUEGnU+GkXUm14IJVFKDDX3IMFnZ1QsHCHGkqLOCwhzCmlJ+rBzDTilHXFEgQ/kZ
0ZYcO43xDeOKvtEH1bz9iYNyFEph4HFAS4ocVg5t049djyYbS0s3ITX8ql8JXBcHdGJBzOmJOx+U
fHaGHBa6ODwUhrPvlPih7mbP6oq1oGhxfXR0C6G8Z4EUQgpgHaXsZhEsBVbvVhaUyQx1xSMsnB7c
BP9YkMO6zJzwaqYIVKc0/B6ZwH6OA/9ij/By18/PoiH0AAOFi/jrokkStOpDnYehFgwt/6WArdO1
Zy12Ga3XLIlJke5AYH3/tSQtEEfj4Uwn7DjlvU03+lsDdiPL61KfF5t5WsmTLg4LWxe+TQB/ZWZr
2yrRRDEjONKb9k1Ps43NCkCM7f312fsAzMuDUkFrClQEqP4AaD7fdTqd6zYxBxpAUjJ3J8KANtWZ
gVa9pgsS6Ez7RdkR12lm7YBm2u7FIOPkagjRWtes09ENTavS3JFF9V8MGDkgHcJ+S412fM/t0fTG
tLEfNV43d6atlC/oIc88NQIfH9Yte2AzfKueNIY3gb5/3/ahmrvhxNiWhnrxEGYotrkWSDg8K9bN
Pavb+rOh1PmDE4WxP2X7ue3uajTi2ZFv5z7aznfRmPuj6kGmcoxCH1R2DykEip9whSMlyXjtk1Zv
DzEUirxSIfWDaoObzGjs6DeiFntjOGmzrdMBOtfQ84akdtmgn44MEKhDrNKZVeKhL8SCnpyVuE6Z
UpfyTvF1vQHleGjnWy3v9Ffk1fm9E9Lab3syr6zZ0uFFxeFD2Ap9f/LRUng59X2T4mjRe1r/igq+
8vJbMyDtiXxgWptxGCCDH96b04prWPw8EnnIegDgfNGk25s6ZxEtNeAbq9+d1n/uyrU+4IV4BM2a
kJIFREK1kZk+39VzxdTR4SpFuBruJ9vnxIIo9etUPytkDcq21PUAY4KdQUOC3ZYrjmU/pQPJGR5L
tN0gEHrRoCMMKv8dKuJ7tes/p3q00U0WeUCsvFw/vx/hgXx+gYUBCR5F8h3YwfORjm2TATiFKEWr
stprav2hje0dhRtMB76Zm8xw1YyjQ8pWvtLRMN3YiXaI10eXRej4Xvk1IvN+8WvQDQhIOWQ5cL2c
/xoad108wx8EZnZfA/oSgrWJRz8crfXDcPapmvkxf0rIj+t2l5wlGvzBQIyIRrzBz80qJTPUSp1o
wOwHOt9F7X3Tr/jjpU17akLc3ie3M+9VPhvDSANSvrZPebJy+a99Xpq4GVd8pUHyJYi7d816vz3H
gsrFv/MjYtCTH29UXO3RkEcD+maMrW9GN6r3irzemQEpntD0DuQxLQywcW+SykV8ueKTlqIjQdXl
AHmNSoDcF6mWmaMrQCijbtiZ7pAwfddOau8ZRFHcym7zla28uKXw3gPDIFJ8RH6fVcya62KmFGlE
w4/BJMoi4vW3E5ifcbLI1NYoj6FL2AInS0xfo3lrxivuQdpWyEHg+0BciNY/kTeXPHmCkr6a2io7
AKvgUghhlLftrA8DIpEi5K4BvrekhafAvNVTxNghc5vwvSy/XT/Yl78fWWrsLqw68tWIUc437kwK
btkjqQ600D3auKRYk3+Xnl8YgMiDo3KBTD8ISuVCcaGPaquWanUwOi8mbuk8pKpL2GORQjXwtkfr
37Yglib48LEwMq5N65OBg52ihkzkI58eqnktQl2aLrxSQFOABn0V/z6fLhpDHy2ejeoQT5nPTObG
a4KX0sX6MQQEwRbuVbzzgQg+t9C1SjETNlcHv3E+OY7fdZ7pqmsYx8VxCAAPcuy4TeTglxEraaLB
4QedAfc0Ox6Ytm7fWAh4/7EgecTRzkGNjxDhkHeFNyTEH9Y0+iSH9fdMQQ8YHbeCnFtu3HOYZWSl
Q/ihyu5ZCR2vfdPdt8Pm5nGgewsdaXj4AOBOpGspmhqTzzjmh6blW9V2C2ONkXFhLXBGwPsAtSA8
FuW1sOI0Hp3IrhD9vxZl0NzdPABkSBE74SkvqtPSxaeE5azmSYI0RBiMqVfc7qAEygXdqHjfgKdZ
JlLhWttaTh7mhzau/NDQ3FZZCccXFhoMOsAeAhEoVkI6dMA8oFLSmvmh07dceTLreyfzQYxxfZ4W
rAjBHwPnDozjQFqcH7zQVPPcHvrioLhZ/etX5vxccx6LFhBEovUMsGJ4w3MLZsfLivARK6Hdc/t7
nLyUjLhttzJdCw5XkMYKWTXUjC/YSjJgaEajxZWnGNljOhi+Muh+1TrbkbiISqvm/frELezfM3vS
xOVxFfZ1CnuAHm1Mvd2sPgCkUEGcdFG7xQ4Q+MkL5FxP0nnMRqs4hNUW3VSubrvVGqpxaRTg44La
KEJcJFbo+eJoVZfrNtRNDvTbMHi3s7qCjQSdARbeY2AgkysxUanGRRGq5aGbvlH6a14r+y7NEMSS
UDAFqYXQjjj/9WpuWV1u0+JgHTWQMtWiofX6Ki9agKNFag4Bky33Med4sCOfXgkSEN21k8QDQhc8
DGs446UzIvz5f83ITYZVBq6A2oCZkm30IlDSI8oG6spRX1xrAVwDGETwo0lrjRI6t1mbFYfK+cWO
3Zos9uLnUWsFgxU8ygU4ss57C7IzBNvVQbwz5Js8XQue5Sfxx5EAEzFapgWa5QIbSWil2E2qFgeb
KC56BAxAZiL+K03TDVMmN0Y/2cCJy8e11MXSPoC0nQ4PI4AosvqXncdF3cwGO/D5l+a8qtUbnX5f
32oLIRBuE4SKYH5DdkF+cetx0kVsQExtMsdTS+2bFWW72Sj+slHEdKJ2ZTcsjUicSwKuNjxwZbes
t+CcbJqQHXrddDVeukqlbjTnT6yAOuG/rGZyaFqmcQ+KBFip+kfb2vWjT8OVp8LS2UHuHFUiQ0O2
Qg4dxyhXUqB/wT/JHiC2s0kq5jbDp2ZY0wtaWCA0rKDTScX+Q9FSusgGqhfATkzxoWXje1+oPsJA
l0SKa7b9ZhysLzfvB7CMgEMNAQyg13JZ3qlaZEOzIj847Jlgv6WvyBS7E/5PwpfrphaOLoBPoIOD
bxDccOLvJ+/4bGQIv3sDoYb1xXR7evtVCfVe9H1+cMJdEjNOc4hkcMUO+UvSed0a2GlhJwO5gitf
AMwB5NLOf32hx0pIqrI8tNTPQ9+wUFXbXJ8guYNWOB709kGAAGUhXJZyuBeVMxa/Rlyfmj8iy2Nj
urNbUDb025bs8mlvWm9O86MsPoV07dGysL/PTIu/nyxObVrNjH53fhiV4ak1B98atceShXdauHZD
/B/DRLUD7A0GonNpKkkZ5xUAUPygqa0XpZ9s+qT3Tyn/yjpnY9rfTedFS7gfmq3XrZ3jhQBOMEdh
A+LyQElMegLmmhWptWnzA9f/ausHR3uE/O7GmnZhtY9WUUgfdNEnKcW/V1SIToliJZotpNihrtDD
G6F2dMjnAOTzHrdHEHJzL8qYlxu/zGivV5sG+rY05i6vAkfblM7XlW214FKAecCtIkjUQcko/YiE
V6AxoUN96GflsxriaECZwA/jZEsj7UVjdNs12jskEZ5tiHsxwL56pdlGeNOwqWWg2y7AkcdQBtXK
79d/2sUvwysf6Z2P1RDwXmk1Imb38YxjdRzGz8Avu5O6reuNHu9IdDNDsaA4JRD3Bv4SsQORvI82
8qGr644fNca8HY+ylTtoaSh4pgn5AlR0L1JuJjrcaGy3+L7qlnTy0bnjNz+b6ntc/rg+aRd+FCMB
rgLPZRErYFDnRzXP0lYbC70+mt48bsAvc/PndQNvNFQFLATtcmfImGhVDlrY5pgYua+MlafW9spl
enEIRWsIsnpCX0yofUgOwCjopM612R8N7XdWHJNxR+rdoBxCZPgLfeWGW5guwAQEfavoc7pAqdJO
GWrNLOsjWqkUcq/elvuGGwH2GcVTNKBZUAiS6ycNy8Jez+P6WGu/o41W/L55NdCig2Y9RB7o15Hh
74IW3s5MWh8d6v9s1wKnpbk5/brY1Cden3fM7KxEq48V++6Z2kr+8+LKxNScfl1sg5Ov62kb9Siy
18dv6XRQvg3d2+1zgxwYfBoqZRBpEvZPvq80Q97jyVmBAehrWzRep+orZ+FyoyJyRXIYj2OsLzLR
5xZKg8+KmmBxY+dpHBH+m4+D/pdmPUzzXmlufp8h2sPNj953vMWRTJKOhaLj7rXBAnMcYqQlWeux
YmtYr2j9uXXeYAct9tDYQY/hRdUNMkpO2UddfVSTTZlshpXTfbmpzj8v/n6yLCOwcU2R4/Nd85jw
1zzZX//5l54W3wc4B0uLsiUgLeff57qTxlGI75PW9scy+lxVzFNV8H6jCzTT7Jfr5i53MfSgEKQg
iQ+jyC2dm8udprWieRyOkMwDWPpXZL2ZwwrmcmHKUBOHDiliEjyX5PrQMEcZwmNQnQ7W4Btl7dOb
nSDURwR9gqB9vpTmjULQ9ZlJN2Aju038FCu3fx90K+BcAQQM4atcOsXUVZNNMuPYbhuHQ4rtZnku
wDcRJojTjr5IFKvPV2FmWQ5Ad2wcneybkR4TttXIdk0ud2GpcfZw0JFbgPi2HBxCRXVCCJXox+bw
H86urDlOWM3+IqoAsYhXoBfb7bXbdpwXVew4QgjEJhDw6+eQOzUTt7vc5ZtXV1AjtHzLWQgZU92V
q+wcbvjEp/4wxlF9ZNChxmrDGEK4qTBPDdCTXy/YE4fW4vaLHspilPApVfWqvi+FgxGgb1GSG1ws
60K9Q9oW2DJpn3PPOTFnyBrhlY2yHlQPjrvXNuQj4HhE3D2d7a2001nEluabr18J7ZllV3+IpCGQ
BsDp4tQLRvcnWYUGWDJmWED2sE14QqteXc8mU9tReJAeDZn7AO/66pblRiUuC8mmdaegujDwCY8L
y0KfxGEBkDV5FDSb0S+LXaP1qxtJyDJbhRuPnsXblc78/G12MvGYFcyCBigjnopV7gIE6BnyFnjw
UIZZFblopFogNNGYp3lr1SvTK2sTtcH4kI39+GBNUfAL+M+gAREltNaARjqwGOZ/6iZb9yHYo0LA
L6dpLJmgM9ImA4co1wyQ5oVg+WtuyWxd66CNI08CleNkzbscnX43tlN2pahGkbZ1xc9MwdE2zqbJ
xUrVOBEL7q3ntvTnBNYSP9tS+2ijheJH22iomVq82jvUPBWmq9I5nOVzGYVV2gtngMhkRNZ1qcZk
cNi8FYW0Y9o7cgXFJlx2Wj7KPOKAHlv2ivTW6zx50EMf9Oxmcchp+ceaxizugwHaThISDPXkPDJj
y8cWWOqtU8Mrgfp9WCQc3AwnzeAYTVYQ5HCa517q6IdBx68DTiy3N07d/5LN8OxEaowd6M9e0QiT
HqvI5kmr6/EF6OqwjcPKn5uYleXjVFdIrFwrYhcTIV1SujmwjsJ4VUxbVRapUoTee71r0EHJyoRz
PczxNM3NVUiq6U3Yw3vd8m7d1N1PNaOyF2fEApTaszN0XYqBPpm6eBo7+uzO8wRe/lTa9zoE3wMW
b0UirYmn9qwgD1cOfIziIBqrNuktS/0OKIyeCs54MnRMPQhUmaCL2B5gjfDTd8Z7rvLMTQ0QWKKz
3zVkQGNWBeMtQGtGpx3t/eq6A+RxY1r1pzBeyNaNdtos7gb/EIih6RNWhzJLHU0Mi/lAO5rQcRJ7
404/VKAVbhToPqCoYx5kK346TXg/5Rp6D1aufhinfhuzBjAEmXmJkrWIDeS9EwDLw1jUGV13NbxJ
IqsPyEoIoAWLOs9KKOcweqXnTAAjQ5pHD7CMOrYBn1sFIEdvqnyGIrCv69QJZP2nlmN9IWX5WEwj
j+0Kuteq4s99Z5GnQLnVxTR1v5sAONU4qLm6rIvJSiBQ9xPapNA1sULS0W0pZud3VAcW9B0mN3+2
tRRJ00CSvzQ9sPe1rBDPCAh5A7KZoqv1BCsnW2+sJpz6yymTvXfLbJjTzF07Q2JIV+nIiEzGIQrS
sBB/grxRadjlvV5V1C9iXwPctabjMGMB+W7sGnuXT8RWsTd5TXPRQeA9DnvfSYLcNInizZR2ReXt
QqeQW5vXPEEpTKf2JO/drJFQ3B9f4TPTbIICgCrDPB8aoMQ3665rfS/pJvqbzFZX7oxsr2XVltfK
4PTBgmgf3bLcTbl1X4RVbW3moVZlAuWQIR6YOLCxeHFojuOmce3RT+FTUHWXLRX5zh9awFZ7JQcn
tpxKxWWeZyyWIW+ua2LDpVpG0jwqu+TmQvsW3xq/5vspCycLFtN9jRjLV7G0oBJLZ8YvGl0qscqt
sGcbLM5b2dobzcCd7l35A5LDU4w7tk0DE5ikC+sKnO2W65hJlt80Jfdu25HJ1AzD0Kwm31xNvBlB
yrC3BA5LIsMCLIbAGbZqHOmbi9tyPWbMfmPtui/WA9w/VzYzWP5i5Ldj7rksbtuAx0rb9KYVbilS
WfntM23JdEDf9LXPHfuq1MOdKvBVlCqnH41fQeDKEV2WwN7O6VazKcakgKPUjvuAQRbAif7qdcs2
0JQoH8E/BiE8f4Elc31B3caHvERAdrTB6sAWtpLBH8Cf8zwd55YN7gUhLBajmtYzrLd2lmSWuiIB
jEriopxfa9/OrY1TlCXbR7oEOsfoKW6KgU+/PO25qTSjSXuc9XEB4GiKnqqXArzZgBCofahzF0EV
xVDFjmJCi7ehISYprAFHqwqnCKQPWev3SM8siuHW58c86HK68aySQGqqMUauRzWzWLs2riE3MLiw
x/tmhu4kYx2+wvQC8WOaBiXE1Wt3Lq/43O46k+lYQw81LpziNaKoV2V1dqvD2U27oSUr38/oo20g
3uWbwYs7qL294Nr4M3lC2AnEefqUulOrYmiL+06seruuN4Qz4UADi4cynYtilJtpUiXWbAaDBulE
uZMgavaxfkOb7EKKWh3RbEyBqtnmoZXMhXUpHaVA4sEvs0mJhVUYsqks4q5EBmsb0dP8moyyjIu+
2Cy0WObgw+gBvwf3c7+Hv6V957ZcJSUNsEfZTGe1Ur5TrOvJdle+kAyrlXX7YBxV2rK6uWcAFkCx
K5pgIjFDuDcb8x2s9/imGGdAuLX5M2EGE1yzdULRyLsLJtJvlsIkdiYxK+KZAcQjl5mXpnBA0XHy
O8B42EpZuX7B4WdeCjlNKc7l6rKiWfcAkmuFsyH0moSFRt64xTT/EFlRkWurd8zPvvTceG5bksCU
r0oy7bCXti3fIOnlryEpAh9AKdzEbs2UQD/bvgw6TEcU9r89oh9s4zy5tdcAF2PRPQV6dk37LGgT
MQILAOXQEnWZgG0d0nYpq7Mq4b4tEo9F7g78vRxLTHUXOIWXYIlWKwl5+wMusObGENlf+nLGAeJi
e/RuFeYJKID2xkiv3zBXmqsoYojCspG6iE/1HCuqmuuAOd4LGfJn7dLsyegchh0jba4K7kIxMM9h
9N0hWqrDBhvmP5JicxPVUIkfScxzon532g5T/Fbc4h3Y94iumqXOOvlJ4GZQu5dD0/rb0uq7xAoG
qW8Hz8neqpZBIFmMz23k3muvFDt/riO0ZJtolhvHm4c2mat2Z4vwQQZGYiED9R347Qun+q7Om2pr
RaVIXJlBy+2K+mPa6nGNI3fTdv1wIQPLSx0IGlwUk9IJ3C2buLWh7rYWFSWr1pkX7BauazKVXeIq
cGp6v7yBwC1fMS9rV6MFAZrW7tKI/2q7sEyGqHBWjFqJrQeTioBAQbbO4zGiM5oG4x8yOa+mNmsn
5AqGpOgryGjj5TRtmP+bE2XHs2TwdYUrfBy2ArbBeYnKnMjiKDd4kQA0SmR38zXMFva1yd6hX12s
x1p2aOJ0z0QCVQ7dwJd58sWl1P6tIS4sZWj9p6wUvcm53f+G4bG9E5T1h5kyhrNPVfe+ZfJHxXW1
Kpk9bXkdmGg1QU8kv+Z9DhhmGfErG9O+LugUXNHQVFEKTRBfx6SyEHrl0g9Xxo5WNsXd5qu+Quxm
1T4acyr/UU+4+GK7Idnes/U4JZZoyC/A6tVLKKpfoTX8MjxgSTlnHaK2/CWj5sBA6H1oWo2gL8NB
s7M7PdRpIYMCuie5GduE4kb6PdKZbkaaD78QO7Qp6jZ+DNITujK5hjxaxq1m5bNiWkXSza8iN2tv
XWi5ADMeiHUT1D6+QSCh+sG7MoKO+MQepa6BcGRuV4Q73YeVG3NvmOeUh5a7tlz7D8v0cFu46rEN
gnKFcxf5gi2araMCVgB6BPzUYJX8l+iURoDaBi1dwdQ621Q4mBIDGMNPz2qrK+QMIY4KKxvNTnll
4x6ssvaqbVZTT60DBLZJMbB8LYtGplJkB7QIf1cSIV7l5wnx+wlnIHhdVjT/ieC8hjPcx6kT4tdL
fP1VKal8BkCN7ubazVdjDjPNCft6r4MZ4XvV6J8CDIuD5Vm3TTsA9RWFGvnP1Ceqa0pvVRVlta5V
5hzQZad640w5lBjjSg3cunKnUkG6vB2sqEdkitaE7psG8eKs1txAozLsreBlwAd6YUXk82tfo6gc
ApC3tcVYeRfAQt+g9zq4l+1AqqT0entb5D7pVxltUeHhE7oxcAH1bhoQM2FxXby5OZRtBjXpGycS
Jm7gbn85cACOYj6W/aPHZHeBqotB29l3sW5VEMWattxcep4AHKUuZPY8BpzGVlhgHgBUWhf4/7Cy
dUi1ilz7V+DP0k78AfGvN0KnV3d13LUZFMa6WSSS5wfbmUSSt2pf2vqxQovg0ovqOfX5rOMpohDa
zsrytrJLlYzohD6DzH831xmiMrsPk6C3sZ2zKrtwcHNshFNTyDtqF3uZ0BQOl+rSjga7fYBBsguj
Itaoa26ypryperSiA/unPePG2DGuPXrPbLstsPp60F2a4q30e1BjikcX5ynWqzc8Z7ZfP9KicyBl
7U7zc+314w2O2x0teZACTweaaB3Rn4OYnz36qjKF27C27C0PfOtnrnI7LhCw5nHLKQoKWeerMGUh
758Djp/vVVX4Osw9jXuP3LMs91fTVD9VeS8SlWNjlLR77wbKsc2qZ8+MyP5n5ILZ2FRx2Fj+pgkK
lXQExsn9GNkHRMGPGfXEs+1m4S/iZ9nlDFA+7tIuLOJiZNVNlLfBvGQ05WUBO99VAcjBrneLzF47
M2cPFVWRSsFHUvV29vqHTgXS7ITMlbMvAiR1WQQljt6wd2eY3qXur4Ymr+CmUv6awnnvZOCcrKqQ
zPYa0dorYcqLywb4UpQWUPiKm7nHFRhQoIJoqBpEGYDE56tKV/jiczW7F5GuQlgwe82FX9mvyAJe
vajPk0rBOtAv7Ve3W5TxcBbFIJBDATyiJfrKY4Y5a5h+moGqgQaRw7CFiuFP481WXPghTyZY1RSo
N2QcPkVDf1kTqyexNPWOzdxKoiGvxBUfpf8gefA81vBidcR0NxZBmCKzR6ZnRI6DJTq0NnuGW4gV
g3ftbWZRQBhyJsV2NhSeMjnr8ctEcx8YNSCFBwMmLlne/oRsk4ZsDoJtpKcsGfUc7UrBeWKbnMZy
LoaDZebil4xq9aPJezVsUQxqb3Ogr2MXN8+QmNDbzyynjw10oLahaUWeuJktdxMOicdacoEdHrQa
CD47KGJEjuSlBvzvYnZH00MLA74ta1WVwWaAmKdfK/sZ+bBJS6C2boa86FddWXWwbyXOr6LS/bQd
uGQxEikgHvlyUth9FEfabpKORvOmHukPzDyLEZkgZ6MIWafZPlQF9BekQPIfDtvMcdaR0NGlDQuc
JC+Y6G+0lq23i0CAXPW+cC9FR9sEfes29Yx+Qn2UbAPLfYkypFRjFT1mA16MgEYTZP6O5fbeMI0I
XPK3sKtfEJyFqxlssgvTerd1hLb/GEqzr3mm9apt7SJpF4IirL5slTaEibSlSG30xF7DfmCJbxVl
QrxiWxbu1m2CbWVNZZsgbG6guDCvmm7cRkGxJe0PSrY66GJn8t/dkbfrDrSOK5JlQGmi7vruo/Dx
Kws1EnFl8z4NigiEvkLdIu98cjsuV3KA5Quru3xtorCLZd8VO8+gjjo19stkifqqLMOwTA2rfznW
bDY4V8W2zebghnmeuZesjtK89/zUDvNDqee3nFf+Rgqq4JTtusWuaHSRDFkdWbAr9ulhiMYnaCDb
HEcxQ8WtgFmcxLZIpHaii6awyjT3h6qKGS6WN2GU/4IL2VTbOc/fUI0PrwrAfK4FD5p0NBDas3HG
XMFDwL3VTumhVlNaNqyMmI19DX6/a2A/OzubVnnwHcy12BmX50ic7SoWvfpDM+sdjH4vhqjiPpQF
j2sEzSn0Zl8ZU1FcMCCf2CzCC+6XQXA5wqTjyZtR73Iit6ZJZrz2beAtpYnPHX0LP5M5nrlfIw6I
rAx10zKMe2eot6TL60ehOIbKwuchcod0KKjzYAyp30XfDGXMcHDiPJznHzWug40myG7XI3LA+zZw
F1euoK7fOiLd2HTNQ+todz0HQ+gmEIU1GsmTOigQJC9xy6J1N0XFuBsKEa7HoX6dgKotE6/PJ9TY
WvbccPxQKttyxVsruslUY6eSwwk4hzt9CHp2OaJEGP1EBSBPuC675xlYtFv8pHpCKhQQ1KRnJFxI
FugqcBthx1KxcG3YZBK7z701GuFPU9eKd7jkyrtpYM89rqLtAOBqwqgBVacdLbKaWfDsoGZX4DBO
Ah1oBxMk3/rW1XiFvCviGk5SIjW1NT1I0sn3cEEyCGZwCkac/NTIO6+smTa/Wb98dntRjhm7dGzZ
hCgbFbLUjfphxVCaPLAIOa0zRA/ukLFk8KowdkmF3ahKExcehMxHnDrrvK1G1DVrKBrntU/eqVeG
zwDe5dCpcMWSWFhwsYnZokYyCyTCpDb5VnQWIGyAMAOvUKMmdTmTYNx4oNDewXCdXntGWCkUQsHb
xSnxoFsTzWluKxoXEZy4UGIGFJITEyKvkF6QNA6RZ7qvp1oLoOE5SxMD9JZjbFpdew7jZiL7cHie
w9VAtpX5ft8K2gULARJWeQBfHXVjZEgRVZSSoPGWOvkWZaqvGxcnuj2QroNFFiBd+HeM6PJRrSJZ
p8i+tFbgCTvnDPdOPH/pFAMOAnIDRLiOGtSltFkku4jutf+K8xML8Ovff+IT/Pv8Y/xm0IUGJTY8
v6jh48y2nrrgqLV9PciZlyBHKCCnhVtQpjCII3a4Q6wzzaNTjwdwAlo9QAfCQnz5+z/9aBcFHj1C
yAdo58t3Ti++++OhwgPwOfAsFKJgxyQ4OkXEIqIne6DJrAsITX39+OBT2+vj44/mBrmb53YZHm/X
uyiE8v6FmTahPAc9+DxHH4c52geoSqK/YWmyV/PbPB7E69dvce7xR91bt+5qjp4w2dd6i5o2OfOF
T04SupAQ0UHHM/CPEFHBAMa6wNG3V/YaeuRTHXvvVfQ9Di2APj7ABoCXogsJqZPjRiernQy0crS4
yxHX4lTFqvn2PsAIsMEF8ZsCmk2X1/xnoYq8U6XII3/voQwpvFVZfZfCt7zCPwMsPdZ/BoBeK5RH
OwwA3npsaMrsc3jvUx8awP8QHAPo42GsjyNYzUBQYXK9/RNqZlCtPcfFOPV8SK0vLOkFmn8MwzYR
lYLUfbA3uAcRrofGOvMRljn42GdG9x/gksVO7oRBQy899Es9He4HczPzNCovzKZ9iNT3d8SHYZYm
/j+fwipzCacADFOjXZDyIvl6w53YEeiXQ1VkUc8lAGR8fHxTodaRZVWI6Ni/liOktTYeWsOQoDwz
0OcLwgeWDzfAsvUA6j764DpwyFDWERILbxY7CKTv0Y3wb+t+8M6MdOKVQIX7q6HqB+DKH43EMzSn
XUntveO8j9DhMCNSQXSbUcD9/kiAlQEODTALJJo+oXEEHfHGwbTXk4tcoDHtcAVMgftTGoEKZEbZ
tzGE/qKhBHg5+DIAgR29GrpqE0Bu2ttn3aobVvqcEv9fZs/RogYkFbaWUPwGEfkYpNiSECkKzBj3
ToQKHbf8IilFQQE+bjt44sywfS1LCGqnaOtwgD4dc4HUKoz17DRXMxRqL9BtFA8OYAQxR/K8QYUp
vEHIOu1IOdnWZgqC/tZBQ/aGjD+naicGHUBy0dfrwoadimpBahJ2HSqIKuTdLRy/+WoE+/21K6Tz
kOcIPb+9AcC+BU8Iqm+AXh9TaaJwyuxgbsme4iyNisMEJbURFn76DHLrM5h9ofliKHT3EANg3Xzc
aaMEdawXHtkPvoiJgaEvj1HSmjoUp9Dq5uOu7zdueYEcEEXmM4fVZ6oSoGlYpJASg0XHwpv+ODpZ
ik6K2mzv3HahDwlPjgl+q73HSFSJVScOkp7oe2JSuAixVAHCAd8GA8M87OOYrA8qGo4122ecb5hl
re+//nSfz3iEzEDmw44G1g24cz8+P5xsUwSsFoemMjfKKS+J820A5McRji7aqtRR5/oYoUdDVa+s
4NsISDwfELIFShZgto6+ivSDrOyJFIc8R5SQnGUknpwhKEkEWHGAxR1z7KK+7u2il/jqLlAw5cbV
/80n+GeAowMJethePTUYoEY18mCfk8P4/PuRsACJDVitvcjpHj3eHjQjFUpjexARZf1zPMfzP/l8
fIEQaEGkjse0AulwS1eGWXtohitnY+iZbff50gPu9O+2Q7wPJsnR93UtTYG+8+WBzhcqOuTBWp1T
0DrxCh+GOIoP1Nj4NvAv8uBbKchYJf/2Jo7+MmYXuy/kvsebjFOrkb6i8uDBqvOy4t/eAREERD3w
FEJwvj5dOIPJoMM0W/lBvWXAMQ9nbuhTs4MoHGEmhFCBAD6aHdmUbtlMkYRYEWoccfX83RNoofT/
/+OPTjgXxhU6HPD4Ul3R/roNz/z8ZX18vI4/PJ8e5SseWohy8PB8p0/qEMgEN0ZpHk3zRNBzRlgn
1ioqJ4B5AzoJevcxfHnMgyArolIdwuCx6od4HDfOObHlz6EZqDv/jLF8rn+C2absqFAIzw7WqjYi
HlbOUrZcffujfBjk6FqggYIQAsMgFWlAjr6a1fe3xHK3wQcDSqAQT3eP3qLx2djlSh3sUK7b2rpk
Rb/5L97hnyGODj4DkTbFWKEOT910PebfvtbgkhCAnoqtjcvn+FiSxdCOHN3dfSlfNWBX7plY58Su
8yKkkEDBuw4Y90efuaiA/hlhFrcf7VRcABrz7cn58PijDywtcG8B7A/20PZcF2JfyenMvjv5AlCr
hywL4hbE9x+/MBwGA5i/GUxQC2xjGFe+OTPC8huPdjZAQ7jXAFZGOfE4P81Z54DORsO9adeAtwVw
SRnWX0/Tic0GvSLk2Cj7/d3VH1+iApbHrdDc3PtRmHj5TWVd1bxNCnPmkjsxWUgeQdZ1fdAGQdP8
OE6NBEEQ2tP9orPPLsuzUdKJU/DDAEeHeOZmWQtLbbqXf4Aqgh64D3XCAsTTM5vuOEgGs4LC4R4C
UpAFQfJzzBMaHI919RhaBx0iHnMBMHAvrf4pBEmh7y/maEoB9kJHItt+/aX+8gX+WQ0LZQQ5JJID
1I6g7HBc/VVaEKhFjuQwjcCVAHskvZgD/PAYzRPZCIWGbsuqJwhVmnc47/TvpgqiK1Ub9qeEkfyl
YvYTUBnVunSB5bPI7KKTOwCORiykFrrpoNcxwS/gIdMNT6LezW5p15kyFpEGCPpyIAn4JKbhJcQK
Hi2qgE2ou1UkWsj7DW69cXoCaB0ghxcdgCpN7MoR0PQyksUOINPswUT+ARxRO/16Yo6W8H/mhaBg
CsIkCNXH8R93o6HMwoEchH/1Y1Opnfzx9QBHa/c/A3hQc4Y26Inwo+g6DYXfnhzsgacA1reDe+YV
zo1wdFl0pYZoUoZX8PoXa8P+ixdwCZJJsHbBykcT5OPmyxTKaFXn4PGetRF5tj0Tn5ETnwDsPFAw
PVAi7U8kUmIE6mi0IQeuoJcaMilveOjUj46u+J3tQ/bJ8mfvT1SxHMALoB0BKvWv0Y1GO2swYbcO
Se9f1q4MHvxW0W3vU+ctMOaaTUW5tV1DUZyx8hTmdfVFNHfOJvctC4qnZQGIup2tZtrV60EDUTWA
ZgBgXTYmkwABLkGnHyaOsrd/Nw1WY8/An5inkVwBljR+785fFsoiRoqDGuVELJXjOycHYzQLRu9A
3D/RL06evl6HR9fB8nh8QBsWmriVP1Nxas1oVFJGDqgpxh4wB+N4CSz414M4y0F5dMws3BsQeaDV
hU7Z0UuUcwjTjoh7h3AK06rYsO5HtBlQvfF+AogH8DepUvm+YNyDtJx+B859EP4cUCi3hjPT6Szt
iE8/BXJSkK4IEREeZ15uBIOCaaq8g9tX121TrIyX3UF8Evgu/8rO5hvCAHOCPgOpnJVbVWd25YlV
vajT/d/wR7sSsKK+zwWGHzqAKCXsE2GkeMW9+czd+Ok9UXpeiJMuNKAW7aRjSv3c9ZEP2WnvBrXC
W8sLwFrAYW5qCQXdJl+ZXN42VPwYrZXTyTsb5gZff3N3SRH+nWjonv9HHgQlQ1Qqjw8IaQhydNTW
bt1+1tdVHwEobdmAC1b1oWzs4ppQ0J+yXHpLOc+9wNrRQGmCiSNR0fbtbU8LnvAh+jPr3E/zktdA
C47QX2gHswW8/Vzs9fdQP/7FHpqty9eB3fBxpdhuBzkGgmS3nbb8lRid5kG045QOeYRYCfXDm6l2
VNq1KozzDEZZjJg1vFVWdj38FqqXZ6bweK3ATBlbZZk7pEYOZAE/HrEkt4u2KAtxb7irLmoj9XXo
CD8peqCRZxGc6x+dHA+9HYyIIqx3XION7K4vW17l91mWggzWBvcEYHVy8fXCOL6X/r7VP6Mc7YDc
rae56jGKA6rMDLmqc/zF4yPteICjFKYdihGe4BigZeA4hI/O8NAOq69f4vP2wrdBgrEodIC/+EkS
Fzdf1oL8xe+Fma6kgO2bRTahBTxv3fe3I3HXjs9SJthd6IBqoL5pVoPDaxkfiSCqqstJdvSSWlMB
kJHN74usT7kgmy68raczQcqpBfHvIMun/CdrDkHyI07p8Ht3UmCz5ODxoe1n3VvD4evpPPXJFgvs
xUoSO++YnNv7JgI8NsrugW99zUT1OwhAeoqGM/fQ8TX0d9JoAG0pSLWiiXY0aY4aTSUUye5zKCLG
fTZAMxIAOuHs68KgCUX+NM65c/DUmDAtQn0fDodLJf7jHOLzVBA0z7P7KHiN/G0uDqW49NoobqIu
NuE5xdtTM+mBXLuAUgiugOXv/3yyrgINjZsmuzcA0raHvH1CWPL1xzq1gSGKgNapDWkMNNc+DiEd
06D4R/k9+E7U2av8e72mZWmHSIAxXTBOXvK7j89XDuSAIwBW7xrwZp3lov5eleDvAKjsusAuAZQC
zMXHAQqlesvtvAjmpSt7HZ47G07MD/Sq0GyEHh+yeH9ZEf98AofW4eRwP7orhpvd4P8XPx6iJAB0
wE/ARQv749NHmyjHrsLozspQHXg25Zk9cmLPU6gOwXMXFwBC+6P1mgdWTqbM8PvOj1n+RoLEjQBy
/h5UYfkEH0Y5Oll4NApl+IDjq1AbcCV+ha38Xq3pf4eAVgXKr2jF20f3zGAzpHCARt4H07QBJvSq
Bffx651weq7+f4ijuSo5VGHnEUNw95JYKQVXUm30uW7WiS29CNwCFQHpMOgDLRHtP+spIkPdDFCP
uStaP54IZDAvmv3XL3JiyaLbgdMXyQB2RHC05RzK9NxCoeZO68RrtwAefv38ExMVLVc+wlBg2D5B
kEpbUAn3KOy46t22DJDdl/XgJuacQP7nqcKqgiSiA6UbTBQ92npjQX0Oolx0N79peVs89cO3dx8G
8CmKi94iEUeOdh+ol6r1OaV3iu/ERXPOF+7zd1hKQAu+BmBQFGSOFpRjdej5FS69Q0I5Xfv5mdDr
0/RAtgXtrL89Z/S0jkPy0bcoK0Tj3vXVlffuGphzrL7+0J9eACNAvQMiQ9BnWpQQPq7V1hpZa02d
dwd9ptTrgL+ev4cQgrGcjU8MnQ0Hy2lRPP04AnhwNGtzx7tDmj6UFyU9s1Q/ZwH4wthmMM9AQQyJ
wNHt4A986BSr57us6FMwkRHqb5C9xpa4VKDnSXojpr2xX7i/atmWNWeOrc+R5TI+ZENRI0egAk3a
jy84QDGgBalvvoMllte6acZ8qGhdzSBUoCZ227YpMiJ+ZmWc+G6LSQ3aLyimIqw9GtQ4Fqqs0Oy7
C0Asta6kPnPAnFh5eCrgPljUJ1CsfZFbXtnX050NWbf+2usurey7YQO2Di5F5PQOAshPLU+mTESY
Z493hfvbIQIMxvev1/YxkGJZehgBrup4FbgOHiM2XA40OG/MiMXdxkIbIFQSJDBG31rzHaQ3Xvw8
WPljGU8d33499sn5W9QI6aL2isji46JAi72yK1GPd6SPnoZJ/ZBTsCftubLnqWXgIuiCWj+yd1wF
H4cpJyAIIa0/3fWuO6xMlVXbQhbnUNPLUz7k2ZhHLG0gA7AUAGxeXvafC01EpdUNuTXdUQKSj8ZZ
ZL/b+ZT4dgka58PXM3fylf4Z7OhqCzgYK6rm2M4dWANlCkDyuRPjU6VjeR908perB32b4/eB+hz2
s+VjcUd7WoCsFPwPaefVI6mybttfhIQ3r0DaMkm57q5+QW2BwHvz689gvdyqrFSlel+doy1t7bUy
CogIgu+bc8xs19evlTK6jRp7+Ry5ebuV2yvn8Iu3kcMHQGkm5QeKzoBjNqW0N5NpQlSWOZjPE3KU
1Cy90Oh3bSZf2Zku3kmqI2Qar2irc3lbKtfGWPXOHFi41dI4v1209n8Z4r/cAIQp1AnPHla16Epk
VtocjG31V27Co5Xbu8/nw/oTHybfmyHOpjinDxFljToHafdDKRQ3L05TkbmxcWVWXLxbb8Y5O4rI
SWrbZcg4BRwNp8IZqV8p8V0aYUX6rxv2GgR3diUxm6HAocUInUYYl567k9Vfo9avZfyz20WXYpVJ
sK+CdDzbeOS5BiOSq2PQtJizOX5SMa0njLuFcNrWLeK4xpxakhgmei3I4nS88rxoC3/Y/Kz1c4FP
QaQsHCHPxYdDpc4aBv0lkJYu2bZhOoNsyK0In4fS4LMimCm0WdmgAO6XtKh9SWSZXxpO56WYKmCJ
9oM3Ve3kdma4bKoBKoId4VJaCnAA2Iny2M2qtt4PiMncTCv6p6jX8ND0WbNPctXeRGOr3+vzqDxo
U6/5HbidO8IRh32mRF+0qh2/5ro2/U6N3CHNLJG+pLP+W7KAf6PUEI9mnOabdqp13+Js4SkGaaq5
XfysegWfjCYvVe73ZV8kLoy1cL845IVL2M4PpJia+0hvBrfrzcXvzDG/cZJ53tSyUb5YLXQZvRb6
po8b6UQ/VPY1FVzKOMw4UeKquuuX0tktFIm3bdZbx3DA7gZhpQKjAM0FTp0Mxo+E8kXUduzSbEvQ
kUqKF6em/Wg3ef8wyk1ycnQcmroe/S1t0ocso8lOGSkDHlxr0wtlKSFWtaRtiTf3LtdA51Q4+P0J
boxf44rb9E33Q2iYs3UjV3DozYrPm7x0yzgPb63IlO9ztZAf21y/jSg4VngH52LCPxzmm8RJSdUq
muhgRt2MUS+9o+6tbCPTotgm7N+GkS9+IhoilG0LyJHpVOCOnHrTj0LaOH2bfivw5PpEfWbeZBQy
9TJax65uTpZy2yXJ4wqeBlkyhQ9COD+1Mh33YUYc0r2MsSp3Jb2PwZrEr87c8HIHlvtNWYjEBRmi
R73XNMvr3Aij9QrFzk+SLY0+8Hb1pzotre6PrN3viR3Jr2rXtRtYn5LwpNmyXtRZLX6GVq48444u
b+Wc2Virzp9GLrqviwang1vzxMSYN2He/cmlSXpaSg5p0wLuqRy0RD10IKNWi3Vj+rqR2C5zUS33
VD//DoUwX/KZ2xKD6PJze45Ay5iDN+Da2osuUx4KWdiV62BI/eJIbfszqZLBkwnwLXhxjT/CFuQ2
rTTJD6koRZ6wYkAyU2bdafX4ZEkT+ZnJsBSnSu8JPaskgFVTC50pcka3NKPF56+dj0nV6Rul4wUf
rzNlNgB6TeMcYOkf9nOa/Eq1WXwvIrs/xdpSuQV35EXQ1TAPIU77LY4+82kOeQAuWIzowQL8cS8p
RfSc1dV31aryr22lvqahyefxCLp40BcTxy6EYCzA3xZpMrY8qenEDXa+anOnesjKFB+LcecjDi63
qLVsv0zlVyxjJDLOXYtiK+krj88x/qOhXx1lnfNFx13PIskLX460dmNNcvs9YnlWnmPl0Z1edz0X
amduZ+NTnX9a4ufAAQCggztof6LMWPDbpqlPoH3Pk674Bw0c6mZriZ2Si9azR2fwFzMsfaNzxLaD
NeEVeBs9vqCVrTY09UErHR1rYWy9tDqQlCEB25VFcwSaQNO9mYnnjkuIzS+aZK8KS+TQJb3Sph8l
HLom5mxs8jgTErjweqrVX9tBl37iFBzcRccYmFvV4KlJJt2YcTLulszOvRy/J/StQfYSQ+Se2vZo
RutEb5+sDJaZGib2jqCq0mt6a/o7cC69afh+/tmXSXYAtWHgKy7h2KkpyNAZM9We3Uf2SiMe/Uwe
lC/AUNrSm8uuvYXDlf40JI49bsKXvKcJ8nrB1g1HTdTGrholayMKq/0ldTMWx8muFF8agDxE82jv
KyMm7aQUgHvB6sDfaNJnNe+SXZPQZRzMIb4ZkF88kG5bsZdLmH8xx3lC6eX7PhXGFhJf+4g1dX4Q
Wdv7fWdzA4vF9Hs7LYNB6syjpNjOvuulZQMQJP0GuCHfi3lW8DpCoeoyGfhqUpZHVaQ980YWgxsr
dnbT5boOlmlu6LFGP6AyFZ4InYdIUkIfC9hvpGPQjsaidfUs+0p7IXfLSEL3DmbcH4B3bGUJNI3k
FMt9OnY4Rm3IMWld83aAwXDX1jAW+CQfXDUj1rPs4OM1elhsAH6RawCiQBwdoDxuquP7H0TXb5Mu
7e8WFVu4XNrNRkPqt6mzbvb0WSr92Jj1fRTJyjYsImcz0fH36kjpv/MKzjZzLJLNMvEZbkkVRs9E
EpsqZU4PpW4eGgjO3mTqiDukLIVroDh3Zq2k0NTbeNM6+t/MMZenxo6ax0pU+a7VGJbzi0HGC/gy
J0qnL0WXWX49AtyxIVbewxeBJ9UL+ZA6YberpLbaxFY/HZ0uGTdZPpjbBlswdALZODSpPHlSk5oH
HcnIU5/3oye1CqQNOap9q+o7r02JK7fiwfSXnAa/NKMF8TDGCt5cbeRHHZg8uDP6bUa64x5nh7Q3
QgsEQQwtwCkJzcpHNo1ZSpsjOD1lA5wtfWwFCZAa5vHHpsyqQ94s/UvdTJqvzLb+0ECc2PA2yyCY
D92PtF9RffZcu46C9l4Y3QhxyOn/9kX8q6nUIhA4fF3ViYqNAbTWTSunOGRqqPlgAeubauUsaLOD
jZzJzNJOuid90pNfwiQ4d2gw6asJu3GowooUS/+7NLTWRWUkXFVhuk1pqdywdEOPmrW6XSl9OwtH
ujt39rJHzgC+JiT8Vfx3xszrxdWWTD90hTTc8x1p6kfakPPoxgIei9aaT6mIquMEggDug8zcNZeY
MIKy3CAIN49VpA3bOjcs1x7U/A5Db+SZbQU+rzRyZEUctWKL/rs2AWULo+I1LeTFDfVFhwqyYgXx
pW1HW+8hVWa2OxdmC6S+J36zMpxNNYE1KWrzl70Mvxprsl4HAm/5GiKsVvSqvGuGEmCHibRuTqpw
3zWVfiPmOIJeGCc7OFDll3SRQk81+m6XZoXm5S3wnDpKhC+jB9oactnsCgQktwOnSG78ULpTD2Cj
KQdng7bgoY9ih0hQS4U4BGxkl4QlaqjShFw1ry8d0Q2NL1YQJTUl/bFKDPbrBIYBDnh8+/qQwGps
WwscTse6a9tkX+CuDMh/D/dl27f3+YJYQmo6874eOBlMIopOZZvK901Rxj6iKWkrFGnclSOt6xl1
i+XmbEI+FbVqK9Iu7Py+t/qnWY3+ZEbpZZpxqlfGkdLH41fTTobZKxep+a5ZcxsodZ/+1qsu/eYs
ZrQxSKL3Rzn+lSopLCBp5K8NFw0+h6N57cC5ViUDZV8ag7MFTidvUAlCBhlayzcWe9p0fTJ5YQ5C
f6j0aCsks3OXetT3jgLSMJMUJh1VAzzl5etcOgobh5OfbH0RvlbEiMT0BU+3WdnuRAlvE+mltJmg
aAqPw7lsHPViXoZtMxKfUAxT6Opx9DVa9NiNuq6BJlHFxkanyR3EuhhuDeQ72VE4ggBXy0DHRIu9
94XeaEejcdp7J7J+j006ulXJfNfBim1Bp3I4HSN7Hzojb56cN2GSleZmFkN3QL/TY/xT4q0VlcWr
poJKopHWPVudlB3btlwCU4oS003bpS1vmmgxZJrDYe2Jtl04diPNOLUTe0KsLhNxyNAIpha5Rjan
EB8zIw1aBH3kDxawlcIq28aU82+LabBfgHyFlUcqbX/k/ZIKtwvlESSpEiZ/sqHoA12y8qcMjt1N
DsTB10vQD24Xm5VXc8jbcVSQtk5DXP1kJLjlF7A7i6qM+6wkOrp0xtbXU+s7pZvumJo6TdQxzL9M
tSluhxjERJqvhcp5SF5i0c9b/MxwWxdbc7W6lp9ttUoCNZJABRlJzBdR3e/yYZY2MIHq5yGrKf8s
cGKcikN64QAEiuh5HOMO0l0ZVV+ltmn55jTz26Q2i6e+Cr8qkqQ84KmtT0bWTE+WWUcHuRHMD6AO
h9oQf/mXhB+PWo+mkgVpxPOwc/AjHfjgqoO6qp291Cg2shh9DDdxGg1BNpeSK42W2Ggqoae5zkdG
HkfjixZCKTYbQz45rObnTjbLTRyHuV+IMfYTOR/ccqqHGxmS3HY2h/kx0fPuUU+hA2nUNdxi7Em+
TkPPFvYBMtyXNNQlvxfoYiJ1hLRFvPe9OvG11LIHerJetFuYH/p2dcR5WiuPu9gYFB88yp8wbUC+
mEN9LEkgvS9VqBIZwLXJlEFDLSO5rYnd3ULl7X5kBZ57qB/aHUwm2AgWiT3pWJNvU07pMYZ0CpAi
rvx0kXexIrm2U8BEWtTlONJo3nShqI+grKKtZoSNGy1R90hLSvUwtoG165r8RrNDZwtzNYIkONq3
Ch5kvxKOsx3MhHd6U7bPulL8Fklnn2QNAhxfaJxZRpCuiaRlhzlK7B9qo+QIKcLeV7umO5l5od8o
hdMdrV7+Y1olu3LfKEcxaZPb4vh3KQRn28VAvRzT4fOcotNdoykJoeuBLIWxbW6kaVJ2cABBN2W2
+KurPT0nLYLqZabimJR9vk1Bcnn0oTmTjCA82LfBIDS8DRKjBSwhE2igOahxcUc2ABANQMNghV2M
1rZPjQfSihNnB5x1xs20EifDsYpdI4mq164W80YewxBCz5B7i5wtR0ed0x+IzMyt3SjT7dKAYRRp
9qJrEvfSSL+MTittyz781bdt/tRoogq6LESYO6lqUKrW4HIWjTaDahY7TuEAhhRF9amQjHDASs1V
eD6HPoHYp5q1dOyjBLo0tRP5nuiG0Os7gL2ZUtzHyqgcQmDZm8iZpZPeUZYwhV7e0Pko7wZdjA95
AlMU6M0TikhUyZWcO0+ho8MskaUXyUmAcqRZmbi1cOKAug9In3i6KzWnpNQV/nWKtL+xDGM6qkNd
HHTeU14C0c2NpXTpPVldii+FCkCw5OZIDN/L1sGEpuGnQuRuXYjKKxLZdse2ibwwMaobrVbk3VDI
tldX9rDN4zD1as34QpHM3sNqKv6mAyTjZQYgNGhxtkmNaOA7rKlPcFBg26rOYrhlpSyPJtq4g9kr
wuO4K++g8vxtstTZDypIuSkyOZQlrXZTq4u1zSXlNq7G3LOjSg5qbVhvoTUfOkdy/ERLf+R5muwy
vrwAnWQ9FQWIvSBIV6YzWDwkSI1xREszvZSTOW3DReZzchL5t1SSmq/hlJhHeMRQ6oTcuLOJ10zi
EOUC9Yx8u64pcA25AlgkXO4HyZrcuDTKxzpBN8dna3hDnVHd5NUk7fGEg2oaoTG47NTxVo4aQGNZ
1kEuy51NQdHdjfr6jw0fB+T4osKBrAD1QaxxramRNktVVQ+clhdXQgnn1jIzKnIMoo2bSbmz+ym7
jfMm+fJ5RfZDHXMt72EupoW9Roqd15WbaYQtBwoy6JWDqd4u5b9WYvl9sjHWhASFQ4G2ljjftBuK
NmpNpFpL0PX3kzjE6pXe1qW//83vf8hDQ/1rKwm/75wyDN//aNhAx8D/0e8kbwrDxgfPzGTZvOOm
cAkAClArPJIqMIvqX2vJZ4OcVatbIzdGc2CQNKZ25l5zAV+6RW+v4ewROIgV26nj5y2KjuVDHb3+
+xRy1sYiXl8yMM5FMbNVzzC86cLl7feg1X78868TyUTxm/CcFXuxXt2bCRQ2Yyc1gykHUqN+V6kN
UQP716625fynJKS5x2RllPdD4JYZ06qtjCCU8xOtR/o5s/b388u4UEZnDLQw9PX4ADlXBNO5cjRU
qkagOCelDZqCMsXz50OY592C9TK0NTvJWGWJ53yQXi919OqlEfS8I1vVejKygSp99t0q1Gvgn3VK
vutMrGMhgmJAiCcM9/6WzZQa66UqDF6Q0z7Nh+MS9g+QUZ5hsf2S556C5L9q8VmIDGnqYApWeIh5
NqRcSRBV9doIStyD2TGOfn9++z40W/h9ZBmsceRpyGTOZkGmppxnwH4FavF76XZ5MrtUb8HkcYBT
KAHFV1b9B9/RekEIKVB6MSxW7bMBjcpxsgIMQVAMlrKp1dCgRdIcjdDc0fwFkgwmbS6eJ03ajAVg
w88v98KugISNT3ZuKrqjc7EIJd1OIj/HDJAG8f12FOY/GvbWvfPdCGed5oF3ejwK1Qwi1HI5U9L6
Hyb8aiLm9WKuEVtnG1vJYZnY4I4ZgUeFLsuo08MBbRz10r/erFW7o3G7kByTUGytS+/NJjQrnPtH
ix5bWzhePLsSRdzPH8cl5cuaIoW3dCWlOOfTTyxqI3d1owYLTbOI77MiKJrRtarjUoGUBFondfk3
OdR3rVPs4j7z9OnP53/D2rN8t6iRPmnIHAheQ7FnnXuBc4msCeCe6Bz4DrVM4doEYqiw4TSl9Yb0
mkvi4nCMohBnuoJNzuaHaKkqrZTMgMC3jVZ+m/rWzaiitv1XvbwiefywuNdLQzlmYwZHenV+dy0i
3iwFDl4wTfIX1Yi2jUl6ikGrgL1+FjDpC9DY2S9lsa882IsjO2z42nqE+KAJHnWtakJFGYMew8nY
W8SQkAdRHELtVhkeQFF7ITTozx/kh92Zq8VBsaqJCMP54CWIB0KSBsUeA6ygZFPM+b2ZV0RJ1H5p
d6Y7M6M2uapeA+NcGhbSGfZWeuLrNHq/SvS27SWncabAYCHCQo0h2gpJ5eNC8fmvZXXloX7YwrjM
VZXDpo3q8MMLLyNEhXKixnzFwZhTlLkmqFtn4PmCQOK/EvRWZNX5gtAyki0IMKLJz5eN7cSESFCy
6/55K16vg07HajRTddhB7+8bS4Cut9pOwaJb/rQYJyVtDp/PiIu3CvzMqhjnnHZubY5niepyM0xB
WpX9w2xTw+NQGD19PsqlCQDYgu6SiuoeqdT7C8mdsDEMqZwCpiRNqL0BkrPOjlVP4K6xn4bXz4f7
cODhvr0dbv1z3uzKXT8PcxLWU6DEdNKnP7b6TK7SdhG/Ph9nvf/n08AiR4LBVs3j+WGnlysnjoxi
CqgvPBphdYNfl4wh/YvVKq665rEP1n2OoPrK1vHxhLBeoI5hHwEI+ZTnC6oEIo19V8xBUqIPCCU+
xwHHG1Cgxt+181JyQIi0n/o1k9ClaY8NgPcdXoCPIkhJcoyuTRT0iMsLPHAKO38r6ffn9/TS++4/
n7qCzJIpfy6HNeWEDhLB9kEknwx2YLVNPCk79aEJLB4Q8PJgFntNvovVv9J4+HcjFFsxuzL/SfAt
17gumDdzRx/LJtMSWQ3qgoAVKm9RctXf/XHavBvi7P1md/VaPFzUwM5bd8p3kvrw+T288AJ9N8DZ
qaTRtaw3Yq5BERTttW3cH0YyhYR47dWfnw91Yf9Y9b4mb8/VMa2cbVHygpda0JMJLPOXGf64Jkq8
8vP/2RnfPA3sqYs9Fxk/D2pZuAtg28///gtT2pI5Y+jr/sdZ7uysnQw6XYREoUzQoBuu5155qRFr
HNNRMf79rQRMgM9hhLx88v23qN9cS5PmS92XIxJi5W9HCEZxjbygrH/s2X70boSzi5nLtliUUl4w
DDikFL3q2u0iJdu4/KLHv+1l7YnUexsBk37lQ/nC/v5uYPX9ohFGqkWT0S9BI6InRMubWPsajkGn
tuT67fvsiiDx0v7HeJgjmHnozc8pRJVUaEje2iWo1Oinmco/K7Xa0K6gwBxHbiKKHTErv5awvtUG
JA2fT5kPbxe+bRWsauyBK0XoP4v8m+cYdZoctzp5JULR/Fbh9npmTqzPtZDdD1PTwR8DgQLHLSi6
D9LprNedcqIRcjLsPf3gsthCu//nS3k3xNmLsuJYkGckgJwkxdUGz5yO8Xy4tqNfuF+AJFehomFQ
5zs/LAny1QAgDvbJTkHp7kXtlaD1KMh/fi0fXsbr7XozzNnG3dXxAt2MYTIj9zvHV7Q/CFmm+lRV
bOT1q32NivpReX424tk+jitaKtuS9gmJIUjObc8SCvEtyaZzYLvnZI5stRTdh/Jzyje9efj8ei9N
D0S/BP+uAEFmyPs1N9VWVKlSZp/qtctRmzdh0j6P9jWn5Me1xlWCoEYbTiqz/iFAE9YKZWupsk9p
XXrOtAmpfRMC43KeIx3gh5oeC50Um8j/Hy7vzbBnW0qeLoIeb2OfrPJ5aHYi9pz4yjZy8Q6+GUJ7
fweTJZGSfqntUx6Vv7Q5/TlMyWaCZf/5lVya/29v4NnE7PO2tJSIG6hNX8tsXxPoAPh+1DafD3Pp
ajiw8A5eS30fC4mJSqmSrNsTxzdelo9D8pzZ19TNl66FggqbhkFbgPX8/pbJTdxY8RRbJ33QNsVM
G25RvSr/0SZXrua/gPJ37zKmHU4f8m9wdK3uivcjGaXWE+cSWacRZsp2ErblVcsyvGi5E29mM2m+
WXoibUOF3mqH2GArp0V8bFKjPswtvWGXC4i3YCa145gU9aGIEA32Gi1k1GjpkZ5QcTQTdDqjpKve
omrzq2GWk2fWFc2hjq2jn1pziwLXEO4gjxAyyTFqHgkANf8Iuu83k5ERMYgGetuimggsCx5C24f2
bRqj50T94+xEaU33JHMlByj/EaKBPrnvkHhsCxmdbdWa0p1oevt/WDpY0LFw4EC/YBaVRWtMFPZP
hnMapT8D8a/D/7B03g5xNqdj9AYWgULhqXPuNOUx68ix+dfjEhMAaxJfVSwePgTOJgCqRwD8dRKe
kqn+LiS0UbZ1LRJcuTSfYZ+Ad7LWe3Ve4QfD2S7ELoWnwV7IeyP0Vtl76UCnkTAhZAjlsc2MQ5mI
XYhKriIl0ZS6TW+FXzOSaD5fwOs9O5/xGO0hBK+FekyZ72f8WGgyyVKZdApjhYqCyL62NGA/H+PS
JmGjTyH1XpdZWGe7qtQ1daQXaniSDJSXJQXEutdRqFF6+nygDyfCs+V7drLQl0ZaJImNoh5f9Gan
t7eNqbl9e6yWhzHffj7Ypae4ggrY+AzDRCn6/s6VKc1Kre3ME5FCbpLv8/IHi8wdlcfPx7n0hDiN
YWVFeo6P/+x87SCxF6LVzdOCQitWvjv5tQzuSyNgpYC2QC9o1Wq8vxISsYSY+8g+xah21+Sta8D+
SxMAkAifh8gIKPCf3ao8hNoVljGnBqT2qS+Im73m1bz0NN4Osf7vb87HmkPPT1+HaJUH5MWW7IXi
Nvr274+CDglzmCrf+qX+fhAjEzPyM5ngKuNRCgOx+fefX62mlPb4/w9n71FNeM2ijzvVmOFMGFeE
lnw+wrp9na92ykZr+ZcQdIxC7y9gaJB7QgsKT7Y9eNUw/OaIdyihP2sxsTNN1V1ZI9fGO1uQ3ZDL
fYug6iRl/b3W6Lsi6veRKnZj6BzLrrtig/tYxmEDeHt9Z7tZExJbIzVzeAq7iuRLNnkC16w/SAPR
yMyNs02ajMRqJSp9Un//DlLxGrZ1tF+s2TiVJKO+fH6/oTBcuOM2tjygerRy+Qx/f8ctYF7R2C7h
ycGjcVNX4HfJZ8922Rh+Vatp2coVOe9So93RWatBh2nhoeuHivQeA1Jv3DYb26j5olUG0tkrlJYA
aH5p6dQQl1lHx2Kxer8LYe1JJCJt4EDpmzjBWTOHzmC4fSMxVmU6r8ZYWkFWOLkft2Vzs3Dg2mWW
nGyqGadY02WIW9UEDW2tkLqcNaD9nGG4yZIpIayN4rbb2DqGH+K+fWteIKFB698WVVkcu0hztoQH
ovSrJ4QJPdp3acqUbYuDdZcSs0XGaUumYSws1zHk5cWesWyVNLp3U5NAQlGU0EOvZlFS7ORH3RoE
HOp5a7bke1byfC+HkXrQjOUl55+6bwen2JAIv+xwCb1aZvazTXV+pS7aPcm6t+QCIWGMrR0CTflI
sGt1HMcp87CqFO5UaTKo+Gi4TQioJi04m73MJjzK7qP5Ua45nFUZiMqmEqFvWgv/A2KADe42LABq
XL4YxNj7PRUPH7Z4tmv6UvekUps8Oi7dvZRoJunFvbnpbTnaG1M5+UmDstccqmcnxUTkEtaHP2pq
chRoeLk8isYVKtCq3ysku92R0574uL0Wd1Kg2mfa8qcmdI+tWZHx4ar1yVEJkyhwtx0QGvX3Q1HK
G32aSRFflU5qrg837ZgoXo7ZjT8y/N43pvoSikE5Oo01Ol42KcuXGv5VisNby3wjC1+cLi3c1cq/
JY77b05AlosWJf9L+/KHSpr73ZJxvu2cInnsZ0m4bT+OHvGollfq9GxpKaffkD3FynEMn6bChkpC
FXlXqGT0LdlS3iC71fwoqkl+dpa+84mFM27TIsnv8liGudZXDm7pqvPVIq9eYtWqg8VGoLZOpeIw
sWpceZxkvnETTrEKuhcYSyrMKPrVWzmRiUpr0lc96/5aZAnf232veVRa1b96HdlbPYf/Tu13vM11
nFgkLhMsrZfEpXaUXDPdak8kqglWUVRti7odjkmRwTmul7bYECYp4RNgObRoY46qlXGhE9ndmZz9
GQkY3cGQTh4kWEJ4b9ropa1ktUUTLhWqF0EQPFjwYXd51dSuFinxURGSs1dlxJzWEseHPFTsHRyp
yS+VcdjUVaN7qQCZsBSwexKtrXbD8ndAshgzb1sDOp6mY6/4fLO6tFkDaDMs/n24A+cNbHkcrNEs
y/BUmmvweoUyrC3iLf/w3zLsbmGt/f58wEt7I/82ukRH0ynUnL2NpqjXmqhpw1M9OXutJryynNo9
mcbsCmp55eouHXLYbmwqWyzYD7b5EjtUSSs2PMXkpGCHqq7QBC/+Pph4FDkqtcHzDkLfCLUQiRKe
CGndoGB9aMkGv3IN6/ni7PWNk2L9ulo78x/YiVaR2mjRE/OUZtQad4XAQvjvBZ53Q5ydowY0/tjX
GaIvt3ahuui0XSIqP3/wF+4VYQMyJvmVGsXr8f1LMeMlomg4ZwKCVc1jI64cAy7+PAETfI2i8WMq
v//5QeWTaU4NEeS2Z6IwvvIULv08rTCIsCpIWBqY739ekhU04wSlBwmdlNFqyFd6/vf7w2HBApRp
rtdwdn9oAMVmPCtJ0JJBHHt2v/3/+/2zc+ykVF0LYSIJrK/ECU7SlTl0YSOhM2Mgt6FLTVvtrF4D
4BlRSVImAU6cY+J8SaefAgsDlHrX6n79D5fyZqyzW8XLziggtibBtJ31J1l+/PznL14KlScUXny9
fDjxT7YEJHIuRTBk1kNobvlPPSm3HND9orryVK6NdTZtodGZ1cj5JdDyPMbFL74tg5y6eWdmBLQX
Bg5n/evnl3dhQyGOb6U8rp/lHzCXkjxHeO2ECOIi2cnhLWbFYxK+fj7IpfWyfnKsqsmV1rMyM958
moWWNsvD5IhAd+4N8gOsK8t9vS9nuyK8DfA8vLoQAJ6XU1Qn0QQnfREQ8+NOHLA6+ZcSjpvQ+f75
hVwb6Gzh20Ni21nFwteU37b9rZB0N2yejfLKm+TCPHh3PWfLJy8apUjwYwfJ8r0koLZqsW3hAzIA
sak/Pr+kCxPg3Vhny0eyqzhNFVUEfRVo4W6oAoy+/8MQEBbXNy+6hXMGnh7HILsrHn+afMP9jRPC
lK9M44sPBpYjfG5Ea4jG3s8wY85NkgQqVmmazZob5yJ+jjURP9YtHIRaq/6Zf4KQCVUmr2LyEQzo
h+8HtBYrbNSlFUGjbxYsQ5v/4Za9+fmz65F7aYjlsBHBqIZbB2y+sOWDiuD782Eu37b/dxVn8zmM
h7Ybo04ELa7a8HtF07bahuGVosm1Uc6mc0KDWHHCWgSLdDSqg6Q/ly1TwPv8Wi5O5De37GwiQ+S2
KoKSWDQkWVd17CX6betsPx/kUvNtVWpQ7uOFwJH17LmXrTl1NK5EMFcKqgCpsH8TWpsesfPPd31J
NxOnXBptnZxIYNHnsq+z8fk5SIwr13thU333l5xNEacppaiM+UssAPvzRrpGMrr2+2dzo4tjIUHE
F4HKevXnxv/8Tl7c4yxT5836X7/57HGNYyqpYuRxTe1Dnt6p/WOYBlpy6KJrNeGLF/JmpHXivHn7
6IgTqAAMvH2kPzNgg+LKDnrt99fp/+b3G6ImlqhhETlNQWlJ11Mv1a8dDda61YdXHMaYNRLWoop6
9rTnQerDduBp5xlf+pMXSz+XPtzAonfbaHD7/DdJ458/oYvXxUsV3QiYL96s76+rAtUQUWpOQZe6
mvFQ6MG//z4SA2PVNMBePSda5+USF0vqpIG+q/vTkl6hM17adZDmkwjimCzV875G1ca1M0VqFjTG
D730xq2DZTN8/vwaPmpfeA8gxlizu2gafuhMZukYqvXMKDOlseZpEr4pbjLAM62PI9VdcQWz5HXa
NdHNpYfDQYe8DpxSH3sCQH8J9BoXxm1vw+fxn/WZXBbCJESsDt83H1TCZP6YE3LvLBBRMIlt8o8J
u6uCEC2SzdJft1LwXu/n1hwZHW7gJAnC/lF/resrwqALd+fdz5+tljSdi1E4/DwmTAHNPp56//MH
f+Ft83aE8yNnmRedMmZwC81QP7aN/DSNtAqxnF7Z5S+OAwgbXiJfVDyT9zdK1WBRFRAgA7lt/o+0
K+uNU2mivwiJrVlegdlsz3hsx3GcF5QVmmanaZZf/x1ypXtnehDI+aQoL5ao6a26uurUOUHj/OLI
WpYrr7U1G5OrvnBgWSLsfET35hnyFp4pcg/qxKhGrgTps2uC6jcGgi4TINKurZS1RTvE6PRcgTii
Uz6pxUpOYebAT60QCADREoG3p7TokR2bURoa9EwIhAXC34xXW1O5r5tyZU3mDOHkgZVGBz3uDSko
eDmqotUIPWcRSIp+K+1v3kPbaFir1azZkWonOrDkbT5iQIb2PU/vCvqjFoENqZzlrTy3MFB/gbLA
9AC8eayrbR2BAwC5gE4fghCo8iJbS73NjgQc3sBZT7Kfcn1x1NJatdgQn2kJQIOllnsnyV8NW9kr
5Vobx9xuRqfGv7aM632mD+iGrfFawrUFsmq3ikIU0BWw6hDQvS3P3Fw0iB6tqbcAGUzwSk6/5eLk
KGkSgYlKxGfkFgMXqVJajL+cRrnTc7A2xfFvvVE3ID9Aztp2NyJUfzEz/Dgm4uo3THN/8Rtyjor3
4GC8QhOWD3GbTUPzJzcx1rLDs/vkYrCSmxibMXHCQoXLc6wHhNpgZmkcZWVKZ40gGTEVioFJ+FPf
uxxNk2Z85FBhqVu/8QFuW16xtc9Pf7/4vG0NfQTNNmxEJ9CQV/v+F59HOhMVSDxGbzqWHGbSsIlq
rIUCnh2V0Aet19YgarOH6cKINIY2ryut69r4rFZnw/gWW8ZO1zNf01+WBzN7kFAKmGrdU9lHslPE
Q0aayY5rHwa+Q/HBc1G+WzYytyDA9WOl0TiHIqlkxKZomuMVw91j/Ab4KVJXosC5QeBd7MIE3uqg
sb1e8K51yyZNHCw4qEPSwC026ZoXmB3ChQnJ4cR5NqY8hQmwDEbQ7wqWZ2h+BAj6pzAPt5p07BK0
kZXRgFR5iQ64jGhgY9pkxcoTfeZ54QK+968R6aopoM+bdBbSgHiNkeas0jtFeVDKPUu/tdV3Llbi
s7UxTT/n4hhyVjVREsFcoX4KYzT3aTtirOQ25pfl3yHJSce86MHuC+DMObUOzN4pK8uyMmNytJEp
Y+6g4QUzRlBqB3fcQPt9pbYbJ22PjZk91525RUF5xYFNCyG9Ay8XSkZSlVVU903PYFb5GoHLJgnP
rn5O8m6HDmjPVf+/hdKlve12Q2up4D0/R4OyKxSwUJqlHiKmbleiw5UdoU+rebEjujbscX/CkFX8
DOMnywm9vN8vn6Q5x3mxyWXwjh3pWl1rMXJ20YbSfVUe3cqr1nBIs/tukmkChgedZzIxeBJRatk9
CgZKRqG0lwS8+PjDGa1C/1mQbnxNMVAfB0z1bBel173XWfQ3TvnCgORyrKEGj4iCTQbdhHwv1try
ZtcaSveAPk6xukyhUNs5Uo6WgoDTND3aP1XDWx5+PIWOOfrPxvQbLvZTlGYZ752Qgt+g8HPxaySf
mnarjnib/17eVdNk3JzIC0vSahg2OB8JOACQN99AOMMrFQjba8JPAGRo4nG7bG1+d/03Lmlp3IRb
RtRg7hR7b2kgplnxL9OvXRqNdBGgP4KkmuKgmqY9JOF3J/lcMMcT7MfyMP6IV9zaccDLNOkLA0J5
vT4UXYTDOJ33PhpAxSwE9PcMYJvq3i59XQ3bTTaAZ7QRQLZ0JcibQblhfNVbsP1xpfiiq50B+BDw
kHqVkKcsz8RhUK1ffYRnGS3ATWm73N4B22pvNEFK31GSYVoODTSgFZjpHFqD0cyqGYiLHAMclASQ
OKFxT5jNuLVAX7YvdNKtRCNzq4dCGLQPARDAI1hypznoJEk2IKVm1luk3Fm98haYW73L70teNEXT
cGgQfL9xXwBeUuPfqvrDYitna20U0tlCe5ADkrCcnbvmcXggfGUQc1fc5SCkAwVm5iRDARSD4A8d
OIKr5FdaAEDW3uPNWCprzm5tzqQTpQylsHUOc33rd8wrwmcy7FZvhTUr0rkC5nwibWAMveiNlzTv
MThRxmJns8/LB2ttbaTIyrLB/k0bjMYpf9dj7nXu+7KBPxG5fHIvlkfuJ8zVCZxUpOzMbDDfinvm
3ivhQQlfC/ozAc2qyJ95/cNwDy1IijXlTgy75V+wMpV/UrIXrl2z6cjTBD8ADIdDH0TxPhq3WnT4
uBVAoUEagucDdMeko1q1rVPZY4/yR+aeu7i4L6juVcroQ6NypYAwN6A/6i7I2aLRSYaTRFVUEVu4
9Dxm6OBAMw1/gPJ3uzPbvEOzLrial4c2e/+izXnKEU/2pKGlhJogxYc90oIMVgGtphe3/G9iiEl7
DvUDJEZkNBQrOBipS1wkTgxZlGyA0JOZrxX+53a7jnQiEn7gdkFn5vUt0qdIUgPnQ89m9T0BsXYu
vv/FVF0YkI4tiH8KK6l13CmRvS8cdKO51gtk3zfLZubHMTV4TswLSClej4Omad0MoOk8J2goAggy
X9nMa9+f/n5xZGo6msUQ4rZlnysgDo2/WWtc49bUiw1qGinzCopKTusmQ1GUvZl8hwfqX0zPxfel
YKFHtZ1xBdV9NoIJFLz8fxNQX3xfmn69b0rLiVGgdrrAzTZrSafZ8+2gTwR6PeialEWkRiLsSc8B
BcLxp04Gv4e2Q2295aO6Mk+zBxupDqRT0P8Op3W9zG5jRCVSCHgYgNo6A2AbaHGfdF2wvBxz4wGK
fGpfRwgPcqBrM2XbdyHLOoDTbGeC2mS6tRlJ0IIMbdmQNjcgCK4DoGKga+SGwQWMl+i07uGp6ljs
4jD/BGEC6kOoOwOEH/jookogPiOCPN516RhAj8arMvvIwn5XVObOjr8s/6C5cwRml6m8AGge/ML1
yKMI8KzcQSl56PbvvNv/f1+XtrmRVzU4qnHl8C/GEBjKymzOTeblj5d2OVjcyzpiA8BL8TZvgiF/
NPhKcDC3M1DRh1wHELaQpJR2BkgTsq6r8OpymemVn+z7NvP7eq0uMjldOQKZVGgIkjtoq5C9PivU
nnMb5ymMmNeSE7f3Mdt3xTMYzIA0X8Pczi76hTnpDqgtyD6zBGkDjb4iBafx5+VlnyblZjjQpQRs
CSDomzq4G0PfloJX/TyqxqPRdgNU3lBLaozuruRm4AKYFYXtewuh62XD0+14YxgVXvQboesLKd7r
3dwpqgLC4QSJSxWY/64PjELf9rq913X+Unfu5v8zJ3mnUc+gz5DD3MTDVHb9lllKAPCrjyfRo0Pj
v/BSoDdEz5kByhoItV2PjomShmKkMcpayXtlMHSjMsA2FY+0+YqpuZMFtO5EXoe+UdABXJuCmkRH
uGjiM7MCUe3GZIdugeXJWzEhR92g/DEtDjL+c5m/a8VnsBr27s9lE9OEyNthAjG46AJEY6rM7sMh
WETcCGXgobpnzZfY/bz8/bkh4NmLJPYkUY3a6fUs9TTOIodQds4rZEjM/t7UnktnrdV0bhQXzxNZ
6RW7DHlyZ3pohd/z6Eu/9vqY/T4UJjBHOLEmkZALcWrrClR1gFUiOxNQ/8PyJM2dSTCH/ft56YaZ
JAYqHb0iEEf9BgUS9qtmm1Db0fh92c7tMIBdU9HxO6Hwoe8nbdl4cCGRMQJPhEDdM5E4Fiu3ze1V
AI4IgG4JSEZBJiqnOpCH6O3Y4ekZBAEQNfjS8E2t3vXgH14eyO2uAo8v9FFhCBivmyunGBKUP20A
YcryHTzrYOvXyUpCYs6EOamrT0AopHSnubyInk3gCju1FvScKxzNy6W3RukxtxiXBqYfcGGgM4fc
KHIYKDLuAesNIeGVWZqxgFcYaGPQTwARAHk1Es0RfAS7/vl+KF/r7tOH12AiQHUmuD9CT1PatEh5
d26lKFjrFHoiCgi3wTLvQkhv2cztvY8NBdpL8EHqYAOTK2FWVFkjI3EKkO9TFm7QBfaU0qcet3/W
3Jn8w4+Ca2vSta/kVk1qB9bYnpzoGm3MzIKA4hEHD3yBiNVV2RnqbtZDSqQ8K+DK6p8d3q1M1poB
6eejtRK9XBwGnCQAdKhvN8uLMXO+rwYgOZBc6W1I1eH7efmlJ3dgROf9XUJePm7FRlV4emUAZkek
k0GTnldukVRn5DPLvTAOdbRn5UocNDdViOUnbjkNkkhyF1pZayG0vOzyTH5U0PXSX5fHMP3G63t1
eiT993lpJdqOqkWvWeW5TIVfNH7WBk44+n9hxMLVDep0tAzJ8YFtKyMtzaQ82+1dHbteizZ+Oqwk
fmdHYoPHQZ0KxQirrv1UYVOqxIVenO16AM0yTcW7SZP21ewqN1gez9yagLQM4svgjECHjbTwWVkR
klBWngt2f9aVD1cbgdq5+Lo0EAgRpRZh+DondzUtPUMtvbpbKUDPnRBA9oBvBMMHSIykE8K0NC4y
yFmBILpHl9thGM4FWmfHlUWZmSngJjBH8L7or3GkgIQoQwjFgqY4m+pTmZ/Zxxfi6vOSb1dw8YJd
GJ8PcT7K85qbmtlSAGYgYQFOBfDTyW8QqwZDStUbk5oa2oAhKOYTFGkDd9T4YXlHzVoiE7k1Og5h
Snr+EjXJiJGMxRl7zmMU8hiC+h3YpJbNTKsqnfbJp/9rZlqui7s8RHZahAbMsPJzVffo4nI9nTyG
6r2inA2F+93wY9ni7MDcKQWKqN0EK8W1xarJcw5ZIyw91KYhLTYUj0q24odnN9mFDWnyuIAPyyYb
tP4ZGRAfdX4tD2LmsExPbOCmQLCHjtBpkBfT5ihWztJujM56+TCOz0oOyva22Ktds7I+cyO5NCQd
fTtLHAUFyehs+pShib5fC3xnloNAHBdwXahmTyHw9UiEnZYgwoGOiqO/q/aWGwdzDWY2M1mTAC5C
d1TPb4lnICjUo2QllEfdfTGhcaRb37ldeWO3WV6Umbm6siPNFYgg3KxtYMe0oOGZvlflioHb1w4i
agMgcMDzEdkZ0tWYR3QAwiyKgGGpcFIcv4x0r2k0H/hJz4CU5vJ4ZuftwpzkkVGSCBmY65VHxt5q
cnRDqCvtcjNYtjJDXTe9E5AIn0AaYNORdgAvGlOtIE56nnRmutoHgmarmS3C+tfe/mKjO4Dln8Ky
//jOhlkEk7h0EIzL0EmI7SXIGZXRGYwS2Xu/Rlk6uxkuPj/9/eKEjnqbuZXLIkTfjU/1iSRjxUNP
qy25zqsBSD6gISpzwYcandEdlgZWsVPomxqD82SzxnA9e0YJ2mnQvYdEpYzeRxTDkhRVsMc0U581
xY0PTt81By3/i8oL9sKFJck5G3YB8ooalpwarIx+Wq5EMrOrAkcDzQSQDtwIwhi9o7UEKubn+ofa
Q+ViZS/PTRSejMhqOUikgaz2etGHri5ikwG030finUMXkBnuPXb+x2MYXMn/mZH8AM86k49i6g1Q
9HdBzZeh/ZvTAfCXilsSwSs4VK9HEtqkqduc03NU3A/1vt8tH/o5T6ZPukUIjpHskIO9pjWSojBI
fM4hj2VCwKtO3CAp7oqYHjRj5TaeXZX/jMndM6ZaQPizsIEAHtkGVOBvKYBUojN/LY9pbm8hT6eD
Cg/Bsi17Z7AWaUVqwwxE/n5BaPVvvo75cgGfn1harxcE+lkG+E6A9B6soBFH5eMdOhqkuv/7vnR5
6T3P8e4CXN3kz65d78Dr54PKaMXpzi3FpRXpgOQRcSpTxShI8WmrxG9QKl6eprmNZUw6RuALBJ3F
TW5ZpUI0BY6GrYMDBgJ7JMyeoaZ6SFzoJaKOv2JvbtFBPUaQyUFaDZHS9bJ0uVsadohzgnDNO7V4
Sn58PAR0DUB7g8TkJsusZmpqUnRln3t+Z4mjo4HIxguhnfZz2c7cwsApToH4dKnIRSKwQqdmq1ew
42QQUGrjva6UR4ewlZhidr4gGgJZhilHoU5/v7gWFfCm1X2F+SofmHA82lorEzZvAGRt4CaahB+k
HVa4IkOvcQ+0Rh1voGMoEnNlCHNhERIUU3PO9IiQ0QdQr0/swenhu2olgJCn15pPLXQsQUy0MpZ5
S4j10JOJ4FgGCkSN5jQOHxDvab5hZ57wGFiceuuvBvSfGf16TUYzZZFjw0zUAY8EQEUF2HzRNDun
/7y8y2Zee6gC4NUNrSZUw+X7sQTTnt6PfApgPW7sSbc1tQcQeFgtXvx+WK/c9jPtpggmLuxJt1gR
FgMHS1V0HhAo56h+G/UWZEC5R7cpaC4DCoBS8RcZhiujUtisWlWcxIC5no3UL9NAWdObmzuqtgEO
YfTQWsjwSi5HA2+joRUdJtE9UjEEeXUfO9XK1lszIl0HQh2sJAXZwXmEwqxd+0V4sIe1x//cWUUa
EchvR7XR3SrNFLQn+47ZeFwW1jsXz1BMX95us4NwbfToIcdgIAd+vbFbyN4VrsLjc2vQx7YfDhNC
TJTlr2UzM31tSGGocNEENWlAkqTJUga9csCfCDvQVYdccngXVeHWUNh5JL0PtTWg/EyIdbYe0UBv
HELFNf04F+b1b5D8nqVTkhSkis+Ku3XU+0FEKzti7ma9HKR0lmKTULc2pmat7j4p3hUz39qjFTAV
AZy6YmtuYwDsjMcG9jdCROlJ2PalXXahjTCd70d2sFdiqbl9gb5K6CuBz+4WJzPdtg5yW9E517Kn
rreOit49NWhEWd4Xs6PASwD0p6pmanK7YzUiLNeAZEKj8NBsGdTEf+s1oWsvzTmnCpJlvM2Q973N
xxMtgnSxili6NhGyFdouLw9uCtlu8CPHpAtI8dKStThr7mq6NCrtBoXrGde5Fp+diU4zj4Epeq/i
0I/Vtb0wt1jIdE0DhJsAavH6EDdZmIO4A2iBzimOsYKSmVtQn7rtj4+v1oUdV0oMo1d6bA2B/r2o
M4Oo14J4jfFu9jqCHjJ6unUN1KZy5YRoSh/qzRife9W6L8fyJcycx7xVPFVEZxCjfQK3KgBo1pmx
NlCSNV2x2ZlE5hvBCw4VkEDXM6k6YghVFk5rFp9QezyLMNqFjvE3FxRYlu0J2oQCi+wOQfrUA1jX
xWejHFDm+t3zX3a5lpicGQx2NbjeACSZSDGkwRRJJEy9TtGxoiuPHVEOY9PtIL17WN4VM/scZiBf
YiPcA92z5FYjsGJmho45o72NYnYPmhzLj5SnqP25bGh2PCB4mDgqzKk0f704oow7WnAwF+h1coiE
seMa8fXGWqmyzPgkBN3AAIB3EcKLRDKTaSao7EAleFacfRTv1krzs6P47/OWdIj0uE+4PuD5VSpg
oh2459g/hK6tXA9rVqTrIQdoLqIMfBUNgQZ26HoKEmBDvhYDzWUmwbgCgmloogEqIdNkQbi2LXtk
Xc9J++Yq6bYSoZ+aZZCQ0RNgZtfYi6ZXnkmflvfCzFV7ZVeKW6LC7QjhWCSCJsW4iMFJ+xoWh3wE
xW28dn3M7YhJUxGEc9jpNy/MQfSjUolOeUS552ua5X5Du9ePjweoOXSv4X80qUuHqOVWp1vmqDxq
/Evd1hsVjTDud4BVAyVdaRmaOa82Wv2mFzMSZJBBuz5GlV0XAJxWEZhYEOU790QLN2OL7sXxL0rI
kxOFrhE0HDT0Ll5bMiMTufgCqYxsaDZs1PYtwDRuRTbLc/cnDy2lea/sSDdtbvG2LCIDULZBOYYK
8as62/Zqs6PVM3g1d4YGLdGw9QWa51B22jdO6ffFGrZ48gtLv0LyGzypwhwEwbgdueGZ0FHMGCrm
/T0b39yw85gKYqXxeXno0jE3J6JbwIiQx5l25w1DiSWasbcGjZ+4W52HfNjbZb+hTfyxpt1/zPwB
+zhIxd5ci9BoaZwQtG6nFpJ1rT281K7td064BoyVtuY/dpDLmTBRM2UoBYhU2x1afqpc8Oy0RYFG
oGybgw/JU2t7JfaU1uuPsYlzbWoxgNyyXL51E+ZmaMfhJzsjQU+UY93lZ0Q1mR+CxdrDvG/ViYyt
WOuWkZ3mP5aREQN2apIFkaMMpoWED7rbnEz3RVX2CHg9WudBqDC46CBW3uou2glrBX40nYKL/fmP
VaStUNVHSIBo8fo0tqxK7chRm1OmlUFpcuFFZZ36uUIiLyXurrCzeNeH8cvyFpWc5z9mQQGNFwOe
mQC6X5tlbjJ2SgWzYqi9mFkvALZ8XzYho/r/sQHXjPwi+mbBzHBto6k5WMp1AxM6inHjdvkIiCPh
XsgVw4N7cILItUM/Msr0k8jTbDOY9hgootb8MS6JV+moq5V5ye+yVl0TjZ3Z1CieTZxek5brDbhc
i82eD5Q1p9zW0QwYg677TtHvBHlbnoWZiUa9A1AE4BHwxJZfhA0ZgJNHKe0k1Lc++6XV+UpMMbdv
ryxIl+4wset1adac3H5blpBuLlpP0Mxzm5dawwu++wwwiWfpa/fIdE9IO/fKrnG9vFkmrCyzYLcB
AsKMfKcJrHDfsOck/Lw8h3OWQMIEWiwINoMbSzojkEfP3aatmhNh38DGH/dgwv/VdCd1zXHPLdaF
Ibng0uohtC2HtjnV+kNIH+h2eRxrn5fCP1dt4sSEwNmpR2OL6YqNAyW3ZROzu+FyCNJuoE2ZZdCX
mFblNFAXuyH0O4hIZfzzqOdI+6Y+05LtYD8vG56584A6xXFC0hcZKzlnANYlpSVO3JyMMhs2iC84
pOUb+hAZaN/8uCnk3sBUqKvoFZKjW1r2qVto8F2uyx7ABraPw4earMRjc+O5NCLNY551el6hNHYK
+ehF2Vtjf6NavbJacxv70oh0hCy7ASDbEc0pdg4RspSqtQcskRifzDWc3ZolyRdXAxG8TDGcMQ4o
tM4UvyF+1BwTvhKUzO3xyyFJF4swRkWHygPus3C4VyPybDPj+/L6z7nuSxPT3y9KMT0UGENDwaxZ
iBij/Ds1ACSpd2wNBjk7FJSupqsZ6HY5+td5ZcdViqPEkoHcRRZRg14Zi83yaOZWBuxLQCegewWU
AZJTyBgCNgv4mBO4LNxnUQ/Ur5kKUAT8YeDwsXswqZGunNa5Kbw0Ku3uuEviPsxxhLT0Iel+x8an
SH1Q8tcPDw0y0qDHAkUHCptyaqCOmRM5UdaeQA08Pulj1e/VtHAO0LxzA+EM/ClxW7LiHeSk9hR2
TGkIdFohS4A5lQ6VUHGSBg3bY1SerOZbbVv3NTg72gzk6lzsKkuAsu0YxskxDPugHg/Lg55xHADm
oL8LtXRcVvKuKVo3D8eE16fGQFt+ZHpR/1lfk8qe2TQwgn+4FSF5LhPvN9AlrLIqq0+xBuL9KPah
OPLQQjNFpHclmB2XhyTn/6YpBTU+gn90yMO5y5Ajk3YgToiS+lRnyRM0ZFRPT+qdiNk30kRpUDAG
RXBhvmYCAkMWKO2z6oMstf/8BNTeoImBhwigZNeHXqRxWA9AJp3KNPnqVu+0a9dq/DOhOPpx/jUh
t/y4BokKq7GrE9P2pcOPyWB5SfWijwmKfPzZXOsB+kPiJEVQE33hhBxCAduUU4GsHQYSWXV10rVI
u0PDkYWGuZB392nN20OM2MpnozluooaiATJXxDFUVRaUuRg9JWnSXy10BY3ABYf4nYhasnH7nu57
k2deJVztmbvg3EqNVsReDQ4VjmAgB/fK8uaY2+9Ilk4bESxIN8UCIzUKIzLN6kTz8pvV9q+ibV6U
HkHosp0ZlwUPgu9PIEKodkrHuu2JXo/cqk5aYqLp+Zi1n1r+ZNH3ZTMzTt9BiRLBOirlwMNIl4tw
a4r6DdYkfOLk6KxpS8+NAtWhKYhFT8jNwR3ytsN+qjBbyqar7oX4Bs5/sgbonFkTpJHANTERFFqm
jKo3AO5QhyzFJZySu0ZpfMgw7UbWb5bnaubA4GkH1kCQYMHdyjFfmtuQpkrB5Sf6/lcZm+8hd3/y
1nnIMiX0BjcsAb4GifVHrepAd6FLC2/1SVRdujCpzd2hLwf1BCr2JBjb0YGemeJZkZl4Oov8AWXK
TgMD+LLZ240xmUV6E0QhU6OKlCFO+7GrlDxVT6UWmK9C2618/nbNrr8vDQvPY0QhJb6fDWnqWcoI
1pM45NCJTU8R2JFYZu7ajv/QafEF77JvdT1uS2WA3PuY+6guhVCOI9t+cE4jCjNurD81hnlOQmOf
OP1TKVycFb05pqBID1SjfVW78hNIMn3IYO2QetwgIfwC1KzqxUL13WhSYu58rve+0Vqf68K+Q0KL
elnBP+e1tWcdQcmsCQyW3TEhdrj/VxL+f4j7rr0j6qeAVILZG5l/YJSuPb6bW05isQ4TDukK8IY7
7V1XNPox7zWBEoCuPdPQpAJUUnrxCBTSDwX6oy+g13At4IB2oXUcv3ZxOyEZqMOAArbywCqdH3VZ
NwH02IaV03C7Qf78TMQ7BBTON+okitkWtplm1nFwvtTOlyhY3iCQaMWArycEoPkp402QR0A4OgUF
F3GvXYFZFxoL5Jg7VuZX1NmQZPjStKNvaN1mVArqaVUUVFCvsXJja5nZHakNGvAqPyB9993iIUKf
OnxSbOfQm8k+z+sDPhUU6gB948J3Usia1QPXfe6Or7mDYt7QI4VQO9Gjyjm7c+lIPJKav/TBuY8K
3fZGvQZ4IHrIUvepKurovi/qYxsXEVQDq40FAQg9obvEGNrfkVGVfh4mTVC3k7CbnVteHoLQsHTe
8oQnPrX6U9znSMpqzUbR0nt9Cp+oURleB3Sq10L+51DRofWAI9U94aTdBqQRRkAZC3Rb+e2Uid+b
2tahuY8OED/mCnQMhZp5hmVRjw2Ub8NYp5UXxul7D3pbkfM3Stygy52DWVaPRGuOJEkCw4ifOY8P
fageTO5C/Jz4NGnuAKN4s11yiE1r3ypmUKVtAMLcgHXpFti+YwZZs6SoPkE15DCS6GGM0y2Kb5uR
vxeFFnQN2QhbOcbUgU9G5z3p0FgXDftisD9pVvicxkLsO7dWAzZaD1GtRh6tum9mrr4VRhdAEv5k
ZfqmgrQf5ekpZ1CNyxQRGMLpN3qMXeDoUIUk30NtvFMj3vr5pAydj27kQTcw3hZQHvRchZ5GqKZ4
TZc80x6nmJvflZzYW5MNZYDsK3Sru/yrEdn1XQV1YqsNgwYZOauERjs4K1gLeWISZQfTzpSgGVXM
taMgV+qE3xIa13dQldQCu1I927S7wIEukcdMBIZtVH7teeaAoZ+sYKZub1YHzhkcTgYyjoj/pXID
DWPVboE0PVpW6Tf9qQFeoS5fnCheOee3jvrakBSJFjoIK7gxIgIZ94XyCx3V8ceTD5cm0Ll9fdKB
9BaQl8RY6AB5zE+TjjL/cH7j2oR03ZR5ikt0mi6WbUYBzs+v6lqs86clTXJYAJAA0Io3tH2rGU+L
tAwBoCJHC1yQlZeO9U532pe8qTZabPiQMPcNt2XBqI6QbdCovtXLkQe1qvzQm2FTGm0QsjjbILT1
RiFS6FRak6c/CIU9o5PoS9vXAQ3z7jD2aQqXEcUPCQd50IB20k0JKWXUt6rXvugMCGsnfh0q76A1
ewIjxqPmdM/ZaDwpQw6QnflAoVRy7HWRQYd0eLagOypac6fDo7Wl+SVkKeSY47c0yoiXZFByRfca
8S23/5Yn4ivR+IOulsfB1AIqyiN6gw5RN4KzxjVAQThsB06/ooiDe5kQEPuX1naIosJLdf2Bxxo0
Qc1P6kDgnCvfFIav1vXWjAVyT1mL+1i7D019T5PxRUsN4kHy4AG50pfl++X2SYluUnR3oz0Hsg03
CfE4dVBpocI6guICzxC7Kr2yHZ5bnT4XquKF1gcBr3jRwSAwHTpA4agPyK+fLIcEZsMEOZqK+1Ur
irdYrJzUPyWbmw34n4k/ydKLG5MiOuVN35Kj6jbqCZMYbQsk9t4GpcgH32YuAgliBJq6DV1/HIJH
UesHlSbqps5+oyy8y9OgBSAg7H9VFcR3KTkWbVPclUZlnTK17oPQCnJjEJsiq8agBtXCZ5ZozQMD
+eNKgHgbbE/882hoRPMcrhiZEZgNrMgEyrVHd8zT3ItjJ7wb8p6/dAz0tmCjDeGI4oEf82Yotst7
4zbycDSog0CbHI0PEy7s2h+pdVUy4hb6kSHgP6MkybboTepWnl5/CPCulws3gQUUNxJh0ESUYUaO
jjKPDZThMS4c96Ey6urVznh2aHll+AJZOJCTi/gVkAflXHWK9R1dC+2dFrf6Ux6pBgTtjPoObazO
57RQyUNNOdsC35iaHrFjd9f0FXqALbelL0Oe9hsWke9FrUcv7VCUzNdLQF/7RBXPyISQDUkjND+h
VKV+1qEk/KMJsxKHk+Oyh3M6a2Q0Nimamt9DlfCtW9juqxPquBWgBYt0ZNU92GMTPphNKe4rJ6ZH
RaFVgFQ83w9aZcO9hHxjVRq9b5se4Gid2edGhMOnMLS6VwG95bsSkfYvTW+aLbDUkU8JCUOvii0l
893CivwkFPWmCHtjxwgkiZbXfLrGpMWA10b+bOJwQVpSijZZYnZ4hzviaDQAP+jxpiLCdyoDgDnD
zwgUrLvwmWbGSpg7s82BDZ6exoAeIm0obTWnscFKq9PuWPDm2NLfBX2N+SGNY4gEqEFBvi2Pci5q
gNC7hvcFep/wMr/e2VbRVwDIGOLYjU/IEnrcvs/NN035uWxmblSTgM+E24SWqOzroD+dOr0diqNV
2H4YmRmYErMvds9+qMzkYO/MPo+tGa4s4czgkGHAYUJaGfkAudkWzz1HOEgyIVLZtO2jyA6JcQ/p
6uWxzTgHZH7Qv+24010v021XtqjKyMmHY1I9gWxsDcAxE26h7Q09F0BnAZkndy10Au27lYpAJXM7
5LWYqXhaG72pVrXWOjY3XQiKIPIHAK8ORMX1XjASPbP7yOiPWv/i6FucqN6+X2XlXLOiX1vBltcA
EYajsA3qKQ3bpcY7n2o/5HV5XWYn7mI40vtZqWI2FCoMqcVvvMHy4l5V3/4/E9PWuLhfe93pCdNh
grl+1IMO31e6FTzIdAAlN2Q6UwYARRhU0eV0OoeQisazaboa+G4WtPG3ivtN7YF1fXkwMwtDkEyf
cBiA7N6oYqP3ph15oYkjI7b4STN13LHQoo80MfTNpKD1cVwNcGUY3NRzOcVeku9Ji6I22xLNURFa
hRvB9iaGBc15Hxz5KzmzmVkkSFxN/wBmA4T3eqFUMppDhmDhKBpLPwBXNgJsXVY/s9jtXwyuJr7d
d8NaQn3GMwBiMiU7AYi6xaAaYc/aSknFkZh1takHVd0KGwIDy+s2s8+h2Qtetj+gnZsmX2LULdp2
SnHUuno4VyDxQzos0jZDa6wRwP1BGki7EWVnVOum8hKERqS3H9BikeMMTBxjtLGeRGYWnmYx5bG1
qgYiZKPxgw18PEITOzrV46h8S2JG96awuu1QZfk71NDoXYiQZFOG8ehDEsUFlLBNnl2BziJRAPSn
6ZACNibIpJURvfUjDinA1AUFZ5/G2QH9ju62rYpq24vUCbp6jB4QzbQ+yNNVD1FBt4/75gcvTfE/
0r6sSU5kafYXYZbJzivU1iu0Wq3tBZNGGiDZSbbk11+nz3euqhKssOozmpmXGSMqt8jICHcPl0BM
Famwst6LsTyOZMSDHSwSb9CKZqchCHGFOe6bOHP2g51CcDMdI7eJdK9iRnTQRwMFrMxy0Jd+rihM
sbpTa8UAGaWJXZPp2Vc11/7QsTX+OONkerxq232r0+5epUO4T+K2PrKiTn1SdACldSiY/ZnCSHnK
7FbNXI2yCm27Gz68tCwctgTi1rYFtgS43yYYW4t0XJVH6kQKMTzpLQmfhrLkP9KwaB5pW4qNVOVK
qISqxHy9Y68jDS4d5KkJKy3u0+GJK11xmEwD+sFhj273Sir2mqVo+7Ats0dLzcI/eBjEG4d7baTg
pUHxC7c9GgZJjj7lqQKmcjOAZCn+aQD7xuI0X/IIVIrrJ23Fi1ykWKRxdlC60YwaV3EcuiFz7Whn
9y+C+X1xuG5oxRVDGg/BEpSOoEwhO/04GzRHYf301IKZMUT+ZPyIaOpNeboxooUhighzfoGCd4mc
kXyenbZ0zHqoma87j3rxFrbfCkBlrK2HjXyHwQoELoHFRz0G4d+8gGfXJA1FbqWmkfh9/21M0TCq
oW5oWwC43djWAfCydzwoSAymDmaaHGeytNJRhwkTn6HPDpbrqPel22XlfWbap+trtHDuMIVKGdwh
Xu9zb+TLQXW9MQ1mbTJf5A/WoZo27v3FpsbnIZAIQiLkNZbZAaGi/0wOxQa/UYpDbaWfBfKeJp82
4CrvZcMLjz7bgZjnTB1WgYaW1mZ0CPJEY5P4jpbvtOqgF0hUvybpEzpWJuaRta9VMaL/b+ay8VOp
bsWciyP1bh7cFgIC1KyXeTmLdlumeUvaxK8Ha86Qv1Zo+NOhsMLC6n5ibOO5szqreLX915wUsAFY
W2WxwRM/VQ0vK1KPGt/i6Xj7znDOjEhTSvRxyA3RJ34BVR8L2HK+cZ5WRoFdh16siAghrSdjAaIY
+A59wCjqRPecnHq5/iUv724eBYxAlBogUchIyC9DJbXiTsNb1KfZ99D8soWpWFl44Nd01ImgDmgu
KFXYd6TGzc78iiAZoKDa+VBEev/TqUxzxzILIYE9hLvrY1qdOBV+AYLeZPlUG3I7mgYK9yDQ1U+1
a084d3GcbdxHK07VgqwAgnbcdMDiSO8o06iVaowmrL8GVRf9pRi/MC5w32+s0OJRjVc7rMwAXvyz
yErpeaxmiWGlfvuOaLRHcmgrSAyQQX+DRHvtDmBGeRDLMzY2+BIPM1sGbhp0OIKUlXzjKnUN7GvP
Ml+r4z1V9COq5AeltH+MKr/ry+pPYxhPqTnt9Lp4VLt/b11FvLZ1jABVaOi6ynBYIrTM7khS+uSF
jx6UVqObwTaAL51ZkGvdhUpyvTJhAWVj41Nb18XPMVX7rY2y3I5zaWBO+MHFI2/vXDq/hkWhFtOo
9MfxUPweuz+m/XJ9qpaXlAHHitsJrx4bCiSSe+07J6unpqh8nTncY4Pe7Eg1bMlbrewHmAHVE4Av
wEYWTxBtVFna0KbySZY9h0TdjciXlc4Xjb0VTH+0J5AyKZqrF6g0tvnGoV6MEUAV4FXwF0gLK5CS
wbSnmtHJ57x37jhT+AG1c35rjCtZmX/FWQyjsDKiuT1NfhEeEwGExYRu98Le1/ldmR119P7A5Xl9
8RZ+BCaRiAFSBnlvexGc1VPEjVwtiG/1Y/hY4E3k52PIdipwrDtHa9htmwUofbh7EEjA50fYgem8
HCJaSBo2mAYiUA0X0JX0+/XhSOskf17m6fZFmohYxec11M3xJmvtDb+wagCRDNJXM/RHDmaBEuPM
HjqBfsXKF4AB0W8RQtwbEfM8CWfx0n9G8deIJpUm254w4gy1COIQBkpSfipS481RnN9jXEACjXxX
HADmCntLeUlyFv8xbL5fxzO5Sva5TTMmnIZsCij/Bpk6sz0CH3t9haQNtzAh7XGdm+bY83wKEmun
/2zoPm9OgFtcN7K6SiYY/Ij3KCpf0u3IaQ5KzAQjkFdEk5Bia57WB/H3+1J+MRQKqYyomoKhOvTO
MaKHoT2p44aS1/pq/LUiOVbe2qIreljR6j3R3OSbtjWOVQtA8ALrCRUMkNkuT2NpijZtY1UEaUv6
Hfqu/shU4JWbLZ7ihh0Z9WnHMdenGqKtxki+jGr7HFV57Rox3yB6rdtxNGCTQbgy5XgyRNU70cHS
g4LUU9F7I4eK9kbgtbq1cAv818QcMJ35aCdqrAh0MhFEXebytHQNthH5rG6uObbH4xwRkNwYRemL
ruTMxKKUsVsMqjt25g4vlUFtPjAWOGJUonF5z0mcy7GkLcrmQtGnIDVcqLG3G59fW43zz8/h+dlU
IQNlOnmPz8edtVP/9C+QVfuAN5lTCzMJlkCref4JZyYEV7REsJIEcb1LQFQASMEzt6QR1pYccnez
yBI6FSyoUVavTKzk4xTYKF8L0lYus7cKCWuLjiYvs+AIFMwXTxU7C8MkohGB/MKwd1hzYmHpJg7d
2zfGne8OGPTnOficMQjaPNqzKdPTuYGJIiYIT9v9kWZqvoss62YVQtzzANDNlTgQBBZ1HmIpBrqS
EnhIflD241af6LXpwloghEbSkS6olWYeGSScjAnN4ntXjWoPVWoQok5muxGSre1hFMRQP8Bzzl7Q
K1ReGHo8hGNQJAD+pz+LzvKKfCPNs2FEdo9NZ3Gtq2YjwPRV9dceKW/7Zp3OeUVAHzMgAIUeEnIu
KQWkoUeoMmJFGi9X/oUtt25fb794MVEIKPEHuFLtcnOhg4zFIJ8zQik/dO75VKnHMNp6m0nP+vcd
fG5E2sFhbYVdY9IxyFPuZvX3IgKMRvuOlXHKf6+PZ9UU2HbgKwO3s8BBD3qfO5M1iICNKB+qpHlw
FPrSl9NTxcw3iN1v+LM1V6PjlYP0AdTzF9KXFeRNm7TWRUCMyrXp3VBpG0559eT8tSA/O1PkfDgY
AAKd6I9M2U3ZU2Sfwq0ATOYl/2eNkFsE4wIBzELvMgS2omp1TFwRC47I4mkwhZtl/GvUZO1D2AFs
Mg1V52Z2bn9TOlN4OWqG4ByM9rFzOrdEJzJm5d3G3SqlM95/FpSeURBExxZcrtL+7MuMpkqXiKDK
m185TZ6Mqos9BT33vLbqWtfJCdhLRf7r+jZaW9Zzs9KOFVE1QEk9FkFjDF6JfEYtPl23sGwlih1j
zCQB7BtgiGQYluUknRPnyoiRQXKhaKveLYQNMQhUIx+IoPxB6RPneQSIGC1kSs0dCyXfszyt72qn
ro6RWtae0uls40W25tveVXvngi/KNlIQYExhGRc6ZpwND/G3rkYj3f31oa9aQDEZiTDgWRbEqSTO
ejtJsNWoiN3UbtCG863kwwfODaDhqLVCXHfWfbn0bLUNDczegY/OoP5UTO192txxkOuym8WzsJDn
hqS9ApRH0fYMhkJBAoWUOyur/TEfC5c7+tfrU7d2HFCSQajsoPbvyA/NIYkm+GsNp1RRntRBIJ+i
HHX0gqlpOrnZwL4Skvy4bnPNAc3rpCEEQXpNfnNEdR+HNuq2QRb6pf5iZwRgS0+JNtZLpii+H/Uz
O/KlShzBVLTWQHA7FrsyoQdeQx1shJ5W+sXKHtAmARplrsPu+4zcVa26uz7Mtak9Ny89QXNIEoSK
igCooDsuvGb6WvJ7auxy1SXWRvyw5l5w6WIycbdTsGgv92aSAnRndioeio3quBC4cPFy3Cp7rQ4I
4KNZOQcNMuTMjc0Sq3QirBveXv1RU5TpUauj0Au1ttr3aWbtgWZLX3kei49MJQIXhHprEv1aVkSQ
+cJUNvzUqK3XxASciM8J1Q+OGVBr49m9cucj0keZCHAHRDIyRKmx0YGpC8MpMJQXPO5zcaiaB8wr
Wl1c3yIrjguBMSIxCFDi0pevYr01RzR6ZSSA+J83Nb+V4djGX67bWNkaoA1iW6AnCJnlJy+3BidU
pMLqSFBOn8PpYAx3H/g+wC5zqI+XpAx/g/hQDvpZTdEl3RvRMdTemKPV33/2fen3E0Avik7LaKA6
aE9KRxeQ6Q+MAKVpuMG5aaQcFxPkP/JMaCQgceqqu5nFcbsB4DttABNnkrbs8CqbD5CLsGhgPwmm
uYqyVd9cSRdiq86fxt2Pksm8z85edEjdgJmm92oArV5r1zn5XciMvTJ0D9poQGOnTb1mcCbg+tJv
14e24suBVIaUNlrAzFUaKX/UFSlBHzcclal0h8EzvyjOHj3LP2IE0GjQ1AAfkJM6WhpSZo0xCbKJ
RXiDOfddSCAmCfqUqeUbAeLqiMB61KEOBjCkvBv0AbhnUsBYx81PXcdeowjqVUqOEry9FbOteFSU
Mv7amv/72bopnGWmOqZ48/c/suwHbcAe3KnJW+d8yZ2bJRFBfQB7eG7vtyZMrVmFbTXobBX0deQh
VHNbCLP2gPxeX6y186pDbRQtSN5VdaXUtZqGuhWCrRUUWus5qAcVt6d2kVRwwHaB7gD8mbTZgZwy
ClKZyB+Dd2Y8sHGLA70+gr8GJI+jmROEw8E9Qh/0gznct3+uT9Ca08fDDp4GUwT1WumuHpvBagWY
YwH7Lsi9rQUh/8gSGLi9sIdnVLIUeTjWEE/QfEC6Kv9dFaASbjm05QWJ5nFQs0fNCMoPC59P1TBj
ccMs30iyXRHdR863RESeFo+gtW1kdJerAVtQBpwz1MhfyOcRFJLKoIkw/ZLeJw9JePNuuvy8dAST
ITVB7cXni0cbtLutmElGvmBywNqG14cCGIqwi7SeUwkzo31r+KXYxw2FEoaPFj1uV99R465Syc5s
f9OCo8vFA62sHR0/37rbLu1L43OEKLPIGgxfcd5qw/aa5L7Lb1Qn+M8gARCY63rAjstJnx606npK
MUiafKo7v45yN7U26obvgIbLmhiettDaxP2G6ttCkKicAOZgCIF95ObrQ9Pn5oAuR5rxGncJ+4pZ
BmGizD8VRq+9lU5GfZ5X6DSpZDT0pqzq77XW4Q/oyNw8Dwz5cHcKWfK1Uzr72Opj96Anc5Ohosvv
cMvkIF426bHSCnVPRKYl3pio7QmhCBc7oxDj/YjYEbwm3XY5r4Y70bfZz75OohdUnkaPMZt+TadR
+RoJgxwsEVdBD8TdU9dMGWheWeyl0ZS6BQPizsqFtRvSjhZHXDw9EKpT9cxK1h+HUtfeRua8tmX7
bzIoqqvEJGNeNiXtdEAeLL5rhIi+l8KeHhphd2Aa10npZX1t/juSnv7JVHFz92Rs6fkmxosbucTF
nW+h2F6S3MBq1z7IrlZyarY4ZWuH/syE/HTTeNgUEKczfKBwARWMD9cPxZr/QmoSaIWZLrIIKMoS
Mzl2kekTMhwS5TTVfyo0i9WhzE7EzcHfPFt/bUkHEN0s9CxqYEv09jEif6DHeLO716CeBAYK8mwI
AuVyES2jAuxt3fJpf6j2RnS6PlnLgAhRMbz8bALhg9wD2ooqpAsjavsgbHR4AtUGd+l00reyOCtr
DqnUOesJAWz4EGmiOEuiWqG97SfkR/9Q2N9uHwbGgX6biJSBIZ73xFmshfS+UsWRY/pU4/bLCLTI
FwYM1ecp04ZnoyfZBlNa1p2BU0Szstk14qjYDhrxXRoMuy7qp6wpfIgT1i9DJe6oHavTvknAnZ1b
OLo48N9tUqX7YYJ0odUWicuKIoZ0I6jpgB7xe25z57WEi7LRrCSrD6LRC0y+bXlapUIXCOC9F9Ha
aFOhlN3NN8fs0edGKZCHR5VF+v1RRtEUL59yH+BWYvQuShRuc3NxZZasxAEBVhK8SzmyjxFr6zEd
mG+R2ptCxeXm6DJjd33plztrtoJcDOKhlXAFQPpSZZ3FfKV/oE7sDdPtLhEWEDGicAcNp0U7zDiK
xKiTIvW1nIAGmbsV6dxh/Pf2caCzBx5C6C0zR/OXO2oshYHiXZn5UC8rX0SyMU3LVyTwfWefn6fx
7IQw2g7xYODzofF9SvZK+7gfwpe6BTz3SLfUs9fWBPhFpKzndj+LlUc1xRJkxO5Si+wJtIusHG5j
zOHkQcED0L25bIuGsXJbOg1BPAPyl/sQkubKsSw3/OLsjy7jEXwfTxBIp8wgavl8JDqJE0dj3Ad3
lD31xI4/E6WP71PDbB71sB/uNIVYkOQebu4qNY/snXNhqkAhySFxrFcqz9qa++1v0PXZ26277PLr
kh8mAlQHwhru1yzxzPau/0A+BKWQufU4qFJA0stcRifN6prB5fmAfA/CZdpWPLrcXLMBc+Y1AESB
K/5yJ2sR1QuqY+lF86yEj0TbXIH5FSstPshr6NwBDjXU2uSMC+3UGF2RItVvYWsfFRDqCRvaEY9k
ueWcIpC/PuOdV0K8AL1dIHdvUs9p+xqv7lAkKnyDofyENn3jgTeD/jnCeMOOoW7WRz0BPc3sDgrq
qC9pr9o7aLzbh9rJFLdQRfaOW/ZGTX2NhtZ4tkNDObG4iKE9MpTT2+iYUFSjpRqdeFSwatcNFj+Q
kk0Pg1oPb3mLO3wwkwHQEq5YkKhsCLoENdWWxvQybkC4DtAp6AVAkS+qMgUTddS3jg7leLQhahGi
PKsoAx1xUIrHeEQB8OZICwZRb8TTGlkOJB8uV31y0K+pRq7VV9HvEvBQPVX2Nx8NVNCBJ8PrY5Yt
m5/2Zx4yRcgfRVOt+1WsvVDRfprAQr9uQka5zm4LHgtJdshfAbgmh1v9BAGhujU0H/EvKjDA+f9T
5oVxHFjRefNL8sFIh+QUx7X6PdXTeGeEQLCjrl9v/JJlngK+0wYSBclXCuCLdP+HXHCtCTXN143D
VN2L6SBulOp9H6s1p40RZ+AhIV//UwLoeMZNzcdTB30MUL3bmEx1eUwhcYBecpaNe2YRg9XZIJqK
Wr0fhyE/NFpYv2lZG2doElOln7Q0Vj9PlfmPEGF56PORHuOqb58ZJJcVt3TC/m7j98yZF8ltzPkY
pAHwJsA+kjYQaS1l4LUy+EyH7FPVkWxfgD0OPcdytPGUw0mkswwDo0UeoEuH4g4tN9woRHC4MTfL
N5AB2NSs/Q6+1FI2Jk516KdEBvVFCScE7UKn25XRnjs7ndx+bGAKrn5WypsX/fLY8EYHFhPwQ18z
7zLzhQ4bQ6ErVzEaAM39I+Dzdaz1pQGWt2UMGQfqNwRKaYQhcWd0ff8Smi3d92amCbRzy5PGNcaS
nHg/mPdM2CgIlmj8pivCeDQmpz00jGqojwvIPRhx9DkyreRQ1a2YNn7v/HOu7YLZc565ESONcrUm
6ehPzR36cUUahGZun3IsLKRLIdUEbp/MXmCCx2g3CxOieNZAOVb6X9e38op3Pzcgl65S5EgoAt7R
N16dEKnkkzV5zrARYq3c4xdGpESmanTKMKYwojgua1y2RUxcW4izWbLUy4UwBU6Xmhajb5Mf6K1j
on91+en6PC2DahDOsA4q9FKwMeVQBNqCk0MH0vpNJgboc0E4fHCBfy9+16YT/WPyBGTgypm80SrV
Cc1ixFYwtBwkiOEgTYDCAsbigq2oTUMcJ63W+eMAorMTRT5trOcQsIybt/WFIRmAIqZpMtJQ7XyF
7tBmQWSHzV6US6eFixsol/kRP+MwpEe8oeejDhJ16yNs7FPg8Dzgr1v9pWs3xrJyDV9akqLgaoBK
waQlre+oX+i0N+IHPr6pxcGIj3bKd7V5TNr7LN9SK1ju+Euz0qWrCLPLuQGzTDOmuzw2jXuRd93G
PbRiBcU6vCNR24YeplxCITRO9J4iUxsCZzixr/mWjOLSO0Bq4cyA5OHyqBmnJuOdL1Kl9tJK6b2k
L/I3JU+HQxpq/eHWUzYnn6F/gIM2t5uQHIVtKzRN0xYDegvf0MXEFsfU0wtPK45gbF+3tTJ5UOzB
g9IBzZggsXfpNBLQWJXJSlW/bB9ZfYyd3fXvr8wdkhWQe0UMCECTHMZWQ5pD4rJS/YE/MnZAtxnK
D+LXdSOrg7DgEzBlIMTKOUMVD1WzALXPh9wAAvFuK/La+r4qTVJTDZyb8/tIvOb6V31LUWjFEWCS
/v5+KdZve8qKXFeoP2QJCYYGMkYUcObC7UivgZMI/cnnAvLdGzmFFV+KlIX63rgOrc/la1WBsONU
ILLzBTnV7CFXd9ZWvWvDhHyx8ohAfNQMqZ9mLoEclepSfcO5bZmQTovgeVs4OUxo6ND0o2d3Tbqx
h1csvDO9EdTPjDYZZWlnhVJqNahkKeH6rsjSuwLd+FzTaN6u7+NVQzZghSinorW6nNVN1UxBMyMx
+XZT3U2q+tBHObKowrw9XJ7VLlEsAMER+TcZ/ddBgr0IGzDj02Tc29MbBwBBTYonHc2aRmd/fVTL
eBaBsoGKJ4D4eILJT684jPlQak4ZmIy5kfavEb6M7Tezu0vQZ8TahNgsJ/HCnFxt6SFUA2U9mOum
H2Z2V5a9C5zN9SFt2ZD23AQRvcxQlRJAw6esOOnDa6x9vW5i6XMuhyH5nHE0kAWJwzKAespgC5eP
v/43A5LTYSatW5Wikid6duRQuSXFxsW89P1w/EiZoAYC1PRiO09qD8WXvER/+nEgrjDiUxRpA5pV
WYcQqscba7IyYRfWpBhHb8OR9w26uifmsLds9hwbm7m+la2sIbMP+gRyCHMy7vIigJRgkkSJFQcC
Csh20PMXg3kdqkj8RURv19dnZY+hmIfMCfj+KhTGpOiwKzj6F8VWEhALmrjmfVNFrrXl2tYmbXYB
wAYhr7wAB+p93HG96dG2V7t7NcLTB4Zw9nVpDxPKU84ovo56yQsAR8+0VMB1DrfS72vLAm4Z9ORw
l0H/W0LpFGiFUo4DTQKKvmfsIcruWMHcVEERedds4Sm3jElnP657rbM4wQNL/w4kApkUF5oCKIAT
Tzf+hHwLgrS6D84GJ01ihQaZpWJicGkP3lwYueAReEm0gRJd3wh4jAD/BpiNvNtybrEIZackyMwm
fatY3dxbSkc39vSaFUjlQfgI3BO85uexnuUKkgqZZt0IExAnX7vRc6xv1zfc1velSH3SoH5bJAkL
cpW8qPn3NlO/XLewthrnI5BOJSm1EdhHjABK1oSdKnJMyo2QfBkNQoAR+CC4Fyg1LFjLFlTQx7zH
gjft57Z4CNPUzXXVNSFEqvMtHN36jP01Nv/3sxWxDQWJjwS7mZjDTpS2J/65PmFrx+V8NNKSA9hl
DRHUOYNQeR2NXcRG13EKN6/YDg83N1E2KtVrAwLtEKVxBFKgjkj21FDQAs/2OIDU7fdsy9NsfV3a
YCppyyTNerR7VnT3uaq3gtm1tT//9dL2aqdcDNTBr086xErdXi1/pORnH/m3J4vmhmt/p2letrN1
n/Qit6vZkD8o/0CIJPt5fdm3Jkq6KZlSWAnT8f1CQ2MZz9xf//zaMUTSGUU3YPeXASya0hhCs7M4
mLi10wDRL9ATBfr0x+tm1pYDb3+kZ0ww9IDZv5ylARK6dgRUacDso+PcU/JJo+i8rWreyH5fN7Vy
TpDrhfA0di74rHJoUbJxiENNREEB0fw4hPhfq96Tkb/RqjhB8eouT5utdsgrswiRV8h3I5c912ek
4VG086prx4kCJdopv2wOmNjp+qhWtgFgSXO9zIDqEmbycgLT3G6VBMmTgBrRW67dUdAebrYAQBIY
gAiTkBwm0onUNGVQEr2MgjC5j+6dccMZL6cIcRHIAEAMgQO66ImujomtmLrSBRU1XSUaa8+2+8+R
mm+4rflnXmbRYQcAVDA00LB8oTqjoy3mADBfH5SprT2DHtXvUHlB14mxtI6N2g8b9t7zl0uDqCeB
BwytBFsKK4yJ9BAjj3oIV9huqJVuDHJ2+09iPbaV36CXi9JOXksPt64WHoAEWw0VDugzyDpPWYcL
VEergqCwplNTFn4Mrf7rJlaSnbMNKBvi5WGCpSC5HlsVViKSsQ+yAp1xFTfhpUerU1lCPL9ova4A
Ez2CNGZiuXq+2RJ46TJAHgFLFK3k3qni0o4HjqqtdaSoA8gFPI1JvEsbe0fN4pD07N6Mu9J1mtKt
NW0vCjK6UYNsr5krex390Kyq+lMlOv53soNe1IaHWdvKc88lIHtQXloALRQu8nIy6jaA7rkCOW5m
PEARHojPsNnSjl3bzSiPAUkC9tQSssBsLeOAEPOAabsSPJRuOmR014tv15d66V0w19bM/p7ry6iW
X3qX2O6yRGEqD3JzhKQQ/USVbCMuXps0gKEg840cBpyz9LSIrb4hZpy3eIbvqcXcnqdA92xs2bVx
nBuRxmHHVoMcVtYGTvbYq09bfYvnDS8f9bkBENo2I9pagM4V0lIUFNUuCA0bydE/EIV1p+RnqVvH
mrzQLECznpsf43Ot/a9JKbzIQToQFaFdoFUUpEv6Ode6D7iScxPSMW/TPCyTDKMi0xM17ovb1UQu
hmBKK1+FEFc3Gb4fFX9y7Z9K/cjvR9YVpxEw0UXzDIiJqFwnaR/09uCxLN0Vt+OOMYIzC9IiQCAH
OgwN64M0O02fqL27/fRB5hBYB8ARTPQAuTx9WUaM2gQZL2DNi+OF5YbM5vzr5F1rob4OShFCiIVG
POWNpce11iFtmJxysHvapsMDv0ffqPAt1tjPlG41Eli9FBEJAQw1s9sW0P8kQsMhnjuwmR6d8VsW
P0Mawk0jHRzzaJ+039O6OenNRpS5dvzBz0Isi1QO/kgTOZhWTCGR1QVG5sc/R/Fy+zqdf342fxbq
x8KgDH2wcPyBtmp/Apx7/ftrLhKhFwTl8ORyFtWX9r3f34SzrjZfkg5FC2N0qy295NWlObcixSto
bNpRQTFJoS2yn5mC1pp5GBmf67pRnsuJQkjMHEM3meLvicNjX9VEvoHvXVsnMBNR98a7HLAmyePo
hYlWQ5PZBaneu9nBULagH+sz+f8NOJLLsXurtKJM74ISep5QzraPH9prZ2NwpKtGsaKEjCNOld4m
e5Uru+rP9d2wMUmOtE7IJSYxJD+6oLV+oaeY9pHPq+rcMAvpI7zLLjdzw5JWmYwRXvlEVQQW9lYa
eS10mYMjjc7MHIgxXRqwjDShiiNwGOPvkYj2uZ0eoX+vNRu6AavzBIYAwLwzbEmOUs0BakB1B+9J
wufknlQf8J7oEfDfz8tSCJo6/Z/3JHZ+3w3ZkauOb6bg/1TiOTJQKu22gr71EQGxhLYBCO7kDmRO
ht6AtIDzdE4Jh3b7tBVUrITWQKeC8AC5hRXxVjKVYZOZThWkFvGG/oU1d11d35EudKfidlgTcvzv
lTg8xzAcaR/wahqUPuR14JT6fqj6I9piPBbVVsJnZdLw7gZyeG7ShJtUOo+kjtVOtKJGterOYp/t
+nafdfF96TjWdtOF6MlVB32OToWzIvXp+nlfc8x4zkEwH/2XMFMygoDH0TiMfVUHlH1CV5wZlbYb
yTPJIi9Tnuo42w31d1FsSZiq860oxQeojswaLBDlmd96lwc1TG2I2joNNPF6wBvVwjWhKVKHbB+P
X5vwYYqONPzWmz/CiqH0fBps5lH2avdvE/CBFDn0jFveoP87ZuNdPjRuVT/p/UZyYsWhn/9G2aFz
u+xbs2t5UPF9pexK69Sm++vzv2VC2kBxpuXVLEEZdNlXlNq0mrmcvP1vNqRNZIGoEzcahmEUL8hI
5lrrbur3r4R7mCoDRWn0/YAWqRSsKkKwvqsZD0geD88iJ4rPukRzSwNk/B5Ft93YK2/oUNx8ZAOf
W5Y2klo5EHdrEx5YOfNq/aRXz07R7uNMdZkeWO0hrYIp/nZ9StfO/Yz6AooXz8pFmjrO6qagBozq
oEg1YMv+vv79lWsMvUYgVAVRWjz5jdn+WdA39Aj61E6tApZxL6l/cM10R+XQJ/+jnXl7ntkBYcAe
IqpVga4fiOnm5mPiHNGg7Ppo1jY58pQQTAHLEfG5tMkrzQjzuh6qoOm8trrLJnQa3l83sbb/kICj
6JM3C/zJSHUFVOCGh7hcMih7GfSTXfppvxubL3F5l2w1q1hb/XNjUsQfMpKRyYYxXbhoDJlukSjX
bsrz70urr4skjSCgVQW0enHy76I+Rfw3V2NUKDfyI2v7DKguSPUg0zM/1C7X32mA7QodwgMt/mkl
0EdAQRyUN6355/ryrM0Yom4w62aywmI/qxWU1IaR8yBsFdft0LP75u+j8okNBtkoVPff9cjO9nGa
E30qHSaC/ptKH5IbOwPgGYtqJ9L6UKaGHBbUxS+nCZ086FCYpQiyx9j8YelfP/Dr34s5wL6DLSQF
K0mLl2XFnDGIkq9ovuuK6SMGEKiChwS0KhLul79/xPVr00kdg17PPAUKmHwrEKKzm5Xuc42gLoy6
J17CePlfmrBpZo45N5EB7xx6SPTmtQ75Vy2un8fe8ix07eZd8witYjSITx5IYf8WyFzbI97m5XRi
aCemZuZ9kje/K90MwDd/+cAc//19uvQ4iyGcApyh1gc6kuWkqtwtqOTKFkdifO6CgCnA35KT01vL
HNGkvg8sxXoXfmvTjVWct4E8xaiRzA9MwD0X+VJWo5Np1yh9YE4T9YRRv9pdfqrr1rXiFBhnPu6u
z9mKdwBeBkxuCnENwEClOeMq+JBOnwxB2ED0F23Hfw12bXlJk96NfPj3urG1+XsvnqCfErrzvG+w
syMcqej53pko1VhuIx6dcsPTrdxBGAc+DPSCDtGA2fzZ57XQqJjO7S6Yqn3BDoOy07dSmmvTparE
RPUAEHccNMmEVrV2TrM+EIL6Vpy/dAyqEFP2aSy3qiSrptBIBGwlCFHiuF2aYlyxuTnlfcB09q2e
0PGdZZ/t0T61nbYRYK2uC+5tkEotgHNk1xqh7gDtv6kPeJW5+wr/ur7uay8QNCAGMwqVRuSf5ESk
o8MBhN0wQGFapy7phqeR1E9Ui054XU13eJAcepo+G0w7iiz/gFuAkgC4eui5jXLTHFecbYu0zAbA
Obox0NUX0/jENu6ltV2HQh9K9XiDQkBV8uxo6kKafBBDwJUGKqI/ie6HbKPGubZACLlB+IYXn7nr
l0PoG14IZNH6IGrN3S8F9arrC7S2186/L11+1YTssQM2MRKE7G5q86Bo059D2n92AAa5bmp1KGAJ
4R0KmhyYFZdDKasug6YfGyB29xPdEdX4eP37q8uBStNcEgaXUL6kkpCOBCoGOKHdo9o8aInf8Q9s
qLmY9X8m5HtGiZvGEWgzHRQOc/U4d+2NLbW2HEDjQ95u5p1gT0lzJBSqjC0E2Y3wYOfPQn0euhPZ
OPRrEwVp5lnDdI6oFoc+NbtxbNFYolNf1PqFJ8dmC124ttbw8hAXxnTN6maX46CNqMvEQF9lJXlT
vG58vb7Ua3VkPJ/gj+fiHzRJ5iGenexR4wSSFzUJJqvOv6HfbrjLdCs6RkmtuaSdij0KW+K+nVJz
N0AgeJcXTf3SjA7dOD8rA0W3GyA0oWsKKKjMEyoqTUC5CnqYVCDL7bT/j7Qva5JTV7b+RUQwD69Q
Y1d3F93t+YWwt20hECBAiOHX34Xvd86uUvEV0b4P3rEjOoIsSanMVA5rhUWzvb/WhdjrSoJixIau
7X13gIS62QFOm2hvifGYI8TpwiJ/7PWVBS2MOKKV/mJFigqmQBL1AOoH9DbSRmL8rBfWzsP0d56A
RWGXAMatGl+JGHddSaLaAi9kGxE3AXLHnsgBFOtxpa+1FC1cC7xiED/PRL6Y4lUsreeXlU11Do9o
Vo+FVx2E+6VOAFM7sE/3d3vpPBGlo38YvhfkvYok6JXuFHaCFHkjI6fY2nQN9G3h9mEpBtJxoIi7
JT5JAwvTsB5iFaL5UW0+Me1Zb6qVU1xYBpCQ55uBF80tzW5vtQiWWhQwh+w7Cyv55d27dPV5RSez
ofQyj1GJxkEStfsKQFHvF4BgC5gHc8h909zVDHJwaBWIGHi22c4Y/4+fn/Xtwnx42WjRGgyrMUnH
UD9LZ41WZ2n/L3+/okYMbFseZ4mI6eSH49cpW6uAL2gROllQm0BvOJyp2hOs20hR9UD8wChpNPhA
8zmJYSU9vSjCwBAkeC7hT9UOtHGwqn7M8ehrOOimYVenflv9Rc1oZliFxQFSIQZrFEcxUupRh5Ih
rp0IOBFrIAdL53D5eSV8IoDEGqdA62ODbKoy+ptrhuYQAFbNXVo3yEVMep3emzkCTMExT883K/HG
0hGg1AV8RaAjoWt2/vulnqbVhE5QECmAYUaQsC2i6f1YFvOLE68NoIPOGRxFhEyHJPf6CekJxwi3
qIW8P+pz8XAG1ftsitBId70E6RO7k64YYnOIOi3M0hUtnU2N8m7GMDAqvqAmBFCGN2vAxRbhSehm
A8MJJ+RpQvKbW01k0Se/OmUYNs2HlYL6gie6EqdsF/LF09AmSY+LHf3Qv7cy5O7f7Bgg0uGEUeO6
GTFlspEg+IYIwXZTsU8/3jetC/EEJn9x2zDEGuBdpPh3IUsAApT1EDv1xPbBRLV9nvrtL3PiYFc0
fA1IhmNBTmSq3O2U1+m7XzRIs+E9A+kzXp36Vs8DDUTic66mp7+Adzs47+8DvxagHFHRCeEADx3J
oJfRPKXD8f7+3ZoUfN5HqRPZezgntUpfGgaizxzPGK9HbdP+bDorGj3/vmuNvhagvJM6WTh9AmTw
2G5AqbBtsvNgrjyVltfgIkKfG4BvcpI9TWtfgJMnzutnop3XYNCWVoA0Pd5JgIVD46xi1DXbEX0h
KxkXNn0cJNBWEK5T5M3eT1uGnMKsyqDOBJOB+jpuGnSgO03bxYVebb2C7nX8G8a1hMzCdgF/0sGJ
A5MHXblKuBCMLS2BHidicXYxgmnqa8mlNQFKuCAyUy9tZkFAD3xOPwlTa0Wp/jzqFK1CnIAEt4OB
P/QwKyIkEWnTBRCRVel2dF6484G1v53+SzEedLsLiahDULRFvGVhNzabMWm27P19dYhY0C9mIJu8
wN+JBFSpjT73z1rdhz4Ia11npbdiQfXwogXCuvvHvqlBi+l17dB1wjub3ArRYbctK/PVYeXm3UYA
aS0MNyBuweCxOqSr911gc1Z7Z6CTRkYBUqhBvNsNzOCRAH1DZxWcgNpAayd+myZB5p8Ll4dVYUVM
X6ncLWgdQmtklSAGw7+OEhxZNOh1zaDBjHExz33J91v6q+8rhszTqsQJZBac7TESbNN+fv8ZXP58
JbKguif7UeDzPY+Gooyov9ZnsrhBAI3EAAMas2Htr2OLmoieMwD2nJuiiIoCDbprw95rEhRf1TRj
1dcmJKTly/QJz+z7W3QbHMHHAuAU3TIon+GZoCzA5G3pJyk+32RPo63lYU0DGbqa+w/1u0MTaEcA
2P2F4l4KVXYNQwQAFmjy4DzUwA/W9KhcG/1ZuuSXEpRdE7nZjIEDCRPbkSyi7ZG+P2xFDWaeIzbx
KEGKV7kbQ5rlbYsS/hl0DaGjYzLg3YkGnAuMMVBPDRDk+apPsSpER13incHSNHwQ5O3+yd/Gqdef
V8w9d/rJMSU+XwKTCY1FqbPj9TH333/WGO0FFMqMOhQgrrxWMEosi/V2kZz1CiAFz075/f4yFu7H
1fcVBa6mEo3qyO6dJysK6p31/vchXjQYIUCqB4mdm/5Yu5zgiaYmOXvDaxYW2bvfb9efV7YnI8hi
lBKfB3JV14X+tLHeH41eLUDZICYdZk8dJGD4qduy988EYQEzubwNkB3k1JVEj0SmLCs9kcDP6eHR
ztd4aRbUFOVURInzTC3Q85Rr5lNNT8qh0WD/yiYsCUiLqjJuhRWiOrRSJFyUhR6C2ZuiFqk2pRku
ZYCH6xHuBj/a7qtjvUnzq7bWDrOksXDa/5GiJjRMEOz0bQEpk19sXBmgHP0XRw5/hEsH246XiGJf
BwxGUavrk/PGLbrIF2tcqssr+Pf7inUdeeroqS8TIEOlITlZ0184CBvTdHhDoY0f6qW8QNFsqeUS
Y1DnUvvup9/p5r7NWPAOl5/3ldeH3dpt0ucw3cZwYs4P4vwwtZVoemmLUNVAXhITCWiJULYImLi8
tSRPgEpf7YxJfyKV8eH+KmYDrcTrM4g0cj5w3egWnn/CRV7DZF5tlmkQnOscY3+TR6LCNbZOFew9
k+zQW1lE9wUuXQ+4IeQU0SyEf8qpDE7nEGlgTYZmR22fh76VA9YqrtOVsHNxZf8KUmtDUzGwTg4Q
pNFXs39Jq3ZjCQ6A3uCsJWsGfnlVgfMHsgcjosqqTFerRtuAMlti627lgU2n0ft5f+cWtQG9gv9P
hqpwaMAkDvHmC5N8Tbotmd6P7D93NSBnguop7Jb6nq7BawqQVESJE8uQEgo5GmjvL2HhTADNgXhn
zsPeDjx1iZXpGqvcs+V/zOpDDVTSNP2SaTR0qhVRC7sFUeCkmWFYZ6aSa8WuutwnTSndc/fkm29O
9/X+ShYOHOVZbBX63lygEKpXs/Y1kv1hjLGMDS3+Kcrqwe/jQK6Ref3RU+WGApN79r4GWmMh8Xoh
Jph7mM979zzIagzLKTvlafnQue4mzYcfQ9/rR+zrR9PpN71bbt+/TIyFI0noz3R8am86KdloUpF6
ZzmUD6l9SJ+DakeK4P2GDlR/yG/P8d1tAhpjEHbTVRDTGXuy7dY4Uhf38PL7ijI4/YAUTgJ+n8Ys
t/mwd9pjD3q08aGqeUgKHsrukKxhHy04iKtFzZfhwrROrVtlSYNFaWc3+IQ+tf7T/cNZuE1XApSo
CQm3QZMWBAzdGOk5+mKR/Uo5DdE/if//cF/awoUCLjz68mwYb4zyKzFU5jZJari4UBo9u9q3mq4l
VJeWA/SZmQ4HWPY3DNhlOfgVJrI1IFS6IU8+OqQPHWfYGazc5Xm9u7+cpdO5lKaoRJ4lvsCrVTsT
0wBpLwFABclPAA1e2bYlOQg5Zx4FWL2b3GFRponOAGl+5s107Hj7SAFVkbO18v3S5qG/FAO+cOIY
w1OikTqw+ok0WI5JQceDyfMz8iw9KGAEff9bDO3kyKEhIsGDX7VHmtvnrLU1AGDZNdJ5UR6smNaF
HQMUJUCvAOmAZmx7/vvFvekC5tHKLoIzYRsnAOfv1hj39w9/QZevRCiH75W16VBeImX0krpAIl/R
rYXPA/JqxvBAIeoWSUmfas3uKt8/A3L12FR8WxTpSgJyDigUr4B6ICppiN3QDa+ewoTYdpApXkyB
rUWB/ZG7L5W7swJMeH5L2ud2dfJqaU2XAue/X5wKraYB9N4QKL60hEXwASt6tXDsAab55gkoIMXd
1IEJMglcFyWAVgBypB2CPNSst3cfO1r7gXqI+p2PRjolSpN91pe9ZQEo5GHy0FhyuP/5hTsIDM3/
BX5HG6/aUIlnZTERYZB4aEor6oQf1ulw4PKnZoG1rnOmD/flLR3JXCaY5wcBfaKWJWpjaAf0JKVx
75/A0GUe/+LzgFOZh/lgKT3F4KPqTAe7a9LY834NIguDlZ+/dOD47n+/r2QtWjpyf0x4GgOdfozc
kW9oIrejIdfoA9cEKRFUVQKBpi6wEFQeBYsKFrVy5VWzwM2MCUGk8cC6inn7m3KnObk+9VrABFUD
2bUefwQN+aEbrE3hm4+s9FiIetsG04Z1CB7JODUCpHpHwIDcP7MFer6r36G+ejJCOmuSCYltT2vP
rZU71ZZb5ksQJMDnZ06+RVWDn+wBQbgvnC+MuOI0ATY85M1o/tTrNeD2JUN1sTF/Wuwu7EY9s8J5
FTYGzmuHWcdQsA/gCyAkNme4PMwS9NPKy29hjmAe10RN3gCxnnODOlkhmiw9FxcjwMkDP+cb+pdC
z6jfBsCFhDaX7d7rKx4Zfk3Axxbw0KwoCIu7ToZ1UwwbveX1hpKObvBitjdZRtkJlatmF9jvngLD
PAEK1QBhQpUH6NWKTSK9TYsJA1Rxko0fWWG/gU1hxR3d6P+1CPVdl+Et7nQu7JKTPgblJ82NGP3n
vt7dmD5FhGIraFI3WV/pBEgWgKprf3Zpt/EAv0O/UNtb0fHF5fioJGESGD2PquvzME6Z6KIlcWVg
nrN8MMffIvn9F+u5kKF4O46uP8eqOhKLQdsUI/Bj+x9Vw8NWngZrrYtrjjZUXw5mkvk1iULyTZVP
ZBmQUgBqH1d+/+Kw/hVsiGfi5Jsg4CvJyZu98+eb8a8oZV2GJG6uiSyNa89CwPs9RdNlkq8YwyW/
NNeB0PaBjiv0pV6HCt446aRvp+TclmbksENVrsUKaxLmHb0wKloyOAnYZJKz7GI5bjP/0/3jX/v+
rO4X3xdNnqXMxff1X0W2ceRKoLD2eeXhNuouAKsbfL5MUJKJbL7ynF5SqMsDUGyK22a6XvhGcu7d
U8tG0IEmUZ69MHsNGunm2kOdgJOChD36klHHmhd6sU9lkvHC9JPk7CRPWnDsjWzjdwZouQHEvwZh
tCgLGoXZJaTy0Tx8LYtag44ah61hUelTkGIWjL9wMYL5xtia7+d6msfYUTKbW4HBKqDsIK+ZHsBb
ameA8m15Vmy5nXxOK+1nT+r9fV1bPCw8qIHyHwDMQk3yUll3JbjXUPtoaWSRR7MdtyZ5ZBh8/r8J
Ui5N7wC42JogyGQPFMPyTBwrR4CnY8X9LtmYAF3NmI9AU+1NooDborcDicLBpKVHXmRPYIw9tCNZ
KfsvNOejt/lCjqIQfYdXahJ0c1Et+JDm9HtPQTzUmcHWKqYnjZpRBaKwqrV2Qtf3wiq+3N/PJYXE
uXlgLsTp3eA2EEdjJapZeILlMix5H2o8D3vtI0P6t3y7L+tPclf1EZfClMVW7iAqc3STMylBpcZs
myCa837yzO8erETSfc2FG1k11SPNMjCaWALA7xA0s/mCRoWmFCC0RxvV1hvN6idNvc+aUZz8xEVQ
NrWPiWsWYTAy89Ex0EQBnqxsJ5jmhFIHTkKFIbJIQ6gYOpMINgVCSDC/lOTVzfPkyNsmOBVj6UZB
Abw9RDpBVOZtcmj0pEPcayfPaZkBH2o0glNAiu88H5rThAa6DcB0sn0/2H6UD3l/rEu7eh5d2W6T
UpiRX7jJU5Oz30NHdx3tuiJ0+qKJ9MyVz5poedTkoxcC1yQJx7IVR7NDIQzjA/Y4hAU7ZVMgozQY
rahKUJkmbka2lU2KQy7pl1ET6QYcm/jB7vQD0XITFnTUzgmwcHfTZAehbPt0b08FxrOtof/tUL/f
3D/WGxWawyZMEbmohuBJ+mdI4sJ+WrI0y6ZlCJuC+h8gH4ht3Y0vnmY8TXUT0bJbcf83jkeRp5g1
Vx+SycgpiT2abm0/jWj/N4HgPAyOSBa9+yrZh8kzzeWphpSn+3kM9EgUJwdN0RN/BZjW/c1bMpwB
YgzgpiHJcoOeVoNzKMs0H0GADO3pZRdJ89t9CTeWbN4upNOQlABAz01fi5VApzsBnfC1uJffAM1Y
dCsXe/FELkQoHlTz0WTSGpN2ZiyqppDn7w01lCUosZg9onhLHXwf0MunKr6/P4s/HuWBefRyfggp
6iQyUI1ZQaKddZp24cS8J81vVjbIuDlmRWfnO3RxR6akNVEHzfCiHcA0BYbwcoeqX/LgdzaqVKRH
ZdcHIykK1DyqimzclbrZ7MH4mUWOwek/OhfGxqJFsHWmPB9DrQ7WhpkW9WQeO8XDHxuhJmJMzKj4
HtDTYzCvbYj5rS/MXa0nK/57SQpIdIBNMQM43sC1gvXMBxIVAiDf0PZkODpApbK8lWhkTYil7Dah
qT2fK3rRSASQ1R8tHb7rQ3q8rzlrYlS1p3Liej1nxf2PYx5X03Ox1r+wLCIApcHMonGDpizx1AFk
BMoJksssGrXuYAwyC0HCvnIuS7cA5Jw6suLzbIkawNkW2m88G80l7n5wPpXGihFa0n/DRWoJM44G
kCIV/ee9BmSaDhZVjsGzFRgHQq0HOqYbvbejvzgVNGnC6IG1/Ca1D5sOGKHExX02vrrpz8Q7pO8G
U8ZtBtqwDrJnJMkQPV3rV4o6uUjNBrc53yd0Y5tbwrd/sQrkog2MpWG0TgVRqGvDHoBVpJ1bnqXH
EdRde1cOyb5s67WX7vxQu4rKEH8CvhP2Bk4CSSTltjAfFHSiwqS+0Y1veVA4YVeRL1NJ35By+dVM
eKUMvrGGT7coFYlf9DjPjbvq46TEvCqI6YRx5l26Jfo+K4fQqT9lybaeThOwdu/v53wkN4v0fBQz
AKoA7VCOzPEToskq0M9J9ZuUQFagSdhjLNTyTjXgFu8Lm13GjTAgU8wdz/OVUlxKoo9gjMtKsEWV
fXLyLLyJRirZrjGAamVrGSCTPWdrFy4N7cxbo3lbsBmoQM+vS+zrbVUfqLhNn5PMOEtDRLr5pWle
k1RbWeJtNRpagzcDwj4kfG6hjEjG04C2hnH2zZd0MsOufzArPSRyl3kbkmwRBAT5j/v7+kfrlY1F
LxRGmObSh4ux7OuLJxK8UBirnbNd5fUW5IzAMre0dEtroR8KvbU2XWF8zKeikaHXTO1eClFG0yTa
X37jDxuXVsZzwNMmDLjXhbnuir3ZpM1XabXirWyaKbTqMX/qa0yQwUuZr2Y9lTuDIDLQxwKKWg/0
pRndr8NYF4fBG8xI1zu5w9uiiDyAnrBNxWi1dRs93WlTPmzbGvOTIdBDSDTAlJyTSXPfusYDRJfB
1xqhFo4ePQ42krCAqUCtVimgpmLgPsWU2ll4xVNnWDsjZ8/ulO7un8Pt3QUiAewoyGPxMkaZ6/oY
stYoJiNzUFRx25B2zwSYdEMnnrrG3DsV5izFSvx0650g0ISxReSAyTj1QvVlVouS+2mM8GWT83bT
Dp/uL2lFgrokILZZ0hIBylD0CQ1foSt+3RewuGc+OKThNVBbUa3smFu8B24TiY3yzGqwKm+JsQny
D3W/752VrMKtGmC7LmQpgQnvAwSOFhLZybgl1sljb/baNNGtPZ1FwJ/Da6DjVfVPg6mleRo4JJ76
k5HtWP6k84N99uzN/W1bsDPXgsxrXZN2QxK0R4FPIpOhjsbgUY+z4IWyx1KXD4WHrs4Zqiv5G324
WJ/iFEEZROwEUVFsBS8Tj3ixYsrW9k85IiTGqnkWncQN3XrmoXGjtozkLwwZ3N+/RTnAloA7tdA2
fFO50hoN3rzA9rkeOaBU+YkP9kcqbRFiIMQ+ZhpZK98tiUTbDjIC83sWOn19Yj0grbg3SBIHTkme
/TEgm9QV3YlRsE5kcgp2QZ9Xv++vc0nl4WoBqYpg+TZQblrbbOt0glBE/bz5gUmCHwlZGRFZFALo
H8wyoP/9hmS0NdpK2MNIYr39IQIM6A4fB7JGZrJkiWbYlDkbPb/YFc1zSmCagOUdxD9Zi4lPHq71
kS+eD5DcwNCCevsNd0Xpe60mW3DOVKE3nGhwsutNVn1eSd8vLmOGIAfoD6ZX1ZKgV6E3s8rQCeHr
X7PmIa3XGj2XDCpU+j8C1IIgjJzdTwDZjKX7k3pbUkQWik0lSMwi8DPd167FxcBoAzELAm8Gpzs0
CwWdIGncaA/a1vdXLumSXs1pZgwOzO2eKpKNqIqqK9GMea5di4Ujt9BRiuo7+tbXom4Xd+86gEIv
0r+S1A6rakotQSokO1rEpFP7IgsRIf8RMufdWRU88zCvg5wWxuVvPLYY9cSVI1yQT6oc7CWjf0oB
bv5y/1yWdOBCiuq1C4cFXZHh1ns++2pa8rnqnAOQBd9I7h/QoBMF+c/7EpeOau4fnPlmMYuhpgZr
EwX00YU78sS+SEVIzMiyV/Zu6ZDQfe3OSIsgM1ZhBtypylHXSdFc0E2hoT8XRh/mXhv6xvb+YpYE
zRCh6IGbn5lqTCI11mdDBUHAhHtIKoJZWlvbD0LfkGpagzdbuEMIF2bsBygFnubzzl6kwEjgSsKK
gKLibUaIrj0jur+aNQHzai8EBHQSjtR9GveOHpFhU8m/MANYwozeD1Qa1EuUuHfiJNEqYoPRLitD
TS/DFeVaOA80PgL/AXBTIJ0xlRUQ1CWEL8EzWaUjCwWuaGUCMpLIX037/f5mLcVVPhIt6DyAOmNq
VnmjFlOWdwmI7uNEJo9+U/0CinuUOvYW4zLgNwWkUZM9BNzeikquDQzO31as0KVs1Qq5bKA2qSB7
0iZUJR6LZoh6/SS0fls6X+sGJcR+xVIsKQd8Hqaz0Ph7y9jIMBYfEFbSuKYkrMb9oK/B8CxYBqSE
oBvocMeeqpepLftgCJKGxqPnRAh6Qrt3NixYy9YsijEcYATaHqIdtbEUiamB6vkEjlDLfTA6I0JP
+CG1g3cXWZDgmvOBgJ7ABJh6W+Gj3P9l67S8Qws8mDVkpwXLPcMpwOUBNAcFcSXKKWrJW2hlHk95
ETn1PpEHs4ik64dVxcPC8VaMw0LQA+hGTNPDziGFoLaUWUXd6m1p5cAGrKIxy0O3q6LSPHgpOTTe
il1dvFzIogI8AON6AF1QVleJpKmzoM5jvSKoqPIoZUGYSgNmqQ9NignZ7iyCX4Wz9iz7MwSoXi1A
x6A86aKwjP9cG0E6eF7ammUeB3XgnZDoZSGA+OyTYMMQovkBc3YW9x9IXVVRQiuxZ7zLQ+n044Pv
Fn8Yvh4T2mRNiIGJ7JWPZrsJOjfY1pX/K/VGDhIGG90EiF9XAsYlxcbcOCZE5vHGm6RZafqd47c8
h9fLP1T2GKP/GG6iWoNWvO0uDJAZ+VeQGjS4ecUB3oDDqd1gCCudHtuaPnp4wVbItsqDYfPHpi83
6C7cGKTaaQ47tpgju2+AlwwSslhIqmMsZqauuz4ot6yJ5JpTxGMv9n2qHdJsRQvXJCgvZ2/g3dR5
kMAqYIqcOnt/fwVLB4a7i3ASfQNYyHzlLvyt1dQWw3Ur4q6YHhqgrqZyT8x/7gtZXASeD7aJihQS
1POPuBDCQY5SWH5SAHHBDGttw+jP+wKWDBFwoP8rQPG5tLatlOcQ0Az1rmPdFiClPSAqht/o63/o
G70Ix0JLN/el3rbaQgkRCaEmAsBV0GYoocSA/oDazwIGROEqstBXQFw7pPkvzECHwntAGjyQKD+z
nVf/pIP4i7t2KV1Rvo7JEm0nHospfwRr3rawyM5vV1poFi8apkYw6T7PriIlcH12dp4BDDsjBXIo
bWijU90j/JikdREmzDz2yAvkSb+BNXsAxfrnEgBE/pA9oWHx1/3NXgqrANqLRwju/dyjev07BDLE
XZGXUNTaxg8JGr7ViOBb6iIHnBKrWrnaCxcDSCTAIsZwHZARVd+mlSCWaAPMZouhjIAYF1Hv1Vib
ZFpYFMw7Mh5zPhyGW7ndgV4WwzjAgbYZ5uUHHT3J88wryg6ArFjJJy5cwitZijtDGtspksTPY6PY
oaVkFeZ/4Q5iGTO0A3K7t41qVofioDOkDDSLr9Rwtgl/FOx3zZ664htK0iuhwG1n9Vya+VecGgsk
XdMgqQhxKF0YIFevj4bw4aKfHB01geGJjmiR/s595BrHN0Fex2HYlAamFL/L5Hfp7rTg930FXdzf
ix+kKKg1d7v7grF4kLvpxZAr6YWV7f1jiy5sqG1NPmu0nMUAL46C6UX4r3r9IqtXknxi+kql11jS
/svdVZTFK41WugGFNMqjcfrSkBMfv+naL+6f2kSEWnJiVRsmaI2qsjP693wUtEv75f6Wrv2Kecsv
1lwbCF/g2lmstW8dx2hcOK2hkizeQNgTYGrNsbI3b/uFiNEDjdrU4tRyp0NbhrZzdHbIA/OMKf7D
36zmX1FKVNcFOeoKBUTp7FRkLaqJRyG+3pexECEj2QAqbVR1ML+oDgOjFM1p6cBac4AxgNwh6P3N
+IgxE7IiaEnbEYfjgzZQ2x0VxyIfMJIjfLg+DGjz0Fib1Vg6lsvPK4YRnR+iMS2so84OlG10/6nF
xMzw/uAnQFc43DcaAJDfVIIfKEUgLGHmMUcPAzv2zaHuVvznkgpfilD0iwXtxKsKIipQ6TLyVM2x
fLGWEVw8DUxfAbjEQF1K7UjWQX1p94aHB0MIzmTC/sJ1IJjHTNxMN4jUz/Ul0fysy2iO7piad+Hw
nDtrv39xl/BmQMETr0jkxa4F2F2bObXe49lAik2OaRwmH213xZoshWszGhtqqjMCq6um5DDyIseS
YJc49x87gx4rXT75zhTxxguRR4vMWtvbLTHCrC7fGreM0M65Mi25pNgzFMCcIUYS2lYMaw16AN73
BYvTstN3fZM424Ba6AMtcnTHu3KtXXdRHqLuGd3ExqCssrPSDkq74awAMdmjPSIzs5fpFxSq7pud
WwztPxQe/4qZf8aFGQWSP+Dph6LAsvKHoi9DnxTPLE+3pe2dUtsP9RScskgPpd70YHHzKMtgK235
3RHZV2Gy545yTIe5T27tf1j5bbPjVV7TgIYCrS26hsD5oGZ75xSZqY8Ji5H1/cethUDkipb2jlYg
ac91GcrcBk6YPgL018ge3bbeczKuMbYsHsTFr1B8maEnE1pS8SvYSELv0wSErUlrw9b++FfLnXEm
UOrAqSuXNYV75lbtsNgasydNK/c6M/ZWCqedlXzP+vTZHezXxhvPeVF+dMe1QGV5of+Vr+IBsXSs
TY9AfjC8WcMrATx9E5l/kUGbC2vwct58l1TTTStQcAk7L7HKOrLEc+nqoU539/dyySxdClGMd2sT
TF8wWsbS+VGKgyb/mcwV07rksIGKDhoXvL1v66x1OwYeIW4Rmyjz6/XjqAWR7g4HjT3UjbuynttB
BVzTS2mKWxWyHey69IrYS7+htBPKHixcnh5Kq9kEWRqRBtSDxYNtP8lhLXk3b5Z6DS9lK5aP1zbX
CxOys84JMV0ogzTKHUBE4PK12UfU5sL7p7eUwLtarXLlPOQA9LTxizgx8t3QViHX34yhBKrHi495
2LHeGvYU9t1aZ82S2jhAyUYLLoY+b8BmZVMRj83UImxwI996AEWw0a3NHi4pDhL+0BlkbhCMKovr
udfykcDi1lPzNjkYeyiNB4FeqJAM3pEmqz0cS2b0UqDiSVpmaFVvzQ/wZgfEjXwCNPem9fc0R694
KM0X5h4wvHv/DBe3Eu2FaLfBkxIFrmu/Mjpaa4w+obHHClBqfdfoW24f78uYd0pVzDkcmEuqgM9R
i9yWO3W9NYGuUmhRvq/M7V98Hv0MswvEXK3akh0wm7ToZkU9CLhiBX+q2794V6DyAYZF5NdQUFA0
gbkiEBOlFFbqVVZHrX1NspWoZWmL/lhaF6xTSMLMNv/CvYtKDBnQsWhslqdCfvbWMOSWbAOCodlf
ueiQVrtNkoGaVQqy5rgk6aHynQ3vtBckgTYum2KrkdtiKl7vH4s1q4567JcyFdXKgCpg1rSYZYod
KwH95Xp7Uumbrs23ueECjcdHJyLbEN/bVTWYQFy6QdoZyWa8p3zghLEJEKzezheg6BDpY8GzY+nw
DVYTpSL9mdn5lprdSSQ80ooa84gYc2uDk5V4x9p2t3oxbe6vaem2QIdRHkNuBCiVyjH5cpzIEAga
2/LYAR+62hdrUEKLmoAMLp5GsDrg2L3WBETJmeNTTmPSbZBF0taITxZdFO76fwSo5VmzQglbUqga
WFlDxzqODRgwAQzvai/M27bti9D+aZgIdWBL3t+9RSW8kDwbwAslt8yxRrdsRuNO24qpDhvvA2ga
OFgeKxG9H1AZrvhynYr6FUnvmsRkNC6EfBNA4pF5vvasWkzjXApRfK47oOkSk3CoD7v5oWzdUDZO
mLtNSKl9dAsbY27TF7RYfLTNepcV/gtzOiAdWVE6GDurdz/d3+EV5VGBHGWOmpQ/1289+ugAxjGh
awDGizfg4gznv1+cYTUkmBKccKmNtg/H5DCJV2sNHWpNT5Rb5goMdHodTi6rZJTYH0bMOBJ2HHO5
y6t/MHH4f9s0JUnR5sLhmIynsdadrILgbbqS7FsqN0IV8bLHDNufyvr1ppGszNIpwLEQTF7K5kuS
fUDCAlTwg/FSymffedWmFqPUHyX/XLA6ZNUWiJMRMHhCJsGF88WofohhV9Yr5euFgav5jvz7wxRj
Q0evIPWIH5a7z7LCRLcJnKcGaGlHDJJuuDWFQwVOrx8T/6mX32W9S5PfWXss5df7R/D/uUf/+SHg
xbzeIcAdlgZlsHoMVJW15j4PaCEMqVHuHMQ+k9DD1po2xG42IDPbo1M9svFzxzw7GIn+gCDm5/0f
NKvYje8CnCjoguA1bxJXcmynjI9DCrYgTD+I41CCU1xLNu270eVnK3UhaL4LF/dpwmjzZAx9CkLB
8aFE7bstmxM44ldipKUrhX5MdKHbMzyZWiAcMg00Wwz+f/yDLv/Sun3EHRK6WRb2lOxZkob3d3BR
ty5FKrd4GlPSTA2sPQMED+12gf9tQK5bBC85JpcHfUJaIN0M7ZeB7swGuSFt2Lr9c1shpA/WBuIX
nypo+Z+xzNDLddOpYYAjhPEGNqWcPo98PwTAZu4PHQd2Gg0l/26LL0O+0qG2ZI0vZSo74JopA04o
DIsT0AMP0yk93N/jxVO9WJRiucqqTYwpx6KcnmPG149K/jVwtXBqxcaw37p3Y3pCWRFCzuNiKFii
b/laWUXbZYMHgqU//E2yHjZ94qAI1D+5ensec3Nlecv7919xaqRimTLrbBMapImIo29e7u9v35Iv
AyqVj/uNjiQQQl8vp8w15CV1GB0TPcSO3DuyC1fJv5fvwYUUJUSALttdh96JmEtUWMZX2z2VRb4X
1XZo3kr5amfnxHzMLCP0+AdeIXnWvg5iVxTH+6tdVJaL3zHv9oWl4ZZnaonA75DTY/EpyCLZhrq1
bfxH19vdF7Vozi93VokS2k43+yyDrDT9rrEX6fyE/aT0Sz6CZTD7VDuxGPdu9s2v99LjoUPnga+V
wsBioPs/pF3Zkpy6sv0iIkDMr0CN3V092N1t+4Xw1MwgAUJIX38XPvfuW0URRXif8IMfHCZLUyqV
uXItNHbhdyChDmD/bOJVDyr2JsfpMOtnvX/VZRfm/T7P7cAG9syPswANVIHjPOdr53Kppo/EAVDp
BkAr13q7nqIqS5SVPlWlYJveMryXfpDfcptWAchyfzsOKzd6asRb2wHdGinzj0yS9hPP6h8i79YS
NddLT1Bgx1wANwRCoDl3i6flIBCvJ0dky8DMXjzlQVmRBU3/bORv1rgWwF3fnpf2ZsufF65KOnR4
PTHyDN6bVGjoItzyjqzcMdcOAnb8iRYPRRkgtmcPijQe+oyOQILmPNSaIPb+2kFcfn/mIDS9z0Fs
gO9zL0zEy5NNk5URXK8MPCr8D2pK4HgE0uXyULpidKuuT+FRrXbDEv0pzbxIw/sYotnbsi0iaDe9
rBzO61m7tDkbFe7HFn19U8pHt0+AuW2GgmzKut14utxq/RBZVf7YVd33MY/3epNFuMQi2mf3g0mi
279lbfizI+p4A6nF9EazwO1huFmYOYfCbQMQ62+Et9fp+217ix7/bLpnPhCS7rU2EFxgeocbWXZb
x0s/pFt+v21mbViz/e8NqdBzPr0o2n1t+lHJ32iPuyVmYaKjzAovcNvgdPHOw9XzbTSLNOya9bIq
cFNmSf0pZvWvahwPadyAUbUXYMGzQl4PG5TN9v/CLkoguqmjGgLxosvt62mmKHsX89mn/MEoO3Sb
0a+WDahUWdzpWn3ICgVyuHKlw+jav2AHg2MXnbvIkuAAXZptXKBujTpOn4hf7DPVHBgQmz2QUtRe
6/hf3DFnpqalPrs1m9RoYrCx4xIp5WYwtBdD8WjIqxWo2fKIfFCK6hDSuqoiVmOfWUyHmaLugy67
IwDSVJt2DeO1ePTRMvV/Zmb7pJacUM2HGRL33wvN+sgbd2Uki1vxzMR8bcwkroSCRxsT7yE103sC
lW7o/9lg8dLRllq276qQm0amf81WjOgUhtHaBq+NIc5OXeLUxSA6mT/ZbRGOWRrEa/xdS9OH6wZJ
OUCjrztBBOW5MVgGPGd96E90TYRo7fMz7+S3Wo60ET6vVd9k9j1eg3Qtft8GtztQOHgGzkvjvdDw
8xUaCliSnbKkxd38byozQHr8Y2I2BHQ1liY3AO+3vCizwwqcTGuztLTBzk1cLXMDjgybI57u4zs/
9iOXDkGMamsleWhYxW9co49asiaPu3RCIS05VfqhMXnFxNAk4NyuU4VMX4Z8qeo3psnffNHfi5yu
hB3XplDFQMCG3pmJHHtOv17HfWEjV5k/YQsC9Zp9Y4gRu9h9bhrPiW578IUoeSqZ4AEEkTuUT+aY
DQ2UpH5ugCbSbSU4AH4B/BIomQdas+vEu25QHCNk4Zxsk0PH87bxxYGCg8RBiA4Svqvoh/eKWBMt
cOpAcY0CxR7qgpo7xM6tETjUpWsWr905RguoBnIugIOCVOPSnY8CaHlKkG5hYG9z2RighoAU3Eo1
Z3FcaH6FBi6Ay+jjurQSCxWzHJR4T7X0m5Db0D00rGPJ/Xsi14hcro8DRnRma3biHEdTvg2+/qfC
zY+5rd0VFYnAH7OlbQy1imqj95Cpr4a/voJhFu522jH+xGt2OURVONRpB472WG5FbT2iWxkc/n7W
Hws2rvVKL60a2BrAogEgvXmVjVPxSO2mNnDf018+tD97nHRXW4llrr0j6p9IDKFnCBfIVWcSaWOD
pR1SfrZUI9KNDGVXthbvLxmB9AUAfWj9wB6c7T+XcCnA049apfcJfTaBXa29iZbm6tzCLGARwi5i
18T9qzoW1g2wG4j+stjc3D66y2Ym6LYDGg0Avi7XPyExmmE4aroqPjLtUDvBKMLbJhZdE9jO/7Ex
HbOz2ItkdqK3PaJa2eTB6Edd+1a1MnLyXcxFIMhz3J/k2AWG9fm25WmOLsNpRBBnhmerxFVplMrE
syQ32w2trCDVv6ZoN6YKjMe4bRzwnty2uDads1XTQCXfQngNl1pmf+ZVu2PgSMkl0vG37Sxkoy6H
NrmTszlNQVzOKwlDVbVjyWc9r0O/2RvkI01/tGURsfJOWG/oTw0s81g5eDzwITT5wU0/3f4lSz7y
bI7nKKbGbVNoJKKQ5OptGujCfiE1PxZtueVsjd5+ZT3nAssZSzwfyArUX/yTIe9RePH1AgKlNHTU
V3et+Xlt3/rkco6zbkisxsbzD/pKBSSpSYt2MmxY+pNrSRDXKbKMU2fHT0M8357UVdOzmycDGRAh
YppVFunNO5DyGf0tfHB140aPv5rqwXFJ4Ijyv3MHc7CMgUaxItUwZL/fVMMzNQ4jXxnbdOhuHMp5
ryXL/u9QIip6KyxySNp0n6fQ++ZlxF1t5aQse+p/nI8/cz7KH83Y8jCTg/Exii6Qw5fba7V0cZ8f
gJmT8VLNzv0WHlQznQA0mugl9IxoyHqQkKR3neaduNU/Cf4vULqTC8ADGglBjG8O1xzbJteqEtGJ
6aW7wkgDZVS7bhhCUTehotuCHMski/pqm5t3nlipOS4uI/ghCPhHUIeZ49qVYXT2WMEB+fppjCMH
lOSN/ORonyVgwbdneNnUVN8ESymQBTNfVyc5HQaKlwK4sSkJ+yZqkl3qRPZadWnRv0AM4n8NzX2Z
5Wb6mE+YjRg0QsYbbYZggp9WYHi2Ptzm5fawFmpZWMAzc7OsC7OrvLBr7BzpfyqhmaNXTWABaUqP
uvmrcx+qfC/YyrN+0V2f2Zz5tKQB20ODrNkTBFd2zLsnzA66/sH2V+LKxWN3ZmfmwKSZ6qlZo3KA
BifhvbHx1+3JW1uqyf7Z/WfleBszgnG0Y7vhlIDJzN24gx9JkAq1pInSFmiD2zYXL/ezMc1jJel7
NSRPkX539qnYAt1UmdFtE6t7YuauamZxPaswb7ZSj7WXRUltP3dmdnTBA1bhLUlBjA1wApgx5Yrt
RUcGwi5gGyZI1PxNVaNJWi8KHDOt7kK3vk+A2KqfivRTnA9bL/7RyBUXsjifk1gmcIuWe6UKISpU
VoEry8CaYmybyv8uQH2NPN3v23M6bYWrC+esajLb8mPeW4NXw1OVOQ2F/52usaevGZjtdWo0g4IS
2YSLrN5H4QSVk/z4+zHgbT9dYxPnwhz316UVHiPSRSSbOZsGaXy9W1n9pcU4tzCbJQ621bSQHnwf
mDF8FEosk+5Q1rw9jiVXjtZYSAKgl3NCpV8eW8Wpm/e1BlcOPhHS8o0UX7WkC5RlhkV3uG1saV3O
jc1u5gZvw5x0MIZW/22bPWrQQf4XFvDYRLsv8gNX5F89o35beg6Ci9wPKg6UXxv8dxZmy0Kzsq8Y
tKKfPvvqNXffbn996TYABsBGOxEwTSBSuFyO2B1omgAT+9QFjbaXIkRBdVzrc1hy1aAgJXj3I8t/
1SCsrMFpRwlurKz6TSscwSwLKZgiClQU6yQw8xW4xuIe81DIwHsWLWvzbJTPEpG5AvYkNlbMvlFI
K+bel8awdqCyvD2Bi1sMSVgkvRCGIe9wOYENANH2WCPZwIwvPfA+v25/fnF90MqNJK8O+pM/9emz
W47FplaWBT7vCHuj9WOkLDfkcRYysWJpaZHAzIBIkoA3FoHW5UAYqtaE67h3yGBD4xccg9pD3dzR
VkylrlO6SlG7NHPQ90TLuG5B3ntO3cGlNzBI9iCDUkdDUOrh7ZkjiwNCEgiIf3CTIDl5OSC/KeO4
avLiKZdcRwtDidpoopCNNG1U0EahIpqBzQ4FvncDoPZvQw3ug9SO2aZUkDiukkGFwu6NnehysdFA
8Bag1xdixFSKx8yBdoRK0Gcb+8Yvq5ENmvEojaDwh04lzR9RkDT1qNS493WgsVrZ4YtzB1JxSLlM
hDVzqgGa99x2kqx40tJ0T/S6wUsQDSK3Z3DpQkCJ7x8jM1fdjKXGoCqMhkxtz4o88JCwE38tUg9A
x7mRmYuWbpuBjQJGtKD2tuNa3+riRCGeB1QOMf1VYtqsfT6C/7YAaYfTHcFeToNRafkKQmXplE4q
zFAtBv3bFSjfkq2VAFiIrk89P+qlFlRDvUGbUqCo9W8WBXRZaIFCbQwsTpe72vW6RNipnT/pFpX7
0SmbXcZiN9Bdmu1vr/+f9MY8bgLw7w+zOM7n3PmYpesUpWahA7NHE5CtcAKq0TUfbasewyH1BPRx
TfBYVwLS1tCOQgJv7LwvmOqvugQRsT5YTdSB++jgaoOFvTMoKH1QE1k4vz3hNmojU9dAuNO34gto
hIu7rG3lEZ3UbZCgevczlvoQg1iqtR5Z2X/VB5ne+eNQRXhYWxsPDP6BbnEPYtHozlKp5z5VuO8h
S9h8AVvF+NLqtdrZJv+CBMB3qcvixUjQaZkDZnQnPafY9Gj+AfkSgmtZ/NAlS3bQNpkocYDwqiVo
nh0yfhrSNt8PJif3o2vHQa9nNnQTrJNgibMXjWsHvWjKAH03WdAP5Vfdl99S0KyEqOGrbVq8VeNn
Tz03QA+C62QHwjO5LVoO6YhaBWmcQwMa6CU9KLoBpEkybBI7jBsrGCCrtKN+VUWsQ6el2Zjoi7aQ
dGrMsgk70ntHDzCwkKEOss1pw/6NA0ANFqA6dH5fM97wplS8GPDkUGDZIG0VKuu9GVZc2dJlfW5k
cuNnN1zDSwIxlTQHpFoPHcd4I6W/UZVED2yyxYqvnJ8FRBuUoXBd4+E9MX7N5VvKHmPtyz5/ykkP
CaAsFk8+GO4PjePHdw02dWikcty4GvHvDK6nnzqGWkZI9VE8oBsWeq0sL48jnmi7PinNldf5kr8C
/gM5FVAS4FU0O960hFhE3zvlkyHf0WMVv94+0kt34tnn50DM0kCqVqX4vMyObDwC9Ona24FuzOxn
na0MZen68AC5ttGwiTh/Hlp2Y6ODeAf926UTPyVu8uCABJqXa7iOJd+LqhkQJICxYqfOLhCeN4nB
/R5NvBMKukb3qRWljb2FdsTtuftT0pm7w3NLs53q6HmFWgmHJSd5zLnQA66RQyza0JZZCHxrVHRl
4Hdib7pqI/z+lBLz3UnH0JR035dVpAkSCbF2+yxONETP4KLBoImI6vIEpUTvYhGL8ql1f1rWN5//
tunv22NfOqSgAvjHxCwUqE1DMprL8qmS3/vuU+I/ErqNi5cEPG//naXZciZmrBrRwlJKH8oSWoFb
d0R7StitkfyszdpsNUvwWqaEYdZsC3p01aEfp8balSB0eXNi2qawAF0js6C6U5BgLusORCbI6cXj
AM78BLwTBxRNVixNjuF6c/6/pcmxnLlRzdEh8dDAEvoQ9BBcGm2YZ8o8kjjPtrEJ5501JA0SiqtD
lygF3V62pdkExAEqN1NG+CoscUx000mf5U+jr8JSb6JMR4tg8XrbytIg//hGkIZOig/TrzgbZFnH
NLdapCgyyymnFlHx2W915Ghbrwza3nIek4oPOwOh8b3j1PbKIBdOAWDAiIjB44KU1Xw1wQlFQcVd
gYPKBpqCDM69ivMDVEf3LHfea0vb3B7uAnMTiLWQjwNJFHghvHlDbGyC5BVKCiMwPiSoi/HOSd81
19jm3QlwBC2uNl36hflt4LIPYYkw04+0/emZn/BmCLBX0G6cPRreGqXg9S2CWBAKKngmTi/FeeYf
ciNamiSxPNXG+1DQjcO+yMwEdOe36qwj9V9uT8P1tP/RBIa+DfbWxLF8ueojg/ypZunyRLMXUf1g
1dcSvNeVUUS68f22qesNdmHKnr0ZQVjdNo5U8lRUMTAQWz/fFMB4eu4rZGWZjMCZd9vg9X2PU4Ne
amRfwLmBgtfl2IxSIymUJSClZG7zIUpX7uDFzyPUBUMrKidXmRdaSlNKu1SnNoFSh/Fhxp9u//6F
OiUGAGEUZJyRnsBevRxA2dgM+UpNnvj4aPVF4JKDJt9b71T02856qqzfpXiWdr9yTSwO7P/N/smi
n3kCqlCXpUWuTkAaOf5L+i8QTSCkBigGGDHAqa40j4bMLlNoiOaPRd+GFrvLsqmNb6e1bysT+CcO
uvTcl5ZmF5HjSJ5mRY7mkRoNvCYqsFtb6D/MpPVeK4hpgj+gcb60npsfqpJah8JyaMRB8vetjlX7
w3UZGnBt/Dx9hHRmj0Yw9GSYcgt9mDe8Fe0T0DJgIMgKZwNgsfuaxMmvgrs2DzNlxz+Vr0sQIY/d
1isZ/2Jm7uecNySknVPvFDpNYAZ18E2S+9lj2xDykYlk6PYOHgR3ZFDVq1fiNqPc8beeiL37rKLj
C6uqFpkSrX9OPe0tdQv/GRoa1cYvG31XyhGJk6Qu0pNInHaHmptdBNA0MDduBcahcMi84TB0Bcig
HUj5eCYHfqwkSRIMAEPuzKEAupxrkHNILHNLu5jfVelID7lh4+XIBnW0HJEcrAaXXa76dKdhw4D0
Ha3kHegBtkPJSJT0JH4yENejpQE9OgSye49J33UhMbPED7ite19EXWmPad5KBhFLe/ghoFp31NXW
a/lH7LffLWBfRabtVW5GLphWXtLcae86fXhOtd7a1SPjh9xpxk3aAHyC9gAdbzkmwwGCq6ELSqPH
eKDtiaMc89UmmfarQSPBNhvz4ZPla9qd8pkKpdm735gztUZkffVotxJSeY7MscKGkqEh7fRbyw3v
uUEQAMqp7JcC2+W2U8ipQcA221aUdRvip+5WZXYT+m4sjui4EKifVvFepD7FMxaaAgAcAPnVkDE0
jCI/oJnFwVfEELYj+cEbr0ZDvlSRsr00Qpjbh1qNen34qmdGWGhj8aJDh+dVNa33UpAmf0jBIRU0
6Pa4q90E+kxxCQ6MuK1QieeA4xgJfWcV5zuJHRRCurnZuWVsPxhmgv4BANFBBo/sgiTQDOW6KtBZ
7vaBYZfusbRr87suTe3D6BEr+jkIAqDGZh3aquCbodHrXcZ1TLaoIFvhiXzDPR1KBrLpt1DqHCJi
d/zgxI1x1Eze7twEpLFZjPe4Jg0Wsi4eQpLnZOdYDJFT5dkrfv86XkJSEmw8CNgBYbyisyw4gKfG
4KSPUydlU3VH36Qvyhz/OjE1mUG2CAUXF+5/fr1wO3eHwk4fXcMIHRzJznllEplLsXJHXwe6l05s
dg1YsUbdFgrcj2jh2hL/C8t2PjjpY//nbXfpLtzQSOiDWQMdoNZEHX953yBdmIxFPWaPo5k635nt
5lWQjXZ3jE2H40wj8cat2Nu4eq/2uBgdjJX4EXVYe3SNwg/GqtCibviGrGloQ9XkYWxzEKbwr9TS
g5q5/YZnaLYXULl9Sitd/PA6nADiZNuuFySE8AoJQcBmPdZ4R++8HrmCXKAJN+dVF7G2bB76uDdf
UBNiO42oeDvEEBwZiRJPkyJgRLsSIqtdu89s5Ho0CKJFAx/ACwva6V1eUf6D92W9rRz/p6xpB3eG
MrarMj9s/Nh8kAxpttb3tsTm3Ysuldh4vseADiyc4RMzi3LftVW663SZbjtvtLdWC5YCU+p8N2AH
IKzR2jSsSuzwERwvKJ3reKjGJhTEuqz/6DPDCvR8ELu4g8RRWpT5hpVd9lgZnIZ1l7JnUcu1ZP3C
dX6xT2d3ICuYJivDSh+5/56DUKIEoOT2xlmyYAPeipeYg4LAvH4qmU+dxuMIh40x0Gwd0g8rIclC
VAz4M9pPoQmMZ8AcEeorv+lyPcsgoQ0v5SkwN9VBq2kBMqwRqI1DssZ+vmQRPGkAxEy6dABfX56F
SuKtlHUUp7v03DsEl+69snW1MWrmn1LqeEWgl136SfXk76UhMIdkcioA0qNYNHcsWQOd6cFIH3ED
NaCsQ79ZDba222u2EPiDwBhZB0SuqEnN888kToAklyp9JCIyB/CObhSUsWWQ83+xOc4NTZvnLJqM
s1xTuNlgaHiMrSyoq5V3xVKYjAwq1gnlKJARzF+udWrIJu209JGZ6pTK9LXkYgAHuvhQmXiG0DXy
6eQBDQ/3XSp+Uza+/v1UTtlOAIonAqR5J0JXed0AUEn2WJruA4S1oecRkzfpsqNfl7skjZ9v21sc
8PkFN6uLFiOr6lp3sUGo29w7WT/eMyTwNsLmZKNqOz8mePkO0N4k/qPZO/4dV6l2RA00XlWYml5t
swgbqVTsoklY9LozAuJcuQVazvjkqkZmQepU/q4DYcSrTSozYFCEiZy+K/dDbsuo4y67b6uy2wgq
uqdhZPlXUC4YD65px5uSyDxUDk1eG8OtIn/A7m+NZNzGse7v29hTWwQuH+irYQ/ML7tD0ie0BYbH
KLeFzYaXulTOc4qOl9DoSnkvUjQLE7TkQavRHSMUW1BEUH4xfpXYkc+xHNxnENQmH3HrNZ8THRH+
3y8UKPV0vKtBizWlNS73fimHQvdiZZ6IweQuFyZ5rUCc9OISVR18hlZcB+l5qBk5dJvkOOMpy/wt
UUbycfuXLHhoVOgAyUAu9w/F3+UPMTxpioRL80TL8phVzXEtgbtkAC0HU98IWGyRKb00QFhdFIlM
3FN9b9iP9Vov49rn595YaGPWmWA86YdjWe5RIrs9P9P/n+3iSUjon58/hWBnTqoZrNJAO7Z7Quq1
Hn6Blbtjm9smlhJOPqhxp87yiRViDs1Fj7RlyCpzTtQtixjdu5oLOpsMal1o6BUu27igj3+eklVy
xzLgMFG+o0ctRgt61yYv0HsM0JtkbovBbZ5zzdA3A+om373WQUswZ771BSQYa1D4xYk/+9GziQE7
Y14W6GM5ue5LcWjbvwMyQvZYB14J16wOGAZSnLN19WrUdmOLGydeQGQp7+7xCnu/Pe+zpZ1MoFUF
smFTK455hb2QZmNIX1buyUsJD/xeS9/0NBaIOge+Ymo2WZMpND4CdjpJU+mom1zuIrThagI+aMA7
MfGroEwt/iPT8Dr+6xHBq6C7zwb1/CR9fmlmIKhbIiAeThzdN1WDxR/eU2MtbJxW9uxI/BkMYg+Q
M/zhpZ7DIDKGl6NdS3GKR3NTgpsL2sqOft/ztb6lRUOQ/sCrY+qxm6PWjLaPha56cTIMXh8oldom
bUEU1nnpVwNHIvr72UPN7B9zs9ljjYt+OgfmGASU8QyKRpVsLPvXbSuzp9R/Zg9RHLJbKNJdtTAR
XrscdJLiNAgWWJmz8+TJskSQ5987QNl8qwUAqNjeNrqw1fHehc4jth6ElP1ZpO+CmmCs2xFGxzYY
yZPTsiAzV2rKS5scAvKASeJMAdNILncfjllvdkDonKzMDdRbvMpXsTSKcwOzU+RIxi3scXHS39IR
lCdby1jTj5vWeL63z01MYzxz91ArkWWpYCLZ66A40n6FKkY25cft5Vja2MBegYEVJQGoN83e7bXe
e3HDYUUNgebvRqhqbJ2/7GT7s9Hc6cEOiCRQcuZszRPX5Z1Ii+GUdv4WCelAIv60nN+3hzJHTv8x
A6+G3AB8Aqg3Z6fG6b2WFQYaJOsOB3OboVNnQHYrBTLjrrDBFPUm13iUljbaucnZyDINcEYzaYaT
fDCbjaj3t4e09vnZ6ghErYx4mLguee7VY/GXTbSYMWgMgUhsykJhgfRpd5ztMSbMPtYqLuCls7DW
T631zVJsJW65djMGABd4xaFFBBjTOemqB64cXuaNPOWtRkHAoo+hbPUWgBmXiGPaN9p7YVnJi+lU
7M6Cetgaav8//SHzs+RBtR0eFX9ddYTqWpLYvab1p8Tp4G98ULVsC7zIVJB5SvzA2UB62bKQ38jL
BIm/FHy9fgGogkDNJqyVaiJF/fFz3Vf2PjPA7DKaRLzFJkQd0XrQhZxoWojYPf+Uela9ZXEB9R8z
NavA8srmgMy8vTUyou5lpgaknYi2gS4tj1Rl/MhqvzuUhnKimoDSerDGtwG+OQJLB43QgKqFfd66
+0aTNbjvmRFoie0f67Z+jfHZaBC6ETRJSqzQMloe8CIegzHvuh3SmdnWoTVeLTzt71zEa9vMrYpT
jwv1k+S8PbnCHyKXyc9NUYtTZujdXW22gfQOBo3LbTomDADHXNtTOmrRiMY3rQSXKSese3OFNhzq
ZOyj1tMhqasX3oF4kL5NkXoL0qwRRzxnfsPBe88p9F5w4gf14HoVO8DviS9ZPgGe+ADSKikNehwS
OkbSAt1QMOQgzcER/5ClXQIUpGuRIGa57WrSR8zuuk9Npo/bsR/yU9m0aFOjSWFvkdpTYEGdsFtN
aQLj6VRH35cJDczWyD5LS9kbi2tjOJbOT+Iw56AcVm0kUnrHKjZACD3WLoOfHU3o4pTOQ1pKHfEv
kUVQIMmIuS3Lg6bJ/KVrKI+EawBJCpUCsHR38W/PKdONaB8NBmxaBn4oPJtkRigK8eDGHXXRPMna
NX4T8Ftw8OYh/w2GUTxIY8WsoOsc96B8Lu8TAorRskaBGxQfbehrvhXW2tiwCW2X3PkO/5VVpvns
5y49dK4yUTTS8pOhmvKgwPcWVb1f7QCqQ+u9LDoTjAMQwhGAWT37BQTfRjJS6G8PdmxtpRfTDDn1
aiLf1VRkABGnB8wBsDDgnhyRM1Q/B1RfkRNhRhGkougtFPmoteWqIXmQ0gy0XyRF5Ug4LKSuKnYS
rBJ7kzk86LifvcI/sl1eIEeKwDQ5sV4fozxvswfm2vWGaYMekaqung07Vr9sCLkHHhAEz1T7Krv3
PswIUTuv9Izd2Kbpq2dSsPE095lXhEMVVw+Z4i3SeWUE/cnmrU4781ubJ8WnBJWWnfKT9ECNShy5
wdOTL6Bngax8kwZI4mFl7HTUgxY8NHeZhEQWZDrZe9P06rU2Q1mpbi8dn4FTruqNTZZIbJ3YHZ91
F3DGpI6/tnL8GXcm/aG1XhzmBlXQ9smVd9K8BOz0hW0GvoLwPWM49rUJ5RSUaMQReRFpRi2vJVgi
udrheeDtWsZjI4D+YA6gMhpN84G8e8NoRLijqxKwVQOlgtbPUKTwNVshSxCbW6EX5AGgweSYONov
6hNrl3f174RgUgGr8zf4CfGHXWt0O2rJEAgNwEOCtuEQuZ+PrBz7gAri7JtSd/clpX402PDKhGgO
VhmtJlptkM8eYUUonPG7E3P2y2gTAjkIN4t8o7YetNRv7zRH1htlWuw+bsSwoZ3w74FGcQKAQrpA
2ABUS6IVkZcZblhZFOhpIC2TlX6ipfsSTSUTRTneHACEXd5n1GuIga5ofqJwN+lUJf1LlvU/Mcak
nmcBJo9Ig0yB4dmN2YLoKkEzBj+l+StJnKgcvlXll7+/9f0JEzDhonH3zIJLVbjSsu2Cn7oAed3Q
otrKjbwUvYIt1tMBC0Dlfv5s6kXcQV5AH04VQR3wUPjbvt79izGcmZhFFhwPfiPnxnDqu+Mg9/1f
j2CCGgCBgz9Tk8dsiuiAyyZvHX7y++ZI++7B6V4A9f3bMRj6RHMPQ8BMXr1hx1oDbW0/jifaHwGi
Qmrv9vevI3x8/48kATItFngkLveSIWTBOaDUJwu0bIPzwVG4TdUxtoZNaZUrSJBFYy7yz3ABLmqO
07+fbVwvtbRMT6rxhDN7qOSDj+ZFqWeB3tuB3v2LmZskdPC+A3UiOtUvjVFg7n08XeQp+U7Nveet
TNxCpI+WB4STk3oXjok3+z5RZl0WrTaeUKR/MgkH05ZHQ7DFvKBhH7zPrf9qFcUnbUiOvSleby/b
9elBJcKYBKtRlQdoZxaUj0ObWNzk/MQN8lZS/TM62n6bXbwyyGtfdmFmDtW1nFahIU/wk6jcD12C
bAvZ8tsjmQ7hZVgME9BAQyFnku2d74nCYEMPNSl+StS33vS2KJKBcKaLwK0T/QtLPrwZ9jnAgfPy
Q9J5nWZ4lJ8KU965bEjCwWZh2iK1UY7dyi0wB+pOz5oJiugAeKT7uAtmTjr2Y8pMd+xOtBHNFpZE
qFesfRZG4t75gowb7uihVTyiNSEPWq9OjrljU0BA2uKThDr3JiWZH1DqqE3DHSuIh6E/3J6RhfN4
8RuntTk7j5ZqjLIehu7UlvqmSEHQXYr6qEChZBn1u6zo5ra9pbUGtSYqgqCHmjh/L+0BbuANQI50
p4SRJiCJtids2KBX9aEvV6moJs8131ggvUKxZdLSBlPzpbGW27XOGtqdDPJbid+Z9sU1Xwf5ZIAR
u0ZIedQL7WC3KJ2wX6O5kq9dmtlz49PBOpvZFk8xP+WsO3V1h8I3Ed+ZK17HQvdDVTt7c1hrL/6T
TroeLhwRuD8huj2vLY/FJDhpdt2p1OtuwhAYe2ZmUEMnskXHDM/vaGnmj3gkAvzb2knoI4IK7Nbg
Ie4ee2Wll/wTsuF4Q+l48V6l9XpWVuWQqv7UCjRsdVR7LIby95iuIY6XdtS5nVnuA7LsKLHoAA/U
7MHgeaSVWpiXadjX9Yr3WHKFGA7cPTjb0LExO89eUlIvjtv+xFMt+QEOoS4oijz9dfuEXFmZcMsT
17FhIfC6QvfmcZ500pbJkxukYxzgCP2tu50MTCj6iSUWqYjZFcyHJobIUpc85VAYa0Cb7noJHkxN
gOTU7aHMq6/gyJgw2KC3Qz8amBTnwGG/iUc5mn0CQmxj7+fjbkzjO+rRCFDjQMvxNqjEc+tY34u+
QleLvkKbdrUFZ+Zn9zNPOM/GbEyeHOl9VTZ5s1OIfg9recXrOAB2cKNM7Txw9qByvDzqBq+s/yHt
vHbk1pIs+kUE6M0rma4slSWpZF4IWXrv+fWzWJjprmISSZTmAveiG4IYeVycOBE79q5GrRXcTi9Q
oSmszs7T+OQ31me5bM96ZezaerzRB5ToBe192KqXOUaBh6SWQSvnRXcc4FNTC43CcwcjOUTJj6KJ
98n4I5o2IreLczYP0lDgedG5pY1lYy6Vc6VFAMdzy2ykR+wzkZvdGk9q9t5nx4sd3VRmuUUc92LR
ijEB8lnHnusleyV+iIv3nmIeTNTQ5iLzjBhe3sqciLBTJWQi2/TJJJ3w9P49z/eNGbBrzZyYi0uH
IhbsHF4ouI0eyuyITiFrovi3U5X5D60SdzsRGIQdBE19GkCb0GA2mCfeFuG/DFSmHVThsr1sP+9R
yW0zOWZX1jvjQduqAy8bm+eNJ9EyLRGDznn75e2aq1WvDIriuWMTFHse6ZOTaxZpxYzsQwS50tex
xwfLWUntXjdIGnRedCxCUbNHoB+/GzEODgPtyo5Rl5FTSG1yVIrpm1n55i6WyCpAWjlStRP8fVK0
f0NLuws77U8bt+rDVMszbW6YwhQAkPD6Gq74DUZGVK/AynoZ16ullIURaARXMBJYvZS9nxhnupvf
m1Z/mUBgcRYK3LNE+lu3AepbnmBxEVzF9Ow8iZxyw4C8QJz87xL9x8Kyj6CnzaaHmElwPRTfs7i0
B1XOnVyhQXXSHLPJ7tpasCs528WTdFSN9kOnmXdjb50gv73RwWYLQXU0aTmUzHofp+EJgjXnHyab
hkqehC96tYtZoA5fRr5ksk2LB92kO8C3yy2Cl4tYbJ5pa6ZEh++DYGDhU5IKbsFClAR3bJ888XOW
JDtZLEldaYd03HAAc7zxJgrDFg9qAK/oXQHxWFyveqz2WhYm/oewYFXLXwIUq0F8bMPjKMiOvhXA
r4QLhLdzCoUcinGBm4nARNQ8TwV3oLIRncrf11dndQvRTs72nB/SqBW/3aS1GeZ1J/eC2w+adCd4
vFgCTUH5oKAZN5qm1CbNK59BW0f3nmE2R3UyUGBrvK9wIfi7qVW8PVni5KPuJd6vIaFUAQEiGUBD
aOhh7Yw7tSr9j9d/9doBlsCUvxCJAyNZ7Kmyb3W5T5iUxvzs6z7RN31Z3lZf1MqNCAL4P1aWzA7a
KMQx9IqCK0psLCf63vZ3dD1cH8qqEQi2lblUjZtcXCeNqZEFzzKcBFCxnTCiEt6EvbcDvy7tzRKZ
9+v21o4K8A+c+pzBBGfzdr2nxO/Jp+SCK+gR/JRQLVh/E2o1ZWC34sZRWbcFAfCsaDFTCby1pShB
atU5YxOC1AlaQDtpu8snnbtAsI1O3HDraycTrOh/zM1//upFlqi5XGgJQ5uQ7PClozU2tmE9N/I5
rGS7yjYc26o5Hgoa5Ub6jpfPMaWXrKguasGVs2MZ4EFtYN9HVYOccguosTKReB2YbUSeDeg/Lfa7
1sINUErEZmRqToIffu885dgL4b6qw2ORTBuZjRWf89rccuNXPbC4wBy4+Un/8xxKv17fg1vfX+zB
xKhTY9T5/pQTJ9npFhJziS+b70X+ISuDYj09b8vMs9GISi1lLQOo1d9UqnyknVHrITjZ46ahmAl7
rr5+Vny0Psrot4lpZ2tSQrBhPA99fw8Y/uSJ4cZZX9kx/CxjJouZ2bqXJWp9HGQxzImoZrg+6O2k
vBW61o4hVxn81AG+tnEiVvfNK4OLF600Rl0MLNxzTaF70GLKuRnjtoisxnE3CdLGiXgJCRd3IzyN
4NdmoBkfXuxTeh28LJ565r0DP21k7YMyZQex/q4nH3Ob5oGxPyped6JN6hjLrLtfbMlVrs4xuAxK
DiBxcTpvncAoNJTGgVm7ZQilh0C/4LErDnrjWtaXZEvLfR7PxXhV8jG8gOdekYXzrgpgQfH8NmvF
bKcm2t6U7v3hdw6228MPpCY86BvPtBd4yYXNOUWhzUpQOPK3A5Q6oE1tXnluoD/lA5zTurQLGwVm
MwShmrMxfAU0KaiBzd/dd61ldzUVXpgDaoleXhj3YiQL84A33vQQG+LOgoa7ktTHyNSP+XCinOuk
k+LUmmwP3gkqASdSyaXeheLIXRHYQuPmSWqL3tHUHqNRsH0q+uEPzTtp8Y0u/xCsL6N2M5U3wdDv
rvuNpaj9y7lme+FyZXLjF/B2MOs8NrrQc/3he40G7ehm8PIawWRL0y9Kg3YrnQAzfhC0x6yP7By9
uDod6UkbKD+KkJ9EMKOYp+u/6qV5drki80+SURUiUFv2KXtqMupSKlmu7j8MIAeG9otFxB9LlVOW
yn6cBHuUDsV0lxffFZk7CYlAtfwmiJOjadNejX76UG+rlF2n4dw15k7NqJuPh7H560X3Vq7uvHIr
p/Gi7Hn5o4lh2bW0qyxpMxqvNFqkrSAc5tdkUbEP2DKl/zeDsEqmXa1/zugdzLUvTfGQp8Y+VvZd
k9pycFTEQ6pGh0oUHUnLbM+7k4TkmFSPk/Gp6I6d6tb5ubaee/U0Dd+7hmI0+jKIv02heSqCm+uz
f5kVxdHTaECLOKBlKqULn2OaU9YEtae6cGjZXfAo1LdpfDdWZ439HhXPTflHDQGQHOCZ33CvK/cY
mA2C55mTjRaVhem6Gvuq803VhXmkLR6K8/WhrUS5EIoRl8/gSRjtFt5breMuaItScyNdfbCG4Ij2
15GGsX8ZhTIPYM7jgdJ861AMWlWtoqw014RapPHuG+mdyOn52DKQ/1qY5/FVYDb47dTVdau5onr2
tdqOlC/XZ2ptIcy5TD5bAWm2mKla1bNhaDSNxprUpsFsCyS5+n30wlkIHgQXuTElg72oJqnrprXd
nNJf//DrX319MT1VVVtK2/D1ovyUyY9Qb23cyyt3Iglhsm28XOfFWEwPYB+l87NSd4tOfVCH1o0G
83M0FJ8i2duNhn8atDrdsLm2ecl7IKeHfjgVmuWu6uVe6iI2bxfV3Ii1UX3Mu8HfZ526xaZ8YYqD
Dwp3zlVx7V/QV0Q6GZCwbJOzqNxW2bPeHab24foSbZmQ3+5gGf2orivK5BxkI0reshLvqzZI3Fw2
t6AfFzEboyF3OScXECUCfvDW1OTnWeQHmBJ7n8bi5ihGkWFbOliiJlJ+t/4WhuLiBTobhBpLJT8z
pxoWu0PqS7A7VhEjs/ol0G+l4EfFAQq3klVr46IPmd4S7htQDou4xU/RMm5bKz7ro1XRvZQeCrO+
M4v+F2+2k9YYf9+/ZCBoqAUTmcFytRhWOdHm41l6fK5HEHdiEH+qfdUtZPW9RQimj1onuRMuIOmC
pSSRU57a0xSfE2smFyDa/FU2G/7t4gAvbCy2X+SHgRp5YnzmefgbEOuXSdFvY4v2f6P5Jfv5I9wf
W4RX6zbpDaBnm8LHMkCYKHqM+YDajSaFNt2dKO7sGuU7VRC1uzPrLfTs2gljZ/yfOWtRYxFoEAsK
TYnPfefvUh6GYof43b9sCrQ9idbxTZdFy06I/bhNquScyLGTDcZZG63z1G/lPNeOlA7hAOxq4G0u
znBvjp6kREVxjmsjeFL9SfsSlcGxaz+FHi73+kZfNWZI5KkglqAXZuFpRy3zgfV6+Xmsql2uUpfK
wxurT+1RyDZChTVTALipBqCgSelhYSpRCyWk3aY4tzXeqH8e89yup1+8E64PaW3vQfmjcHDnwv7S
V6Ra3saKIuTnMoGxW4hF3xEm7WBG0m9djj4Sst6LjdpsTOTFLc8pm5mtdCIuix7rhccIhKgWjQir
jXwvCffWxut/6/Pz5L6KguBIajOURYpzaffRztj69WsH6PWvX/hXPcprQc759eb3vOTR1sFYs+Hq
tkYwL9urEURalbT6PIIp3Av14d3tNIv5X9x8PZxbaZXy+VY8CWA6jtc31fzX37x4+DxtAYhfgavU
lWXiXuyloDN0tTg3wnTM09uhPxTp1yh/yoaTJh9hJt4wuHJauPB4ncDIRvS+1Dhpq0HJ2qjKzqBU
ALw3vnBvxHDvQH0i7Pwx2hJHXbVH84vGZUSxehk5DNWUw6k+YM86RB+pff7JzP31OTTXbEjUcUQd
dAHViMUu00Yp1IUuyM6pnkaJbSIUD+Rbl5FHdkyj+FAFwj7Ke0dIrM9NKuxhDHKTGOoYZ6zjvvwg
a5QMi1CimcmS20/5NA13rRnEPjxnfvGRJZQm+gIS5QY7A5JuVmsXXSreF4oW7opSF/dFFiL4yl+B
Eo02Mr1uwzuIPT1nqHo400qdbxUCOkWFQCeILfolQI6sCljt3NF9yE1JmurTtM9In8AInQwJb3Df
OgWiON3zoBNuhkLxdixT5PpJmkkHpVdIXoPcsKlF0Dgul+n33mwlVyyl72bufStCAXHYKG3o/Qhj
cd8LQNABXtQdyBwDggYlMv9KYIKeFUGUbWvwdWnPq/+TXtTxE3RL0VmUAgsJJz2cgfpBdQPuwtyr
QiXudUn0flixLNPGAD2Sg2yO7MDQqt2miQGjRw2PrVQI6WM6APfu87h/rNLUYHr66v0uUuGM4CZ5
91JxW3oAoxvo7Afhr+GC/6S1tJF5Xtle6LXpZLd49rLHFplhrTGROtfU9Iwgkh1O36X4IexvOybw
+j5ecZZkKfEBVM4JBJYvoqgHzO81YXaGI8q24vuiMoFwbJRaVtwlMQAvEq5KHl3KImoLJIVuzqJK
z2lw4300xq1M4KU/UzVWYS7d8TRdVo7yUZtqqUQt3fA/93RRK8WWZtvaADTeBLTxKiv5DasoxFAI
suwclo7WPutbpdSN7y/L10UajqnX8X3V2lt78o/XF3nr84vN5Fuxp4kjnzfuAOg30e7652dXt7hP
gOfDEKnMYKsLV1iPCYJScZGcJ7116qK9URSXEB2PdyPS/HPd2NpYXhtbHDz4wLQ0hmv+PEp3Ju5E
/nj9+2sHbwajkSYAvIkE/durXY3TQTeBE5wbf5/HtQ3fLdSHu/xw3czKudOoPmoUH6GcvHiqd0Gj
UPpJORKTv1OkzIU16OQN8vd/MQNAByISE5jH4pYiTiwFTQ3Tc6C0ZwoNdt/Lp0IbN0azElGQVZkf
6mwCQK+LcNi3pjpVRL86j0Jvy1a712EAU6WHYHL1qAHO29tespGJWNkI8xIR6pOzhWRkESRFEHPH
CMFU5+CDkGb7Ks83rvg1A+TYwZqxSHRQL3ZCakRwAOZ5eVYK8nW2tlUzWTk22tzuQCQ2HxplcSrD
3FLiuJGLsybv0qen4bmiTWvjtKzsZui1qZaKdC8Ca1uMoYRGIYkSrzhbyfgR3ukxjNy+FUx7iv9l
tij+gm1nP1+8iIxMUstoYDQDgiMt/27kgNdWA1UByNsQMgW7tpitsWaJMjFiiwU0UuwGaGGuH5VV
AxbXOe1oJqXCxVSJAh5eA7V7phhU7hL+ff/3uc95L87accDI3jqWRMoto08rJsiQT20THBTp5rqF
tcV+bWFxzTZGKVWm3/Eq8RPbN+RdIPl7ofuZmxtBw9pUQUNLbzErAnvM4rgH4TTSiKeWZ/9HGZys
YsObrH6e8J16zEydJC6cFtoFvjjqenmu8+exdGQj/pff/8rAYqmjPi7aQMGAmh4l8ehtAOJXfj81
V9JF8A3OWoGL6VHbMlX1UijOdVj9VWqCezl7f8jDA0Akp8J7Cv+x2ExmUkxAlfrirLQgmkG7bczQ
ylZ68/3FVqolkQ7mhO/3QX0TC/1ncjgH3QtPZPnev9pvTC1mSxlqckQBpsDui70tfb5+KFYu2jef
nxfr1VM9byc5rwQOhVGd8Hse1an+/a6PxDG8FzA0k+hfrrcQwv/X+FZ+VvWcUjuwHsEaiw33tLoi
9InDww1S80KSMTVaIYc/kxVRy/1U199rlZbgJt17Rfr+m5X8DwBvdhbVxGXSSRqMAESvWZyj+H46
tfHG02Z1RV59fnH6dLGEdEfX+Xwd3xjivpZo4o43fOHKGXwzhkV0IOlpN5ALL85ZCs/uoT9d31Ub
nzcXSVpeA32Z0A5+1jMnzlEh29hSa6tNymRu5TNIYCyxDbLXFHGQs6XKrAsfh1r+I4QecnexL96o
Sj9tXK7zlC8ieOIPEcwYmmGXZb28HrtB4aV57pNMepgaI3DkuEN9ZoRuVuKy2nlxaH5PlFDewqqt
7AaFvBClEPh3Zp6at+ezTuMsSocyO49q6iTNqUpOPiC568u1ZgSHbOlEwcDi9MWWS1Irqdowz85x
9SctvnsQGBVfrptYmUIAD/81sRiHGUsJf4iJIvyhK+FNYh1Nz3IGa5/K/qEN3l3KnOHuMtEpwPsX
fqm38xakkwl9BQ/3Tkho7YaMok5tIe12VecWwS8hev+BmjvZKExQWwaCuxjfqI6o7VKZgFvcpnFh
Z4z/EG9T3NdJSFLv0y56aATP7HUlKPMzXMq+8Kc33n9nvvn+4k6LCjVusiHHTceKLQ9/4ml3fQus
OAW2MX1T9I3MXTLzLnx11bRNJOetKERnQ3EqZmkrbFnbxXNCk5YR0rZEF2+/TzpNArY0RefYcmgj
F4R9qWz4tS0Ti7ii8r1MhEc4Ovd9uTfb/iy1pRuWxvH6TK2ZIRSe9cHAbvFiXIyk0JGroLQxP7It
vHNzTNV/OPKvTSyOfNBa8mDBnnFOuqk4mjn8LLEcefu4Ribu/zeaxdEovSTShnKMz6zbB6MPHvXh
ZtrS8Vy5EYBWgeh/KTkZS0a0sjOtqaIN/1xn+0g5TbotVo738/pI1nbwayOLdSkGnsO+JcdnWDh+
T0I92p7Ub6z9mg0DeBgaG2QCCfLfrr0Mr0amSVFyljWbfry02/j+xUSBGQAmNLMHQjHLHfr2+5Y1
H5HKm9yhooWjL7S9kaX3VhH9atMtVt6LfbywNY/11Ym38oy2ICsQXfjuXVOh5l0NT/ok7a8vy7oZ
6qj06lCzWbYmCIVfKcgJTG5CbcaeqsZJBnJfZdX/uG5oZe7gKGRh4AXlalkC+NQBbPXojWDw5fup
+BJXj0rzo46CjQOzAlWTZrlQni/IHqOTMf+OV/OmlE1ctn1DQ0EuPxnKQDpi2lvTXaahx52ipNNJ
2a6qBu0+ELz61JVJuzc7hN6vD/fizgYnQ+MKMEr+w7laeDthGHM4pFAcmFqJ8sjez/dgKmHq/ZhR
Dym2tEdWlhFz+iwmyFOBO+LtqGNNF6DOY9RhchuZKAV9brcgbBsmliQGVhmS7vOAJhTioxB/lfVj
rb43EHiZtP+MYpm2SqB70dSKPpkEx50d4vi9jnvx/cU1TRsOZ7ZiljoC64iqF1pjNuRf7196iQZP
CbAP2cPlkVLFPBVSgc63RvkVmIkjWR/65kYS7iyg/qa/hSG5cHoMCkyWAnCOFhdypG+XPosCWcGx
em4/fQvRCiqrLUEoae3svjaxuPBG3ritDI7NLWi5vtdT5TmG4KCHcckVkiI91eNg2XGTV5WtKdMH
2fJje2jHH8qg7RATcDxPecpDHWVos91qRV3blqS9KP4QfoMDWZz3CgiI6nue5yZgfyFNH1LbAEF9
fUnXJgB/z9OYJB4tXMvjVSXqWI+i6Y6+O9188u6ULWZaGtNZpzcPJdbxlY0lOKcL8lAlgDBdmY5W
d0xGwDMdei5Fb/lwotB9lQ7FryIyrENnKv3XXC/zfT0oxk3HixfJDPNbEEay09YKVAEARXcSuRZH
9HPd0Uor2nWp1t3m2LiV0SY4laLc3vhZJzhd3FVATWSjOwpinR+llCPuwyXd2qbY6rYKafQNqjTR
rlSq0B5TCq4x2Tt08ApyaGoogsQPvxsd9dah7TKKDpq+q0vRTnSl39WtKezUUIWpwiklm875p17X
kaDtcsevhoAOKctJRcDNceQD4/Zzw24qdHBRLpAfFfTB7FiWaruQlAJd7qG67yMpvZd7oz+JUBcc
Ix5H9yFEaU7eIgIhZOHXMjNqw87NIf1ad0Mj2kOY5DuALrQr1WMlHMupaPadEmn7Jg6KD3RPKid4
HowvqR8ox/mhshvbsLntKy+8zXI9gRdBaG4FU4hskZraXW2ItRsEtOJJXeE7I/IcRyiWn4MQIUmv
N7z9KBvZrTrV0Sm2tOrYpmKxtwLILAKxkna1gv4kaiGJO4bU9UMPdryyhJxZTvVmlwncxF7cKftK
V7ID3ZDioTEE8N0m8ijD4Pf3eROot6GiF47fSjFMcF6xH+JWvkEUUrThzbXQGBrk3WipAAOKYdgN
kHnAh2CM98VYtSxQ2997ZpyS4+v1oziJ7SdToJqvR4bnVkbkHXpvTN3aMEJbC/uQx1kxs8uq0k4V
BfOgat6j4jXJvvbiit4vWNwk6vufr5+92X8tzsXcGQ2pEjD6ObJ769+SmbQtpG0HeRXNCTzamj16
LwzvvvPAXyV0AGwc9hWPgkEOuYxJMtGLKE+SGogQp0Z3IzRpE2H6pAriw2Bpf6+Pa9WMDtsBJBXU
mZZ5VrEYIxhWPd2V1VKwBUn+CuS1OeayVrz35QW+i1hEIeM9swMtKZx6sYzrfJR1t6ZgZtATbo3G
oS+35m3VSc6J6TmVCLhrEfIkCCh1jaebLi0cjgF2xOmldCd1w3PUyl+uT95aeEWhhlCf/pzL4mNo
agURpe+51pCZNi77Tk3iB0EefCcz82M8xjspsTayi6semqIaU2jRILMMYYskREI3aTxX/m7CS7m/
PqStry+Ck0qxJpBlfF3P0ReJUMfYAlivnCTmC3ERasOMYHmSSNAl1qTREiilya2vBMekjHaZpX1A
s4JEY6hv7Lu1Eb30286qeGgKLQ6SafTR1M0dgtaU/kH2a19F4UY+eW1IFLuBTyjczmQz3zqHUdDl
tlNohkP812lU8d7I6VWSfpdasw8Ea6P6snJkKYlQN1KJ7fQLePXgZV6U5jQhSfK0E+jajLXokEzj
xk7YMrMIt6Ko70DqTpY7GW4ol7bQ3xD/bXi51Zl7NZZFSNOkCuCqESNS6ub9TQqx6nBf9Dt5C6Gz
dlRfTdoyn1200TR0JoaU9tgb5z5/0l+a4+imK/7W2gZ8cmPull510huhCusRa531WRGiY6OPdx53
5vXDumqGdAbIppnPZZlpqP2EcCkZLLp3nTz6kCo7Qdh4DK2505k4HoJ/0OHcEm+3NnRxhWpOs6KK
7zmd6NlFfmvmkSNLT9fHMq/04oJFzAZpMcuy6IZYgvg9reyywkAHWJDvm/5vSDinhLeVt7dCYk4Y
zbotMaAti/PQX73RZa+MWi/AolWXhyKHvITStfYd6We7z0+BXOx6lJ2uj3J1G74a5XweXtnUe2Lm
asRmSTEgzmiuTJ91ugnaIj3USen0w1aacHUBZ7wCmQAQ40tOyFGPVNEPAs8l0JtQOPXpVu29b1H4
6/rIVu1AEEVFGADZBRBj7Bo/TgULHedaR11As8viu2/VB695L9aOF8p8e7AbqT0Ding7hZLQxYIi
epZbQNIrm/uw3eIXXyG7ImvL1WTo3EbyxV40NDVRqm7QXegE3axUj6mpfyr7gWXSnupo3EMEk9iz
dBlSJsHRolnn+mSuHOy5KEb4p884/+UdL8S9Ty9GqrvSiFxK2vm5M05RvzNLYdpfN7XigTEFsAn8
jEFcu9iRcVyLbU7uzdWFL9Nw8nseLLF+CtFnlKf3Zz5mqlvwnpT2Z2DF26WD9aQucjPQXaut3VoE
5apQlDt0arBFow9Gg28t/AkrSOadyAzBkKU/Uaw2FkMkNl14lGmYEAxYigfokEO/chCT1brOQVVU
6BInKKt9qYNz10Hd2UJV/EnFLv8SxkhO2XJTSSf41FF10tIqcipJPZex398R7Q0HMS3iXZLUreOD
JYB/TZMbR0NJdsev+jPGUv/g5WH7nCRSsY8RKbjpy7a4CQN4jGur0lGD9K37oPTICmpd7cBR6gV2
KGTloy9YygfZC1on89PRQcwpJm83aUdPbgLXy+EGG3uqC3IRVARpebf3Uyihfeh5nxDl02/KrNLt
SlS7XYEela1reeZMajs9+FH/M0v5BWZo+Lc9VVqn5q56QroD7U51iG/p9zdg7phFC/3KOhalqDw0
XW3eG6n1dQLrehxyLhtfi0wgilVwDHwvd9IShLefxA1Rqd/LXyL/NKmHqLfFXCrvNNIzIee1zfah
InQ8Tk3jtoil6KTnPPkjMRvvYLsW3dFQx3Na9dYnyc/lu9rXxL0giFDUyDGs3O2gIJfiR9Bie4wo
rpTpNshKlgEdxFvkOUcHbVjrU1yhHTyMSX2cRb4PJuphjtEV0g3/a7KVuPWdtgjbXaI0GSRooL55
zflI69WljSaRbkfNLKuqNjJQKQJ5w5tah5dN5kh51Oykqez+toMhHGEI0x1RCc3blLamh67U1FtU
G3uKJHHg+PCG3pdVlTieCut93PXScxyIDTtLGQY77EwJEqPK23CSK/cMTCVIy2i0qgHumx3Mq3um
18xCTWsdNdgA9HvyWWj/dENBkRsWgf5nAU/AdS+yQpxHX+Yrg4vLVAmQbBYAaLpd5Vbpt0H5mXmP
YXDSlDMJT7umA77bgkWvecnXNheui3jKN1sBm+l08qkLa2D2D9fHtfJ4AIDJsSOVj9LdkmExjFow
8ppnEJU0u44Xslccr1tYGwT84gbfISHFar1dqdiXlWnQB8PtlN8wpe0NeJhGvd1an9WBzG3BVFcA
ZS43xCC3XHc0sblxpgkHNILzU1XA5im0+c8B0ug7uN+VL4mqRw6lMdlBMLraJVWUHWAPL3aMoD7T
9GC+P1CG8ZAuUZNtipte3AiwuMsoczK/mgmBZedAVeA0W0iC1SmeGzbJnaLPuqzsF7GWZEM8j700
/iLq4d8DAIigJERF6v2LCUUqcLW53wA2uLeLKbSJAOdnp7l++ZfmRr/ZWeWf6ybWFvK1iUVAXhRJ
owwWJrT72qR5F16Q6wbmDXdxcUJ9yXtibhVesir2kdcmoZ7Qwp/k3/TemxwvH6iThuKzVtVE5ZG/
u25RXfNWs2I9IQ+JAYhM306bTzY5DqbJdH0zKndBP/WHtiu/iG0iO2Jo/K7HPN15tN9Ck9UrjllG
8bHJotbuQqiHJ0v1H/VWS23qHGgphnl48MdafOAypojsw87cjVDSp2ks3ghmpNhGWZGmR0abHKY1
OHmYSjc5nTloR1r6HZIu+tGCbHQ/cCs9hxOciLogtAcV4aS0QSjBJ827a7Oc/89biLxoPJybaEhv
yKYOZCUHdc+tIh460Zh2KnrlXAMdl3GNQpVZKVvOd2P6ls0V+iArY+JJpmsgWBH13pe+K3ehTlsS
vSTHauwcWBC34HqrhwrWJVCspA8vSIFzJUdOzFcx2o33Y5E/66X+iZ4lY+NIre33mZn9/+zMg391
k1m+WA4ZAuFuz3t9pGVKnd5PoyvBKv9fE4vtJ1uJGWZkQd26eJaTu1rDN6gfA+Kx6/t8Y8peCPpe
DcVoRj9TK4bil8+tLhGdfM67jdbTlxh6eXxfDWb5dCiRW0wIPk23yEnehdmnRBdsWa0f2zr8HWf6
R0Zb2lGpnmIlfIgi0dbyZjdqxUYEsj5Y7gUQBHTLL+Nvoc6QWddr0wW+5QiF5KRRvYPYY399TlcD
D82anzDke2eiz7f7A0B7FidCb9KQA5VeVt4muWZ3knpSR+Vbpam/m2g85VN/g+L1zXXba0MkKiA6
IP17ydvfiJnSIS06r6cjQP/O3nz6Fwv6LHow97Iuww+5yqc0twrT1bNHsU+Zw6es3uigWTtgxB6A
IglCwNotAhDRa8SO4NZwUfIOukPjb8zSSzP1cke+NrA4wZpg0XPXjGQRy8dI+JaaqPjQh2vci/Gj
6e0BqsM2depbeh61B8h1hrix2/739Zlc3Sevf8XikJepIITDxDDF9FFEYS8KTLTS93H+Q29NJwv+
SN6xC/5et7oxt+oiHogHuZLANBmukeZun+jPdWJuOJX1gUHET/jGg/eCmaxMA4QDg8iA6iV2y3KE
aAPIgpoXrlZ5X7Uw+cG7+2NTeb8i2dyY1RdEx8XaUjpCvGLOrS9PeWCIXg37EvFxq5Si0yDy6hiT
V9+Yrdqe9LIIHZrNss9JOHpuHfBobacm2+tiQwrR8xGNLoRfNcxKDoCUbhf6XnCSOtlAGwVOsWQ0
0n1hyT/GsdIpJFvWvrUgswxKUXzudA1ASyQggzyag10Vnkb2mJ6z3fU1VFaPOSULukeB8lx0O2Qm
tElaYBiuHOMo2796LWT3Xa/LJ1SrpEMepbHT5nrglFNO7N5UJv3HkPNO6mixn4X0bJCyOqZB2537
0tOpYE6G8E2MQ20f1a1QO6OXWjYlBA+yXhGga6iLt8PgVUeJdINDj4rggGgob3mlq/cWarp2BIry
g+e1+b4QSuW+1KikJohIPlvVhnt4uTCWSwztJVrj8CVQtlscHL9pUA5KatKkGQmJ0vpZjdLXSVOf
0yZ/MpqYAqV3Fs3GJdw6S0IFLE1BE2aiNzuZyIMoX1MxvmmUqLNL1JwC82/QhYMtKFsnYe2wzc0D
vENhJTSXzlLXmzbSNLLhwngQ1Q+jeb6+EV7knJczMSvcgusiT31RSRILqWhkFCfdLCUP5PSJrao3
JAli9SOyI+U3MT8Uit2EjoggebPxUlob3Wvj85+/Ch5woGNVKI3lRvlU/rTKJjmUkSlvOOs1K1SB
WRUubYg/FrfpEDX1VBHEueGU7xWNPsd3A3ApA7+2sBhH2KjZqEm8+MQ23KVxvROQIjOy9xdJLXrK
qSbMkiEXUBktCFCHoQnONWHakpH+ngx5w8S64/2vjeVjr0DKscpazXDzVriFLoOMsD79MRGPsmEb
cFUp2g+DcJt16JgF4bfrm3El3f56gMv2ebVRrRQ9N8MdkCfyla+Gfoa3mVzhBqZ8y478dttNJWhJ
KWGQpel0CJ82j3m5k7f0l9benDMIgfwH78AL2jKjDtD6KDPTbZ/zCRQRlfvSVrRsF20EVKv7+5Wh
ebivTlFUaAhg96np0k+gsE5brBlb318EU0Gl113Y8P2v7ZjPIKKNx/na9w1y9WRKyGUgKvL293vm
BD1QnJuuVHmtnVrNYyPE/xC5G6SJKWajenCBoJDUIVD8mBOa1TsxffK/Ntk/rAL5GGpS4OVo3J1v
3FerIBSBH6CmYAAFkW09h8lP6OT/Ie3KeiTFme0vQmIzyyvkWmtmV1X3dL+g3sZgwGB28+vvoa6+
mUyDElWPNDMaqSQiww6Hw7Gck/zJUk3YFRgkAEuZWpRHXxFgtm0DQjp+GK1m56+xEi1uBuYTMUCN
VmyU46/VMNM4MTGqj6cWLXZW/T2ia3OoS+diismRiUFybIbzogs94aKI/WeqH3zzB94iW5be2dV4
SNeYDpeinAtR797uYk9AH6mlqOGhlkwfDZeDaDNorJfbTmtxwaZxbbA2owSk1n+ErxceCMD9Z1eX
JxSUT7JxVy7pRRGA+UA2E+3ds+4Yv3YkNUjnPcc6kptVMCZrZeM1Ceb1roOlxc0qigdnmYd1EvxB
D/UEgzXVNlFMnaG1xmPbp3mEXBiSVUP3u0pAq7W/vQ2LVgUuSDIhqM8hUaLS6DE+GEGE0FmYZj7u
jT7TN0Ze6GFVtebeNVPjcFvoon15iM8wfofuJdVzdaSh3MqQl0hlF3TkvujuB2/lubWUCLuMkRS/
kttegV5KBGgktoN2dAOjPfnjgWdPBnMCP14x58UIwMOMh4vTiTeQ+vrp8bASmFHA8zwywfJro+N3
ckSbmADzq0orA7yzNfCggB6xN0zhHREJV6+313VpMy9/g3KjIVULYoeu9QCK26FhCzD/wgbnc2wG
IjXPGVmb8l/aRzRqwDQxPouKhXIDdYXu+lqJpIct6i1nIkiiaFNRueK9l9cW1VuEiz76itQ+vgao
2GYXQc5A+RMlMsI4UHHf+BbInK341Bbu96IYvjURmQYDVxZ16Yx7F8KVM643gMkp/ARNhKP3yCp2
9Fm+ElgtjYigtA9gJYCWoCdSPRCpsDWeVq7zDMZJn4MPPLrrh7MJUnawiPf51mz7bWT6oeHQfWOs
1USW4jo82IE/itQVWkyVu8v3mhqJVUhHG/XOGvO/XUB1jiTa5JlYS0lOWQ713XQpS1lNMFLD8Xc+
2ilGFFdRRNw31H41+fjaNCwO6FCgotvu3EHfjw2istsHZGkvfQ9cMSh+QVc1DkDrS9SYTHOe4+G+
frOalWfA2ucV5fQoq0YW4/O2SIMdwX9u//z5eQPeCNwLon1s06w2gkoFMvpDj1dG+Ys3fTjkB6L9
vi1jrgNk4LnnmtOVMEsBgvEM6Tk0zj+nASMgrVxx/XNbu/68kgB0pFlQQJg6z1asfQXhOhgjiwcN
LX7CKT/8fp3QWTAbAYjg9ybJ68uZWaNpCiqd5xFdXOAODNJft5dq7m4hwNcxtg50tDnpgFb3KeF2
i3aZfI+2qkCM3wAhF3TlveWtudrFbbmQpaybKMaEdRQt4CYwzdGkvyH+9rY28wvzWhsltxPXVTPE
DrRhNQBmN7xpwho5K9SFnfb3aq5+SR8k6TFfghQKZpIUnzNmbhO7A3MAFG08iMjfj/3rbX0wLjrz
NeApBE4TrgfEULNyAAWtztDY4Fx0Cl24uxQE94fcLNtNg9u6DgfSkiO1vBFD63312rtdvGFo4T6W
NYb0Op+Op0ET5KiD8/LEeRnvqJfaX1jChpeCN3IPD9Z/wSgJ+YRoJj10RpQdSsyNByPY00Oh12xT
JZjlCCLk0rYYaBbbFIWfF1CHYg+j2N5HYE58EI3o9oWbdYeMm9nGc5oEtECxt+W1y3ZWl/bBCFK1
uxSsxHHoDm16x9zua1U5f7uQfl8bmX5qnCrd5Wbqb9Fl/nUUerOvMtZt4iotH7TWHndDlNr3bSFI
F0SiQ26qK+RzNjj0meR1Go7orQyFb4OfLWY/BuA2Bm4Rg9qwtNqNLSLtyZe8f0j9BCDYXtOhQSct
d36v20D474uNA9LZF4vZWSAyHWxkQxsFZhLHWyAnWjuJ9OinqJ0IgbrU/RxpTrGLWJMf7I5o+wLd
q/elYE6IzlzzKFz7rxLFHHRPeTZY5UZ6Rm65CzWKjiqjRg+oVxn5vSb0HxTwnhtea6jQteNvfw2e
eOmE2+hBnR7YwKZQYbdckP3ZNoh9T1FHdn6W3mPIE6M/9psn6z03upX7Y8m/owECNxR6BubIYo1b
G6Q3CEhC43iXa3wX1fQ+c9caTxfFTCRQaLvDv+p9TxvdifXRoSd7MNqg4PEDNh9IWR9vmEFyAvSZ
mHmFRiiqXjvgjsW55RYYhCu84qdNwCPRGNFK6LTkRyb4ATSZIgidcc9UjZnrrT/RMYGTxLRAuJyt
pEBmNxZwYQDpDDhH5PyxL4rnzaltJSXYv0/gaw8q45PnPeb8W5quuKs1MYr7jSQ65iwJMR3Gh4j5
yXKfcNIDg65NDs5setLHQfvVRB6JA6QIKhqTu3FSmidWahsp8n0B+pTSQ9sikskBKif72354tkOT
PCBvo5MbLwSE8NdWkNICJCnlYJ4GM+wTIMCmH543vZag1tLzCg2dUurmiXQvQ/NG1oilljUgUxQB
8L0Z/wxii0QQbpmnnIPmhSRPNWMrUyPzwuikA5YI80PIhc0mYaJmqJtW1MZJJg55jQafbgHHp79l
gLfdFKWTfp4uuY1e2uVrp0l65KUpQ2a2iNLzxNhWcVK9caH7j6DgTt5ub+GSyQArB7l6hJ7gWpwc
ykU+qBo7i2JyxjjFVrpP/NzbYFLz0YyqIWBlfo8q14cTK1gOE6MG4Dj0ABmoGqmGm0wKR8BoyJ3Y
Ne3htkJLO2qi2Qw0FegJnvU1eTk6/LQqtk4OdzGZ+iNOzfC2hKUlQ2szfj8iw/nIde76jZ24kXnS
hhMrvhmoapZ1A7qmu7bvV2QtaXMpS3l2yByt1I5OoU0cRrw+ZGApvq3N/AWO/bgUobz0q54Pkrua
eao89CRqQIB/1IQZTVO95tbvpL4jYOY+FEyWQe3kYmtYxVpr05Ka4CieQGcwnogGxWsr1FKTptRN
yKk0tnJDP8xhDxVR0QTuD/Dn5xPVVV9mMeMDOYn6QY/PRXFfV4cEnL63l3JRC6SJ/n/OEtmvay1S
0Im4jFrklFmhA4IqfWWrZpf7pMaEggm8GQxEqGgTnahZKvqanPLyyW3exhFFyD/w6Lg+wIqDawS8
i4o7EE3JurrOIMJ+MR86tpIjWNQAbgbolygHzGBcJUXFfIhycmriH6InIYq5aLFe0WHpukWTCyqb
4OVDaUO51W0xMkCGY7fR5j98EnTD2XZze6cXRfjgEjXe+ZzeMQwuvGYdVTFCh4icnGjr5kiOyQSk
hz+78vttOdMFepVSmXb8Qo5iUW5Z0bgcXXKK2RvaE+N6O2LAgPVhMpRACG82Hjg4b4tc3KILkcrq
meZgFQXc6snvd4kdOOOOdrvbIpZXDxlcpCDep2qvzwku3AQNmR2sQC8peGncLY+BBNSzr5r9YXTd
9xX8R9asabIVYLSLJTnhjXaIQXPQ89fb2iwt2MQSN2G6YlZXPfWmgQiisEYsGHoh7OKT5pxSEKys
CJm8sGoJ02Qr+lNQ8ABB9PWa1YOLp6o32iej585zw90+GOIBzNymNrZlQPr2J+1KVMAifQTcHSh0
k57dpeSxt+wInVeZHYWOyMkT9ZGSATZ/ZAPSf6xEUEiDIbzKree6JtZ2KFrQuSYS7NGdVQHz2KD2
CWGI81Pqbox5/26UgZRpspOD4/xV6ujFpbkv8aIDklpnCfNT2aEJhJpl1eOdGT35iArLFsgBdK81
+8zV29+xLBlyoMkvk1T0c8wNviXdwMOitAok02V2j0AqDfqx6HcAWuoCHxfuQY9Y9uP2ui657PeG
FyAUoiytZmetrHWbokydE2vuPP/u4zg2MD8UDk0AV09ELur3gf/TD9yGL4qkt6lqbQtIuiMDG/Mf
qHEhZlLzwh8Bk9dqEgIb1EXY2hvwY97+/pKNX6ox/f3i+6NZpZSb+D7BpdA9EfPcrmUPl0Rgng53
P4jTkNhTXpSY3PJ5VbrWqUrZNy1hfwnLboOhsVZuh+mgXB8kZJMmsgsE4iBxV6u5hjY0fZblNi5p
6h79VrOCWLY7OeZRkDXecJ8Mfbupyp5sb6/hkqkhA4BYHpBeU+bqeg1NXTbmWLr2ybF3pXhZ5RFd
8qqX3zevv+8W/TT8ENmnWD7gH40euLnzk81/00KJFmN7tK1m0iJ3Qv6pddf83Gx3dPCwT23aqJgA
VUtRYtD1YdQJlBibYHBeG/6G4cvbGiwZGsZ8MIyCNxnAQhVbzlnr98Ic0Dk2Ah4pMwdMVzC50QFR
cFvQ4oYAnRlT1RguQibjekOAdlaMhEKQH5X2JxRFk13XR+z7SCl9RcKf/8nWeBYi3QmYC3y91/KK
2hmaXFY4pNErebT6r7fVWbTfi88r9msRNBB7Az5vGIFxb6515y9+/r39GYcStWPlgrNH6RfTSOWp
BzJsdWBrBZbl7wOiDbhNHiApFMM1HYyd6y48sbwrNBpU9PcfLA86c//3/Un+hYusTcl1rcH3SeBm
j37x0fwhLhK0U/zzecWYGr1BInu6SLovngxQW8uGFXOdvnDtGIEugAlh5NUnfK93UtwLBXDj19E4
4uiV3rE09laZ7ttybQxuaRcuhSi7zCJJKMgJ4QT5vQjTYSWht6iDiUFgFADRraPi45bcjWLPKcnJ
ArJV8VCbobS3H9/n6YWHMTNnCviUY6DXJa+H3iN4Lh8RKBV/osE0kI7qCSYOVPCvyBjrVDqlcwL/
tEzekuJp/DDzCEwJXTMIVUE4BLJbRQPXzUH6ZCPmMVjX7ezGq7Z9XxWH2+u05P1wj6MVBHcekoSz
8+aDSQMx0UmjYxWAvvpx6OK9Tlu0Bq/hMC7KQqkOuVzMPM5Q5K1B2gylPMjqvCoEhkZ+lxjoqx6z
rgGPhxVb59vKze0MQQQm3EFqhFFDTDVeH/aMADUtzZGvGCc0snjrYs4QKaDbQuZn5VqI4lHGLAcj
ewYhrNrneUjXujHXvj8peXHgvaTMrWj6vv53V72k9cvtnz+HVwBkEohUJmZzBFyzbDRxMoEFZLgw
EhTB0PDeT4O1lasFom4e8t7a4xbGoOGEyGZ0/Ic2mrvbP2FuF5AMK/McNPUDXkF5PgNRRWtZ79gn
vSqPlg2AaZnku4rnL5FoPuwXDOgJ2lA0rBAd/KTXq9knqZUx9DWcmvoIWuy1uGvJ4iYCLWSxEEHO
yDsNkHnbeVzYp8HqQ497G4DI7fxxbdxvnnCAFv+KUZudE3Qu1d5YIojUssbdCxLlJ6s3+GfMX5kn
mpgppvOyJjmORSn/dvkQv93esiWjnHqskDKHxaBZ4XoZ61yLK5Zr1gnYazofQl6vDXqsSVBCzA5k
d8h546ERv8qJB+L43xRQXEPU/E8BNrJgKMOMjyt+YbKk64sae3SxRIpfKEqDuajxWai6xGEmdkaN
R/vB/u52a5nuxaVCnIxKH4Fdq0DdpSzSmHd4KxH/h3eMjZWZk4XKCDRBlg6RDXp3Z4RnXY5EnfCR
bYzM17b5LJBDsfcd0igOxRCclKH0Row+uwGorTHst2udOHhiH68x4VdMs324qzD4oiZwckmkqGKk
o8af3MZ749PHDQLpVOQiHUCvoKnk2qIpsGzzqOXkNOgnjX0x1grZS5uE8hUg9A0LcY8akKQ9Wglq
xBOnHpWjoC5W7HnhvYxpKNA8o2MfYbOn+DU0FViZi1mvU4IMUmb9GA/aN58AbdMeA4FRgduLteDm
LDAvYURgWrJZ74hWcQIiX+GfqIg2ZbTnXrnrIy28LWVhybBUqJBOIRaiXcXJ6LK0NQ/Dxid09AgU
RvuP1zMAs4gcPdz1xJHkKkdUxEAPbQuMhOXi808pXm///IVFAtbvdKcCIRbNBEoQ3WB8zkq55GcL
fRjdhlvf/G5FxMIKXYmY7omL2KDIc0ZJDxFkp+EGqFamnBZcGJ7geOlPhdc58JHX8LxEXToHaEh3
jCM3tI1Tkp1ROQj1cSUIWJOl+PtsAOEIMCfysxZvExPqhNp3N35c7XpfineulFI8v9H3tmY0TX5u
i584UkGNKXZLPCaS3jlefqAZoHI78OkMYC+tO//DMyNo+kBGC3Nr6GlB15FyUEEVKrWc1hhDJM9l
4LYrW7as3sX3FasbbKARlg3IL3WxI9Gb6T0Q8UiKAzhJgiY+lvaWJI/22rzCgiFO8y+wFdC6ICpQ
DBHvVW9wSA7iv/6u3Lpi5Vm9aBwgD7eAezflHaajdmHnvpFYAJvm+Zlpj50DDAz+ytrkoAPjeFib
sVpSxUFeBr3hKK2h2flaVgV4pJJmFE5hCPUWA/kAffqwY8AtihQjws8JUlZZrKpCX2kyeDhI8RAY
zWOFLJpmf/24EGRKpjKEhYSEraiR6VXXd4mVneMuZEaYJptx7UpbcHDoPP9XxLSSF7tSJqSSLCfZ
ue1AoNu/efV9hVLHbT0WHgdXQpStx1AEz0UOPaJsA1iaFjAKYMBeK+AvGdilKtOvuFBFePkACGE7
O/eyDYv0Vw3wcmr+TNje8VY2ZvGEXspSPIAufVFqCWR5ozhQDBFphrER1A1kV/6OW7lrvPa7ScWG
+vKkAZ96ZUXXdFU8hFvmsW8zB5SmdRKmyOBVDXh491QcbLbi1Bc3D9NYrudPDk9Nk2SJyGKzx+YN
dh141lPlhr2x+zguFHwqOBr/J0aN3XIUVoDEDTEtBi18TEE05kp30KKpEwTBaKd7b8O4to/E1OI8
FibWDEMOVhpI74eprzi5xcW6kKHYoIX5wbSJjOzM403ihgylO2CcrV0QC5pgQMZE8QaxyaTMtSZW
LQra5Vl2BsBn6LoYNhpf/fjD6TGE0BdCFM+Aq0LXmyHN0MPxlCa/BvNuHVpl1luMacFLGYpj4Ehy
oxUL4UjZ7B3AV/gB4qza2MVJ6Pr3nvu1Zn9wt0Ik5jRAOQoOdrVts8osXqUCZL0tKq6k/auI7hp6
L0f07lYPjvu10Q+avtHj7W0XON0HykvySqwSGjHAWAEMD2LrJgtGWDhKrkNoyqBvt425i+y18H7B
EvGUQOQ6PV9xgyg2khI/NZD0Sc9ohoaPAMIgG0MA+d9Wa+HJciVFMZLGK5M6kk56RknHlEfXPtb9
98ovNwnTgnr8cVvaot2jfIzRChR4AQ99bfed61SiYFp65ubfhv5mFE99sdIJuyZC2SfeF5jNLiCi
qHZt8pPlW334eVuLRVO40ELZGXQb1uCex8HCk+Ng8G82+4z5r6DsfhH+JWN3PFpxSms6KZs0SK9j
wC7Kznrhbsvye10fOWgzb2u1KASgxugDnKp9Ku6cZnSdjLwB3pXccwC/IN3I3T9R5EKGokiO0b+0
aUd41yzkZdAUG66HH1cDT1W8LjD1AEWmzbsIIrgB0kI0e6TnIf6U8aBMX/qP9+QgR4/kBFq5p4la
FVWj6aUpjBxMZr4WtsnRFIeie46Gte6iaTFUj4OeSSRDkCadEDauNdFS2qGXpkvPBCCA3SHXP/3B
Sl18X7nqUr8kgDGZvj986eKvWvHbaz7cw4aVuhChRFmYBe9Jz8CS5rgb1j7lycb8MHgGbqBLEUog
5dRNkxU5ON/GekvBsmMBWCVZ88ULZwPVHzRbuMiQz8vFliONHF0r4gzkm50h9U3p3QtzrYixJAWV
OKB26a6F5kXFO+aYOqIRqcXZaO6EcbDFUcYrB3DhUkGA9l6NsdC1qFaaOg2TzkZZVzDdDkA0hxQk
IVXyK5b727a1KMdHcd1HHxY0UTY+BlXqUHBZnW2/ChrpA1i33XCMxNbaX7clLS2ah3sSxTlMUgOc
+vqUoNSeA55Rr8Camm5K9j0hTtBwc8U5LnT+AhzlQozi8wG4Z3px00Mho9zEjKEdswgGDejCFlCM
20Mee0EvrECKL/9NP8VlghKnH6U2VucMEU7vPOW2GfC1RPziIgKj0wSryvS6V5ymKwh1ChB8nwHx
fdcl/X4c3qLq4/Eo3tkTfjh6Gf3ZFJHdNCUIApvqXHzWdWRdzhG6QW8v1oLLBObWhG6NtAHCC8Xs
0Epk+YML8+5TefRJtpGWWIkv1kQo/gbRktUmPkQYufnTpsMvEz1+t7VY2A0Ugn10R+AKQ9u8Ymtj
Yra5V8biLFl2qOr8yZRiB5LGFV/wno5WLpgrOYppZZmJrka8qM5Zlso7jMr8qjrX3VgAsn5I3cQ4
on/JDNEt524l6aMAACjeY2O7v61OJ2dBdXIo4757G+nE2qZxgGsKm217x/2tlYAitXxJNpVedvf2
mGfHyqa/WYuk3mhrr44QdlhbjIf14H1Oug4+1bVfRp1Ze024/qH0teh1LHTz0aNx9tkGXmfo1L4Z
9EQ2m0iaSWi1AgDWIooCo9ITJFhaPwSwAIgKHF7tRMz7sKaefZCA4d7xjgwhAgN6MJ3SAlQpmFU6
P4lfC5bWxzE39TDuDfuzb2fNVsuF+4p+xxqPGr390gnehpHjtFsaVz7+6uvPsVaKe88oo7D2DPrF
16mzsW3Zp4HdWh3GQ6b/pRgE3BbJNgZDhNekd5ivJ0EV++1zVdgco4wCiDUg6woGlyHJNZjavtVJ
vbUqrQ0lBwAMzYS/MVp7DZVnwUHjBILpezotSIwrd40hmqEoRVyc3eJrlz7X4xAIvJrWQuU1MYp3
HsrEKdOcFtPtnAONNn2MMa5T7G4fmPc8mmrJeMYgVkKnIg6Mcu5lTKkGKynOuT26h8hO+1CgkyHk
gjMw3w3afiSJtjEFRxNwJ5LAM0FHNySOcYeJ0eaMEczkYDVt8pALwHK3mAu8HxxA842dsD6BkoWF
GGm2w0Tq6He02mpj0iYLC68e3oaG+Hue9GNgCoGdFOX3skl+dy1n+37w262me/mGCvCeVj6wJ3Qy
6mEpUQ1GlQg8VrkJ/HQ8mQLD7M921MiA88oL6ryLV57O0yrMVglhDJwKwBWAinR9VRat9DzW6/yc
999Ye7QxiNuKBzsudpgCWgnD353ULWHKlnh+rps+gH3PtvxWa/cRKcNU+8yHyeDfCv9ZJ8Wutv8G
EuQuKf5idMUklgwPEcE/uipuejDB8qlHEN+jx8w64FWWpZuxX7kMFqVYqFkBugdTl55yivqsiETW
e/w8ZhhCC41yn7YBcbe3zXvpPnAxW48SH9AWZ7jCToSJ36El/FwDAgOdDGJXrHEBLdxqaCD4V4Sy
XONYeHbrORwj729p99V3V+7+pYUCByrS7YC+xbStEmDEaVmj0FeD5zt5toe9FY7DvmIrLFBL9o3C
K7q10OyDV6yyG36cUR0pf9CxA2J3vI9Aa8iKzxl9Hbo1cvlpPVTrxgNwIjrDaM6sW8YGIxy3Ux/u
c8pRF3Qz6K+0v6vlz6I55GSl+P/+y2fiHMy3oE8PdJqqfxNjko4YwOXnLGq6wOlLE/UETqoDflsZ
ZAPmGGLSIgPGebwbQNgAWGGv3+f94ASRpmUHX/OMIGZasvP6PL5zrBYYoQQcqOi9BhZxXCJ91btO
+UmIRr4Zzki3DJiHTzUR/JNei1fCRLq16+YHkVn7mmeJ+8odByxlpjccBwOp0oTUHOQvGHLetNTv
f1YJa0Kui2gvnQi4chi0ByLpyF8BM1CvvZXn9jW9xRHxIauJVmiVXLzpa8+VlozP6RgSsc+Tp6QN
uPXl9kGcn5JrKcopGfrY7c3KghQvJPkh8je3vz8/6NffV05JDbDegrqYuqvHY3di+XHoV1zJyjqp
nF9tYUZ23UODXr/zwJCVBl3/u4z++rAeU0iBwTJAIk1e5fqiAdOzB7Og9NwUgRhCdMYOH8b+tIGT
Z2EwYRp6n8YgrkWAWymxy7jVTsCyCXz3l9CH3W0lFpYKBXcM3eLzQAdXc/S6HelgN7Wi09CDcjS9
99mL2x/ydu3NMncl0ORCjhKFG5bmdTy3o1OmfcMDJtT8s+kDSMJPEEt8M4sPBwHX4iYbvMiPmR4d
QAMMcTpQaBkYBvcy/5raD8ySKyHA3JoxeokHn4eWQn+CPriWFAmwysg00k/EOWDGyuVPTbtyYOYH
chKBi3GaFp9fKw4oYYve4saJm6FL7W0Ts/1tK1iRoLZ1jaBPqPN3CclX3wn7tYt3aZHwHMZEFQbL
50P1RlOB2ogPGHinzq5Nyacylwet6FbUmF+NHoZ5pzODGAI5S2UvSkb0cUwb41Q4/BDlzR6cTuBW
EdsewECiblfOzqJWYFhDIxT6s2dzI2M5yFzW0CoHrREIigOP64Gu/7y9N/OTM/Wuo1+VoGMV08qK
KRNLAI8odvRTBRwrJvpPtQtSoZGPP/sIOexxfPHitUBmvpDT2PW/b3NFpkM5G32ON7NgvzkuSbA/
64YAF/Qx9teyjnP9IAskOC4SwLiv1el/ChwUXbCoPJtoznfkWWhfLDRKZpZ1ZP6DwVZitLmpg/MB
TbkYNQbQyyzIKH17TLDgxZlVyNYayRNrxPb2ji2LQKc7pieQtZ3NE42Z41A3LQH6PXYYmWXaDqQl
3uYPpDgTXwtA2BEGTnt44eJYBboTDG0W5+rI6AOW6r99Xr166piWQ6Lh8+T7g89/3P76/NrBLrwH
4piAnBL/1z8+Tgyt1du6PNO6IShBAz9dNLwCO7f2gDr+ylItmbOjW3DQoJFHzKyYs400TaL1MaQV
DFXNQ1rRoNGRmWOhhsv7tmrLwoDsh95IF15IyWvZCbfqrMrKMxfHLHsjSKBTHzAKIDyuvXxF2FLG
Fsf0X2mTLV5YgYYAxNMcSOtFAnpqUNRom8b76okzdV5E/pXqddDl32+ruHRk0X015fCnzVPvPCPu
67bp8S6w+all3bFq8yCytbAZDsmwz521Z/a0P+rD4CKNo76rZGS6oyEjPA0RsWvyYUC4gnrxbaVW
hKh3YEOrptXAsXuOa/3epuzYa8ajiMa1we13hBpVG4SMExY6+qhnjFxlSnNqZC4/R0ZMN14OIslS
Jh3YiBzAGg2R7J8MID1vRat/ZV2ah3bknPWYZZve6rzA4Fw7Ajwm3uTce0F1MN1YLWWAUx+b+462
b25WrPXxzDErp1TKxW+ezvOFmRlmXhMjx+McfRB73mpf/Ca+j4Txxcdjq7K6kFcy8O3hALSVBwZO
wHZcy95Plnxr2RR/J/0orROGZdPHr5p2Z0VryJhrAhSPRzrkTeNJx/YzcQGi+uFAEUt4katR/AIG
yPKmRIL3XAi+IeNjmX8ChvyKP1jU4ULI9PeLfaqYh1EMHUJYHkonjNdGJZYOyaUSiidNirKos0kJ
2wN820bmQJ5dWafZ1YAbYTrsmKaa4jg1f1fWfmz4Y9ycbbtDT/mRxeBUAOTrSpvVbKUgZrLod1QQ
5FOUJnz8hiLTwFN7lhk2uwBix1qhc02CcscNZln4YpIQl+CURI1+c9thLX7fxOjq9DycWr+v91rj
rih0Ztbn5HOh/R6KFSc/2+ppgYCYguw5Hocz4DhTZFVX6qw5m+xgJyFY4fO1eH2mgY3EC6ifgNmI
/NIM/KVjjYxIK7QTaNc64KWsDg8sCpiANKfpZzzSFHMtI6rrmZ3i1flQ0NBca+qfLdH0+y8+r3hF
IXguO4LP0wzVixrVoV+UHD+4y4oMxe3VbULQqseiU9RaAanQj/XxmR4sDiJwMKgg+p7tgm/VVLNo
658K+T3ytnmcrTilpWW6FKA4Vqfw3dz0G/DWVIW+q2qQI8BT2g8lRo5XVmtJFN6YwLOd3n/Ynesz
wS1tYMIs/JNtPBpAphTI+/Xyw0+IqbPL/f9XPzyVsu2SZrFN0Vh7Stw23rZGV9xnXOP72xu/pApS
fBiAR3oTZqbcF12epm0PhNKz1w5oMKD3LuYjjfrjYQ/a7jAArwN3HuDsqpgEHF15n5jRycX8r9/1
Tww9Vz4nH/XqMGMIIGg6BbQ3pnmuN6Y0S1fLLS06WUO19VCzJE3yBPivcGT8cHvhlg490qOIvw2A
7MExXotC7G1HXerTM+dcf8l0ar+RyP8w6RAUupSieF8LAWned3F83tj1T6v++Qc6vHtfZObwvFO+
bvdCOsKo6JlJUJX4aCncjJRH29tSZlftpANQeQHK60x854qJYdZBpo1LKFr8/na6H0XztdS/DR9/
603jvshe4UhiGFYt9GeStKzxsvjsuUVgRGHTmIFNik3D1uYgp529DhGvJU2WcRH9tMmYAi+EIbMM
pF0XgymdKVEZ7ZofHFAbzHRf8tL89eE1nOZQgCyIJcRbX/HPALl0TBnB2iQKMQnLgpTsdfmYuGsU
swsxOLS7kKTYdemNRm1WLvLNQ2puLN9BNc5yym1ta+Ql0cw+qAGiFAK5dAyZDl7HogQpQJYJawti
12rNqy8YD9QF2wby9RMFnGo8LOV5rNf0XPgkRP1EG3lg2V8t/+/bC7zgB8EZj440UBWCtUKtChmN
NI0BJBJnw0HIb4GydW/6IPHmZdLsbouaTtXMfi5EKSvcZJ7jd6Wk51F2J01KwE+NGQvMBkBA1RiO
IGsbR7DTddVKTW/RcFE5BDAC3KOlHpGcldLErJh2SgnITsekRN+wdUZYBhpv8lmX7TcvquyPX8vo
7wSqBNBu0ausJt4GgSmn3i7pObFQS+rLrZ6LTQTivduLumgnPnKX78BXszxVWVi5LZyYnjOkS8NR
1sZTKt+L8hjnBWSCt3JvLm0iWguRFEVv1ATXfu0EfDHoCPvg1DBxUN8BcsLZOVQWT137qA1bJrbc
KFlgDEV/uK3okqHiysErz0fJdDaQz7uRm3Fm0LOFxuJYJmkgnHFr23RlQZflAMfwXQzm+q4VjLy0
R9gMj2OSHemeqvZH062osrRnCMz/ETH9/cKRIi7DaFxK47OokJijP2v30SeAA3+9vWILNzXW618x
iu9s0FWpDaWGECfWUDvN0u/APw9vy1hcLTCovu/IvN008/Qpa+LBa3rNdnQxAUe2eRuvSFnU5EKK
eb1gQmRtKw3siVVU8pSOVXbkHuDR/5suimnXwIIp0b4OXSgGMyTmuboCj+Qmc1b2f1kdULNPkFvA
3FLDj66jgozT/g8+iqhkb8T1istb2hc0YYKUHlDRQHlVdBGpy8YaDBcnD7FhYNQ838a9fHYHtKjd
XrUlZSZ8RDDAQxfA9F7vjeOWXpy4HI9AGr/ktoMilLnicxaVAZosGhfeZz4UZeIWsF7IJEenvJL+
prblr96S9N5vvDX2mKWTiecAcAmQPJxaTK+VSSNhc7OMoxMwWUVomRXZF+CIQSxahk7mrSHCLCmG
SMJC2hzosigRX4urhqxDHxicdzXsGjSyOs6hWwXiWhMybeCFt0GjZGNJMd0QfpA6T2n1mK4NMyyJ
AFMzODxtD/1zarHEGgqQ0RgJfGa0db5H6Y78vm1kawKmG/5CB7Co+KbtohmgTVGlzaNabO0BkL+k
5WtNjWuilMPpSi0lUQFddDhLN9vb5Le+hvGwKAPnEgMygLWeIZTnPSdmIRCQxLits3uzPtd/kNiY
4p1/RCh3TNlZJB9LRztFvh6iQBMWa62/S2flUoJyVhxaGSYdoMSY7obeCBNA5fKIh9aw4i6XQo5L
Qcrmj974zj5Dz7mPZpO7snvys7v/I+07eyPXka5/kQBJVPwqqYM9DrI9wTNfhImicqbCr38P531w
p5tNNGHvAncXWOOqmqlYrDp1zkACywugXwGpjet7TebQUMRCCAggO0DmwszVxFtMrI0WVwHPJeeL
KicgM4CuCbyduU+7KDmbidZD/3OAgeaX0f58O/Kba3g5KH3wjNNFRDhPNoOSoY1cAEQJks18KIGV
zFTd3HzSxWDeJsDIobseb1tRo23Cio9ZViOmrtsKMiil7hw6jYxBM2rGESin9VBmbO5B9uFVCviJ
dALBmcfJOMB1JlIL2oVejoZTarEFpNZmNIGdK7ac7IAiogYBoAtBootgs8hx0819ocWt61RPS6Mn
t2XekGM1JOX++naTHSOw83MSKB9RtS34GyjUtDVrNy22Fzua9VfLgV538RXnVxHeSGcNqgO4aJCW
IGLdfBibzetybDsC/jSo2djR9YGovi+cm4FttK/SUYv99M4dArf79L99X/A3pLURA7j82MyRz/Kg
UvbzS/f0yQwJjqZPBn8cuIXMC40qAKl0/ln7SZ60n8bff5gWaVbQ/yEteM2ChByTl+tDlG47NHxC
JRqvVCRzzq85LfNWsJwzOO1pR8twAU9brdhuEhNId0LNG+4BoBoR32puxkIcQr14ncxI29Yw2chj
M/+6PhC+FoJ3OLMiBOwzKBv11dLcuKHkc+VX+2ZJ48xHlSOt5t9Wpuo7ldpD3AF6WcAQsL/PJ67T
3WTsncaLEzvZ+1NztFkR1MhVhVBNvzFH6x2HCQ9gUCGgYwCi5SJW1HY1UlPae7Gbz99Xv4r0dzRt
oUbngpUN68GhXUJw2MGPj97WuLGb3Jv0hayPrFMUoWTThpuIB9VQI4FC3fm0DQnawvI692NHA3Sj
Lo0HjQ5LMFnVF9tNGBJO+c31jfG3vijujFOT3IucRHKDSbqkyzI/nqf5oJXDIbWbHa28hxk0ZKjY
77XcO9B8/Dyx4VHflh20JJ4d9DACJXVj0/5mbVWvSwnKA0sJany0GoI9GBtI+E0L3Yif4n1B5vQF
jB5Pc1XsclbdjskWtXPya0nx47p6jtAPojgpEp8D6iDEzRBQQfAslhkXmEoM1/JjoKnHg+UkYzia
JVAAjeaHw5zNH1toiOWlzxTXgYS9BKPGl4Hng3Vgns9HnZcFQJeJ5sdGPVl3G5KYx2Wo9Pus0+w7
1tn5oVkKejf1S/tcLb2+G0Epd2NU42/FlpBOAQjVsA/BjoA78PyHLI6bjVmPOp+TETvsi8EK0q2F
Plq+GsfMLdi3qish32TM5l0KfsnII1Wyw8yVUd311sdkMJsI2KM6TNqlOxhYyyWgvdbd111avF7/
taofKxyZyWgJmbPEj01i05C27RpAWt35NK5zErajQw/zoNuRTxvVgsk8NwST/psm4eQY3Yy0wZQl
8biSyKO3pbNGmqrqLYlGzFMj/EecHM+FzonDGbziqgxcc0e9fcPCzX0z+g1bD7uL4wOQIRUTIIVr
TwCMpX7cE2vvQyl1yVR5Ufls/WeCCACEuU2nGgGwF89b8bmqtc/Qd3+aZ2UcLLMD1jkkQCzwbNgi
frSegQ9zRurHLH1OhxxQdWufTr+vbzq+tKLTxCUACLmFiNsXE9ggi7DKzYDTrHNUAQofkcHzdQuy
dT+1IGwuZxt0MylgodkgYHbsnB/VT0IULkd2dhzi4JTz7gpQEpxvLggOoN2k9L0YFBRh3wC34X8z
pl+bWe1wXkI3210flHTawKWIpg4uPChWkhOjhnxiZvhxR27neu+bikq1dO3BQYI2YcB50Vl1Pp7c
t5IEvXB+XEKJbOeUrEVE1fs31M1Vj9K/S3yxBU5sCU6yQgqs7Y3ZjxfL+21T/64bnHvLX++bqgWI
x36ah+w79LKDudGPg+1HK4Pil/t2hl/dRHIapxcQcEDBhSCf0UFbh3XFTpxAoRNYJbF/NngfBYZT
b983I1cpz0o35olBIerP897afHvDxvy0QaO6sb5netAdr2+Uv7HUxexyihw8yrE3/8qfnri9Os3G
Is8KPx4md74xpu7z1ppGuCZLec+KstnpYAmP+s6xPzlJSW7KaqsidyvbkC1WFmeU1ZDu9BgUb6rp
YLVdvx/IxEK79ufQH21rPxc0iRrWmXcD7ZsARQ6qGIQsmEMMA6IEvMjRMSPO1KitY7+5SVyQ/ECc
o20fbb3b9WghLll0fcJkq3Jqi5/0k/ky5qybACUDNKdx22fPKJPjtKb0l0ebMWxZlyg8h+wku8hk
g5MFta4LFDt6GYwcRCC8j2ZvfGsLxUGWfp6TsAAoD1yxGITZEF6vmwEoIK/4AJr2QsFgIqstQ/ES
wAyuFMk1es+nCx2+Bmt5e46WpeuL04zF3ep6eTAjPgtJT7+zLXHutdV2Y8+tvR+rputpUOkGe3Kr
/O0oRhBdQPIB7aaoD+DBdP5rxjSpt47XBghFIzE6ahWbQ+bm8aJAtxNA+gZQL+ff37wmH+2OIrup
Nd+6ZP5ct/VubJYArLngqKvaP1livccmCtgOZ6RHkCQEs6Birsd2xIactTvaR5P1pe1APMrw+Pze
6VTRsitz/GioQK8uMl+I24X1BGHBmroJjhrZ4s38mSMb4ZmqUEy6KU+MCB5fbxwtG2wPTVZjETS0
Ct6h0IGOKg9HCqknjug6X6c6n0fQUCDWW3cGufFUJFqy33/6ef73Ex8xGVOLmAuHii7kj5e5jyjb
KVZdtg6nJvjfT0x085wnVQoTq/Ho27fpfLAmxdlVjUK48Fy/oFtrYJKGB5299FTxedUIBKedTgSg
azeFY9P123RIvm21/gCiTkXGVGVG8NcUUpb2msJMVh8SEiUTSHEVLlpqAh4FZSAI3l+knf2hJnXK
XD+G8JanHZmHQp0ieSBdixMTwiggo96PwwATFK8sAiiOYgiyWw31K07lSjzQpAvHuiqcfFkYgxPR
D0mKEsO+3751KoU8qRUugg3uwb+BzfmmJXnl1y5ammPQc9DHygqGl2oMr9/P0sc9IJr/GRH84QRf
yAA+TOK+rh+o1QJwT+7ZsrwgNh+DzsMbYtqq39O2ROk0hGVrPF//BbJo5OQHiJfMwrO1Y48fUIE9
o067D0tt3801eSnTJQKr1DuK9+jldTjbr4MQVSxDg39lKUB/7cdjFkzrQdtCoim2h3T7gYIXfagE
KUaf//3E2xR+NXhNiqd/T919Ce331RkUJmRXJzqokIXC9QKskrADNzMDYgMvwLise+dbSofyI4rH
5l53R+M2nYrxiJRkHrGuKJ6urxffEGIEjJnDnYb32aXILjjnc9BPwc/VLH9Fae8JCi9Ru/RxVzQ7
f63MUHO3oFZScUpPAzjbuXIwuAnEvqBhJBtxpw3wgWJlx1IjCBMQVx8WR9NDZOT7/fVxSu2BMJWA
oxCN/oawiMaIWCzPkOvLyMc0+0P9B3A79O2n61Zku98nvKaPCMG5IBB0Ea6W5Wx6MaB1OwOhz9w8
zs2nvENVwVAErwpbYqaDIcefazlB7nv6UaafZhPC42FLwcXQfb0+KtkBOBmVuDvNVJ8dNsMSMyPD
C1V9aKrPm8L5mntHG5E2iHPv+9y9EoVPlH+e9yrghkKEKNweWlEiFZo4yAiBU4lzFuzeMzv/vi+4
XDZqZDM1fN+oX5O6gsidqsImu2LBhfd/I0C66XyCUsNL57n1vNhpHohzsJOdntxcH4T04ji1IXig
fnEJ3pE8R6OnN01hRGY23uLZ9GlotGfPnz8YVvVsFMyJmtF8hWKMwgPK/NCpfWET9ANBbRc3Z8xG
kJJ4n6rt4PduABFMME0FdH6a11/Xh/z3WhddH/qxgaDXkVxFhu18WqFWkGRjXXqxpndQTmr7xEE6
ecuepz6xfvl4dj5CuQsZ6DZLoGPgrtth6JMcRRkQ9aQtfWWg6Tqiz6B7dJAs37E23x4rmiwRLemX
Jq3sg9Y4PTI186Jos5J4MxRyubKY4SElIypTVN5kOWti4dk4I6FWPewa/JerAvlJTg6q07zxg5NK
XuTt9DUnBqOGG8+hnr56pYKZRrKtkfpHwROqN0DKiuihrXfWsV1RkmzT9sXOsu+rjbbaQa+O1xda
MgzzdJ3530/u735ohmHZci+2p9u5DaZEcbVIHTGYVpG74Z3pIniMdX4P8veUf7/bowB6mCEEvDUH
q2qizFL1JktHc2JNcGd4QgNHwgovLqrbvLgpVN1X8u9DsBPiBhbWha/ayWzRhnQGK2sv7nxyk/TD
J0a8n9cXRLJ7UYf+Z4L//cTEYK5937mZF1tJG+jlTyS20I37YVw+Xrcj2WAg+MAGRgoYhIhifQ81
o4aCgwh2NNCkl46tgTeqXnagBywV/lO6B9CtANIKbAB0yZwPKSe4Bvoc7tNsh/t2qvZIhtyykj5v
a3nDFudwfWTSRQIhJWI2B32E4hM+1cCVT9ELjUzvTZ8flc8I7vouXCPSA1CLQg4dPuZ8OLYGGYhs
7BHyTmvxe0VNOGxcLkCy6LN2MEbfvN1QZoEyUYoNiP4zbJWcOU7Q5cYa0KHVgpSUuiLika4nIMfo
XrXx02w+Kyf7ptQgvcoclK0309on47KHekivPb9jark8souWBXQ3Cheh5qb5kA+lH7veFDyM7aS4
6CRLhxucI3GQtkIvrhAuVNbIOr1HMKV/ywEs2qLrP192kYPQFuz28KtgZxRr+21Tm4Ox+bgajOXR
zukvYlWRU+aRl2kfaQn0tFsNO9Nlz11N7pptUtT4ZFV14MNsjmWxQKsrskOarACNYeMAA+J4gUvu
IdcXDuNLUXFsNdt39hjS2g11V/GSkXiVM7tCBLGZS9pqpQe77vrDb9bX1vCOi5VuwUhyFb2K1Bjq
BuAhwavTFZ+5aLBYmtUF0GW0RueG5msfbHRLIsudP/tL7ijcy988pnAgOXs0McCCC8y92A+Vdubk
Tm4FV4Ym7o+2TdPH0pyMZ7cixp9s88dIb831YSmTNvKh5rbfGtPsAx0hzj3K75h7Nhj9TTtl3r2X
kTnKMze96ag+ha02zEHbW1OYgggrGPvCDenQz3fU3oynxQKrB6vGIXT9xH8FCSbjCeoS93Sm0hOQ
OFEAeQBNwFUKaSWRG33Gu0oDNZcXTzN+Amd+nYPFetKtPy1VXEESVwLOJx2panAMofgjODifbGkF
jk4vzlg0DR0male4H68fRbkNC5BBZIo5Edi5u2oQkyQdJCRjb3LD1F/2VfdoD57Cn0gnDREgnDXQ
JBdMWb2eTHPXIbohWx/M1DomqfWAvtQ9LTItMFxNEU1JHQxvO0QTA9ItF43Nm5dZg5lOvJqrfYNA
0YuTtR+WonpaN3MAJSnF/ZcEeq/tstx6Lv1aEfvKHOipfSEAKuqk0DN7xt03TresSD+MtqvI88tO
N3oqEVoDIAXqdmF3zOm49QZOVZwMtXmr+Wb/sjSTd+icwrshdLEUcyrdKRBOBSYYoTCaus53ylr5
jdmZUOMbyH0+POQWiCa+X9+M0lk7MSHEXKiJJ03nwgTTk2D1f+oqglipgf/Pnonb7aIXAKRJzIJ6
KmBF+oMNfG6eqmAEKgvCwpcts7QOxLAxWfams1NFF9LPAw6FHJHFxfL430+iC7osC8i5GswQcM3a
OgV/rq+ArJSP3eSjVAUxLyh6iausaX0zewsgcPXBSW8nyLriVb3LvKBfd/OPZN21TVi6kfb1umEe
UYh3B1QrOe0EPN0FZNv0NnNsOjytS/2hSj6b9kcLdJpd0wRr8zpvPybV8eELcWGQ86iDJZrXVQXH
RzW/0ZcKcVqdV3uUae5MrbptKm8JSL+isapI7J0GwNv1YcrWD8jM/6wK6+f3Na0GcI/ES2V8rNbp
dWpRcL9u49IxAN5q8hQiAiv0QQojA0jLGU1t6p7AShoS536tPw3+p8Rq3jwWVPL5+97mfeSgVTvf
i7o5UqaBBPWp8cLKCVem+P6lwzn/vuANttYd6VLj+6YdbN7eX3Z+rYgDL5eDgxGglAjACJCs4nFa
7LwuND/JnujoRsPoB/TtEu7gIwSBI8pO4LYFYej5JFVOq1Orq7OnzvsAnbe6jopKcdfI5unUhOBy
WKoVaB6vsic2hWYTFvYufft7+3wUwntgdWt9JBSjcAb0gu2qNrq+ZWXrcDIEkbW1yYBdbZwye7LK
Pylo1P1UEZsq5khEdy3u6vR+igGs2Ren/cP6PtRVZCoqG0Js73UtWuZL2Ji6UEeHCbm1VBxMEoQy
XwgcOeTvQQwqnrk1X2mrdRoFqz0LdAP6oQXwcPd5fTMlnyqIGYxAlPvfJvp7cn5p/u86O9JpX/TD
/vqCycf673cIZ9MnbEhqI6FPmxlN5t6jkfP2vj3cz7gpASkED9FFY7yWsHltxzx78gBtdg4seelV
3KeyUZyaELyx2zPmFgXNwMuF5OHNNB6hcnV9oiTO+GwU/CecXNgJtYZe62Eic1+NaqfVR7cLHfvN
qZbzuRKWA7eBkULvFXOV7Ib52OnvWG7czIg5QI5lXcj5ZTag+GkBVuVGv+nyXVsfBtW7SuYCTk0I
a0Fyb2RDaWJnowRcQ9VeEb5Kv++ipgbedA+kicKtOGhG0Y2ZQ0GOGKB6N6g43qQLffJ94ff7BBrP
jOL7k/+QVkFeP3gZOnHesxAnVoTtVEPVI+sTmz7Z5d7MPxTw+N6bUxTYSycmhL00r6PT95WLhXj1
7NDzQh+Cb7PCyGW4d25EuBZnr6y3scZszbTed6MeFMjGefb3ydpN7hMYb8vm+fpBVK2/cEvaCzUo
klH0aVn3ibvLVa5Z9X3himQEMBZn4d8noUdip1Dc8orvi6R1Wlb7wCnh+4gXh9+lij9H9Xnj3E+R
MXf7PseCQPmxe3V+/E+TbwtXo1mMxIOvpU/jeGt3e6bib7w8fGgmBfaXE0zjvrgI5inz+3wu9Viv
WhpsRYW2J/cX6eZjTwoVi+flVMEYiG+QyoAkxoUzRA1wTdd+0uN6+ZxUX6tU1b91eS2dG+A/4OTO
ACrca7cMBrz1gKJ2lGkhYHbR9SWRG4F+CLCfoGAQG1tML682Z/T1eLXqqNvGcNOerUFhRD5V/4wI
TrcgpLdR3zBif7gZt0ec8euDUHxfTOPmtaMBngEGduTcgzpy0fDyDgMOp1wAKvUSAWI7zDZAtmzE
hfWSZT9LcF9eNyBdBvQAINEHXS/03J+vNajmOjKAojKmWeYEXkKdA/DtHdDYxFHcHdLJ4vIhPl4j
gBMLPheAxNZgGhbDcoZoTNbQfnvyAxv3xILgYyHLZ6Zb54GvXG9faN682EaZKlbkLwjm/OEOI8h8
IDOKCgva9c5njOjzXACKgRlz8jSwckgIUP2u64ZPGiWBa2xWmPbD72br2oDS7Mic5ghRwGCA3qvT
tbvr6yfzPDZnTIfWMV54InrazCamTwvaGWwSdp81Ix6MGGJc143IVg6JN2D/PUAALghT9HV12ZTY
RpwTWh29xa6irkUb8zusEN5Agdsf7f8CgqPw55Tpg27EGWg+0o/QbPgfDQh3jNcmSL9hfOhLvcuW
D+85q2D5+e/3m+cbo7fstOjXzYi3BDnmqPnyv02PsO/A526zRsfnNffI2ptGV3xfupPAygcyRp6x
Fvkrp3api2qyjLi1wrE7DP6jb9yZb38poN3nxIowSUkHaTezJvDIXQ7i0iz6c32WJO0EKOuBgxOJ
Fd6zKtIXUs3OIVqR6XGGPl3jpXaKA7Vjaj6YWXPXb1C0HpOIlQv41R7Z/OYgiStmmxaAYOgYBmTj
fAs049b2tPO22PPqKEvrSPGI4C5S9D0oN6OTDvUopCuFHQwZwKYtjW2LiwVFqwBt7H1oa8X0eYHC
xZ6Zen1jk5UpANKynQF3bQAcgL7uC7bfGrp/AxDrOnKyfhpMTbnd2wMEkpoRYBHU/SYFP5PMHpDr
OsCe6L5F/fB8FsEMSUmfDrhVDedQjd5xqG9KZ58nitmUubVTO8JeXFe9spu14+NKXreiP/bN+vn6
dpQtmIckJRYL1fKLfElXJM7mG+sWJ2tzsGl+b+tJFVhsuS9N+wMYgt/+DMSUnRjkc3sSu5XUyKmn
w2A9vNrstnG6qF0/MktFKiCbO2SubYwKxKqoKZ/b6Uwt6WaA8WITunOQhdS3Jro+dVILAM9ZIOpC
Kwbhfz8ZCdnWFoHoiqdY1gZ2e6DG2xO8CGygIQBxI4jbXnTaZm2WpfbG9zUYrBISt44R5MWP68OQ
BFinRsRbbS3H3s0pjDSzsQQQWdm1lQsNO1PVfSg3hNcHXAOCILFamztLUlT8WeCPx0H7lYwf+vnj
9bFIlgQ3M9JhYB72fdADny9JgYp+5moFiSvrNfV/l+94RgFIx4sw3MfhJj7/fmOgpKhp5hbnzX0/
vLLuUFA7rNbn68OQzBTCJfC7o9GLX3fC3mVdZzSrpm1xNgTF+Oi8tvabO1c89D1zrUxOxIPA6Xwg
Q5/a6+BYG6pw7S6r5vtxSXZdr+q3lw0E4ENccpzsB5fCuZnW6C1v9XDXbdq9vgF9sOVh3yoARZJF
BwoN2E9k8VDpFeu8zVJvZATPVJw0D/r6UP5++2IABoPHx98+cRHP4Gg+yB69HMe8pXuA9uKq9T9t
ia7w9dKp+kvJDKSbDWPnU7XOLvRKphlbi5mHVWP7oh1fM1ooCjqy8AMUQgC48SrbZduz23tF79Qp
/K/vJ0FiamtIyuwGwn77YkB3yZjTY50aN0673dV987M3/SGY8vTl+qxK7h3OZIQQAR0ZvGfnfLiL
Q1f0IOZbXLJlP5f0QbOrz1PufCEJaMPd9fW6OQneAe06Bs4u0psQBhKhN2j01ZOSjVsMNXpzj6aw
/NfU++yYIdyLaLew3epDwhONC+VrP4FSukks8F8BL/ceH4Le67897bzMKfiQtPd6XeO/JKULasZr
AIZkEOsUoZsrDrkExMUJiEFTpgN2BOwk33MnN9RqQ9p5KO0tNp1muqdp8aXQFjDMb8VED6XTNA9o
2XBu9d4awhHg+mjS3Hc8eXHw8aSG8ic6e0Rfhobr1q0mY4uXge6I1z6NRFWploRjZyaEi7ie87oe
CLo5kRIInAWN9VrUpwXAC29vckCDDZ4faFQyLKQIBH9GN39JJqPcYp+EoCkp307HCSYZoO7+Hgzg
/oS9Ucyba7vbugKrzVJ0EiriZH79CdE5DgCifnCNAw8j9vb6Od7IzMzW2Cjbo02+ZaW+64yXKk3D
JX1Gv/L1QydbF1wzfJ4I92zCJWNuLvXrpF/jD6b7ZR9q6Ze3f9//K17Bs/Ggkjvf3lNnIUVejGs8
HtMxcugD6PIyur9uRHK78EY/3DCcZ+ei+xuPuMXt2GrHPjpzPub9p/d8HmeTX/WIw8Q5stLJ0YrR
juvqW23fZNB8vG5Asub4/f8M8L+f+AAIbml9WcMAXMGhB5oQSYbI9z6aNtstaRcyM42uW5TOGIDh
6CLn8iVi4pQW3rzqWWmj026XpYdKcd1LLkpk0NCKb2BcgLYLMzbOrK+HfgRCNA0ynJOnOn/HAE4t
CFNWsJY5gz24cb39KqD2mRFVE79qDMLtN2WpOWAQbjwlO8PY6X00KM6G3AIEil3Q0yIVzxfpZNlJ
QuyGN4TEdLhFarYp7swkvL7OkuONhfhngv+EExNa3emcTQTTBAXkSuPe0Cq+1Z+uW5HtplMr/Fec
WLFLz9z6DQPJ9CMIXU1VwZBvF8EnggQAUGtABHkBV/i+7zQ1hIlLN7bpd6e59ZZDm323vvbb2yEc
kMMEPxYSFaBsA7D7fCDg6fIrrwYj3FZ+HbTffvv2pMTZ94UVb7vJcOBv3TjxWDjruwF4I3RAtasC
VimfsH/jEJYdLZhmxhjGMRsHBqAqjaxin/yAzP31hZduL448Jw5XWRJTSeg90VYkfJxYs3+UWjh4
j4UV5u/ZXSdGhAxLl0xmbXmJA5oG7wutzKObTN+vj4PPx+UG+zcOYd3z1dQB1dacGM+wrx0r9mnN
VkjZqYh2ZQcFtyGIUGxA20zxcl+atPSw5miEAySwi9IkevM4fL4OXA0JEaX4QOk2PzOWlYFhxT/Y
1c30y02P1y1IRoDSJISWeZES6gRC9GNaAxtn4tjxBIbgn5mKUEqyEChT6ZC5BPoPHTfCxeF0ul8P
zMZN2EI7Pe9C2t8R9vGtY/BhATcffAkUg8QxODMCIWvJzXhYwpUEPru5/v3LQSD9DP41dJmD/AOj
OPcim2OnDZj2UEZBMxS0qXeNWRxS6rz5kMMMQl00oBiIdMV6sQcp96Y3NDNeF4BMtb3jPlXG3Vgc
TF1xAi+P+bklvilO/DsdHb1oeljSlhe/u62AZTSANyrfLrJ9bodP7Imd1sm1qkETcWw4c2iRx6kr
g3aMF1JHfX83qvqJZcNC1oCH2aC0ueA88vzeSsvCNWPwg2AX0MBO75lrBOamyBVdHho0lPwzJKZY
mrWFjAM3lHjmbpm+9cCKXN9ylw4f+urgx+OcBpB0F7f0TJ0arVCdHbfQQNmsAqIv+fyjHYt9xoof
5ja/XrcnGRFXh/2rRAxvJm5xrUsTNhnLEruz+6t04Grc/M1lEO5j/nJSAex08TA2SGMNeWktcW4/
071FFWsiOaRovOSU0Ejd4gUu7LWxHVqTpvi8+6WY7np6j/bjd8zRiQUharHdqVqqhCxxUhTBNL6s
quBOtgicUAJ+Hv8Df3Z+XHTquRkx6zXOs5UzYwYsJW93ZajY/DMhBMFV6jkLONrXGD2G4bhFM/KD
par7WZL4QeoB/cno00O4eyFzmDYrMdmE3cSGG5KENQnqDsD9Q6qFOI72upucyFEVOSSzh/oaOJrR
PcdbV4WrJmV9VfTjiFS3OYfeMEXzOyYPFpBI5/0maLMS7oHEglbQRBpgbNIfHq2DpYtYcbi+yST5
I5BfIHmL7lGe//TM801QliQpJ4ZaTdver/a6L5Ih0GsH3b436XSfNrclq27a5s2BLKyi3oH0PeeH
F/O5SPR6dDGRZB/Ac0M39nPurJ1eW98gM6DIkEkOKqYPFRx0sMOLis0cZmZXhj41SLr6x5r9njmF
8ufrkyjbCqcmhJOaFy3g51OHfOuoRVAnuh+GQnGQpCZQ40KWAh1kSLSdL1OnVUZXaBlymzlDm18z
Ppj6rLDBz/t5FItFQTst+sWQN8amO7dB65lsy4BhaLO/Rw/xY9V5oVOxb2WXRIlRsiAbOoUblY4L
xQOkRYDovji6hZbjmV9jdciYBjYylL+uL41k9bGZkDgiiM7xlBB8HDpbWea0yRo3aK/simABjTbL
3n7VoAMZH0dYy7mHBCNzsnjFkCKlV25alEMprVI9lCTTdGZBWJp12LScGbCAFfG+TpXimc//dWHl
iQlIDdJfaD1CDux85Vsg0M0efFAxuvDR/5NZQQ7RhnpcH7rcfPDSzgkKwwoyX5XokY0LDTrIhQLM
z+WJzg13C6g26VRPCKHmEKqFIWTYrm8A/tMvhoYHBagddZA2iakkkjirNa10irVxDuzhbtUOyxwQ
X2FGdgcRaBLBhSLY4GwZ5yNpdFBUGhrskHa+mZq9DvZXXTv2463jbUdjpFFR14cUDb/+oqDnkA4R
cRsuWszjRUYZ9apNS0kxxXX2SduKsJxu1wnItvLt4ChgSk4MCXfFSkaeMC+neHNIHhZNkJedqnQi
2xGgtMB/EJFeQmdQHsrcvC1n8Ft/0QpA2RRnVTZZIPokEJY1UEcWUw7oxUb3eYESX1d5+xG+1Jic
G5J60VYqXJskpga9BIpAaFL0LvXwUojwzVVVs3genrd03hXt91RD8SJJ91n79foul7k5PEKAxcXr
l+MIznefZVWOVY/YfSZ1j84yNmGVN79AUqoIFyRXBEoX/+wIO2AbmDFPVj7F2R8nHe77n+TbODf3
3U+FQ5LtAiTqQD4OqjME74JHHZu8Kkm7jHHBojGwOsVplU0XOt7Au4HbDjo1Qo1nLrKK1cMwxdNa
xgtaRpKuf3a99R2jAKoD20yH70He5nxVHAAVzLlycF4KGv1ODRV8Wea2kdSEJA02Mwqs4qo3WQmi
32SK9Tpu8j8W+4IA3pjuWrQs5N9clTKJ7OhgK6NOjvSmf9GM5Gmkr8sSfiYBjXpNv/btz2pD4ViV
LpD034Le8cQQ3x0n73gfinueOXBD1QMZ8siql7ttS47EaT91ZAr0dHy0imYP5t06tMpfeepEWGTF
6knK6PgZXPWBE8QhhhAup0GH5Oyo43Kqze7eHsf7OatRxQXrne0AjD5GY1V90fXibmC1HwA2esw8
8vH6wZbOOXwViiGcJkQ82O1s+H0z4cCBYT6oyqMHwmH3tUm86Lqdvx8S70nI2AKXAOgW8rHCXmJO
aS9aAg9iz260pPWHZl0+tjNDk1A/B/rqRFVuRVn9xRvTH8sEGSm7cpHqqMNe935CsS8ym+Vh8lDS
NIpDS8pHtzJ2AzTIr/9Q2dEF7odzKHCqaTFIneoUSKoMEwLRx6a7K9Ao6RVvB5ah6xvMvrz4hMBB
hM4gi+vbAG2usaXf18bB+H59DBLvhmwOyjYAlYEZTIwXGwpWBqs1lzhrhqD9Yq9vBxnjwQj3hksU
EE0w8JwfoG2mZmLX+P1NkYUd8mGATF4fgsT1cL4MBDx/UyxiD2alF2mrd/MSayUJXa9COvppXH8S
+yPV0SD/weterhuUztmJQX5QTnxC2jZ+4SV443fanTaYgVe9vscAkrpwPFj3i9oN5K1tN9WX2LZ2
vR8t79i4eIUC1YxIFwgmVxhAZ/X2uvgOi1PXDx488xN9O88kf4Ri57omQPJ47AhTZI5e43Y6i0mf
v2qbvx83cK36AEYWzUADZqsI7SXO6dTg39zCyZpYVlZAF8ZgsVvqQbnsWZeFbfaij29/wp/ZEXwT
xCvdoS9hp/D8e331bns6faT+25lHz+bv731wMhyIN5h1PW9YIRBQTuaD03+s2dfFVQQfsp1sGyhP
IFjmCCHhcJpOR41pQATKsmCz75Lh4/WNLPGQ6KEBsTAnYtY9EczWbHMOJsZpiS1QOAwmICyAfgyK
gFM2CBD54tELWliEN0Ig6Fjr/x3HesuCoXhu3k5ODmk/NAQhHW0iJ+EJl69P214v536OJ4rwcqCK
QFb2+08/LwSYvUfAObcNc9wt0eaGhSrC5D9PuE7Pfr5wFvUMOLttxvc9KEuMQVIfDOO2bSGWFV1f
bYUhXwxl+8YxcguGyBBB4770nvw1LG1kQBWvTLkh9N74nAryIhKpvdHWoB4xxw6IpXwrC1NnDQr3
Wd9ANjcptpdsD4OLCS8nHcItF/KOc6Ph/88WrP72tS1ePP2utRROha/AxQr9MyFOHLoWhsX32Bxv
Q3YocM7H54GL3nwo2zvHyUDOqzj3Mm95MiaxS6qvLWMoNhh02Peq/DBnd033tVRdAvKZA+ASdBfQ
FxXBRtrqWsDK6nOs+f+PtC/bjhxHlvyVe+qdPQR3zrndD1xi0RpSLsrMFxwpUwmuAHcS+Jv5lvmx
MVZ3VYUonuBk3cduVdIDm8Phbm6GSxntS1aigbC527j/V88PLps/zCzOD2rctAAWGNtORKq19r62
lY1cXR/0eSAfBXYSb8ngUgJ4PzUMDqBu9PE6H4b61u/GIqRGw6/dySXIsunDwW2lf0hyaR8un6u1
eUTwj9Qk0NkQEJr/fnYZ2DJHfn9CV6WgH4h+ZU7RsNW4uWViERG0AsThAOjqJyK+ypxFxP/go1Xi
8jjWFup3NCMAjdDCWOalnKnmTtkaKCK4X9uo1zdC2bX6AZC9aDueZwmNLIu72aOjpJXqCXLfB2bX
Qdt95v2NLL5LOwuE82x5PHDTLXDVvL2Whxe1XrA/omL5Hg9eW9bUe+ZETj35OnhNXJFxVxnXPo9o
Q8IOrEmXZ3FtqUDSCN1xRIZgE5qd49luEGYincJQ+gnK82OI26+4mxxruFeVtiXOYsxX57uxIcWC
6xvQaXe580DSgKoQFJtO3iB3bXuf6g8oL+yQyg7tJuqICgs4enNsQeeZgcZh5+pXjnZQY8xLGljk
Bcp8Hf+u9+hWyo91PcSX54KsnUw03WA+oME+l1XeToZX+ZI3JlqjlLWnnRsKSu7N3gnxTA95c2Ol
e/TWIhIOqPZsW8e8foCzCK0JYYj5MAxHBEBRVWylyFckosD8DxZUPKiAnkDg8PZntZC4z70C3UDI
GljljQ+6rk4/6Nr4UIoXjWcPTh/XtghK92aqb1PxoiDZ4kxDUKkGmhv+Vd9Xgdaw2Mvuxz578FoS
snbcgDauLy+mb4ZdoFV2+aJvQYs3cILlrbPPvpcEUt3p3aOq6x3BY7rykLqjsT/9LO2dxW9K86ri
EGhJ8PjnkUGauCmc0HanMBM0QFXgwckeLq/vyl6fWyzmOgD2IN7Zb+eRNt440RK9FkPbykcpDHbD
uFnHDpdbCIqVY4z8CtqM5lAY2P3FkmVs0OymxZKB2rK6ydtS7qZskFe2HNrQU1X70cv76rHRfO14
eZCrlgEART4bPTjval22kdskQ03nNHog73H0iMi7Vt7xhu1GPYRI3K+6YeTlkW0EuAp9AfBa86Sf
ORBO8syqsrKDcvG1Ia9/Xh7Nu9ACX4cy57zvUYHC0Xr7dak0a9RzgvqNsP2Q93kSAA/ch7ai6YFb
+Zay/LstsrC3vLnGGlSk/tidRtAyTEViQMoXCAhkAzem7V3QORuaK1PIfuFwL4OAGRiad+PUn0g9
OGHrMO8aYBIz8LT0kzFAwhzzvYWLWp3MmVoKLTSoGL3z9X7Rl6ZjdScy3bQWCbTsWgmw62/Ar95d
zPPQzszMO/RsRyCC6QZjghmT25Fu5UEyfb28K1ZWCUVDnK45DYTNMfvxMwutY0I1hqjm5Krkc6/q
4pFXioSmT8mXy5ZWpgwtYAaQyHhyzgSnby15pQNsZcphiTrPoIC510r/SMciHop+i4ZtZVQWGg2A
7kN4BND7YlQ8VcRltV2j/+9B9A9FcdR/mQ8WrQZnJpZ5DfSvQmtFwATRrloGYWFyN271F68OAzri
4MdGOR+3/dspK1FPTdKaVqc2dUfkZsoBQUxRgPdRuRuHaGV14BKgV4PaJBqZl/vAYLX0O1FBKcaL
lXe01aEdDlPxcnkPrBxVgBPQLT1D0RE4L/ZASSskBJ2sOflDaZeB6Mh06LXaCAhSN9eiS4qD06t0
A0jyzo/bc+UYPeaz3CVmc2GV5Hqh6YYhgIsow4qBM1ucdGcHTejI0K7ZL/c9zOZQAQNgCoKyyMm/
XTUb+8LqRipOkzKvrfYrSHT3l6fxfdXh90t3pq1EKR6J5kV0RWXZpybDahXDFfpeKnpdufcugQO6
h3Za333J03taH0tvw1us+CN0iCPoxAbBIV6mjSAvPUrNEM0JbMv5MYOYUOi53tab5/17AUQh8Eko
yM+tnAjT3s5g7ZbTNDpKnFjffSyI8TQYJBxMFtEij4AXyqOkryJS2zL0E33jzf/+0BlAu81Cj+hO
x/t44TsIBdUdiPHLE8uGKNcZSFL0oOs3ztv7mXxjZek+LLMUNdNVefK5/mlEIpEqL768S+Yf+uaN
gI7xs4H8jkY4c+2J7YAvbCTlySl/SvHYo9QPwhyI69327FuVnNxfhjgtDM6PlnODlQnlnMIoT4kZ
+sQNNLIF3l2dNfgPbAv0LOtLh6j8qm69DhbEz+a62HATWx9f/PysA7t3LvHx3LiWJBro4+X1eO9i
sR5nP35xaAudTnmbYj0076r+KJ1DmR2s6nDZyOrudZCB89D9DqjjImJgjq8xuzXLU+ZeseZGJteO
vYGOWJmnOTGN5hV9hoQvBZlb7nNo7CXlSQc7XDBkG9t2/fMoiAMrBbDUEnLeZALSalpeniYSNYYL
Jv6tvNTsPhYHAwP4y8L8C872aWkMAyCTZXkqDGc3FXAtZXKoMndPHHojZbmx7msDAmoa1Tzg5xHh
L7xZkvaOgHBjeeqEF4xmHuYkvLzo74vhcJLIg88PbQP0sMsQWKfCG6F6iBHl9Hry0y9MlTfU7sGh
q19rnRZ2TrG3SH+VEC0magqnWtymTrfxKly5aN/8jMXEmi5vfZHr5UnZQx6m6XQP2G3cim7vav4D
ehZe00ZtXEnvmV5/Hzt6ZREkgYvlHRcDiEM9rR3Kkz24p8kvDkmb3riTv2vA+yhVGdtDcjslMiB+
FZmtCvMpQxE+u0/Abqk3eVyj4Tu4vCArp5AgBIAUGZRs0fy4uEP63m8dZejFiUBKwqpPleJRUW1V
cFccPKxAZ8uzyczNvNhYnSu0UbpuAUzXjfSuqXGfZI8Jd8KqyYNufGzyz5eHtWoQTyxQR82N3Ms8
HvqXNFUOWQk9ynt3aINE7moUKtPktrHcoK10pEbyX3doIM+GkgSUMlbajTRNqCHr4A7M+tAXsSQM
jfIb+ZbV5frLxrJ3ggm85joH40qQj/QSWEi/pWpLZWTFCiCSEPmBK0DnzjJo8yDjYjily0+MP031
U15+yo1PlxdoxdW8MbE4gKmy3JyMNj/1+uHV8PeXv741gPnvZ36zw2GieoMBJMYNhHsOlv2sZf2G
L1u5Jd8MYf77mRExGBkxaxjpyFOnl3sTaidjIkO2xRO6ZWhxeuqmaSbccRxCX0FiRgw4zPxYmlvb
d77VF5fNm/EsLmQrdUyVc5hxVB/m+Q+3KIPKTgKa7FA/iN3ixa2RDOVW6I31njtF4JR7PtJQiXu/
18IC0a9+o5cqcLSbWhVRJr7itRaOgxv4fn6Q+Rh7Rh1M4DrlR6PcQervoyJyp/wYclmBb7yCeSXg
+VPRyogbHDm6qHZJxKQO3Zhk79k/9OFzzlmQZ49Sf5mQqemEAUjIJz+51cnW7buyR3HUkKqZMQiA
hix2UTpMBi1KXs0gDccQcWtnG3O+bgG8OYBj4FZYZk+FLXnl2Hl1MsgUjh6aLLeQvCsnAWP4y8Ii
VGRomJfCTauTIB8Huk+nJ1uLLx+2rUEsosW+gwqz1xTViXgvhnHT8Ojy91e2/5shzPbPztnQNXql
5/j+qN8WI0DHR6l2bEvGYd7di93/xspisXXH7ifLwFK4pnONTF3A6B6xUOBUO00bY79/uTyq1VkD
1gAkoZA4BATx7aikYeLVxqoKb+CbzA26LQjc1vcXb/tO6h26bgU2r/3FKl5EvhErrq7KTJEJgNqs
o7jwfmYBLee6MTBfIJoV/WNqfC5qFBu2wPxbdhbOzxoRL6aUwA4cQur2+7q/pt6dyjbeVKvr74A0
A+cckdCyDKRlbQ7CHac65U6A6k+rDpwEVfakiVBttQ2vHsozW4sdTcrU9JnA3FHp7SposfVDfhw2
JZq2zCy2NFdV6aUGhqTRvVfZwcSjLttimV4zgvmaXwz/7rx7u49nakW9tfzq5PEmGvwuhGw65A5/
mfQAqSqAVsFzO5d9QZP31syQVdSz8rQ+YYmCvL/3kgfLv2qkG1pb+dK1HTcXlwGYRCXnHd2l61AT
SjFFDWV5kwWGmR85QAfZ4B+Tgv36OwRVm1lWysa+eydqhf8/qdKaY1hoIq6isYxBNG+CTlvde+kG
l86aR0BbJB5fNrht3/EaSSerB4vl9cnrPum4b21zd9mlzUdx6ULPDSy2tUoyQ1M0q0GcpEXecE2y
r5a+s+vXytyI77YsLXZ2TanQqY5psz/kY4TmeCZ2tD+qLSXPVTtou527omfmr4UTrekgSyaT+sRM
FKm7UT+kBY0cxlEsRn0ekniXZ3B167nou0KGG7H3Mh7QnKTQxYBxJeZ3rn8nukA+74Ww75fNvPN1
YNADnyHiDRQpQS6wnL4OjR52XRUnRbwbF35ORxKdFh9G2u+TQruGuvdGrEx+f5m82RywifcEUrJo
bkW1fRElFF4vVYXxnYwMvKqkcUgoWtM6QLGx3NcDc2Kt4CxMesqPVLpFKGQjnrySDtdjNmYRWMH9
K9D9pzurZCoaEK6GPAcNmOkX2c5QsgN0e8Bf/SF0Ju5GVls85WzsYj9xNDBreUOQpZoZ6WZmfBgq
l8WtajvwczdjPFhjfeXVeGa7VDOCfpJkL53BCVSX8BsUJLXYSNP+rstK92uBJH2cCftedp0RJtjo
Vb5rSQHCjy5oig9iuiFj/tgI9/iUxCpxjh4EQopH7agV44OjGcd0MIrYTFwVV2oA4pvoVeCiuybs
DbsMU70qAoWTF+UJfq+f6Q2Ajy44QZv2Ua+m12xo+oCWbR1mldQDw0BiKCkBvgYhn7nPZCnDQY2f
TE3rIq02gXX322rXDqrHyJgRQmHVDmuUV/ZGxj7mXDm7VFMeyGdbL4KIHmSXCXt1u2KKasmLWBMd
D6rS1IBRSmjQpbTZaUOaBsaEP9i9lkVtIsHhYTZmUFV1E0wOwP1C919F6vCgLqW1A20jDVrPSo5j
hpiqYdSKzNyENAHt+wCtH3JfjUWz0y0J3W0jNUIoL6ShPgzJXqtTO/C4Kg4VuOED08YIMweRf+4U
RcTxk7+AVTW56kuAUJve73epaWr36DLBC5l6Cm0NKaQ4tdSZ9q3fNbE+OcO13yYVjphjBlmmrAO0
NNsYxS2Ay0WRpae2Nr/Lyda/AirYQSIlG8Nk5FUwIdOx9Qx452dmtni4fzTV4IQAIvj2dlOgnKMD
GfBebZsbe6oDI/EfquFrazs3gGAHmdAeKse8drO7yt0Xqtx3tHuU9V7XVWSgMomIIiidDDuA3pbA
e2ftGNZ4u/FkxFYCMlfm0Qhu9dzRA29Cy+WPkejBaE2hgpvhV9XA4t4rkAi/ZfkdG204uiKw6EcG
wA2t743EDqx2nxqgoLDsRzK1G1PwzvPNMzBjbz00TiIrvJgB28ot5g4jP00Nro5HYUfAK7e/DINb
WFlEEQWfHCgLY557l4IjoArAExG12kZo/y4kemtlWTGpuBqdUsNY8jpEi/FQf6bWxl2+MV3LionZ
2aPjKpiofxIvyMWN1keGt3GfbxlZvB09Nxd2ISd+KigYxXYkvS+a0NH/h7O1uBhUydvEH3t+0oDw
yEJLBNompcLWiizWvfbLHkzR6CvLGt2Kc0vjIe67Ksgqz4w9px0CZAAmYKn0EklXDQiGDi5ZoD8s
RmPdc52X30niffEnNwsuX8XvE+K4FxGTzZpVuPLfFSrBnIsy0eTkJ1fWR6+7NgDZYTcQqAgh9KUL
vmubL3bzacxuKvcD8YuNhOK7oBB7FarJMxUtauqAH771PMjG82loUUqi7qk302CA4MLlEW5ZWJzs
Pp8SqgbUDwszQjN598uVtsUIFmuLi5JaHAm/k44qqFLQnhX7yyNYOwdnc2QsnuqTJ7qiM1EsYMZV
4uPGSpIg1c1ImF102dLaPj23tIg3W2kOk5liNRJNgSfJiS0b0pzGVkPY+oDmblE4XRfFmLeLnule
bQ8OSm99u6uHB2YfMhoAiHd5MKtWQKRqoYK6QiylI1OdawxJfzRBB4Z4bqZHof/ot6inV/eXg+I7
OqxnfqmFl4KQ4Yiku49g9ouWhcP0d7YvgJgIlz3Iilqz+bPsk0VZ2yq3wlyxD7MCmLF1PtbW/Pzu
XyyGbo2k8WmHu9/fj14sEYQ0GxsYMED8ykX0jQADDxkkOOb23flHnI2Cy3bAvZfzE1pvjWtPA9oy
y6kVOKk+7cQEFK47x3J9N37y/PEuSwMq981XKxVRYTvHdBQ3AFs74LjS3f61Au1z4CcQ43auQGC+
26lC3YGX6luLDi1Ib/oGPaDeM0YG8nahmrQyqtpyitBDTsMidZFTLkcAqe3s2cocLXCVlsYjawDv
B4M5Qs3SRgKmSEPPR4EeIHmWFl+UTFTEM+MHqCnKkHoNtHXYfcs6iHCK76A513el1BA5mwjtWfXB
0Os27BNrCLvGRxg9Gk+ekN8to7QOfu6Cv7lICpT8huKpzXh5a4Ke5pA13T4/ZScg+Q+dz25QnGQW
IpJcP/rqGqrPj1qhvL07QomGN6SIdFwXsWLsS60TKL5XkxeU332RIJ6/Mou9axyl5Ye+ucuSOlR+
4Enre5/zalcmthXo7TjFkyl5aHMeUBozdhw5QNiam9nBmIoA6JJI1FroGN8zP8zwtgGgmwdqMrMg
nUBaULeCIFVVoJHY7cyfldY090z1XkQ10/qiNdpzaVo0LN3ciq1WR58BU9neN8sfWdsiImfUiLvG
RPRuKQaytImEFh2akA+VtqNKfAcVEegEmPDjOs3aq1bWRTQ5dR1AnQVvb89JwLCjp7cl+oPiUUB6
yieNEdKhrT92RZPd917r7tVkTVGuDclNOjReRLr8C6vHNnK14mUo9BIp/UKAwYAmoTFk/U7RofgC
znES846Ud6LFtu2r+lsxSBpwCQZVUnfyxhzR0FZS8TKz7Ya9dL/ygrWYRgCP7do34swEjNvt+mRn
FPYHLB7uVYDgrkYUOsIaosUHcEA8SLvlYVEVYJS3hB4OthQfaO6y/ZT7nxC253h0goWAZgYJWM+t
yBvH9kqhW/2kd9Tb4fljXXNrZF/N0Xbjjis8nTgheJPavop0gKCee4e5sRzmTd7n1rWLTgbQEhVe
YHI9i3smxVXWcvfYloCXG0PrhFrtmUFbg8+7H6V1Q7PSC+jUTHgeITpJZ7nzdswRp2g9C+BpByif
19wOmqYefrLKKcOWZST2lV8+d8o14hxYr5i0+hh47i4lu90wjkNAcgV4mTEl9xoWM07zJok8TcNj
IfWSMFciA5JJc3et5uLMEgti664zB1AliMgganUogAgKO0vmAMfl9RcADuvAJ8oPe71r9xBQba5J
OzWxk3l2EaSyN6KmS8ZQiCbfYS70gDsK6Mpk6sLMLmA9LfpjYhhtqGvphH4syuKOCfM4QW051IaK
hNIsaSiZaQX5kLHIZcMnPlVVmA7mZ7ewX/FuNfelbqJjA86smZynvDPIfhLEDVM3/elaDIpZw9iH
o40Rab28502lhZbG0thvSusuge5UYHE2RoyhUQdskhmYb30SQNXL20uhedHQiPq2EIV5bHyoD6KC
gENJpjI2BkpiZJRQr6NFesUFx3HBCz9oGFOxLOeOzBrHmOf1EEB6jqGUlj6Pmu0Hee6KK4YRB7nW
yJ2nN/yAMtRwLNE8hgCSh5nls0gfVBJpE0AB+diwCH3AIm6qFjpGBnRdwHOzVRNevUHOHmiLa5bL
AoiIDI+Btvphdl0IyomYqhcGPyp+GRT79gGlL+5ct2Pwpi5eN6y/MXo9kMhZyK3Iey1uOH9xLq7E
RLMoXA6MtPaTW3xo3a+Xw5+t78/h0dmVq3ckRT4K3welfYDz728lJ7cMLAIHB7Lj1BixIgmyRyqo
toB/q4GJMzMpgl8GWbtFYA16cYPyhPDTmIRwp9oUCD26PEerJmbVJXS4zNiJxRBKq/Iq18d7nNE7
VT5U5tfG+BsPHCh1/2li8fyYOl1qaLfDLKURdCMZ2YgP14cAaAsym+jhWtaNSqGSHgeSnyoH5X9a
BZbf4QmyxVCwuthgX8ETDeVCNJe83U1djUvD1TKOjoskrqajCQ98eS2MtXgdleI/TSxOeNszlA76
lJ9Q8nCitnHk0WstK2gMYEqTEXk4BCqfEJ5k4D6sxtvcmcqDLXGJG1mTILLJvECR5Jubgz9E2cjK
122ih1XBEAOmELaW9ZTGSAM7sTuijX/yqIzc0eoD30NqihL3lzknZz9yNqJFamGyEiuFddDJAGY0
tvd9uwEwXF18CAYA8YPyvb5ET7lDXkw5+CLAyvnc4f5zxFE3io2FWV/6P40s00lDrasWNyywaiQn
wFYQCFsjqr28+utGAJiakWk4iIuTyJseWQiRcBSihuBeB7vY5e+vXh9gZPnj+4tjmFHaZRW6xU5I
RjK+n7wdjcb+ivwdp3tmZuGzdJOOomcYRl++0OzG9n9eHsZ7PPvvW+rPcSy5lnguxlq2GqC3VFyn
JY1yS8XKzB7LmkT2VMQuNa5yqruhoaY4cVB+sER8+Ues77q/fsPCF7hm3/W0osio1PdOkgFl9mlE
j8JlI6sbArTZ6A1APRysnW8dDmXoGpMOB+iIoqiCvK9pNxsmVsdxZmJxQ1pFbsA1N/yko5YwTahp
uFfwcf9DK4udDaWwoasGDMQf67DhZTik/p5Nu//ZdC32t8GkTY0EzY22iuZ2+2zjfK4657O5Wmxs
XzVdS8H8D+mCp9xHsGxd+eJjnmycnw0zS3wh90p4dhfDgILU3SSMQLEssIyXydyAW2xsryU+HmVk
rR4tjKcxKVYjBWBM+355STa211KhOqXoU2orjKUhVTzkSHI1KWifvA19qnUzDvp2oKk3hzFvD0oJ
M6Uxthx977dKsaAwPoIO/PJQ1pflLxvzbJ7Fkk4+diZVNT8NhhNk3a2muSErZGyNW2H++rr8ZWlx
7NPOYZVMMBqqvma69tQplNAuD2bLxDzYs8GAMKiRWg8TQqoRONzqsRPu4bKN+Ti8y3f5fw1jcRw5
kX4BTWTUR0r3E2tOpjvGk/UVxdwhtUI/S0Jz3OiAnD95yeTihGq8yusRnHInJEOvS7+PbGQM9MqL
fK38RB0A1gShx8vDXN97aDYGmhws/Ut8guxVZbQMt6pD494Au/n+l7Xk5vsOxD5/WDAWi6WrtJUE
3rMt4+lH0uy66W94NghGWmDfQovGO955yqHvlRvwBDnZU1EERnrn85iB9OXyXK2dIYAsPZB8gazs
XatWBS1k3+EeRoKqfw/S2Q4C40LeVOlGW9ba/j43tNh7taV1vV05uAr0m8ZtQy5/mVUUi3JuYbHV
JukgAStgwbevJonM/d9waWffXxY8aKODO8rA9zv3u248mfV1M2wc0LXTcm5iEcMY6C5CA7kLPyN2
Q4n6W+3ftLg4e+0rkvxh3f+4vPqriwJoPsA1c7fcshVIoeY+uMCWnIbhye4dJHZ+lVBoXhMD6Wkf
7KhgOFyEGf7QaVDmK8WJE4jw2fsheU6GPOr9Fy62YrPVyQMmCa1B6AgnzuLKGUfi5ZmNl7nhXmdt
ZKeB9sz25rNh/J2tfGZontUzV22mWQXxQRjymgCB5qTiy6uyOhDIYs31D8h2LIFIQBUgrSac8gR9
g4iaDDnYE+cvKB2E2nj4dWbzeY3Qq4meVGAVAVl8OxxgrnIiuD+3/QUV++QWG5ts7ZFz/v3FzZaX
jplSPgfmQFxoIWJNNPfk9X2Vb8zbmt8/N7TYbFY/QgHTxkBEKgPBHnWNByLZwBhsGZkX72zxjdTz
NRAPo4dGNp+Gob0rpB2STcngtasaSQfwpaOdG826i0WhhtBJbZZAGchslwMeJH6g2xTtOiJIfKSw
bR7LfEssYvUyODO6WKkEnd2NMdfDHP+UyDKSLKqgq2KDduzyDl+dRM+wQEIKtqx3LLON7w90mHd4
R+7sFrnSfdpvHNLVsUB+ANo9PigeliV8kC6IrtLRrckBYaD+TVN3QVree97Hy0OZD/sywEGDyJ92
FvvBdzKEnALdgUiTP+VbzG/rX4fGEbqpcTSXzRY6kxR0qz2+XpObyZIfNU9uvDlW1wKEGn+YWCz6
mLqK1EmHRMoXI/lgA3fvbCzFloXFudQHWduqgoWcPZT2aehvvF/uAJt9GOIxAKGhogGdk7enEsoy
qSU0NBEO/ouefR6Hfdo9/Z2F/svEvFRnB78YS0E1gr7ykaC8+1wNG1mztRMPOgALcjMAr+HZ9Pb7
WqIXjscQnMtOPzrtCNIgH0XDz9L+KcZPSX1n93/n+XxucjFrqOBrXQaqtVPK6puhyyMHanmTR66a
aUugbW0PIJoF1BXnEbS1i+CMQXJ7cF2F4AzlW1k/m62J8lL060uEbkpwQaC3Bo5zYcQzW+m0AlPo
UfGgV86ReSDH+xs2AEoCXhxUYdYyonFY3+cFrYtTDmLk/SZafO3Ag1MPHGTQS0CT1TyPZ7usK6Hr
2qGIcbL9j3Z/b2wc9rXPz6kr8D/MwrfL0GIoPfROc5yTtgjKKci3YBtb3184E22qiqxg8IZ2sQMp
HGCuvzb7IIoH4TESCr4LFQvQCLydHkSRpE2csbtNgGlwvRcxJPFlC8t7Y2lhcSbMbBo9Alb623w8
6NWd439qbnJ7f9nI7/xa57cGrOCxhdAOiwBWp2XhYtJ86Ztj2t3WI7k3KraTlH0kJt8X+XPJPnhJ
dir8uQRArjTts21+BUw5CXqoS2/8kHnClj8EjXyo0xCgeNDv/HZCixRAicn1+lta+w+l7j93nPao
cQMF0+fZHuJyx8myQHXA9m6tv5gJaKds5fQbqZyl85vnA4Qk4CQH2xxEyhaz7rV+jcomfgZhww6E
KfuhtZKok+OnqQKixsoBUPQggx2Yytvie/k9q/Z2DkBwa/ng6CaWDx7KxauLQR3JBldsc6vQa7OH
aFl55bb8tlEQC3BTutcc7XPFhHdbyfaKZva3xhxeLdb8IFP/aWAo9KY+/aB7aQkd9lK/o6Rrdg3g
cTGV4yP4mYwIHP4cCHMVNal2TGwFIiggjFx1ZfrqDtdZ6LY0KqAnCygD3/cOhHLoBFEE6V/XSgjA
GtxXzwTseSBZ1Kd+Fnos3anK3qdoFBhy1PDamu30DIgcA1eF3n8oDTcJNfSnMtJviRIsj/lMHzNH
PLPOqv+edcrvqTI9VTS37eeSXZns30mj//V9+t/sVZz+Pfftv/4b//u7qGSTsqRb/M9/fXvlTcr/
e/43f/43b//Fv27T741oxc9u+V+9+Uf48H8MR8/d85v/AZRM2smH/rWRj69tX3S/G8BPnP/L/98/
/tfr71/5KKvXf/72XfS8m7/GUsF/+8+fjj/++Rt6389O5vz9//zx7rnEv7tOG9anbfd//8/7f/X6
3Hb//M3T/wGx+VkpkujI1ngz5G58nf/i+P8AJxOeCP7cdQjSfBwuLoAV+edvlok/AZXl49/88adW
9POfTP8fKACD+QzshHCoukl++2P0bxborwX7L444U6S8a2HzjRuZDy2aA8GZCWMezvIyeGEpQf8H
NIQOQ02aEFgZOyrLyo+VNdEwcbMtIkjwB2D+zjzXbBL6pXBa4E3wwaO0zDBLjedV5VjJoW0aPoF/
VKk4pYW2hxascTArPJECp7C0u6lT/SE3m/HouqmNHpVaAw6PV9djMxQ/isrQ7oGOSk+E5h+cBFxq
YWVpddxlNTl2gJmaweD03W2W5c3PelKkCPKG0MjmhfU6DEVbBvZQajskzyy0jUi0pExtMrCwRCfo
vpzMz7UnQa0gKpqe3IlzAATtNOsCn3LrC7N8+p3UvnaVgeMU+KXWymt8UKP3vCQEWEIbRAYDml1K
wQ46ab1dDwYxVyRyBP+WbTxVaWa9khQK3e2Y8J1ulOJoTP50rCe3KUInAY5Kta7zUCYuhExTQ8VN
6bZPSQolPTvVvS+eM/4c/ArtM+kAQXlwzFpdlJtM51Hf68lH2+XFlS7Mue9qBE93WTpR4wL+bgId
BfyhG/qWNNKIKX6wuu4lBXNHwIpKRWglSqLGRN+jK0y0SjjZDqH6jW5KGXjFECfQaAmg7PHUad8B
6cLrbNKC2i76b1rhQ2arZ4AzVmUHqBf71mq5fZeqW2IdWOO8jtDlC+uMPIKb9lvlZl+qjrqhZuCS
ABlu4CSGAiothVQnh8Tq5Dmx4jULuD1NgXKbl9Gv0FflBLXv1mhpFcXXNG1BV9N42t5L0lu7MpvY
ViLMeXndOKL74Oa1/Gx1/TH37ZgbMqBMHZzSxCyOsaXLQ+GAGgb3wFXiMOuKc/ZjHLtoyPw0zHtq
h2X9jWRZnMh83xYe6ACyjoWaHKsgEeAFLbxXPCTRVNA89EYrDp1nP/eVH5La8gKn9e1AL0srNE3q
IxSQh3xMvkC68jOYotIC6q7YhkFSegeqm7GTUAJx3HI8IuGP2wEPp/6gJ60Wj450g6lxlQSKLTO+
V/+PpDNrjtxWlvAvYgQ3cHnl0nu31K1tRi+I8WgEguACECRA8Nff1LknwhHHdthutUigKivzK8RO
kAKiuUNWxscjcPdmRMOERWgq1MsxzznQhaGGQW/m1dhNS9U7MErbEKm8Iu5ds6ekz1613/F6MyD+
JLF4bGHT7wJt8IUp2/7tGj8piJVz6avWO+dTuOw8QrFTlU48OluCqHSCXKnvoqxG6tDsWm+WYSH6
xtRDRK52il8SG7pfkDFXbPdajzxHysqNekcByjpiHjvDhoxXbINV8H1hUf8xkwdpHN2n09zuWZfk
L6ZD2iuBlOoqhICnZ4m/U0th1TGKBVxzXp8J/EbM9LYlK8KtS1/F/jCUQR90uzmRy2lqg+A7pYYd
W5/CypcuhzHT7Mlv/LUCAE+Wwcy1LmbR3sHKkyekzQFZs3n0B+7VofLkel7DAAYuMhwAQ31Yhowc
KCzuSLVKrrmP1VGEykM34AhJ1+lKsO2WYbzlv8GOgMRtr/Qfgvlj25GyEwgOoFauwmgptyW/Tb6b
DwDpHDxKK5Wzm3Aew1syjHUmZF6s3VM39N/aa8YiYmrD009w2iCix3z71roVzhRV4chxR3zS9Wrz
8YPPsLb+AHe6Vv1mEX6cfjInbflLsOCLZCasWthaECM6NS47DstQd91lS+l9tS3ksfWkl7SOWPPu
upEg92bpzYHsgPDZJ19ZXtomA7G3k+8cWYUo6U5zMvzzGgWYS8MTcc3XbTt0yHXxDodzbgQ+tf87
SRQ7twtvHxEvY2PhS2QpUEnB1Faz711p3wYXkw/h2UMVUc1xVndi3NNtiaoe5pESbyue+L5YDeuv
8O7Uo8crF3qyTNGA7b04qGwm0grwe1uE2XDoO7hjfyIw/rY2B99/9WbND8HibzgN+Cmatl/S91Q1
zAKB/H4aCu3IL58vH8kg9khvygrLOXv8wjqcfj6cishunz3YPIt+0b+F0r+dNyMdhbMFBnN2azOE
HCJn1jLisT5Yyx5R79xhiSf1tKXsPApRNw3cnwwsrlfJ9UePRZWXlEz31f8FPzsORKRXNUb9hZ+5
E4ApmCaZGpvMrh6gBNHk4ZrJk6fWYJ+UEOFQxIRVyEq6nUyW9habZT71Cq9QLj7DDsuRCqJgqTSu
ElTOn8CtoTrPgu+oc9Hn6gVw744E9GciSl+bX3lAYc0U5DPrmzrz6A+Jb/B/yeQ8xdp7QiLS4QFu
5IMEe5sPp2T+1vmq3/F24CDkibutaThWU2uHvWj1MdWE7YkG78LPKe42dQO263lzbTX0kr6NefSW
5qI9aknWKiRCV62J0g8KuvymBRhSnH001jsjC1vTOAKU0ylTUbWYEyDEdqelCks9cvLWT2uMhZUx
dLEp2GcxnOfUo7qOZ7ezLhTlJGbY26kIC9x58b6h6dEkSd3E3fzzy7symopyzK0rQ77ZuGTbxItR
YIEU6C0HLpp53+msFHzIq4ZTURAfMJ6AgZejxxRoAvmBNdf2MrTdA61iW0wuOiehnvfajf8JuL6X
3FbKwCZrGomtl43Ydg2bbkMKW0oYPTkvaismOrebabNvUx2XIwm+Z5Edo/EnToqRdp0mJsZ/K6va
ZEGWm/ZBRUVwV2rsyyHwTKFa9SaD9hCweSkGrdLrKNPwJZnCEBEJxrF9vVuqcQLkJsBpWyZtAFPk
ED4Y0vQXalc4m+YZWViaDIdt9eW7itS2b5qlTqQrZmSRwdJJD2GPAdEWuloauOCkbneRjWt0XbxO
Fh5XMtnyJ5GwauztbpC5OcFhUOe+HovcE9thDPp96HlJ3VmyQ7wYI/RlLDqLVFKiAgtDdOz28PXv
12nYCTbaYhVAGcez/yGhrFVBqPYhAG/CRcFuTXAzhZm8Yf3NK122GD4+efVyg6+QLaqEbpMhhOvB
cQyVuTZJjiN8nRDPoPNhwJBjxtoBhALnO2+6AAGIYcQt3lWxmDJEdrtdE9OuHoMnmjFRLy3qhzSn
xw59dxn9BKY7lcPAhD2PCCe8TN56AQ/nB8gY3EIGF2UwYDAoGUWZJfwPdPBdMazpWkyB3x0sDIk1
Qz1yZQmqpiW9cQ4jIs8P2K3EjqlFsWAXlxUyNa/wssqyt/2nQXdx1J4hRW+aB3DPdbot8ZkRDqOu
l8490rfMP8qGTiV0vrwaOh18MKamch2nd7wzB7hAKtN3YRVMtv0H8va84w1PDyRugQdwEDAaHv63
pOP42Bp11zDXlrGwaa1RYWGCCNB9j8M3TYF+fkFBasuJLhrRFQ4BINkPrPmGqT+4e32Im8wM17lT
xw0RERtTJGyk/l/Z02Ftm+d2fo/YdLBmZocs39Fr+n/Jtsz10uSHcFs++zkEcY3QqV7RL+yifG3+
2DSJd4tJgt3QjRMtQpmYAxBHPiukv33qEDtTSbOCF8Qi5Gtm3128DQXbbPFYbdkQvOUq+RvRUO8V
wfr2LeApKsiBl+3kr3hEPDa/+BONIGPkg3tSZvpNVL8iLyK64BOptrQgHB53MD3kMw+y9dAm2x4F
2HEO1Euaugvnzqtj06oXLHA1NVJs5GtpmxE7Tchw8US+lYZBIhCwD9RaMlWoDtAW4sCdL2YV/kNW
H25cl0/6RJLx5EzwrbPob7CNS6UkO2sQWilVn4SP9HmUnazJiKBKn0fjoSPfkcWt0cTRc5a5j5n5
WbkpJIfIOL73P71JMiD4IvQwF/iyza6DSarR/SFn63ZFkbhPUVOnrVhK5jicbSI5D56PFXKY2tWq
U1hJn/oGXrRbYgccN330r5kSFO2zPqwxn45+5sWIxJICyASTR83Vk72s57Rr762Y4zIEgdgS98h4
9Lrg677CnYw/5Gfm/8k5BJV0+QqoDJ67BVsClHDvW6v/m7L2oVl0CxQb8KwHWMeOIEqBTXq4vCT8
UUk6oOiIoeFQx0DasiJcwRglSDOhinnesmV7YoPZ6mBmzZmwPDq08OuXMh1VNWXQhBYb7JRV3zTH
ODcYrv3GJVB1smZiQqWG+5wtm61ibL36+W9EsHo049UCO/ArohkwYo1nkPzGE+iPPIcsRZZvcH/o
Kx1Z8CBmsF8Rl10JYJe9hdJHyGIKEog/Ew0vDY0WWQ/JQmun+ILKy8hfjVvUvqVh9JcTM501rLYo
xkPsQJGI1XdzeNw4NlJMXb5jS1sskfxOJNbMxAiGqDZBsj7L3htEUbBYJ+c4NeTvGIm5xaNbRWiA
u25ah6IHoqYy+UK8omu3I1ZiVEkLPeznW+1QH4K4sAWlVT56RT/fZ0toLqKVx8W0bYk3b7kZn8ld
bBNZMexxoi1OUEiUwSHl+u8cb9hSGSDlnUcbAEVL4an2DbZqW85RJJEw0MBjbSa4dSM/ArWm943r
0nO4/BcNvzG6uzTRgN5BThAMUIaRqdFXmS/XsNt2mQ0RUbOuVmz7PWwaCzGJl6innIr8FCe2ljaK
PwBieiFx3h9hRY/Q/NngaHv3X9/gZSwwzvkSdHohat2lKsKNDagVwz+asxD2BE/EN44lFDY/tsvB
C105imPidVc+yKMjSfjHYhlwTZrgo5myQ9SYG/rUrYTy9m/q892qcVzOIbrLbULnFmPfRtD77sxC
b76IOZqBgtDlZnw02UFk95uXEPAeUuzv6Ju11P6w6iL0sx2B8adz8glIi12Hr/FFJlBP+jA5LFk8
lOPWH7Fh5uwTlDB2I+uJNh4pJ8+nH+umm3LdpAYlRGEb5BgRUZh5jp5Xl0VlYFh2imb4aVE159d2
QZspxkgB1eDuHD3Jf4JF605hhFvOsRWv+YCVU7P9aRAwa3F8Z8GrRnIxWAsM3+hLnsvBL2mXdjWk
MoM1H6F87Wfwwnw3NVMZMct3ok+bR0hVUoutsTu0kuPe5mI4Zl1sD3mykgquBy/FjxhEuxj8vT2j
+VXlbrl0niK00izGm4u4jSnobF4kxOAzC5LpSPwZJUrU7cKmGWu2kO7snPiIiHmepcJarsUF1z4w
04tK5cVEDUpevMFFPgVoN1ZfZLWX2vxMjDqZhdkyGKP1CCt7vPfcaEqod+3OXzNVMBvwd+rQb4fj
6EEU9s1X3KKiqSXycekafbIId6rq8IWjBEDfGjThB9gfKDZVglG07HK/WPnwuVK2z6HoD5lEXEUs
pzSZsInd8gAN++KXifbG3RIstIRNi51A784rFnfhHrjQ7N0p99GsKNO6LhkP4HrncATg1Qbd8HOF
Ll73Mnwd3XyeQwHteoIs4yaEaB0dryFGBQXwISdMvLxqWNsWZwzMzGhRvZ2TCX/TONKySYW4VIcO
ZOsvRLBxFTEEqcYlG45+q+BCSKGRBMBt+ouMq5HBeM0yshYQTN3RD/Kr1bgGmmgNS0+GQBjAHRQX
c5vvA6oFijdsWRmD8ZduMF5wYB6g50CCKg1UtN+cvIS4bMI2N8UA1yrOkfw2JoAeaN7/tyKGuRug
Hdc+QxnVpuLk6Twq+IKtBxvhV2m9v4wOd+rpf0sndtia+ZrKtnmfciKQx0QygSS9LejGw7u/sufO
J/l7ZhJc9razPxoYlnh5IanGtfG+xsBr9wArv6XpGhRjn0b16Kc71mbnqE92mwvyCvW8q1wszn0H
L0jOW1Q6jL0EJnzqx/XKu6apFx08UKU2hQyIf5ZJ9q40VMqVoymOGGKTcP2ymFdcZljMnvxSen20
qzvi3r8ts65XnQBSNVYyjA8a/sEyBMsmzcIy3sQhTewrRYoVgV4sn9oFof9IFfl5pKB/JUOrC4Nr
Au844r0aiT4L4uIlV6z5Q+MVwiESwe2Od5z9Zs3iKoukKE6ogO10pFGRzT3qigQGrm57BJp5f2jX
NtfNDVWD/3NSFptoG+q9B1BH/8kRt86MmQ2Z8U9MskGCNYqaHRVf/QqiJhFgZWoASDezS1pL6mnp
3pcWW8XaYfgXNwh4Wwog5+h1bNcN8W6YveEVer0p1zZLf0pPXvN8wf0RRvNtJSuMeDwK9n2K5bk9
FMpBT+YDP+J4HBEuhsKLT4cVtlWfkg6OrXHYU7DbduGUNf+wX+cxQIIAUANXV2qQJsY3UinIBcAZ
QU6YN/NqsWyr8Cc0A2JJTTUu2GbPAbkusC+N7Ro3PEX4fUOfco8wwpEOXc/sYVjdi2H6gg7T1EHn
0iois6mxnUghRx1ABLbCfCqch4VYx1cyxXAZDI82lXfEh+Vhc6m6hwK/5dzFH73D2lcKpcbwxUPO
CX70afVttdi4fyw9Dx/cZhS9DN/Hlv4eJbsueH6LLvIeC23Cc6q35g4K4mmG+RD7VdzRboMpLfXK
3I0T0FNr4TT3oHj1Q90E5jSZuSZ4rd881qT/SUs0JKoOKl8EqTVe8kvi2+nJDqjZt2E6SE/+B+5R
OYzLPhiXFOFoXJxhfrLdhtxfzz+hHr8N0frd2gVL5nOqbuNgKgBcCitjEIXSJK0IZr33IexAQWZU
gWWUKlxf0lPIwxIsYmrz9UDEMh88KME8n2b0l87CQD2ejW5nbFG2PfoIOx/zXo5Ha0+94CfSIC8E
Q4orltzviiDdUBPhsAc+E1KToJcmi0SVAuxCPA1sV6A+PfDu6p6sRxS0CNxiNnDCT2huSAhVREOr
nkL60whZMMi7jaFPGR8dlr8iCz94qM+VffOoXM75uJ2YoeI8Zj27oUwE5nkUb42FiNiQ0FQ5eC2v
yLGhEhDeRQjMKvWWHbjJPzfbMeTcyJ4qclM54lSe2s5OhH+adH4OnfvOUeNSjhz9JrCQrOPQ3ECD
KhOIz98DDe56Cs4zBM3cl01JZrpDTjsqIv0dL2mO8D2+V3TrusJmsccch09KbfMrXwKc5fAHYydE
t0wV0vb4bryu0kgDf/VZcs/I/EpQqySJdRW+CHSj2C1uijT1RDV68zWx1N/P4YBKIUG/EIshq0c1
wWks4z0RM841C7wNsABgfNHwwBjKFTpuT4AOeJBZI74bsRNqTn+Dyi0vgwLAtx1tiWXEuy6FYJ6g
8HxJMk8+M+DHakXRtfR9swD+w89+LH/ULbQv7fAjdYW0YP3y0oXpjeamXkco46ifFgxeusMixnEv
qT4N6drjGodcJ3Ag+cs9TZ6aIGE/WXS2G1LABPKxXYuYRc+emvoztvxuu4RD9lBDWnMUwqGn1zq0
4XaKg1GXGGUkOw///mqe9C6OlqvGUi00pj/eW/dviNp/0ZRkCGOIO67J7thLtpfjVPEuVVg7Ppc2
es+a0P+GmCbQK2SiRsfH/2UwIFNUP8Wkgvg4NYmPoHuwlNqgUBB8bzvv7hEm91GrjrMIHPatmW4P
ntxxbZ/aND1Ey3gBUiipCIT1eQbPAtF8dA0BH/ayQVYdwWBM3LvhCYc3VrwIvzmExNALgeJ3CAbG
/X0OFhmUpl/AXbDTAuXGxxg9epNo20GAbs/JmGBvntp2baYwfJhndUE/8Tfpohf2gwPH1/pikp+A
+kswNJVgrSwwmZ4fDcxJwN0j4z45WQGiMZVN0+jKop7BNlRUUktL//SzS2onzVoDoaBq7D6ZD0HO
cbjZdXpf1g5ojsbG6sV3y/KKOe1FtnDwzDz9h57yofotuC6z5f2NKDDlAPpo2j88JMcRFdP6M8J0
I7sMLKEPJ8ekRoGpIQIR8DH4OkTFxh122P3MB1TfeQ/D1HOq/b9x57p6bfseCr85YDwwFkbFL5JO
Z2iSG07NZU/yGefomAL4Hfs3hPHAsrtkg1/FfeYdV9WhG5kGTH2M8PMipOt/snF401d4ArfB7eep
f0CRxRGwQLjlBgJYox7Yb6MBasUOlG48RAICqY3SMpszvxYyAk7kDU7pCnLYA0ehV2rlsGmesdch
xLuztmuHTQrG1GE2f/GMzmjuIvGORgBdqml3Bq4Ffw4ZrsX+jj6vxNbHFW0awwjBa59h9V4q6ZkX
I2JVRAurkf3brWY8eDLISz83IBGqCv1uWI6dsOXWgiZK2PY3Q7V2Yt1fuDTYDscfkSU6UUxMYPdx
Wnh7z+u9m5sJeKP8qoYVpHSLCULsjQwYLgPeeLuY7CgmcAgTut2QaJ/24xrjrzczoGA0z4sOtVPR
W9BXiLrRTH/4PtS6wBFSejp7XbDEG2wR0MLhXEQjpBOxR27SFjqfyKnBhocJXpV3P1KsbnCPlSIy
8Is8y2U6mTG8zxjzFrhpwlpD0yuCzWSlW9IATX9/FTS/ySx8EgvE7Ma01YZGCCy7KtYL8qVRjj1k
YFsGFqSmTAZDYSaKNjGELrU1G+QDL/IKzEuiFwr/T7XOQEwyh5c97UvoikiMx8EVLX0x0TE5JOso
cd4AV5gxF1yiIfrGLlLoFCsKk27AICTJgSEFj6rKs605YtNTh8pnURqgjaXZj6gN44KnNtxNmQCF
ZlqD40BR32DmRF3hUMtjb2rfiWeEZYFQBcbhDVPXMxPhLgGYRaftM27KgwarCA9Jv14QdnUCGkmK
4AzPNV5/5/l7tCD4ceOh7gdf/g7JEr4Q1v8ycrMIpaxcVn2c6VqMU8vKmQXw1uTGFsrIrK0zFwAO
lMfZ3Wv5UwMwGnqFcK7aNQ6fqZXuc0rQr2tJfYCE+nfItLJCZeqVjZfyc8SbBgMn21QgVDxEvLag
xdA/oRffAtQkdviF3ywSWChNyNDUrTVI4rAfOOPy1uJqs2Fb+yloD0tPDigwL5v6mQMsJ3T0GP70
Y0Gx1wW1wPokafdwepUPtfgQMODyC+d1PwIzn3cELoOtaP32d4J7ye/Mc7etT7kTQpTLvKrSWfZ3
iUBlUZglc2EYlMoWI82/JL6tqKIMSXfKbfdMQhVo2+gErOJ2yAPNi0aZa4asiuQnLtJdE+kraeV5
Xfq6d+lccchaDz6GX1mg7NVbW1H97yML94UFHkCX6qqb0JZu44QTabHPlHYNjnJTyk0Wxmv+Sjt+
sOQwOLMPGNVgO4DgE4S/af6zbDS3x82NIyq9wOY7oCNRP2AlNxomyH65wVTC9yCIxN4xFyNI/RGO
MRYJjGS7/DfAhI9JydpT8a1b188+jiFe6/nPJMWJz0Ntt/HRWpqdYrrkRbxFJyLxfWAxbnSeIkw2
RgQaNswX/6ev9jKDRJmT51gRzJiWtq8Hn3hViq2vVe4rHK35D5uSZ8u7G2xeJTaP8ed0eLc+n0tK
PBB/gvTMyXxdl+GQJd1fS6K75ya8mrihrlHkH5lnYE9YAY3tOrlLIgU9Y8RJnvYSrBr+PqcBejY4
+q9KR6cUKxPgJ/HkNxkAWR1M7sGEkjZBEY3erzmU4NgI2hfKoQcYow78mIFDtwMe6GsQzQT4AZt2
EfwKr5tterhrpjE/ajUCupTDNXnkk4o+4nCFqcIlhu1ZEHpX87/BREe6pC2nFLTbYgEO/XeLfZ0f
64JkKGvG5DbF8HvseaDwePXeewwc1t3RdLi2GuriDqy0q1yjCM/yGM63gczNhS2Jhz10IRa0tSl5
msY1/6IG7MJiW624QHnwQWrKML1wCmypQooRn0s1/RFzSFqTtInOmlPAhIaVxq/akHEfGICTRi/F
Xgcn4eAh3YZ5iUv2zifiK042W0Y0haSjQj3sRxCB0aPmjd0v3NjbEnXr3sfDuAsinjx1coh+sfBn
hOtbeUtJjHonncjfFcHeNQrMX+i3onTYJNFhUtT78qBW5CFG1V7wbUks+B2jTz9wWMJr5mU3Iw5U
j9yg2OkY+icPvC8TspILse0dsLsFUY48omwJvnrwx+tgwO5g6SiIFYPeZ0kP4R+d7oV2yUdO5neY
B0JMVOku5lbtVGzi/2Q8HlP/6ufr1cV4FvAEtZ8tcagt0mey9i+Dt36YHlIxOLTpfpWpjz3x8mfW
mjwocLV1i/9hew3oVd+gBLGnoVX4Ic1KL/lkxM35WZ128GKWmIikake7BeW2/6ZlBqaQXj2E3kHU
KuHf0qX1sCLWAdCNgUmDAYQKELvuE7QlXb+e28CdET5mJYZE+fMIchEZcaFFHmhNo/152TTGv7Bx
fcWhAjyKCFhlQngOcD1ULcaWnzxEb2tWY9HU6bkORRvdMwfxAVAfEIfn9gBHpoFU54GubuLkCOU+
q+F6wHI07LwNXpuxA6lokvjQOKUxGAi5BpKSZfxfo/T85DRoVwcrxw0ju6mFivP/xTapdNfEvw1Z
DQwiEmMEEv81fVqmWKt4yH50l2Yz7JSkHhYP6Z/m2M+6k50xE0unlF16kKJOcKl5RyNc9qEms9QD
UZhYp847gZbU3304NOcy7j13m9YcxAVALX+UY1dsGnU02xIHfhA6n2KZpwErHZZw+MuE7GtsdDTn
1OptJ0Pe7bshis+BNLzOtPM/to184bL6TKP8qLglF0gRuPxV5CV/HGfZeeqGAdecg4PWaxOMOjt+
8VZGrotR68soUopfb+5BdoiDN8+GCpwtqszFLHL8ap3TB+C5+whdAjgR/TCdAW7DaQPCyniVUdoX
htLlq50b8UKSZfm1hoo0VSzBUCmhdEK1Dy1AaRWTNH1dw8Qe+DLxA7SrFkSs+TF0drpjj2ZwVnjx
j2vgxuOMw/o8pHbCSukYviNCqNhFoPNdhT94X42GbWsSC/vP5xlw56G0GO/5a4RLeeaicJauj6EJ
FXDC2LBUd3qlT008hLveE5hQYGd14c8alxucI2i/uqeA4zc/y2uIkhowDJO+m4D91IYpP1oBtaZP
qLxPUsHMksD6EqcqeHFB3xzJ3M+YVqHrAVB6k0+gGHJsVnJYMKONjYDmZ3/gOYaAEQwwzgkrj6SN
gfObIcbFoP7hM5Mv7fGpJFJJbIgJQCLzouYN8wObVhnzOMqz5gkeLf+nInQjxp5AiR0HNtv/0mWQ
rwEcl9dxdBaI+Sv8a/h9B75XwhUM4GTOze9pdt2/ecxTWkxZhMFbBA8PFAe/Mb+4BrS6TLxcIDfX
QFselu+GuOVGu80Hazpf63aCb44A3fxA3McUUdfDK7Ka9m46guYSZMv20C6B1BDJBb2HFseQ9vFa
++0QXPBu6WrL/LQQG8Qvh63UR9BBInDQWIffll4zfPqc/fbm1F2HPIU7DGJJMSUTP/rNtO34HE3l
tg7LDvsXlnNmJw8lYtNUjQEHnHW6rZSXrnfJqXkHh7u/498kzuj1kv9IYjGMIR6P26Kb+uANZoEW
8mMfk6cmS56bVH/E7dyVDUy+VZc0SEWOWX5oliB7+JDNpj22nYqnZsvNtW/d9jn3Cya/Yut/k4x+
r1uX3EmUhFXTDN4TYXBFBtRrj5GY+pscRxDgx4mVxge2Lkjn8QLQeIILvWcg4Y0UfjnRPEcZouTY
qNYcNhqmUBWW/k6pt+4t69tdGwyYJGxjegs6zc8dmfPaKjrXrY7KFTdDuSyuueggwyO1GghAmJzh
3BI/HME4/JWDW/2kuLSfjKxQCJ0C0W3Sc/6foSt96Vk4vVlmOkAcVf6XcUK+RdeZO6CP9EkD9W1r
jL8ANgdgURZ42PMD5gA/FVKWdfcJH5tX2SC7r34z/N3DlK5uvB9fYT6Jm9fo9zb389ITXfqnXdax
/OlyajopZAdoABJ9FKge8vcGtZR08slFoyh1P+GvITW0sx6O+jzwwlfsweN+AUJGPAESnwQh6id4
rtDoyuzKtxGg/jACCi8y8/cQB/HO+SMOkxF6HU5AfASg1uWhHzh/WsyaVAPvdUXDDmJpAAtfB/vt
Ezrahh88SFNTAZNm+mBYYVrpPpx37YwoRD24iRR8hLpomnGQJ5PMOK5jDUs0npz5a86Migps7QjO
Msbk00ARP2LUt1Q5g1Fvy8WPaU75aJKX9CRTIoErmNjR5dtyiQ1t4YFdiMHkbo5rz0r/F5W5qzFC
wxxO36OJQdRHX+vhCaoYX+8qewlcxJ6IaDfswST6ohvbNeVM4h9H3tDf/4+689qOG8my6K/MBxRm
4M0r0tMiSdFIL1ikSMEGvP/62VDNdEtoJTmdb/NStUqtBpNIxEXEvefsM6Y6Cs4uUy5jpg6bpkCX
p0v06dGJS9s86OtLpetDgu80GKQ++7oOBDpNtqzcJ2lVwAobjOBSGLTpGSxD/myYAmVt3j9FYKHd
onfkedKH9imSszctNu3jOFriO7DDwlxZ6VxpdbortZDfYqNXGb/qU78z0BBvGdWxa0sZ/rA5siMe
THY6LCHF3zWhLgHGlIC7GlnzNsrWsfN155mOABOnKnuysejkGrKocUjiH3Gpil1bQfgcS7Os3dx0
yiOtj4SoFz3dZqVRPCppZ95MhSbRldWKeyfwkR0yHJYfYmbKE+rkeHwZYBZecR0kbaZvyC7vyOhd
aGpdualiTPcRgs1VMorhrdDQJBBdLb/S/A3vmP3QGZ6woARNLj1FLUU29ccQbUnaITSt2V/iG7lJ
RGDhupfa95nIM0+2BlVfFWUq7+W6ZmqWV2h3ZAY5PO2hhSIBnS4aKkueLkxSJF4VyZ7uAlCY21Yb
5FnTxU2ECFmsVQJL1wH+mU069uxzhD9seqRpJjO2hueyG3ReGlLFuSc+DoO2ljS5vBsjtrjogWJ+
OTR06ykqNXaJmjle9mHMyarsoauug3ykAcr3DrQ/Vtt78iZ0cqf72jjaEqOxuhrbB0ltzAc9apJd
NxVMYI2woW2AFW1yx2zYo1SvL/Siyr63OvtJc2wEx8O63WUEz1PvSyxeojXfJJ+trV+OOykPlU3K
BddBO9SXbNrmZMSa5EJTogPE1j+8kxMSwwJB7yW0IpVTMl7pTNjGM9qk4IoTRn6nkEhAlzOed5ED
+W+SPTjHgLHzMa8iyL4W8rsATuad3JTfoMEy0pvYq1mBlG5Y0s4q9/OBYUkTXcXkod/n+jy8rCBI
r9K6MJFhoXHngBQbWy3t4+egNi+UPudoGJlAvgrJ/NoVRbzukiZ6R8A16Ci+guYwDtZ4H1eKhFK4
UVRa5jQ7vThD04QWQLpKUz+lJ67VxGxGTX7jNNH0UoowejCaQrmlDmYTj7qpvCp4Pb8bqV2/IucY
D1NnmbuWWdF31ln1nDSckZI28+/NZprCS78Kv9Z5amwZDqjXVmeO7DOapvUEr/InkRjN3ZDVCYpP
iYJF5h75CogdiiJUDroUyxQ6BeRSK77Uat/2a6vJqIMDd25VEMhFFkYaGreO05KNYulooiP+zKls
88ukV+ad8JOhcsk4zYeNUtBYkiKFRUfYHH4Ax0lvYz+tmZFXTEtsWtVfzITitW7pWnIkUWeh1zBU
zBqypKrlbeI3waViIZNEOEK+hCogAPacAcL9WBH1c5OFlKxuJOsnj3PrWg6Ttt3qVZA8w9hMrnyU
wkdRtpY3RCmyN0fi5OhKuVC+mM6E/ddkquDKhT+5MifmjdZawb3st/amUSv9ouvM+sFHeHOJ76Ul
ozRtnmkfJ4i4WoQsGlLMdVYONFyxpdxrEYw820aLO7QVBa60ol3Zi3tbbW5VQ/Iv2z7SNqAHp0sy
2cRTMYGkDpt89u7QGqxj1Vr3AUdKDqIJarWseGnjss1XzWjPw3o13leyUW+UIYq3eYYIK6HT8yU1
9HDVGsC/fBKd1oPkG7cKRJBDhjb4coy49BiO6radEF2HNekTkxVy7pvQqpKyGEnDl4BN8mWhSJIr
ak19IFJLxycBaS6wS/+qLZz8Hne5eMs7TE6ugC16rRsKM90akdAGMKw5z5p0yw2nQP6moUS6FZWP
REaxxx1OWeMYK3pL/ySSv8V1313puuANN7byrR0YwaquJHGrOYDIS0zRT1ocNNs6b8MrJxPRbc/G
4YI5PX1mtUolV+M0tuI9CmvZlqMNh397kyWGdev01rCORzX4UrJzeioKetajRlwxYXfjNi5N+w10
BclQSIvfMUJ2boDWZmVO4BdUXxdbJ8Va5KaBMG+0sba+mVXKs68nCR6YET+ga8c5O7DYCh+iQMD7
r3w6wcRtqHc/Mc7MGbQDPWD/q+zE6THQ7GFXEEj2PJmJWGdYEV+DUstRL+jNZSz11r7OZj0V+OuR
ZnInu61E61CO+OCSIcXfBarUL4adtleAh6uLMdeKiyibeMVrse9JA+KayVL0NXaNAUV8Vqw42jXv
fTjEl9At4+99lwabIamQ++iGAQ18ajFQsnUKkxkdyGG6paq8ikojb5B8GOT/Dj3CIhD9i5I60VsV
JXfs7oZ93RuNC+s+/472vL5M2jg5+JFl1ij4WH+8TW25dBsH+Ixd5t0udCbeXbWdb2nKNRc2raIV
VZVRNIvyusbdMse1dVtQntqhx4zyja16+O4gXnzAR6sRvSNgDMl2YI2uUzJbmK1HDro9EXwJ4p5B
faNIzl6zBn09WvxEbP82o8B+2HEAz68HFU/NUE0EOFmtiX/GtHKOO8ZBGpNK5aU1NRsOGta9UsZM
7XCUBVqvvNS4Mh8LxWz2Q6toq8CMQqBqOUf7oTZoTCY0Xso8RFNWBB03tNUHz8ot823Qy7Fak/st
dv0w9pwK/AuKvMqUXPVvI4SNPyS7pO3RKJhtVanHRFSWEQ+0MkzNuMI1Hr5FRqbvtbyztyoyZ8Yu
TrZX4qAgngTe9qpGVXVRsirZ3eBTPlTzwYlOyXhhVGX33Yd+/xCEBiBuULDl1WDZ5VulT9bWCBGg
qUPFHZBH5W5KB5of6tz2rYbq9i9NhMoY6Kqz04Mg3cSGOV7lOqJGJlXqq2yW8tdOGOO+y4f+dmrV
+KkI+uE5bxJ8IpWMPuNqUNvi0I9jvOmbaNiYjtBwCujO2ioRH+OhGV0GvrmLxD3fGLwnI4iIhfaq
sYm6yrA5HGIaSoH7V5yUTpXLYbBvfafai0JrfsQTQhsEzJRKAebdFYWEqkTp241KXtRKwiq7acsh
W9EzkXZZGNSHGj32uqhV0Ont9F4xycdmnqHL7EXPCKfNTPZ9eKUZpeoi/dIy+0w3CRMI7IAZU2HR
6AXDXkY9KDbZFl3JRpvux0TSr6p+PiknSX+BCz/bx40WcZgOGLjY1hA9TVbBvJLnkCkV+6MjW4pr
u4naVzOUjXujGdGY1kmBNQJ7M6qrMFmD1LfcWCvbK1GiqrfRi627jCVSN0F0Lwbp2UzZQDZVql4A
HAgv8qiqH4YpHLBmCP0Y4Am6yCo9X1tyM2zjeAyPf2lNx6lbt6J9Db51pZWSsy0My96S1BBhdkbM
GysPvKGYwDezn6FBdCC7lUEceCOVzfcg8NGPKgm2CI2oyBF6Ko+bZanVN+pDtuFkMm2xHmvrdhRq
4f4VoZwZcrk3dzEbm10chig5ak6zfzUABexQS8P9gJ7Oi32kw5JJtK+ix/0u4uSxazEF/Q0y+B+n
8W8O2n/Yl5cW55P+5d88z7fFe3bfVO/vzfVL8f/C6Yx//r/+10v8L07nVV69v/zH23v6Hzd4lN9/
90jz//zb7Yxd+j9NxwSOYBK1rTkyhuO/3c4AXmbjsk0mkIwJHXvzr25nWaYKg5CnDAO44HK8i3+6
na3/NLFO2w6IA1O2+Oe/43b+3f4uERBIvYZtvWD99KS7FbOU7c6xaECVQaDsQnuS/y1Gxz+vvsDk
kLApy7VfSscsNr4KHkt3RIX8y73+n6fuV5/2qU8++7d/wYoQ4oFnm/P7HfXiFqWSva4Nyzjz4guG
hMbxvhTA/Y9ZGn8r0JHTKcRkdt4nn3+jXz651tV0SXw+ed2zwaOJe4nJ7DNsyfwJ/0mA+OctX2An
HGPSaU2kwR3NCViRvZS/pJmMpoURx+G8z78glvT8BGma+BHK2A6XeZ9srVT2P2EHnfpaF+QKu3Aw
esS2f6QnSGtL1x8hu798/MFP3ZvZf//Lja+ZpU1jFDlHq8vZQ1XsNA0lAnofyp88N7/z7v5x92du
wa8/ocmHYcpMRuqBVUyEWBfFvjJqZTUYUcNLbBYsK+2rJFvJJ/iVE7dLWazf1GaC2KTCPsZtezOh
LaRXoo9/V/bf2BX/hyW2BI4ZjpZlmWFaRzkwsa93ZHVWxicMqp+35A8PqrJYvwlogNaq2+5Yl8pG
LekeTDkhnQe1ebSnh7zCyMsGO7lNyniDoRTh5D5tv/v+wWq2/DN3viMc+uQXXaDx//m9LdZ7mSu1
PjFsOLZ+iZSy307BpYSTOb42OYAa2utgY0eUJrdTD539bJHrkbFk07K88OUr4eAw+vtfZWfMf0cw
1gs7i1nJSKrmj9ne/vEj/PP2/Om2LYqHbFe+GMKuOzIUPGja60i/2uSOaMMlLkClx/KO3VIiemcq
t1JbrCAfuFY6rOTMYYpWfkLb+Ykn+tPnWNQZVNqxVKkjQzkxmxscFMela4tmp5jcITxbKucM2q5H
xF30p13uTw57RsG3gRbN1313aBCbmYck2eLYcdkLfXyHrBOrXFF/X4MoMxIEvkV0LEWH+6qyDj3O
YbvUURzFhduk8qqvIF6HRXGvSGnrpnWH1t2IH8FVXNVy+SMqnKuoEM+OFt2po3TdOtHzUAcPUg13
BQM9To6Lnh1iFY6XtiJdWy0ijyGsD42vPTAreU2EvO5pEOA3Hb6hO9mEabl2wvCylZhQ+v4eexaS
qOnGbIZ79gUXSKl2tLIvpZBkXEm+mO9YBJGDXsINiV67SVeOsVR/i7LyOisUGt9quXfQaIVReoxM
uEqlhOclxe2dpo+91G/JK9hUBvxj+BZEIg0XRlRcYDze1V15CajiRlOyu1ljEUBHRGjlezR8z6yC
ixqu9CLALZiUntrxgoMLNGCdQBfVpqq4lutMZxKk1a6PB+vj7/xUFVwW9mHi1T9ySGdwvVWjivaD
2Jx16SWALe6xSDrstz2954GYGhMPZfH1vGsvireei8Q2C630Shw/bmj6N7Yd3X187ROrQF5svTqp
xqdmGaUHRwd4A5Lm8BjPKV10Zpx/jyD3j7I5b2l/fd0hjBvJVxprb+ydY6unF7GceB9//hNf6RLr
ZlW14mDNLtEJS607pfldi1Zt/fHFT92cRRGVjMGWYi2oMVza/UoyEtoCdSLvEkSIZz43i/o4GLZT
lKZSeTh3PXKl0fmY2WfBCqduzqLEtQDRYWlMlddbvG8cI6j2fZWE5+0p5MXyZZQck9+c1l46pF8t
Gkvoz98/vvGnPvhioQonHCM5bCtPQXZPd2nywIUXn7yT/nxx6Ge/P42WLaUEfVF2Ul+B/c4nh8xr
nbVW9WVyc6xJWT63ebxkcL4TWei4eSR/shc69cEXazVVqzHW86jxRG3vsgp1ds0095NifOri/7JG
x7pMbC6uOv6WFs2EYaUe1+d8n7ozL7BfdtS+MVR4RG2qTMm0HJ+bsY59EE0fX33+4v51jwEP7Per
i44JSo9k0aPv18LogyCeJvdlEl8yiPrR6wSuNQg+DTqrnyCRT92sxaqtTXOc5GS+WUXyg+dppWWo
Mj/+bU5de7FondwKkh61iqdWBdXeAQqQwyH8+OIn9mPkJf5+r7DMgs8rMHN0jZW9ZMKQvk7WRIRf
59ubqRwY7/CYgbQp1RubZAYfUaSP1NJQ7tgylLdZZ/jbyWL2OEymdpPKtuKSdGCtJVMxXMQ4/RWD
yTfct/ggO8U88wFaFARkL9YwSHLjMe96DwZMFG3XfHLtPx/GiFz+/Zb4rfArB2mRp1qJtBdGZWH5
th5lKAMmCfRXLWaXTVrI9eHj7+DEF2wvXudT0wsno5XnYbB0lUomJrGB1XHexRc1guAzf4Yl8aod
TX8lVVbj1ja1+eOr//mFqNuLIqFouKKw+TYe9soIIZ0hLvW+Eeu6VZSzXui6vSgVbWzU/NykIvI4
58QwmDqkFlRTH/8Cp+79/Oe/FqJSK2iE27VnNaPKpKl+M0cckB9f/Gfa+h8Kkb0oCyDcRhGhBfYc
xdEPcpNjCeuj7xZRxa5WFtMmHjpcSXaYXI+MNJguauUmDRmgfPwBTv12i9KRWylV1qwqbxL1XV5U
l232WeDVqUsv6kYuxXpViabxckv/Xsj6G3PMt48/tTl/vD/dtsXiRkGotf4MJYvzoT0o5UimjZY5
nFcl3DkBftR1gdtgncTWkxmG+rovUbAkFKsLCcIhMCTMFs6Ebwt7eXtviUy6RmDub3vsAZxuRgkW
lM+4WjS8jv2k2k2qSZJ7AXaBwfmXsvPFWpn6cg0FTd100lS6oR0aJLH6qMmURuwbOuZrpN7alizS
CQxMWaKXNYpDiAfJbeD03EgOMxAGm/VaqJP9nDgSbJIQibOGjfAeNUfz7Cf9eKGgjVnT3x83oy1/
b8c6Xsm9Fa/HpC7cqVcw+FkmvgfTebY6gaIElxBsvg5C4tC9DhFGwlJEZ75trMWCqHspHcchLz1U
EskaPz9qjUZ8UulOvJiXWYhMvm29S7rCg5YkVgxrrVm09I77lJ4DMCCMvIUfukrMyWPKw+CTjemJ
KmUtCnpXhXodyGbhUcpDAAMZ3iVHlIdB7T75CSdWg7Uo4SogyoSEnMLzK/9KEort5mr1WZLkXEz/
sByW0XuJ2ud+hwTCoxXfopWsELY5lkTnQBoPCumVn3w7p36JRTEfpkQUsqXUJLiWt23lf5Oz/MvH
S/rUN7Ao4kOUCHsE+uLhltC+2pUm7jJ5gstjJp9Fhp769ItaN05lklnRWHjwB69wIb3Fif103qdf
1LqqGNW4D9gjVWmkXmLOZTANg+La4HB83ovUWpS8VlMTC2Ch6amRDM8K+hQz86pYIcsbzuqQQyv+
/VXXSq01VqNqeiaDcwQT40Ps9J8EA524+ebi+Z8ss4y6gmtLKezUNq6ui/q8zr5uLnYwydjj+mP6
5cUpadm78LzDsD5Pz3599VuJLY0GSAMv7ZqDcPqXQHPO27OYi8ddHcg/RxllelbkoB/zg8SNe+gb
Hz+Op272/Oe/7FkqR5r80cZSVYYKHirslqtRCT9JKzt18cWWReuHDuqsMD1DIte7Spsbf5TyTz75
/JX9oZL9fOH/+smHslFbBHteKXfFTe8zSAkcDAktifArzdGxGFrYVT6+TSdqzpJljumDcK1OMzx7
KBEPxtjBbLuSbpBhZtuPf8Spm7VYtZLjJKjiFcPri2jVm+WjpDrvZ13aWKzWIEL+VFQjX3IpJSBJ
a1B8Buqq866+WK+2iWUEpisffPQJeLez+w5p4XnXXq7XEFcfusvKy2KEJAra6bDQnz++9s+EsT88
QcZi0ZooI8KY9C5viK+yxtrJdoJleatmX/wQVFFxPUTGWibHXbyr2muqPcn6dKmZeLvQmPNf5UU0
JfAxPql7P+dlf/o8i5Wuh0M+JrGwyNlApzgMKxuEiYLyZ3TUg+xfMajQ21urjA9Jd5NlFUpW6mOp
72DFxOU8xCj/zWSI/+2q6sb8lP6yuvo4zifTTHOPzcEWdamGHytuP1m6Jx51Y1EXMr2JCo6Suefb
xjUst4telT6rxCfGaPoyiTOEfofZ0xaeDRXgOzCAduYxvNCcj7bFNHsdS+hG+JJfQ7/7oivFI+Qr
+24YJ21VGJCf0DbVbpKALehM5lZ5p0RrrVD7207Rg2Ne8/fqxrb2eV58jWogYGJQvzFsuNbKMj3z
Di12CQPDf6P1q8zD2vNDVXFbEik3fXLx+fn+03O2qDSTyJF3KWQ4lUN6DWEKRQQHO/g04kUN+vNW
rr6oOT0TJMybfepZwfDSYvEy+8eP1+2Jp0df1BtUrIDO5lAif3A2wonRFhWf3fefAR1/uDf6ouBE
TTiVcAJSr2VmeQjh0t8XWh5fqxJMmAK0EkCaukBXbJfVugmk4QaBd3oHeghMaV+k2x5Z+Bp6nfka
Rnl3hbNB3gYRrcOGkyBaCOWLoQ7q1m/696HSQCn0eW+uhcGpRUTnTeR1fVHZghRgKnk03PwGdoEa
kn9yZrNsmaSDLDrTUuTWHqtoB8Dx0WjSTwryqS92UXOI6eLkmjaJl9jZu1M4z4r5SWk9deVFwZH7
QbHkNo+9oDKCjV6bFcamenfe86j+XioNq7J1a+ojT7S92CgB2dwwID9brD+za/70RC5KgZZJRjGh
APeEte1AfbCroTl2zNoDI3cxu1pimAP5iza/2iPktCC0dHxleJBpzSXKBN3LWGNspX/waOvhFimm
GzghbquQlNh71ulqCr/MFnW7eELYwB7ZTTT13u/KTU13kp/U2M89fwp59u8fqwTWeV0lfVGLellS
UYqnqTdM8isEw1UtE0F01hejLUoQ02gl1pI88aouZ1ZOMkyknveda4saFDlJYEpJlnh+GVzlan1b
tOfVTW1RgHBfxRCnxVw3afnYkJeDIX0474YsykJKgQkxAAoPI5ave+WZ73NtsXHJRZopvTkkntaB
KXaQlR2Q5Vrb8z71oiwkPkkRHDi5el6C/26f6cs9nXfpRV3I8lIkogJGLk8JwI82KXYSjoD1eVdf
FIbQyG1z6NQE7y4y7DpPbhBYO2defFEWilw1oaa2sTemwZNihthJZpLIeZ98sSr9qbe1HqOuNxZZ
sg2QTWtWft7XqS5WZaLL6N/Y1XpK7NSbroelKBzYYWd98qWWdKLrFJhKJECE6FD7s9es4Kj/8bWV
ny2IP9RidbE4/aBIktbMIk9WpR2F+Iplb5iP1FqjtA9yWpGFeajJiKFGI/HfhM0TaLWNOqqrMZhg
S3LEFtIxAPemtdquAlHZ129a8oUrpDSGtdS4UrmK2eDONts9vV+XKJCDplxhPyE8hoc0f8o5fZrU
di0BgtpAD5s8CniRGfu8PXTydi7VtdW7hRzv+JOJx0Lq5QPvj1ILIc5+G/LcWlXNNf+jmuhsEKAC
2OOr7b/J9gOOTVfXbznsXvEyIBjsrRoORDesqf4SX5aNE7qMw/m1kLdzyoC+46eXVgP2p3QHfpGo
uIvFIeH3kcJ3fyz4fr/XLVwjfg6XVOgFY1lyu/iav2YTQcbnMADR2oIWrvj7NhKkJ1fartHZvwDv
w70kOpjF29h/b7tiyw3hbdbJxYWf6iR3yVAhfUxm5UUjbx0/4D+38ztuRPgvuvQ2VyBsDeWT76C0
LJ5U45D0wVXLsUYRs6HIfOIzBPRXglTsVeW5qrHNZsZXbJGXfgYvoczgzoebKcAs0Fyr5pXFACmE
pmTSQW3rdBVArhsmdebj7+dbqJD5waGslbdtZeIB3TbNVzB2rtyPl/i01mmIfLBYJwVuBMJ02mc7
MUHhO/B85XV5ZlPh5yHpl2Nc2DPudQAienUckFbjG9+wM36yHOaH/k+LYVH1A+iY+Lo5RlhN/wVe
cs8EChS8BjTXjaqwAYOBhf3jpXdiA6cu3gF2DkSgQxPiJWFwBVLmQQ/My/MuvXgHlEmJ8a6tE89s
Q/1gE+7h6gOZ0OddffEOKNrBMQGjcY6W8mfRA75oxCc92J+RXH/6AhavgJKhtWH0WuRlPPvhEK4I
CLhggYWtgc18O+946uQILK3pwn04KTdK8/jxb3Xqq1+8H9KhydIh9mPP1tIfzLwkz3fq4osw7eSH
Rlb0jY0/5JN30alfc6lnrkZfN4vJjDxbd8rLnpjXY1b78IUwr7htKw3XmR1HqwDnJIBPYI6sScU5
FCQ+gGxQ2kNkBconr5cTv/hS6kx6ZppWKfnRMu7la/wQ6Q3MwfQ5IgKcqjkGpE6k9XnPzlL6jKUZ
NNIYZxCC+pcytZ/FGLx8/AXO+9Q/PDpL4XPaaJOoELF4CpwL6rMVuA5EqNXsbDrISeXsJScd18AY
8/OOYMqiWuDmHH17SFIPZ363QuDCtDE9c9D4Mxf0lzJnE8QJVGokPbbPv2bYaIWsfvv4Tp2oPD+f
yl8urYVVLdl6m3pzqoFidt/od37yMJ269KI2jK2UNLGuxl5jyY9+HcMbMj5rg5269qI25HFdNXKu
pKC85CfI+tu0bD7ZwKlzZfzTw7NY/Ypv523q6JFXWaq4GEYZQ7VBSl8NK2ITxmoUuFJmM13OpVKd
wb5HfON4aR1DxOuQ7LhdnocqwQWSWEtj2W36IYcFHTjlmqaCsq8gaLt6F5jbhF9i3atKlgCmLv1P
foFTR+qlnraqR3KtCif0WnjriZFscQm6OP5XEIXcITuynxkRVPAvmRjCpGOewFarN58M2Aix4c07
Kvj80DVg/HpqAq/6IiZiL41hJWBMV+4bU2wSSxC0Q8SAvpm3Dp3tr+bdVqR9E8ldW3drDSf6VOv7
pnuT2+eu/eS9cOKrl+c1/8sTawpLLoyY346NbzTulM8WmYq/8M/f/FLQWzl51dMdjb1UKcL7MSra
Lc3T6UE3e3vfwZ7YEJpZbRJFgEmDerzLJDgWM5JH2ym2jO0Q4is7HKK1HDDG6gqZhXhM1JB+hVTr
JJLUilhHdV/d9FVE0xsegttZMVbfNiTOy+m7myE3EkgzSMPKwiAWqFNzTO1mo2zBeCWXfZPVqyoQ
6oVcFexE6jjrtiGaQ74hXXqwc+dOTuW1MSi3YUPugjbA54RtYbjNNKYwTorKtcJiBqNmVu5mWQdr
NYq0Kyl0NHbyI2buFqer3uvTdlQzUL6pFP2Q2j5+scFzvHd5V7yHRVzfTtjYoT06ycaB0b1Fwg1j
lTyAJ8L5gg0rxHIJk8xoLsN/j+JBvvIR8W/NYkgPWizZ61wDnKYYr3GojRsft/4Kek+F/TQcLtDZ
WeUqU2PCa5xgl5TlS2RXHQyXTr+2dfGua2rwGE7hV4e8mSfiZIxL4gb9XQ9CfmvIhVjJgsASN9P6
7jaT02bXN0O7H83WXKcIVFZzzs6FjplzjbaCnWoPdVPk0WMaVcVNLIHAkEjsfuRMZJFaYBfmiw7G
+DZuqiOv61Ujhfp+LPVgw7UzV5FJ+ErGVuEvMJWG/NoTApMnm9Sygls/qaPbiAAIDuGN5BI/960f
YKaNCWVkFMAwOzGq60pSulUCWuVeii3WaaH/QDhE0pYaZLdcFqVHJT20KYLqJBhQCXagRi6iDorG
OEU+bvvYlF7h/6hrLYOLTT5ps9eUUnKDSWu3kbDUdR2E3T5IMuUQ6wrfDhZqAHTNGBzkLLV2piaG
rzLQyLVT6gSMZAOEbAcNFkltMNRIkdnIUMA9yW6z15lXj6UXQdA2b4v4wicbxUXfza7MGscvaZbC
T5alkP4+qBMYAGTV125FbUU+BnGnbRwUSACe4D0oeNpdCH99uoL0Ol05vEOPVaMH743p5xjbU+1V
D/RKcC70STIDj7l1JGDrJOnJu9xX7fXoSOUNLIl4ndej+iCMWsNhLvnNS5xq1iHri2BTj+m4ivEt
RxxKuvqHrBs8obmcXNj47V7AY3crfeR02c5QhlGRkh0sD3XbmUEMpADICh1cDM1GQRxf1w7NfgKr
cqjgyb/4BhTeoreAEORpMbAiGv2ityAwVR0H3pYjlVaS66U+G2BrHDU8VBVsVzEAmysja8Iq4zhQ
kMLsInMm7WstR9q1MrVz+N/oRBctC5OtZwqESRqbY1gTlRvwNtnJvV2Xm7ixxKPSZdqVIemghWE+
MjED6Q+uM9XejcQW5irW5HaLwKS+rFraNTROI+UmDJ3E33fKHKJSyENyOWkGMAi8PMoBFnZ2a5dy
4mxUR0U7ahjisc+MeCdw1Dw09YxgNbQyxyEe2gPJAYKw77yMFFh3OQaqKVQ5m0Ein+5hR5mrAUbP
W21MOFbstBjNdWMM8jjjTjAh2LZQEL/aEq8fVc/hSJlF0KIDH5rvsQTfiAsZ7WPrJDS1kqr/UYBT
Bh/Zzkkmnaq1R3uqzU2nqmLapE4KiUUve+CnJSjsgXBHYiMnrIN+W9yAYep2U5NrG6NocVfpVi3W
U6BmFzFxt8ws+G2ykODeqtbIBiHVcVONoXYlyKe9LGtF2oi8oomZ24S7TMCqCXwago2T9e1RpkG4
HmJT3tQNqrak651VlGnk9QXEzcCWyN/jpplearRxrjFOPtTnaNWW5crP8bJP2VVBgk1ObA6isowH
fiA9SrL2cd2qa0sCejmaDiSAyOh11++InIKoJIevEIAIblQD9U4OTeJyKRX6Gm8BXrqiIbDMAO0E
lA/0t0qmVmu0sLtMwoJSJZxWpO6wf61BIRZhQ9hk5IBv1eO6MW+UOldnZEPzremb9qkndeoqQIq7
L612IErLt5N74EP+MWyijq5JBWXdIHBm3apOCIXFx5Xl6pk8EO3EzIakBLB+TgqxKzKVF200mtcR
dNgK6nx50wBpYaseiAt9IItDCwc6CEpGgEbOOqqNsoDDoZm3oIDqwU3MnO3NyFw+8yG8h1UHP0jt
9I3siOwBBH62D3UjuingIP6IQxOb3jDc2rXPviWqtVt+Kw0Kw9C/+/44HjtEzquGpMBXEev2dho7
6UkHzHHo20L72hLpytMFMxAEJrUNdL4bxPI3JYq/y8K6DWOiduNa0Y5prk+uPnbEaChtT2yJf9+r
vACEDvzTrjPyGxwjXpOMXfDkDS2hycbLpI+6q8KsWdnqkJIrwgzDDqWJTAO4LMjkmtta9LVrCaXd
V3jav6SaCkAGw4RbhCEpJdAnCSiTgNqkCDMBixur1iLPk72qOwr+PNBeiiyGMCFWRMCKFYlpxZFd
zHc5M8F4GTPuVjjSNX756iDQxJK6ZdhsVQcULurWKdPDGFbRTlTz7xE0wbYKFaIuA5K8ZNnOCL1s
rJtK8rutkxTyf1N2JsuxI0mW/ZWW3qMEswGL7oUDPjvn4ZHcQPj4SMAwT2YYvr6PR1VJRma3SFWL
xCIj4w1Od4eZ6tWr9zxOfmltGdcV28JNHLy8ZuHs5UTeG/08oXg1sdrPkBkdZ9cMVkl1pQxiNx1h
Z3GntHlMVrPGvrn0O6X8KQK44+8WJ3gnvPSrgdZGiK2dbEsSQvc+FfvWqaQRl+TZ8pWfq1NdENyx
WReWPWx7HneiUATkJ407bhvbC3e6Tr+hBhK1KGTpkvxUaxnJiqxY9iVl/+wvAUHl1P9xZgEPJemv
2A9hs+w5glDuIC3ue9ILo/y6kSktYz05liZSvJ3YFW37NDzqsnMuONYeXQmByZVet1ldAw42a8v4
G7rvaz17y3qu2pCxT0Qo2IyUXCqX/qGx0zEesh7IoQn/Tnqttzcc8kfbOiPUteFJrlROfgj3x6lq
bBK9CeQ/l0b4lq25f6yla1yqdnpJTU18Px7fI6x1590PgSfkbvHTL2B/i7F5FS0gZZfyDcG0wBXS
r57xQoCW8YnuCfaC5K1T74nyvlpIa/L6kDDcZZd5gXofeIHR4Fr1rTQ86xA0XfLiK1JRVy7N+LrV
CbfwiSNkikdj1i/damZfAQHE0Mrm9Wh3abcjWXKIeU6bDRkvM4/EEMq9Uw7hviaOL2K13iDXfHbs
Sz3pZtfVghggR7MfHPYjwDXriUArysOQjdh2EP4FBlJ6bnO/QHWsnVNORQLLsK8Dgoj6+TuEOCmi
aVhAGic1UQEbA+g8K2rsj7duOQnqmJDOyQiWSE1eedvB2bn43UzNm1paQe+bg+em7wmxTckM+4J/
Ye183adn4uTuqBTt51zrV3AvSTRh9iemLTVjiE3VY1401Be4REhsd8K7PunVtwnS8pSG8scPW3Pr
tNIGJt0QGchCO/is1LYOGbmt+PlzcVM2BLUCE0FvJ1RquSQdjURUl1l3vam7TaP0suGETHhjiAI2
AeUZ5DqL+r2oIQVFPsnt0LllwQlI0GyWh/Dh5XC7dKk4E4cuP1y/yfesNvubtarKWMhsOcxB9YNy
T1ejhuxccNqeFXslu3kknjxJ6u/SE2OE+WKOecOy28WB2JBY1HmtrXu8ptay63NvBTPmhKw9FP3G
BTZ4sByHw9DNXGa1EzhZpdavLFkXMrGCfI4WQ4ZyS84bh2cW2v0u7E13jDJ3litjbjKcsvatMpPg
QoorNSGlCwu5xVfTaaKIlwbmBuBWvlEm8b4b7a7sk9cmNUUf2qQGptUmD8CApdeN3kYs89aQxbdL
5suD4/TLViHL7ma4KiNYQKN6JkqsYvGhQk/ndf9RbaWP0DdBbNu52M196+/Jh6iOXSlCqlxVE1x3
pRGNU/ve+URztxIKrCNWcHRo4iRuyfnARt0QG3pSexAqw2UiduZA5n59o2arOfSjJvQ2WeBj4YSP
ch9kt9KO+9KDkb14Y09eGwaATTjylUpZowARyfFGQGBJCwDVq2m4ZHJS4DmlGujeRI5zuydBxKxB
HH2nrV8D6FFUC755MXkJhNxIH9M5dbC/9JD66rK/tbJ0pG9lYta55F67c5PFRPTAkhOqeMoXXgF6
uTiyOJNJPjsjJD2YaLoN0NX3ahhdZxs0afDajWLMN/NCEHcAF++mT6b1rqTkiMpWuD8ragIBl/Cp
Z7rXZHjWC0SCwJz9PymQ4YNF6DdANfwpwSzIqk2zeSc9/61RUxBpk9QJNzR+XMc0d8TAOIREJaR5
sQtG5By70s9hyq1HFnp1Tl3ln5fGtOK2CckXK0nk58dbd6TZXkdDo38yawszS1vbvxty3PqaRa+e
PoGmJrfuphVQzsZzayIR5fCDseDTKzzdEOxcZttuDf9MSSa3FaTqTWlzYw8DvJWxJRfSVIN5S/9L
JCK5MVHRd95uKTihAjUsd5rUPpgxRNBOebo80kCFj4ttAIrJs3mrjEnGtckHxK4D6bBEejJ7WgFh
JIK9CzdobuprJ+LZKtxC0zSPhhn4W4fs5lMTiHUTAhR5KgMaeU4hWrvF0HUU8O17bIcm2yasNeDz
0YInwXeeagKtzA2NJtmpfcOeGpmFUYAVbzdaZNdqWIMRIM3uNZ9n3Boc5JCl5U+aLmOkRxDT2RRY
MbtJ5Y7kx3qf10rvG+1b2ylnH7i2Z3jEem5vtd1L0tuH9idrEvkG1jg9c1GKl6Ybi6Ph2dcmvXM3
hAtTt6dJQjhsT8+4quZI9Ndy24QlIOQSJqID4e824U/dz6aG8lyILrYCzI/JNZisVaAKWDCaHpjM
8uY3mXEYtL3+WTrHj0lUZGTbhuu9XBj66Lr6qkppPPilNrZt3/gvwVolh5ai+9yh+W6ClRZirsiG
DOaVqsMJ5M7N2YxiRdZ7rlpye9fSTR50X/ex9th6qChPqO3LTII/s5xHmEDE6eNqOqbdSrrk4umX
pczTvUVC3E67ut/63fQ2uT7LdEQUMjsUAeNJMRxGLiiQXFKdEwYJG7kIAQWXuarq6uBmMFV9GWdo
EqMPpZLSMtWHxcJoUFfuwPeirvcWrFegmVq+2RVvUy08gDGFcEk0UB+JJASRa6B6h+057GqIPr12
72y9hPt5ycqYHLD8dmAJbyOayb6HrX4PQsz0ibKe3ZPZZGog6dGEW0NAZ7Ybu+DVb4RFWKN8C4iC
tM18BNizftN3vZVZ8l4MZfVDrjZpakrEUsxmrGYFy80npA4YyvxhJrDiA5a/twUhhpFjE70/cs89
M4OGCIV8sxtkW2ybbNasAml5WTyD5SODRzn1x27Lw/652FmxQanweKbC74QMMAQyuIrWSPeqnEGe
kLceCrx318i9egucBByWPcKhKqmKtiojwKJUpffc2719ampOK7eeDsvcqUdrnY1dKX+3Jl1ogJFy
X7jLPU2RONBu60hcQ4lU2fzKs/TOrTTf5J44YFLn51/jYIo/sJBtngrVBo8F8+aznRv2Y+ZKtiod
Vb0CPHHvk7GHRel0pCATybiF4Y63vQCaiVxigXCjLW5MwjEHM3wb1HrrZO45cZneB0nZgHq2wRg1
BOcmWSHjiXCWlwqR4cakNP2TKxBMoCLygx6XcDPCty2a/IX3jPw0t/1TjlaHiBSq7VSBbl6a8XUZ
gycKsnsSBGiWLftThuXzWNX5EQuviECl1EBRPdAXa8JVM09oD4tzS68ybnhYboCcRsmU1wAH1/JI
6ndjbYQp8hsljeFisMmDylDP92MZLB+g165FRm9FIyAkeGt93DUe6JXwEqrc3RS1IYDWJIrfQw7k
qhaIAj458YRmI3GHKnu1wozc9+AylrazBRrw5nvei+t686vD1/Ugraa/+FXmPyPwy51RZ+PeH8ns
7ask4OP04kSpfTME1R+VKrjFvZgINnXM5pT5JWng9Wge3MbxI5oBqKyLT+jvVGM62XgVRuypBcsC
MMmsg2Dr1JL4dmJRTgYky8NEFw+wXgKWJMUxNrPQPVSE+gM5qrwd6aTwe0nW3ZbUQbFvGIKkTHeJ
rG6ufnVZ6J+UzZRXZfAi8jq/Xe1h2QiC846YR05me6WhDRkZ5Na0I3R1uZB8aTyQeZ+/ODnvOp90
eA5swIIqHKkCDPtOBBadoufxeAUVKWA1HSTVwJc3NujZjTtEVzI555Yfd1yeN93qnlXSXIQlLcAW
HZaKWvdAmcgZTJzlUy9FFlUtRYonIHc3c1XuDbfQVADrl3/VnvD4PYlehVE7kiQoAoKmmSZJQjb6
L6vv3ozsakY05a2eMfgx5FjRRq2HuazOtpOQSpA6r2slCGtpQ3J4xaWbWBGyB3Xp+x6mDF+TDRHW
l6EhcL8INQQnbX05XG3d3JJJXsEMMbVBb6A+NBqKQw1qzcmD64W06mu1HMyql79AbRj4IOrsrqWh
IC6ysc9EyXkwAQM/8sPwGqyencRqn/yBSa5t7TtIiRZap7C6l6yzg3swK5BzCFE+dSH0b8Omz5uh
3TJb0FzLgRkXvq92ph8eZUYMcQaOBObOlXrgkbSOrTT/shS4otZ84RvBFWhICQxoFBvLNg/TSDYW
STXUegefaMrVTD8HJzl1ZXMLZSvfVMZMHPDDsPqELc57mcmOocSEx8Mz0jjw/H7nuvaBMOOKkPNw
s3b1te57wxRMRHAdxsQVn8yletRrcgoCA9BrRv5+R5n5UBbrtnPC88gFN47BbsERnNarJqu1Bv5U
9Xd561x6oyYGslIvjEzvSdQ5W8n8MAx8+rULkMkqPDeqynU6aD3dpxigNk0uVbx4sr4virDZTfOq
n4LURweX61ta2+1OGp99m3+uDmq+S8bBFTaAeliQnsocT+4C0UNdqNZTs2h9yDI4azLnq5JRpgFh
C8v2Van8uWTS1Y/ipXTruBtI35+N+l0U3Xc6lPinuSySurSuu5gXyUUPtcu6Mer0kcFKtFbrg02Y
6NG2gQSMNiO0tSN8Pqiy19lQP7l2DkSXk1kawk93+0fkgmKf+1MQB2udbdJZX+jpLuVkjgDxrMOM
+zUqiiSLxBAWN9lsGrci4+Vb07p1c/Pc4V/m6KkK2K1Z+LSOZoZ7iPeM/GTkT9I61tEto67zyDNV
T55a6kjJhLCosIpDIFHOlLUHWaR4Yu0KRm1Rl5u6VOOvDorL1s0SMg2G7FJ05oGQ9zd2qcztZFEm
UeMpojCHMNJlgvq0zDdti2XXmn/37nigkDSIQK9AyeRffh8CGBgzhfrVH4K53tetfM87eaE/P3sL
d38yZu1zYjnnTvzxPPtXY/Ynx0zjfr6jNIgLiRjih4U85/mIFxhBnr5mMicIIfUgf9V+/TWAoKTU
LXa9I9+mZBRndw70KRhR+uy0c26gXj2i4HobjOrPBbr6pp/W0zD2I75Ulp8NazIiW0zv0uZ06Zzx
poBkD9Xi3l2a09Ck7yieDai4z7BuEMAIo8Ys321IWL2YHS11Ly3rmPX2FZAJXq8n2Fuy0qKVfUc0
KPG8PYhNzqb82Ck2NML1VxWaA7DWdr9gZ6lJs4oUE7RIuG3H98x2TysMV5jNRJkAX7m3JvraOfjg
uL9JnO9pgGGNmZpqT63jzSwIe3bL+Tt1QwWRkiNicY2fwjEOlu13RzZTjrQ89RF/V86ARZW/p6Qp
jZO2lsDbsxSTI1+vqehj3GAlc2yY4RTyjtrQpr+0RojALAIn5cgUc4iDTfQfgz1dKTHLdbbpPGS2
foEZzQdNzjKjA2EdGqt1KVYMjZ+nDZFlNdCCgrV1o1O3S0+LXnVUELT7xTOq/rdRGu3BYJe0I7c+
LosWGjbtLzjATSFZzsxM09s62n9HEPdju7V+hjJ89DENWjWRcGlWjhGiZrd1kqbad8lvqWc6HtXE
0BMG5Mfi12LJIHLLCqjLBde4GZnwJYuBZxaSVLoR4LEMBlu6bL8V9Z9pk2wmEqujkq1xxi0m8x7T
3RkY1WHDQJ3z/HMJIL1Jaa6AnpUs5lRnzVukFxUJUxI2bYJK4pey0wt9szSfrteZ3c1nZfb13ezP
jyzIbDNn3AtX/RKhFJtajOEf8j33ps+Fl9AIMQn/SiuLkPVp+c6LYWOCvvgyA7Ak/cCa2kIAmlHe
B336aHa03K1TC0aRMLD8ZKeDJt8uSX4gehgcclVnN560831oj6/T0Ito8esbJpsQLGaGI44mziSh
oEad+d2UWOAUd+t65UClIGWllb8jdaGN+VlBHh7jNaW6eDBAOTRA2X0/Wzh7qidjLp5Nz+H9GW4d
D1tE0n6MfD+joRufA6gE26xWKzum60dnhb8B73zY4fCbyeK6NQK7jax6rmMuGD+C7PSkVvtCxr/l
9gKZ1MsPLl7qi5qKcrOmI2SkOnRfZor1rTNkJ4tMvLgOGGXkhtM9EgHvxe3YHCo50jploP1qG108
gWqwMayu/CPn3ova0vzVamOMoQm45KZXVeStWNI6hwtK2HX7qDIap5RejV5y6X/RBT4mZEftgXpg
7BRzwam0uIcgMfpICt1GpmsVB1/pV68xhlszkcl2DSwMqPBDdnIu5qfS7YpXKJwIw242PAUCKS7L
0umGeZ+/NebAfxJKi4e2Ue9d5i7UH4FFzEHWrPdzM0IW4NJ8qgxpPnMTOI8ihfQbAh+CljqT89OT
nm0rShQ/E2/mqru9qIaa95qzPDEn57Fr64lYa0pVssrBkrPfoy4tV+AF+C4ewmFpnp2lcbeelz82
AVBFgxjaDV1JHa+WCh8mfw3OdldzkpA/tZGu/GSBtd5XFMlE1E8EGFgMr/Ad2HsmCwsDZ5i9a1c9
Q18FMWg5+qHsPRDrc11sQkVKX9YgfoP5NUZjuNGUBme/FTIy2FY4NEZSxIWlIBXBiT+sU7NbLb69
S5YbW7930jdObMCUavgAKe6BNgJTw1KYQYK419hb00+7s1W07tGYbXsL2WiJiF84l5U9RMRlh7dl
GtoogYli1YSFuefMcuuLba+SVBKyKEWxPADiYfZfmKzZOVZONqOXc1EmJOWVuXOHHWF+yDrj6rkx
f5yRzwtehfPsOnUZe8bIuLFXazxXxq9uZjYwjWVPN8FofgqTJ+G7yHaag7ONeDzANkqVLzH6gvFC
VgbC0sxmM1+gnOpw8EBG26o7WBrNAHXR92IZBOt5zngT9eL1xzSZ+CaLIEztGIYXY4bBlc91MSyn
xjPauJy86X4SV8nBnQTk5rKmkIIPOSnyMNdlCCFoTc+oC0RsMzx3Oc8TdQCtFN7Oa5Be7BFkSjKX
uAimqd9r2UEABTsN9sAjHat1ZHIzj3N+9GfpfHbSXeOVwPeLBNTcQ5JlkgXwgEvBy7L9KGlFCiZr
e2a9Dp9ZW7ln6SYSGTYJ4L741Z9kcAkE0pVFgYh7xMYXvprJbxBUxdEPPfs4dsN6nGzlXgiRhnmT
+Xn1NfFY3fGLQURknbm++noks6kcQZT5g/komrH8cAvbOYFMpzvNkvaXG0zOb4ZkPs4X8ME587sI
Uxd3BYqpG8t1yW5QPtNoTlP7tg76cOM5ZoWC7COmSvZeL3Y9Q81SUFtbKViaK4bh2KsSOW/RwZ7Z
s/Orr0zrXvOhHO2xHs891c1zQSX/GHZ5/yfV9gL5j9zx2KzM8Tpsw4VvYWyRI4YZa+qMeDVUdj8j
mv24RlbtrRW5FdhdM+kI1jvCd5mEddzkRUlITGeg5I+gfiWkpRtM1QC9FGaEjQV2+LTqIr8F3Lj+
cdZ65BnpyfDUrfrszY7+oqnDQ7GYnIwgPPbkrLvffOuhPKRQKHAtBo+rHocIfv01yp9UqAU92vPe
U3DVN30f1LtCr7T4VkPI7oa5rMtyVjPO2X4RGa9hyvwhBlnXXyZnzu7HOrUuYkiNuJKi2eZgV8HT
MrJDDA32HT8njhxH4Hrr5uBTuX6FbIxwLRU0o0jA1DYQqG37w/dnsFFB3SzfSYkjtGCiGxlpnX5q
Q0xH03TEs+jKfCBYxp1i2x5m5jUcvIyh0fhQA3wTZpUbIgM2QfeT88218nq4zQUfJmY4N/j0mLU+
MBStP23pTz9NqNGv8wSBzQ68+7EXHPTdnP7Mvls8yrESsVAOY78kmU5QQkUE/IFJjuXku8qlzE25
7i+lO7B3s0zn0nf6Y+m7GCbmwu9+rQ2XT1j+zlKRDlflpjwYdjdFU9cTyhq6yaEAVDrhbQfUvTSo
SgbbAs0UsN8eZLfMxV6LlpsTGBvfEjN5KsO8fVn7Bc5giqrRbKuh8r/cFOzUYPCnw00oT6HNOZyD
xd7ZVmFdQK2aEXy9EcMZ5p0EtfvTNML01iM4aJMCLEXtBiXI7FfcKccl3aTrAev1XQ8Sc5UcjNnq
fcMx0Gy2IbbkOTTPMIDvOlkUaumUjsWmZXRy3+DI26nBzp6GocUdIA18AkA7kOlqzvurZ3s3AFLa
OZrXZKi0ObasqsZZ4Nlbo+jo10XjnOsgyT7zgkmkmZW/0qY2NqB4oBOSB+bJuLPq7kOkfvNr4o3Z
Cm/mimC1mEw13D+LxlGzkUZd7Lts+JwKQHqD23/IQMx71qaH+6KbBijYoX2wCa28LV3feRXFOBxc
uVSM4hz0qbml3B+8hSant3ZmAzhP6BKTh1dOUbW2GNVgLvFSqGi7Zvmwvb8Qs1OyY5QT0D8HYity
4AV1bhUY8Rkar0AbdmFgMDSewvFmWAufrXsGRGlC+rI1OeOmY3rzB+y7Ro+GHqXw/GxkyTrLCr1k
7yQzapeZFjep8IA7j46T7m3H5Zspay/2h/DVkwGPA5d0+Z45fX/XzMGXP5r9xZ5STobhyouHXfnC
wa+3mY/wOT6b5D89uUuLXtA3zjFRwBrcTBTnBaHsUtuMzsdaGxFqz09V+RUZVGN1maa8o8bNieOc
pvFpwprJcN2bXr05yZlymgw5SAdnF7lArXHqZrhZ7WKJrQRGKVFGxc4vSeCzCaW689weAogpjrC/
5pi2rTrM1WC+F0GiT0s2MVMW2JbAVZgveW9g4izaR2qyFtg1EPU0yYy7yRtA2IpAxJjTLIpCH6NW
CzARBA71OlyPSKUDP36OmxNqyYdKpxUvkO/wbPT1VmRNsx2DnqatbcNb/P75bhSU1AYj7ijxyz9Z
0AZ7HaJcZZlZHRxARQdu5OHscxc1jNsm+6ybCXgsQPFHaS+ASZs52TtG8pYko72fs8K4zJmyP5Ou
51+7cbkUQnvHjA3tPVT27Fj0Tb9vG50+FjPiwEZPnnErOz1Frnb01whMsqGzdZ9CkKlEDesVa00m
271IVmb5vf4KHIV/mJb/HmTI0jJeDqyLl4o8WjzGUp1juScXnw+o9EH1n0WTzHyEimYCpO9Xoaz6
DEPLvyeiE09+YbwBYi8vY8ds0nbtatslqE6G0CPwHGfaI/0tt2tuqDit6joa13F9c9KMYcHU2xfL
XTMyfnN7Dwik30294x5J47TjiQviXU71DrMb7PpGo59kkSuxWhimekRNRwsfHBdkUd/dJbNVbKXt
2+mGqbaI+aj6aKwyzkTLBhvNMJKh3dbVUu9amF04iI5Mw+MpWDLwR0N9gj/OuzWZ+lmXS7c19CKf
5YpfTKS2+goQqlDe1v7ULa23FQvELpQNxhAUEs3Gm91Xfutw8rh44bTaXxkGSt7PUe/9RJafK5F4
L5NbjDsOhuTSK52da5yfZE044dZf2XhYrGL8tDBXfBjuEPg8OUMSV9p8VfxUe95d9zFJm/4p9IMu
27S9ktuuWbs4meH8zka3XeDTnC1Nypg92ssTO5IL8XGuE4ulrB96q8UFVbTY4e0uyO/SMPAOJKFR
gPeWOuFemB/XK5M4n5cx1nYX3gxMpn7RL9NmZmBevqZyMIuYQW+7a5noHkJlj5fc0ssdbfSLcKpl
T44qMHErVd0ltaaXdqW5tbu1i7QTfGrp2WfgNemVb7xZmD4WzCMxRLJo+Eh8zoeXN19BkuboARKR
lZwGtAu/nX5Me2X+U4BI5VCtx5iGFVZwRqNBUJ/52xaJs68aLz+6bdiy1cbcMNnYaeoAyB1siHBV
xf9dlo1xWGCpHgLHFyBE6w9jWrB/rsTTHfxQQlGVC+aogCVH0YLG6+u2ZgjrPTiFL++tpGHMJWT/
sAzr/CwF+XQtIzu27RibZ1Ux7Yvc+CjnII+wY3kHr2V+UlxjI/cEJqbnMoBhzGTUiZ2Uw4G8Ud3d
Yl1+WQy45L3blseayMxIA40ENO+9e/hXzrLSzpsX4EnJM53twjl59cv5tyS3Ly6qyt3iimAPsOEr
1SdO8tgUwcH0bifA0Jkv2w/Dr+RtF/T1o9f7XJRBH+NgsVZpsDKYrcTTY3hPGWBs/NK4W8sWgrnr
/G45kCNu958cHuTo7dPuwXSG8daGfHrrs5i4Kj/dJvCytkGahTdmufyGhF3HVqtRfIc84O5SNbct
4l1ZCfqcunKCr7AjhA3mOJaqbHX97eKYw26WHZF8iBXb0cP/OYQY8ViyetOwBCNaAPJ2zEQYMX5f
/wkkfX8H9TK777BBvMNtWn/spamfbRM3hhiV9Yi7o+AgUjWiuyE2RqrzX54xsPGJ5Q9+Jf7GGL89
Bk3DPiTKaE9GSBsIXtsuH8ZyxlCEcNsx+0tE9zu0WY3Fs9NuW5xYB4s5LBZtSU42bCWcwaUVYYHl
+pgad7+wlsqcy2jvM/S54xza8rBAeWTCYw0XIsE/A9y5karS+ViWkw2YUCXM3tN0elK47/Y4vrix
pjIBGb3o585sypjSfjm0SZ5GFoL7JZNmGuGdQPbRdDk+Q5XNX/m0iYE2YfVjebRMi0p5TJDbhGUg
JharEd5NM+X4lObhPsRy96dj0kpTvmJ3snWxHbSsXzvfbRiIoLli0S0Y9Ht+Z/Pp56yjpzVf/403
0FpvSvqMm2IZQECwcilx3vg8J2s67Ue/fxvpLH4GJP1b5eYyj1NfBz+iDrCrKTw8QdYWp16GTzNH
58VkH4fSStZP05U6z9YcKuWYL79D/KmnxmCpsC2QE7XHUk6S6/xFY6RCoNLTeexbjBFJ2Pg7kInT
xgIRxI+ED9hYwv5mwL+KNJ9jP0hL8SjMCouJoe1NPuPuo2gx963dvSFGQmhr4NuuKUbyNdN/SBap
fofmPN7SkycvFTrXPuzW5tSsxczVJmlSWr6rvfSXAx2SHVlO1Z9CVctY0Si9rnIF4jDokSvJIlIz
82G9N8Vw0v3ESoDI8XbMtqf3AeDW2zqpw0+tUfl6f0i2opr7Q1ZQ2DS6mUFYMPE4rZO2DyxuaOpY
n9ImpGXLFjyVc5GuOXJx0L33nrtuZ47FjZ/L+SIk64oUR3528KgkwCYw7XQs0KRw2sbv0TZmGblD
07whX1eP84ANpJHAIjtCkLbCYfa7WjDAxlpNl1lhriRalM2Zih7lCvhiJlb6j8LKnjKzS/ZmnTOf
q6x3jDUqjwruxcDpkwO+2WZfT4l1HFuBo8tNnXzTpL775ECTuyw46HgM+iLqeKTQekAFThD72LPy
UfYNaMATQcK/eN7z28TFjErTXL2OIbkDG3vyF/ScYMi2oXKmO1jz6UfKf4/yQNMl59yjTZsQ5rFI
dbIqOJsDQcHbNkwB2070/aWHypGSz0auFccv+v2Th8E9JkWTuWIqu98D4Axag3w6pNi3I8tY1Flb
gO06ORXHOgyGnVzD+Ud4Cc9DyGW65yZqo4ZbnWHrBFPDGDSbKUO+pluWcjiiB1ki3aTLLyCFIkIv
/lpNpbbawWlpOumSRaS3GwfX7z6AzjPGxHC0xchjU4CW6cSmCBQOdFMWPUQ3/5m8td2kPLA4iHUW
55PM9h1P4a2Zr+wcKXN8Y4RcbpuCvdCV5vVoLoF/Ktsgx1mQ1B9FUb5ry0T4zDhOXMFqR9Is74bR
rCzIuB4O8cGIWvy9jwV7DCzSlzzOiye8AjcJyBo/VTwOLozBv5Yd/78was9NxT//Skb7J4ba/ru5
/ay+h3/9Rde/5+94tv/4e6/Qsv/9169Nv5vrv2xrVKnlAWDJ8vg9qHL8O97sv/sf/8f3X3/K89J+
/6//iaG5Hq9/Wiqb+p8haKzH/XfwaU+q/79+3z/gaaFtwjsDV+FAkedP/Ac8jZm1G7gYuBEErwwK
YPB/EdKCf4Nf7qCeOcLBS3HdtP1PeJrzbzb6CIKJ57BJFBKi+Z8///2/r1n+O9mON+s//v3vfKR/
SY1jjMRLC3l1rnBCNhLMf9nK9HC2pDAe0nsYLct95s1lpL2q33hqMm4hIjZMHzkZ+wB6tEx5rDdG
O5YH6EDjxR/KDM5V6QYbtrmnm5avf0ztDMopCQVgTpu86f9qn/uflwj/esHQ0VxXmJ7pC/NfGTl9
mwGqG/v0nmUS4wFTCdKbXahd2dtp5KvqrZtdtN86ZPvJQFnYd2Tu/BdL//+8x319DXj4bd4x/uHj
+ysa8G+7kiOWqdEVxA8Zue/eJauwPyttdUesv0wuKb6H2O3G7Nffvlv/r8/quuz8j83Z61/LB2SH
Fj/59X9cv0l/X9HM5DxA9x3+D3Xnstw2sqXrV+noOSqQQAJIDLoHvIgiKZG62/IEIcs27vc7nr4/
0BX7WJSP1dXRg3MmO6pctYskkLly5Vr//638Jqiz0D42WKKerdQ2DqORhxtoUs7VVBT+A6jb2UTR
5cJYuMWkFNJ3Lw4v0iFTt0bTewmuFz9bG04lPhiX99YZfvqKri6U4eg2IxUovLz9iqln1mNbZMlN
447ZVS8xrQRuzQRNG21beamXjthiGLQOZhcMHxGbTu/+7AG5ynEMW7LXHOnO1uNf3kutV5HpuHV2
E4TVIdKL4IGZvGQ2YOuuNRrhO9iEFEqZKcCAUCmqbY2IYuUmYbSLx0Cs/vy+3r0uk41rKF0AjJ0l
o2eOWkjqk9vZNCikYTaPVV+VmxGXSrpIqwFH8J8/7GwYGU+eTyO+GMQNmxdwTljTrGYwGFUsj6gc
YWGFRd09kZ8Fe5XWw2tquQ2WQNwBC1PjYtXCBFvjzOquSuQtijsKnC7fKi98PDQrqsKgYoVfYUrR
/Xozi9Uv9THoso92M3Hs7ZI2TQKjFKYLLsex1dmSnizX6i2jFseyZZjjIqJIsKxoGV1RcOIrZa6N
jLWozGbv0O9+cKT85hYs65ZuxY+mt/udkbczHifOFnatJQ+dqJvHDx7tW8f66dESGpUkOiIt4tu+
XVaTmpjRG/Ml61LvsLpRyztkTpxdSJG0Gz8p3O3out4DY+bEgSZdT7snXKU5SAerC79bjG34yE19
Qi28Weo8OPiayK0tJE/i9M9/Wep8JhrekppJPVnWvkYq+gitrlh5Ye7cQ+EM98zI4OJiRBPqoiT/
0jUdQUGjC6L0yLzXmta8ivKmebRIcl8lI1j/J4/tdL6Z0nD4pmfrH/sho75Q8RCoenGgsJLcWJH3
ye0L+vF1TW8nKpJL3IH5Xnd1VDpF/9pNttqKYmqOmh984Gx/F5uYXKrm2KRsYqd9zmTwyY0SKYGT
+gMTiyWztZllEiIjJzfSw4SLmUu52cmk2gGeNz84M96vdJa4rlDVEApc4xwwajcJcyoIQjdVz8CA
RRLYzaNKlH5w8B4unYaZtx/EnzPSAusWXSXLBI4Fgdi1zwNQEAMaSVUb3VphUi3bwJcmeW2OZjfP
kd4K5sBxTBXY60VznThNtUwYfnZTZa22doq0eJ4yF/lE5TCBpXZRwg0IYQJnyq8b13Fu46AZ9j1K
Xs8Pp6fTYRKzGR/+vPtO0zV+XemscsfhlLUtoRyD4PZ29zmocBBtjO0R23Vx5VZGubdkiXiulvdj
kySLwhcxvqQOvT4Nifi1jcvHSkzF88jVGNFs3VhbO5TRiiYGVWDKpMGq620aM256nUfZ5whyiVp0
Ip6+6EObb7iVVRj6VPmgArP/HiPsv9GE27/mkZ1vXTuc7gZYBd/QxYPfZOr1gO7XGr6kk2F8isnq
afx41h7//3Cpq4pvqErz0hhLFEJUKy7KvoPd2VMzRdvjHj30Rmhp4Hk2o6XWna0VgoXpppu8B+mk
3DF8wbwlK8ziSSNxLsbhJhwiPiHS+xvloA+ZpuJJa0znKmq4DnZW296nktN/so6GnCLKd5O7QOKh
vaSILG5r+odrO52svWoa0W7iCl8r8g90Q0YT/whcLXtkS+dbvykMmhRDlz+iyND3EWXAq6aNplcV
GOI5TD1nS+AsoWfhv81Kywg/WMXn+0YSeB1BLkGpTzCj5DxBdftsjNB4H5E8iIM2tM7tYGXiEEkr
XbtdNLz+eb2dqC+/rjfT1B2p25bDoW2YGNXfrrcpcihNNnl4Q5mPddAVZv86yVYcdHeo04tA8zGU
UkZianlpoEzBW78wrGK88rU886/jzEhRB3Zj86h/nF+Jd+kvVX18XKZucBV/f2BaWmSF8LLUkXM7
p8WfTwfVG/WzEF24ObXEVUs7zJxks0+iSNvlIo//4SsxTSU4d+j0muxKW5dvn1CVB7ml97V9DJO+
eTzFkdNyrJHYPaOBrT84SWa239s3wueR1tHtRIlpmmdJ5ehHmiQiW0fgBdGlBVaAzRrm92mSR/0i
NbnsVjiuk3kcpSUt56Mk5f35r4QQlq7wTbn8+LMlqFVCd+1CWcdYs9otNQP/MlNJ9lrO3jERWSsx
GvKo4+h66iaVXRujeqhduFJR3NuXPpSCD7LsE/bo/IkIiyugLThLhH32BkzumoVZ2PZR4/08VlHu
s9fNyD/Nba/QQzg/pIycZVChuYWef9mWMfNNgyDDNmZQH8VZEn7tdb9/ZeZG89G0od+8MJ4Sj9pm
jjUn3tnXK2hCaL7pqCN6LCYHtpXMt3Wb9q9RYOTbWMTDa+MjF4M+ka2HYdLsD1bob7aJsrgjKktY
guPvHBfZDLl0Q4hmR9VF413tz/7vKKbMM8b73GqaferTuxYY4S7DYUg2sS2Lj66qp2vg2VtyHGFZ
zDln6t67BKhti9yeIohHrtXuKG9m15oYmg16bucmYQ71ZzX0aGwq9GcLo5Mw5MPb2I7bvcngmWiV
VDFqDaN+aX2q9ZToQwwkoj3amsgXJbRNKDGObnyw2t/dbc25FiG5Q7FdyCDO3h19X6kh3oD91ytr
j9bauW25l+5lYXNvdNSIx9ZK1O2fo+55lOf2oqPLMFnUyuavz7ZYivmNjpRXH5EgcHC7CVcYDH35
FmlJ8Syz2vogHRNz2vD25ZhzCKXuYVBI4Se/DWKNI9I20az+SFWDxDhmqM0uYWwcZnPyopy5zSsr
DPGe6063aKnYrgaMthpOweWff/pvDhxCGhkpi9XBzezOb+SXVN5DS8NkFzUcAx1MYaNq96Jo8YZ3
nh+Yi4rc9BqljLfu4zS+arI+RCUaIsrtcgf9G17maYq6zyr8aJLg+3yZApM9r17qTbyes/ydcVB+
QalDPzp2H27E0FU7brIBvt/cfhY5BhDpjmLhc9m4/OCRzGfs2cvhZDGJtwYiP+P8Wiis1legBCQ8
icJ5LLouodac5dmiYmDMK01PcZCUaW9MlOFLH5jnYmIUak/tFl1PHOjFasz6/nIIxvxS+U4zfLBJ
3gc4loxpm8K0CXFMkHj7ykq9RkFUzkHf5ARsSbyWWdm2X9jk1VUwT0x3pjjoMC0KCzlvYn/94AEZ
7x/Q/GxMR5AXmRQQ334B3QbNjr6a4lPuap/qMaWByrDclTB8gNVVE26cUoTXfqUFuDOi0X/qfC+C
fkga+wiP65+NPPpZffj1+5wl6UgX0y7uA3lEVvIZN9hOuNGPD37zbxYFZ7DJk9cF2cD5olCiiyrl
K2xT1RjqSzU1LePUh3ybYfa+av3Ev4pi5k5kOiMW6KBbl/7UocfvsngboNhul1ztm2855IO1cFv3
g0V7ioxvFy0R07ZZsXMF6t1FJYga4F4opm4GDCcb22qLR0GbZNtjJbutM0GUoQoDJYeLU7lMAytG
ztQFuA3dJr8Zg4B2ohYlDmMk/ORplPKepsqwKKygLhdpC4lL4yqzp93bv3q9IA+WzJln9ijgjnh4
KIe2xxDPMDx8w7hGvKjc9zp36VXLZSVc9H6WPsG8SRgdJSbjUdenBmbEOO1phTQLv8FhGUxu/oy5
mq8a9cA6FkU0itUUh8ZllYfj0fWz/oN8+/1WovJNGdthZArZ9nkymXYMVpQD540Me/vKyvQYrszQ
fQ6kIXAnMbMkyAMBMKZIUUfX2Qdv7Xcfb1kUc22uluQq88H0S/D13WRCdtWHN7UWaDtEl/FKQDvf
k7tXl0Wf41XD61BecJC8FvDtb/68qE8DLd4uGneuKlHrNykVmueTN8fOc1Ea+ckN6SOroguwapYu
dUW4h1P/KpSEbzAfhAATxQEEQPZDVAonf1YmXFpzao+3BQUzUF041lYNhv9qUbS1oBsKrHMxMgUe
EZgX4JOkfVhutXAQh6bUw42PBTRZCKgW7RJBWj4tSGWqe08bxk8TM5LARsFEE1jVmH28Cq2BL6Wl
89UrB8234Bwib8mmhm5gWnXiwLw2fVhmtFoeLZe/P12ZYbdZe4Q86edA78rHBmXvzkbNsQ9ORWq7
0p1bSPjFcxrOdb0/P93fvVxl8IzsOUaTzrx9uZ1Vm1lfWfGNRrsCmzY3v5tCmP7WsEKIB8AwvjLE
BRmFOQZrbfTlB4vrfS7FpdWkBobSkCP+vBruYzkDotmLo1v0ZFBZWDx3XsFbSQIU1aNjVLRVKd/9
+Vf/JvnlYxVDn7jG2u67FM4lSUxm79/Rz1z/q9GCw7DaLllyktVrzZj62wip/r5yC+fWNCZs/qd3
8T/4Fsq0bJcvIyVzvd8+fDfuB18b4DnE+EsSuCmqRvVpB+vIFv6sSviql5P3gvkYys/851nbfDRc
4zePgh6ZEJyQ9Nlccb69nRa3uzkY05EAEOzznNqVmJR8jUMpDo7X50j8ksPUJ+EKHy4Xeya9bv78
IE550tstzneQhBdJvkDhcV6lv4QYpxcFKmWpHweyGpAGts5qn0vFPrKGZOFhkwE+GMf2RTYispNB
Ke6HrMy/520YTCvKwMUz89uIDhAum8cYr8VW66Rx64Cy3FtzbuyHXb6thF0jf+hR4iYjCgscf0l4
gceYO0LehGxZ5RBITq0fJo98uNt4rO/T+PniwBsXLD3TPm+MJVmHqaXt/65KJ3TVD9Ipwg2qY+cW
hoLYVwwmWeV++RIhTr2jIqVuJffcPaMayLp9S25C3Rivqsy490NbrgcNwlbuwnNMLGuCuyL775j6
zQPag8+V2RFchqnHa8cALBzt9RNVnZnEQ6f+Z/1mGEzzWE4ICFedixEeFXyJvCKQINqMYbwDp1OC
6zMA5ESTjeRoLvVQbOCyo+Wmtaf6FsPQ6OjoT9q+a6Jy19ZYz924sdax3mefy9QnrKggW4OAyOGz
V/GtJQefhS9YWzEWika4AusPT1/jVW1t7Kw74Fjlw+gW7Y+pAXiLBA+xZ2f41wGdjo2bGBMCaw2C
VKdpXxFz6Ewxm68mJn9POoz3lUCfWx0UoczcRIFTXnuJGjYkhCwVUj512/VZvlW0Km9LF7ZQWkAK
mmJvJ33nkw57g4qF3Pi6D3xJK9rwNbdx7p+Kvt3UEOdFoXYgCKNd5dThxqLcNaRRcBGj3NxBehiA
thjlxvC6YT/1BqK4+TSK2q5HVF6O3zMniA9hRGEqzTxqpGnS70uzrBmjJbVPKuu/Z1PsHhgzFxWo
gDzAjR5M08BMX9K4dXckfNpF28QA0SIRHJWLBy1FMoiksA1HMADWjUiiboUw6iqMNTiefSvyLb6W
5jEtze4OKB6ZDA3uJ0ckJbK+WgwMwAW7tDj9S1JPIAIGlXVfiRh8UYsp2YmYhiZ7ICnV4CY/uyOw
VQ18WCRfVYODVENf/xxEpbVNKQjfMPNL35gW+sFFaWEFI7Fr04U7Z6bhXO84pW5lW/IYTi8N5bqx
9Ogdfo3iWF5z1XM2WY12qO3cDMETZevLsYfl0df7pvDzL6bXXSedcJBxK1yXVuYtaanYVMCtdOFB
Dl8luudvLDk2DwUASAw3lnUVWrXaVXEyLBvwKovYKGvUcDKN96fTCHpAiBOonEgltMx8oDVSXIsx
ZvKDVNquSPJkjetGHkIjzJcjKdnXPi/zmwwk/da3tG4VDiioukwAtA37YuV0frNB9O/A+HJhuphp
7V6XmXvXgXC7ytxyuKxQ1q5CjYnuHisZx6ePILuQgXjGvIGNXB/hNbUpEt9Vg0t8KaUeoFd1uLiM
oRasBAKvpVFU8lNdhoh4EAJpjIQDPe6qfWAX0F5QxS0xfT6J2jEIpd5L6ifxXTM4zkvfBp+92hdr
lckUiVxCFQZRFMVDACOnqBiwzR45hi6o8fLFwqxd4cJIl2zGl4ngfCh1Ymldd1/MKkDRNGR591qp
Gh/UXCyPGuAFOO86qApNZ77g9KofabQ2j3JOc35m1EOZsAh1KXFjjnnwEldEPy1CzMbvnOtAjtqI
Erfn5FH8H8fKv/JwpW5sSviPJRD5tYua/2KY8SZ1q9c3UQ8wbpSNf9TSxt8iXoL5Y2XpXkNaaGDC
0cDyKIk6bOHIaVyjfosYzqLKTyrSvYNX2AE3QofwEkbWsHaa8Y55M0zX0+3iGQ02gbAZuB0w5i5u
wYjY9PRNi1OmrqLyOSgR0y1O17DT00tG24Z0jcEumtJXrwxzRL2M09sAGgD4Te+CIliXvII+sD6b
Vt1/Q1+ZXw9aqI52mmv3uOvGXd0b1kU11OZWd+p+i/gcfbfX1OspTIsLCD3gIZk6DAAzKqAhVeXS
jpLm8VSdgo5Lk3YKuASeQtk4GM0jRgDACJACjcsgrVFBRHh2y3awdhw5xpOdEtVdM38wQv16Gjhl
p4w5eotCa6yFEUIiaHPw0ZqYdulY5hsIOfFVrcC9hf7Ip42jKJ6khjV3QBLc8ztzkMBtA+tkcD+n
jSy+F41Ho8ApcDkAMdCfczu8y3pjxEKCnQ/F8F75pn9px4m8qJJJXTemMrdSGNalgnO6NDqk5jOi
OA+L5n40AC64lbLWBkK56zRIb2y7j/Zd21i3as423dbhzZ3KZ0zxEMWSjNDZ4Lfs+7S7N3STRtjk
rklKp++Qmqfrbkzyn/WMaE6OolCTeAIoIoe8qk3SmVQPTF/rlxhKIAD4+LBsLdCvuF8naN7cegMl
DGd/GfmcbVrwGQTnla1ZEdwvv9/rPSLxtM/1hxTpx0Y15fiakfet6Cr6ziqaYDouJtXUjxiQUbO0
bhmuCk98k/pQf5J5oWELizATmJ4wliCJuffX0bgzXMlE6spJsV9WXG29Mr6uQiCyE4Z0mMjxQQyt
ic0/ZqwKN5YN2C38BGn/PWdY5rVAX7uLuRmuzZL+UuLI8N6IdRt+RTuTujvvAkObd5doQ7M3nCY/
JtlI/UB65cySZNdjL9Af6S8mR4hGzLIJRtF9AcBXgzGkDnNK9yDUhbelGaffJ89EITSP4czq2F/U
mm2vckt6CxWjKhA9X4dKNUp4OZbO0UHSssgkuuXG7cenZNS03VRk9ax/rg4MJgs3NNLzraNncmnq
peJ/c7tFvDnkuPbNmnYlG/yT14LIpXjhXnenE7KMJgYOyZJxF+ZcoKeAXizqNmKXT63LaZZPsMXN
osdcO+9lg6TNL3Pzrp0bv5kLNgKm5Jp+aOev4oQn1SpF/S1CdGCyzZR7P5q9vW+BVWxIg8SjrkHN
jNE+suwsRe0ydBCUdZG6zfx8zopnQVLv2/YXPRk0fn4cqNvBEOwZN9GN54K0gktEVXF2lzgtI1Aw
NZEHDhl/0vclGoY5jwSCUjzj7OEfAeaI2AG2au+imj+d0FjvfWesP/u1zwp0FZgH157kju5jsAsj
Yb+6sEwPlRuD6ldoT7cIO+s9HgcDXehUl1+lLPm4hBIJcoEJmy6qvQe/UNpR5aF9UZrTAFxGTNk2
90air6E5AMM7YFoYGDt7lDcSo5K2HktIJYfIQzcchvFw12fhMfbMclp23WypCC2nu6d6XX/TW637
3HBhvQISDiTILikEKX2YnO1JVwRv0/jGZBPts07Wi/y+NOtbsy3K73llUBACVJjAJC9QgADdaDEa
1U0ImMwI8TAYF9jNJsho5fBM5AHR0dkW1TI4asCGFBO8qkL/grvHN2EZBP1+oHBUq0LeYT+4GSPr
0Uls93E0B7UljnbYj3q+vNA1sq6MXZZTovAocRkkGuvRjrQVax0FPvmKry3tlKHLRW7gNwWTsTCd
4s7y9HhLiW1clzUMkYQG13PgFP2ViJW8CMyuvzAdz95PebCTkZWRRIQgz5zgBUkYmVsAOu44Yj1c
GthnMNygD4ybsdzIAHhnwnAhB1+rWb0OqpjZYr494TDItOorPpISJ0bSeIeM+TjZqhlM+Y2157lb
MHRtdJ0HsaqWdj4Ol06K8z2zC+uAd7D4kbmF3V9oYxiAzHdl9CkZ9fkEoGuP0Xcwq8+qC2rtChp+
B2A1MtLyyhlS7QtwBGdViNr1F8MwbpI6UUsPi/MCm+kxVeZu7NN2Z6h+OPQ2GE4jSsrryNO/l2HN
dSiKwuQ2yRSHN+dA/EJENEcAHoObLu2QYLa2W8u4GsF/u4u+cJ2XuiOXh/dWB/UuzjL5lPgMb4HV
3w7Hrq7d9gbEQlC6WC+SMt4wKFd/EviS+O+pAcWKgzhzYZlTuIHAnq0TIGS3YKe8JeZPSSsi4QYw
6WZmLU81oJ/5Q2KXtVowQ8o7FqHZHk/lopO+oNRw2FOAyrelzT3WGAey6NTT2N9G2rF1jDRn65z+
tUgX4biCWphvdVrCrJdAoG085R7FHGqjlFvK6V+tPfKtZC49+Sg91MqVaXchK3DegW02NwwZU6tK
T8WBQ5PWht1wYUjD8jmMqv6VeN5TIuUqxzHMJ3rzrdlPC5IC5kB80sFAMF7Exty/ZKhp8Yzem+Fr
7hDaP4ACWUSjOZYl2XwhyPw22pt2bu1tu41XCRSsCHtNmD8184XXT3uUgJSCqeiGilgnR8E9HS4J
EqEWMiyxeVabNbEk7AyF3RRsqsJtcA40MY5mNdzCa6iPmnSaR9PC/Wy7Ptsw8IyfXyMvav6Dml+c
oqTkqfVziRF7Jkxg343VjhYftlgMZwf8X7mH4ydDiSe0YNZs8cvpTspFoMryonan4XJMgx9tp3BM
lMO45Ti46UvwXp2osm0auN4l0cF59HsGnAVhyyHFT1yQ7vqXGrXnnda5EfQlcitNJf59nafGNXuW
yVmu2w3LSDbiLm/a5pHXzvMj2wQPPwT+uolhU8IETm9T6U3T0pxMfVcE2kXfWmDumhqWcKbxF37y
cqqEiN7iMl5j3zL02Fu5E7cIJWL/m6up6XpUJV1U19eDr1mIX3NRQwtBBDQ/HEfNSyyruxvUh+Z+
0EyY4SNWjJ8vFn/qoxgEfSgnti9TTnRuJ0m3ogZl3cVFCjySVztFus4NJta9ZJ1J7vZ93aRfHRLv
e2YJ5OuwTz9pScB1FUcRFLhIpGspIvsh1WOx5f4HE2/SKX7EwO9zlNYHxitggSNDuNfChsOWOMj6
8L0QfEbMrSHt0e+cVnAUU9TzYS8B2WFCyOJ0UPw8UU1ggMuStt62nCsWAYihLcK1EQxD/hho4Vc0
H9YxKuFIcQLKcaUMruT4WdqrvgZ/J2jQ3LZjVb3ieVd3dVDGJqGBByZLV/teO2j6lklPUR3ADT2K
XsbFwR8xXWv2FIyLKQLqDBFHB1BVN8DqZ+VdkZbDVwHulrqWTpo4tl5ygfkRYBVDDy9lkOhbpTnJ
uldDfJyqqPJBxYZfTgUaPwHkisihAEY0lc749LN/4dj4m70uMR+FaX2SyczvjfFZfNHqGNReY1LT
PlX6E19l35LB825Oy730we3n5BY+6S67O04wgVENMW+bIXmIZ8WkbufMCjREieua3glRxKdaUvYa
0Yix8/VjaWv4HjUT3vvPcCQMUBUOztUl+7FxFn0TTvkioQFDW8BwN3pkVDNBgqFrsFKogGTVbShH
EnhL6ytmWyQJwtiJa3eKqboBb1z5mL8GryTZ0WFZXjRMzmale0b6BbhvB4TeDI6n6CZp1V4alnUf
VqE6dDUp38WpSni6IlHpKEP4Gom48czCeqzmdPJ0veM8olhIT4tLKU35W/hH8GY4Jb0r5nqo2542
5+N0CsSVzo/OvGAfNTnYwGCg2dDSatwhJej2wPOKw2AAVYSywR9Bii6hSH+1Kttbm2Gp3+h6FTAu
XoufrXCstuEg1wxDsQ4Ux7Q7puxxeZkrfYVJR6QRGeRC1lp63VtF9ZzICp8PHTd4Du1wd6psu1D6
9nbac6kZ0ou+tOS2AWB2zE5tirm0dSpIIuLKPyWSsTh27cPA6UdtWRWev9byuURUd3l9F8N6PCQ0
7W87t2MkyNB2h5ZW9EbBilOLwrFeTMNJ9vp88GHTbA+Bi50eoRJu2C7SKYvgstSrQV5YJv7uBYQQ
DwgMGfSQ6kzbgBd4mTZjgOrVdF+daaRmg1y9y5yW2Q06My7H/CDMSYCvaJi+4+oeWZFQF1pNW9GJ
LBadVZKVd2osoJxJKzhYIepHOdSzP3DW2dQAZrjFN0m4tghS44oKGVj62E3abwLehty1I7ByTpyo
f20tZIHxqft3OueZa8EZ5UxzIcApddaa7SS8h1lynLuhtywiqj8cwLeW5/cHRjwMGypIDgUM4Pyn
9YQpQVzkrqRwALVqB+Cp2mTUYbdtVqhLVVrFtmSIyNYt+3WRefqV0LvgoYuLF5xgwRVJDYmZFcVX
EG0vAWgYX+tCNo/J3OhVhSOxg8EQAuMZXAtuCKCMh/EhNtzhAUZ1fHBdkgMbgPDGihgdk3adcZFL
dXC4WF+5uWZ8Y02Fzx26v/1p1f+5AfAbtRbqZwf1mCLU4LI5a9bDCFM5LFdE7k6TPFBA/6amENRd
jy+6E1a2q3JdbfoUCnAYdJ+6rkN8b2jKXIZu5n3/KTEsEYJsErv3PuhAKroPZ90JpCc6NqNZEu2c
t2naATZSUsTTkQmiGAFp38cnmayUgYHDOY+jfQtPB9x9UXruB2P93js20InR9SWpsRVyj3Npn5dY
md07JYNj/RDjMda84vkUlalUMQwsjMtrPdCf+iyJuEk0hXljFnnwPdaTHMVyGl78+VW9719ghlLU
nmah4fuGYVgxKqz1NHUsHHIycNX0LvT52qg7VAZjSQD/8wf+5gE4rhK24eom454M50xJQsrdRbAt
tOOocX4l1BXjxRDq7jdhjPpxLHJ5p+Uz0sFX7jWU45mTx5db9GVT7ezQdp/+/IV+I1rjC9E5VJgK
sKCda/eMUJIXNBMGc+gGt44XuK/VRI1Xhyd/0dT1j6Tr3I1vKqz308A0oN6/HRtV/HBlz/wFw9Jb
GHcFxGtNj9ZDXXl7PQvIesNQPUo2/GXbt+EHPbbfuF+Y+ItIVKBe4+Wdq4T1DnN3owzziP81Xk91
0VxqZUDtKIaTUvbeFyQIzY2fReDEwRZ1ay/LtCsn8pJlm+M0mAdDTSB6IYz54CVvKr2pLnsfdMrp
zFBYKD9QvIlZSPd24/GVEX3pLgpn1z0XoOUyznDyBtbRiZ2EQSa1edEFMt6EOKUuKCpb+6Ynw1b+
aD0PQ1VfxH7/zAA7bsZ/15UYHzOOwUdb8n3Tmu/FqYFuEhW0ft60xvtWQB+o5LEP6uiJmc/eBg1j
+1g78KyAsRq36RCtoopBU7lnuzuHVg8jyBCeX4t2sndqToZMJGkrz7Tr1xZL2Ook9PzzQhXvBXxI
TA063JaObsM5d8DM6r3eh2B5jE9dnlMdLBzj4jkk1V/wzQDdMOtpa1bJSxZG8QqjMtXWuaf352/y
PmgoHtS8V1iCpnOuxSLv4tDRaXqemro6JJdvLoAOHAR+evDmrtGfP+83qgbMZGgxUEHhQFRnWiuA
Pzgfu8Q4mrkX6RQTX2nJZJu8iORNNYs2e4a3bOEydzRiSAz+/Om/Oc2UTiud1WHoLuKis9MsBIYx
JRlbbfAEgysam6r2aKtD6yYUsptuR5chvlKpDOEj4y6JrbK8tQIXMkOWaq9DXjwo2CK3eOD+fjL/
2wbk6/C1yuv8R3PuQP7VgPyf/x/ZlNHf/vISZ4/03/bm2Wf9H//+UIVog1++/dv4bw/51xc//9Wq
fPr//rQqa7b+F0INtMpEUmymJ7nET6+yZou/MB3gxGHCDmJdfMz/MisL8ReyBoToiNHxx+GN/ZdZ
Weh/6QgeEPU6iPb4d/6JV/ltwGS9o9HA8Wuja3GJmc6ZoASHgD+UPsSBoGeiS9fV5hpMRrP65dHc
/AzAvzqi1SwK+j9xGcm6aXL0I+vEO4XbVs3b/Re5hs3ECtRPVLQ0bCnXDm2EkekQDJhYqL4KnmPI
btrcjiztlT5Gg1iDZoTTJJqBwqOVhePF5FmhvrALQEMgg3K7pkHakt2YkO6XdaAbw1VhSspgXTkm
a/y5w1eZes2uh1wfb/whbZ7QoQTOhZGZurXqSgP6U52I+nnixgPPSfr+vraRkUP+H6GBh61RMvig
rZqlYiAF7m2hAaGsKZNZW4+Dsd3CAWKIgFnjl6rgZR46VbpwFsvY1WhRjGXF4CO4m2nmx+UiyjLK
sfnkBcwBgcUUL/XenX70Tg9rxIj8HCdEED6FvHLqdLXdPpVGIvslY/tCSvdaBvw+oWu7HetKbhHe
T9QxmcS4sFOjA+gAv4jkqkzIc1WIZ26ZI5YdgBzmwJg6fg1pscweUpyX2twdsQ+B2Xo1OEoruC2k
1sMYmhLvAspy6YPPpRKxlEwwmBbgaVImTWqxcdC62Pgao7hhNN8Y+8EH2rKz1YjrhfHQGPMd2wX3
/s5rzJSyxnDGSqMQVbuXNYVxHBhBe/Hn1XgmYJrNNXwMOnULRZcwhDELgX9ZjSOjcZjmCc9hrLN+
G4fOXd0JY5U3st4rs6iXoedBk4pyNHymGV2BbPtnSfHPr4Cx2MJ/h/FIqrMU1QfCTj25APCIEvU6
Aet9GdaMbJgk/N82tI0PduBbne/PzyPI8MPZi3PsePuTGWg0xFKPcPWkQDLkZDWrpGHAYpY54oO8
cY6Tbzc7Ec0WoBdoKfCIzfkt//J4yyLwwloxS6zoYvEtaYG/LEsjrD9rY0d1Z2QQVrOgR0atXcsj
ABq2Vd/kvq5/7wExxRcmANorLDSBYphT3h3Lji+/obHaoI43GXnHXEerQe3h080sR9SSC9Sb5Sd3
7nVUmFeugsx1rpGRVD89Qv/oLPzvHXTH4nt231TfvzfXL8X5kfj/JJSDFfF/h3JcveT1rwccVwL+
9qVu/uPfOdb+wl1iorZFF4lhnpPqbxaHzkmlWNs/jyl9zib/ZnEYxl8Yv5nLSLbDDtRd1sjfLA5h
/uXiXscURttjNhqpf3K+cet7G1Q0Q0iH4xLKz39xdx67saNrln2VHnYPCNCbYdOFN1LITwiZI3rz
05NP3yuyG3UNblehaljAQQJ5UimFIsifn9l7r3+8DPMEXXU7SMVOrFXlmVoS174Nje6j0gn+It5u
nV1Tn6VdOknDCTalTtRUtYpxt/Zzyck528R0TfGS/Rok25J2V7aCjb7DchcAUgkVJCqNh3ldDeK2
Ex3EggwteIzb/q1ZCoX9dVqzOGIwDVE354HjxuVcVCCx64LZXYterGmnvZxnpq85xXgWmSAcOsLt
jrxjKAuCJpwBIUhtkmKsOKvy0pDBHRbGWlburM8ZWpAqBoK94PmOlUn9lZl05j75RNV2Wpn/J7WD
C1kqybSdUZWSNppNJ1W2Zujw1VQ9SGA2gboOjX5z8hx9C+U2GXaZyiLYpc/rjkqWtLsB2N6GDGSR
+HamExdXzs5RZkH5urBFc9hkmBIpRVkkXc1MGW4FUKIXAiHEhz7l5L4Se3YgqsI6ZPo6vM5/rQlG
rUxq4FwE3bkSw96dSKB8eaNU8wgtRh6+GI+TU1ojaiWBDm7mZLb9Rp9kp/DYSpmhIRadRB8i+EZb
KR/JeCTZy5CbsLg7BtxMzkyxzTvGh2Sjq4+VExG1asVNTd9cZoxTZcLCWS6oDFHXe8qSlR4a1uee
qSQYezUhH6RKGtqQ4VFzs5l92a6Sa/mHAKpywhshbTjpzI+KLiEkrSt76nrI9Ww7JCL6i4+iIieK
KVoTagT3HdOS9EifNoKVCzIxy52dCM5lAtXcGPP0kQBjK/fsXjFzlHQzWYU9S/5wkJn9dQRZV+Gg
P9mWc1ITNGJL0+cs+BfnWpLh7McOCJ24AqaFPrqTvdgU/ROKg8Wzi8lBMhLZW5OH+gutRny1zW7+
zFatOzm1MlxVVFwdrZW873ORHe2uRexg2wcTwNyJh3/8giwp+xb0RyCEGyXytU6Ux7qIpB/mFQRG
6voE9aomniHUtNm8xiTo7pe+IopJpPZXkWQ1/NCWhXyTlKjke2v2a2tdRy/jSeihJtF5+6HxmIOA
vLKSGw7kgI9LdSQH7EtLVvoqjGTXg5v5Bavq/BBoWu8GFp6rO4IKhlGGhfcVaZFwXpPuSM6MgtYI
/elDhnCeq1mVpmJTm/jCc4c5FPcXeBWC7D6It4zf5AEsCgpy+UKjJt2cUtK83iB8LS4MgAxDk79G
iiae1txi18sWjtTEKibNcK6d6hHNZ/+wEvF2k5ZG/rS5kvFQyTIqwlbkYdEUzj6yTXEsSyIfpxJE
UVnL5oXjzxhYhg39tnTmiSTKqfLWzk6e66kx/ZwFzLk31BkSB7o3DC5zwb5HcZaEyZ1STX5KYA3e
2G46EVWJnqDXxGUkzudhsQt0AunkNJ8KLPXSs2u9vkyd6nCJdXkXxCQN7/jp+rkvdPVTGWvzhZD2
aON0+voIvVAKDOGwkpHtFZVUvVaB7STxVhlzmHqx0l5FZI0BQV/zK0oh4112xon39+7Nz5S13IM8
GcNJR8wyWiWCj1i2bwzJRDiVPbGfKXi1rulQDM8Mz6XUsOFqQNI4rGo2/VlmXPE3OCLWTiu19cke
SvtZtuNnpvKBk/WYKI9AM8HVyS0JHck0S95a8VN6mpd6iGYo8AnDSJcp7Xzt+2U5E1bOqs+UfhKr
v0blktxEZlD1dirDzwlJx+qLQr0vuMj3CHIk5o8WG9A/NAwGd5V+aEYS0tWh130LUWU4xll3yRSp
e6jUbtx3jWVt6jFN/+BiG69GYTankkz1LRaP5S3r4YGn9EHNU0uBRp1XglvMyBiHjSTuIcqLuv6V
Og58IgE+XrvNJJQPZyZa0wMJnuyKlG1w2vK8dZtKNIRYru/rbFlPzP96fWPL1bjLFBs8QxExdS4l
IT8x+213owWugQDyOkgiOSWhlZzdlsTKK2sjaidznRWmizH5jNU0P8lFlBKCEA8Av5smrHhinVHj
xoEqOm7yCVjEscIr/agJRIvyMu+LkZxVBK3nVCvSW2NViksSXnvRgDpuyIntEUnW0/pbNep4zOyF
kxfdXhMIlTpQJXHlJOAMp5pKOewMRrVlaK58gvV0dhUK7o3ajPp7shTOszqZ3T4uuNAC+gf7Kcnz
6ZqQY73rmJAdRDFIG05eOWSRL5/BHxMuD2tzdgWx83eoehcflNoxNiOh+duhMRA8ixhgTjzfWa12
+kqn7gSjaMUNtYnxrZNbOXK/pepTSbC+j/cMLHwdd9VRW0f9JIty/TPqHfzU1HLqcynq3h9Mwjrl
KRrf61mTNkj31Q8L8qXXiinVXWhF+htfUrIqZ0WCRj43lkstz/o2z1F4IpEvui24Cj2MyrXY9zq9
3EoisdwWQ0CEXr6dyN++wkkq/vS1A68wai3C+hCdIhPmkBLeREVEcjsRPo/IJp0DPgxecQatZFrW
9qokiryn81Z3mtQWN8JjtBPJl/qewZjlGcgxYdACWNvkTo8blb2usmlAnaJxQgb9KNeD/YXoZXnU
JpJL3CUbUKSKUVIeYj0xDLdJ7eQlq4S6V7S6/ZSR2W6sBpCsN9OUe0hOWrTNlRrXXta2GrZsEal7
zGLinAkEZ0NmzyQmR3eOWaHxvnRmeyUvXIyuZdTRxaj6ZJ91bf8FgR5B2UARs5hl8QdHCBHlBJC+
xt2kezPgjbMY8tYnFCl9TKAj/QKTyga3nSPUwWorDRDoyJVGeraysCar87C6PSWCJxaUPunoRH63
RmxDGVG8xGVmfWMl4WnTgmz/bDtOQEtalKCD2LMj5EVBJyVL+77PzYcZtefE9ievdnqMblPokblN
WDrDMl1WTQlqJiYHZRDOrqB6C7kZmzOmnXFj3T0tY67ZAGrVhMXcIrGAIxTZt+1SPjTlkiHgUkjv
NctSe0mSLt5kJPwGdbzEp6Kwoq1VoDOQUPueZsXpdj0SNSxr96BrdgoTwcRmUXPhoMLfYwKRfCLQ
KuYHSbY8DVEl9oQv2UetVebHpqDSaHgY+xEf+cFApX0hkWyGeCJIuOWJ85Dge2dmINsWa9By7dyM
pOw9Yqp82VR6O22a1rZuCvS3l9Ip8hCINxf11EjdflJtKQ3mYubJXRlZ4UdsISGgLjaw55ZniZZ3
H0kRjX6/5vF+HqjXXBVPTDh1tU06nCKRRzhYHwmGoacVKcGNALJiq5lV/w13mTJRL4CfL5nELV5o
n8xJitA2LIwF9oRmh8joPOdMl4QGkAKVaHnT+27aypEy7xMrRhbdY3cKeweZrlXL6m7u8uk0Ewsv
PHXVIJrx/gc6KJwgL3VwBHMiZz8FitWHXIqidyA8DnB03T7JHbwopiw5236ehhdJ6hVfh5p9Tc1W
vkPdsBy5Sd20rYtXN7rlKsGvCB9x0FMiahsiF5LSFauFRm+UUuJGyca0NrqVdw15rm0aprEiB2kz
UlrjPY12UHinc4IW7Irh2763FbI/m0I5OXFmEbqvzzMCMz1a6B8IvRsJ/A4FC3kScRClIIDLoWzU
E74BIkirbQxylUUyFCAmBxrEwziPA6JF0zcJp3KoDYt5jZQlIj20GLfrMsApIk8FeLfDY8ErNW15
GY3cOkgOR4Rr1MW0r4bF8ZGaxyBlsvpA4kYRANnhtC9GwNrNUuYvqDxEmOTIYyt0ZffKuGulIGGp
Dxd3IpGCOAyvQve0zZBwPcgtwaV4DRrpUbHjah+RjHcoSKD+6Ge5ZvyRZoHjmBnRzKUTdgrckqFU
gYhEdn1JuUR3dSXzHVJWytvRMrjTxQA4Lq0RTPeKNP8YOToLrvKOQf24ZoEKreMIF17e2FJP1G27
OrqHkRQVuUlU8mrMSDOaiEwMFT9JJG/rZBqvY29YZ8QuyOjtiOjaODfMsB1yDvtUKvO9PHXml1bS
OXM9kN9tcHM99X02/cw23KEpwgGmRTniILAefyy46Jt+GMyXudaogIlDhYHZVt8oW/PHSC/ZRw/E
DqEcK45m68wB+MoCEwCP/LCMlPi5kOL+zxjX8QPPAWejQY0+QcTuvnRD0vfcFcZvQTAkbbS1PgjF
Ft/FLFsvk5FB9pKte5jFffj24nQSUrV4YuyJmGL1VIK6OlcjmDoE1VOdSetAKhFLoDcl7McXNAN0
N5PE/YdOs/K61YlDMMwT1KO7VEdNW/N7JPf83dDiNuDNN4KxUwF+lrZ0WpR+PGesrV6srhAQCSDQ
YzmrTTJbVJkWbOAGlFfwWKN8LxXoVa/CrvnmVTsDa3OQixLJLZEzb9jYd0h6e5Z4gBKqj7oaS1ST
/NgGF7jLh5a6WpU5r3fdUe1qUt2HRd2Xz1KEpWJwIuc5qlX4XkoGvBlCDDiyxl5MxsZjQtvXG8Mv
besMy6JAs6nnafXD1zIGhyYKqtvqokNkKctMUGAtH9XVuHeMxjVjk+1JttKZyG1BdYBvZqCtlfRW
8SBlLRIL6CmescwHqFo5h0yDMo+MP+xJkoinx6Ic8OS2stQETmUxWkDEmyJ7StQzGl8FBBe9dS1L
1u+iD+Ypzqt5z6bMPvRCypEEkpJNNzRdi0K3PgWxxb6m5yEi7RaGaAZlgX0l56YJ5geHl+Yba0dY
dKOPlz4txXYA4vepGoMVlhRkBioZTvu8coJ1rY0PfraGiLoCElSlaoRzBsguGnLrNEg1ddwsK2HH
POOiGowOIZA7JDJqQ+wxKrZ8PH4KKtKq3WCkMwMiDrsbomj5SHzW/NrrdSY8DNrOaYLVsVetcsvL
ctWC0p/suCIELsumdWfQ2LpGO3MfmV3+seTaWrorTMGwVUftKSJxE4lsmd9YtOm+MMCpt4Yyhqtc
5y+a1Ky/oDG5/2IrOS9ouzzTEtyiRNd/TOiHgIwaHB5S15QHUykz374jLsulKI65XWUXhIZcW87q
oIsYy9XLY4TFs7zaozc0i7Nw7MT5QeWlbPRZHkIndbQXWn8k8GksbWd5fkJqtd7sSujbqB8AYI8V
7Oxcw6xnTEMISpYg93u3tBsdLEuAj1CP8/zyYkVN70bzAY8N7JwvO2vfLUMYZoC6d3hPZOW+A5Dk
N7XosGJVDF8hOc5ATYVVvQ1ddMM8RB0klOWECtemO+5AQidrVW+52SBT4pJh1myiyJrcWJHWL8vK
n4l0Jd5agwQW9uYgPShDLp3qumteR03p/mRSpf8k+f1Fi7GD217LUShX0xIsjYTYXbZHt2nWPlya
BR5F5exnBeLgWpeg6bO/fm8Eys2hNJdqO3Omb5fFlE4GSlxklAyDeBCrmPDU2vxAjBFdQNkJhLyE
dJZjS04c3KgQtkSNsd8sNlk2DCeSsIvzSAoVGJZJToiBoi9mMCH0jpHSpKmeLYvmCiBEF/ezqePE
NpX9SLxWDWAgKW+9lsfvCYrHPXyT0eeOqB4LAut+mKib7H2SJjmaajLiy2lIk7LSXMNdORYw2E2h
UhZEo3XRylrdoCpqTjxKRSA3ymtMkqjLsqn4stVpq0pKxJtQd3MczsQhgHRJZO3YLJwHW7mi7gcf
tE7efD/mQipUe9djHZ4CddbEz5CUUEQAwEwl7dmEYJwhQ7Zd5y72JYVA9LC2WonUwkh2tiUN4Vsm
S/NjCrGMqVuq8VFHUi7vMo1JW5tnM3yYGpE/1oI2CaxBIR2SCQlP2jZu3yzeF4Vx1lD4cjQkGhNA
DZyr3aQDw6RqNsv9OpfKb5PmxesECMGrM12xgzTOwXG3adT9Ma05tl3aVXHCWmhfMXOnip9LkOad
e77EG6NBcphNOwrhtqgTv0VuondkfMsLnBMNV67oMF+KVD70Ki6QBV1n5a6cr9QvIhqvS2dyISB1
fNJoaMOuGs1nwl+A6FiSdTCUvNw3FJDYshIK14ZnyrkRSbVxUp0woX5NjTGsVpucEL2up1d0D0Sl
E+C6FF7dW+mmEpHBQ4sY1KcCbh8OdSZuYzCYXbWh8VSPaqwUkp/acYQLK58e8lGdvcGcuh/AEgyy
MptlWVbAFLVtTkEspObTZDiyRxTWcBkNhwc9eBSbCH1TgRaOs8Fd+nF4mrTO3Khjm5zLySk+R6IY
eWtykp6dBShwo+jjw5yIkU+6FpVnq0MVZmOXDp4Y5/6hj1eTwAvy/n0WeviPnLSdN5mDSrOWhm7d
G/ZKqFbP7LID9MEsL8YL4Ro2T2C/rOo4hInXcgZZ6y1Bx4tDMUV6XFSS9Nu1tXOR+0H+lSO+sFDl
/qdkjbWNNGnJvQUksMvLYTIjN/a5WgdtNyV9HQ5YvAoPCtj6Yc9Jcy17EyIKtM2fiflu0AG7SGlq
m5lDfyoIaFnMd4ggAlVglLxrdQlxXMtJBtOS6KTxGb0LRpeLywEPcAq+k+Mp02If4qZheoj39Dro
Ch5Yayi1/Vokw0tG9uiGzwC9TlLC0EznKWOVScuZMcWmDkftCvFsXu6PQkJ1tKQlKzhpli+aPsYx
CTGJ18hU82+otzqHgbmsH6tm0dxGU0w05ZjqoT6wC1+mfH42dQYoaKymS2yg6I51pjK5lv42KHVX
s38ajjZ0sNqhrTI32qjssRxuoVN9qH2a/jisN3dDHNmszKKYuQAiezcfRIkfIYKom9Hg3gESGZlI
dyZeQdO1ujFUjpwLJTdeBMJiZjx9Uz136jjD27KITQHLU25KrdR1MhI6scOCzVuhtLP53o68x5S8
BWo8gBwovhFQHCnTkm/MIdTUld1pPjroaTc7bXscFDvZ0cGp+YYJ5rDw2Qr8FhnfwdPv/mXD0lrH
k2TYLS4T6aIJSvRzBykuqPIiOe7DRleLt4wYqY/WitebBTfvNmBsBK0CAWpBXb4D7tKEyyBr+yGD
eeiSTdlT6KupR3VjOjBM5gRWq2kNTzIcxUBfIbijxWNANLQwN+CcY5202/6lXe2cbrbvg6iBX3QP
Pg9MFInXPGqkK+zQausQa/6TKUVz1lKI2JRzCMNjHRl5q2igZsdhz+CgPtdjYb4oNnmpdx+HszU6
kBZWNRYvTapWz0lkkIHRrDwRq75xQnOoZybtg6R82hZbIV1z4OfOlfwG3yoLejXrAvY6MWEhFeF5
rpKY6gV2683kqeAblt7dSmyBZ1qCycddOjOuQipgTKVBIwRXJlnV5VTRnXwWhKgFwJsx36ptpocs
dMr9aIr6gYoYlnuSx0eTFGwsW1atuFiv18dGjhWm50jIyq1o9NhfjKbgKiIq+hyjkE/gQMrj5NsE
jn9SL5ScnRNYZb9QRvupkKsV565JStraIhiRWNEr2zipTZKrCiMVntY73ctiWdOR/SLLCqnTC5Yx
Rrfob+z6p9RvJ70mmpAmHLCTwoG7azhfqfQaLedwmslX9kzE/pgGkrbDHaspnykM5peZ0YCvIbA6
JENVf69QWEK1iCDX9UMpqM5TUTSeoY+UFwjMOmaqGH3tsLdxpLhMvHq63K6cvFU1KIOSKIYKJqPe
v92T90nWUPqI37OuFmaJnRR9GrhceWv6VaZRE/rk+NlitlQxLWevBeX5XGv0ih4SB77i7ozqd2Pb
4dKTjCZ/qvU2UlBtgC3ro2WUOW3MHErSiIJ9C6FkaehkOMA8PQYk7DpOzeh7Nu+bs2jR7Ncxg3+C
SEdU85Y9arSpMW3EhwW4svHm9AmHMjH4zk3L5H7ZdvchgJsl0lqDU86IxhjpnnM8dMx/4McpXH5S
UGV2+SdvkyR7ZOdRX/qW+Ipv3ZwLY2vKccUSqMjmP/Jct9ifnb5rgiIn5J2qAisoe9mWV53UivU9
y3eLdzIzavf71C41MIPggHNEe4W/JpP1KEmDvCltqtqAXMJabBrdgmhG2lmrbLDiZmzWNBNkcmnr
W95eVpcyi7TK6Zp4NydSlIXCHNTjijn1e+qXTvcrLDu7yhTtvgWt/EDPxAzdLKkRKNPr18qys/XA
dgMVQlNkP2tL7nGBCftqrxFvcbxuqRFakN4t3SH5UVq/m8xehMwkeJxhw1lSt1nm4aw1evGmy2vW
bztbm0p/6CX2PkVEVIvb2XB0XZ4r6RpKpdPMrqPCorRzc2SIrtFGssxkptZ1XQaC1OxGoEKUQujN
s0f6euEncotxuM0jK9Qj1UKLoWufDCo0f0DkH2iknp3jNjYOlpwNr2u/tHQPJoNwDLbjXm9y57ca
MprmeE5PfSO6jgxLQGklU77XmPEEJ0JuF7+DXJbvfaJYMbvhgb8t9FkL7rZ2GFgoLk9ybdM/kziL
kaLWUC5pecGDklEFrMAJazSrYut2339B91UqT7tDYUjXWuZXu0z182zaKzdeXD0wfsv2IObVTZSo
wz4tEnVr2Hc0MCPM54Vx7HFBWbRXc4utrVXJoW4y9ZjjnKpLs3P6mlgt7llswJ27VZtdihvLDoSx
YLvGMMcOVzCQqTCeOA3VvdZmDW2+5ukWQnNHyhHw5NX0Qrtr95iwBazgviPhRBg4PE2toffLRb9j
RqQQ7NxN0C0TTc5DoTrTPpdkOIOFXAwhm64pmFdtYUqqmc/RilfFz+W+PBckXz0Ppc64hxfEIoEk
qPF4f4pCBAcc6ROJEO3UeNJPsOUlvypzjUvCZt1Fqri2+NY8GN9o9btLGU2Ui0pMmgm5GIBgM6S/
ROVAs2guAw7bewZCpcC2iQtiR/6SjvynVDRP/72QNgZ64f+/eub0+f1Z/4//+fi/g//1DyKa+//1
/0Q0qF7uIkkyj+95Vmgy/01Ew39BNGmZqGjIMTU0/p+/iWgQt2CCweeA2QO+5L+JaNDXKOiZdZlk
Z/MvAel/SkTzj/LN/yuhsRzcLP8ooQGoZNPKiPFgjXoQOee81p5ZFU3xffh4jbhIpuh1YMt76Ktj
7mjvf/cu/QvZ6F9Olb/JRv/2c++v5+8UZHKidz0LiRHRSLgO+0K5yVN9ruJnhQZGJunnYvTtZ1Q0
vhmblBd4x+u9JAeD/ij6bcEXkOoBuP3PvZIdyEN2EHvW5mUia3/S7S2rOsBjmIw9SqHDoK/uMn/9
+6+doEFe5L968f+kLrScYSyzmOyRPN3N8p/M+CrSD2o6nV4vY4I5h6L5rpRfC8Hot8JGKPbX6Spn
i+vMZ2e5Tk4Livgsvadf/Nt9mlGv2xVaqHqE1L0X5Y3hSe6MbluGqrYf7xolgi+wwO/rD/Gbs/fJ
UjfZMXzZVqfqA9oyIK8Qy0bYbpZtFBg+J1cwBLOPAM81jkx33DiIA9uHT+9lfh5UF8n9stzS7QIy
LpJjdlQXr0dsE70SbetZKpXPkzqd52SbiV2kvJtwgotnZoagmi3tORerO8nBVLzi4HbzjtTDO97e
8LF3d+MFiY4dUy/6S7H/YKRZ7xkUGynaEFc8oruwuq3JwKvmT2h0BBtF554dQc6hzFdoD/lyEYUP
aNoyt0X7xA8EotK3is981COwKCNJQxyn8qz3L6ICQ7PVDHh1Wzhwir6dx6sYLnbMybeRx502/pA+
4KuSO9Dj1uDAcIA0rrE8gjB0nQwdrVtuZT1ovoigf+60jZHTMp6MU2GEuguCsnB847Fj3s3OPkBd
2b9I+un+2O0XX28vMJ/5o+xrspawhQqmTOn7ZJquOrnjp/4tfw+a22dA0MhRs2doEjziTJ/vxgWj
PM6WBx6XkYJnfrP6tL9w7r5Xm443tjOBm2+nW/o2q30oHOV1MlE1xecu2izdE9smj92Cm0+AA/XE
y/nYpVM6+Ep9KNFig0BAjqnEXrspDJ/3KQlmC0Snm5n4oP2EJZp1qCpfe1n5hxNQMsFKNHbp8jJQ
qWg5Tv9977xQLItQDWmsd1pQ7ItnZ6vujdAJjVAOKHojT9Y3OZbw/yix/a7g+1d3GEfi3x8PM/PT
pCe57CDdimu0F3tlm1y0s3HS9tV5Plf76qRcy//AIfJPVK+/HUb/5M2g7CcJMeenVUc02ef2Ot/q
j+RGNliQndtz+b7cqqA92ef6v/gT/8o3/bvjT12sYp0SezgoF3lPtOfLuhOb5JKfzKN9MfbFWT6a
W/XVPmtP//6hxWgftea/ek/1fxIIj8U04L9HjESwn/B6Pl6uL5L4X51zup93sPKeZnaTo1u+LHtl
J7ZmsIb5lltgD9N8z9+FtEe7bl8dnW9cV8f22l+aECnJNU09A7N/t2WagoSXGYqU+gRXxb5QSIUL
1dyLVXZfjIlJBncZklhQw8uAzpGdSV246slhZf5FATg9pLPPEM0ZXLH4bCWzAPSeu1qsdrzjuQ4f
rA4gZDgsOxTCxltzhN4pc88d+5GtII182PQbw9wq6EjOzgRF+Vik9Gsui6Pld6kQIrndS77wL3NJ
bg9DVNf8NaFKJy7TjAf5RE/G9tX+FI/i7Byeug0IQhppQ2FC7eUnKvbaJVVneMNPv1wXyWW3JpE9
4w38yB0/4IJigiIyYC1h+42xAaIi0ahxlBS+hSolJhxpI8r9IP44nL41LsC3vPvGNt9rL2r1G8u7
1tra2Xb+Vk/TQXpHj2VkvqL7VODmvom3g+y2f+Sv7KTt4JAaqFX99jv+Wt9JjRgzBjNu+TVf5QfE
gBxahzn/IK02Lv2W1hG2Au0GhobIjeBT4YqP3KYPuCC6X2tw1+/0vATpNt6KFxb/jn5/jmgeH5Kz
7Q7LAWTU9Go+yo/yQ7FLnrS3IcjdNEy4JYtTvR08hjkvvf/DPN83w9yPL86Vd1+ZOB5DcFoxcb1c
K6rfcPYypNtpfhHmm2prnNpgdXVvDdWHuwzJswPNFUF+roUne81xDKHHX+Tf5HqIfaa6XurzQbm0
hG7mWbviTQTOZQAezMXnKj7bMdjBJx56OyuASu/ae37FZoeWFVcAF7/PkxvS9OtyIVP0o8s3vfMQ
EzO1vKA7dOOnKom5NIkGYglZfcl/nIN4bN7bdy4CwZ880LNNu/ptt7UdTw+4PI2gLV3Di3/lEGxt
+lwcTEkK7XFnV5v+ycBsn1wUsbj1s2ERU+HzDcw7VtdVHuXlZjMMf5Cv9sSj9NGwQ+1R3kkP7Wd2
Nh7Em/KwXOyjFHBCB9pRDYTHeNTv3cxf3SfTi7f1o/Rmhcbx/mZKXuJF+49+5/DVdLle5UMaD/OT
5TXuu+KZ4fAE9XiTBMtWhO+z9z0HiDKP+U/GmuO9/0yvxTm6DW8j+Qr8SqhQrvke08j9u+musl/3
PLP8xGP2pn8iW+hThNVeInxG1h3SrS/ovHifAzJ0dfMwwjhvUPLy4JcFu3nKC9fE5B65M8/glKAP
qjnXcZ2wCscDd5v+w8K0fpMduFIHm/U6laKnVKtHW2yG3a05mZE/LpucW9aXNvWRO3HdlMcyCZpk
dvOjEUjn+CGVXuoPK+yPY+rOg1eW/vQ7kcgHeIwLXz1J4wb7KOnLqRbOTqjagdF5+YcexFuEUmFG
tWTulFflVdvqQb/TiS4ja2iHYve87oazOJv78kU6rNfpYfxWDRembZegAfO5I7uF9Viospgc3eyb
TpJpAvF79Ig1aO/NPWSp2JHHzlQ4ZS+BtCA/DGynBr+bHwxt23aHtb+qGpkIWCuYJBuuVfjqeo2W
Mx38usFCNc375rW65Yf40B+7nG3si6q8N9aXk3+Y0qv1Fq/5eydbW9aUUSonMJXd7ilefiXSdLIg
eyYFae6fOnZKVlUHfewhKFXRVfI6ttkJhhwFKgE6ph0szCZGZjdu8iO9AZG/Oq9j0ZReLcQHQdRH
i8Fko/o4iEp+GT545lp/yj/2u/WoXuXrcinR4g/Ue8w1vvvP+L1/HB/iN8G+eeo3sjmymBIecoYE
MVqtBoMQ2wIHSPoRFxvARYwX3KFx+4Qgv2e9JXt5V1TECCLTeqwkcMo3+0//o2O8oh9uPRIKhnN/
0d/NG0XOsLzpBKlZhLN0s7pT0ILd5Vaz5S6faXoZx0087hx1W8Sh/lj/ZNFhrLYmS56b/SKPX3n3
syg76Q0i75v+gPxMGtEgM92nuDVtzyEr2tcsFw/AxC1el16TYIx5WcnZr8IUlBZA+5nqs4mItcDE
Rikcm/HJ6X7Q1xi5r5MDMQVl5wltlzw3xRjUiIj6V1SoJ6bs68LQxyO2kScMaaim81gqYRUdtP4q
lLDRLkgi6YzaA9Uzq03ziJruIm6Q74m+fTESb2hR33kluUt3rY0PSrFvKPVYLKCEYCDox3GgEziS
h1UZTIQHj89ryRXGVPydpxu/WnTU/f9D3ZlkR46c2XpDD3nQGAzA1AHv6M6eDDYTHEaQgb43NIbd
1Frext7nIVVVZqpKWRq8QU0knZPKYNAdsOb+9343uI9/JJ+4yIn0pd/a+k5Xbyh6G8JbpQ4NfZxg
dWjOuBGnzBnmB8KJtXFYIJxN9cUsKh32rvWwBveuOmGwZp3jO81/whcr7uyzws8M7+yQ9h+Ocyrj
cyW+B2JDT5p08X5ecbez+mcMssh5Cs/IoVBhucAaiC7TxyZyLXxFp6X8bqU5tZlszxJkpAzT4luF
Xi6Xzyx+Ytv0OMBAKr3V31gb7z2F2LZ1jZMz3rjjTXGPIfCh+HBv21eneS9f6d5uXrLH5tZBpgHv
pL4xEGyOQ7Q8WO93rElbFbbPGXitbdtx00pLMC68ZocaQx27E92q9UbTaxocfKB1UP5iLN3aehnz
+pRYFiC+KTSP5PfWPY7kO/ToUh/096S5tx/dYEs9BAmPYjPXT+Njyp9G6fmLdW0+dXc2m9kaMubn
1rGkkIs3y/38A46Zd6mx3HTZdiqPGBCosNvxQBY/mq17zsdQvHhP/m64K7HigL+PqA7X1Kc/qnc/
3mTmzrD3QXvyxFPfnjIRBkykYY1FxXDID1UEyw+R75ngiX8aH+v78stowuWaJ5z5LLgm/kfzPftJ
oo4ZOMrwRj6nZ4z1N7SQGPhz3dBKDvj918+ONNemxOHRXg42tn3ovE2JyMv2nW76nfnA1+yboW2G
/ycDO5U3cTGdsjifYR7rjTk6B+nn98arDMUzXnl2gOJLQvekr8K8yYdrbJab+IpWTA653+wlcjnl
7GZjCunj3BpdZJoX06KxEcab1X2MJZiksbrGU7nlOh1Yr3Pfb5fm56/j978kjP3P4mU3H7TR/2z+
FwTL7EtS7L+Xxp7oNa++6mxQ//ff6t+LY7/+vb+JY1L+JuFo2rhhCZtRUfEfCTPX/k24ACo8Klov
2eLgP8UxYf/mYeGTBN5JWPri8tf4e8LMcX+zYINQXeASc71knv+Fsuc/3kH504mpOSRVLSH4r1+5
uN/fRekTcurSLbgdt+AkZnEBpwImD/U8u/u5S8e/QEn8Mc32t5934Vug6lnCd/7cP2nLIaBAkkrD
qugExdEKr4BvJKDpfvc1/Bfa259Csn//QVR7Ii4i/Xnmn5Lhds6A3gBUti3NRVfoPONQ7juReTcK
T791nTd4ODE5JbQzY6eIrSvmQ04brlks/qr164+JUv4ugiZbvnekUXg21p8vxEJkl3JeHJepuRYH
4mPJk8z9+lTpla3jn//il4vuf4oKv36Wzxd5aU/xGPZ5f7oIL703dqP2g+24cFHCQ2XeKahcRzUF
1Yul+pRByprdGfY0/PjnP9n6o8z6tx/NE4uaK+h4oOLxj7pGbuJwteQUbFvPms+QJtN7Zcn+mswS
m501mQyl4d4saH7TcJvyOe9LPyZ2trg5zgDKxE5521TPf/HXugiWf/5EJDkZDx2aXoNf0JXfyRFW
W+eTIdhv3KZDuStS71A72g99TawIJLsZLg4HZKdPsgjk/bKHdFOfnJYwvxZEeP7iC/qHNw53DzQV
wecEMuMfQuJ15Sazi/yzJd3G3pQXHVcAEH1rEM4UgB6bJGEG9s8/g3946y4/k3c9oACEd+FXn+rv
PgJVVVoCCOFnYts6l2XiRLIuk+if/5R/ePTgNV3kfFypF+DOnxuwqqAZMMMv7tZLsW7ejNakiOab
xcjYMjWqHwue4OA42bXXHpqiGrq/EJxIxf7pq2ZRCQLy6A4yruNRpPWnJ9BIMJnBkd/huZTElIaC
7l/OeLZphz067seEDv6+MMJ+7yjHfBaFafXnQAcdWYKhbT5q7ZRfJe1hVP+mlVtvWzODZJz64Kro
UR6Iu8SSBq5NBXvevq2JIdzOeTen6D9CP5VJZXbP2lfy3p61QIJmOv1T1Dgxbo2h4oQmJd7u5wsp
B/zRsnRmB3p+1O6zCaraRcpRZb8ejLQgxDj1tl9EHvbBZiN6y2YGYDnBOWsBT22NsRgh6uKAzja2
kuouL7KMj5jGmm0ngReHNUBvEm32kMaQipsO5+iAK1LedqJsv1EKlZ09vfD9bOgw7YLvVSNdvOlm
gzO+AHpnePWdIoreR7D9ZouThqXMqLXs6RLWqS3xEy6v0I9TP7mK0NNQDoSZrPVnpTEXI8RW6Y/O
xIK4I5kgzO3g0xwEMCPjXo3ZQqGjCVbOcNbKxmMKhHkDL3B9z2w1cNpcR2PZsZDE666fW/VWQABR
rBpVOvLBmfnbvBqLiBpxIXV2tufgxrBgPm2AUxqEP7PBRMxpuwQxDscjp+nOyYKTmTk91O4kQCUu
DcAYu3ylpzjEuMGIfEgdXD8ynoRxaF3b2FUVfp1r5V2GktXAybtNMYFcjEUuYlCMRaWk7YdLxOoC
3sQAxr3EcbDObUjrpvFRN8N8OcLL6SdusNR8GFgW5ZVZuc3i7fuuTL/1XtE7bzZ1S0wRSFCmd6lr
NubWKfsKYd4CBE8ZCaVg39egD4wynPumftRtFlsn1xsAkjSejWdpz9ezICnyZMwvWGiWZZ+4qpz2
HAaJZG7mhrXB2DRZF9R0cyTOgKsFuCDocg3gE6/CoJiTuU2l5pD0M0+dEorRhJ8TJNw17szVeSxE
/IP6kay4okaiY/YzGUR3IbQILBqEXd1oGSb/0gppt/ziqw7yCIxLngMsbRUGV5KF+B5Bl8SnYXGq
IMwtl+thL/LsCd6nuK60bmbsE4LbY4dhHsck1YY7aqtlvr80I1I/JS+hHhPjDEJZsAChsrDo39B8
gvs+q9PxyFJq8LuIoKvx+ZaAJh1/LT9wd0q9D7qiz3f4rDBw9VbamIA7c/sEPsXnDcUP8nUxhXwA
37bmDUcEy37lcZXqrNO6thgWYhOJijEgwLSSICv3LBgUQGROjRfbn7w5+b7UyUzVe77E7mG1Glnv
J38u3gLPKsotp6DF2AfLmuZbUbXS3GjRYhtLkmYxtyveXCpbVDIvl3VsPs9FPsX7JMEcEZnVrFGW
wN7YB4o8iAe5ZY4k4NWpE+WjaiVmRTzUdIF5qAVDmhNKV6NrWNuS0ChX2KKw9zjo8dnIyb94JXGS
YxZzG+SGEvLK65pk2U1pjyiTsO7MmZXQ16g4wGUaeBUdTIxY2Mc5W1OwMIWwzs2a9u9pXjjOHjxy
t+5dRxk/jWZKqo3stZ5vuiQPuI0aPTTIJMFNs5tzZzqXBeeDVzeBIXkAJhmnUVYlLkbiVSVu4YPU
qfwcAWtAkbbdrnisZWJ8DJX0b8EbgYchfDJ5MNoaewznjGBt1Dci+wZt3WX2Z/uXhSwu2uaxFDQF
8nHEcXnSq49Yoiwr1+DeSkXWd56bp7V0e5fMAu6VTaKMKcYwY5W/cjjMXZ24bcsdTBe+G7+egvE8
QUxb9gbFPSPNPw7nHrSm8gVvm62jSvcTwa5k9valdowvlmUc9x6uqZYLq+18BgXH45CjMiggK1MX
R6LpUHFnBXB3qIZy6i3LsKVONPnU8aFfsIwdVlpPnePqgR4g1OABQzdsm+UG0+AFE0cCpaebIav7
NrRH27A3hWwRFgPROOnZaQ31lZhW3T6sDpbo0EjIGvUyaKl7UU42nuXQyevWn32B1SVGIe75j0e/
JaC4r9zORJqw6/wn/qyLejUk3W3gkTnh4kr49NrMhLcaO6ISvcW8YypVe6L+IBt21FNPp7loO0aR
qnWHzTBp50dlUtB5QRT5Fw0oJlRSlLFcNjn4zsOE1dUJdTCgBNC+w69YxDmB2tWkaAL3qU27e9Aw
jRmazIxonxv0ree1rXnCFOlmL4RL++bcCQoLb0iUpDCUysDoIzzC9DGT3CIDa9/S4DCjVLesk2gD
Gabig1DOHARR2qt8IsvqpDbGlEr0iDrxMtvQ+C/RMz9yOzVar+wU2OBxKXry1PR9u6IfmKVarnoK
ZMdXB1xQEYL3d9Q+axfbx7lnVcdKij7fVvAa9Q/tDV59a8mkZGTcUheyER5lBowAxtqsCAVgJL9t
c9p8opnH9qVv2ffCbnbq6ph5lJeE2Gjmx56eCf2sUrderqeig2RR29lw500J+tDcWU521VSGe230
cakjjgqlgZxRZcljYBjJzwokRHfuGxkoVO5eJbt1wgN2VYxmMvyI7bmLt15JSOe1b4d6CZdA1PMd
tr7hLvbKKn0brSx+wSxe5vgXFlpHY6MeXURz6RQR7BJLvzTEw9z3tiCZtvPBR3I0zOSDokR2RcDu
cXNBuU5q3qXav9U9jhGCVC1JFIyhCWpmh/sTmUyXr2kbe0noWgNrCqijDN9il1wYyZyJqBDCKA8D
ZDUZUDeXtEOovTb4IWidel5IasntYAQ+edzS/o5DLD11q4GyXS5Sf5LVXu+DNkfaN2Knf8w7Es3c
CVeSvbH02lOCj7L8ElOTPCh6IojTjWXSnsFXSrqKJjakjb2mxvdLFZa6HcE4cgrhN7fe5lpJgoRZ
pfrHwU1N3Mr+gi3BEENzsnqbooWsV5UR0Tsmg6h0ipgDhZlW95k5DRUEhXwIBZUB36ZOx3IL2wqX
rucUrr3pRODCW/TNvoMNzN6+nTRJY2xRgUnjScZagJOrJyDqkiqyQi8xW8Z2XmFQu8FSN0ecWBzc
6N6kCCL6cVYeCkgpdZSgRJC4sys3YK130m8lVBWwEEs2PxkjbsAthJXiJzFFi7GRrprPmWqn13yU
QRe6bHn0DGGhozgZTBuDJzM3Act4/UfT0LLGaM62XtcmT+vQS1e462xX6jpZOZ0RjwET398HLoxX
zOhxkUeyWySQjDYY/M9C9G77ZmKnGY+cHckibPEyJxxUYaPYeVQNBDaOcomDeWITDwjLZ6WbNh8c
jTDj5HSjR9XkoPliSXOCxyktZIpUSjUJo1cNmDWy6CiL95gjY8GCVtouaK+Sc3bAHlkn5pdrt8y1
ksqL+agVtRAXoHdxTmk7ezdoSB132TyOz1hrMXMEHFe/w6bsxx3W9KLYpXqpzKgnCvDsUVjgYNwD
SRM6WmD+cTm/NluJhEHkxKIsYYMjfLyl7wDPg4wrAlKunCVGPl21EBUMsSBCt338ZbokUDGbDMFZ
8wEGtH8QuCLs5fXOxqzj6qDdIocpSu0Xyy8B7NeppFskWnvhvCf9YLyx2Qi1rZe4pGMo5RqC9yKb
3j2RT0lougHRMx+8AQlBPbglkYiF3cQRdZpHqvR6tfOkHtKobnJGrp3vLJ9JZ1RQXZo8x1jhG/Z9
rUSZ7zUl1mLTOLhyQ9r12JULc7CsrbYDlUSt2Xk/8JY6Q2i0vOX7rFMDod6gXNigkpVoMy6/9tPN
muAsYi+Iw7on5QdRmsaaMMdhjmWkHbx7Dy9ve9CBIkSIE1O9BDUZfzLRuubi5xDPDJ2Kp6mZM1h0
ydhYkAlqwfS6NscmbBYCIQdb9UwrXImj+UoZhnhD7SPcH/Me36Qq9X66ds5vYHWtzuDCBMQq3Na0
t36R8XyslKWfR78tlt1Kkzt5gHrSPy1SZHIzOBnU3CTpgmzviMV+gdG54CJXBu5f0yX6HmVWMfiH
3Csq68oNnJEL/GzN8jpTaekdK+WT/acRYrCXbWMODu5MVoZpO1EHzHVJrVMdCkrBWOtM5mULaDc8
45npCNYVz0iRQMSypzbTyBjrzbOxzbgTm6TdivQFFST1L5wT7q8lyW++0z6bRBQ3Q/Lh5BbXy3HF
mboHtDu9TXnBdASv8fq9xuAZRDylRbDRcBFxDw326hNmXVNnr5WJ+OdAHRgOdm135Wfl0hDzA+/b
Uh6l25vuIe1EahzS/MJPohJqTna161ApzdJEpSMpePxzwAqojPslZfx/kLL/15HSLi7I/17Qvm7o
Viqzj99r2dblX/l3o2cA89O2Tdf+Dzvn/HXhqPneb56Aksk/tThXmxIZ7u9GT2RudC6Xuw3L7C/B
+t+lbGH95vr046GKghFEzvb+FS37UuD7RwGIn05xsiOkK13+FuhQfxSAYmUQhwXMfZ2KlCoVTyim
LNCzqjLszALM0FBURPwiYNTVTCiCfl5shFmRUqo9oBu0z3kTzOaXTBHUbmUrJ01KTc/fqZevvI8i
oI+BnbES8qPgxmZtms6Z1l2eDOt6NdTEAO9KkID1rghEHw12T+LGUGW8N7vcpAJTp4oSibbtLeuO
iC6UJXK6coD0YWRP5eA6Ye6yWTwNg2o5Xym7rs5GIMoHjpnSPLJHwutP6mK4V1UpvhUw0A1YF27e
vAjKTKokItg6HAwjdkVOnKBCayGXhFS2qeehyq6tpCerIAuhdvESaF5lzj3QhvplzJPHdcAOjlKg
Ov9TtoZ/tnOLW9ZM2Jvh3jROzC5pUtzGk1WypdS1qq8HstmYcCaXOAdpF1MXh3XGEHyqoLSsW5gI
lXqt5sL26EUKsvRo924zwGto7eHzIrknx9TIIcKx2JXvydqqibYiY761gKMQjGno5nxeORNHFT0F
XGz8Vv+QYh72IwytvYVaAXMqt8XTbCqPVm7I6WT5SsB5aeIi8yZuC4wsXYraDmnXojOSJtfE+Mqy
lvFsWYt6iWqaW+k7rwZKBTN6S9tLJyzwfh6Kvgt265CvN4kaY5K6mKCds5xmOkxBZViZuW0Hguv4
RDVRrjjMqLSKaQbrp37X1CtDyGXgb3pfObKlZlVN1MJA0zMO3pJjApobTAQ8ebjRygTome1Buuy2
uraM8bGqfBAko+9lmEzkrJv+zvWp/wSqVYnLw6Km1k0i2lFJ8G2CpFq5xA/+MKubkn6n4qVjV3ah
1MWc6y+V2DQrpDINiCCK0fc/pyQuxHEOcpJ8WHmKVm+mGQl0Z11W9Z00Ks4FU6DVzMDSV2du2zP7
Hk+C8zKjHKYENftqxDy5XEJEG8fK0ExrKKvOs5hHE9fGoCoZBZe+pI3LIa46IggicXkWWCye/qI3
5m0zcbuEAJJYy7twUrSqtV3m8ZFkEtNmXfsEBQOZULByEeaycDYBRx2COCPyRFU0wNzF5bazUWad
ZYeYcpA5nNh7SBo6XJut194fa4J0RAgxaFn85jpayoHOJMqDSpFfm15PSJctLvF1FdnSatMrSV0H
VEAFQrtMI5RKRisg6tp8bcIScgbQKJI/LAUkegY3eAkmMwDVtMxFpr+8dGnc78oTc88a0bjozJuc
LHHichxDLt1medO631p/ZfiHvyDwC9xhjKG865SMi+GHJXS9ZtdyNlXqigM8GsfVaHiyIp9ULpX7
KNcM+WHRc++8t47GnuMEg/LDCzVePsWV1eGtsZRcQ1UFU/k8QbZyQTY5Q7YtwcbABV5V/BCbLsNt
YRNaOWS+SSA/dkTVnAK7cDE9aRelr3MML7hLGj3w2XM9/+RS6W+RyFBJARQaVTi2uSHCge7eDmOz
EE+VUfu8PUDWcYlkpktqiL5g51VSe8HC6GZ9t2dMZXqvcyAN1LTJpApkjlv9KjODMoCOxoPuqWu0
xnPBxQPezdiI14pAYdQt1nKkuyjoT3FRjedhGfJrjonFeiYzjLqIIl/yOGWJu5fNZKliI+ifo6DZ
yqaHFUrNa8eU5cZpSEkjuAQnF33odggaSnEvsa9bQToJQxteOeTEbJHhaOEUSdu22ZEQM96S1UCR
HvC0ZBmaPFa63nMOM71in2ZVQFtGkEBUgwKEO2KorzisYZRra2qLrTame5q+hQ1x/OSbrz3qEpFD
5SHWQ7flJFjcc7QjaAZi4TW2MtgSlSt0u+PesrjHce1pf4p5iJ3bobNbUIPpkggOWLPpY4Tp3WuR
p833ggz7a7EQEse62SXXNoQf/Wgb+AAoWwcoqDrdcgol7AZNQpj6Oh5G6rhCuHc+QR+Qcniq29iQ
17HBKfgWUvX42Fi0KhyBj5j8Ua5DVXaX7tAH9HZMC26Dft1W9V6Dssm3plHKO3OlIamgHQpXkvdE
lNXykXLgmZEfShgI5kgkgD57Y3hObHBRcAKyXL3obi6+Je7UY8BcYjOMgzLzwiQR7XXXWvqtqnV3
nL2iu4VExLrATI17iJU+LKo0rqBfJ2cSdaw/XNVPnaj7+FGIyaAueeWNlEBFrhO3zxC6YSIcZ/pD
h/1A5S46E2Dfk4lm90bQFLvnKAKYQKO8GoBmX88coi8NyrQKDiXYC4tn0le0bnE/6/oT7EqI1iTK
nidN+BTx07gGWJ2G9uzaJymgOwGl4CGziwmNEClblwNwhI5NbEs1msmznPSb2a6yT2m0hywHVLAO
SXGPAJU/FnMOeqfNses5jK9BUmJpBCzhvxJ1Ld9s3cktSFueHWSxK/qvkjdzHbDNjOt8Yy+lPsUz
enAFSvIoSjYQoJXZlQ/MDQWORt2Ntk04Bl45NhEMAcya2eQ9SODnIuwkWUXUbq4r/UiowRtZNwoo
rh8i97kfi6bLN2bVG+Q/25EntDSDR/gS+a15mXV1i+Of5nwFplJrnL7gsJ4zg4N7XMU4ab08uJFz
yWM52tYHiW4WA3KBj3EgUaCLqQhebXQ3NKvEuvHsvDh2BacnoVbuzY0T3AB39T8Sqb+KssQoGSuP
bL8Qe4SpEeKYjcfeM4N7uGewhDKMYyvWjHIz2YZzO5GZvykz8LBtXd51mQAGylGTeVKcIWSB0W0t
OorG2gsOU5HWJxZjI3ISne4n5k80MidUpcZcr5hlIKPkVeefgibNDos3eU+DRZkbF1t5XkTl3Rug
IV/sIq6vAh5Llkt83UiUd6K22m1buetOAs97SSg1v3ygSUKnM552JttPTbPeUIeINQz6KRGS2q+v
ZcCRVI3rPrfaMnI68eaq6Ucaa3OfSCfeeWWeHwaLkUDXjxYX7OSHorL+ye+hvzBYSQ55lWONWLS9
pQiMlyztrkqVmedWYY0PnOoORSk7Dh7WoTbLbzxmd4fOIGKx+nG7H7y5OVPicoGsUBbH/bdLsjue
CYf0SwYYeO/FlnTumrzob8QYJ1/CC/J3BzDug1fB/xgaBaVKpvqcx0vL5I/dYmGx84G9VU1afdar
1X9jaEnehYEOH755x8g04TdehkffzoywZqWhsZOmQ39NQZ9hEaNZvo4qxjMhbJXqnWrAmVZdgzxt
mCmR3yU+SUtuxoBPW86EZyeW7gndQO/YrBMyOCugpq6EukSV3ORje+yDk1Om67EOZmittXzm3Jvf
qQH9uZjGMj04S3xJtXRCn6p2tLe2mpprodcVCZsnlvgn6blN3E3OjVJLTEQzo72w8WpQU+lPw5Bq
vzoW+04ya/dR5QMYWXcyjI+RoNyJEdN40zO2RWdb23HH/orXmH7XH6kmCSZ8swpLyI/PPNZ+2C/w
SAnk4lSmPjKqVBpzHRrINS2efTNIcvTrgkOcGu/munE5u7kch/awSZIvm86yDfn+nAGATfzF4day
T1uOZdyHOBW61bJJ0pJ/mo4gQ9LMPw1tkb1Mwzxzwiax30invl545wBUYfSsxXCEjhjvgoQhrzE4
+AxNmGLRoMgowfwfJwYZ0n1Ppi7ezXYxnsA4mbtlmuw3oCPT0Rxq9g5ZVwiSXv0zVeYN+qSGF6D7
66ouVcQ0RJ9sMVY7vxuWk7V2t0pY1kPrjvlBlAUiSbD6rzIdnusUSC/J6mDdpCWOaqZ+cdQZ9bnh
6HW8GKJ2phnQnhJgyAQ9LB7T1U/3gRymR0t0r2NRuRvgO3E0AhYmxDyy4Cx1zvvY14yQF4dix6p/
SJK8PLhd+qvXmcsCYtdN11X0dedzrKMeZTMEP10fbaj3W0bSFworYQsVV8vrOKv3LkjLk1tk8ipN
KslLXr8p8CKcCldzH5QNaQAfyNkckes3I+Ws7Q7d1D/D/7ZOaZY9qMm6UITp5DlaBQ+xnduPReC3
T3VGljwBHfDK8vteg0uCdAo0XEjONjTJRV0HAU0q39nBcPngAdMHk9Phlrri5kE3rRc1JZ917+AC
XmRc3FkBRPFxqqtroKMi4jDQM5loH0H64wZ3hL5yFTUMZn+5/1ZC/Cwdki2rtaTwkhmumBo/ZTUx
kwb+kD54C05szsMbyp3KfJN0bn5iumYcVO6sB73iEh9063LlsGESFG0VU2LO6C2ETUU99+qOVxaT
HsYoazthO0Wa2IxeD2NMJR+mt7TXfjsXx3qQM4P2oHvklg8lhGPG5bGeK65GpCWWVN87eZvcJ41v
PJLxFntcNMFJYXbg/+zUGCtYS0M4Cs+DkQYfdB239xkMdNDsM1fkYK2AhGvXeFOYX3Z5SZZ8MFX6
2HpxQfqgHB/FoH8MIkjoyWqLCSmha0aG9LKKMAoxYW57s7hlmIV9N0iWh3JlOsbimh/XtKqfuexO
b9rX5l3M3OtUiNbZYhmvbodU5le64RBSjlgjWB2qPZOb8cab6wY38fIiuBe8BE2Wvvs2EAviU96W
V5MsElvMNpFDeUUBlrhvmvGpsdS91RcADqZ8OTFU6D7I669XbDPjwTJb8ZaNpELKLGhvk6lZvrW8
LC/tRJfDBgKKvUnTcTxxOPjWNei7mTuU11XOsttzj/6QKQcCX0MvLaHpTp6Y9g1E3xNoX8zGJhft
2k+LK8fzoGfBrK8WeB1LoIrdUtl6x/Td3Q2UnL9yQ1kg/lkStt3g9HvFOnzVmj4OjrSHJkwIYHVt
1s4ExjiR+yaEBHFapCHOKu6TI3RO1A7wsFFcxmPUJg4lsbV1A4Ab8563PrdO3W0V4GxWKeQEBja3
LNjz19pLxVUiaet9lsA9dZjaha0IYJYK1zp6i7oT5WjtPVtM37I0q7ZWe9lUZLBEeayGbeaP3T4G
KPTUBPI+dxQQHQCzR1tzRobkwVzAdyoM9/B92yIGgGn13aaZudcbpjne9Z7HdBV5nbTarKl6Tq2e
oYFKuv7o4//d68C58Rr38srCxZCW+dFRuH1IANZsYr4JGuYnecj7rD+sXkFsqSNoDDKmPrKfjyew
LPp+DbzsPoY2cIIjzN3TojM7jVP3il++vqqGlsEqvjkOnvaT29LFE5iwDKzC2wyNOT4Fqi5xxmfG
0zoM1YNpwmDDjhfjJO/E+1zoNazbsouyOjZOhrAHOIGmzA6dnyS3AwzVPfS3T2Bn6Ynpot5aLpMP
m+vuV+E5ThRbTQGjEIHwqqz6mXEahzYw7RQFI1oGu4V38STWYea0OYpX21/bj3LFJkFgzbIidJth
r2Hu3zHHJZbENWja1IzI0Bgyqoq9BOdGgvD53fRWl3Gh4W5rqgo53jAClhSiQ3pj6n9lcogOVdrk
dAHRWcDVtb4qzWF8qXLm8g7nkLsBn9S+tGD+mZ4bf2NLjskPyeIjd2J8CyusiQZ7J2f5Jj+ZEJUO
00UrNzLYDMxTanJbI4k+TsBcGN26PKfMCE9iluYeNcsi+LcaV7OVXxNMmrYMHmNivHCsmAnXLQnb
cv1yZUEtaxbz+Q4rPqpuTN7QUpLdQE3btrRQ7JjOBdVdtmQW8ZR0JC869DqSjvvRp6119ucg21Fe
zR26WR1/a1ELtM/yrn7VOSg9sx2Lgw2yMZzyTt25S51da13zpi41FJla1zvRpvBAYnd6BwwLN8Zq
PGISyte3i7cyBQEttKvttHlidsuUE+h3T8MjJviYgdVtpx29ZwMhA0xk/VOWjk1TNfOsCJJb8Vb7
xvIw5P5n7NnruVrW+WinyDKbFgYYDpjE32WlJiviZ4zBuN5fy57gEuDgaWfUQCywmvg9es7c1cBO
an+bO4Zxj2aKDmbL+d7NdfaYTmg+qM7u3lRivcEvJxn+YG2IWgnaH+aceT/3qzoZAL8f0nFdzgGm
jBDX2MJcnsw05ajwHC9ejJ2q2Q2puAC+yL19t7RTEFYUCxPjzqH8XdjwQ+71JE7XIhzjzmHns/Gt
biSsC+6nWFZQ58d94av5maJMdg9MQ9hAYh8Mbj+m8T08Q701VLoy2wouMmdBpxx7kmP4nwDPivai
7aJNIOhIKlRHkUZgWltgZc3Yhw7FndHkWu4W5s34iAy/dAca7Um18vqWWz83y72dcK1d7UodGXMl
XI7SfmtXI7gX7U3Dd1nhB+YYOlofxqDSJ6kLjODsNPMz5YIkauzG30u9lKfOIt9uupfCC8FIkumR
RPyJF9fkpADmibSl/piT0r4ZsUNQIyA4URr+8uiPZrmt4Ft9NSD5P83MEvw1POsd8INxeWumewGF
6TzxEmPl1BB1fJm635KGm3qeCueWyeNERGxJjlIayOOjQDC2TDqXinh19vmYAleE6r2Bg3ZPVQEk
Gp5O7qnusqHaHWZlbL9XEs5wm3HomBKzfhkmTIjZwDyRamsfvvF6LoTJ/cTBVapa57PI8/nA0fbL
x4tj5FQcoxr98HsKQPjC4eJ4vXX3y56US6uDUTPjTGXaRn53LUAQwyAv5P9j77yWI0eyLfsrY/2O
MsCh5zECIRnUKpkvMCYzE1oDDvH1s8BqQQbZDMt5brtt1besOgsBwOHinL3Xnuq1xXiETitx/46d
tfR5GOQ9PBgDE/rA4sqepYQ4g4QomheKVLkmPpR6WZ3fSQsz5Tj8CALlCRQTOyfiYZ6yuPoZAKun
WOFo7EDici0MkV2OWonPyeCJs41AuEIxE/OZ3t4qDTKDhVs4iBX9BJsvuKc1sFmOvFbCucrKyt9t
qqWPRH9vaavLvaVTFg87ijqSZIGlUkQRx/5crxF+mNrzSE7SmoO5uWHavh0M6hE6iEGPYtr51KJq
XaiNquxAW19HkgCSBHwaI1n9VufB8FCFOsIw1bLmgnm4RII7LWoFFXzdh+UhME3/HGmztao044Ya
+n2FeWldKsq9OZI47TsVTrVy8vieIs+NBudKiZ0zxIfDBWUbrAwGZ1FCoM8TAL4vrcGE2NnlsLJR
j7CJyzkGQTDalQEnUjEq6sIYerkiOjy7ceLE+a5p9LN74bJzgx+6A+TZfNelQHTmC8FRG33cDvLl
rZ7U1tk0JoBc66pfGxz2tv5UKJRQRrGmZeJeWWAWzyw78yGjJfZlTq/eY4fV3KgmamGfWOabwuCj
7CekuKERtA9+jJuRoxBwymSeZI0Eunqm9VTXzAw+kA+oMlqgdq5XlRDNVh0zhMul32/isoFc2sFD
XESh8d3RKLAWI56+nkSORaXlyo+GksC1Zc+6q4wB3LmU0Qq1bK4CaM6bhmyic8c3+7tAI3Ju5lmB
ftAjqmijpa8JBX+dz8MtjfH4qnfCboV8rN7GHI/vaEQVG4Q61b7V7WiLGAehYmOau0yjGOwXyaG3
wMoPDhVpo5iypaZm/qEmhn7fIfXYE2oX/ZocG4M56NE49e1mQacJrJ8WuKtBUeKboQiZ15CyIA3r
/XtQJlRqY7KApjFEAKdNdX9nQzvA9auY7lmT6i1nCcmXIEcNq/Br0oxvmOeEEo2Ecvo96q5sitFf
DZq6ZIdsYeOOS8QHjoJuiGbNOU0wii5Z7lykiSmCVRnBBAmK5slu9eKahSTQl4OTAhhlVVkZA1Uk
AnYoczedfaXqDtpFnBmojxE4e3lenuc1aBVf7S4Mkdz6pA9cmQ3CYQoSvk3lrM1IbSiiC+q64dKu
uuiuLUcolimKQsqkUbLSnQo4bkd1HeBadBfJ9rbz0+wSUW57wY2wP0KjzF47HSTYX5PqJljgglV/
LDYE9xkLtyWZWZZwIjHQcoKnT3XuyCy/Qo9hPItQoeJJyYOgdiMiDad10DOiH9gqqKwPdF1g7Tnd
rAB0wx/K2D3nSZWQvAF08oHCVBwsXd0KL1sLq7EpiDIpS5ZCMFfI6UkPzLfJhDSbc5ProQnTvVqg
QETrSWaC1sfXiIbwIAbshHDmiGswyv1LleU9gSuuQvWs/uYKDiML1awqyu7Njym0+x3Hu5FiJJsk
202vIa1dpaVZnAuT3T4ZO1iIOwtaDIfVcVihCOtxUXMhijd1ndUR8Md+gi2SZwLv6zSLS69pKmc3
cRWw/0ccqt9xsLeMQ44s/3GMbb+OllUg82LZsGxqmGUHM1oKUlfal6ztqKgooqcH45ixDdWZaGPz
W151hH3BPzOqLUkdSL4CfATNyuwi8YLY0aVJ2wrwsIZERwPTT9yQzyJqr8tmqcVQaH25HkwJSsKN
kEguaGX0MfAckJVBL/SbpiWqft0obXFf1KzwVCqLyiMvPb+iE5evi8EK9gptsGAXVXlEYvuA/tob
w9D53hnQ33DK9/x93vUMGIvN9PyiHzvUv+f1pDh7qmPdNVMm9QWcHIjyMlFhQa3SWwWF0Yttutey
nOwfI82hlQh7bVnnzhU4R+qQeeSkXkOv4ybKLL3nI/DHg1ZMcLJzrdHvkM7mDcGcNDvKtDa6g5n6
xS9kP/21Kk2+esmJrd8pSP2v6yQwvkVhr6u7Li7j65gDLCbYoYccYaUO8pjJLeSF0ctwgrIWVu4d
+t6aqk7I3PCskz7ZLnvyKpuV4UJ6XQIdd6+Yfzm+poPOQyShicqO1RpJedGErUJFCqjZrV1NMPVj
21Dlfeg2tbJLWyMIX5ANogFKFUYPgv2RIwrhtkIGRry1DJ7rpAt5Kccg2iQ+W7OtJpv8aWTxWltJ
gjs6a02s5wUBLggDuqig5R5JKqeKvIssxVzzwMRZq6g1hmfo21Yqfho9E/o8JZq1268591VbBzzc
hclRYTe0ffeDLW+ynPR67jKjWSI8DTUpawOH7qReN3T3IBf26hZ9+nReRLGxrIWRLVWpj79dFoLb
TLiIzZAVWPdEXBjXcOMADFmTcTf1vfOoVn6xcpUI4Vef0Mn1icI7wGYHXky/+qUwS3DacQ5lyeqw
vowVrVpa70idaLBVB0t1HapeFZVf4K2UgGzZ6z9lU2VbWdGcSvrm0ZAdk6le7c2igvHa4FK6a4ey
XABlHX5T9VS9ppm3V6TiPBXF8ByUyDcjS9PgDpgt1n0H2rIfUueJAna7zNDqMgnZbCIOoyRc99Ze
9aWzqXI+WURS/X3GKFo6MGWvxxFVf6hYxTmJPgxhZRg1IMNt7lkasgXBzuA84qvcZbb2iBpXfIc8
qv2IyUJZg44M7wY5WhdujSG7dOmlVLlvedIYiVOZ4uTOTuS0ozdzy7ZbQHdJ7X6DJoFXHE3OOahN
ulidBAysR7qzZfTbt13eoteEtHDtFJ31CN2TZRZFeuF1SgkXNJBoGKIKaDpTlHqBakZf1PRoH52y
Se6COhzOVTGgkJ5L4bql3zMjibs5D2rfZfRncWdzZhVJZdMz1POEkw4OHilaCKNzeXqyzAJYWLdX
e9u+VVIkxaMk3qtSfw5j0CO/jSg6aFRb97k6ES+EM4z2YqRhYyHGY6JEgfEryFGFUIir6LotMOme
oTHMvcSxnW2jWuEugQXLiVuvLEwhaHIHJt2HZHYetTao1AAc4Tw5Bng7LHGDWL9YWgalmtHW7TWJ
FHB22NrMH12SXlQFYgDLCktw+zqfVzCLOgNAlvRfwvC81iqxorD0o9YDi20oCNhl6tTDMmglzV3E
n16Rmc2Wz0tsaVWbQPbZxKcMxMsO8dzN6PjuCtQ0WUUWLDG96x7CNI1+t8WgOUvkSPVPVw7ivC2r
4sdQTfptzxSAkt3V7mTeyt/oFIbflVvY20yBXUyL78bQu+qsVP3hoAg+MzcQN4HQrpBvmveR669Y
FYj5Enq6S3wX/z5mfUdUWOj5DcC/iQS6pBVV4flCf6IrerKYAY03cTyCm0qHlzEJn6WtU3QjGIWA
rDS5swyrgKHWVFfULWW/Lms2F36jHQIH8OgKtaR/5g4DWIwK98J6rsIuFJsWa8T6ua1FDqdf2g3d
4IFewDAQbqMaOjsQvQjPkiD+5oQhSmckIu1DUqRUno3EvGNo4K+vDASJjmVtk4AZo5IVP0lO9qFD
P0bRzxRrJ58guiB6XqnqRDiUzHQy+CqXuBgk4u65i6/zqsriDWF0tTfqav/MqFfQ0E7tbVzIZNW6
KE7Cnj/rhH6/JZ4BfHXXGs8DPYOtpc+weUm2GkapvLwNlCS8pVXU3yEiFbuo8SHIYNlF8ZyAcDJJ
gYC2FuXisWiSaBun7je18a297bvGWV1IAzpnEP6i+kE9NsyURFuyCOU0V4reDH8WBoYfKCnZlB8c
QqU2bVLvCo1vFj6skVwOSjA1B1Q41jqIgLmumwiaaZ5EMbJxuGuMMtpVzVTdMlr8p7Ylx3OB5lW/
rDurpZxnCBr3mCXILKF5vHUnYe+0OZosUQxrq1hTvCz1uD1YVtRFDxlJCnt1QqZsO7W5ScqgWTVI
Us/1tq3PwY6b/qam3TKCtFdzbZ/YJGwTk132wavjCGYgDdPY8KSA3L+fKpQbyLAtuCaWPR1SEWPR
I+amBoM8WXr0FOOyQcTTKcjWUalGWvs7czoYdj6OQWhMY1rF1xb5eC3gu8q8swtUeR45qx2sf8mh
Rn0woJc615o9BvpBgUTMSZ3mroxWbkYO50TZyoVaXgSDqdz1OnGA5yjJu/zMyHTCnyC/YkWvkzBr
f7SjMJRLtGRpcE0rtwfwWxlG+zIarkyQgUWKkn2blMrHsKQ55BaBKqEuj49A1qTdhM9uqWrJ71Dp
FTJ8NFoxfE/T1mQHu+/MCgvKWFLWMGSVeZbSTBe5GKal6oASQSht3VKPIbhSQ1p4ltb5eKHyzW9D
p6nRJPuZW3mthnpmcMtgpVWZvfY7jHgyUl2vUw3/toVmkVs9NUV0OCQHHGJa5b+pJdXfbWvUn03F
TG2KZ8JKvDweh19UKMafU9lr+xYuwLPU9Nbe91lRplfFyGFrnSsyNvZDUTHmEJSLn2UUkvRcQNqx
UUbRsvFbxJx+okBENvvxtxVyXBoMg1DNYcyQtZNv2zsrRDTYtSoypSC/69RMFgrY5V/FRPtpl7Sk
5awS1rffuiqmncJuZOsaLf9bwnd9ojXtal7YXbDVsSds4eLzsjnzrS2CgcYFbnGChRacZf1wa6Z5
LS+NVGnIt2lkpAlyKiwXr5JMCdx8jOqGUCrUCWaZ/EQJGlJiowtqjfJRUXqQ0pRp0XLWl+wXY3aJ
JtkACb1YV7QroxqV5EfbZk235SwZmfHacdruxhClqseIDVUTJA2qkYAGQNj5aORWdhgVmzEY0ke7
Fo3jtdjYG8+2/f6CAnePndbOsxIcFd5X8ODBd9oK8ikvJjv2+sBHZ6DjuNBGT7N92s4rMtez4JGp
Mk0em4ajmKoaTbp1h7Geg3QKv9j20tWoMuQK3tCFOsvCOYHoetCupFPwcOI+rZM7FEV6Cwin9KVy
9Y9Zl/w/ifY/LMAK/12hzfKP5OzlnUJ7/hN/C7QVS/tLGCp0EEOzTFWnH/EvFO/8j5BWOCr4ATYm
uora+l8Sbc38y9LRTLuGLlRi5W1IJP/EjfCPhOqijaFFyjJPosqfaLT19xZ9k2ryLBAXFn/F9qvP
MvG3wBFN7eOwjTRgam2mrslAQJ9NgCvFKQVTEfo1vZ0WdhkiFDDSMQdoF6SNZ2rsZKskswHgtqrz
K8njvSFHpUInWV5p+YCndSjwLeJAcnYkHbsegWM4FVw6eohBNJ3cxtKR2iaPW/UyjlCdLcI4MA61
03ekesrxsSwEbK7QkNmD1WniPq+ybtMVybR3OWyfcWAgcTBBV4MsBSvYqsizq1Jrq279v4Hdjruf
ZK1bABn++8g+f05/RvK5eec9mP/I30PbhjFtMjSxxGqqTpPh3yPbFn/BgrAwEsxRFHQd/uM9sP9C
jg3Zhr9Y1KSZq/89sBX1L1tVYdG44BD4g8zPfzS0j/AXBnliBlfhA3Nth+/vCD4RjcMYWQ2IBDbU
rnVTcOxYIrIkXSYF/WTXdXSmuX+G0zFsR9MxOvAxgQPiBo/grj75ujmiZsQfVZ54WkpvbMxZRN68
hk9gOvYRP+TvyximqWo2B0rrlfzyhh+i+SVBKH2oenPKMaiFle5vydIawDATBBA9Fcljkm5LFMDp
vppWlbvEk6kmtKYXY7Cr7gGEKvbeSi9KBdfQkhA06A/8R+UcgVVdLKeSzQTVI4+jMAe1lDORtkIK
4xy0CwjCdrHq5dmsTq8XFty1ENznMn5OfurPbrEhoU9RVvj1GpwYIH5fxpeqx4rg0XQwQL5awoum
M9s9kJkyEWI29BwvvDJZ2ZLaoOf/7R16Gf5v8Kv45Gl9GAe8E2HTZ3agnhumYMS9neH6mk0r6BOA
1YKWq5pMq7AneYI8pJsEs/7SnIJhOU7W9dcv6bN3ZNhAhlwubhn60WXTvIS0H3BZgr2GNYdhylxu
U56AFh/N3/brULCF4MYgs88em/d3JxsxDiTBTgiuAJR4le0Z+SZszns4SoV8MaxFSXiaVT9n+UOT
XmjmZVbMoYRrh+E/YtRYYkg1dhrSbiIjrmr3MYG3lquXtthrNqe7y0jSGZ383dA/jfq9lVENlk9B
dzEkP2R+4vv59HZYES2DRyfmr+j97dRjaA+ZTdpT4Cw16xJRE/DyeB0Gh35Ul0UEEzeeibvpErqh
N+A4N/ur2ORvGclocZ1NV16ykIXVWTo9m9FvJdzJyvBSm9yzhtLJIa2bVdnvkmoVdp4dX7iGZ5LI
jVianum1hUd0BgN0u69Hw5ER6vU1ObCYmAsZhJpzNDHgR8KtTjfQSzHmLPRqWtO3Gqh5+ORTdJKv
pTJOjHuNPcJb0NLrNV2aw67JJE2sztGz1M0pQ7NiTlSZQR5Hz2mU+BegXw7o0ynBSQ1zTNJtC5fp
sCv1cONMtvf1bc+D/A3raf4Jhm1YlmWaRLIaxxNVQSHdrnNr8Aimo+woDnpTr0iFeAEyo27+/FoO
FCe+9Plzf4URvZkUDcXu1BzPgedEqPnIuFcd20ZXWKAG7FW5/vpq7/dNr98dqxhLHzY6QY1q/vzf
XG0sMbUKkwuJVj+QCYnFAAHkIgOLQSWvfkhsexknDS1458Qn/8nEwpVtoGKWySJrHq1rwzBUSdUS
ck9BDqKO0eLblVZwYo355Cos7K7Fd6ipGq7A9/eH3FMAvSiYV1raQV1e0bUy9PHE+DjGws0DBOKe
67KWYVYEx/f+MkmkgzfqkGdgiVk59FKRx4UrvdOg8dJ5IknzMlcSRL8Dsgql7U9M0p+sDSb+Q8Ng
4jTYrsz//M1bnNye8j3COTgn06yWeK5aFGDqKHFONOO4D8zIYwSfuOonkwHgNcE0YKhc9XhnQikY
FSaGaQSqQ7IJhUajxsWfAUAftQe9CL9cfD1aP70is6qtCnQtqjpPFW/uM9GqBHwNPfO4oAFo0E6m
cOHPmKRMW5YKHeUpdk/xxz75+PGR2pY5m0D5v/lHvblo6We4zeQAfEW7NGsw5YFFZoN0i98jeeRf
3+Cn1+I0NX/3fIxz4Mnba/mYqZUk4Vp07tb9GCmg1Uh8sGLA8KOinfgEP7saV1Jdkz0us83R4/Tb
iLICAwTo0L0cRY/UoqD5N9J6n+CLfn1rn32JPEN2ehb/YSJ9f2s6yC6a2hQDRISeW2DXg3+PUOvr
q3y8JfBjtgYbkd4V8jtOsG8fYBdAqeDMyQNMZuhU+l3K5MdIJrkh9OjEyvRh7nQRpRmGC33RsKDy
HA0Mkkn9kq8STowa3dd17G+6LoDvnagPgCNwncnEa7QeIJgpT7w5bd4PvVuRuLbFuVnYRKAycR/N
nuGIJ5he2rzBiF6mmojBGDPygDrYawr0W2qFDwgkNJrjNablcK36YinLODoxYD98kfwOVzVtYVIC
YGd69Fb9AfV809eq10/tT8HXsSpVYzP6ySYRKEcjhabk12/401tnO8pGwOI0ZBpHrziunCkbJInt
Oinsi1mC1lfudRzn2KE685z0s70QgbkEx+XSQDF+g1WiFkqW2IkfMl/o6B3gkDA5/BEOahnu0dqi
kjyt2TY+DWqC3QoCy+z7VPZqXKFHdszLEWrugipfs6knzFGx3HUtaeVueKEYMjyx5fywBHDc5IiI
EoAKDLPx0RJAUA6Nci2eUBqWAa3BcJ6LlxXBXVVfWziwwn1Whr+/fgTGh4+aCo7hCoM3/0ojOhqG
IrAGkUbO6KlagSP8t+R4EATfivIXX8yCDHoAVxC9V0q4aqy1Oz1k1oWRXKjN91Q+dN1OKN9DojRw
6WL1uo7mGI9+GxDqlyXQqjYYOBLzF14POOcGmQTpLSyvUVuVAp7lQzw+yZCK+3WfnA/N5de3pr3O
fu9fL/vcedsHmICts3k0ziYKXzEWMxabemuoe4Wzp23+HJ2rDBFD3TxVOZp269If74r0zHc4s97B
o0fakIUcYMyLun/QkN8H1bWBQCdqv1ndprW/OeU251BbbPCmj+66qjaIi2AxS69Ml3heS2UZgFq8
CvpV3e4KgCz92o93qX6IxHXeXSvBT5GeS3Gml89Ffk5SyNOQbHWqtZbXWde6Btna078NT6lYd+2j
DG/T9AK9l9kdYEhbJqxpM/w2RN/khAuF3vPtZOx0IgqiJfkhWFB6fzXezK6FaaH26ORbpHJXLYnm
JHpW9wVhm7Q887v+JaZiFd3kPqHDmyRd+tS3720a/+pVOF2wGccwR+uzmVZu6SGH5pBt6me4HhwT
Sy9pDzRTehg1t6CUHPtgyw2bF8XZzRtRVDSVfYZO1lG38gn/6oDtCOlfSwCQRz7UwfSXVnepinWW
QAJflNg0lT1mvxgTv3YV+skaOO0kf2QhzLzVaC/QLKnT1qjXdgafHBCWRnapoz+r1nm1gwknsDjL
lT+cEZWlmSQD7SgbosL7elR9nC4ZU6CRHQpLKjjTo2Ouw9qU5SStemGh02DWoK/XQbwKlOxRAo5a
OszqJ1bEzz5Ri92vCZVYN5wZE/12RUTUD0FsmHf4/D/LTNLUc1JMXV/fGNzFD7Mh+16VbZlQWZe0
YzLyLByixWCPXi8v0RhiGrbEte7PPPPphTgrCKllfTd2N4PxUzd+Ndg6JTEgeDiFugsbD0dRjsIC
X6r0Orgw5baNVqa76Wd7Q7jUGs9yAECJdd6tJES767kdfKOcZQ0hAYtiFV5zZDHEomMTSLRDsLfP
Mwwi1jo8a89bE4wNoTGLqVq6G1RAF9WtsBdoaC3YhZFHtHZxTUGhcDG3b4ILmR7Kbpvpazdb7AjX
yPNF+iLbOye6zUGwj7+ndaCuaE0TY4DNnI+evhIsMbQXUQrL6LGcXrAfmsAoobdLzxkvIsxqDVa1
b3V9UYZboWEf8AZ5Sz3AsRdwJ9th002e7M8hSE05n8girNaGs2+aJ+QJ7bU/PRbpfWYMoNzoCGnf
HSABbdbvZ8qfJEPLUp4xVxjlpd5QDENyW1dXMtsX3damoz/+/PqNf9hpcWKkP0OFgyly/u/346ot
YDJVmBK93oorz4zkC5xDDjemcTb5iCT+/GoaAGhK7CpUXOd4obFyQzaI47y8h09hUMPrK7CpNqJD
L8cO//XVPp7nKPhSiXJcWC98sTNB/e1HA9R3bjqNI15UBzVJhuMj0JHII5jGiMbIsxJ7wBJIpnuj
3SKNMU8sP/PTO1p82CSzkzU1h+f7WhR5c+iI7bIAO8f9DpPLcp5GyC6F25z4aj95hwJKi7Dwg8wP
9WiJE6krdQO9rJfZ5jqdoDxitcPeo/k0Fp1JnHisH/co87Wo4uCBpilkH22Y4qpwsw7MHDRNC+mg
sndV6lscQ0hqyT0/xxBgO2F5Ys49vkmSfmFeCurxlONRCh3PuaU/VSaeT0/P+6ey6PFFO+di+lE1
kXLiBo9PBFyKy8CuY79Ae9o9GqUxkdIBNgTqzZrbnbPylQnKJaty72cNg/D3Mqo9W4/G9dfj9XhZ
mcv1DrdG0Z4uM7/i/XDVFHR5iKcbT9fyhm0+YXYtVQdH2JL6Q3+RS0f+8a3OTROdvh6riimOVzI5
jXaGnrj0SGlWPJq55xUWfU5bTGrVSzo4oceJBLiFne2/vtmP7xPmk23BMIXuZHP2en+zICYxVCRu
4bmYuuyYsPiuYC9TjzPCc3Jv/vxqLiY4TL00YKzj+xS6aWFlIItIKYJupaKBdirUGzE0qBVqhenE
av3hTfIv5OuwdV6ioIl0dHOlJduJjSU5UM5Qz6IDPkTk1V6FuQZ4dvc7yYroxKt8LdS8nWwcAatc
UAJgUw5NyzwaPtgmFa3o/MwrnKspWrvkNqj+wanv7Uq/7GploZbs4JDF1Sje4POViNCyA39D933q
vwMdnKCp1cQufQ/lPdoRTBnrCLGMWR664py/jkW86t37KmI8kt7E/5b+aqfd8+/Aq8S/wIQVwV43
TeY/qmTZQvMPU3H/h++S+7QdygJswOZC8tF9kkZtmKOTgG4u61u/B7tYlSRTlAMxRKZV6idm1w+z
ARUVBs3c1HBd6gTzu34zhw99OVoDMFSULxzLECayoLtojUuxStP096SHqK7V6ErmxtXXN/rplTUu
z2YTPr9+dOVJQznaFlXkjXHyKxy0fmX3JklIMoQPrbKraaYl0jsxuScu/OHbnG+Z8hz1axZrQxyt
m52Ikkav4oieoboZ1QAnZmRz+Blbd1lmp4q7H1oDTGDzc9WMuRJCBfToa0lhh5dmOw24xhvaRo1X
18jvsmbYmb01XhTNsM5dmV/Qtgo8K20KD8/nia/ntVD9/uuhjE53ktovv4XWyPvXrJe2OWT1MDD5
EvYGH0xVELDea5LdIQKEzohWKnLcrUo+h1ToZdLvjHYG0U55umPATwWhV2qCLHo1Juj9ILNB/Azw
U6GH5APJb0P6RESCq9aVW+04aHMuxPXd0fhAO+C18dqvnkvSxQkcB7aKhG6+OpYAZSXBoE3pQx+t
W/yH7EAWesnFDgCYlzDj4NicGPOfvRJzfvvMI7QMqey/fxoyhtma4b2kKHwRaQPiVjNrz6Y4RpTq
QwGZ1XGZZkChLs6kMqLrpU124kcc7zPmkw67J1r6KtA+kHrvf4Pqk0xSTWzNNQmPGB7lanCIEpMP
9gDgN6qJgguU9def3MeRz/JrOqZ47dIyj76/Zuqg9WvrqvOmdvK6jtg2TGgwNwzKFDDsv77Yh1VC
p+40EwfBxc6F4qPPjKZsVYANbed9hrWI9c5Z5hqnHeBnXj3Kpewm88T9fXimbCw4RJp8Z+r8aI/u
z4lCu7UbDG+xUQfbZvTPqf2tS1x0C31Mn4NWJ3RkrOSJO/0wk71eFhWCwyfuUGN8/1h7JOV+b3Du
7wKkbHEEUC50M/vcgZywhHTC9jFwNlmDuG5ohvrE1vE1xOXdtz1fXpgOUwvngQ993GCYxhQeLgbZ
LLI3yUAOQUyTmvlsRxZt4+Wd+IX61dmzqBH7MpkyXLcRYQp+1PrLFGz2idnm42tgfuWlzzsfA8nV
/LzerCk4jYRUXKKLpVKd1WaHzQr9Zc+CShDRbCsuHvv4xFnkw9DWab5SBnOFhj6RQuf7a0of0bEh
0VJwZmr3qfIjhR6Fvkm56Mfq7uuR/fH+5iLyaztt1o0dkzajopCNHdXkfPDZbGDDHwKYHXvVJcXT
7rw8cN09K3h+YnR//KAYW6rGZEGeFlWSo427G81Gv7zASClkhfGsWdGnVzepL0ZM6wDP4i47MbI/
zpQ6r28ul9BDo2fhHB2+crPRoLgkhQeqnLg/eLOLngr9wpo6f5cL9Lmtlfaw0jIysztRgebpw6XU
khNr9sdPDEbqLO9gR+0a4njL2ZUJiIBKJyopEZCLMGtmbgo2MMqWftXDxmJADRaBeeZ0/fXL/jiw
3l/56KnjVetsWDBc2fbswfFX0o1cDIymvQriE4/71F3Ov+XNh1NSurKZrTKvqZTvI6B4sO46+qlg
obcXU3swiPZag6wNT1x33oK8n0FmAi11sVncwixydF1El6ZbdiH1g0Arl93Y4N5T8uDEivfZk2QH
wm7IQcUGLvf93QUTdG6Sg3IPc+0cF03GFMDqhuwpnHvhqS7lJ0PXNZAnMHB1+5WJ+/5yMXJqdyrw
HUOtf4ms5DfCfRw0mn9OjMh54VerguUfhLS9o2kRUFC1dl8PHTHXCo6eKz8B4SdHM9dEEvX+JwQ1
fY46wMNUyO9lOFfikD7T8IvzA35kSBa1jM4KiHQLeE3PxqggBaWGCGnLXyRI0Q+QFcFh6qJYaZn8
NbEDWzthBu1fQbcMpPDEUvJxYuORwWFhnLFJ5Km9/72dbsY6qs7cC2PlspTwQoEOrq068VJrJMpI
7RfQK7UTy8WHcYFc1+DcioiPYp1pHW0UHMXHoNTEiTfbWNcg/r4r/UBwh/2oZ4nz/3MxWA1AnDlz
cJp8f4uF7+DHasIEM3sdbDQ3oRpKQkFXQnOj4/P1APh4Z+iqoD+zzYTJ/EGiiN5B7euQUilgwx91
1eTb0nE3OEy9XANX+OcXs1GqsOEiXY0C9/s7g2CJdRI/puebuBMta2P6hlxAhsgWQ2T9/vpiH9Yi
XC029Ud2Wyy3xnExZyQ8xGixmXowJDkex2SyVq7zPPsPtcyWuyykpfz1JY8B14ZzdM2jtUiBnGXL
iHOb41fOAtTBpijJU0ryTv3WNSS2TgMNMKJzSdYZllpYb4NQuPuE/ekyh7cwDZgJB8U4s31CmnLd
PlHz+fD18PtoM3KipNRsqccCl2HEs03hBE5C6SgEsevppWh/VIUPiLUbPTcJr5y0L09MMp9clcmF
kgiXZepX5znozZqRRZYhGpuACPbEuzAyyYLBBkiGLEBDgqPdX63inHoT85r3n3nN4RSrW5TVZkny
PKyPNRlqCi/PrRwAkZZPvHZ61kLO2VaxtFd85vdYxbTtqAC16lztZ5N030ZjOgtDIEdKP5Uzi+YZ
DK5/4knM68fxr8IIze6AkgID/GgeAZFb975CEMNYWue6m120lQ+OogniXQkNzdWfwig4RGDcTrz4
ox04z0NQ4aPgN7PccU4eV/vCPDA66tR8DVG7jTF+LxBEb+sqTddwq8VGRUfZkJgEpymIVuMQriI4
icUuN+v6e9BPDye+lPfrzuvvsWazwbyeo7Yy5yf1ZkwMsdLbKshlD2qI5ekVic2OpwR2vXIbKoJB
UWym1v1Gt15dZCAfT4yP95PDPy/PwdZAD872+FhzFfkd6ccxl5cNnVCcvXcKtMpJUa9wq2Eslspw
4orvP4J/XZHjl0mjR/9wAisHEHaUPcmBqESwLAkdvCRCaSocSHLhqG8rCUYEM/vfU+7/fDj/eK1H
/He7wq5Jn5v/c/VcP7/8oiL1zrUwVzL+lZgg/kK2ibeA44PGeOSf/J2YoGnaX6hjkCPN2wyWSOby
fyYmaDYRv3NtmU0T8xkbkX+7FmanDjIwjpUsc7Mk3/kTO87ReqKIV7ksabxHM6bi4/NMiGHdm3V8
ESfZUvjZPpmxmoWBbRptt658I1XuYjA5MNc6LX0ReJHOFtG3ukWvly/kw5DLom+//m7N98P437/o
w/dqtqLoCfLZx6W6BywA1r4oMXjThz8D/bLuitpZ+DWUdn1sD2AuHHy8Dd/u1P2sYoGQB5PgYEx7
TbKNtKnHayBkPbsR5jLK7Gyt5ekdWAx7nbYjsd444pdWEd8IOyhuNIPzHFTqfdpFT4Y+7aeJQLgs
vmDufRgBMC9IxUJjkTbBFoqhuZqcol3FFT+wM4CpOf4uyAovnoIrtSjuQjW9wz10YWew70KIoIve
jL/pPXC+StFekGE9aN1gUVdUb0eyyFDO85eutS6nqTmx2XsV/v9nSfjPA50f9JsJUGtLS2mrQe7d
mOKarBwg5txzEDqYVnsN8Bg5GLMrNtIWkU/pv4yfitxGsAPn0RgCZq5mU5i94HRdbLPA+jUHlGby
e2djLVCGqzY2FQB+aYBdus92fVCyfRVjvHRjIVf1SB29nyTp6saQLqfq/3F2Zkly41yW3kpZvbMM
JAGQNOvqB3dnDB7zpEjphRYaEuAMTuCwm1pLb6wP48/+MxySyzthli+ZUiIQIC6Gi3O/M8NTlfLn
wK3cjQ70Q9MEJzY/73BP/vtXNe4YfOqJzh3wU+dkvAf/+aqtUM/b+jcY5AtYWJKNpmCDSpYEr4mP
+TsH42eaFlmsF9FvWN9c4HEcdEXxhLrFcxSufRvCHtZPHYr+A1H84dcQ1WCyVw9yFveDaE49J3nr
we1XX2k9Pn/4Snkd6TlzSLNvQWNEATgqXPcpalki7JR4pD1Hye1jiPdssNRW1MxnzcknDpgIcKu7
vB2hFgaKtMgxfQFeLqDuA56pjNzryO+2UVA/iml8+n2Euocn+r9HeR39D12VlZIsD2S7R9Z066Yg
hYGUlAM6N+sB+OVJfIPJ1GUd1s+Fnz0tbae3SF+TC6r5tq3VNUwqQMRrTx05j31046zPMwQ6g+vq
PgQhf0gBQhkQWad21fd3w199GOOkXcmIZ4K07R7o/esG+JCun2FCwJHMZdqLtjqowLMhgI21FGWF
769GEkDnwiufYCRS4uVR3iWivxq6DnyjIj/3mcw2QZF+JkX+5IKlBX+sH7//Noenjr8/jXf4aQL4
aExzXbf7qQJ3RfyIQDzKs2rDmABqMDixpBiqi79/jHG6BGmyS8t0aPZuDZoiKKu8KTE+4hy+yhvq
1rugVbcDhU8km7e//83eX6R+9R2MnSoBq7WaiqrZj9ECREJ4BWQa6E4UzjrdyP/MQQtFKn1yXnIx
wHwlu8g4O5tgqLJz2r7HxED98aTh7lII8gds4JEzaPXXCFZfGzBn4TsWhKc0Vt6Rz2AmYDmbHdSK
h2rfj/qzSmdv44GIi31qWDYhXTwg0otzLqIXz+vOJFsmlL+Vr60nYRsrIKrA9hLPpP+jHFBdJMQt
0h+7MoJuljIoRfnVOKXfmtR7HGd4duLMsdoxO3FXkpsTg31kNaLGnrGEHbysKfA3sO3MQPcHzrqC
HsLnzwRATjb2uwbwzJLmQBqCe6H4GQptNrCXvYMn382M8nvcmB5w0gUfe3gcawLVV/ANC+1FAq/J
jS/gKfb7rvrHumqs+RWY73OZRM0+64C9cgYvvF5gmrSB756+jcaFx2LGCUVOKFHUqEVYvcwea67I
HXMFx/tfiDpjDQYq0E6bqPTUhiWwb4NFjR/3edddFF7y4ozZJz9xXwCn+RK5eCsa8+J86NI30rkS
JxEcsNOJIDMczFdhibw3Sk2fVyz073/J97qlX0x+auwOCUBnYU1dtfcycAur9IrzZF/y6Idm7kVd
Dbd5+wc+1xVb/DMKX2vYop1VRXVKLvN+bfzVzzeW/Crs2wESbbUHQgXwlmUut7rEoYe7nbxXOFJE
4AVCEYiqDoeMX3OfflNO02/TIaixXQHBDD0+JIaz2BUzQ9gO36cSPtcARwybvgO7jZbugNtKC5Wh
nECsUAuA/CqnF5PYBrAO8lV7VRaA2yIXu4HF4LirZMjiKIQtEx51rkNgvM8jR1zgCeBtgfM3jmZ4
Um1KsIAht+l2ALi8LGFxCSA0UO8wngaBnzziRjqeadl+YUnmbxoGLN6MGge/dm4ByXnJi+BV+jnM
7IhEHXp9XQr/QoEkPI28PWsk/fz7D2xkSf+9opriPJj1jCHXHgBHEw60sNR97jRtdkpDZj34BNwp
6fVnPrj/8Mfq/U0xVl7MsSjusBMjEYqjyBa+f2+RVDieK4oigkTIOIFpUDvCUreFR/eJyfi+CPxq
Mhg7ooYlNbwLBr1PqLxt9U2gb31V3VO/uFoT2Bs6sD0bA283BW7c4lwQuigYi1oNvfKw7URxPpU+
nHGWP7OqvcunzyDA3MDr6LxRGsX5zYVCqe+YwmAkoBctMKsFFfhdk30StTjicMgk4QZTf0nCCIpP
z93OQfuY8+AKoNJzrsvtnLgxvCULfo21d+M416X+PnlANHGgumURW34zY7OFp3kBFJxu9wzWbOf9
kMLhpsoDqEfa9NINIc5LwjSELwuwKzVH7jrBQu0sSHq6bHlLYYJ9QWGEsklhXBB3QM0iOxGCCO7p
cuNTSfFoCzvIE51dO/Wrj2Zs2Q48ZogQZb/PYPfpbesIBdkpz+D2U8kEZ+XwThTNuKvXACT+EGyB
Guq3IoKnx4rOg4MTdLuSyfQ+TLPhaSzxnLsstL2BXAMy6KrutzBlBq5FASvHuxPnmRVk8ctuG7v+
DFuKFFDNet8x0u8WCrFw3ucgNnWpe6ZhWR37UvVx62fjDpYE4w48yRDYNwaLadFcZ0v6GDTJnRrm
CwY3r61iODPD0VjGSJPQLXDabJNCsgLfz6yHyicowHnxyMbzMlQwByXZNBCObjs3/TxE4r6vS7H1
hEcvUB0IEb/XwHTX0R6k8/iDZn3ST8k8bxS4LZt2zh5ZgkPfempMuqKGG0J3oefic9jK+xQ6aUWL
8gZRdNkk4jZ0qhgwTvCNgwGaSuGTaouSou4ymfMccbSe6kk1nQMX+trnPQ7VQQ2D3xCfySuKVTEE
lwa72fJeLv3hiI+yPT7g8qr2iYMifaVwmQD/RWHfK5Npq/scQgkBMW1QDz8m6gEu6ahl606diiNA
HOPa71gMxP+r27F9vvgPOvOv/dUo3m18djd5+ppWFRgFqH74fZeP3Up848hSj6qiQaaKfZ6Hr1L3
X4DJLjeMjGJXezCai/grMoSvpSfv4PnWnxd1i5WSO9VmqaAPbLz0vitBGM7SR8seGScTH0su2FAV
MhmNm965c4bcewqm3RMMI1a83/iJecAseXjljKVLgZ7PqhG22c6+pbUMzrHAMAjgkTO6EcmSnrer
ac6Jvh05oZqUAE/P4PX0RO2FXOEEPnRuzAcn1y84i3GImi4BXQbliN/1AtdmWCaQDaqtUbRSuhqk
loneyaGGWfo4eMgnkBoLd9af2GGO3S98dniNcRcwO9Xg6j28dy+9xT0fa7FD+dZNENaXHKEeDssZ
Y7A5c+XDiRE5cqv1jWtk6ZXE9Yp53IMaCC4arDpLBvsbmNrIBD4QlJx38INvYISYTxpWCclL1yXn
Xjo3yKDAfhbk8vtQ9lcnunMkDfZ+3P0QgfjobGxAhN4HWr/4WQE4cA+byjqf7pNswq2uQx4FDqM/
Sie4Wo11IE58orj1Q2y/sNjvHdA9XfGtTinMSdrsjYfOiZpGbx2SX+wlpkAb8xJQf2ca9oPk4KIF
WnxJcGb+053daA+AJXx8ReNuwByE55++ypENK7ruC2H1dZsiGwD0F6qEQq3OkDFI9zhdjjDp4ikE
ecUj03688OxzEOBCV5EZRRv9CX3MsVOWb2yCSeFABd6H8IRp9AvrI7DCMlg1rq9Cqi0/u3n/ZRTY
ICieRSjt3wKsz7DHASeUDfK25M5Nl4JsSIfAPxML5jsGwYO5ffpDVDjVnvj0h284/z4L+saex5UD
5/gRzjUe7P82Eclu3GbKIRKovvuwZ8DhVNyh0lLC06a5DmkNmC22uwAmERvgumAi57PnJcSG1STg
gOFwNow7R3n9+Xv//lHC/7ku8c87rOtbreY2FbL/3/8LiJS//+0m/dbWgM725t9af9C//1r3b+LX
7q1/O/gX+FKk/fww/Gjnxx/dUPzrB4DBsv7N/98//I8f7608z+rHf//nt3qo+rU1JLerg3z9WhJ6
PNN//5anXf9//ufn/+cvMlHwXyEEyyjwXaVe0Ahhfv0rx8/Jf4V4sgVgJEAlLHRZ+NZ/5fh9oInw
v6xIBVgWg0uKKPsLueX5IBPhXR6YgpCuJeb0n+T4fxmtKwTEWEyzRQIAUnEYgqNmrohgtDIuxYmT
wrHGzbkKuPUECzseu075CY/jLx6gdh/G+P5f68l/IC92D5fNvvvv/zzStHkG6eGylGdRyWLKcJGe
ssQBFXbhlq0bxwVU2aWo+6h5HPLpTsFOzk9xJbTr+brpfli75znkodSCx4N2vpQT26KK8J/JlP5a
HPDwbGQC5Jh1eTLg5aH26FMx5W8dsMx23TZ2XUEd8Jinksc4gwJWDL+P3ciwANq1vn7mD4Pi684Z
qYeZkqgepllBfVnOkD3ZNW5cSX3FglnXCYsD+Iptx4H92fiD2to17h32PIrGccixdcSio7j0lA6w
MtUpOfKxWW5EZ+C1A16sEhpHQ+08ABcVXtJy6GfLUTfisxMSRnATPHtYOXxO9Ih6Tf/FalgATTv4
oPWIJEqp0DTomNn6dnJd0ubSrm0jOou2qIrFwx1CKYEjsIdbWtv2Jw6/R4b8PWv7YSYm2TAlbVLj
e7rV9wx3s7Rs7u36bUQnZknkwwEPTc8wCSjC3dglJ06EaxT+dOjCHdSIzoUq3nkkg/sSznab3pfL
HcDZ7RWW3xNZ32Pjsv73D+MifenAsCllMaRplwFxrsT43W5YjPBEmiAC712yGHCNfcv0mxJ/nUaO
0taOddoITq0lfFEKgUxgSUbU5Sf51eB6Jw6Mxxo3gpPPWQP72mSKUXV5zZfyomxOMfWONW0EJjj2
jNRr3FNAoqUHyx7U7luNtllADsd2PBw6SI42Dod1QuB0f0Z+kNmFvansQmmhJipD614yv9KhvUWq
O7bruLFvAuA/zAlJYUxFvO8LYHkb5rif7do2IlPmsBybBjHHYzjB21UDw+35sBq3a90ITpRVcphy
dFNcMH6fROx8SZtnu6bXCfQhKp0K9YWwdacxPP9eRka/p8nJ8ukjk9DEpBU098WQDhPQ/ewKRtC3
Otcn9GDHmjbislz44BQpTMaQFvU3SZ/dFmP03W5IjLCcfRjZ12SkcYX7CGD8+pz5w5td20Zcgoor
G55OE9YT2m3hCvinUy52Y0KMHbNrx1rVuMXHLRl/KKf7JPwvVr2GGOhgkoAx4C4wjEPLbnkLi7Zb
IgC4tGvbiEo386mK8K4c4xGqvKpSPjwPXi3szuHEiEsOZ3QvV3DJGv3wW8HoU1lEJ3bMI1PQBFy0
sDOe83GYY4/PKImV7r5KZGh3KDQVxholmz5q9iZYAY3nbuchQz7t7Abc2C3zBMVvQ6Tm2Mcjhg+7
ZZ5Iu9lNjKgsErY0rWiwoQV4Dk1Zeg3r5lMFlsfG2wjLTLTwzlYo1lNp/kfFiyu3PEWvOta0EZUi
jMA9W2dJjudeMPtwkQ0hGLWa4bhuH0ZPEqISP8FMjEOhwSORKKYBpdUqNIEFPmzcr7wS3mOYKHpw
LmGZ8ofAQ4PNRAHo8rBpmEVo6riY4PAPhNAKrpFbvzhVbfTrIQcx67DxLGcVzN17bGmq/4PU4BAN
hJxgYB1r29gui2aRLQ2wpNQtnnerwN8tMOjY2Y3K+kM/bJhNHRC3UdjU+KweeyHh032qvOBYv43I
zFy8ZkqMc+zjMPvowB3jNStaq+Xqp2L3xvdzGvblHMukemYTf1xkYbVYQQ59OCQwOA66QJTrPo8a
j1mHPyiz/JRGZMJmlvddV8DlcPT3ZURBufafrT6kWTopgXshg5dPcccqBq/B8lnmi2XbRlSKnMEb
A07ncR2mS1zASK0o6vLMruNGXOIkCHF2lOPs0wZ/ZhMA1wXEh5aNG3E59jrIhZ9iDsLma8NF9QZm
3INdx424lB6c7BqCEZduf+PncE/qUqvzN7wHD6dgNBC/kPAeidPF+TGN0TdKFrvAMesyZc26QMI+
HQWnmuxg8wshh3PqFe9IyP/EuXZn1TPcHuKwmh/zCBkUiOxOPKQca9sIy7aA2ih1sTWAE9ucTYxD
TFeOjl3QmyTdgPRtFiaY4r0kUSzGodjNTpXeW00Vs4ARRTaOrzJA3sdlIp8Lt4/ekmQcL+1aN8Iz
45Nbhh2b4qVmL4Rnj0FvFz6BEZu97w6w82XIKjv9WTqm4Bn4jl22DZzJw0netUVD8CizxJ6iD9UM
TFlbnbg7rE38nP7hgRGazmrLnpJmjsmQxkrDE7wfv46w0XTTk3iZIz/CCFHooPGoONRLPDXyzGXi
jISu3VwMjI2TsyQahIPew0OtgoB6eBmRUbGbK8aZFpRaEailnuNgUE5M82XaaOb8sGvcCNGctDPP
a1is1n7/KWvHL42yuvgA0X44V5KgkJ72fKzjY/G96IMfuMueqqE+srCYBHZJQpRzTMsUk7L+XHvJ
PZFfrcaDG4E5L9lEIuDi4iHr77usepXLqdLoY502IrMgMEyoQIqNO4E34inq2G5GrYVdv43I9Be/
mLMRkbmk85OA0xqBMbRd00ZkBrIJdaAcPFSr8oJW/KlDnbBd02ZEloqHWFG8uOkdnLASPsaedb+N
mNS94wD7gphsGg9elOQ5QpGiXb+NkJRL70Ytw9s9W/QrDs17+JnarSRmYSPkp+EYEei+ljJ4ygR/
W+rAcpUyi6F4ijxbkPIpbvGuv6E8aFdH6xerMTHrmiAXoHlOgJJiarqaQvKwgDhn17QZlGmrUkIx
A0tfPTtNl8digGGkXeNGWGa1aKgCCTye6/QGJbAXjugf7Zo2gpL3YVqTEk27lfdHSqcnqOBP6cKP
rCamW0EqoUiGo7wXTx64GBz5xyAcXu36bYSlhg0fpyjljOt0/lao5XPogGxn17YRlaAVpt2UI08d
zfldLYASmXHxsWvbCMsCPJXKS2BuFQzFWZXoC5hvnFip1tnwi+MJM/ZJDsTLoviC40lW+F9hDrmt
WvcCJXWbAKHPUM9uGUbGtum1M9z2amQ6A7/4PAIZVfTJd6vhMas2YC6Yk2XBdCS4ePOJviwA2No1
bUQo5N3THFAMD/Qzj/lUbZ06smzaiE/BB43yUWQLBRnuBI92qJGxbNqIT7hnz12XotcqVeO2Zqg9
8Gu7tJhZF92CTQXyRLbEaaamXVbM02VVO/OJ0/Iaib+YjqacHvUzOiyCFiuiM/efoZfrbsok7U5M
9mOtGzE6zSFzA4ELZ8Xdb6LPUJCg+ZvdTDFilMLYUvXrSVmV5cMwQXg7whvJrm0jSCfQ8CYe4TkT
eU65KXLAvwirNnaNG4HZQXCIklc83gU6uPGg5Be+b7e/mUogHxU4HMQYvN0VyTU8Z9Smhau0VbdN
2fBY8GUcIokDbfFUhc1b2Ud2GY+fmI4Z7cDAEAteewJxS+dKfE54v5wYk/V0+YsZbuqAPDpWxEd5
Q9ynEphEOJJPdwVb+sdORlLurAbnvVj1Qyo1W+uwNcOvwEL4Qs/hq6vCc7umjXkuld9iIZdL3M/u
m9M6AMF7dmkVUz08K1Qv9yEeY5MGjHJN6m/DnNotiaZKuCe8RJkEsuIe6c+BTjzz/FOJvWNf1FhV
KgnbvaXGzh92WX3JWLrVKBgPuJPYLYqmbBeF87xAYSQSzHX+JD3nZZnD71Zf0xTWBkE+uVRWeLKq
BnYJ/22xdVIx2c0VUxA7kIQKVSAzXsjuR5QyVAEtoF5bdd2UMcGApXOSCNcrIlUDY6LqRUBxa9e2
se13WQjU4rzOxDR6gBHueTJxy0crU8UEq+6qnjkWxQg+0RtX8m8jL0855hzZ4UwIGrzHC6Bd0PFS
zjBZnLKzcqWV2I3KGgAfVpUerE1XzEi7o+QORYGQAjUdyPh2ja+/0YfGpRP1WuaYKxVqb7cdkNcb
ICzsJqJJy+06QHo1R/SPZL4QVRmXrbbLp75L1j/0e4QJzVwG+JweUdsmGvY6zz5ZDYmpB+KF9iDD
x1FrWZnUjK92BZ60S76bcqA+98fJx5N13Cb5HWpKbltmuV69M0s+DIkoJPy1K4x2w7OvLg4qQB09
2A2JcbKFki5Mowa9VjI5n/Axi9CxS12bRk9uXqEAPxin2J2hhp6HKygc7Bbwd/TShwHhXE9BVrmY
23Q5S7r8dsgiuyOtqQSqky4dwrla4sDxqw0yIVc6KCy7bWz1TltDFAkYF/LKeltOyVOHUhW772ic
aJOyA3zVxSkigXD2IkgWeRkO49auceNEW8McpVdRhEWQOedqji4a5xQQ+8j6aiqBGlVPUSuxBI50
Urd6TL3LopnslhJTDCQXP3MpRK4wOHJAmCpnVLNXtV28m7xXXCCcRgYhjvmNe0Pa6iqpT0F8jw2K
EZSTxGtv0/o4APmoWIZ+/s8ANi5W39LUAoWZz7O+wRxUI7vt0+4KvK8TTf+6qggIJWPL8UkoOSA7
U8x4Dg+mCCUs9aZy02gPF5buSdOC3ATLFD44ML7lczHeuKhfe5XUG69IVHmv8Kwa5jM9+XQ4nzSM
j0Zv7O7gbghsb9uT5BK5cfkwj8SprYSt4PMd7pJ133cTIFUY6sB/pV5yxVR1YTfSRtR4ieYthG46
ztzikwfyeZL3doUVgPQfdnuWqlKFX+p4ib6qhj/0i901EJDSw5ZHF8+7vVOreC5dAOnGnRdmVgMC
Mt5h0wWAUUPuTioOqvxaNT4SwNxqZ/+J3e7otOLJhMTv6PBy5zUpqqODU5yfX4cj3HwP+w18OOZb
t6g4CTq4ua2cSNTM2NXfvFc9fTynoXBeoIgZo9KQsjxbEtR3hrl34py2rhg/X46ZaSrpFQlx4QKq
4gkC7seo1q9hP29zIADKov1n3uv/rxIHLKjD8emCpKmhXFTxMvYg1o+gbsO3YGn/Auv9Q2U7J8Z9
MArGXC0Sz7F8TK7hSLkXkRv/PkaPXDVNGSBEHqrpCVbD0OmyT62DE8uma0K32HgVRu33P+TY/DHW
mGSO0qrzGoUajn6GTRYsu4ADshMbsrVw7+P8qaOsozlrVdwlAHwWQX9eF+mzVc9N4dGMumvXy9Fz
MjjnOTzrqqz5Yte0sc4senTTqUGZ/BIVm3ro9k5zypr9yHib7qalI1LU7UdYeIuOwWmrXUtEJ6hq
7Xpu7M5Jy5waHafQGQZ0NyKRDYtM7xRx4FjnjcWmSQXvSw5Jtz+Prx6KcmXr2r2Go5TycKos+QJe
FRKr8ULaa6BwQ/jeUMvvaQTpLBQLqzBHoVI+gCIn025bTMyycWOFoSRv5r6tQAdgHFZJ6XLTstrq
mgLDhMNBEQGdNIhXLB5buP3p6jJIwye7mWKEZgMQERgMKEIXjgNf7bEbN2M329URol77sONB6Rco
IkfrqZfH4OruU388sW0cmYSBEZx1mixBNoDGgPrNV8n5dTjZ1cmCzHrYa7cLgokmKDeV0QCOioh+
JCAp2K20puwoQzEbcDPoNxnEJVw/brRvGZem7KgFgj33c1Rt+q3nxE1WbuEPFu6sJoppwk6Lph9K
rXjcLUt4QVLvaaTzKTzPsY9pRGa+eBNUGRkaV+rToN3XpdJ2J7rAiEvdeJkaFTRky5g+NxzOq5Hd
UwczadJpyjXxU8wTXsGHatb0jLLCLjcG15/DSUgX2KWVHUq3UEK8bP0uf/Fq3tp9TFNzxBaRC75i
hYkgt2FFYDFG7Oa3KToasTkw1oDkNiGLddm3PYzCO+nZrbKmMQE+JtFUoONToj8hRf6qWv5iNcG5
sWdKzWaPcQ9NjwGM1GDnmraB3X7MjR0zDAs1zbTgcVqrKzLDl7EJLMd7DakPeaZxDrOsy0bUrwcu
CENt/tAXnnviunwkLt9JTx8aF/lUDLrGmOSLc5UGGm6wlFhdazGyhx2XhEGJPqDjJFzyHUHqeq4d
uzLwn6wZglSUdIFpLpjlw5YDiczK+t5unhiB2Q+MlyLVIO+M9XWyOHEe2OmXYb9hDImTJ3yBhDlu
EJ3n64Ii3NlO+gbgzmHjvSiKTlIMCRvbTyCdn3tt+WA1JKZ9FQexa6b+yGJU51TAS20nDfyUXdtG
WAYD8fJRY0zCGTrdMiOfNIxE/rBr3IjLZOxC+KjgW7agJIHQU5BNq04RbI4EjwnXD12n0lOOmnun
CW/KOXoeLUEEP7mnE9Tf1WWpeVwO9XmWpfdpGJ7ZDYkRlk4aEAci65UUoIAJZS6PUG1ay71d8+ZR
Vsihz9YpPtP+jE2kiB3h2tUngrN+OMUnxw26ekbfqfPJ62F4HTmD3RMeMwVHLvTzaV8gYTAn9G3K
kV3WZWQnoYfC6rDjLOzJGK1TZYDPxHOaMn5OiFB2u73pnoc9bSLMAaABiKpbnxY3i937CTNRp+4E
OQaCiMdOO+yXebxIemV3bjM1R11D6s7PBh7TwrvRnoghS7McjzVgP+xqBI9sabjmfuANXV94fpee
Ablpdy+hxlG2nrze6xbJ48ITV8mQPedzYTkkRmiWokrdoE9xvge718/zeZPl4pRr9ZHV6ify0Fr3
mFQ4ogQp8HVRJy7ntj0FoT7WuBGYuobNnKcw4hUHVr6sp/TrnDqR3enKlBzJusUyTsF8UUoGW6Dx
yns8vSV2H9QUHananaQgGHUXbshnCdKVd0Nes69W66EpPEoGTccBggAQA3xv24W52tC5s8sbmLqj
BIYtE9yVOACsyTcAXodNOS5bu44bW6fy8EyVClzZ4AABqwSSV6sN7qlb29rKL5LCpnRnok6AZxQs
iCX15c2SZgK1vqXv683EtbI7yZnYPtgTN/gdUHCaJ/JWNgBjks7q5Y2Z8h0Odw5sFusq0DJ3W7ZC
b0c+nwLEHgknU8HjeTVy1wpTspA4HuZJU2yHaaF2JwBTwaMqNN7DyDrOW9ga9Px5qoLPVpPG1O/k
pQjmlmFYfM3pbUay8VYHJ6k7R4ZldW35uK5nqLKKihxTEpabn3W1nKuqs5KpMVPAkzkFDi2wn4/B
1q63RerhtKhqy6SnqeAJJhUIzHMeo3Z22iZ9DrMWvliOuRGobV3ofkJJeDwkA9spD67BNFyk3er4
jp38sJc6beUFgP4i7Zmxa5xjLjizE2QxU9BYjKkzviNO2ZpVccHjxcO+a/niYVrPj3C26yKFnCrn
FFRhcP5RapjYXVpM7REtliSvBA6ikaBil3juW1FbviOa4iO4dMmFT7iTJ7O+coFmS+ZTdYtHAsgU
H0mHDX9Nlag8g2/qn7DDerSKfFN6VEyRcBIPvc55Up4FMv1WhaA22zVuJGwb4SvNCh9X2365jFIo
MV1a//n7to/sRO8I4w8TnDlzWULRDITSJOUntVTJNXan9KzW2g5PAljs4bo1ebjuhxXGpqOonffy
oN9Hbd/anRpNIVIYTTytKoKRH5LbHNS3iYd25wtTiCSb3POdBU2HJEDZW/g1K7WVGhNPeIdj4gZQ
waUAqyF5SG40En1BonK7o8u7AeuHT0qogvVigFcJp5vz/Tgt4RngvHb4E/bOSf7QugSIAzY0GJTC
CT9NFRIhMGK24/vAUvhwWCrBSobKHTyoFHNxWXsQkeIu09lNFVOMFGUJLb11aYlS/03kY4sKRq+x
bNwI0pHKsE57NC7Dfpf2/lWYn1KWHYlRk0uk0kEIkFlpLHLfDzYVjCW/TZUDxq7f967lom7KkmBM
0iReh58yiiy7bitHb2GSZceHgQfh4Zet6ww0fw+TcvLneTtoPu6Ex06cdI8NkHkpheablC0WyNHR
1eMsv8H4dFd0nJ5o/8jGYWoUikAhLZ+snRfDE1fNJewV7Y4vpvqJ0sQphV5ziwro+rrxLrMw6uw2
DtODtBVuMveuYHGvqpuoXi6kH1rlRKkpf4JaulQTR7/TCmYlXdM3G+QBrXLnsKs8nCxNDaXjXCGX
m0CvFpcV2VfOYicKQ53RYeOZ2/T9WONjKqffN8p95EVkV+kJTvJh28Sj2qmpAxpclN5yKi4CO84c
XKsPW16KbiE9WRf1kD4OrLwJqyC3miYwrT1s23NF2FGKNPEkVbDJhuYVnrl2h39q6p8mp21RqY8h
0eP8JHt5GdXKLmlJTdkTo45qZgcd76Zl9WF8curccn4biVzXhdsgG7EaBpW3SmOXMwcUQasdmpqC
IZ/CLEcHnMZhCOYUJ048qG6x+5qmYsiVzRQmFWZKm8gHXQ53Srovvz8s/nodpKuj6McbKG7OtGYt
4hJihMeZkC7OUGuz+33jv17EqakZyvMScgQIVpAk9l4TT25QCndetovV/gyr+8O+Q5wtdduCD8pl
PwO5UPWPyh9zq6MikEqHrfdNo1XS44v2sKPYaRFBsCW90irdgkzwYesOJ1VO1qEp8+YRXseXnNg9
WFATWORU3djAdBXH51wlm0yye6Gj0HIqeof9jgQO0OmI2zMMY/ZZVXyC64rVSzk1NUPOBMlyHuFz
DiXc7NJlVNsJBp6/n4rH5rmRz61gzNm6Lc5yanR2TV9fwRzG7lOakiHu1LjNwY489uul2vgd3E8z
Nv+w6rcpGipg2UMiH/32ovxGNH9U1H+ya9nYNHNO9JKtd7gw7XdBzRbIHEc7QTw1NUMk9J3ARZ4i
Vq5zU1afJqqe7bpthCXWWMKDwEfLEf+atcGPcQm+2jVtxKR2Czq24JHGqPKKNj5MkGJtSSijJqOo
gH2oL2q6nsWDR7xCnXVpa1fyRk3F0KA1l3XnYSGECS20Pbm3gbjXLixNzZCMtJ74gFERjGxp1d9V
A7dbwE3FUO+lrfBml8KRBb5Ued8+dFNv9WxLTcEQkbL1Qx/jDWdOOGYpfzP79SkLziOriSkZouGQ
wxBk3Xnypn3Icr94Duc+sW3eCE1H526fKIxLVsL5MfduysguEU9NzVCrxVC60D5gPZlrd+PA0eAq
HCEbtNsfTN1QF8GyqaCExjAZvqWd3EUytFtnuRGebkuXPPRbPMkNTr2pF/lN+vMnq9A3ZUMLi/Ce
6mPEYeB1qwknV6Fbc8upaOyZunFJRCZ0fODBLdyAnsAej+36bZxp2Wr61w4QNsM0TZMNrBOHyyyY
slPVR8cmurFtMj4LxhNIv4JOf4LnsMQLdGk5V0zx0MIhnS4l1IhTEsaNL26T0Y7aRk3pELivTkUb
vA2rRnt7PiRk69LylFvwutf8/NZHTfVQ78Aae1QtdIKepPAhV/4P4aV1uol6Ke2+LDMOt3JowXOC
JQjK6Ud40AfjRjtBbXdbMfFFRM4L7ppQQZCioTe1AyQxCmbsqj2pKSOqwxmYkQHDg/TZ1Zz7X6Om
rCx77h+ePzuXZ2na4QW0YW24JXl42Wa13llFEzMCleD9s4wKHG7nju+0TLItzfkp460joWQyjBjc
NEJJ1gqH3E3VJutS1FMNYrRbHU0lUdl1umy8Bo4PQ3pGRPm0LHalSLCrPBxzpV1nBEwHT4lJmG9E
WtabZLbDq1JTSJSXhYCvJV4SnWjut2EBL90uTC2/6E9CoolMegzgg8EDsY3a6I5wuwdz+pOSqEF6
OM9dpMt4ITaYmN/HUw6FR6aKqSQqmzHPxQh5SJlFzf/l7NuaI8XRbf/Kjn5nNkJcpIg98wBkOu1M
X8vlKvcLUVVdJUACAUII+PVnZe85J7qZcvlExnRMh9s2pHX9LuuSrqqWOyW8yxqg4Va9aBFxz2eW
4GQJXZlSvzp6o71M7yLcgolaJZNFED/ewfe1vQtbYXdDLIbLdn+42aBws7c0mgmeHoxD6sOCW/fD
00WbfwsnWtsZ9p4jEIpTs8AXcR1ZWs3VcFkMEG4u0j4qaU2bc4g+fAtq/lmxy6xHwi2WqJ/bWPT9
GZW8FF9UXBqUzsrLtKjCLZQIuWfTr1qhZiZWAGWTahlOXjzzjxeN+RZLxDuvkQP6Q6A3Aszij9EB
okBdetnDNzdoF8PerS36cwuBXkGvdGffZYC+sUG3GkBFx1oYqZ6TUBsVt2szfmW0kJdlRVsk0Yjg
QhKLWJTa3tv52v4welyvLhuUzf3ZT0aMxSBRZLG82tVxXwO9wS8Tdgm3ICIJI8mBMzy9bUwu63BJ
nb6Qnh3+B4ZoLPWC/6H0tJIxrQl9peV0EVom3CKItLaSw9YZEzr6R9kHX5iQl434FkFE4AjEo3Md
kRTFw/nRceT2F03mFj7EBW/9scdJPs48Z119K8LusurnFj6kaBt7kWNIzYtpzGaEQlz5/WXH+BY9
pE1j+7UHz6aV9UPR9rfuvTzujch8a2MmhOHxWq+IzCvq7+BOF321xkM1Zy0df75s1M+Hwl/a5Ysu
fM9DirUD5OG6MFSmFeqglz17sz093zWdbErMaCnHRyVhTgw4VJv/+unnov5P8pYtgqht+ogWLZJz
Vcz1qe2G4jkaJgAsQbTwVMpVkJwULD5/zF1MLyxObZFFY1NMdT8JpNamOa3nGkwBkbN3zvhzCPqz
v2hzrQ4xhUVbhWsV5GH/uRmiBgq4AHnINJjCxOa9myMvbYfV6KwokhB6h9Qzly2ELfhILw03FfNg
KAyUYAaP1Zd+jOg7c3VeTT/5y7bwI78CpXhqMFddEH/SwygzQorLlJ/DrfYRtYMKuSjobjZOwgM8
DHLFbXLZ9t4CkNBY96plwSKOav8+7NbgEC99eNnBtIUeQZx5LviIj94vw/XUAe9ZkMsu3i3uaJ7b
sPVIfe74oMCE5eoegRdW7wjJv7H5ttCjGC68vKsN280gNrS7ihH20ZcaLd/p7FCc4sr0+33SqgV9
D9uw4bKrbYtL8o2eYRWJEg63YQSvkNDjp4K0xr9woW5KUD76kfDxwC6I66lL24641CPysvNwC01a
OVzkk0IlO9o1wfMU2vq+moa6vmylbsFJtPKF9CospiQuMyPYmpqOXNgq22KTgm4MnBAYGOVcnS8l
velEeWE1YSuUFMceV2zBwwmv+73vNV/GdbkMNxRu0UnIsbxh8s4HW8mKK9W+GKrby8KhLSZpAqyk
KxdcBwU3j1o2zT2RPrkIg4cy89+vZnM+3Cuh4GLqw83exez3Mw/n15fnG6HFVjBl1mRR0ufA95W9
/QofotpPEZj3NB87tXz49UveOPW3sCQju1L6HkZHevMLAugxJS25LMHd4pJ8AxrRMuFY9uNBZk0F
YHKroktX++Ymjv2G69ng8IwjKlINAcn9EDT1O4P/83GhW2zSTJsqHuFghcjFfQ0KeYJI+kXnF/0P
qEwBAUcG+YTdNJMM4st3WoQXJf10C5RJCHrOmmJM1tVHcbgSAaSIzGUUJbqFyoyh0YlWqG2plbqU
ITMny2VmvXRr6aVX32/8GlgZbzTPkDO814lXvROzvTWXm5XSwCx+6G1zLg9LD1xQtqsK+17B4s/L
+j/jJrrFyqzVONbVFAL90AysOVjhuyT1eOmFV40y6qH1i2ZJNccJmrGySj56QJBOOYmghJD2jSxt
bgGCO/8+DJT2riuC9zQMCPkz6P3Jp9vC4ARnqy8mtDzAQWLFSZjYjGnF6sBL7WhFklZDEz9Vwsoy
I7GO9KHVdNbdVTCNdlrTblkhhgtgVL0Q/LcZrI46JOV1ZZPlx1K1CU+Bnpa5ENxeT3oMln0ZeXLM
u6UFGnmBw72FyrqFWlzkvBYaO7ZK0iLumhe91jHbcVfNTV6vUyGzwLbF12haujavpHQfZ7+T4hbw
w8SmBevLPluWyT65ZVqTH4FsihICWLUcblrduPsFrn5gzJSSxSeIca3itEbxyI7Sa0sBF9t1aF/Q
fUzccXG11k3qSDQWa8qGoZvhg+7DDzCZxwaqkfB/YvMeztqrBD5WEwAIqSrGA1xaZXWlHQpgn8wS
LPxqWZgKssEMhfgIG8f+odFI/O5XFimVShq31Q33w9q/a+uB0Ix3qGafPF027iEa+namaQlZnAgH
GNEcRVEFs9YmU1LR6WQHPle/O0x2dy0WGVsCElk8VI8ehcnOqQxWC9UlYv1EP9rQig5tWwKYdhpY
N5HHwfqtuUZEL1jazJoZGP6oZd3DXBae23k0FMrswlLo6Pex9VyfpENtA7Xkxk8MYxA8l8bB8MA2
kn9zXV+QHzBaGPpnmgD5dOpU5Np7L0w8fhycx5t7y9YJE8AmWdgUps1TG2Wg6y/r+UOijddkCVgN
5fNU20jfizpidZiFPRy3urQZiR5PsBKI2YsMBjSerJFrUR5qH6MMjkgl9qxcC92lMVBeT8JGxN2P
TYMiRNKWU525xrXmD65dMdjd2LeQ9qdDb45AOrORIrqOWOyD7jxPH9qiRl8BIk2KPKuipEHeacHy
wXR+nXtrQzDrUejDpK8NdZn5q6tXtGea8a5Pgv5OTFUIRUTR8NciZJ24iVkyINMzhRhW/EFerZD7
9aHOYtacB6e70hgFklPiBpOPMqo++avW5oryxrtBRXLwUKYtG3+3DF34QPqGXI9son3WNroOUrI0
NtlrKiRLeQg36ZT1ChaZPIwKnU6TQm1awd3htalat6RMMEHSxkO/Shp/uGLwyNhDQi55BfUbPdtu
WHXWlmOl8rBww5IS1nRXQ+foZzfES5SaqOskgMoVczmsjoW96qKQ/hEuyfBxdeVXOPX5TzCskTWM
oeu1yKMkFPqg+w6dmmlYRepPEX+mS2Tylsdu3htInpR3s+De3oO5Q3sNiKF57Xsibipbll8CSfDJ
pIRkYaZc7Oj1yItKP3UeXLyykkBXJ19V0/OUdA0fHvuFyUelBfySB1eQh7mQrMxN7fssjxWrYd7W
6GvN1+6x6DwkbEvkFVM+tuZJmT4+LAlMtvKZJm7Ye027dPtxIIvbIYKOZAq5Dft9EC31b/1S6jIF
CqWvj6Kx6KNpkMTcdVtLnQ2Fp9oDXYvW7HDvLuYWyODrlrnhO1mF1leNqHPjTULgrOnptdRkfGnL
ED+OrkU/ZjV6RY8lGPksRf2FPsSGK3UDC6YIeABRm2hPw5l9kD2R9hiaDnSgUndO7q1dK++kVW3N
AZYz87FVcExOWQdlpmwSNHAPAa2hc0j7Ve2bYZlnmD/7y/qxa9l8laBPcqrCsm5zQkEyjkIUNk58
jZWfzfGiwZjU0pxU7OL2x+BUm+xFZJM55ZINQerptpofe16iHyLo2uD/Q7CW0QWUjOyIiwqZL007
ARU082p90lHpaA4lYbDrfDusT2jhJh5cJngnXy0foZYNU7yJ5lVbutsCCF80udk4q51bArpkrIIc
VCptLO1VpRTsbdOITiqlYHsfCS3pfmrq4YUvsDN0y8CGQy+B6r0ZlmUZHlzTdgX6TgD6xo+dXmp7
i/uoiG7NyJePC+9ItfdWkK+vauZBdyGTPYUzGnxq4h8iiQ045NynBSiBleQ3ykKg77qFQK+UaS16
2uV2hBLW7ThVvIIzFPHrI1ZUf1uyqgK13TUCHVi49eyWviTusT0bpd3TqNY0s7Ijv4cJ1OdQ0msE
VObP2ikfWZf0pTpSwZIohxSmX1RQ3hhJXoXM341a/KgBPH9B0X7NQUjBQi857zMvgZ4dUoQweVTo
W32KjZ6+8VXNfUpqm/Cs4EV03VW0gwy/m29D49unqgbONdMDZAE7WdOjmaapTUOnmyOqNiIbQaXL
SKf869C0/DjrdfRzx2KYGTL8UP3ambL7PQSH90HqrpzrNCy6WOehxrp/AkjMhIeBrn6bzonxy32t
JK+z2qkpyvvAxq+k4DGq6944rxl2deilOrA9ecGmskU+c+n1J6HWEjJ69ar30hRVeAWoVd2lWHrm
qEIDUXR/JfV1SeEhnHnMhn0K+b3koMt6HTPIUQzlgUme3MJIrreprjw1X0VlXYU3tJpIZ7NhHpbR
pYO/GHrfyTIJM9fCsyjnUolH1Xdxn3fGr55FMBiV+oWjY2ZqNaathSNYOsSxdHdezRObVYbLa92q
pjnOSbKqqzGRnnkKArLaDJActPyoQBgi2FLRPWOdpw9VXSeo/tiwSaH180dDprbdD1FUm5xHgtzI
WdfVFYOFTb/Tzq9yFTOT0XBCSGVkpD9NMDie0tHgHkgXol4VG/ixAis8hR7uQy17eNlWtA5w2oNG
I/NyJszsA0Qd6YzNWKR0IbioJ5/Vd7Mqm7TypfNhBz4dRok8InEkSakmNMWbdD7w4n621eelg3Mw
nSN6mKuJoRLTxeh70xF3mQ1rKHx6M7Dpj6Nvm+imsGUksmnujL0d16GYstgIeCp1fenFe9r1oJgK
0PwCmyKQEe6a+G3SZ2psapnOwTrLfcfisb+jU2ltNo4NFQe9SugKzxUvk5sxQUyS9n032R9LoCKe
hquCu9+EQNzlpnBM5X0vAj+rCOIHSLDP/vCJlYVn8p6wwuZawKsTH2g2z6iVdVW2Qn/6hMAevH0a
FdMfzjJo1Oiw8KvMSaymY5z0/A5V2bW48iIEWFdKm2h55sOgIqzlwPlZK8aleejLiX7uoi7AHlk8
jSiFF16fMcjQNuiNB7rKjYHM2xX1oESwpwUPyTXsIBXPKfOFeBLgP/l3DY/WJEVIIA5NS7wAI9AE
4x0LkGjkpXMFzzrFySebeLNE/a2KZXvwLIw207ZC7JrxqGronQJKocxkZcC9mWYj76dgRCu0DCHk
kMYr4HqHiJdSHfuSkWfU56ckw7nZXiUBYff1vPhjXsddZZ5WMrgnfG7/K2UFhBE1hA+qa3+FHUoK
oVo2fVunhQU7GHqjVjc3o1vyOqlM8gKCcTwcYsy+TLIhIVx8tc0Ic9S1Qqc2FXPLnyOm5xrCzmXs
7zz44lbZ4o1+uxctFHZzO4x2OUJnyg5ZKNqgz5WFmh0c0ph/qkQ7T4iAjWqPDbSuPkEthfmph1B8
SaG4keD4TLr5Cw/amZQAmjjXHsyEA/pg1NjqnRkkGHL4rBOHxXwdlQBI4urdWdp76h7nuJw/aAue
0XFdSuSrwbzI5nqeoa6bDwlsm/JiJivLyRiEYbaSuA8PlQsYzpspKKHaPY7LeCBrjFTQ1QirXjDn
NDrCTLwZvnctrtCrKA7X/osMQDHKaEzE/LBE5UIe6eTZcgepoILlbe03+zhMyGcdkPGupLj784D0
NkLG0IzgQFAQi3MV9sWa81Zbe+jMXNOchXXrXfMSiLtHBKPUZvDarIaPrFm77lZC8Q0R19TOKH+U
47D38eS7tlgRZDZNSdXHOogae6pb6Fp+9lQU6s9T0PjxPZlHxw4LYfR5ohHtsM5Ud6+nIaoOAyx+
ohyhNZFZD8n/djdbyIZnIED4/DulwBfqtCKrA/Rvsd7JS+JivAk7tD6yVfWqw47p9Jr2dcSB4k0A
u0tusOo5xh8iPt595ReF9wBrKIQDdeFhB6V9V5exAqUK87Sni784tE8ggJaSeLQ+OAvh8ByOKsai
A3d81q+dtrX7xiFEWXwbZUHWP/iElWt+BAE2qn+2a1QD0lTO4iKzKvBtuiR6pjvTn13iqoq7o5Vm
qHM14/ZK5SCQ4IpqrL6ETRx/Lhjh5R5SgCOL4BifYAegU+TE3ja4M5ecevh3AR8Aad18LELX6+WB
wOSyXDI+UTl1Oc6CssWkWgZZlBqJk86D2iCDGcslgDQf+pB8B6lfI3NaycVksEII/BRoHNHhVJih
FDIh4X6ZJIjnKESDntgkOcJGH3rvcVIAEJyySS3hZxLUNEGkoYmXhaWqxP1EHBXfccz2be441tK+
tH3Crlk0dTBciPg88FdeDoF5siWqBE+tTjqVmShuBTINYeElrCgOvwTnaLGLCBEVB8hrpOstpjWu
jiusTz4EbVzVV2SiU3/vGUqCfMIJU99o3bsP8ECFaWvX2jJ87Co5ITpFvcD/biMakl3ig154ALBp
WrMBIff0wSzGn9JobRp1sxhXTFelIRStrjX4AXSP81OnxfzFB5HgA7PCghLidWaAuqmlba60Dbtj
4lz1vW2XwnSpCaAvhhBeS6xCApdDuXfKT2r8lSydhOnumo7pAzah/Vz6qmApnSw7BPHKftR+gpQ1
9lUSZQsaJmZHZZWo2xGz0tWp7C0q1ekyNlqla+0oZsKu0QMMsEF8W9ZwTn1Mb+7MGE55EPXBQ8zH
oD1StOwoYh9cb6lQbTQAxKlsAPlhg0sP5pec7oMeuqo73gVUfpuJaO0O2qImhMNhSTj2FgJsYFex
MtMyET0u3khF9wGHw91DBNMsnVGUottsRaKs8modTXlc5yoyON9USVMApkEUr5CDjtcUIvS3i7Wi
TmEs5djJhMuAHMrTtDIpjGXjT5Ey7A86e/746hNj5vsyARtvj8IuhGUDHRX4E+Y2ghkYEGplFsOL
/hGP6KPTxDw24hwixGLIoSQHTeGmr+XBj10Dz3TLdEwz6FeQF+Kj+pTOkJv4IEmCygxcXQpkmnOs
2TXuG1AKQwCmrlFd1/FVYyXlqOlAhiHzvX6oABfAMQexl2lGGhB3fpj3hQaWzTaiL44DaVeYkZOk
CDKkeOzJlT1PUp871mYdM9XnGMJo16MuhiATQcM+FpYBMd13vHzuRR9/kjaRUUZ8WX0BBWz9wOAU
gaLJ4kOFcOmukP2EPJ1Kyh9QXPNAk+2mMc48J9trvGl5oAv1djhd5aMU9RggYppdk9mCmatIzKN/
3dQLoNSgbpEi62QE45J6giHSfkUsIPZQ1e4ELjsLFypX4Ny88Qanyw/ijAD+vZMdYp0ALZnwB/i5
ovzQAGePXg3BVYXCDUP+UBWouN1JPqqTWSJ/V1sPej4VxqTfDUMt2RPUcX2XJV6Ao7fA1dXaHH30
qMgHiwi/xyrzCGpqnhrSaEY5KVvnsoH6NMokaVTNO8n1XRAly0cXSHsQivnLcRS6Hb6Z2S9wYzTj
KG68xTSgQ/qsonxKa3BrHmafUpVx2Td9CpaM5z3QfilvR1oyPxNjl1yvbPaKa9POEALXshDVx0bA
Re8BlTzLTnUSMJ7ZSohHPwngxFTR1T5bn8oepoOFXm5nZNbXtHf9cSmC0GZIoCA3FBW4TUfkZfKh
BQr1K2mUqnKZIDxJdVTxDxQuozfoiXfQs7LTgFBzquYXFGtahNEeGK/Ib2o9Hr0hidGhHdzyqbRB
fSrXptWp4kV91026+aFIkvQtihEER0axqLU5NhOyvuM0MF6ndiV2zhY5I9mPWuVBJSrCnF2xWk2m
TKGnUxUfkkh07OjVXnWjOqlcNoRy9m6CwtoOo5mM32EmKEUa2bFMUrKGS38VQm3q1bJ5njIEc8V9
FbjgFBb80doSKFIo37E5x9m53hpadcFJodv9HYz65JFBieB1YcgwbtqSqOIwEOVHV34YL/YKdi/D
mI69q54i8BQfw7Eo+3QokuUV/MXkc9C69kaOtN357bRfShRcovabo75VaWiM+4xGQpgCJoOQDW17
HJ/avxNIMu8pCuHw0DLACuwmxFAvJVnn6x4X6CPINMa7buIZtVIVF+4RROH1ZjJJVKVLwdWN6K6+
datLxwWOZ3Pouzy5Gjk0JrL4XBIuSS0+BEqUnwnD4qpY1QLEFEb2Ch6S4OcNwDF22dhITEUNO6K7
RajgLhbr8qVAte9jExXmfun4SA68JS/cX9LFDT8iMT2vShFUmEchbupolR1qf1F5jPqyvMbEeGln
4hg7XrlmyUczuCbF8EcfC2+dpzxGBD1k1lMVQEMotP2gK+Je7AaKYjQcHfkTR+Z8X3HL7j1aNwZX
zyJMSrBssU/Noh5r383Tfu1oKHdltaAAO/lh/wo7Fz/A9U0pyvSN90i4N14T6o/weClc+y2M1uU7
W6bORyVyiXrcCw370UIS7Y8wmmr8atxPMitw+BYofqBGj5JkGXwIBCrV4No5+9oHbROkrqVQNVDD
MBa55kk9pIGIihkR4jKf7DxXdRahUP8MOAydIcnjtQKZqXG/o07Ytfsp7tl3bKzgEMfrXevR5o7X
RN7SdZhkGnfU3vcxF7c4s5OvsoEp+Tvwi7e6ThtOFQSeR9NFFfDxyRRcg8S6ZJTyywRx6FYlQPmo
bwSyBXQES9ybEHOpwHu9pCdMtzoBouqqfqrPXURSH+oJxxEJ3GWeN3TL/+6nsNIG5sG7eT6vnw4O
4tVqvYtICXRLACdUL2WBu3QH0U3CDlXsrzeBQUv0IgAk3TLAAVuvuUabaedc/OQXp4DXny8a9C37
e1lq1FvKFfCr0KSriB+8OLhsJW6p3+gygfnRYq0IUXztXPNKBvYewu+NVb7lfts2UQUt8exIFJ8M
W7M6ucyKj7Lg79iKylQqqme0bUuv/T1q0NAS0++XDfYGQkRxvlJIBEDZrIWlQ+Riim7o98uevek2
07EvOVJDsLOb4PuKTgvvyXxZJ3vL/EYPCcyY/szTTLyvMIsbcyJUeBEajW6Z30hv5oZGYGpCBqfO
a2TRL+il9ZdBE7aOETRcUEU050VoSXEiqFd0dL304fHflwrcd61rpAYq05q7eKmzoDMX6cjQrWME
RCNRfY/BogrH+QX1RTipl58uWilbvwg2omHmETCoimGhD5Usw9Stwl52oGz53+iPxnwtS9DtPfRz
XO9dJ3V5mRQTTTZ7M3K+DwGvDgpeFAVaNDCAYUByfdm4bHbnJOYiWaHjBQwef5l6NKZQpbvw2Zvd
2cyQ6Ee5GziTITioxO5USy67e7YE8Cle+yJh+Ngo6O5dW//Opf5y0Yhs6d8DdDTj6Kywl1C7Zo7K
5VAZs14GSNo6RrAFCANRQOexttzAOHzICdwp3rkxz+HOTwAoW/53hGIOtHtBilHOInYUtICh6uDP
wF/QDs1h1LZq2R2amMz/9tL6779ZjZl//Q++/qY7FA5g0rT58l/PusE//3P+nf/3M3//jX9dfdd3
X5rvZvtDf/sdPPff782/jF/+9gWsdwGXfURHeHn6buCG+OfzxXd9/sn/32/+1/c/n/K8dN//+ds3
bdvx/DRR6fa3f3/r+o9//hacMXT//dfn//ub5z/gn7/tK4XYrP1i/uN3vn8x4z9/I0H8j9iHVhAA
2OgU/qlR4L7/+R0S/4MH0PVgnDDwi89gwxYg7/L8zn9wGscRY6haR/iZ3/7LaKR5//wt/EdMYp/z
s6pBGJBztPV/P9rD/079/84GhuLfX/9Xa5sHjdzH/PO3n8GUGaHbi8GNXtHZqFlPkAK7Dt38LVBN
mOEmoigouV20KLYvVv/rXwbmJ2/72XI8v21zUzBXC1EVfDnZYPwjpO3rXM2fQ7999uLoS03sO2fB
T1Fh5/ecQZ1/4Wz4S1WKgvTzCRIcEDUGhJw8zkMi7lRdj48xDJcfNVAoR92GyQsS2B416qksb62r
G6SguvWf0PAyTaqiBk3GX//xP0OUnj/UOYj7y4cCoGFxEAFZTi0bvnAWBXlsm/UGx+x7RJvzMG53
+/kNWCx/fQMs2XkCrfHpRLziAA75aQDvOx/F8tpT/Z6fy1svCf7+kiJY0JlkDYM3FMtgo5GT5hD7
bOdN74A/33rB5gIKm9okFYpkJ09x+QcK/vNhCGovQ+W2eRwnz89+PR8/tVo9D9fmNkoEIINJ1bkT
R8f/Y6i13ie60JlAcQQ8fDPtuzAcs37wyQGABv9LrEq7xyaN0HrwPXvyIOX6qS9GhsLi5OonN/Mz
SngIqvsFBaggnVgob8p+6h9//ZH/BML/ZIa3t5wOG9rQcpxOtVrKL3yMgzzqhP9sz1DflHno7qQz
i5vPS9CxJh1UDbveqqfvacG9NWbbu7Agw1rAu286KYlOECsfemq+aXhej41LO9Vnto8eXPiJAdCR
JH46K5ZXNd9Fk712kQOrBdUSEz6uotl5bX1VJe8Mzc9SIUzm9hpdLYSYQoJV0wM6MYwgPI7vrJM3
1uP2Di0HMXi9wpNF99LxJgWTP6uLOz68t6PeOBi2IirdVCa9N2NSp+XBF3uf3dbd1a8XzFujsjlz
Ar90ceDhRAiHl7C7pe4d5P1bY7I5acLJ9AuN8dyShUg675uyTleDTkB3ifLDeT43xwxhMdcBKiEn
QR59PH0q3snH3xrtzfESW4vGqINMDYQHa8gnyFvTRNeyb99jxb71gs2x0nB0kksbV6dwHsyuhUZT
iqbjgBRmefj1rL5xjW6VVCJVmQ7Qp+RofQCDID+aFhX/Q3vtzRqJaxO/a4/4xjRvdVV8zVDlHQp2
rAS/Gv06rQPgJgBWDi4R3Mc0b7VVrG4qNO0CduzQFVdze9Xr5p1g4421v5VU8fuwKhcU24+NsHZf
ozcJ28H4ncv8rYefJ/8vl7mnuUCxFQ8v/ACnWMlMrhb/nQLJGytoq6iielI1EPJMjoDJnJZRPsUD
iLNL//Tr5fPW4zebd3IKhYyqSI6iSp5QjwfMMUJ35T2Dprcev9m50wwAZDRE8VG75VCT4jh5M9pp
ocl//fHfGvrNBg6AAp+9TsTHHigkIj8O/XsE6zeC4a2oSu33gWvBVziWbUzOEO0XFrpXWBHewSDw
A7BpLC3ZcNkm3sqseGi3t6AbRMfFk5CEFtFVJbpvY6+e6rZrcjOt+1+P1xunxVZyxawT76nEi4C6
P/Z+tZ8spEtEUVwPvVJAF1bvRQdvHBdb+RUDmz9lHd5UC2LSZMJrChauuR71zVgll6gN4sz4DymW
qpWOabxmDAOeBnwGIpteYhtzfvhmY3Puj+UAvftj03vhja/RwFl84y6LJbZiLIOTpuqr80dnX1r1
JbS3onudlndaB2+N/2ZjKw3576qtcG7ox3a8xTW3d3ROrZnf2XpvbO2tIAvn1AWAXyTHVofloZj0
d1l7FgMk4nfoq2/9CZvN3cJ4GpBdjsUaLO2VOMdbSJt0CrMt/wry5u/MwxtnyFafBeAAOoXw0TyO
MTAWAZg4te6//Hq/vTFIW4UWNfUlhBn65DgVjB2EDnbIPfjVDHTwZS84H19/uXuC5v9wdmW9kfJM
9xchAWa9ZesGutNZJ5O5QTPJDJvZwSy//jtE30Uev00jRZFGmr6wsV1Vtst1zlmStupiPRQFSGxV
ReQ0AsglaVd8I1sMH+B5WpLaFBagTbVQlMEiTVFwkWuot7j99RtTz2s+oX4xm+Uq0kJJLgRrbOsU
kIk9SZYN8+GZWlhGakkbkddquxEkEMJbhZIJqJdLeDcV9kirtxZ4HdmX+Z8JCGCVSsf0pORlHOQ3
Fje/ZQk1I7dnaKt9zo3nKhvjAaVtYdqfAGpxMpQli8MejfLWFHHbc4Tq0KoAU2TYpX6VPoBL/VIo
uiMIife9z+ddGKiuKsElNCx6iKiQ1vxZ5HH7RFm9JwW3NUHcCRsFLYahDFgAJUGRZ0dKvE0DHOck
7bRHmbcxSzyNy9DOUK1NMQgW/VY7YQW3WijntpfoOxhXOBnP5tJOdTyjmqk+obip/wG0ATmYWr6n
rPapFXIlU8AzusSk7wUwANDTktAYDMV9kXgRo/SXoQnRndhP+iujWlm6wkIZIEOGUGSWBN7H5wT4
tB32hk8ppGtfsU7vF1fpItGQACWoTsLYZWA1G9s/EqrRfRLFKAgaioykFqUiqPEUEBVAvJfizIBK
2I4cUCujHOq8n8NE0dMHiMOoqLNY9NCQsyZxlnSO7kEFogViG82WAvUeJ02iqbWkWBdONWt2N+2N
YyHPMlOi9hQ0R0Z7IlMbLygA1OMeMqyLgRLOMkGE1OdRVi3U2MpAknQEcK7bnvRJ0HFt+rhIk6Oa
ymxQNnRiOnNQM/lzarSgYlFgGuaZmbGTJ1kgkHOPz2or/Tx1k9UlORgZtMOQoixxYZplqMkelnfD
8XjFKyRyUgP0FfQUM4kFvdKovpSpwl1mdo27M+Y1yl0bMxefiDbnIjAF9CSpqN67M5MRQNic0gLH
jFY7lnk8Z46CphJHm5l4YKkAKlSqIhUHJjTlnBb1fJJksf/Y+aDrg5b5Yo9CR5GpLJRzqFqqh83c
Sd3He8MyrM6PLPR82KOn2EhbI4/4X2+ZhzyieYqeCrDz/KRveQB0n3Gvu907+aehwDK2pcyJ/+wM
7LpdyzwUXmrhR1WM7oyzfonvJidrHIZUpsWs9+xudmQvtvXJJm5ynHZuttc3/8/njK/xIMNbImNV
NYfxpDyt9VVzrzzvDGdrnTjDkdIqn2QcT8PGxY3ZLtzOnqzcBke7TWzJFZ3W3pOqvr47yDxeHvhp
PN+g5CvMRsBga/1eAWLa0owamtvi3mPp1ni4Xc7ExW1YzBzL04j3GWA8baoGqsL2HnqvD4J8gta/
xOYkyhvWV3V+qhWUJeLGmzjA2BTWEsnUHaphL5//yfN1zaO5gRR9jRIpYpYnpFLzXwj2ZSACFRJA
rlCylwVAagcPNK3VaXl8nBFPPGQ/YgfX/PZUsbn4EanNFJTzXP8D5ENEZbYoQEJNiXKQt4gFY/eK
ZEgArOD9NzQArrvvJ0kMqVxJP8usl+whi4H9Ssx+/tYtBc92/3XUTmgV1mrGFGbgzaqrX00/QOka
0m5x5d625o3F5wu1OgVRb4Y0Wti3Pp07qwAmTJCfbje+fub/LojM12mNIHuDTkc6hwMb+rc+B9QF
BYI5ucSmqZ0Q7iYPeHPVz/DebVHQRexEnOuDIjyD1pRqpMRRPD9REzQw+Smp7lO92cnrbpgzz6AF
aBEAgkqRn8YSKulpPVfHGIBGp8Q+GbbCXH+jJAXnNp5MK5YMcxmyKj+xtlfsSqcu6l/20opbDzw8
mVaP6lFjXMrqVJvVMcpGmyRIUi//1CazWnIxDeR8AUMWfty2hK1JW1fqSwwYuiprDL2oTqBbAcEq
UFzyU5n3yO8+fK8D7gRjDlA8XrQaHWRBIp76FMQJ1Crhrbfb39gzUTj73xGUILDooaFWnmrZWP4s
M7TyWryROV0ilkdAYiUwRtflKxnV+VRnKc6QBiuDKpHbFy0mEth8WHYsm7bY2eG2ZpTfhZRYGUpV
KU9ZaxzpPF7qSnzPJ/U0pHTvCv0Zov/XgQkvEGjUDaqQh7Y6jfbkUK85ZE7pgbXVk5zKNhxItFqj
zw7s0J7Lg+D8f2nHfyo7vhYLfPJjXuuXi+R4/YvwHIvjfO/Mrur9kazh0NixW9l/mfV6Ot0R+/fL
02glrmi1lmw9fXwM9u2F3ogdPHdX21Q9MausOjVjdugmplj1ND5IMvNut3/9ZEJ4+q5oqiMiTuBJ
jMu6/i2nUun1AB3tBI2NHKy4/v7Fz7IGFcgge8xPsXjO42dV1+1aeciXd5znb3//ht3xJF60JaIU
gyzkNAhjaZeqAJASKDeBlEDBf7UXn7ZWgYsXwIOXJggyEGRZ4bIU50MT11bjeyGc5/OahHkuZRyB
T/IChJrwwcrYMlLBqYWd++jWJHHBQuwAPu7WPSKZUBehp05JYqfSL4L5eHsVtqyI834Vr86lkQ7l
CQKVD11Z+aouO99rmkurQLSDIWrhWQUsIf1JUHPIbEXCzoFma105xwaQrckkoP1OYlL/XVj32seF
H8lgP7n98dfbl3lCrxZc+6QUaXaaYuk8pfLfLJIC1En9vd38Z1bjfwOTzBMt6bNeggMJB/LeWRzQ
p3upC/v0uzt2oc5yfAdngCcVTv+7tQAE+VseQJFjgwvZpTbZGeL1pZd5VUKpi6lQTLh+KCgxSgGo
KcX2G2armxr/giPoUY5TrUCCtPmjDbkFxKoVJRT6m/POx19bn7UHLj4tDOi1aGmVoMgW0wE0sL0D
T47olVRnOwH8Wghcu1h98ksIZIB/ipRFJCj7PEz1O0PzZRTcJ4IByMrxth1s9bEO70sfUawJYyGq
JABDQdVbAIUCKQSS+sdZKyq7AqEk+HqEvcr+rUlbLeFLb+BQqPC8LFUhKkSDYRhck2lnJLp2BnMt
WK0TxgUrCli8louyGYD0pbEjaoJSKwbDC9ZqPsxVRQ+3J22rHy5m5SgzrOOeyAFYmk2PDNHzbAj3
HRD1J9GYvrn6XPTSgJfR6NSRYIxV6DN1iQ9FyQ+x1w/D2LwCV+TdHszWmnCBTKMDOMoWRgAZG/7K
wLgUefZ7ZN3vbzXPv+3MQo28c1KJYY3EpZEAJ1afU+njduPXIggWnGffL5MmH1CbW4ZQsQhAfHQU
4si53fTGtPAvOs2IamgVJIqBmPRvQizOtp4vb1E3St/sgPNugyVN1IHvKiTMtMT6sQfRXaZ/Y3da
J4Zza80klZapZAql+E4e83NTKh4F18ztudkIGjwB/5ywJJtBCBbWSTEc5blG8eeCG4uUdwqw+yb1
IGyj7Em1bngb4bw6G8A4BwVrI1jM8aOT5ZOc5amF0b3p0bKXOtrqhHNpIg8pmBCmNozS0qtn0bTA
vxAyc3pXe32nyHbLWjmPBq1b03esq8KkMu+knD2DDmrntLxlrZwTU6NT1UofzCBNNCtfqckK0VrU
p9vrffWODXPi33ZmGXjXUmJiKCTpSwMgX6AowyE2xI/SFO2WSpADGUBYO/+Zaene7nRjRfjXHjPN
s7ht9SXM1D+jjKcqYyX8o0dZfbndweeFlz8CraNazfvLbiTTPqfKjDAOoWU8EID/6TjmVfMM+Zfh
zshY+1QughSINSGHBvCR56lc5LupksUfolDS+2ESy53qwGuJ5fVTuGAwmnPbLQVpwj6ZbLCbQTMH
1GDtaKnycpaiv4O5E3W2ZpULDDpNM7msRikgDFqcDXSiNNK/RPP4Gun1Xt32VierA3yZ2DiK1WRS
OinohxT0fKKgmZdsbNWD3oE7s9eEvtkZzobd888rSUNlI51qMZQiGWBniTl4a36T1b3nuK32ubDQ
dXoH+glJCpCTaC3dmKOPEnIydly2xfttM9yICnxSuY/6CowTJQnaqvlojTSsxb271bWs5WpVXFQQ
QOM2JHURBV2NejJlpPayUklNw0XvowepMkKWs7+E5fe3h7KxL/DZSq0gM0hgoHyVsFcQ0Vky0OOG
celI7Ur66/f6WD3oi22tjADQfgGx3ajPTjSodiaBR0f7l44gz5IG73YvG+vOpyxHXa1EcAZKQaYs
vhCjUAGnu1czWvbw0J+SEleCD5+2nAgy9MWotqEEYLHkJPWIGulOLl+SKFlqey4FxeoJ6Axw40bB
TZ+XyWVIJAJ+CFbnFlALuQuYuhoAQUxDMyrVJ1D2gkBlWvLyl64POXLTEQVpy6wlR/DepiGoOeK9
iosNq+XzaShqEkAx1otBJmVnmvQOyfdYgLea5qx2BG+sCnCeHJizNlzSXMq8DtR3O5F2o3U+K2bg
dWMETW0dTomp+P2gj2Aia6IdD9iIfLz4glLUdduJUx9WU3GCzN9odXp8jhPpmUhNvXP82hjCZ2L3
iwtEzCxApGPUoUGH/g46Ehp46bK9HWLL9LnjVj5PUmdMpA4H2fRjI3ouMznAa9DLbc+6+kKPoMTL
LbRTlgogZhaDTqnEY0OLxElVufKkUv8ntTG4LUEy6eUrqVaVUeInZa0clSkSDubUfORKGjmxmWdH
s2Dtg2rW5LmaI/Z4++uu78Mq/0wJCr1cTap2CqqagSgvRq1F1DwXk/JgRJKT5VnrlODPsG73tjHV
fAbVrAR96PS5CquOnPoMAnlFfQTx1M4lYMMY+RRqM6dMqFVZDHApRpL2x2z+ANPQEaC9b37/2vEX
Q5TiqtF0aSGBUTD6W6v6MoA+sRaQkSrxTh9bg1jn7ksfLB3owMaxCwsBLyLVgyidKM0OOnhebi/C
xqbFp1BjwPZTmWpTEM/zcdCedEO3U9HAM1Lh4On9cLuXrWFwXjV0S5kLciyDPjgD+2ctBRhVDEUh
FujtvLM3btmT/N+5gqTTIo7R1IVLx+470h1Es/TKIvduj2Ej7qzYzq9LARrA0QD3xRwwpuIYnodd
1bq3m95aBC7mlwaQ36bUlaEc5w74Qd+1DkSGrcD+FrNG7UExXm53tLHvqnxeFTWaQoE0fBXKv/qf
k6cF3uQPBymMcHz8oz0rT9olvhdPUSgfn+g5eUn/3O74+tqofL61A2cIm0v0KxTPDfCLICZ2jHQn
8XV9ZVQ+k5rK+pTrVTeE8ZC95aP6JoG6/vZ3bzXN+fhg6nEZE6RYWp1dFi19BFZur/p9a07W37/4
dp5WYiYlcx122QBGUUn6R5fagwMO7u2Pv+51Kl+vk7ViYmRCMQYquBLvsogsj6BBnp1yXshrPGt7
esdb/XDezRi4FIW0bUKpyUOTSqdsrgOmEK9M9phituaK820RMEZZnDOsQ9vZSlH8aEn9nGXyXon0
xr6smpwLmpOpUzKUOFUo7CdA7oGg/1PHzEuj5a4pJkcARyMOZMHYQddASyqgJlXwo4HDV6xtnYCL
OM1tUSffCjaQfvqvbcSpWEyTOdVhnI8B2L4P0TLtWMXGVPKVIhLtelKZOOEwLb6UagEIoeDKKflW
xlPla0ViJR6VbliGsOzLzNYl8jIXS2UlxZ4pXA+WkAH479TgQRFPylEBb58vGjshqXo0SeRJCYjf
hb2X661JWn//4ptxi1p8WhV1OJfDRymaYUOWy9zTvVqqjbjCk/ywCO9ZsiLgHA55JrKy6GV7cMKN
dJXKk/yAnhJULUs7hG2mvSMuhoUpvMSEtHY/5G4DcgQS989tKXlV0e5hbLYmjHNQ8AkxpS7EIjSW
ytWl+ARqv6Om7B3mtuaL23yzLC4K8KHTsC5VMLmBtlswgea6HSe3vp3zfTYRAo7cfgjn7LWcU7Cp
vu+WCVxPQoBYlzOkPE/7TsPGl9cjXuBmWqd/sNWLNuhepPdO6ZOLOGrjC2mY6QiJPO0EkM8Lxf/e
sFWeH4hJagYy7LYOm7wDH9sl7e80Y0T2OLYkEXTVynKX1jSokDToqwuKrndumBt3CJ4gYhakngKn
1oQC5J6sJAI7N3iAmVugzLherDgb/durthEHeG6IVDcITVD5FHbgsn6J9Sp2mCqQdwjlqcGSxYIt
lc13EAS6qfIEEShxbEQy6HW4jKEC5K+Gim6j20PcbRggz/QA5rwSXIpovZ9eMwiRxMi2oRJqx7w3
tmee5WGooY1Xokpl3Z7V3wLTxSMoxbV/ppxmjrwUyc6CbI2CCwFgVdbkqUDcGWUwGUfgFR5SV6XR
zn1uIwToXAhIWd3rtElB3i10PvAIXk7knfeDraa5AEDiFhVnlBShiTQTK6s3pqc7ZTYb/s8TMOSp
NGkJRVwc0lHzRrCLi8AU46oineJFeGiYLhwm8LqCMt345sGS51wA732bjykyJBIVUKW3QCE6zag1
MDBM3Pa9DZPiyRMgkdWX8gQ2/aov4OCVR3WQIRtBBGq22z1sGBNPokBAAE5AdTSGtfzYmACsm0dN
XXYa34hRPIGCulRGkZOuCEFVt0IgdHWwgSexs/ZFl9WDIe94xIZdaevvX04RA2VG11IT/aiSPbfU
NzSyE2Y/H5+uxHeNO3QLKZnEHlI4oakMvTNAx8Q2wfcemqaUQJ+qkYgVZd101hudHFVIonoTjZXX
BqrEUE4ZNfD+Q+gs6+Jira6U/9EMOi3DqNXWmCrzU5TG5M0EjdDDXNL+NIDmPQApb+nK4EWxmzQf
IGyBI/7IpsxuILvxgiRsd3978bfWh4skXaXq4FeshjDK6QxG78RrQFgNWvU3vdNCFaTQFrLT3zuw
alxcYQtJi2kGDS9OlqDlVd2iPxZZ5dweysYupXGhxWgQz6F8NoSiFMh6GwIxDkJaw4npua6+g07F
7sTzO4B2XxtAyTqEfffWJ16d7pX5bHw9z+eg9y149dV6CIXeJuJf1RxQikEtGXm6vZ11w0fUtesv
PhKbCii0x3QMM7MdrMYQf/Td4n5r8nlGhxTaYPUkzTgJDwR6n1MGxFo6lVY3LsyKFOWcl+nz7a6u
DcOQZP5WMs+IJxlubGGjD9VTJqBmeBCVYceKtlpfo+SXScpxYS9lKDohYIEiB9Daetm7+V4LtOuH
r11+aXoyjAYoDm0KZ/DyV9A6qYN+r7zq2jaxts3FKGSyAOmXpQmXgnORf+TkTmnf6mznQHDNONfW
uSixjGIFqiRqhon6MRMQGY+ZVUTQSy56QHl/3F7XrU646BCznkGtaZ7ChVG3gA6jYZxUs/BmBW9N
yd/bnWzNExckaFdKMTQR5lCHaKBpvudDf5KV91QXd0ax0QF/C0EtnQptR9iPhNLYaVELu6m7U5vX
H5Bg27t4blgSf+OYx6ZTwEoE/Yv6vWTDyUwmZ+n30q9brXNxYmSxpsi9OoWUMVugzEkAN0t2jshX
iyFgS/xlgiWsrONamULlEP0DF/14rs6dA82+f90zaN+eqp0imM/HYH7bXjtah/fF3fIhS4wa8xQm
fg+2bHc56Z5ml07pTJZ00M/RRQ2KD8NrvPJQ7HS6ET3+93oxE4gqY/UVyqjXaQoyVeW36kjWEXFO
ThMonkGSGJGvtRaPOJmn+aIPWqETtC9Cau+9GW+NgnP3IolUEo0wgBTCIrXy08T18rb7fdZLXFsU
zsnZXBFj6qDc0pkku8u72ryXSkBnoJwR+Qs03nJ7SknuQUJIOdNGo44xRZKP5K34VIugjTfa3jzl
rEmPUBBQXk1c9iFkFJWnKgNrejFKnS1B4fuuzsbUAb7a7K061fu95+hPZPG1AXABBMyIcbksmBvV
Kn3jYfoZPRR3WmAckHizGzsBD81Fv2PWYotO/tZ3luYJQfdc28POFCrrVF35Av6es4iJ3AN6PIV4
rHfgnLZg/aQ+1KWsy7P76KfWH+qVl8k6nN5+z45kwzhE6/f9Crhc0SfIFLh4+3QMdw8cuxEv+EuQ
VuC5BvqdUygqXgJtQ5O9SDh77VjM1nC5aARlAMHooKoXCsfORXbYUo+4tluC/be3dESO3jUAZ4Fu
m7U6gLiz423O8hrfv0QPsRxmQVDga6O9eJA4sYSTujod/mZ3tkd7xl/m905lmZZuda7qDBbBIkAj
wIL8C4A39bEPhnfzV3anvUemheJa1U7caCeQbvD9yfzVKlHidpIrfGELK8AdNyy9yoZamDtiTtJT
fKhdDVCfHn3GDqBqt9dja7G5Q0w/CY2Owh4sBzyrimsHwE5Nernd+Ebg4W9aDM9vc7Q616B4oK6j
7M/tdjdwrjJPWZdFgywsORpm7/EPHSu2GhJxhrv0GB1+NVZqxS4oA+zBmf6RYF2pYDxlVn3eqxj/
rCa85rVc4DNavcwjA18A8VwnOshufkwAhI7d/hidopNuN07rmmfRA+TNzVzBiVzDhdqrN9jF656n
ki1n4qLXCD0UHds7rPphdsdDfYkCdloclAXZFNbDQtBBPkKUwa+PpfW7tks7CfpzdamD7iIfS1u9
V52dJVk3rSsTwt+kmgbX2U7AhOiNMyGAxY86trQVstYf62MOt/ol/IJecnKHC70F5EMoPDfHve6J
vNH9eiH+4t8tK3F7KFeLcBT752CNVupEtnFIPrL7+Kgya74jIXbAl8hDYdmJ/Va8wqk8EJBhdVDp
70Lt1dlbl8+KmmuTwQW5KVuokSbrWSW1hEv/XJfW8qrd6y8xDkin7lL+7f5I97dnfusExt/VBHMx
ow4cS+Fy0Z/KexDmn4F5c2dPDVDzfNxLT28dwNQ1hHyZYuzgIwWCAcYW1KfyvrkbD9VBf8SEPumH
BdQFqg2FOZceVH8+3B7bRgDh6fnMzGAm6j/RZSLZFXSeIQOwE283Ap/KHb7mpamSXMSs1YMJOdED
5Gzslbzo9odvnSvU1U6/TJaotyUkzLGJth5EjNC2/KD6zTG+K44kbF4aR36nqqdcOs90+z/5WbFK
bOXlOflL3nY+YcsluBCllbhEduuWB/Ugu/Rr3zjEx+FAnTwAZuuQ250zOhOMf/ANBKn6MO6cmjfN
nwtL4mIucm1CrbmhlvCzvh/P+Yvsz5fc14P8jQbpExQLb49yy/p5cr8hYpHaVkAsaIf0yJ7Fc/ak
4Qxt/DSO1QU6X8n3TJFHhhkycHokwpiAqnEguOWQLtobw8Ylk8eEjXMmzAZesMLkhMqSg/ozP5Jj
HBgnqIt6jT/40Gq+fKdOD7cOHh22qp+Bgh4TBmVb3XgTRD9qXncWY2sgXIiYjM6ANPKCo+ND8Qhk
afSPvikv8ltTWRCUS5GQtNIRWqmW4O8BTTf8mOf5AzzZgIYkumygST+nYWQWjlrswGQ34g8PDAPB
3zgKCnIYgkatrDwsuxTlWy1z8aGTwAeA8k7Ehw4aDcmfop923k2upYDX9eXcvpnGMV6x4yGqrayh
hK5X8i5mL/X0rkDhyGj3nPza+8zaD+fkczcndSKL64laCWSXAhefOcJjHbZudSr87Jh62Vn3G5x7
Ive2fW1MGo8JW6YIQ2sQ0brlOS9fwIy0sxls2C2PB5OSpRNIjNVAcseKRGbHymhDccqZ5mrPyTfW
hQeGiVos9NoaQFpn+Zn+Br4qSI+lJ4XCne4K58qP75PH9q4M9p79tjZsnv8PNHyjobfw9OhXm1om
xDuf1dfioXqJ3uLBwfXRbbxZO6Bk7RS/D0ey83azdTrnQWS6AqIYLcZIc6uwVOhne70zuq1PnPWA
nNvgynSSu/pf7hd+/dsMykeoCNvryWEvWG8EBR5oViwG3oUrrGfXjz9bwxsT9dzJzLlthp/NXDne
8cgyksSLntcYYOM2LnAquLJ3h/Hc4brYOr+eExy9qaf+qQ75GZrFYYdbO67pVvuXullYuvjXNe/p
+TsvfvDEzzPxl7OGwdjSLhA/BF/bBEyDSjLLKEW7Zrp3e8BbfseFlGXMCFhBEWNbPYVK6SnJ/95u
eCt/9El/8eXTaQWhXD2DiYLQ3BUuoAIOaxRWml52mY6aU+MKJQUzrKM8z8fioh1bhJTbfW/YCI9N
67oelHcjFnHqJaurf6OY3GrMnRnbapy7juT9Av3EEZEK2Vc3XqUBlqOgqu7tT986YPEINEhrx1kF
NduQXNSfUHT+IZ7pEzCIXv8j/dB/zIkl7ZwiN6I8DzCLlQXa6Dl6AhDEEafc7pPaqqNXY3wg6T8d
2NxFYnu77bp1XPGrz8P0F2vQCzkaZRHW8FO2f0lW5jz/OucWLvjnP2ng/aksL7UeEweZImpNtnnQ
kOwVrX8JEmKZ9S/88UDtH7dneMPi5fX3L1/CximH6DM2NyqSf6rWuFAk32n6E6B1bZTczSMVVApK
RbRdudU/SLZOkNGOrfmlftIfzV/lXec3XgYSNfVhCpgLIa4w+94Z9rO2+cuoZtFIyqbBYqp1BZTg
YFXjnrbS1mbDw9GiCMpN0oKQG73MtugO5zTILpEfQboDeUrmCgfxJDslLocUlDaPt5dpy824M0iZ
60smljifjeJZUZ6L5PdsHm83/Qm9ubJMnwP9Mlk1yA4FOmOymCdc2EkN04fixThNQXOP9QnSi+40
O31tWBtPqFXHcaOrCuZumAa7Mmar1+9vj0K/7lE8Hq0wR3Eiq/su2UsFWnAJivT9qLoqFAwnZefE
ebViDhsQj0mjWc3aRkcv04Vc5qD2TQtsZsi/iZfWjd5vD2UjEvEQKbnoBMWcsNYidPVYfyc3SL0B
bx31yamCELo4q8ciLXYmbmtJuADQYWtAvTp6U+vnmvxuyE67W6PgnL9g4gwZsvWGlPW2Ot8BD+/O
o+oU3RNNOsh+g21P3jGrzXXhLhlkxOsliyYcDKgM7VkfSFEbGsUWVZDhRqmDKlWWrLzoiXZqmvsh
V3fOuhtu+T8gP1HKNEYR4YboPkL9fPUjNn7dtgJtw6B5jzcECYQwWJd2WF7qiDqjrgfzWDx0At1Z
oo2l55F+M0Gp6VT1um9mbHGgNt89qhLZM6xPp7gSV3jwVr7QqFiEQoeIMOljq1CG5MDUgUARSdJ8
FIGKnk5LepgqWt/PAvDyqAPogPE0jeOk/23kCBUlJSQVrVllk+Eyw8h3NuCNaMEDv9poMKu2VnS/
EkYra97MhTnm8mCatUXSeOfwsmEc4rqyX+KqlkdlzArT8Fs2kkuyyBCszjSUB2TVXuze6mL9/WsX
ppH3/SCZPgh8299jlrJDoaTxhRBR2dlKt7rg4oOkLV0FcLThU2RErWiJzwB6f0BOfadK7bPq95qZ
cIEiMlBrwPBo7BM5HkJZSUyLLn3mLFo1WxKKFD9SCYIihjIZB3PIome56scj6ubIkQBfl1p5W8/I
KGad6ssg73Y7BdLbi0AkuxeUBP+Vck8EXagXzxJygUnd/QBSpHqWkqp8klF7iZ0btAnpspgPspwv
4CrSa5dqcevLMRRZ065dPL0zezvNytQF8afwLC96djLAOZ9b0wAiOUvO08lnxEwXa1kavDCJMaB+
NUCcYPz2izQXX6W2mj5ADVH90fNC1uxBTCB/I4P32G+UqvMVUSI/pqEnzwWkwl2QDqm112sinubi
TNZtOiKD0pYjyPeaNvV1GaBrvDmNIrCgrEEVZ5bLOHEYPXO6YpDOXVmoVjP1en1YlAJPeHE8WGCE
MZ1qMqGZJYH6+gRcTv8gmHN/WYoRue1JbH/eDmDXDUfikaLUpFmpJq3hx6Lm0xY0gmw6N0Tybjd/
3YUlHo1DFy1umtwwfXMii2FN7bicWa6hglwEj1kJig7FqcZyr3L5eqyU+MqVek67Igc9SViqbBVI
YBloApSdR9uNqeIL4ouR6lqpyk2oCs9CcSfNz3RPtPx602An+m+EKIYo0oYOwiydIDdwLOXUJzqx
pi7+1jIDGvvfDjpxrqHFrur+JKSFTatsssA5EdttU4rO7aXeGgO3Fep9rKcLjQWfFJk9wWfG9JRJ
e7XvW4a0HmC+xFBIRyeANlWGP2TDM8xGsoVIA15I/zXXhuCoWvV8exgbJsQDHEtDhRhmbpq+BmqU
GvUGlE47O/nGGV7i8Y1MUEtFoorpl6hZ9qWGMJv2fdJbY9VjO4g04ZDrumOQzjLLIrLaklZHJOJj
AgJ8HMuhpTRC7W/u+jRkBqLB7SFfP8RIPM95WcmEdZOgY8jSYaYHRWshYKiCC3Zn99ia09Vkvixe
11eQuKW66ed9fV+JAHRU886hcqvp9fcvTTOUeaedNBl+pGr1YYprGVAVqu20vjUz3K4n66MqxpBa
95EeZ3YGTT1rNFCUI3aXuMHr8e353xoD5/15TMuIpabu5532GBvzUazGvQepjRHw+MO+ilFrIlSR
j33HOGuiZPxQjYbdtTLYrvRF3LvZXfd+iQcjkqpPUQFh6H6tLV4rRZY8Dcep/9YxW+KxiH1HBFbo
heA32HntudCaZ6YR4sukz96YKOxlJLZGsc7iF2sSI3kB0S1mS5ql11I1ntM8DfSU/bu90FuLwfkB
iZYiNRbR8MUJBSHTaZFix2iCfNo5MG+1zzlDmytZhsLZyEctdmWPKlXsNo7OTd7eLUW908nWHHE+
oStRUkFmN/KrWfMrKpWWYpRQHG2+g3Y2JIkvB87AR5nLKkJ9nj9lMbNLKegKVCyoO2F4YysxuL2w
Fkfw7rSon22V2bAN1uCtoezOfT8lQUTgeVSfdjx7a0G4PRGsl3o6dpMU1uoPkLVY/8fZlTTJySvB
X0QEQkigK3T39DTjWe0Z2xfCKwLELtZf/7K/01hvaCL64sM4QrSWKpWqsjJHhqpHUwTZuJHrWNkM
Ew9cLYurnKnVII7y91WJqNxBI2I+DW+XT+xKRpyYeNqUi1EnDcTamyqzjoPjVq+qEsVRD744etTL
X/KWqAP3rfnv7BbNg0NmCGR4S4rszqjlY4wT/yRkzbuwikv/jo5lD23MoQvqWo6PFRdzHybiHDDY
yajEYYAc9K2uR7bFFO7DeP//6UJMpK5FMqEXv56jPM5Y2BfdDlJIR/SdDwEpmieojH0dk03llvMp
+uhrhg3alihVDNKwaKh6D3IpcfkZ7z/QkfZurXe+HCCiOfe6BgQrs4ASU9k4gSEJjbDjSLf82H+Y
3Y9+hWGkWrWJ67vlEsXeOEMaxuUNhEtivKh3bpwitJh9mv8UlUK4OTZ29Z2N83CEjFIXdE1Nb5w2
wSNFISFgV8QNlqlsP5cemi04Bf1irnv/fpx4+qPLC/VdoVP0oWhq/WNY0Irk2RUUc/w0/Tp5rr3n
rEbHctORysErjCLYWZo2YvNUPgJMUz+Ckky0QQbF6hvI+xHISZfz6+Dr5dEWXb7jrOr2tl0N3U74
Pd21s9U/gYVN7Jy6dm4SG71QMwC7+Gw5Hfu2YzdIzTXHdrLQLuuNzs7WrNiVDdVoYC9Ujw7teb4T
EOQ7Qd9hOYyWDUBaUuY3uNWa0HHnEo0Byn3C00XvIXZLZdgV4FtAxwCTTjhOdlrtiqpD/tLLh+60
DOUYybYuqoCXDiNBOQ3tr8v2txIaeEZo0OdpN6TDoCM+LfOuEQ7bQZDNv9J7GJ4wQc08Tquhjdoi
+QVljVPGRRnkOAbX+T9TaFsMjl8neHpHDfnWwrOS4lMV/0jKrZ6XFVdugpUp2PmWmvMmKhUeAQBn
HThe0qGdeqfMo9/AVf75qn0wQcjdkrgd5Or9W5GjpCDt730Vb7jYtTmc//4u5igY1bLUFYnKBFkN
rapdUtS3qTuApgCP2F5kh+vmcL6k3n0oragarHNaPJmcLxmtvhTyGv5CXNkmWHgayxHYOGR24VaQ
EyKK3JY2ZA9Vy7aKvitXqSnROslYMyV6EilWPDntaAVpb78OTf1kef6Pyyv04TdsYVpb4dd+69ce
SPmmL4QD8w6MkKife/338vgf3kQY37A3zjOZx30pTtwDE6gnerpXTWbvEhd86+XM1E+rpe3t4vhQ
vrr8yQ8DBHzSjECydqwgSOGfEv/edT65ugs9vPsvD76yXqb5VXM3udY0+Cdit29+W98mUkZOk30p
3C3w3srvNw2PJaT3R7X4pzwewtF1QaNav3YF3szXTcGwvtkpGLDb3DvhrgG5em3z+Q2yae1niXSm
HWq32kLhri3W+e/vzG9IdS3itPUh25YFVVyEhQe2ELfceeOGk/rQk9jCtMLMkvXECuqf4BYDBtK+
AtAhv/tad1aA/9xYsbWvGAEOY2rKi5L4J4dUP11ffepE0RyEPX7t8/7T0NFryCt9TMeIYdiEftVZ
JjTyqwxNgVaxb1hThL5lb5j72tly/t0Rd859iXBmgdeqP+fqJm7YZ49tZAvXttuwdXceuVfb2G4q
4QeRRxr9Hwm7G6xkYx/Wfr1h2agn6ClTnX/yEnZrJ7MGJXm2i9Ote2llAiaCfrFkDn0wLD8erW4o
mqH5xCDJF8iq6m4Ku9tC0a195+ws39mFl8ejGOHyTj79OlpZ2FVL4HbpDbX+XDbxlYUyG5PRzThK
8CYsQG0PPbTa2l8iYV+zzNtfHn9tAue/v5tA3PTNkCSg68c/QSXRMTX8LVq5r5aNCXxIEQBLMKHu
KIiyxc7nLOKqsp8X7jSPaTqUoSsdegRKvD7xcZmCxQU/zS5GT3/QWyzdpz2Ndw7In29ay2c3EP1m
N9LL+Z2K/fqTRbo09CmZi2BoIDR7ZlqBrGVCjsiC6LBqlnS/tFa3S91mup+nuT8WfSLecEM5Q6g7
STfSjyv7Y8KN5wzYzXJc0gi3IzCzfvstT2m7p7N13QaZEOOaVoXT2sMS9VK9xcP0oOJ8v2iwYlrl
Jr37ils05cMtK8nzReLFxcV95ozH3JuD3L4n/cOcejeXT9qHrwFbmODiIvMF73ruRHUeW4FuFXBH
ifN6efCPgUAY3fC3VcPatmeVOFHu4f1E8fjK3R78hZ1mQLvN+fAcz2n7RXUQS5oLvM8XvBUfVVzX
f+amTg4LUqJp0LspWtcIg0TfSGpU9i0JdRnSg5U8IV59aCDh+UuCAmZLYWLl/JhdGW6SQ8MiHv1T
S8XfyhugZuhV+4mz28sLsza+sS60qxJUnmPEzS5tbgpvpnt7oNmRUmsLcr/2CeMm4g1fJkagDTD4
1kFqkHklafLVSkW/uzyHldPJjNson9MxLzk+4GeiP86sjO+T1v0yqAxUDQmcQ1kV3nXXqhmpl0MG
XeEFFxNqfdL9WckymN2tDtmViZj9FeiPrVNwjWdR3fpj4ABaKOhjPIlIxd9lsqXVsGZoxp00YKX8
ocPljS33w9jPI52xdGMvVjbbNTY7ts9vpaJbogFMNWT4MxVo41WfL2/0yhPDhNsvINUkY1tmkfa1
+92u1PC99EfrCx1aBoK6IlYlaGLK5pdN53xrU1ZuwP+Sh+9uwGJs4QRcBNH12IRqgbQW3MhNq6p7
5M+fL09sZUtMsODC0PGS2pCubB0PWMx6qJB9aTceMitbYqIF4ZbaLkYP7MnuoYOLxv79MMYAEZB4
K1Ox9gUjWiNgA6d1W/OTFsMODOa3HPydaepdd4ea6EAG9ger7Nwygp5PMJc5tKrLPeuvG901fryq
9ew4eBqf/HkJRvlbEXQ0ti+XN3ZlZcwuipwijgUDOwJlD+TFsfdV5f2tLeWGta2cTbOXwqagMPcU
80Da89KXb4nqIF+H3thFb3xg5WCajRSdNRV5OZA5omNvBzW3AzokVx4bs2di9IX0WInnu+TydmL+
6+jZKQxYbWQA11bnvCnvLHeo42VRJVbHyobAlk9eHwc5+6uqDatdG/+8aO/G51nZNm2VLBFJ78BN
E1L1svCH0io3Fn/lOjBbH9KOF6XFGjyCSmjZx5N3Z3U+OidtdT/U7ktcFBsl7LVTajjtFuoETmVV
PnTSCjtkuXdDCeQW2XINfRJi/P96qt+tlJjGJqNQq436Aii8HPq419Czn0c2rNdxVJt1FM/cxGFO
2InltibwEOlmeX9lbczWBUcmadYkizhJOAqwzBMZ1jWfj5PS9eEqJ2Gq6LBMDzqbz8vPOggd6B91
pn4041aqYeUYmQ0M5QiCTSmx+FqjrLWMtNr1FkCqUnbTqXb6/MZm7c/LU1kxCbOFQaWiAG2rXMBR
+EASO3DKO58lQbvZy7e2HYZN67zrCjGcPZ5bQT66CrXvBwXZio3WhjdMOgZmn2dAXJwcZNq7WgWa
2SGIz4PLy7MyvAk+j/UweOgf76MOubmAMVbihTF6ofRG++byJ1Y8tolCT5teJItLwEGNF68CF0S+
9ePXRj7v+TsjnoXTLrkAYWMyNDEaS2kWLtaWr14b3NhXNYypB52qMtJuEiTNF6v/dXk9VmLG/9p6
3v3qPGWKEitFbGLrFy+f7ycxPHqyG4JEzTsaF0AhyvJ4+WNr+2u8pmKvSNI6V02UgPkPySSRhnlX
WDvIs25k3j6uWdsASf67CwR5HsIqPkfjpEFiVHgySFO0R5epU720QrOjNXN0viU+fUomSU/VyNtD
X6MLMeEJGuDjcjiMvs11wJLav+VICO8UcxwJ8U1Zh0Upy6/wDM6+L5MiRGSU7Drwl32+vEIr+2wi
svs4ExZ1hybKKss5oBor98ot9Eaouzb62QW+22xL8RTnkjWRP/Qh9KS/Q47x6+UfvrK1JpR6FBAD
tDPKTqyQB3B8HZpl/O369e664Y3zT+a5dt3OYydaDRoOTU1QVqG7pdu6glc8s9knwFQ7TxZwdWfd
pxYwaoTpwaB1AEj8xuKvrNB/TN/vFl97EBfpHJVFs01/WTWBpJXDrF2rXL2/vEj/DfV/lX9bmO0C
SaIai2UurjLkPcOszIYDQ53m0HS9CrsGbbeTNaq9GIv0lADmtLcKVEsvf3xlAe3zmXs3vVhb5QCE
FpRwp72KUTZ33wBLD+f423XjG76jrYnO51o30TAh0UnattqxFmQmU934B6/eYqhbm4bhP7jdDK3U
Fjvl0Dr3VBDnyc7O79JqCySycgxMNK5eIAfjCo23LKha2xKKu3+zdKuitWbgRrjHhKU7lefxKUUy
fT63asTdhgV+fFH4puiID9K2qtJ5hf11eOAlUxr20JDNAsviy3Huxi4UIp6eB50vG2izj2fjm3Dc
xort1G+FgECXFz/aPJZ7ko9b5BMfx32+CciF5G1vOV0G1cQJ+tAO3cXsZfHjsPZrCJDZGyHN2hyM
qCCWTWMvlLmnpbF4aDEI5vDuGspr3/aF4RVp2xWZTjB45zy5lvizWP7vy9a2tjjn6byzZkGyvlZt
WkWAKFj3yFEe8a61QR8LBUuEaE8FVxsxwdoCGXYt0iLFfb3UyJ0PnzLa346Wf7g8ibWhDVtW9khd
kdVVRFPfD7vWiQFOy3eXB//Yjn2zeaJvGks2pQSLDHhNugCMvvMnXpXdHBSW+nv5Gx87I9/soOgE
nlapD3MmeFbRvNl1wHPFwIwl+eervmBChHlelhXwaCSS3AqXjIY6dU4guA687OflL3zYZWj7JjhY
ItmCFpjJO8l2mMKkcws4pdEOy/ncdajITTPYv8Sif8a63ZjUyr6biGFr1nwgWQzG7iWWaPlN2+7Q
OiMEYC5P6ePxPTPP6vR+bRe5aKKiu/NKFsjG3YgRPnayQMj9a3Zcu5YkoIw4qdLqIVUz0lvlsIhI
cbSWOUEPk/xSLtPz5Xl8fLw8M/vW+tU0kpYDKDjsqnZ8GvrprpiyCEnpp8tf+NiNeGYCbq4JBUJ7
QvWNsL3oqoB6OixR6ZNK3iDyvsrJAnn677IxxXo5QzAlame190CKNCUb9Z+VrTZzcDnyGXVBKImq
eQo9rdOgmMVGRLM2tuG9yUjVDAEUROOAMSIQe4PYzu/L6/6xc/JM0hHVDbNfapeAZt1dQu0I51Q2
YEXnY/t43RcMt+3UskS04cEGMpkhaLay56UumhCQIHbVzeCZXCLMt1B+i0coo7cZGNHVfV5vJYbX
lt4oiaEFauLj7FmnmlWhbP6W8XVZAM9MuGVOJlybAuZlQTG2ZNCXKzZ8w8qempk2zfqpXTqoxkKh
s0fvJW2RIqFl/jupC7mx5GvfOPuld9e+nfYeIw4HD07fBMzOd9P03aVb2fIVf2Nm2rJMFm3uyPjk
u1EBGiC+fK2cVwKm76vOpJldg0IPZQBLiJMzf+oTHpL8L/QcN5Z/5ciYhCBQVh8H3TrQ8pZDc9Ax
sXZS1HyDwmpl4c0aziJ1QYaybCIJqEfA0+7JF8U9MMkbr7OPb2HPzKxJdJS16AaKTxpQ0MAqGtRM
nZ2aRlDO2L+Hom6hrdycpJtvnKT/Emr//xb1zEQb4bhaKp8O0fC1X8L2m3hj4ForAn4HFn8ICt1D
i/z7S/3kJ8Hycnn//9voj755Pnjvju/YNcsC8ew2mipGdjHyN25Yj3750xmX+A+rWHFgXPbA/1gF
uH1azV7mPM8P9RyP+6FWTRI03Ww7oZU2zd9mKucHYBXSP6qiPOgJASVGDkXzm7xhEn3Bbd6+0TTz
nYPyHbcPkgJkxcEyq/S3lZBiq86xYjZmTkhV55ORFGjDqEtQms8NllM5aicqyu5za9kCla19x7hF
08nXOu5agkT4GAwp8KgREvu7uds44ysWZKaINHoxxjzB+MKPAwKv0pdswzhXzMc+//3dxs8xunM5
FLEiWcrhAMYHvsfLrrkR7jQcLh+ulVDGzG9wpUDu4vZu1Dc8vSF9vHcmMaNZvf/UkPRmbNONFOba
XOi/c6mLwRoW6UM0x+rUq+X7TjhowKoDW/TXvaw9k8AEKAF7ciAwFA06PQ2je0dK+nZ5nVZ2+f8S
yhZKTm6GDKZO1R2CkM9VSX5fHnrlgP7Hu/lulyuptFuWDok8+68QP5P8VwqpBZpfObzz78L7pS+J
08du5CXqwWnGx6m0foPS56x1m369bgpG4BH7IygibcSTNTyFTyDb4y6gonxCBX/jElxbJOMJ0S0d
Y+kyuVE5ufsmXcJh/O4nBXzcViDycSuz7ZlpRqmTgbWJ50bE6t1b0jbpQSIP/r0lRPxmTSIfkKx1
7+Z21OGUt/5e2Q2azm3XTaOxKziOBdJHeMhK92CP07RRpl05eWYjPW9atywWQP0sckf1FDjelmdc
M0lj12qwRDD82CFqeOSyMWisPKBXdWBjNY0NmzO7pamLFjXl/+h5UoY1aESxOP5XuuTX6IWieGFm
7wgD2c9C4VTaFDJ+/YDyXU4GFXA5bVy+H68+N5N1Ha8A2WbeGIHGgASutFFyWbYYAD7eAG7m6oAm
An9GalmnMplBFVZpJQMkpbLnXPazt3GJrM3gbFHv3Avyj4AOcDeL0i7dsW5+HHT/fNnsV6Ihbmbq
UlUOHP1WGd4y1XKkkNsAJTqkNgPELOTGUqO9c12fPS0eBxFA41vLdxtqpXEgOESaSlUmEKVIqh9Z
W4snOojs2XXxNy24c5Vn4sLwfm7cSkufn+qjwOn2C+3uSTOiUbaJm6Pbx1t01CtFCm4KGo+sASvs
cH7WTcmyo04vA6/uTvMcg8PP+tpJ6zFGfOqx6WXy+y0wzX+FnP+PDbkwrtUBhDvoMwBSVGq+j1PU
QjqgRhLGsxBNicluUQ07QiAtAzyIyWPWd36QtP1GKvvj+Jub2cKUwiazRczoyezfBlH/TgGZC7Sy
7peY7EStusCa2nuXW9PGPbBmMoZbgSSAY2U9oFXpgHfixMEf8bWNycboa7toJg6xg1hHCaCB7yah
kixMrG7f2k7gxK90bvZdNb9MmQ6cYuNB8fG9xs08InIjaYvnnXdynWZPrG8VJEGy+K7PN26PtfGN
6Jf0eR1n9rhEdn0PWNRt3eNhItE+m88bybCVHTHVxQhRaLmlkL8W9ad8Vjsy/AAQe8N5rf3880ff
Oa8yI7knRYF2LKSIxdKAkQtdskDgLtfIyOEKMTXGMkZ06Wc5OGQhFynbB8dNb2n+UoGYbMyvXCLD
SGc0w7lygJl45QOHsEns/vY3qTY+juC5yS3gt6XLUs9DiXdMQoGGr3667yGjBEn1MO9fL3v6tY8Y
oQI6Izq7TnwSuRY9Fq1KQXPNAcXxZYCnmgpc0my4lLUdNwycSWGDX9sqkYF780Hrmgq5qxPwxzpb
0N6VA2sSDCCtWuauB7hARca/buNNqBCMx5HReXd5sdY+4P97aJt5SqAbMvOTyssplMNUHeGk5SNd
nC0NcPKxmI3NTeqmcrF5Z2co1BSz5CcK1e6d02h718cz6vtLQ1p07fC4ivxZ0JsRZKuHuErKbOeB
He5kLa5Ac1UFbdclyVAAG8pjXXjLHbSakiro0RZ+33h2HVHp1Xek6qGqweb2BB5ktM57U3yHDipw
LXW9+2WE4PkDZOKrG3uo9ee+9+Ln2enqXd50/jNNanAKg8dt1+ROHQDR6+xAzb7sWiv9yYcWnGHc
TyAB3TR7sION+0yP6YOjwQgUTJU9P0ylDybaKSsC5bfpIZ2G+XX2unHnija7VUO6HCEePZ0qZuUn
HnuQQKDDL1Zl8QFkzekJ8U9yP+dz8dYrkfwEb0ImghQdAn/TOJ9veKarm2axm7sqXlTYyL65KQnq
zHEdd/ddXLn7dAYqbxpoE461WN5ysVSHjFrtnjdKfvK1yvdcO9a5qt6gPYZXaIhrat8JEsdpjwrY
9beei78c5F1hnaFeCh8jooXo8WbwCQ3nofWjIRdd6NvS/8lHXh1KuyrePGdJ3jRN5E76iQ7FbD9I
eFsQB5Z0vyxjd9t32Z/GR4OTkmNxZA1BIXtIXrsucb6oZAQPOCPFbkaVJaSp92MobPm5QG/oJ99V
6q7xuvI59XoW8LH3D8JBU2K9bPV4rZiB2aQGGV6vi/EuOtGuu6mISoK+a5/6Kd9I/q14CpPHA1rR
S67PXtWlkPKuUtBI5Tr7PrUOYOjttPUuXJmGybUxaOR0hiFrI6uxntDs/JgM7atK4yudxTlsf3fD
cZLQwnYBnGAsQx33seySYJivq9NzUwAPOvTolgZTyanNvMeK5J/hKH5e9nIr7wqzs5wPvkwhhstO
TUEDZt079pUDG3cNqxs5ZpaoIzmxV57O9z1xN+pea3tpXC5p0VfDPI8zXnMk0M1Nx8mOxxtPjZXB
zdZxSyoXzJ4DUPPoY/QBR24sGtRiS95gbXjjVtFLTvqlWqpocctuJyXzQ2h+onDuZdbGWVyxKFM6
u5iZZZV1yU9DDD4VxeWba+kdkVO14+Afuerc8PPH3x34hsfpxDgtI1V/c6ovvb4qQ8fNVnHgpdKm
KOAAByq7B7Dpo3HPgYL8xqlciYBMDagMmtYWc7G7o4KdotOP6GeVvlQtD6izkSNd+QY3fEHCKwla
TFZHE3cgGItO9GxXsk4f9Dkq9fx5vid23Q4br521E2WEpRZYfTx3Bs6mdLDlLT+QpA0AcNyI3ddm
4/y70aStnbhNLRdP07Q9qR7NWlD+hl4ZaO0A+1Bi72Rd9nL5VK3NxXAadmm7Smo6R5MAORiE6Own
UW8xTnxM82xzbvoNWfc6XjD6opR7akZvurVixzsNqLCEceZCwHzuysix0i9OlvQ3M0iEwqGa6C1I
Pqr95SmuPLbN7nWNjgFdKAkRgi7OXqYzyXhcjfGhYiIQFfdu20n0B4pmxWNV12QjHl9x86bMtm1b
40DPAMie+7hfH7p0i8Tqw5HBsGKcdl3ZaYlQUkcoBni/M1B9PSvVbDEtr41uHO66sDikX/UEqJf9
lXrFnsTZRuDx4VnDDzcOdgWGbAp6dxLNhXigQ/qYePMjH5INB7k2vHGUCwFiwHJu26juSJjn50p1
gNfD5UP0oYvHbzdOskYMmrdlS6O4vM+6bzUyjrb3K0t/XTW8eUbBaLh05dLpyHO1Fcxze46lJyQ1
LfRcC/7j8ldW9tY8k5C8Hum8gDhnjL2DUv4hdbdYoVfWxwxaKc9BzrzgUMa0cXbaH5x9I+gYMpH7
R+W2W90/HzpHQszrpKXI1Y2LAAKnkjdJ3jf70UXjid+BRHnJa/CiNltMvGtTOp+zdxdu65CcuDlQ
M4oW9E8uR/Bc12CyFr2yb9wh24LSru2KYc9VKVwvSTWKQK7+xOP6uPhbjfwrJmFKCVYUqePWg8UB
SVkdc7Kw2xrUk58EiDY2bqu1VTKNus3jhCwzzpRvHywX3BPJNP3quuwzamZXIbqw64ZpTx3YFKZC
2FHczvY9U7Z7TJrNboKVDTAbyQWE1Ic+K/uoRpB16ty826c02ZLPXRvdiD9HPQJ3MPZ9JJg4NS67
6+VVmGVCTLqMCoxRamxAoTc54FD02mNSopDTO4fRhYAw2SjUr+ywyZmRaVDiD61qI59kf2xlpbdW
NT1NsaAB4CPWNUEV5mJYG+jt4hLKtThHqB+ShJfBQJZph/6FrY6L84L/X8ofXzDsjCoK0vYYubiu
BjVF/tjEL46it1kNDazaC8fSuiZ3jA8ZVyhSQelSKmpHVH9FOA2S+/uFfWOJ2HiNrU3EMDkJKjXQ
rDIbIhbnvrjMana9JkeW+HfIiEAOWgwj2vCuk5onJr4101al+Cha5P2yO5cA7V8mT5cvpBX/ZAJc
+8Ud5yYfgTGZoHXb37uTBArp21WDm3hWVo4dcAxwfsl4Z7npTthF4HnNht9b+ekmlhVMChNNS0ai
xVuOukLm26EyAC3L4bpff74A390+eG4XcBRAN7jaCZ25edG5vOkhFXF5+BWvZCJZK0mz2a56Hem4
+dYz53mooFJ5eeyVO9pU2UtKfYYjAhBd+yke8t9AQHr05AvA8KHVXIXxIcTEtHKXywJ8TjqaLe9z
mXMSkDp70TioGw5pbYUMK2ZuZ/fIxM5R2hcPVBQ3dc2ui8NMKCvIe2ZVnKFPgy5epzi7c6S65tmB
ZTFuSjubkWBluI5VZgU21BV4u9VPtnIPmFjWepBx7XWzjtK0Ggk4/fFMcxc1Hhvo0ux9NxcbF86K
aZnQVt9z0OqA4xkVvCzDXiKjnRE0IdSDvZXfW/uEcSmDRGvyQeTTROjrmlMCguyw86rd5fP/8bOX
QArlX9sFATMALhRMyUULQmMwHPidGlFc7t/iiR7nzP1LrRr48WFP9PLTg1tlOnm+8uPn7XvnODor
87sOzHgRrdGsWMaQtAma2IZz8ianCrLZtXeNgx0TNqqEAQc6ZAeGpBpljnJ4FCzuXi//khUDMiGy
8ZSINJtBSB1XOiipeweJho2Ez9rQ57+/m+NAa7v3EaBHI6cD+rZr+xFcxlvppLXRDcuvygocwH2t
I9f7yoZXZ/5zeUHWDp1xb9fuDOGDGuOCDvDOJ/ZxyuoIv3t/efiVsMBkrklyNB7FM8K+mX91kAlv
wIRcJtnBdpodEXnYdzeXP7Q2D+MtXGd8BLZ/sqPZ8R/7groBwq8soFOVbtwgK67GxD+T3BFK0kJD
44z7odXa9aFN+mzH1NiHRdcm13kaEwftk0EmfIRITObT7xMqpTYtXtFacHmd1mZhuAGo3OJy7XHH
djGa5WIWWy8Vp9VD7aXZjSDJFvfqyn78p+f1zhoqrpgQDQyNZktrIyjvrd1SV9mJLbm9Eamt3Okm
RNTmNkRDF5xdhd6zxFcn3X+h6G4bm1+V2GrrXjE8EyzqLbo7qz1pRJrzHGR2/k1osZU2W5uBYdUi
L1zV9h2NQPb5w66zE0BPt04+HZLEO8wQXbm86WubYRj5gOKaK2PhRNCD/suXqg2qZP5klfMW6caK
rjwxe9MLhf65pVM0GrKm/wPgV7sTZZ7v45jEN01Du9uicb2dSKz4cwytUFDsK/sHVNq8V1wNRSSE
oIfLk13bMMMT8NytUhc+BwQK7RcN9RjUuLfUd1YW0oSVCtnymA0DjXLLYUHK2m9LJdEu21bHq368
CaQHlE7RLhnx4xeUPOQyvM32Fr3zymEz9epACqQKatcs6p1vIMDZ1wnbUfu2YMtJFRv369oCnd3O
O7NnA7fLohicyEqec88PHZT6e7qxOCu+y4TQ26iIz4RpHGPuP3hF/pyU4gcX9ueFZ38vr//a7zcu
cavSvl2xmEZVDEUd1ynSh1qi+TqW47LhtdZmYdi85KgKFTN3kfqfQRuMzGoNvtJ6CtMtsfm1SRjm
7gtX9m5M3MitG7JznNr51Ks42TMrna67pEyKAJnMrEsgJBE1SQwjTwIPHDhcXzm6YcKC+iiXpUUR
ydoGtEdlaCDJ1DJ8Rht2flXFjNgm3jhtwJMvBfq8nPJ+6j7b+hsX3y+foo9dkG0CjZd2gqI1kR0Q
onkZzsS3Tk5flRuplo/tGKTp/9pYylKrcXt4czjyuzQZ/lR296ozCSJt9rsiy/7yJD4+pwCe/vsZ
lODQaEPxIBx5eXQRewYo+0Fho6dh0rhXkVlgF85n+J3D8HPLSx3RzlFSZS/JlD3P83BPO/00g4bk
uokYNo1AfGAgYkMMqp9txKD19GDz13T4c3n4te0w7Nl3IY2XVQ2JcPG0+9krQK1knwvWmhbfLJ6S
N3COZ18uf+y8LP+fL7RNCDTwPeghojCKjkORZq6L+thN8eemUN1GQWzt7BqP9cSmeSpdpL/UyI5y
8qBcpjcOrlj58YZZlyPL2iRHDzSBbmtgMdSR4sb5VJblHbLc3xmWEXSpOgNkrdwSGFvZHRMEXC7a
jvkA3mNMRaJjkU83LRSP5G3ve/p7GWfgdiJLXm7cHx+/d8Al8O9xZgATONqdFyhID+kP5tTikICR
70AmYsUhR/IMAEUWI/KeOr71Mlk5FCaZAOTxLOInzhBJdx+X+V4Vt6zfMtC1wQ03YC2Lzi0a49mT
2AQS6NMYWFJ+BpXeRmZ67QPnv7/zACBEFKloh/jUD92nybZ/Nr469JbVBpdNZuVAm6Bg5I4TL6No
pO5G+6lKICqSQbXh5vLgaz/eMH4P1d0OSyJOxPox6fulBVxvw22tDW3c4rSDGsM8LBaaqe9H8BLw
OQ0qvhGErA1uWDmkiYDbzOb4NIvHaq5D2T137f84u7Idt3lm+UQCRFGiqFvJm+zZZzIzyQ2R5UT7
QlH7059yrubjb1mArxJ4AHHtZrNZXZUF1ydlacY1O+9AAYEcUmIcU7N+LQqUL0Bka60ExvpHqXvB
B+qYX1z1S4FHkzNDWtOXfjH01V+WFN5LxiIzC+aGpznIQYr2AHwoDboq/aB9Ov9WCNWB9KEORHIB
ORUda8MGAcYxSoGdTZOp+gmtCAvPtXNqnVyLgDyzbBu+EcoYRFDkqFSbWe2Zfhp36qFQMtvgccv6
eT5eApA+D6dcChVMWdc92iD2QKagZF5QdKP3oytraFB7dupB49QwgCjhoHHzx6QD9gssVJ/SG53G
L912fFPKhfAuaOdUkKgWlT6jFxv/x4zMURsJlc7HRhjAEVSWo5Ktx+z2zSIMck89z5zfaZoKEx40
Zu9z6s7BoIBbdkbTPeG+Jz/syOh+DClzU78H5faGJr3vNFUcAkpM/TgV1hE1RQ2K901IfrWqewNI
6W9uR9V9HMNvcRLH03OeZKXYmF5U/wLx6OjnqSn9tihsNJXx4UD52D6zJGp2lqhL8LKPM/7c/lJs
VJDMGiAY2nntMTNj+JW0N584h11Cusf5bTsMdN/wCg8JcGE7KyHGNoKM3yZ2MitsIVMW1HSsg56N
MnAny93NitqPwOX3f00DDxL3eQPPWvZASftFCaBSIczat/uy+2F4VvnRGBTAZGLjBaOjY1DZDBwC
ZlxsxiGhAYc+wb01WTHk4MZhA/ZcNWwzEQOzxeuutw9xDbqNAHz6pNmklsp+QPmgf6kAgPk+2Ik5
bm0FUq4dsQyvCLpS5He4i87h3JtMbiZSsQ+ZeDPYeJiVHuY+hsYOg3FwntAuqJzMAQA/Inwz2tXw
WQ4Z8iaRA8J44FT6PMgVJXumOL1PWMpfmjFxCWTLUJvT4d3w0PRe0fhFz3LguRlwlxCuNmrfdPJq
Dmk/5PYWlbbxSUpn3Lkp1CwQSh4A6VL+DDeAa4LZf8uNmQ4bN7bKXe5U4tnrpjH0OhCYINJvgAJh
ebOFanK5E1nVnwXaeGUGTd2CNSHL2V/k+o3vHoSi36s0g+HEZUXbraIQ4KHCpvsqcdhTX1WpRA1X
Wd2nALi727hJ50+uStN352Z4x5uunYFDLbGbYGiast1W1J637WA4O9w5BkCAHCMslZm/i2zk33jv
oZyS9DZ4D1jtc1lNz1FlqANIrVNkALr+1LluuS1qM3kvKjxPcuj9fYpOGYeuLI0tT4s3JC9IONWe
Uj50dvsfMhrRHdMrN+D2AxWqysyjORfpU8LJnO+hoOuwFZ+54JB1ADQ7YxLhCuTJOytlVFO24a5n
BtGcb6875aUGzr9/OWZRLFMnLGnbU+S63yPenyGJk+Pbcu2V51+C8pJf1uJsy46guG65/Dg/mo0f
Pw3v00/o98n75Nv4bPywPvnn8NY+t/fiwX65PqiFO4oOiY4lq+wYzFlHIufCxxODAD4pm43UbxiX
0Cmf14o0FqZPz2dmMlGTE9HuVCVk3AgXqJ7Cyv+UxloifiFQ1bXBBfjuQT5gge/Fm/wW3J5mxDZR
/FJ3UJ6s5931CVsYhl5pkptZDeqEoT0VKI3b9aVQb+nYg+k0N9Y0AS82YTJdDaYdz8KOqqlOrKH3
wAD+RoXfwYzEjdhpXU8DgCFmi6KSJxG5d6VSu7JIIXVYmish/MXoBf3XQrqMVYI6RoQbKbefYsf+
QOxyS6iLT2shXUWavM8dXpwa0vguBUTMgpQ1e7q+tksd12K6vrf7yi4sVGkbUwh99r3nRre8GqDj
WkQHMRUboK0EHN3dt5b9BSzQ59V31q1Vgi50XUc71QTcNbKzwcCGd9b7ikFitezGeCVIv2haJrO1
S9nkOTNDAUtxsuoU0UNBT53jPQxpda9iqNvJ2rzFiaOhcwe++FiwcwsgPrG+JKmDsSR+D0hmh6ji
+gJf9Hb4/Pn3L58fQd9c5nk+n2oz3hgqDkVHoFxaI8OarzSxYLw64knanmJZN/YnJzGHcHI7xHoz
mFlzz5U/r4/i4hUZo9COCYTuBLTZ8XTqmdyVCUTB0pL9RPCFaHvOX3BD33UQn77e2NLG0oy5iDLk
ozNwaRtZ6QsIN6zBVpfWQjPlqRKQe7RJfSKF9TsekaBsyTygmsu6y9S4Vom+1H3NpJUox3LoPfto
Dvlbw6dvspxWvMU/YMf/HNdYB82m565yJggQgA3BI/S1qGzvwAovRjjpGagvRg4IWriR7MaA9XGX
BN7A2pemrqN9JCdzP9ime1bDNY1k33lD/0eBiQ60P16e5P5QWGaAEDHZdQ4jd1alkqNBjOEZVY3k
nfQGiu68xvsbiwilZK6VWL4sJDI/s5NUD2aL+MFUzvgLtNgTqkaTNdrFhe2tw68yJ0GsmmcoM5vr
oxWV44Y34lVW/Nv17bb0fc3TeK3Vj00KTlJl1YEanJ/mVO+zWt0S7phMJxGMoXMS1w0kUm2Rh3Ed
HaK62sWm2tVzsmIwC9apY7A4ROLaToxnrtMpPtgzfaUW3ccC1btGy18tLz0kbbXGWrJgRToqKzY7
rwJTSXXKZB4gm+nH+f9J9l51K5t8aT00XzMIqCUnAi9GlECgWXKaf0Q0d469dKyVCVs4XHSJj9yz
IrDbjThTaqjDmeBm6D/K8VvMetC5rqSClqZJczZ4K52TKAF2Z2T8AWK8kL2uncPcyLsI/A8rrt9a
cDY6TCvKpgygqaKBWnEw7pIH62gHKsg3puEbge03YJLaGPf91twJ//gabcRD8cG2a80vta65Izue
gHXIS+s09rJ4r4aY7joZEelft8yFKdTxW64HxPMZO3fKqj819Cxm+jiKfGOv0QIsdF9XACEEOcXW
AqdRLHngcffOndjheteXPq1FFcOYWCmy4tbJJM0rcsfPkAzYX//00qycf/8SUaQyIfmc49MW68KC
AIrloFrcL0RlIjUPtazrzSzYiI66quXkkJqPKNWMINnO22z8nhR29DGmJgtqK8ki3yHZGhPP0qDO
8/hlUJkluiYr8EjPZtwL5KOSPyjv/Tq7zRp1OTE7gmpQ2YLCLzZ284zzMvsEiDuw2hWn9W9PXjiZ
/yU+vwygthpSIsNnn8zADqCpdA9awuJb6z/Nx2abBc3B+g5+C/vV3BUbIzS+dx/VR/HLfBlT3924
IaK1lXVbcJ86eov3VTZHUYwn0sbb20AnbjxVvgpHNtvrG2Npa2tGP4P03xknRiHA7s0PKqpTlM1D
q+qmr+uIrXyyvarrIswjoWEv85+V2z7f9mntoOdCQaQI6LZTM9QpElJ9+QpGAlSTXv/8wsQTzeSx
hTnhtkNPxWjsuYlkjTMm0hftGpnnwsTr6QzEDtQYXKwsAw9x04x3mfBWfMpS38+/f9m9hWNI6IN3
gJmQat+W92fCelS6rmzJpY5rxo0yQGPwBAVAI+/+NCZDNl3sbpt0+t+OSzo4Tm9VzmnqXD9XHwWf
/GhSNy6pdoYnYKsa7UJZJ5bU9y1zt53ZudssUfPKvC/NjHZXYFCISqzEpaeRxqGUNQK2wlub9gUP
/o9j6cuipopYEPEj7mk8c1fnY4xaN/FgZUXsR/BXgQv29OursDAMHWKFpwk+9KJxTo50iyBpB7WJ
cnslWFvYm/8DrxpRfgHSiv6UWW/OJP1eokh6uvF+rgOsUEtqQYHARs1WP/zm5vzJYvszFd6DIJC1
vD49C4ebzlAaeW7jkWqAdVE+PwO0G28HlSFTzmYWNJktt9fbuXwPcHQPlApSwWsCBhBb8rcL1sLj
PE0l2MjsptzglcH8ZrZM9T7eKMWf601eHhqo5P5rfxGIohnJUgjl2v22TDtvw50p3TAvvjPSVSHk
y1BFYES1ZvKmMCGTxPAe1owIeuw826kIXDVKxu5utA0bDyiy7o/TWNc7J5fDzqWpOhi12x1qM7O+
8wT33OtDXtrs59+/mBUbs7kouUdPqpw8PDySjnwH8OxGbT1mai6tauJSyPMx5YLCktKfduqE7apw
yIJTMDWXNufu1Hhu2p9KJ9t703vMoi3C313K/7rp7+szdHlTMB1o1gujZLY6hyDS9Z0aaJTigCJY
H4CHFYtaWgMtBsl7F+RDXuyckjLygigVILeuy5XE6T+Y8P/GcsA8/3eFx1i6U9TCJwBX0wadcOOX
uC2bp6bvjYc2mTMFDbxhvpuhnBYmtGx2ID+o93Nv1G+DNdDGb6NMBFE+y+/XZ/TyeB0dnOZmqIqG
A7EhApff94Pxwuf5xk+fN8qX7TzZDvLyWWPhHdyN7kvZx0jwxclNJ4OjA9IMkdYQisRlJY/76dDh
FXHXicpZieguHw2ODkRL7Ny1uxqbeWh/zsYjiKzxOP95fcqXvq2ZuZVMws6dpAefZLMrIQpNhLct
o4/rX79sIo6nGXlelsgL5TCRppV+bN6lQ7HHJvKN/KY6WNPRUWejy9pixIMsCrh4OBQ2RLpS+zup
yFqec+G00bknoQKZOnHrIRzlEkKvhfpu2PkGDOY4Sg3lZzR20ORaUcrScmgWj/u0ZZUCraWeU/lW
5GybGCJ8nhGtvPMsrIgOOnNBG5a6NeZrGDKQtA3V1qK18iEJ9+yN2Rq0bWEYOtZMZHlatRGAxPY5
2KtS/myXPajrbwJmmY4OK6utHopZFKNALOAn0P9kwOfF0xr+dsEP6VyToxyNaCja8lSq8gMlfG9l
S9feky5Xu6Hv5zn74onaAUU5Tg0nNzr9dpIEiYBUvLPYiH0Oxv2+AvlcBsbRisufw5Q+mMn4I4cS
2cqZsrQ0msGTHHE4WPRgkkiqfJp9nB0NkOduSWmvcV0u7THN6h2XStCx4rYyeuzVzc9HoqoPCRD4
AZ7n3q+7lqU10k74ssuris44G4HjuCNWdNc5yUqWY6n/2nWFJG5UzA0qocvI9svhYeRuYNK/AmXi
1/u+4FO4ZuWlOzlpOUTOabba13JOA0nZvkfdbJVBR8gGL2t9U8mW6eiINHMurUmAnfWUEbgvJOPx
PIdXxR3N6tvOPh0dMHYgYvfSnp0YYvDC/UbjlQ8vLIMOCGgiUQ5AHZmgwspdv/HK8i0Cn2kw8ybd
8axYYwpbsAgd30Lclnq5xABylOnS7D7CPzNdibIWllqn9ZuUY1KeDwx0agje+jvh5VCYB7BNSJ9U
r6YsNtf31AKnsONqhh2nKhdJhKfkbkzdvVCUHwXNqrdhMM0DBclwvDULUQCa7TpdkEiV5xueyXgt
jb3QAVtHszJmJxl3GryU9yDhCcwJGlXgS/RBnQ8ySmqAdWbFh122fRC6/9eFKjyaJymTA+oQwTMe
TU9Z7d6UmIOr+u+nmcLTmOP17alR1s9xzH821RoPxdJ+1jxWYQ9OYRJshcpM91PzYEYvrnyx05uY
U2Dqmtsy+nzsxYDvu4CaFmUNYsCV4HnJQjR/1VmUm0mWWydSJkUAso58B40YK6haCMFc374LdqKz
GiKr3I3RJFAtz8sNpU/Cqt5M8tQoujcagPdujEzYuf0vpy+RFSl7lzsnMFIEOYn8sv/jDtH2+ij+
valcuFPp1IajrEeEuziV6g19tY4sKI7qm/vLO9Wh2jpPU2BvAYJ/TZ75d/PVuyfH7i495M/5j/IH
s7ZrBIuX7cPRuQ+LMuqKpAHBn2OWb4Xb3neTdZPpAfD63/kDoaJwGzCVn0xLPVPZvXNJVk7Ff/X+
lyZP82Bd0ZllK8+MM5BAAVrXrQMRR+1rn6VTAJTA6ARuKqegrIb5sXQhIpOqgX7GFmseJ4ZgHESh
0Qa6CfYRHCxIYya8+GHMSGx6WZ6MfmaL1p9YS3/GbT/sVGOaj0UBxtu+lfnekJEbQGGUb0iSdzdd
gGydNZuUXm2ZZ1aMqfhjsG43e/lGGb9G2a2sx2WnYnPN6POG8Ko/Ky+P1X2betvGGcMcAl7G5/Ud
ffn7DtP84TBC0rdHqexpbjaW4eMqCjrF7/HYryz60lbVnGLdoh6NDXgGJ7H9SEqQQ/bF6/WuL31a
m5oBqJAeCTE8287U3ZZy4ntrLtfgiksTo/nENu6GIS5Zc2oz870R7iGeYhRWpeNzXTg/ro/g4l3B
9TzdKwpeQGjMMdXRaoadgdKQUvGDI8qwL2wQFJRvcug2Hq0COssDkoKb3krC621fyqCdm9YcZWW4
Zmc1TXscjefEGh7quLiXZ0QUZQ9zO2xua0VLy/Qy6jqFB0tILnf1Ji1UFwDdfZSi/JFlLN123Zrs
6NJ4zuv4xfE7tRX3JqoyjlXR/ACK/o2mUNFsoxFQfDX9tfsx3l0f06XT8jxzmot0a3eWo0LxRpNm
XhBnJgl6Orl+368BO5Za0BwlMWVSmB1mDSfx8KjccniKGDSuUGhVrjxHXDKe8yA0u5+ssQWmx5NH
ZPV/OYWxcztcUK9P0CXTOX9bs3mwZRp9aqD7U9bsPePNms2tIf+mZnHbCuish+0gqTtYeXscZpTd
+LkTZVuwcTn+VDVrii8L+0nHEhPTcF3biopjMeTZZ1ILEtTgwgtBxQGYK+73vtvl/YorW1hwHVjc
12Qq+9nMj0CdDZtEZqCtaG0WyqxYq4xaakJb8Czuo3qGDEbokTsUDW1d6yB6deOCaCte5coz8WQv
IT9SF3uIntKQ2ir3wRpTPl/fVBevH9hVOunhALnnucjd7ChJCtmOEQCdnzHEiAI8fWUBau1Y0JcU
tPYFyWUwKhcVwzOBIND19hcMRmexawZLRJ4U+RFlK/dTbbxGaOW2T2uz5yWsatO+KY5OmfPHznT+
dkBErRzwS/3WTsnSmGNBedofSarA8q3Ej7pP1qhWFoxEB3Kq3gWgKUWNOeKI/GceTYnw5WBn9yBo
lnf9jAqnwADTxkpyc2kPa2eynbNMuHC1YTMMv/KJvzE2/ahB+Hh9HRY+r0PBhx7l4MY8FMfRKXqA
p8cyNN2G+LGH+PR6E0uroZ26hqPcbuCVE5YmabeRYMMemc41RuEFx6uDwMdKdnFHU+BwSg5ZrEev
Gv0i45CSfbne/aUGzr9/OWRzFO+NTUHrox17w49OJYDQdrM37gBDjKH5KXiyv97S0kSd1+hLS5Pd
kZ72BOaWkXavlOfdFV2Sb277+rnVL18foP5n4VmkOoIBp9tSAb4zYTXVSmLrvJj6PQeeSof6yrm0
edfhHbc9y9WWpmHvU5GAyJ8XZ24aICOQof3d0vL9ptHo3ItNASkWy7XkcZ7LlyrJ3lSxRn+9YOA6
7JdMBSiXTVce2STjgAlkHYreubfbAqVriR0UabNCFLSwtXT0bzHaEar56uaYGdV72pd7L7G3U2Yc
ql59XJ+nBfvWIb+40bYABvXNMZ2MVzGpb9ydfqgJ3HO3fV/bVX1cJ6bTndMZiA6aBBV/KbjOm/lw
/fMLJqHDfY0Jz8WNh+5PdHio6gpMb7xY0/xemn7tDErBNJ+6XtNAAllQHww3BiAB7A5qNY+GzVfW
eGkE2lnUFaJLWxtrPMbueNca8bDPVXFj1KwTMpZNX6nZts86zaicjob4dzUSN5jyG0MoHcjLBpER
qK43x6EhfdA02W/PLVAirdbmZ2GD6khe8Jzj2SAV2KDDh2Qf7fSYi5V4/2KJJJySTsKYGciyG07V
HxneOO0NSUe2kVhseG3TGL+7lDU/QJDdvdfj4G4F79JTOtvTwR3IuCNpRLcyguBC21oxqoTBpWXn
5q+OIQUcDTl9ur7FL2IW0Mt/v39xzMDAzLFKKhEWWU45aF9a9dx4qeOC+AUQYVqn8SEThULWufcc
oFPnctuQDI8TMzSrMu59pNBPfDdEbm6vd2nBmeuy6aKcy4ggQXJMK3FCXudOxhwSOM0LsL5BK51n
YzbXBCIWvK0OVk55X2cVda3jwDaG5e2gRO5btbk160/m3QLjOm8E3UvZMR5Y7EmEWOc/qk0nf57n
h1KUfzxnbR2XNrJ22RgJdLbmeuIhCtJAW7BXlhHEQ7m5viRLX9d8VZfapllL1GAnkzvsoBpYPVpz
Hf8Qc+Xe2ITmqWSHl2EyMiN0sLeVZHNAWLSXplqj013wt//02L5sdAqMWzS7lggbUsmN0Rb3QwnH
O+b5YfCgenx9phYcrg5D9lpejnFdilB4H27312pWIpyFFdCJIg0IKoIiMjXCltyNrAqG/jVGDHW9
0/+QwBfiJx0AyErHMKduFqEpGnkyBkrv6hhkAxBhjeBuYiIhjJrXfyDbxbY8Gr2AQKgewlpy3g8z
aAHsyOZ+JVAkNsWRt50AiLztiqCDlxNhpJQQDLxSIAeAepean5yyWPE1S9N6/v3Lpmg5SVDjja+r
6iEDuV+Zhpb5e2VWz1v30qxqNilVQoXVdeh6D2Y8lcx94NLaT+HoC1Xv4oEpX3HcbUcQIYCH3Ny6
c7bySrrg2P7lP78MzDZ6x3MVEaFVd48iiv3R6fwsKXZTelT12tvPUiua0ao6MxNbyvhYNBQQJNN7
smKQdESO/TiLHhQok7mSuF1aKO0imnogCy69KjoinEkOAgWEO3eq/y+lVr2yFRYsV8ciMwhzNRMf
46PtfdQDlJHdfCWMXOi7DkRuSOTNJOcipJX1k7VNvosQYTOh1l5vlxo4L8+XxQY6nkMRwRThMNhT
kBiJ81iTpnsRIo9vnJ2zV/3ShIu8/+xV8BB1c+hIFJjl2iv30ryfB/Xlyx3Yb0cPtFNhniH13nhj
sqmLoVvpt3fZBs1zq1++Lihphm5AvydzEj5oSz5N6vzshvjXXFlP0cSJPxmO70m+v271C8eMjsId
O7ushGHw0E1HFfaEfLI0f1Ve00G+t17JCiwtuHYez6XTOpFLRRjnkNMsXzK7DarhFjAN4hUdhpsm
ieOUtS3CtkkfYtr8zvL2kffqrTOrgCT0PWc3ZmdMzayZkdbI7mIgFmX3oyMg6neLaoTrcR2MOwHR
QGtL4Uyr8ueyjN+yaI1e5fKWhRD7fzcVapRVUSUyOdIY8TkILIMZDEcrh/HlHct1xkcDBdlVDC6c
o5V5xSvyx6kTIGGJIpIKBN4nD3c4oCbHofkcZ9cLlVdOt8Vg4MfTxjWMo2U0U3y0wHvlsOTBHk7T
ZL/dYhlcB93mxeRKo8XA2rkN0mznmHngsiIo+Rr722WzAORO679Q/YS1SY521mZ+MR7kBGpGaMmu
BHdL39cO9LSWhReZCUToEyfM8H4LhvlnENqtPBBedh1cR97Cw1pVc7bq2rX8GsX5jfmD589Ge+MC
aKc1uI0Irpqw6ywDuLOJTeGncOc5r9+SmJMVj7tkHJpJN1VvTwOFPyeDcTBTZ9fV9vtNO0iH2kaJ
K71IQQWZ1HIztweumgdcDP2mMne3taBZNvMUl0mDMCMr/jrZo0GcJ0M8dA5ZuW5fDpggj/ffHUor
AoUqgrDMyUtgf6L/g5oYrFl2B1LKj6qla6iSy5dorgNu84r0Ds0EHGsH/WXEl+C18WizmXJY9vBS
prfwUcLN6uDbaLLJ5I6ch/b4KPImKFULupi1S9uCxekIOCgKeQyVBjhNSf+euigoHjLy5qi19V7Y
rDrubXAr6YmpEWGZ0QPPrA1YxF6vb6WlrmtntOydnqCqSoQktf2eZkDwTahQXrtoLn1eM+Y4R922
BXW1EDqgP50OqRHwwoLysIDnuz6ABXekY2q7mTJmmDhAcSQ3SeVH3vvY5qA0dVcaWJh8HUmLLIJt
eTZu5LyWb0WLJGXvrjihhb7rENqMFDGORUTEkOje0PTNy+xghLoozV+uT87C9OtQWhtSoiiozyOE
AHG/a+CUQnto3G09GGLl2rA0hvPvX0LXnmQj4A7wRZy/Eqi3GQxsfK9U3BjF6EDajCRzktkuijys
9s4zx8AUw0q2YsHN6cjZ0a0rNpVwc6xg9qcTGyDKnOK/ddRR36yIei1kGa9M09Iu0g/lNCNDP/V4
QxyqYVsYRba1R8dZ2aNLi2D9dxHGFCT9dtvlx9KMytynCvy+5ll8sx6r9D6HOsTKlC01pNlzwjyw
bgGlDtn7e9I+8+RJiZ9QQL2+Xf+9qP5vLoK72qk8pw1nDm+i4+fnY2hsH++TF3tv70+DD7JTfwrM
AOBT/ySCP45f+YClBWqP56eAbhBA+YAfb9SGHJ3j/F6F7l7eTZUPyfng1dh0fuf/WeklJvV/O0n1
uNqVIKSGWmR7KrPhkdvVHfTTVqb38i6helQ9uqU3mig7OkmPHRLl7FhLVt7Ilz6t2WlcJalnmNBw
YdabqF4y7/f12bjsYqgeL9tgSxoSCQ2aIZ0if6KeTyPyxOKV94nLEQLVg2XLqSokgmR1BKti/NIW
hotY3+03w5xBykFQFpjg7TwyOlcrOamLWF4Xr7SaqcaoWW2ipoxOKld4vC7qaX7Li57vZiReNrNd
FZ3fl0SeiLIpnkBE/IADyAEIUCXdNrbz5OTGwt5TadMymNUwfDdIElk4Xmf7YPFpTgKnihJIxPOa
QUZgGswwbxCz+0yl6t6hXocTvjKCnLr9N8OzzeqFjfFaBc3SimlG5qWeXToO9qwbKf4sG4tseSyM
HWqWqpXNdpG4B3Ooo6TMDjWXFco6TxX4ouvAOQMnmDA+hqrKqpBFTu0Fdpwbp8EAAzIYh0F+mjfD
sbXAfBzExGwj/J0UG2bE3juRhe1zr+4+I0zQFPSukr8gERXNQWZl+VPVEuM7naK+3aKeY3jgCbRV
r2/vyw6P6redrHUZNAcsLzTnGXK2rEreoOvopb40Ua89FsONgQzVCw5TMyKO6okXVrwUf8CpXCEY
63lt+F4n09SPStCWXR/Ugi/Qbyi90Vegw+Tp0YvbqPZxMuGq69b8+/XPL2wwvQqw7dMm7gsVHU1l
/3I5uCXOZfp5mvCV426p/9r9JHKJLEueIN4W5KER1qPT1m/X+76w3vqNRAw9GXsQ8SMnZgQoajl1
6fyQAsDkDyX5eb2Npe6f5+1LyGSCExsbzXDR/fa1kXyD6oqVlV3q/rnJL58GopXVKY/xwBbNRzN5
tWS6pdILJoAgr3f+cuKH/s9dJOtE4RaDG1qOd6/6aOek9JjWTwnLfVkDpFhaf6qEba+3tjQeLbCp
YHlNaZhumDnji0Xqj8ku97lNEz/31ip9l9rQYhrbcKRtcNcOUynmAyPNg5xaQFhcOm9ipVZWZsko
NK/bSxO4aokUb8+yV96yO4eMLwh3Vvbtwuf1Wwpp0G8BDFHIWeJ94u1NvchcgMABLODDn+uLsdTG
+Yz+srlGRo0O8AAeRqQcjo03pZ2vVGf4VmrBTd3WiGbbwO6Dv0HlPCTSeCRQm4qNKkzksGJ7S2M4
b4IvY4jMmIwzoCxhMTrPKjG/CYlAsey3t/X+3OyXz2dN24yO8mgYcdMfi36bCPyXb277umbdPetV
O7Schg3fm7ijRyDAY/240vfL1yGql8DJZuxJDdcUpsZODGf18++Md/sxMQKL766PYMHWXM2eATNV
RgPLCkUu/tSlUfiDS4jP3DwNnLJfCeHO83EhQtcr4jiPSnDi2zR01PCNQPLAN/jwcn0ES7Ok2bGC
upqXOBYNSeVtelX/sNs5D8oURV4MJKt1Il9vakivAQEDPo8p2JPCprHqzzmf2lDUVbfJvSb6Xc1A
PxaQoVp5v14YlV71YUztkECtkoetMQdjemC2d5c1h2Kedwn9dn1A/5T3LiyLXiSXJtALMR3CQmt0
M8tPx4H9niuG4qy2iaIty6gIzHogu2bu2g3tyPgKIBGQSIlr2Gs1/gvnl6P5l0hZI1AubXyq6+6Q
Dt5uKthmIPHJZPM+LTycLidB65WduNSa5m5Q6i9Kz5nikzWz0DQ4hDwEWO6rO5jtvSnUTg24AHD1
dn2KF5rTCwAtrqB+oEZQkDmMH4zBhm+DOkgY2V7rU1g3GFPPXBm5Y7GwTepuJUpeAOFTvfZFtpDT
lYZBQzAWGL5DpmY4xcrq8w3pyujRK5Tju5ngqV+bYtqAZcZ5txKxBpBYwIdRpnnGhHKVOjyzIZUw
zm9WDBjNSXQTtZFKtjIXgjXZcIimjgJ8C913ATWGDGVTpiSWT9I03yb21KH+lE2fkyq9FY969vqX
Nrx2kwTFMFMQAnVC6k3PYqzmoE1BUG6k49P19V5wdHpFzdDTkkepYYcDL5vCb/+fs+vYkRtnt08k
QJGitgoVOwe72xvCHttKJEUFihSf/p76V0bdaTcwm4HHMFQK5McvnODpeBdCMO4zYfv/ySr+2xNc
5UYygVAMnHPSI/0fpqWtVGOeFDAuFiOrCKWboBQ4seGC1ywNa3KkzVUkoVjz2kF81vdfEvisxMl9
hwGIiMSB+uyTl/vBUUKuAvHoWzip1AD99+DeTV5bjOQg+XYv6df/9HKTyyb74yzfmkmum0lSlH71
64BaFrThT77bvyp+Xerjq1SKaN9vw6mmR1BWJHLNOAVfxUIN3BiY68BCRpw2F2eQVLdJJVKgLJUn
kn1rgO6VblrKmJLo59+f899eJOyUr8/kCYiYcXaMngxdTx7tXprOfts6duqaIf4PWd3lN67W0aKC
qAmikJ7a7tgNb5L/cp4s/n7//7bLLte+Wgj+VlNYdsNbcl3dMSRNZQnbTfQzUvUHr+f6HLYjmsAp
WTcAzuofyodDnFr8CF7h3Rt4Lse/P8O/Lgg8xPUBHEWuXZJUweIhgIEzYsUuHabXYBi+Rlqee27v
SWdeomibcs9PTA6owEMH44y8rT+z5P23HOByC1cnY9bYeYymmJ9hGd7uG69HrsFTeb8kyiubLA32
wUL5Jwvi3yLX5ceuDkadtuM2SVigdR5db6Gx7orLw738/XV+dPXLUvlj6wrSSKkR7CH4+b7Oz3L8
9d+ue/m9P66rXS28eeHsBBJeeDcSv65s1prd36/+wUK+5l6uGetGb5v0mWbL7HIGWmeO8ordulhs
n2SVH72ZqwTcIyJiNK7tWW7TcFxWte49R6aff3+Cj65+tc09Ng0jqvTtTHSyPGTzqo+rrZf/ePWr
jb54kHsMZchO8bqKvBXrnVrMZ0SHD17+dbSnHC5bgLn00LelTekkI0eQSE3poPj4SZL90U9cBX3e
GmY6T7FT2DQAy6Qlbbey/kyP54Pte53YJvFIpK9JD9p7iCa8hJGYaJo0d0r+qB3cw6JPXY8/epCr
zWt6tPm3xuKEoHuXEUQkV4ls/SQWfnT1y9//scks2js8ELw/o8NbmG2vgNqUqTr8fYl+EM6vKbV+
TzefBJ0+2+4b8L952P9AX6bQ/4UPisB27dXjFEDu65SZc2v7sYRkIH9lXoqh3H+7/av9G21LGm8D
XBK7URbdAiG68T60qCk+22Qfvf2rLTyGbUZ8pRn4zd17iIZSOqUvcVP/+vv9fxAhrm17FN5NPXsZ
O0WTgXbX6MP1dsw+qbY+uPdroqaC+XYIAeb4LEf/lBLve8vjkxTzf8Ea4Nteu/YY4kF93ML/sr3A
5s84LI9IC9Va7//+cj7Ywtc8TdLACK2vm+ykOB9yY7u7IIjzbMHYc2wrTIRe/v47H3yEa9ceLS0c
jlMIRbkNyDYIVoaP/hK2n+ywj77C5e//2L+jJ6E9Lo2GGH1f8nUtO/WLiLe/3/oH2/faqgcOpH2I
/mB89gBC8pefNhvgqfbWk+iTDXYJxtcVz+UbX9VsS50QDEoR28BRbqHKN2dPkrTrhUPOPFg81ssD
bDZnZODCfVZmffQ9rjb1OqSx6kf4zY7Jts9i9eAr9vj39/XRpa+2s6bhIBsy49IxyCoY+sBBRwef
JCwfXfzqQB6avlsUQ1bv9fR20+ot1J+JwH1w6f/HldWNjB18WM6APoU3KO+yYqqHz1hvHyzRa2Ys
VxBHW2tDTzVsKv0EZveyyc36GcLzg318zY6FXePYQ0aDnkI1/KPILytu2wAuowGmoDydP4kWHz3E
1SnsEZhe9hq/Mk4BjuHuWSqzdyP5JJh+sNOuWbFdqH3rZ5eN4D2HdVvqi1msssX6Gfzmox+4fPo/
4kQtEgzR/YSd2umH52u6U7F37ox3N6PtWP19+X/0jq52cz3WMwhI+ND+Kirj/MPsgzYh/lvl+T8f
qz+eAM6kNp5qD1dPgEWZKjpmOZk+ufhHO+Bq54pghm3ois2FLu+Yb3z+sUbLr7+/ln/rEyLIXVNi
GYs7DhcveoIlKvQIM1LQUaN5rbvjGrFKpeyGRVLkEE/6BBHwwYe45shC24D5KZVQP611SQGEyuck
KgmVn1CI/0cC+5e4fc2RTY3qXQeXtnM3eG4/OYrqpm3HV9m5oIRrcF94mZx3CxquGL05/opyV+Rj
1og9D4OsnBJDgjze5uDQRdxUmsNDAE0L9lny8MH3vCbahhS2EEEaQlBYDj9TsG37nHUB/fn3L/rR
+70KBnycAaMdhuzUGFoE9lu7vnnukzP3o2tf/v6PZd5aFmUg+9vz5qFdamX2g0B3ccA7/G/3fhUI
+BqBA3HRrUxJny/bl1699Msn6+6DUHztjLOuVvTDhnwzdDpnybKz+gw9gXzeVDV+ZpT60ae9Or8T
bkzX1gxJbaZfe98/+0P/CSLso/u/igJQaJ9EbePs5M3e1zXbfoehSP18mwJ9E2jWV33zqYrhBwH5
mnsKL+lAcaMgw941D+EiD1NNzl4q7rv0M9m3D37imngaIA7YuvNxMmrmQDZsGAb5IsmDegXIPCn/
vqA++B7XNFT4XCeNmfAgAYl33Io9DFo/ORU/uvTlO/2xF6bApU2EFgEUQhTJ7eTaSgbzj7/f9wcb
LbjaaBkN0jlbcVqNa12iQXBKBXmy7jMdm49e/uWZ/rh3L6rZFJDNndnGH7zGK9iE8miEu+Fnv/DB
av1fd/OPXxj8MJpktAVnCL6cO6ajsjNx6SZ+af5LVdo1jj85HgP6v17hv4T8a/aodCAPKKfcWTZT
WGGclLxEaGYfDRvVPhz49Bv4lOkN+6d51dtM9yJqIXtLiYLLJ9zNv0rYflYcTvAyp/7kfbOyb/eZ
tc3TOHfRlxVGzudQmuUAtfzmYSa0vgHzC1J1E6fnKZL17RhDjSuCkVvpD7CL6kWyPWDA2O5xvMrS
99cA6r9AR++GZRMV5UHwawRhqgrDDfbzwMiVNWBt7xqu0YC1eS1KVqH7l5Csw5KvKM/OW0cYrJYi
/cC8pv1H+m267PDP4xJyFgDMTU28S0XY/jZQjv+CQVy0k7KdvmZoyDxg4GpP87iABxQ17tELUpMV
i2/dEaJGXgvhzNo/+pyZ+75zw3nsZ/Yz8+Z6l4FmXALnYw81SJVD7rx5eiFZsuhC9Qa0KB7NK0ym
An62nESlrwA1AQ7fPvLVY18dFDZ+eCj24VO/tE8pvKnBKK4biMhGCQx6xlYjpWmzbcM8sI+KxBID
zGtQdznz2zrKsX03fcJTO1YkLvCHsoMvEcCVxuQLk95ZJZv/LBKgWnNCWXKTzktwWlOoLPdpQl90
PHRRBYB3De3xdpx2bUvTHbYXlzu/U+kjQP1bVMGSeJFlHM70LmBzSAvY1vd50rv1lfiDezZk9Mp0
YQHWQj3upljoXTfOcqcG10Hxa1iPQ9LWJ5C31sqEUlaxGJZys8tU0iZcTv26rIdQufHky2E6hlSH
lbBL8sjouLyhOtML3oAID1sKfpkTszkgGSH5MkSzzLFas0frz/Ypi2IIcIah9xWuLGwvLQ13NA0l
rIJlvN9skxQeIKp5uzn7M6HNdCPUqL5ACJPf+pMYS5wh471d0u2NDass1gmjg8BE666Jsu9kJTKC
2QAW9DBKWq00GQq1jOJXiqblw0htUuKs0TcTfm4XW8wCRzZf9HoZaoIhXu9puuhd2A+Yws3r8BwQ
aKan9bjBEw6t/dt6HujX2gbDLpn69gEWYtP90IRBSWfM/GVvwdzfPF4IMCSrJQqWL/G6DTvJzFhJ
n/Kq1i1euq/XKsVsdwcXTQNflHG+dX4U3JA5MDsdZxSfbiO7uCG8inw5FZ1K2N2I4VPexNBJnKIm
PGSiB2hjmilETZW8aVsZYyfO4iaZYvroDGtvA8VsMcdN+uZvgSn8wPMfTQiRJi78sM7VSqJHq3h4
IEMaHHyLldkHq7sTK7oRtiag7RKX7jMes71Hw6Waonj5EkTbu6ItUCnQmN/P2+wf7LLF0Flx9taj
fgLgfkDlDqbr/JAyG7/RRbtq8KcuyAdvknm92PhOIXsuum1saxDXE1L6ff/bJ6E483nKfoZZR/K6
rnkRZ0md7QSYW194s3xhjrZ5GgOvlyz9IdkGX+arZ5IvXW3qn66vh6KV3G4nTsh80jqBwaYXDIU3
9e6ZphoaL1lm2M6IiD+Ecaeeet1D2zZcd36TDk/joAU4k2n01fTEbwu+gkWhGj5UoCNGd2nC11ce
QT2gDqb6PcKfTkg3UoQ6mAvlm6SYxrvAy/mYRWU9DO8GWkPH2e+A5fc98VIP6wBPL96899u6RgXG
Cs33zIaAVM/d2t/VYRzt5VYLnquJD89b0PFjRk0A3T84FccGPdjKkITtuU0M3CW3+XukL1ShdvGG
O6L5csYmy34lU+PlcJcNKi0lntc3JJ+FsBCz6JPCph7ZtVoGBwBmojIikESm0YT+dyeAfGiXzt9Z
l3TxLmFpvW8FV1M+L306FTxt2iKGc9CeM9LdsxS+pnae8CIDFlShImonWBCcttq2xWKiEcs3a+5r
EMuenfPUs9Fie4WSNcBf8Li6odRazIFliqJ/2fYJtVAezDwGB6xobr+6Dk7iRGbx3kH+KDfzvJ6X
bZCvblU0pxPunrMgLAiCDnTvs+Q1qqPxSWzDUrWjv/yopYe+gul5feBT87hIle2mcND7SXk4Rhvn
gwjvzAK4h8bQn3bzGzFR8xCoJd5D/MeUcxqvRe95fVH7WtxiUrvsTDM1N5tY15+jGuQd9aAx0Q6U
f+Ouns8pRFy6AoOX6NaLA++4dtFwwLLACqGJOIo65Dsz1E0lRvh0JmDN544jbo/4TAtUnAXdBRAt
fx3gIt3mStHkUfeEbkWXKe/njKbGLah0/X1ixmBP5tjdtUbUX3gY0rfW591JZaq/bYghewqgXWks
G086wAWMGwXi96QfIMk4n5qgNVk+4OB9SaH9lGvC4kcxzSNUZUP+vEHFpSvqVftzlY0N+yqpDU4D
GtSljft+HwnRfYU9AEdgTsBt2cj8wHVKYGkdRQVL9ApVOKf289iqVzlqvcuo6r/EW/fPLGGoUa5p
ut3EA75VCqHmF2QS2PIsaNsjVMDMMd4CzO7HYIYSbVBrCeMBhFb3FKHMegdygkwV5y0pmlA9uVTd
8TbLJbb4yhEW+0jldosZPSasiYL7RMCyqwrXycIiu5ZfstSfTqHwsLUmKQ5RysYpT0G+04WwLalv
57BvpkJ70bruZoTHgw//xbDIJpy+TkN5IIc6rnj2RRCUvYVBwtrx4HnoQ9hu2Ah1gUAzIholKD0y
4V7lbYw8uiHwK4Qtv4Q1mvnt01lVMAe24/22Qm1KGuJyIhkm1Ek2/aQuuQAkBXxdAxrYISdBE8U4
2brMLyckP29geavXIEtElo99KHZar7pYsVpEbknIOojHxPU7YTgAIhX8HrnvnrdVZsAwME11PvV+
FBYGAJGCphBdz8duoDsoTNlC08TcRrGn9wiF0S2W93pcB5gh8NbFKh/WDHlUoLz6PfGy/izD2K+E
P5q1IAileYIszSsFiRAStzQ9Nmmq93Ht3D1Ssew1Tjf/jD51BFdkbQqFrfATxuZ9vm3jWkLnBjza
dZ2Dqp9Jv3e29ccC8B3XlKpFDZCvcSZCuOR59iGp23VnRz6B6wKuCpDjsuqJ63db3w4nLUj/BLeV
ur8ntBnOLUAKL/GqbZY3dvLuIq+GkGQ/dgj30eKFr2IQ6W/tJd13P9M4flMXz6fWIVnuBAba0C/m
h3VJw1JBgOjBpobvWRLql2kl06PocIBw20dlOMYuheMdgQkvzyBLlS+j716MFHYu4XPLOQBs60pO
Akaw1Yj99jqPoivrqQvDSrJN3FPis6iURIT3qYgJQhHhJqqYE97XUDoGBnA7RL+hTuHOkZ3GO0A6
MEhriatMyvWUy6ATQBRxCuthObLf8bjNhZpY8k0DQZdza00l4zR6Xmho7/qFQf6sBmTHK+G9zX7O
fuolhx6X6pBeQpL8EfCXRRZ05svOI+OhU2MMG5i0Rtcwbuc9ZTWUiogk8La3vb9zLVTQchuG9mGG
siJk61DKEjq50syanWFVsbmiMy4YCxkJJDPWtvIZ4tBtpUc33juoeOl8cU0owWCK7SN8jdyOgO0I
DGDmujfZOA9/nIDjglQ+PCd7v6+CGdCubpiQ308juiTc2LAQ49hD03rtRdGPGhGutYskRUxAI+PM
X2U+GdzxgDztKGNIKmFGUx/rdGTnttWocNaFHcco8NY8455f2SAUx9l2thoTKW8jVGUnvN6gsEsW
7NZEKOBfgu5usgPb65mM+QwSaI3kxR9vpiDoCyixiEOTTdFtgoz0myEQbzzSzZugjNYOjyNEC6q5
1uSmS3BeAPCwPaTNvDzIaNIkn5SGT4Pfgbznawco29xtB+hkEB+DbIb/kGZ89Z2KijTw6gpS6+LV
4wu5jSMFXdNxGMZ9l/XJLmq1wdmOFCSXgGkUU5h0eyYb/xTzle8NTPye/Nobvjkk2YfB1cMZEG4u
cmRgvARSkicgf/XjUPaDa4pE+ea9BufkbVRjX4IUNYD1E0NtPjfYuLshCvxzVvP0n95ImPR1vJ+L
hiekQG7X3NB2qitPaHPBJkHfuGjdgr/o5/oV0FZx4zxR/xqY9WEzxcY9dyKAgTIPyz7VcZk4fCT0
PZsH2y2uq4yqk10beuoYgfO0j+cguck2AaRzy8PdtugaVScPTrWfjG0RRuvw2sz9+MPCF/Nd0Db5
jvu3XQHZhvCLZXAm8QLPq1Coi69TX/trHqJbsBshTVuGvswOcZ8sb0QF8RE+Re5l8m2ZObeZXE+Q
50xR1gWWHedGQMo0Qp5UzqJrJVpI/poVocdU2ZBu241N5Bhy4uByU4MbSpR4a26aTEGZNGw15uY+
7K+mMQNh0TN0V9N6uJlSM1fLxlJTTFClx+zV69r3i2JRvx/XAVUM0NGouiBN0EBXuGrbKMl90kFO
MsvWIktbH4mrFl94O4/fqUBGWoVbn6T3rRJieg5bQJLeG4yxmqpDwdwWvhjdF+AEwrMYuvCQumzM
swlxXk417M7rGEzD6ZkMlFVWh0mlYqHacshkcGRhsIQ5x0uAwdZo1A+MCmQeSr28JWkXl6bX8RGZ
2Aw9WSPHl27toEiQeNsIDC4GLq9uDJKmrHUSoRkyZCDMmoh0SOgcOcwr5HQRyVK6WzL2T+h6+YBc
ZcpruMeH5cUgLS1AKbdxWbODRn0gH2QaGlW4mKayUBB4NlU2tE1WMtUD1YiW1i9mlNkZPWRIbDcB
DdfO8XwB4Dyn0QKjFAa90iEDyy6CzvIPECbWfbdNfbHiJT6F0Od6GTlhJbTPIwQhmJGcJXo/uRaD
P+cjNKqO67LIu+1iHTD1st8BpeW9abHaU4Yc7QTNr/omNSksCKUPGQ5jaFdqsbQHQz2xT8ekvx3W
AJ0W9NEdbGdi0I4jkL62zJ0csu0cDSBMCevB3XHURmVkkADmvPaDQ+xtAqsRdRH4elqKW5EJUpGa
T3vPgwhOs5B2x0hrb63ezAELOC3AaxmqDMaht4oDHs3SFFqI8bTmEEMz7yMPOuRyW78LRaAemEkX
fF/XiQox+3moUSqFWW+e035TqFl0fIiBdS5Yv9CdFAO9nzIWHnXIgMcNXMwgLbDYSsEQ5kSxhRdk
y0v2fUuwTUHZ0vRGeSw7yElrOGMDATUua/sClWv3Hekjf+u8dYWvEI7wUjsI5ebJyu1dwD3pkIGj
jdFqQu5Fr7sbT8/TzYCpIU7opWl2DoXpIzQT9a/MeAHN09RP/2ml8cCgRWVdekPmL5APThCVR5RI
cwqBFwTi96zhtywATjuRnS09LtDkGsewgBKeqJjPYT9OAGPAYAdOshAZj8q1zlZw0ShBkzFqX0f4
xGDY1xkUKnao33wq2kfspjrvTdDepH1cl4ODHu8sNl2Fl7IsB7iM2xyoBVai2AxPcxBhKyoNsZgi
6sP6HTmUXwEzl57mzcIioYP5yuRJKPjISd0RGpvHFKrz+zEJw/OUNuqmj3rxI6tROenNp/sAyHVQ
XjrL9ugjpkdrZZhHPjfvwRZt+5Qw0+eIW92dzpx/7oJgfiLNnLw2fR+UvBZRU+jej09IBP2j8lbc
f7qO+1WgzTp5G7lBXx32Q3xLCooKCAe+r6FDlxqbd12TFrLGaA8nhYIcvvLIz8x2ODmZhCgHAvIU
vvjLGNCDEYwehLK0mmAzk1VsUc7mwCt36IGk/UAvVd2yFqiQs6rR1t5guy57GJ5ttxkcxvItMe73
PMXN3jVNcEfrGF8sDcP1ZtIufpKaTmfVgB6BCzHkpMwz9sxRI8liHlEMovMX/wokILdopqkVk5so
ufdCTCw9M6ew3U1SIAIgfFx/i/jaPsMpYUlgB6bWsEyCeiKFIkb/TinvXtAXS29tPcempGEr78Hp
tbuWu+5euiYo8ZmShzUIUxyYvfpd66x/omOzlItGdYPhaKwqutKp6mM+Vj78M4vNz/wbaPrRg4W6
yW7gItypdkApFFiFPih02r6yuZ0OyHKGB4ZAWlGgRQ56VvVP3sXpaQCz984xa/eMROMxkqN8CfVI
kU9g4PIWNuiXCtTtcNKW0WEhMMyAPL9/o6lvDzEQHRvU5zFqpjiOf3tQJ0lyvk1ElcBvhw/MUnHw
dYuMbZOo4HM/bjzcggjHvO684NRMwBHPUcD3MV7qrSVZpvNGNh3PB0Xru8nLmpKl7bxDRhi+j1Kx
tazBa0MNNwJkAGz/k4sE79DeizDL9bDi95HftWxPprX/hyKHOlEu0jj3a7rdKIemWDEbQnYmAWi2
s8J9H+zUB8CwkWm/rkn4hRmrKqdDbUqlZ1oQ7Pqn1S4oD430v/uy2crL7RSeQ6hhY+znGXxTD7D+
7m8ZiIOlF3QZ1D+9374/rbsVRiavakn4zssG9QYwf/g+jYm6j5TdvkEPH51Zms3VDIHu1wFJRiVF
3Zd+M5Q4xC7ckMwc6Ga8vY0TEh9WM4RfyEhAaIDRltoe695HP3axAj6qxKIjDyJp/JpecrPaq2Ha
Adx/NUBfuTRepncLNMAhF4vSbrPQ88xRa7sX3SxZ3nuJ/8NfXXYMIcH4KPU03aB1IS+DcrpDKZYd
NEN+plo003ucY3toEFysO4U4NajyTAHwTbxPGjHsVxf8cClLnwaPU5x+eJq+RrduaQf3I0t1fbug
nwZbyGB+8Sdw+3QtCI49pu8GK6dyxhQwzyBbhT6uKg1BGeQkXYuGoOUagCX+jnltd+tFCNeRrW0R
jVt6DgcTVOPSt98lD9BbwEDjVvUCcb4HngpfsB22fMM8ZS7QL5bVylokKhmPnhAY2M4l3oDcNZK3
dGMJsl7kgc+hVwOhhsRpP/TSHbnxkwKlGCoP281IsdEHjzYW7lu9JM81pv8lsg4cq3prK+gZ2Bp8
mDQrMP0Y7xLdiG9wtoaqdZNgA2dcFGHskBDVpq8i2wZFqC7t+9F+zYL0YmTo97jyJr7aoZnvN6GC
l8AlX9fJYxUDXe0rzKt+W9/b8m5cRVK2FPKzpI+TEhP439EmzU+IGaAhZ02CTnOmq970zVbFKSJP
joY7xOtc7KPTCwXUHeUZfXODcC9qa0RddDrpUchFXZZ3JLNVE5E2j3WWVqJBuExTtKFj2KEd196z
NzXwjk9xvWH7L0v/1K/NuAuZT48aWUqFY0ze+gtl9+00De/MGrev+0juYec2FvHFPWG9+NaMq3K5
QFYic4fkfZcGKdk1G1p/SDj7O4s0MCsJPFILxlKviqco26k+DPG/mwZj0GYlMlFapUQDhSFiKvJp
i96S1tiKuwGEwtiJijimHyczyfPaDfBn2bz6oMYluwMkYq50hBS7X+RQIl3Ve7aMOMDXOl1yxqj7
gpwwuSPQ0vmtbZ+h20psblyyLblXZxJ0I7jE1Yn50dSo3/Jh4clr0PjPsaV8ribZ69+ZF+ki9Ldx
16aBultCdOw70qmv8dak4NzorUrgx1DCEPKyvFCd2FbBXA52GQV840weeDijYtm23zjBv4PNdbzr
Gx+MdDMt+phtbNhHDMMnD/2k97aN/UPtQXwJI2kUSvWkmhvYSjQ3C/qgeUNBVUnp8o4YhEYBA6VU
CLW88D5LdiuaFYc6Jskj6DkRHiTF3KX3oBUKy2N0SPcWU4BL2FYWBi6dH/4DNF7w5s0suGeopPaD
F0IcWa9w5nQY1LTg3Z7DDv1oTI9gOAGX6dJuGHN2jXnjRLkSmQ6uug79Tnq9f5p7o45hmKaFQG97
382ZKbO1XQrrDaJkgupDE2DVW4kWQb4hD3+inur3vm4giQ6do9JmTp6GHqVk0pnsyGKHTHrp+peB
8B8YwcjKCN5W2RJDBARlZ+GZ1t9bt+KzQlZqymNkVndYoUHZIRE5blz1oPmQ7cR0Y08dZnTltqA+
FazTWMXx+jDVct0jv6Ap9nY8lmPNOAyvCdtyo6bmwKZ2OUH8D4DOewloeZrXI11+zGj9F6M0W5Dr
RKangEbz3tZrm2BkOScPQBG3TdHOQwKAppl/KjT675Oom6BwjQZrnbc0DO/ttmJj+o1Su7gP5Pcg
3uIz7ZfgHq5U7WlOCSWF0T0mVW23pNDLoR48bjHXoQJN4JFDxihYMTtTGt3MppaiSEQgohxCCGnV
qyR4o9kKarZw8ZJPOIx20riwTLlBw7BBRIRnnyI7T6r5ezh6fAccfVe2FkRMhfTwq5ldApTTmHXf
20gOa+X5SkSVRY39D9gsg6t446/nrAtbaOoQ8k0tvTzVqbT/LBhxzTmBDMltOkHiJ2uQVKJTGdyG
8xBjPUMrB4X+bQsb5dsMpk+3YEdDHYVicJaUEjFyKmNMu89NS+u9XAIuqqiW8yGaZ2Q7mFF1x8nr
u6qd++YIUzv3bW42bQsup7EyQ2C+rzw1X21D7J0Z63jncRLuMZkieRyo7nbk63QnIgNp+TaMnwMe
e34pNUR6U4EiAtt92Y9yzm54J7ZH65asSupt2wdDA7/OZhRoWM7N/3F2JcuR8sz2iYgQQkKwrdmF
XbbbQw8bot0D84wQ4unvqb4bf/qLIqK2DgdQGlKpzDNku6nrcT9HdEKJtobEpcyLEyp48VbkmuE+
S5xoHct++CktAbI0pRlBYWzEvoCwTviDdbWzTeGltBdOmuxS1+ufCxue3xXqJWshNcSzBCmfCZyq
1jJs6C4ivv8iomh8FUnJ98T20of6l2db8hUAfFiCg0nbgqJQO3V1kt0o5SrF8lszhVLrSqEW+Y3r
EEtHiuxe0Ezgc3W4s22q77M0w+2NyJafiDvUH2h70xFXDOp+R6LTw4/ES51h01PRx+s0ylDqAEM/
v0dJnKf3pI8rgI0miQYyU8Nz3DSoGbjccbdQOMxAmw0HhP7eybeeI5U+eGyMvoUNh4JAzTNvN6jC
uh8p9s3KLu3yR+xT+bfMSTIBR8bDr7j7ZBtAguw7LpoYfJ622GpAAnAfmphG05n147r2vHNnXsZb
znAhQhoKEUcfXw9B96RZcZ1ODx7MgX8nsWWtq2ywtgMUYuJ1SdLxMdN0+mKTMf7heeW0n7xppCum
xhxib2hhIkok8tSAfRdoJ/7uTWW2H32e/5Gyy44oMck3Kh0OAV0LZZu+gtF1z9W3OimxPnTV/VXY
d281evwOfACy/uDHyBB6lYlHXyXOQ8Fa4F76rvtLRpKB6ZbXOyvB9wGHAjMV1OnP1DcFr7pVB7k+
ED0Lndu4pRbTqc1jXPgSnIIbmQCss88tJ+5ApBZIykJCyBbCStJCH76oX32JdHolBUWbJPGbkm95
TPpd3KGB4k+i3/a49R2lBvtrlaWW/1vEbvGS9+B5QLmqb75MVTl0uILrGiZRTMLoJY71obeJt65g
b/tUZLAJWRcoAfwScBa3j72WBCC6pttq3CDQ6LXARwaXH2bdKGAJCLQA31hs6rRAwwvwHH+NSlb0
PDHcfBNYI973aEV8z6DW+Soalj8gaeq/5ELnUMTNik1fok3hdRO0ePqW7nsP92mF+XkqS7vY4lzP
1x53oudGh+pJKPXg1tWfGP4Mp4ZDT6rNBnTC4UK/b3FTWRHNiu1YYZWuYGqTbbiT2H8Vmvx3TRi3
jxMOxg3P+mKPcnC1iyLlBzqZcMmGIt3WGgnEuRzeoa7jVn+x29Inu/DVrgm5eqJqSu5Q0hFPFM2P
dSvTeNM0FWoHtO1RI5djuEXHSB90ApqCwqX0HfTd/BFwShVEIfzr0eaBjB0maOtIDFszTGrTasAg
Oqfs7tuOsmfHidhf3K2rQ120fQdUioIelQxRm3JoSJ+VTdPduQc9ANeRgQBLcQdBR1SgbgtMzdoe
k3xLLKzNtEcFqnKz+sGuUA6HNZhdbUAKDA9Y02lQuW20axzuIibD+xlaprJFSl8KCC1tIdHfnVD1
ADda85XEvfgo0NBDfwmn7tCgZs5iZzyh/SFXKurT7wTZq1oPPC8+yqz8q/Ow3mdJ7G6rFCvoOmxu
DtdmYCQzkTW58AobZruAzhQl4TuADO5Ta/RwdQxvQ6n+kz74hG1jRegUMZAbgYuyYQH2Eu4IKNrn
2ev1XzED/jOV/dvOxn3Tb3SQQLEhXlmFVwE9Rb2/caaXBAlm0Iumxr+eAP2qBjoEQ4bb0DMi7vVv
n6MvEwMWiStFZnsjDP+atIf5QYZraBqvzw3SJIe/a9IcxxT2UXTYOwCK2bF71wJQZ9ULwMm533Ve
GZ/mBnLLE4IbB/q5eGvFSw0k9/UfNjcpBiKziOBAnoGcE7AcHZNmJa3fLkD+1x8+s25N1X/UyLIe
gRRsYg26mt2uLZ5h376oW3wRAfM3Vf5rCweDipIoGHSGK+UhGWqUL5dU2OY+n/530CXslUiP5nEw
odPHIhpucCvdcWgGrQgpl1xf5t5ibG7t21NNojgKAHRErnMiTn0IoSaS8GkhfMwtHoPFFPktk5hU
FWS0Xkfsdxm1m+sTfPHJSOIMBQnUXaGdMfT+kaTFvnKyLRnbhWh0kaaGR5///mnFVxQegkPEz7eh
5gT04Z8uYnzVjgWuwrSF4Js3fLWmaGkfXJwFvM7Y33bdoY8XQvPUtb/z6Ina3rpLv1SttYDmnRup
83s//ZwetxIoB7csQIejf4iayg/sxktuCQ/4emMXy1ZVAAI2oNIM6TGT3mOOgtZtU3z+QZ8+fAQU
LUE3yz/yyTsL1W+tUtziK+fhs53/PlvjigsLc4DlKw8gE9tRhw7dni3JiqfrH38xuuEFxg7O4ZPE
FHrigSzrk5PgogBW6J+EsO/Xn3+RZoTnG3u39Us+ht1YAHCuY8jDVM5jRM4phevZzl7ktXyW6CM8
V1PtPUyVKvtbIitebGxpN7K7YXLBKPG0BE2UWieFxGOdqfM9mLX2wuRflD3CDJlCml2ETIz5IEsD
4LqPAUahefMIQB1yyvFjLOrAZvwlrOShsadkIaj8Uwf/H9g7Xmps/cixS2o5UOb3xeicLNtHJglc
37RB6R9lGS+qtzCoL3a5JTn0ePxkw6mId7B0C1eKMmvdWSM7pO2oAKMJ091QJ/IRYEa+R6ebQbIO
AlLrMEYFaWXBCeovivfpiqd5mx7ivhuh8cP09ED7Ov3q5FV/qH1IJiaTNz7Y05g9dVDX27Pe7u47
rx9fYHSBW0Xb5wyFk1Ju+wSLeIvPLV4TKeHdh3IpZKHGukRiUKExfU9Eqp9Zm/tr7o/RLhxdd++H
noBlKq66PqCLSfIeOs0b4NfWvshs51eB6toB/c58X7etvJNMnJHGHg1sMDSCIXSnTeMovdZZSk/a
l/k2tTpnX0QQ1skmlgIeNKG97lscXVXVjw86BN467s5ZZJ67T6nLhl3VcFyVRq8XuLvprNpno0h3
gmvnHoBTsnRozGxKU7N9QK2OohXjHYHKP5cHbagCuf2CBMVMnBVGnC2cARABsIuPAkk6yJxRvMRh
ntnrpk4719ya0pR5R7tun+qwkxseWq/TEHVrgky26attz9I7G2Du68Fl7qcYkZdnaUI6B6kZ/Nj1
Dkq8MgDdgy4kBTOzYFpgQHovRUvI8o8OGtSeF29d/gVReCE+zXy7qTI7kGjwGjUhPqHYfOcXgG41
A3MP10dm7tvPf/90JrVS517LcSZ5g1xptHorlMV91Blve7wx8JZV1wLy+FMA3O/TNI2AM5N+pan7
fNvzjWNvsCMHTX98vq3LdRmGm7w6Jekt7kHnkG2ceaRDXT6V2AEhGuH2oUsEmlN6YWhsZ25mjSMv
zCaS5rQKjxOcKOFz4chH6P7vfPTzA1EWw3pqmQvMj+Vsep/9Soq6+FAF/t+SOS7tSjtvrI2dzRif
a3vwMsu3wPtFuzKJcmAV6uQtl2jbEitv79FEA+qzjLT77DsA1TZuIh7RDez2LO7tfWj39cYhsb6D
6ingiWmbAIWGM/CVRKG3w0UMummk/wmZ7UQCvjSop5x5+c6rZP7ddxN1RG0YtjJJxV5GH/Gt8nxn
h8YW7vOA2T8KBKpo3fVjHjCIMQM8RwSOWFmuMmeIVyHLpr20ehmEkw3UvRXpbZ/a1tEdAExA2dRH
OXhkP1HCG37yIi+PJR2rv27SVwBC9O63OLHdt87q1eNI+unkFtF0bgDwDPXyfNr51M7f7LbuTwpW
zeDVFxIkIXv8KnPhfBt8uzpZWqI9Abxseg/HJX6UScdQjknsn2GZd989xqZyE7bEXrOJlnvob/Ev
Ai3Po0XZeBpCC3FS5x/F5AKRrz1qHaSqkoPbDeN741rePfG5jW5ZBmgptYFvwSZLUMZjQIrXPN1m
qc5BcdEA89VkXCXAaL2e+W1BLxsbEHY0BFejNfJVnFDQL9wRZRYJw1XQBawXJ7XroKMJ+2Hxvvmw
43DcQbNpuE/CDBhn8KnvWdoBKATq0x1oKyj12YAxtbH9BjtKDuSCx+L7XEgE4LhqVg402V+t2k3X
fd45ZHHFI6hcyEaEsVvBuCpau7ORAPORB5BY7N+AUotfJ0hYAZ/WluxA0Mp+TCZcn1nZ9BtQj1CO
A83kIQvZuEUN9xYXzvPeNtK+cICJdE+Uf+ys+0HLE/Gte1gMba7HpZk7kCmxPAwaGaVP/KMrf4KW
sNYRcMDuqVCL0eMcgy6NpZHZ5S4w6yj2eDAJGY8u7harokAzq3X+gqo0rCY6divA0mAQ0/UvhPpf
Rz/t14lYUm75RzT93w9gpozmJDSamGU3BhGcXI9VObanZhr0h0ejdo3M5DfJWrahES7LDnOjbVh2
wIO5E0hcNJP6PpIhIJFpg+MyqtnCcXY5pDJTFq0o3caZHG8EqVRtHTodi65dyCEun5TQbPvvSRki
TQccEEkLn7660XBU/TdVshsUvz3CXOMokC4Q0COt00CXaKOiUrvrATQJXersblmQzFTArCOnY8Bh
6QDIn804/nGnbqPEr0bFC5t7ZnhMTTTgVWSFRMgJLOo+6TaHd4gFJKKVLQz/eV1fWG6mCmaXc9Ui
m9dBDLXj54o6EUgCDIh1G1Skbe3k6E+gPQMZJwXT7+uDdpGiTBg3Khk6QlcYt8MkIBFQP/6UbdpC
7ruu/yaqKESRv/5124uMVDtnFa5ecO0ILP9hBDkJrKWVFaKEOIHeGcYLQWluCM9T9ynXU7Dqsove
T4MoR99+hXZh+LUDSByt5byz7wHsUPchcZzv6M6xmxI0ZkqoRYKQtAXoIyic9JhnI3pML9G4pGE8
t+iMAwXIYGfI/G4K3NE/AP5154SAiNvOglDI3OONLW+l6KIPnSeOZZRvshpQ5H5jLzmezoQqbmz5
Icv9AWZMAuL48hm01pPbJHfXl9NF9WyEE1M5DYxqcDCAX8Soj49RFp8AG0XRxtrbmm+93n/pqxbV
gAaZV2OxfSv7hRG7fO4xU1UNmWdLO5FNQaUq1BvATL+bpADeNHEouJc6TRa2pn2egwvxwNRXQ19w
slOtcYccCmcfTlZ31w5WCf/Y4j3MsuLUhTCFVlrTA2Db5apyPOvUA5uHi73SS/ebuZE2Zdio11cg
a3s6GIm+rxpIMZQ19le4ywoSfoMuGMO1BCpw/ZQB2U3T8K7nY7e+Ps8zG9rUZtNZC7rygKBeg+Sa
ju8O8UGPU8eh+5DpY58sCQnO7ANmBA7QUvpBlvkEk29VAhzcT+t2DG1Q84vbwoQp1QZM68CmDlIZ
bPwxkN8liifCWrLknft8I0rIFpitLq49MOzfhAsGiM1XRbjkhT2zj5kRJIidZl0eSe84hPrJ6f07
Xsob59cIEdAfQoVYChVMELKDZ1Qfa5Ska3vtZ7r88NqQ/KClNRxdOjVLieXMmceMvJgVPtwiIkhJ
TU666siPVL/73V+r/SWSP9dX7cx0mHJtYqAl4ENAmklApk6lBRaZhTo4w1VsIdmZmRJTss3jYJS4
YAQFpHXekYiDSDL8uP7x/8SALsQdU6+NIOzQosFKJdCs2IDgOAL01bRryoY/mQBMy0o6svZGgssk
cfO9HFv72cPl/MiBeXgAf/DrCCjiXQfgy3eJdvtKdwpkUjLJLch3w9dWJf4WvT5yUNDwWflQ9F5y
r5kbeSPNoDZuttOApVrw6QW6hQFLfcDyoiW/n7nnn//+KcFwBBQPazVMQSsjDUWKbkuID68wUHuu
jz6fOV/+lVI+vaGrpYDsZaHhFVZbP4o+/q1ZOnwB0FFAn6uRfyuti72beQ+UeXozFk16P3rNAPIJ
8b+XcBcFQlkQiBvm2VMI7t8PcHCB4HXC4UG5YfuzAjMDUgAa9Hx7iNdt6zigS+W/gLdMt1Ne5us+
k6DKaG2/U5lna9Fr/Vci79hngNs9QxGg3rbA6dy5Azq0DaiV69rv20NJdRkQ2/2IGsBMeBlWh9BP
UZMBDrAPgAWMW4gR4NGUOkCN+1715LLqGIMOylVFnooWKjDaydOf1VDrDLBOmGVx6Oesayr9ceFY
nZtBI1T6OVWV5zZVoMj3kQAiVHWbZvx7ffbmtqURKYdMN2FhVW3g1HApw68FvA2qLTcJeUOM04iW
yi8TH0KN7lFhMl24uvmWdeOXG0FReBkQQnFEAwtSLLtwArvNbZMl44+LDnhI10zBOzecCDryHiif
frFBlWQVN/amr18yRaCL4K3ATLpTbDr6NsJFlg+HVH7ptN6mYFVV7bDXGkRNMExi3my1z06Rle2z
CbUwHHQNmjB8CbsxM4OmcF7Ca5SktBJHq+TVSrsTCJj5bSmAqXnXQI9jBChMB6rsVr0NdTf5xptx
KXJcThepEfp6qBimNSSuj0iVkgfJohI8IZodw7YYllT7ZjYPNcJfDPg0RAVaccyyg5qewXgtnI/r
W2fmVP63cj7FvcSXPE3Pj246uQ4VCCAp9Bc6yGn8KP0lKdK57zc2v4IO+0BH4h7ttDyJPn9vB3uv
crG//hvmFo+x/QUVUNJgJa6CFQpidQue6dR/ve3Zxt4fUDqskOfpwIZYVEx+1vkCWmlu4I2dnzMC
HbRay6BiZJMnIAa71Yr4X0iXok0YLbTaZkbelLoT6N1LBTGC4Iz29uyvQ/oXzsvXh8b+14e6kLKY
EncIuprbXjsE1AL1syZuewDDUoFED9qSteEpYCeofE/jsLalTTdOkveHfID0kc+mOHCSOwhZ030T
1dVd24Mz5oMq766lcy4nAdBLViq0IlQRwB0CEdyp+3HlQhwLek8lS8AmVH66V6DAfQ9J+03FwPaB
56G3EanaHYFm0Mb3LLXD8ek9um5jo7KCpgQqO21ef/N5WKwFo3m3Aa+WjvflkEKCAOC0egvVEP6S
gfawoWAZrwAxze87niZBnoj04ACbv20apv5mkUh/DjHkOwVv0y04ASnO7YyiK9uOL2Duc+h2hCFM
tRuIRz1rOwLuQFQFkMeSR0UwWJl7V5GY7yGLF70o6DHdpcoOoX80CMh4xOMmzIryLpcQLakTDhET
OKWu5dDLg51CRtlJMnACAWOEcz3r5L4vJNtXoByVEN8HthfXEer3EAgJu/u+KkB9VhwcscqxqiBy
aPcKxiTYnMBjodESpu7B4lp8tQD12Yaq15BXonrrl+AJitLtXyDjXOxYJLxt4wygvgG2n0LBaazZ
U9rbLhRgUv7AhkTAIDsrDpk3OG8hnUDMFroD7NSy8/EjL8YJkvETZGNIkT7E4DpuW9UVj3aZlruO
EfI4tFwciyFkqxrRCUKZHS3RwWlH6JvVwHIzjzrbqJHpCSSz7AHKZ9UfqKahLVK1UwZRMViaN1sh
3OqQj8I/UkgMPDVeAw2r3O9QxWZxF21toZ1oW2hg7uEI1K0tXOe/Nqq18J2MyFXZgaf9YFEfSPO8
KtIY9BIQsOMB3nSltuId8M3/rgDAVktQRx3w9PZ23Qxb2+X1S15S/ovXmmzzMFSQ8Xa96kyw8JO3
NgZDZ9Uoz3mu/Q73UVQYQFPLp0m9TL7uwDTQYDlA7EtilW5q8WIxnLWOb7FfQyObL3lvJzuSV/V7
GiavaGHoPW10ye/ceADZxYvRVZ+mft1FRXfIKvV1ou7kQg6uA9HbIqoAfxHAuXXThg6HhI9mgGYw
G3D+LJI3KRMTZp/j9aezhaGGBq81IJ5Sx5LravL2uUPf+Nk55noEmotuxrkC5SR0JaG5F1CITssR
V4OobbchBbj8+gtmbgX/akSffgG4MFSyxOLHGtgayLcN7RH6ZBDMEAKszDAOF+pqMyfYvyLQp/cU
o3abaFIpdAxl9AE6GzwJm1jQhRxl7vHGWZOAzAFqiA1tRZZRmMWk5R00u+nmpkEyMcMW97QG7pwf
oeUBmY51hBSI2qdxIAufPzPNJmA41g6sojPOjpCBoCj0Nf5DunTtnnv2+Xj+NPJokOeKehlUc4EW
f9IAwv4ZrZBsBj/mCzn+TDHtn1j0p1fQaBzTOgUEqNOQmkpH7xsY2IhpdnzIbOsRIO597na3pRW2
kY76KRhHPQMiPuHfQBNYt2jUsQQ5XQPKRtktHP1zC+o8mp9+EuifPJ50g7pdCW2K6iwB3Fdj//P6
gpoZMGL8BkiaovgEJnJA+aQCacfgn8YAzZXApm8ZNseqnnq9En7RLgg0z+xzYvweR1RC8MJFNbWR
96UNKqNvd7+U1911+S0uwriLmUBr0KL60ILQQxBD3vidU6VfurqywDlK+daJY2sh5ZvBAzITcI1z
FqVqWMEHXHigj4LKuW2FcNZtYkNgLc1V8uanwg+qEEwkoD6i7dC2S86kMyuDGLl4aUOsTnkAI1Lo
BtXqTAr10W+6vjAuw7sYMZJxGuWsaMcc53kIOdiwnfqNIu1v4ofrwcMrkW2mij5AAeDP9Ree5/9C
gkuMwFnFQEKMDiCcDhzED7arDpaPfBT+vc32ljd4JggrjvOz/paAuxqkecsGRJYIgrBP1x9+eTJA
YfrvNrVsEAChOdYGA83uU5riaLR/3fbo8ys/RQDp224NJTBx9B1UlsS7Lhe24tw3G2d6MjlRkeI2
B9lsd+WNpyZ6u/7Fl/e4Z2KuRjWQrE5z90gH971ogWRCa3kF8ZBhRVS75DE49/nGEuXgN0NpT8Ko
L8zXbgK+iXLEUh1g7uHGcmT+CLM6cLaDDrcFaMSAgZ6WCwvx8t7yTGBJxR0vl1Y0BQ3YYxMY7ujq
70Fjui+lc0JxYCNpt6sjd+HOfl6C/7uzvH+44k/rZ6gzllpNOsEB98FDxydy/maLMNC5hxuHuh8K
zyKgPQdIiVe5JdbCqVaWWoIbzUyDiV+1at4qUnlFwB0MSZnD6CxNlqyBZ5apCWFlOgQDsXP40Y4g
Wgt+qP2Xd+82SLI3bQNx/lGfBj4FK4YWpK0C7Z0qgIgBjM+8L0TeFnJMJJbWzAVTvqsCANAT8B3F
b2izLOSBc0NjnC0F585EWFoFTgqBm5R3chtTNPQ8mXi7BFXr6yM003r1TJ/QIknGtCQgiXdl0wTQ
IhvUKlHgUrPEK/cKwhDIobUKrIrSnctsKLnaRTqhsUjSzfVvmFtixk6XEoqXPbbksbeKLynVu7bq
X296tGklmscDbTO3TwPQkeFJnqg1FDTLhdV1OXXzTAdRBu8TWFHixq2hDF1Bc7di01Myfnf1CyS4
gdpvltbxzB43jULzpIeCOcCTR0iWjeveL8maQCpzhZ7IUs9iZr2Z9qD5pHJCNGVHH3DPhECS1YMw
ZvfqlF+uT8Xcbzj//dNeTNwaTOEKR1LOXBS5vk5tsrHVEhh+bi6MnQ7VLQhzsr4KipSCTKztbheX
wjvkOWvOPH2gf6Gak9zlXS5+3/aDjMNbSfChIY3qHmu2VQAyTWf+7qg2158+94OM/c/bLNRj6LKj
lZcPmjA40kbvesx2PkHtzYqjleykvfCyubkxDvKkiSxAyl0OjR/QPRIVnVKR3NtptNhyvHwCmsA5
qHPL3Bf4NWfGCLK0e9K1x9q5MYKYsLmxV5ABo+eLbYUClO8Bqpwdrs/DzNCYiDloHCsbXt8NNPqc
FYDNa6lf/BuLOqAz/HdTeE2ZpNKbsOsAO6cDlHFKCApnC/fjmT39r//7acuJfurrIkctoTlbLn2R
/h8qj126VJGae7yxo7UHuiX38fE0vSs69uw2Ct0slHiL19vGnv13dEa7b0GXE2PQErl3Xfddp8hr
oEB5UyUK0gX/fX4FUR8GNKqNww26cxCrrFdnPebbPt7YwFWVArBHYNsk4vyxAGD3XAKFtO9ihvCv
tHghrTSxb9ryus7P4xK4PYCFhZrGk+MBVVShdgwzBcdfdZ7rB66AtGkz0egNbHowMaGOcC9EUTy6
fQfxTjvP5MKBOLMgTFSHxi1mhGoJA66g4gB2xr/GmkC9XZxIBsGe6+M695Lz3z8t6rbIC8hRdDxo
CrQ4IigAfUkKD/CCb9efP7fhjWwEsnlFlOAADIg1gJT3W2WQfiA3pnUmtE9AkZbgQgPHpwTCCVBZ
8cZ+XY8MHOIl/Mh5d1xYFiamz2MFdaPIZ0HPp3UCK7Z66ZiYGXoTpscnN87aBh/vupuCfW+yj1Z9
VOFtGa+JwxuraigyUkFk3f1g7VtFu9XUfMn4Ar9sbliMaIX+hhc1YegGZ8G7FYwhz3qP0cIpMTcy
RqTiJeDMMT2PjCpWMry3UmcjvZ8NHxZC1cyqZEaowmYG79lJkQbAPzZjzhpkG/g5Luyp83FzacmY
sYp2IBo1GuzNqntsGASOc+hIQRwcuCPXAeNF9gtH0kxaw4xMg7Sw9G1pywPfHlcdbJSd9hUIgtVA
izVLfkI/duEnzQ2YsY2bNmmIQkAKeOUdYFbh7cIegm8SgnjX48TMejIBeF6Wp2MT45dAJhMSPC9x
shCAZibDxN3VOo9i4VI3GNDBuvOrptigbaeBm2rylc+h4wzfttsIAZ7pOQr7qSnsOdBE3jT5EE3O
1Pe0VCFIjIB75SKlUM2EJMchnmJ/4dZ8+fcJk8JNbKFsnUM8pssPtiz3JYMeYftRFPIlW/Icvzw5
4n8Y23xKwMWzm6DtE0iSNeFDO5X+QqCaWVomfE5S6QJpNIqgtvpVV7mAoEEqki/lyjM1bc8x9rqX
OW2mLMECKIutevhSt2RfAxOpYDgyoSEQsUcf+uC0WmTVXx4uz7RVTSGSHAIsAFVRuHv54iOZPqDr
uxqbB5K+O90v4j2VyVcCPyvkXx3/0uOye30X/evVXAg9Jt4sL8eMwl4M6Gvar+O2eHdtaHHVRbIC
lOkAqwKYnPV3YxvvZdn/GT3oNMWD+0ri6C6x+Q7CrVu7EcVtUcO0aWW9tKqQNbDTSxi0yFn5DC3Y
O1FWC+FvZqBNjNoAa5ZRZiUPYjgLhL1ziHTzdn0k5x59jrif8iIgjnseh8INSA0s8Ajod71EE5g5
3UxQmarrMW4KtJ5zNJtTDxLz7T0H4GsCLfL6xztzrzj//dPX90nh1ByhLkiZM0Lsqsv2kCjpwFMK
fVTWsvCMdbIOLfoHwBK0dnWwQId7dOEHfLCVO8KKBE2zjNE2Xudppw9Oj7bj0Gn11594spmEn2xz
BmnSEro971Nc9B+ubUE+S1V99A3uBOjAjUn83Ykof05sWYyrvqHqnsvQ3UUQrT9FNjRYeQu3srpw
01cASPQITT1o8C8MwtwMGvsepPSp0qnuwV9qXuMpgfUE+3N9fGeIHh6lxvgysFKlhD5GXjXD77Bk
1i4Kk+owEtH9inAEnEad83Ktkyp+Up0NOC/qTeHTpKXaq07GS2tpJnia8D57YPCEEhVWfwcrG8/J
3ovefYE6yVLBeu4F59H9tJJy+FqzsvV4kMLeLoLiQgl8Z299uT6Qlw8vjxr5S887iIBTDZ2R0nIe
gM5iFPBe7T9VA4fdGkQ04Cskoft+2+uMLMaCMmFqA9QUhDns/lAfvevKFIHZHZ9KLz4x1SxkxzMd
ERM7F+keUmhdTYNMOmc7ilZCwjnPKNx/wPpYQ5AV+tys7deiGiBWAgf3eOkIuLz1halZE7apC1+A
kATAKQ3rtqYHGJUkAIdXv2DWttAonnuJMZB5WjWWylo7yMKvMgOaLn+GceSqo7+uT9TMqjPRgVMG
56VcENTJBXtPLAonC6AFSA314kUNi7l3nNfkp5VtwQQo78CmC3Ss35NIDccJIsawzF4UnZqJQCag
osFx28AeDAhth59yXv/ux2EJF3t5BjzTajfkPsQ6kwKuo131q2ireAX1S3tdafpNkfr5+jTM/QBj
88MEDb02EUNPl0aPCQwtgdVZ2IpzO8SIzracLBU6AMfKMtrJBOYVrriPNbzHElRRAHmz0f903KXh
mptsI2BDNDD8fyZwW1b3Tqmf+pJ9QFl5KdOZmw4jkMV1Tso+qp0gjLQPSz8i4fJUVP7WO5+zOUQz
+s31Obl85ROmsEuZA0fZtpMblDD+OAw0fOij+AQXn23CI3eF3OKHq5Z0CS//LGG2WgWsvShpSRkI
uAR3rx6zIMEJy+sxX/g1cy8wNqEagWPhHDf9uq5XtCv25fDmD3eFaBZu+pdfgGTkv7u8cAH6hThH
E0zTqawemK6+xNI92HBXuz4f571wIeM2IWzEJXVN8qQJ3PCrK54qtVQPvjzRngld0wAiexWraKAr
tcu19cEta1oBIXMPts8vZ6p/uFb2cduPMKYB7SrWuTJmgYTZLTTLQSYau8P1Z/8jYlwaofPUfAq0
UDeuaRonKNJNtHlp6Og9OU7mAfbrjW8qnvjGB+Hmb1TXcCFwfSjwjpCFh8XY2eBZuSJeEXhpQjBW
RFuVD/CiBjAJZr3UB3C5QM0PCq4HSzn6Dpbp3jPlSh9d6OlCtbjxgK5urF0XdfKhqEQHcx2Xrq7/
sMvJi/CN31U2EHbMIAEQeAnKwdh+WfPkwBnxu+eW6jTWIbpL0ADeX3/b5QgmTA1A22JtYcO3NKh9
+JmqfkOBnsG17bann1f35zkqsqh0khJHlSqeeRMek8h/yIr2+22PN6J9ncETx7V7tH1Q0KvrAp56
30CUW5iIuaExgjuMwqES6kY6iJqz+3VYPToj+yXC7jY0MrxU/zs6Tg/nitiLCOTYsumHalrATWJ4
jKz8cbC+XR+iy6sJrgT/fYdGBxqe7g68vpDQv+lWTI9ZIoqjTaN4HVatuw+jOP9y/WWXR4yazKNY
hE7cCFgdjs6frJbrmON253ULIfFyzKXmpaRtPYHKY+kcIaxSrGLY1O7zxIN1D9Hfzn3eG19jrNkO
AtiiGaR9hFfcnZ/LAJoDaPnJbAsez1IT5vyw/w1e4Dn+d1oSn7KyKiGBGvfjsU+SJ78YFi4Jc8Nk
LFtRpdBU0RbAvZBPiyx98G0FIZf6NY5hPXLbRBt5CXoMcDNo0zr4P87OpEdSHYvCv8gSxoBhC8RE
5JxZWcMG1asBYyYzD7++T1RvslxJIKV60VK9FAQeru3rc8/XGTSc2wVs3lH8Z8bs9WPP15ZXYcFV
MckdLyp7OCkW6TTfcOWWIQG34OH6K1Z6QD9LzcwhAhRbI5Kwiw1g3/WjttyNBNLKPNDPGUPMY2qj
4jZyvDbfAXSXf6rqS+0QFt+Nn7/2Cm1e10mOQvy6NaIOIJ5oABMHhJcM6XOQOq430Erk0I8ZqHMi
mVcYBvSUQLxBzAD6d/cT28RdWS2f08na2LKvfcnl39+sETBmY4B5Ne259qyHZoLuMWcqggnrli5n
RT1l6lUfIMFXyEjNTuRkA9TuqJkGzs4hgQsD8RKazmbJgybGQW3Mb00j3RJtXQbrO3P8jyn4mw9b
nCy1ZwAjInTKPXw26SfAaEmkOlZ8ShgOnB0xvF88m8bPrUOjGvYKG026Nra1ENDg+J5mJqvPcPUD
6fPrNG1N/LUnaxPfJDkQUoNVn0EkAtwllS8ufNquD7j3d6bgMfw9EAwbZ1o37ZpzszQ30wzYanZ2
FLQQBhz652dWfbr+npWBrW+tZzsjSW2nJtxpC4BI+uFFXMrfEt78BpPhvrCWjW5YicT6Vnup4mVq
nTSOhjIJsgIOfB3EYDKo+4+5HJi6v7zlul4PM78OrhnDhCCW5qd+jJEEWpZ2w+ZmZXrqpQ94MGnA
jnUiSWR3Rwsq/QwU9LBU6Y/r/bH2Bi0AiGQGZRhVTREo0D5AsTsjgUVkuVVqtPb4y1B+Mw1RxwBM
o1ers5IqcDKw7AfuN56xcQ5Zezz7+/HcQdHHBNpwZLj9jrkGXA6S+RU2qVs3TSvTQq9fgP/kYo0p
bthzyR9VXJ6Q4Z6CsTTBJIIyD2WnIMkYG729NmS1+Y1KVrcE1cg4z2CAhIYJVGpu1ksABMoucT9m
WmLqRQwLsc2icB0UfHrZp0HFNxk4tB8ZTFT3llcEMFO3YVD7iiaF1nM6A6OM3WIG7Mj1N7wfAqlu
MV8kFbEUFGfnmfQnm40HgMX21x/9/liiup08OKp1a82I2w2c/C/lymPpW8vP6w9/P+xR/VyJWoOm
MpRRn+OB9mGZx18Ey55YBiE62BfCz9xi49S31kLahDbyqUqxkBswhypOVjzsM949X/+ItRbSJjNg
61ndZK1xNgYzYBxbZ2CgjMP1h6+1kDaVq7ZK8uxy6wE3U58m31wgZIX77DpAJjZbVJa1l2hrM+fK
NEcIqSNXWA89jDXGFhd0PeiAIRI+O5B5tu5Y3p/LVE/ZN2PuUsgR4kjyAVXKcCIobNcIFnid+pac
NlyC1t6irdr9UhsNXTDhrPkoqeePKEBGJblfSLm73i0rb9ClCBZOkaUN2FREbIjUEnAcQrtFHZmQ
sj14s5AfiuRUlyP0Xtm3rt14Uee53+yi/lQRcstTuhFaV2aFnmHlRtMo1dv1+cIOUwpXv/bGcWPt
yZeGe7PCwQiVO6ojMJuZgABPrIGGNUmajaevKBjpPzVbQ9sME5+qc6XUgwJheA87ZBdF58V0yusC
hGgs4fVDxpBihy1BDPxU4u3TroDcGq6p0pesnQ9STR8cD1oMKHLLY66Fgo4imxPANAFNvh3dooto
2rNzAeO5jUi/NvC0eJBRYaZILiATkBhFCD/B4UfFabfD4V3cOtIqN+LO+ys81evAKPimcKkq8UHM
ACu08+VUBuaFwUbOXpnfVTijXJ9KayNFW96tBQvmIAvj3I/fSGYeAeH9YKdoYcDr8mTEYMDGwTDC
sWkhUAHMPH5O0zm8/ttXQr9eDoYtUM4sA5lKNmUQ1jTAMu7AWGCoek+mjRCw0hO6WNcty2Sw4OJ9
VvbPtgStHYahdVL7HYPLoXGDC+uNj3mfDGVQ3bbSkqxOWA8ZASwT0wNJ0vyQwCjkFxzDd0mKGx9Y
WDi4vVIKiDNLPMSOOxwK052OMfB9x2wx+42fsjIm9MsYcOvSUeQxwONcQu0SQ/SqNgbFSnPqzAYK
nw3Swx7uHBv2l2Qyv/YGhxqjqr+gPipkPfhzxWx8bOen18DlQLPBYyxnUWbNEdwEq4B08W1Ctm4t
1z7mMi7fRNlJwDnNSQvw/cYE+ipZw0JEdT9aW3SHfID2agbB7eX6WF+JPHpJnGVWUzuMuRm16ckB
oC+Nf3I5QVLjBNdfsDaZtNCWAoJudJfkjsr4ozc0r2IYoSvtt/BUa8/Xdjku0tjcheQi4hWAyuC1
iuEVN7Mf7GotjNHJbhvA/KC9UeYJ4GFk1sBo8eHvO+yvt8/apNDCWZrEElyAZokcd7mzZHYss2qj
6Vf6Vq92qzva92CAwjErs8/AqPmDUCclvsRso3XWXnAZwG8GqnA7pBntrj1PVnOs4szxYVN+Skbx
tS+aLRnUyjZWL3YDsBSWRsnSnmNuBzn9TAFYNKG0jMV/i1tuNNVKL+jlbna2FLhjxSiV0nidzf4Z
R/eNXY2Hxvg3OQf3m78bibOuEDhDG5Gr1Oe0Ik9wv7IDrCl3mAWBUBSiVAt+/Eu+pRVYUXdR3UU+
zufeAyTXjMDwPsGZN4pRkUjAkHWs5xQyqCoz7ufc3Bv1gBwC1HDJzw8NZt0pHqzZGvsyhmbszAf4
VDyxzWvqFY9Q+o9VfAJ1lbt49dmKVXpwzaGLqjaf5K6rp+Imr0dZ+EvhSeVbrZs3QQ429DOdlvkE
BhGA8hwEdBxMLEr3zLaWBDyJyiph5Vf/GOuhK3AsFTZg8jZtHopadbU/ZkMiD6pfsgCFffOG9Ggl
YOmu9Gk32hQAUCOiVfk0xR10pXnv97ncEk+uvUCLKKBveuU0YvkwwA84d0vRfIZNTXUDNq94uN7P
KxNfL7AzHUGKlqOfBdrGbe7MsQ4m63GRG3Pmz93IO5NGL7MbJkQTuHxOEcBxcUhUyvYpPL8ekL1P
j00JXqpRxv1rTgiX0J0qCQc2r9nbIDcdJ2l7Yc/n4ok2uHY3jA4VkixfcGAENkFUsjw6F5D3x5ri
ErbexEDTsyGNz6b2PKTeHYbUk+EhHTF70YLC0+uvWAlOet0e7F4nyEDAg1iS9ljaINXCHXtr/Vx7
uBaeXIIcnAsTs6jm5i1yWneEbdEs1h59+fc3TePBsqEwW9wPFmKqv8F6Qt1xXjtbpsprg1DbWcgU
txrZjBr+PImjLK8OjIINO07HBZax11t+Ze2xtc2FOcnCpWYLSPByW/A9M6Hv6Z7MyoOJ2pZMZmW6
6iVg7UKhFgTH7oxaORh4xVb7YBrS3BVQkH7sMKaXgLVWXbtqEN3ZNOP+2Bbgbw9t7W0k4dY+QJsB
TBiOy4kDkV13qHgSMNi4sHTLrnvt6ZfefzOIJpGLhZkXzqY7w7ckm+M2TPvMvEuHQm1klla6Wbdi
bzJm5XY7dtiX8mxP5mp+tRlVvV+7HoxjshyYoJr3g9rYbay8T9cXVCoBri4runPV9S85N79V0quD
bPG+xbR9AAflx/Xh+6dO4Z0wqjucLh00NrNDzKgc3SeVOzV85lUe2CweAZGPp7Bv4yRksr5LkPny
HW4fMjofsEDVft7boQnu9mFOxbLHCtoGacP3yoDCuWmZD1ttwMhBVNrnTUaOsB6ogmFJ+hAqhnon
ehNZ5YvVbJtJ9pnUqMS24ZyzMaJXTrWu7loF8+ZRjCqxkV+Q2SFtSkjLvLkrPkOgPt+ouS1elrJI
w6RLgWfnZRzOQLcH02CSvVK5CEbVZ6/Xm9m8rKz/NjPXjYyKfur7S1XEuSfu8DDMRXoUJAGTB1uK
5CA9T3xSnA/YDlEnbfZNYnV2mMOFDskFUnkw2uT5PsldaQRCdiCvLAkbTgROHz87r4VFtUKM+OpZ
wutQ/lKmW/Sd9wM0LCH/nlueOcFjGyUTZ7jr35WFczbl1vXO+9MWDmJ/Pzr2vNZ2UIkB4+EZyYU0
mNzBL4fd9RZ//4fDUezvpw+DW4FcA12v2UvYei1jGfQi2UifrqQhXd1ELE27bmBiYDj0VZdMzOJ3
YsEdfv49izN1qvr2v6XNX8o+k/sxbnZgVx77Shr+tBRga3v18/WvfD9MuP/cx0FzNJe9QKZRVT/s
tDt3vAjNbnSCuqr/q21YnF5/0fsrqat7i8HjEwSxBvfhxLUn8NtTkPLEC5lRgwwTjY21dK3PtG0p
wLYwe+2wf4/NAknHmNxTmW8E8PefzfW7uGSSWZKzjJ67gsHFPR4fummzGGnt4dop1zTToYvNGiUq
7rBvnHNWZ4fr7f5+B3P9Fi7NUyvL3Y6dZ5g2P+JSaHokeV2fCDNZ2KhiuFNO5mxEqZUZqSfX3WQc
cQFUoA4cBf7WxXRluJvGjS95/5ALWfXfE7IajBZ3fdDfQoTg9/0TB3quzCwfGdOLJb0PbaxvlN7G
eF37FG3nZ6SVJzDprTPCPAzMGMSzFDrDjWn3/mzgepI8l4niHskvDVX5I7zvYEuFa7PSL/st++iV
jne1tFJXDmSUJGbnBhVnbt8dPfAjCBmRh6982m8pl9deo025KRt4Ay+q+jzRLFDzGMBN9NT3ZzYD
i6C+Xx/EK82lZ8tLHvfuSARKuDsL9n0JykT7vb1AJluRjf6mfwL7OyusnqY0LY9yTrDcK7kUwbSU
7mNXSbgs4/geB3kfxw+ZhMGJb/VG9b1ULn1OvMS5lUaL/hvsKpjMxQy6EX/qezXxDpA6AEWBHVJx
BCsZ9tisN3NA3AxUIc8gGHpCjDcuMcXOKgp+VLHd3yhe8rB0zPaYZgsoE6kt3RdqpOWOVD33ZdGl
u1gCYSfgxDh2PbxbZosfyhT2w8pCaWrpxRCCuZ516kXnPOZeXQVcVOV9hcPuXQc95c0IL2P0FUqi
feDY6VHCdRE15TGAUk53qbccvSXsJwX3GbXML5PqkgM34S/N7HE8NVBLnWLUhni+GGJ5l7WeGzjM
84J+Sc0lgGOm9SOGPc65mQvn1lmm+bVk9NHq0v9AbzyPrekejAm+4AwS1IfMaUOR9PuEpHE4DGka
zYYEzprXmNOeG3snNtnqpjQT2YY9HIpgrbQw6BDrNrA4i8NlUvJphr48MjBXZVgy7AQDYfDuP0FQ
sEyT0n0pTC9ewmJI6NGo4TmKLjUtNLtbhzACliGokoZveaCudwlK3XakrYYsFE1WfqwKEYagf4ev
rKLdYEi3xwbOno/mQOIzwOnN3jFt+aHlj+tbcUqLuTbi0otSOQZwpY59Wm5OkJWAyM2/fz9pZWlJ
xSvIoVFDNXZgPttW2gbwTPzYmYXrxnBsKGFipuLq3FggrUxNH3QG+U7QVzBjHG7ESLZm+9rHaFFL
cbeG4wqDHLqvp5Mgs3hsZ8FgTeMunz8Us/TMuAfQ2ejh8HWuTTLDmt8pDt6Utl+XQs4QZvJsIzau
CEK57gkHwlebqxaXbA5A7kCZ182hapT4CSVXZUHEhbp22lb9uONlbj1WhpH9lq0lP0PfwM3d9Y9d
2b/oCXRZlp6dtA4IamMjA6Co9wVW6eD6w1eiv544dx3izVkKUO4iGxTEFD/bHht902Ihn+AXf/0l
KyNC17CXhZVyJhxgWd2fg2n4XfEKZ8KNxWWteS4vfZNgcOalcsjCFGZ8GvWOPLriY3oS+Jn9/ehy
mnjbLrk6l33/6MgYBIdhnP0a9mH5TMlG66x1gRa8+MSctJ8tdZ5UGYCb9sVsq33F4ztW2fsPdYCe
e09H2lFmpwr80R518nkKA2Ji3JbIv29kfP+Uibyzwutp8cZEaalXLCaYf7LBVVXWidd8orgWp4Kr
E65Cy4eYLdlu6uPhODQjP+L1yXMSszEQFVN3LjA6By/zlmfbnJvA9hp6n7RmG3qgcx0sRZMXN54t
gJhbYkSsHalPlrk8JZ0LIYcLQwGAsxsKT0jc2Wwl41e2YHoimxsJNQoUc52F+XNwHX8AGxZ2Un5K
vrf91nF4ZQTotnEm1t8Ety24V7WR657KKbkXHpU/DWOyf9PS3sr0rU0VLTJPk9ugW/r2DLrJp7ke
HpNyOV4fYX+uiN7pf/1Koey9gRQGrvmwpNxR1glIixZT3AnTREGAzJb52BjgmoeQUHefu5z23xS2
0Dc5I8VBmiW9UW3ffALXwz5NnShua0zrnVs5+RkKq9oIoBFojsoVNMhw4fbdXmqxd1VCf9R9150N
lLgeYlnW8Dt0un4Hf1CYucQeAPUDWfao/nIPaTXNR6uGsNeyhHpwDSFfjbwzkd2ywKEUnYvUc6J2
ZeYMrxBGV6dETNzvC2qHvBHjcZqz8mR19XibJdNyTNzaClqWpxG4ohjzMSgvwURGNzm6rhh2Nm+K
2a/afs6DVpjqrshdawmzqujlyXNE+VO4HgzeOoGENE2NVzrh9Hu9Py6H23e6QzeIaFQ5874QbtTM
7CwAgMic0GrGkCbeQdWJ35Yfyh7zfxwU0mkCqF7xaOmWJrLSmIau0y9g3Ztb9RFry4c2bM15uWRn
xvks48hTp3K5TbekICszQr+a6ZCub5a4xgUBMD2+a/f004Cbp41tykon2P8sTePMIJswzk2dQSdt
PJpZDt7v+DTy9NDl7u/ZmDe6YS2EaEtVDaaf6BBvsUmAhrkVJyjD/Nz9nIv5cH1Erb1BW6YasbiA
QcDGiIwAw09DgWV82CVg8vgQKWzdfa/0tX5jA24tMEWJOZy7WPpm/zVLd4lIPrbS6qIto1IeTwoV
R8DrKasD/jaBLdEt8X5fb6K10aQN1I4QcywFdKGilkVYDUtAgVjdXX/4n0j6zpTWL5omVkmzaNJL
lnqREr6ZMKcdTHAqe57y0LSt5AGY7DQoVebdjKICp0lVQgUyZfZOoc5nn8c1NNzxq+2DTmRavZ+a
LngnGUrCIP7wglqgCkjNdVn6tpuKnQnjlcB24zTKQTXamYSrRxCExlvLdtVuindDPA13KC6w96py
UlBwC9QPJWweQgdWYM/UrBw/nWvZBfOYxp+8auBfW3ApH0za9DfZmE8nD5cVnycZJzeSVNboVzL7
3ZCBhKZbtf409W2KgNzWt2q0J5jKWQCCoxh9OpXMmG0AAVW2c7LZPHTSJfeopFHGRoOvyDC4fu0G
zzxTlCbIGsgL7AuVhVVX7FAxiWLSg0HsTzz+TJz0xupfUEC5wwlhI3av7Dl0X0bslcFsr5o4Go36
N1/qUPYK0o/yScIW3uJbjncrE1o3aJxxseNMJqZaPAFilbMwo/DvcD5BiBVeH7Jrb9DiX1suhpwv
uvILkWpxF99wv7fgeAm+IWBaaykt6pGE4qDZGCRywYCkyL1B4nVMgb8uX0i6RUlc+wot8FkEdXhj
ha+ovecRKcRYzPBQv+m6LUbQStjQYcm9sAvbS2YkX90KvoCd/RALb+v+9f0mojpE2uYVMHIzVk7L
lsFsmzSM8+YW5va/UE1lBkXpfrre2SvTheqelhVkzh5b2uHcTMsER06R+aRaXtOqfkp6x9w51vJV
jd5jUbAITgy3McQ9fiboxln9Mqj+DY9Ub8VYeXnpYEMVNUqGnUsuULndOG2V6L3fSVR3uizNcmrM
lMG6KcmfWNp8SzuQ4q833dqztXXDdjyLmRT3+41rHdisbukIb8jrz35/9FLd13J0GoOTMu/gFAZv
xva5xx2kmgEidrYMYd6/O6C6wWVrTp5hg8V3bqec7xa5vBYGuwfydy8oP6VIfyZV8VCQcuN+b+2L
LiP9zYHfFrWbVpYEHxg3YeFAF/7iUs/cjzP5So222wj/K+Ppj7Xdm9cMTt8vlJD23OfhaMpAFoCk
b3o0rnS5btQJQC1Je5Chz7X7JY07f9mqkVx78OXf3/xseNzB2Y/jstGs2VcFZ6laqcP1obQSSnQj
SzWXcWIPzUUoIve2ad/1yrunyJX7heHJMO7HrcPk+1NZ968EUjPls6kwopqLFKUMneRnaj8t9Rae
fm0I0b8bibTEVb0S/RlnCwi0ITaMHxIKsnPzfL2pVujFsLv7+w3Y6CcT62OY/x2H/RzEB2MngmLH
jpMKx9vl7IRLcDPeqLvuLj+Wj+bn7D7Z5xv73BXLUTjK/f32IRFdxbzL23u/yv0k87NxR6ZdtXdc
31b+x5gJVPclIbPr2K6D91jeXd2jm1AlH15vwZVxrNuRdAl3FqslF1lVHlbwfZJd9sFHX0bFmykC
BzdWDxK/eiHGaywHv+LNRmxa0R5QPdXp2XBlNJ08PoGXZx1HKXBxCkqfVfmeYxbnwmX9bZVOzmmc
Lfh6kmbZmwgGX4DnjocdKoOHz6nRL59QEL7FOFyZtnoqYCzBpyaJGiLcusx+Z3phKZe7GlaNbYVa
V1nY8UaAWJN96smArO5jWEE08UnCFnI3pov1xEByuJys3QlCrLJ4TFhtfSnt/DdE1ft2ATF3Xh4Y
lHqwxGo78HCG4fMwmeXL0neAA6TcEAEp4tiPHRpvbFVWViwdWUnrdHCZkXYR7PXHu66U4qEZhRXw
LBc3BR+SE7OyFsm+epIPsWVt+Ras9ITuWzD2dZa2s9FHXeGesrpyd149nyTLUbQDjsDi9hvOLisv
+iN0ejPC0ZoL5zFelNsowl8aWIzf8dT0nforE81GlFl5yT++KLngjOasiUZcXMUDmHnJ7Oa+NZW7
idnI8ltiQ3K99qZLfuXN59SxV4hlqtpoANt2l7rFV1G0T53XPTVm5obpYncb3/Rnnr6zi9SBlxTs
zIrFIjnHsT3MANHWrdiNtpx/V7WplmB2ZPNzAemq27FEZQ9gFtPv8yT4fSdpjdXKGYXwHUMOKMge
bevoOfZ8r5JiOC2DHBJ/SYgXusgc/ugdvvxwzSQrQ5lhRWXDxDYcRVaCp25cAUM4p0fCvIncNKvu
2ny2940kW+nqteVFt6voE7eoacbrqJslTv2uu/R32QTDNJ8AIhJfYBXkQWYDnEfV4vF9y7oUepK6
bH5fXxxW1m/dcaYldjkbrd1HCzg3z2BS4/DKG3LnAm52LPq+29g8r+wBdZPLVCoqBghHIxPedy/O
oOoAGkjLRxUc2YhFK12lW87A7RPZUsNsIjiNiO92kWUBSvziL9cbau3p7O+Zg6ulAkOhRiBYbGff
maV3x5La2ggza91g/v30oplzL4vjOhKgQR1q6HyfR2Pk0WxOoHezafj6oa/QzUuKBq4Z2LLVEUtI
ExieNwIObT587OHaboDbyF/lQ5ec3ZEHRZyFnPy6/uT/H7LfiSa6yjVRF8abjWefvxH/i+3bfuH/
5KEbjIHt396G31J/X/u3X87n8HaP/92fTvvT/jYMb29f7p+KIPFPT/6Pw+HX4enX6dfg/+p2Nw+H
08k/nF5O/unXjesHu0Pu7+6iaLfbfToe8X9fo+fgGB3uogDPCcPzMcDf7IIoOJ5vw/3+S/h4+bMg
CL+E4TH8chT+1lXsamC4DMM3gZrzZGTTiLiDEsvuW2p71mOsRnhIuCzFQl869zRV7o7wnPqlLOqg
MVj9cr21V4a6rvpkcxILQCL4CVeLBwcKimxON4bI2q5OV3LO42KLVjr8NOP6BNZMsPEnR2P4L3OQ
OV3qo0WexnR4qHFMxMtNnn4ybAck9S0g1koc0gWerFwsXDx3DVQ4hnWayEy/KEqKH0TE2Y+PNZ92
YAErThVTx/nJAPuwMl9toOivP/mPxOTfWYDp+feoIEaa1GZj4XYIXqVHV2XfMg91AVBOMRCeDUnp
r36yRAIP+KwKs0EZL7015y9VnDq/JwivD3Dsp2WQ4nLcQIliLEGir2k42csubbIQu8XxOE4WgPTI
Ht/UBmm+N8OSoTJrqZbUJ3YjTMC+BmsMrN7EJ3ogccMfezwsS4GcJ4dEOE9bpL3FNKYAKS2401iQ
SoQhMxzAMKDiQ1UQ75dXLVCrSQuXwE5JoY9USUdyX0DLBMEVtLGuV3qHmVne7PcgCZcAPFhOixOA
gLETt0Zc8cKVZAcTI/yFxG38vRm3KJCa2bJzisS5Q13h8IJCNhbGTRfjRFU0AXQA+ZdmGMt7p3WG
wJpcsYMuoR39gRjAQMUSGQrWMajfGhbItmtuHMK3zEHen1eGLg2V3pDTlhpN1CYoe/M9I7d2S5ll
7sbwWHm+7pIDYKUwBRjjkYQPz0MskyxIy3qrEu39JcrQJbrO0BpiRAfCf+dpcp+WBUJwElly3tgw
rmQ9Dd0sx5Ytle6gcGnt1Xf9SA48yU9t5aHa2AtQlRGQqgmLij0kDQPWKoMLYhFv5EnWmu4SLt6E
2wQlx5aTI8mGzAwUHfdt8roxZfGA92bs5YVvHjwbdAR2SjVRpkh7kMybj5V06nvOO/NuqI086mAA
vrv+srUu0vYoBUMRYldlRaRM4J7nSna3VQKRgpE4KHuth+ZjvhCGnqAWDWN2K4YaSA3jlyqq0JrM
zIeH2MZIXvkQ/ezPp0kkEslceGg6u6pgLHTy9I42/M7parX/WGtpey5mCD7h4MBPwIDVAwoZuN/2
d9V/15++IngzdCugKc2GCvLPLLK93rD8GAX045HWorD8BSyLJmi6DrbIk8M66quht5kv08SsfbPr
LShls01jgPcPfai6/HsMJt04sBJsSYgr3GpPkjL9b+oHRgPmTM0uWYbivNBuSwD//gpr6NZB9uKq
zuOIE0bpRk6nbgzBHgm3Nw5kK1wcQ7cMGubMWErV8dNU8RkLgqlGVDCLqfmMPdN0YyepeWKO2T3R
YmpSwMMn85wU1nwC7r7LYOIWj2FRTiS0KsJeJwsmfklZJBs/b2Xk/uM4dFlpRWmpCLx7flzimEZC
DMutWlhr+kvrxRsysZVO1SutkilHnYdj59GUmuA1wP+0jsiUFSfH4VlIBbaJapy3vCtW4qNeMjEZ
Q2GnudNE5ZzBDgU0tEPPK74Rfd/PItm64mnO59rG+OzPMEJyfDZ5w72XyGW3QKQdpso6CNU3OzNB
wq1rptfrE/T9T7J1PVrNasccXYgFgQH81hbJT5pa4fVHvz8F7H9UaKNbwdHSMFGUVf1nmChmQf1U
8eD0c3W4/oa1H38Zfm+WFVQacJWnwjwLrxz9nvB77Hterj/7/ZFl61qbki60MWaXnkdwHh1LhgA9
JiguASkAd2D3+C8bh4G1Zrp83JuPSGjNkgIvQ1EGTUPH8TI/d4oRUvhWbfTEWjtpK2KHO3+XOmQE
8jH9xOd438TTB5tJWz68OcXKTZfpbJU/l6mGQ+dXl1RB394mKLK43hVrLaTdrqgOlXWlZ9AzZ3YH
JYhqg6Et6lOXfvBW09ZNkThJrdlTeIUgDseRYpBVyOK8OsKUYY48GEts3c2ufIyuumkNVL4St7DO
xRTz15H3yQEl3henVjv5fL29Vo7Nti40gcelgj9FRc/paCQnuPt2QSGs4XOWZPOh9pQXGLh8PmWN
lZymTBTBQtpiI7fyfui3dbEJoFG4h1TAZaFQ5XdmD+eltWFnRcVTWtEPRX1bV5pImpqz2aT07HHb
OTRVPO9QrihCnGnpbgBE9TNuKMSvjda8DOV/N6+2Xg2eGF5S1V6N+i93tJ+RiFDRQufkyaVpG9ly
mT/Rxvk6ew1cgYbZgEyu54Xh55nHH3NRoQjm+g9ZGzlaoHDzLCFyceuzTYbQuJh0Cui7x41JthLv
9M1s1nVFU9MBEDf2m5AepdsZ9mC13zvfWbwlgF9Z4nRNRS47kH5ZPAGPJR+8OiMnCDcCGO4fbFT4
IC93sNLh61TE5UZGca3NtNAhnXauAauiZxdRaSdLN8YeoS58WfVbdyNrr9D2lcVYuIVnDwvAsUdZ
Pg6AoiXP13t8pU90rcVS9jZfFJnOQ+/seDbup6ZFwW/1vXXKHeCxW+Z8K3NWV1xQe3KtvE+Nc1tG
Keys5nY6GHMZNvNG2niljXTys2OYM8YueBOdIM9GLMKC5F/bfGtftlL9b+vaiiTrLAJCqTr3Qwpt
9dID8FdwB4eLeIaYIFfwVyqyMxtMdkN4PyZYYm15Z2cOhV8gkD0HyF23sthrH3v59zcL+jiP1iIc
mp151jV+69Q7eDIDylapj625/wBGZ7NwiGNkZ5kPAWr2d5XV7lvTee2L8m4kbbsRcFa2Dbo+o2Nl
npR2jIAzlChZYXnYyUmE18f22pjTNg7j0FeuTeIFoKQkaEuC8sX2iJJB5ArVxjKx9vu1ye9licdp
BShIm2fALWN9kFtbkrWZqU362rQIx10YDHv7fmdL6nfDJ6y6u6l1/XTLTH9lIOmqC6smTlmxeTk3
cx2MbB/DUoBtjdKVRJOtay1SoNxgBAOCHl2SJupd1FAHom5IEjiwLoLSY073Huv4jqR2fkDGGFgj
t+r8seME1aP2B48JujCD9bWdDKUwYPL66jHwEOiBOFu+IGtNqJ0QDItIISvsRtrsf5yd25KcONO1
r4gIARKgU6D2vW+72+4Twls2EiCQhICr/1e9R/7qd7ki5mw8M4ZCICmVufJZQdr4MvXpJ2ZuiDOu
fASX2BYQBVb0CnX45U6sG6YidBVbeM3Ljo2ZnXmMOtb838zVaXLxxbll6qlqq+WUxKDDOV2HaTfa
HigKkkXNcouu9/c5Qy+7t3ldQ0dgAN0HNImkhaWo5nB6Y0Jeexvnm/6xMo5NI03tGLZKXyBO+2oi
lsrxP0bWl+kynaDthiYILhoLcSjvdtYGB9QgbixY8Xmk/xIHXupeTCnUwkyE1q2Yeb/caAuZ0RGx
aAa0y7IZqFs+2AyYDGQofr2F501C84CW1UmHcPVFQ/l4VkuZim2dX1jYcUTNxgdeK8xiaGgfabsu
6dzAaSZLnKK5N0+2zBqm9f2AU25uKtkfAuC690stom0bU/+uGuzyzQZr8aXQbn2NO+WlCQdIfAIS
Ny09x/dVkyQp0L9zbmLN0T5H++W9Q3tpumDA9iua37O1VUOdwZ7JfpqA1NtEzgbf+y5pXjV87I6L
16sXdEWt2TCv1SEM7Qx7pXAC21GyeDN1a3I/xc2aBxH39nAJgMVI1Ep+7FUcZ5bULpWetFs3I729
YZUIkdnzup3uKywoY1Ep0EDn8NsqbFzmUjphQcmZphuq7itbzaWKKJk7KAAXs55WO9oU/TNRVgt0
Rq2iabJp0M//3tH+PnXYpUhmXPzRZ4rNJzhvVNkwVUsq2+kG0eTKM1yKY9rKDkhk4+JiwrLcfizV
z7gEJ4Ld6k648usvnYNwQIMHqo9I2c7B56ScAdxGZvjGxL928YtluILnjO9WMCGMmMhGQvmSKQ99
c/9p4C9VFU3va0GRfDixYmTpSsiXap4P/772FQEPu9RTROBmKqlHYGrqGKmZerTrE5r31zefFli6
mFq9rBva5FmGMdtERM97kgApOFKOUuEwxmDmTAbhX93AEDiYw7R3Y/dovDXJJl8me8AogvsEXTAH
YEaCvOaM6rSG5/mNsb+yS/0vZv5j0V0iVA9GGdmT1OBJT330XvrmbpUSCMxYoQpX3aKYXFne/xdp
/HGnGEk0MoeBPRGOB264eRA8WTLkzG4swdducBHQVZY7b5iXBYS/CX2PPjp9x7GIvjZoR76lb//7
PegllDrxVFDiiI+eLgvip3mThO+gqrvxqV67+vkl/TFEvUrqZsbqeRyxsdZ+tR/I3Vre0rj+/ers
f/mgP67ucRRXPAcMlqc+0VDn4/xN2lt11Ssr0KUGrOzh44CicXGsApPNrExL9jAhPR14t2KPKz//
UgbGg6IL18SIk6VTCuhW7ooXR9ob6fVrV78Y+nglkOUsLjlS7IxsvPPkA3E//r1KXLv2xfrWu9Bv
+wRZUKamrWThgvaq3mQBvVUbuDb45xv/8WaFH4UdCHL+CXQjkGvFsYTbAWmbPftvBSt2iVCDLqDQ
a71g/Xcfvvri0XPV6sZB8trwhP/31/umrmIspMgtxf1eAXaSxtJsBkdunVSvDc/FYdIsQwWpqE9P
cPy1u9r4eouzcQeyngLeB/2MNyL+aw9ysQC5ZYY5IHP+aeq+xuQHI8dlvRW+XlmnL62JBkRVyGYi
Smnr6oPFwamnwWEYkENEYqbqb3Xp/f0R6KV4JsKReKjVup7AMa0OA/fLd1jAdLu27Uxz430nf42U
6aUEY3V+HymNgxH2lv282hOSWCj72TNhAbCkZPA+QOe/8U6uZLvppSRDB35TR4mPMrznxx8LtmEO
KqJtqo3P9fAItxCb+aCdZugt3lAoDDfMzrd2179/efQSmQjTPrC0EGIfCTDeL1FSrgDnAqhu9ED2
SeOKG1vf3yMoeslVmWSsBrIgy+ghDZwOof9dLPGNGOfKJ3FJJMcHDQolQR8s7f2d6WronCpxjndu
+SBeGaRLTcuwoLIcejiZ9eu9MD+9SadkeRDFeGNwrl3//GB/rI4h6ElF2FD/NEzTRzS17YNqpbdh
85z8qBW/tQNeGSd+fjd/3MYn/uDqGfkwOUqxkd0CAbka2Il6wa0E+bVbXKyUvR6AK4U59KnvfwJw
nQ9BmVZ1vfn3NnVtnC6Wya42Hdj5LaKPoT4WU/zeu3J79knetAuaI/59k2uPcLlGCtt1FI65xzEu
Uuc/Wn1uiLkVnl2ZB5cqjlWyKsL5mx+bcdr6tHrmS/f93z/878UJeinZsLWm1dwiQOgrOmQ+NH77
vu0guor5c+l0/CGrqj34baO2ogeV8d93vTJcl0IOz5t90zv48UrXPATNgO699ZHo4fO/L3/llV8q
MWypIXRZ/PVkozyR1bPXqq+uaeAqfWPuXfv95xv/MSm6Ucuuj/zghIz6AodyCFoDoEMzZlbvxi2u
PMMlO7aTQ81lOSRHraZD5PW/7ZBkS8x3pINw8t/jdOUx/j+gIPHIvAJRd+pa5u/aQpOslrPOy7a8
NbevPcbF3ObxvDYkqIpjP4DtsrTpBEfLCplDs/Q3nuLvMQS95L71g4InJ1QLx86nG28lOYnuivVV
Tj2Kkp/+20hdzO9FalXbAPeAX/im7cihK+UTeNI3tvNrj3CR50xKUfR9Miwn0ijyQqSLtv0o6hfd
WpFxCnG018bi/d/PciVQueS+CZJM49CB7gjB6EuQhFkdhWVaqPVLNFmeNZb9Nv0t4O2VJ7tkv61z
I70ZINETr7viFCcDWkWtt2xINcNVqgSJ+rMEMuG/HZbpJeatNY0UrG8QT3Zhm9V+8ADY9Wcahi//
Hru/xl0xTy4HTyVeSGChWR9VJYAxRIa9TuVcxptKoTDu1finoAFaLm+aQv+MYN9W4+jSRDcWzr9N
p/Ptz+/0j4VHVS1TXjWWR+zAHClxqqBlQMstu9X1+rcl4XyD83v84waJ04OzPCqP0dzvYCzW5KqO
P9NlulX5+NsHcb7BxdLJnaDMBV5zRGmXbYeZ2TezsvrA4Muj02aBteFMZbPeWBz+tnWeb3d+zj+e
p3CAdibDVEIgNz0CibZvkvI/5JjOlz7f8s9LR/7EmiYG14XW7rEEi68oYrI9q3YANZyzZu2D7b8/
u2tv5WIVheAvDKbeq48GKBqlvwaSHVaYxf776n+tip2fJPi/T2INd0G14qNek2Rj1vWz6bzkKOPo
XpHmN0Hdom6wdIvKfehGj6jBYMFoi/HLv+//v9rRZZHhfP+L1bWAZzCtxpkfNQU6R72GyK6M1KKV
4ae3qlT4aAPsvyUOAHJm6uNEup3EsWrt/AfSQhwQhk+WTThbL3dlTbZh3N83o3qo1vbVt/uJr1/Q
t3lD5Xntg7pYqqXwOi2YX8PdfPxd1TyryfD93+NwZXJfaiH9CvjSBFzBYwG7Kr/mdy3ReWui90FF
m3/f4srsu1Q+Jn0TD/6ANx17civEm0rsYWB7UjyR+D9OuUsJpPZkP5WG1kd/LU4BeLy1usXq/6vm
AV/KJWpMTZBW+mOCIRqDLIm6HHrLnWuDXPlfi1B8tObT2Rarm1VmFrvxqD1FUmT/Hrxr7+diLVmI
TBI0a4qjqLAjj91q9m3k2q0q5x7uUt1w4yVd+cTYxcIyLAXBHNXlEUzUp57b41R18425fmUluVTX
cK8ydOShOMZrpdMqipaswQ1THZsy//cwXbvFxR5VorxedayRR43uB+DB5u/lNP4IE7379/V9lPmw
MP1lwWAX62Hsj73QbA2hSfarLbF6eTRJqfYd4XpNB91YeIkx0f5QiR7GPdb96WCLlbwFfJzGI/fC
IU6NNuEbA9dljyKzB2jiWL1K48XpHCTBI/P8OovDpngD31FiqMKG3aFhUhzGLipOtiPVG2MShRA7
9sldmCxVkQKcKd7nCk2cmVfJeDcieylPMenUhnJVAUgsgjhTFMyPXHc1rLiKKiCZFGCwAJgIvSWJ
AvncqVhvhzEIM4Mm3f3ICplCplbuC4JKO0fktIXIuAaFDGQ6mJQsrNxOXWj2XeQR9MxYuccw0rxk
nU4BRYDD17igq6nXizx2irLXAJjUnfYWve2WIjkuDkTsOQrik2qt9x4scK/eGd+oH2ah3n5x8fCD
oy6eA2EPBxQ9wJ4cMoM5Mwzn3YA2IKBNTHg5kk/Fo19EscuGDkQI9HnV1c/OBQXSUwAm12lbE/ra
D96QJnouU1uaMV/K1SGcqatUBwy9YRgvkRGa2J+O1v43W1rTZgxV509wBlB5sC6/3DpyvGOALl+s
0w5SSKXQSRaF1Ta2cMYVZy9RxvnyXY81EuuwEC/yQBHzo5jL6Z038/KRNJX/2rW+eKGs77aFX8Zf
ZmeNzGPSAFS2rMlOAa/2I6qXAEj6zoAw3i9ueOTDsKDFWBK3IcLMMKuFWBeBreOPqxh4JlHpzYiF
r2S2zsR7gHWCH2YTPhoPJmdRnMu+JL/rUkafWaj7fAwXefCX2X2TvkruuAyWN7idDBt/4dMvr674
Bq60U06hJMxljJA2LMYYltzMJfAA5O7NxDw64b3QFxlartBzwhea6pGtmTfrDk25VRMe/VGUB4w9
2/ldwF8GPaM3EEVil1JZnQWCUfdjndF3rjnxvkti+ZPHTYtHhcPxB6WwftIFtTpNvNb3U9HqMe+s
q78pXaEKWaqEfoejtnFbbrR/v6BIjh5m2fA4J8XcJejlakK2q9kUZ54IF5sCBzUdHOuSF1M4hr98
9rPujPrEi8k+LIbh82hLqnaULnXmt7FNq1gMaUki6JpM4o9NOsgC1yziYoNacX0n2mB8bXkS35VC
gscc8UhjzkXC33AceCVsnzz93gpjf7MRdfp0toBdAViZ3CGpBUKfP0iZdmCXbqsG5qZxjElXl26C
0tH/2qDD8dFM7bQPWOe+lEGpIUmj9glM+mErGtU+aYpNiXTYI2bQDNIuWYvtwNmMRrAwug8mHh7j
gfoZm8JoCzaffVCknw8qkjNMbqQXHqSZ/I0fSPW9R8CFRpd+epniDhlWr21TXzTTPX5p8hUxW7+t
F6ofqnIAHa5LejRnVjk3U54AKsEt7WGxZ+AWScGs2glVix01oTVZpeeJ5+Hk+L0aZZHjJ7P3ifiv
A4yZUlk0IB3ykG+9cWhzG67NPRdV2WXahfZhNMrbkMbZzdQTQPqhrC72fjO6KTU1eiw3XWPFhgx1
dEgEjI+BCep/k7al77pU6x7GNdKlGoSSDaC1Jot0E49p1Sj2WSdRu49mL2RpXBd2B67ierCLbe8C
PgW7mA3wOuRuyJmMqwPOQi6PmKHvs4T7nu+qOKurwqNpzKHMcLAT2g7G645J7OxdSBfyaWGNt3eC
RF+lct2QwsioS7Hyil3SQD5DoWGEv9O5RzYiCRpclQcTh1HN29B6wdvqqfgJeAv6jY5x22z9JRLI
a/BJf50bP3rumN88eYPudrD6Kd4N2FHvhbfE2egauHVGGqtnSOTd6uDCN1Ep9oldyq0pidrA9ip+
Ar++2lKy1F8iTPt7mK7EuY5idbfyjqAA5tcwEqLBYxW3EptHZfJg6MvctBH8kgcvfgjUBGMLzoX/
bAgt9yY2yUNSwwi4Xtbx4IGRn68u/mKGKfoGcfe5AXbEuSnllSeeE+uCOSvoPObR5IFDhEejudCu
PzQTXZ7XPqZ4m6GFFxa1G9MVdQ6/nOkNRs7ty1C29bOnZxhL8JDQTPk+/ICMwPuY2i54GHRdvCjR
jj/gJgHbTRCD9V7Gy/C9AzXzfnJjeQhanJij0DkI9INu3EskqGCpqkh5qmncP8R9zz5o0LCTj+H7
3paiPnqTw5cUzh7WKeYfkpm1GwIT8W0kwRGFn1kJyVhTAHoMxXyGT6jfIgYufs7rNNI9giv7rIuE
3xUItL+h5tvupbABzvC69n8F49h+miQrHyKKygo0veHHIpV996CF/KSLnkEBaZeIZn5k/Q0zXV+m
IEeRNxBFhzSiyLAM3srfZTGNa16jldbl9RA3UCGE4AhLIe4LVkHn7Ep2gNIl2BDPYwcLqy4oxAfz
MUuPbrFGzpsgQIjASjh3NT1cfodhVHlHkKzD1j18t9gic20WM6eI5tByDanRDt2Z6KsCUOR+oOjI
9gBY+Znw1duaOax3q+FzamLMp2noq6+xT6pcWxF/rjrX5PNUKLh3kPphQSInB1oUhuONey+j2X43
IXjSUyynn/60DmZbaSYAJ2/JFzcO+p5arEM+mVYwBEO4cGSdqJsyK9DI8tEHHRheVdBCjtT76928
lGW6cDgitbACuzNrwB+hMCeYCOPQp2CpBllx9k3rAMvQaQvWxzNN4KeFJI/ZiEo0v8PIslM7yelh
jOvhAXDTEL4mZ0sTjwyVOwglmMj5nCTLQ1vrdYemNgrnhmh8SlgotqSmbIMUbnwAQ1J+opBn7gUt
FkRf0VQ9NWoe+1R7SO/UZRPkxJ+9JvVLyptUI97iqQ5jDBYLYWJMCm53fV00z3W0CpKD6iP7zA0x
vx8g+Xp1EbrZwhB2NPFovD0OKDh7nc13c00hp8oA5AzW3DCnvkxUwG5Z6LjHvJ8G/tiZAGsfGweb
MVVVPBV9TT5sy+1noCD9bOJj/4jkGu1zpZlXpryuhNokhQ9AuNFoF7RtQ3B6D1bbbm0sogNLWm+v
KAhRts6wlwb56odgMHjEZL1yw47ggWQG5xPW5aaT/bxFQMS+eyMMLYEGoM8KdhUiXTqDfnbdBP1T
naB8M5GIPZdDxL/NA5e/5qLq8gr7XgUXMX/drgh6vljNF5gjmVq985hQLLWAz8MIVrQh0MjUsscu
CTjJGOR0X7rGJa+WEHpMfHSil1rDIaqMdLCZyqnKMcmiR5nEyf24lK7Ll0ZPj9iofARPLiYPFApf
s3FDM2E4Rr5FK8b0lMhV/YJfTof0hq/8X/CriR4WgJhgs4xE5V0YwBAc7yUUDQSKrnybaEh2avXV
MVyNeOek6k4Q5jS5qBKoDVtRHRMY557tsX1zDo1RJEDUzPaaOnB9Y/jS9HkPTt6jF6JMkXKJUl3v
JSXfUA8H2YCiRJ11FaR22ENCD1YZDdk6Z1qTClQbAGtI6GeDz2To7BEKALLHDse/JAafBzZiQbe2
ae2HHKI5I34c7sZJdnD+GcYfgECTbmMSUeVWFWsGs5v1e71qVaY4aoJxJ5XHP/FJxEtKheu+1p4X
FemyTMH9KJi8N2xpPoMQumwq5gcvcOiTR4FiiM3XZopgQRT60KI11fwLCvrmIUTT8UaN8z5k1Y4z
5tB8sMpHbE4a7N9+AUuVRwJQOggg+8Xzn2Vg552EzjxJLfDEG1SV7TGYYn3iS2w2Fg0zu3hF2FEP
MJi1M6gPdF7QUTbZ5UkmgjzVlE4HyV2ZjxZdEV07Jo/npfPeLhqZRZjo5jPAwHe9ZCBVSL9sT74R
eF1dHEa7BYETMH/axidCpx6qTSg9Vzrb37Vqg9PSdi3QBGr5MSKQPsb4HvZQygXbWvIObU8KXd4c
rH2jE76NdYNGBc9f8mZdo291SeJnjdMdzLoEvGJKXqgM7Gy7mWeDCQk/nyGAZJUZmzULWac0FOjO
mMu+f4pp3/4a+wmHik6UCxoyp2Ero3DIirFeytzrKv2dulKla6xcnVMZdjkvS/25a6R/56mEDFkp
RkxSWq7zG13adSvamv/obHI+J1IlXhpGugfWt8VwV69Tsg/4qp5nSHr26FY3ABNRxEQymdthVzgi
Icrxakgb0FO0UYNe95RM5ZKTuTSQBgJoNfohNgmRmN3ZPfYN0CEPDyaqX55iSxZZIu47v0b4DsJH
5W1mRpZfMAWlz7TtZLNDA7OP2HlGTJENYmzviqVMQP6q2/YOD+mDqR0xTE0pmxhTH+4FoIFWaQJ0
+MFg+megnOn91EiWBda4JnWyWY6w8RSHkCXwNUCDYPlQFwHOF3j1PVxJmiH1VTOIvOFy+EQaApOn
YalfROzH32LYFsBEisC1Aj/4JWJ18HPkbHkxkpT73obVaRqreDsngf/AR4DvwsIzWwl/JpvroEYq
ROFfv60wPd2QWNonDxSzrzqk5c+y95tPsedNBdSJtMD/2LspGxe4VW2wOIOBoGMQgPM6bCOVQS/s
fTcBGRHlglkBh4a4I5seTGh8sIAH+5kXtmdwOZ/XDwHRPIxuG1WDpMPCE2/CCYcbQ0JsKLWJDPh8
kdn6gbIHZDNJqmof8Qjv4UDlF+1hwkGrTtE8tAQpGRGJrY5E6IlA1/wQy/B7OIOznSrXdqd2CaFv
qnGAB8AIhOQi9k8hpvq2ivXyRfcUaAMXO/i/2Co+GZuseYl0Z4jURgiKkWi0foQ/m37CfxZPYR9r
tZFrA9tZQSP1rV5DmkUywlQZaXtkgSg3kdE49bNZTsCZL8u+G9t+UwWW/UB6IDyqHsYS2yYcx3yE
CuuuDUyxKVYZ5wUou7ui5RGyDXM0ARtXJHHm/ID+8tH5kckp6LbhvHRPXWyD7epa8aV1fnnnEsRs
JCrlW9ThyK+sLb/3izAbM6FrZHJuOSqcMeeUwnsq14nvfVldxbICWaG8KOEnYGsqh3Qg1P2igae2
wMBPLPV4/+6WlRyBtKVzyoKmPA12ajd0XCA7b+PlPdFI0mUVOua/Nv1ovhRwB49THGzYvYpMl5OQ
dNjRka/h2L6OBIrLO8/JCDklWoBRjcy45bz/3rWe65GYaUGOjgPTvEWhWTZA3o4wdI5MBhX9nOM4
3ecQeiCWLLVDKTUqPbtbISJ66GaBVb1EvDW7tcMo9v3R+nH/Oiyz+Gr9xAeTYIX/8QD5YQ7DNrQ7
hYqdulggZyuX+l2ppciBIhzf6Zosp3JGxRZHe/UU4TIfXun895XF0d5wEdz5XoVMD3rWQp56Lg63
ukzqDRo1IFVdSdw8ndMbJxhknb8kWEkiJp0UrFblyHYLPLNeGcStr+gtIXnpxvXQDUu7L3H42w2m
bTPMFGCH5qB+LJwqMjdF8yN6r7HjKEe2wBHJB3TrALs+R7zfu7XRH+Hi5OM5yMv9qIAXwIo27Z+a
qeQeQCGSsoXitAgFziYAtzOvDAItPxxqHOZkgIHD1u8Dl7vzmp7kq8AXotAKsY1DZNDSbiD9Jqj7
6jWusMUohYJPhCfMcIrpNkncAH3jdXzNuq5gpxVZku0UFdEmwQ60HZ31ER2jHcuMyt2HMmDVRoBe
97kwESKuuRzRedAovpusH26WAghVb8Vbia31XgjinT6HA3T1gE+jJ9mg2u4VHYxAAHDHvJdgdvoR
3kJLFjeB/Wxr4e2EMN3dSFq7VUGtdnDQKPyUcMqO5WJLsEdFNX90CIOzaJw6cDTRz5GtU1E+LNjn
vwCKNP3s54S/dnOrkOlJ8OZG2x2qCDM/bQoAnDD9NZwgKuylIlUevFgFwP4PmMHrKeaD3sJPeLiH
eis8UFG6bTexYq8b5wEKCskb2qORGZrmhGGJ6RFxWbixa4jUlz4LomjdUVWVG6K1h0ya5E8mHOM4
ZfXgchP59AdkaW7ElxbxT65uog2EH4jztOme4DMU3Uvi8WbPx7jcBtp4SEYjYsLUG+/LquhlTpg/
5lXSqMMkw+KZTaIGuQFjsw0ThadKgo7sF2+lQe5arHh2Yt191EzxRsEmaQcYl8KsAUYzF+QcMSRK
fYRchhtKuQaYGFXTu6iY/MMyyGHTIHb70kSeuh8cjAimIixeRqnrT76z9l7FAdlP4HEdwrWHB5SB
ogdZiSWSO5A3kkPESnXgaiFbtBUBs4dF8E5z48DEEuN3JKxNlui4StVM+uMy22jN5rbrkSrpZgpE
L47yarcoHw5Eoxp2hgfN0RbRNGRIq/Rfsc4Pj+06UeDRJhhwJnN/CmpJH8iwto/IExXvghh1HyW0
zMtRBLmviibnXjth6zPsCWB6uxNFx94BCMV5vPMbmyLLse4SwDJ/B0tMNs4L8WfwZ8UvbGo15OxE
SlR99Zi16zA/GybNW+CYAVkUn/siXX+/iLLc1cjObUFlknmhaLgFWbhOGUM3SMHHbxyHgdc61nGO
dQr8rqaot0lSevcJiAN3IdqJ8oGW9btXReoTkjn0To2UZZhWLc3l3Dfz1gHXlsdCdGHOsKbf04Yj
QxiRleyQdpAJ3Ja84AdEZDbIGq7oI5ug8H+CHMPajEDK8DIkYfGpGMrpcR7m8VMBm5fyIMNliLYh
2mS+NAbbdhZyu+K06YrhhxVGP9UhG0kWwkVCpDOS5p9I6YJPFtlpkoIy3ByDEBkauEBV4RvnNZg4
MAV5K4AGSoWC8wjslF4jUrQ6VRoJObp6EVK0ta933hwUG0UQ5uQtbJGO3hoMFVrCZjh4oyXQpQQu
rtk8QH2VuEm/zlLOKm0H0X1r5lJDvRBF4XMSCbcHqbp4cKM3Hwsshr/mqhcfTKoZYXKnP88dCE0b
LMj2a40i6Z435QRpbbTeKlldK4teFMCNCiZ4s3QQJSzqtfXjAEUW8RVVGJJWnULEzvwbte6/6e3O
BcyLUrf1NTFz53mHtuL6HhyFCuH5LJ84SPYvQeHkc+/BH6uNFnEXsZbv/10zu1oxuyhbLxMbUTAr
22MDgkNuVxFmYSjmnCyLyYWdaAL914pUrhhrnJ0W5qU+fE12toORLST9chcw2H4ju1g16QJwyK7E
qfCT7fzhYfE7/bWPoH+b69HbBVr8tgEPEJdV4V0fJfFp6MzBDKsuMuw2SCt0QoYvA2+QjSttI3/K
2CAPIepiToemXvE96B6o67JC5l2Eg2syxHz+PTJW6PmscbCukd2ovd+eaMvfAuHOE7xXk603FCM9
xk3pxE5Pw4o9B0mjyZEKXECUkHqNMx3ik+RuqkN6L23wK+jD6YVNLsEUk8XzpLRIxzHo38JwpFtv
VvJz0Pjt576fUV6iONd4fGp3oUXGYqi95tnUzN0F2nO7qh/RIQiEQJlR9DLCdxQpUCqmrzj6FemQ
BAz+esEtz8krn+wlUgVO7/AqqivU8wCzOkyJX+U1zIDzmZBpE/DOz1Fp6W7oT/5KNMNnewlXWTxd
+Nj95DEEy4pmODjon+OsaWaKCtZBbvjpDLK76QoHpVPBB8QhE/IvrzYm4+u/P+Fr0qtLyEqzigLL
ZCCPVuBV0whOOP146MW4R20L57kYrdQwEZWN2IU6+vTvu16pxV9SV3Qi27Jgc3OE2Hp8JyuKM6IP
6Y1xvVLHvqSsOOajBkJJdYQJcnNaJ8O2CeHukaJkjIpZU9zSSP4VnYYXeAmjWCNaFgr5n6MBdbJL
y/GsYOBJEOXAYEwvvcD342EjyFbs57ljM7sXFfuBVzkS4Lb9ZN87Urw3orFPoJpRpKHi/zrGF3oH
QGE9kNn+H2dnsiQpDibhJ8JMSGy6QqxE5L5WXbDKWliFxI54+vHoUw6TBDZ5aqtsMwiEJKRf7p8b
MqRN9I6as3iD5n/45gucSQVAQrG1nTrYokyIQEMmjPNIqOhWNGBL3WP24YCeUXqslXGYgWBKqRdU
8VrO2tIrm4fl1KYLT3PfytAzWufdG3vvkWAQfLCuH6Q/Gg7mqLHCGjY1DwPC/Xy3x8kSx/5wk2ZU
Yx1ctPeSGuneGTPv6BqJ+gZK/jIbzD4mHZaRNHE7GSqU/gMQR9/SNuNIsIue7NEiQdz32YrYY6GB
55CTFoyZGE5TNDCP/LTC6p3+vj6yl2Qql79/ku/1Pdyg9YACZuPloL+Y5fBr8pB5NRXlmgVk6cdf
/v7pFh4OvbQz9sipIMl9CXdZnE8riuGlS8+6Nc0K7gB4JcOxtaGahGXw7XqzLHxX5rExHbadSVyA
idNM/fCbOokFPxZimbPJRAU6YUAI5RCg/Lh+t6WXMFsOAcLjRjSF1GnCfsPoby38Z+IrFvglXeM8
P6atUorlcq3CoTQAduo4PQ150ns7XRJnj2OXlB1R5Yt1QLGYzw5YXkSnFAcx9MhwFtT5GcuGFeHV
Rf30hWRpzs2IlRJNCUV/SFDUD1zUptsRRlvR7XvXOUov2Y2Y9FdutvAS5xAV10kB03WyMoxJdegM
8zHyFIALxfTH9iCFxYl4cP39LXzA5jyVRiuKjDIVhzrSIZHxnmSlL8wPmqz086UbXJ7w0xAyVDl0
RR3FoRAZpA9lO0Zvio7IoZ3AazHBUBm21x9loSvSyy/4dKdJJm6Fg/44pCUww2faN0Eh3JV2+uri
HmFzAyJtB04GCAxCpNhsYEKCcC3eRlG20tO/aqXL5WeSO7euNB8U2BMjad5bw9m5aXnumviJraah
fLVxudxi9iKczJaxB7VX2Lcj+izL9xVNj44S4BhZ5cY03BpymREnwGuhe0ttNnshSa2KjA0sCmOX
3pjZiJOwZJvV5Buf7ssDXW776X3HRp6mTm3BF4aTpWYyfmCz8I1Z7XLp2bxv5fXUN53JQ8970zW2
IV6/VcX+/99PLxefzfyQk1VwGRAvFGmxwynJD1bFO69PV/MHLheaz1SXG8zWNB5tTBv2WwTNM2Be
rM7N7hpVWRsrMvtth6LlXYQDlK0VyQ7KCwUFWCOMvSMJFuLcnjaTM5LN95519nmQcLm6KKbAdlMl
m7JUkJgl+rYU4ns0azZ31okGsmdTMTfsK1D0VaejwLLFc0PUSi9bGDZzf90ALSJ4fCn8dVaS+x0k
IkE70Fspox2szg9auiLQpX4qS/7nept9uU/C+5ub6zpqVyZc7Zf3Z0a7tG22SrJdUjm/MwuFz4ll
r5dMNZmmz6NE4er6bS99+4te483mh8gkWSrMxAmhhjAgLB7GY5/Wxfb61S9X+erq87kA2B8vFjjB
bSMU84zkFRqodzMjewgfINIadb/y5VyYSee044aZkhV9gWnOjv5FJPrJtbgDW+kE488aGWDpYS5N
+GnmydvB9WTJ1Yk5uQzQxfVv6pkiMCxt/gQEpb9Bunn9dr3lcLK/0HazCSNDnIcpcIKHBHOj+HCH
uE4PCpU3OxjiPOmOGcR+wWAxZYRDb1kviLtp3gwFCRKIOOnZTk3xCCUr0pKBEy+eLC4ahibv0wNO
FYcPnnnZG443PIXKDHCuXt+UZzMRFvQMZkU3LU56H0qPN4FRUIrUY4j2/A4HZ8PW7REW5o/5a1r8
tqk8N2SC8zQ3p3fUffFebbf+6VVQ/LB0VL/NCfg5PwL3qUaVJatfY5nzQ0Zse4tjnv7cVU0j8TUi
ze9U49i5R40kqB1i7tyKJFDEQp3iMJSJiI7NN2o1kIxw+HQdmiaXdaG5H41xGHHuWhlvie3ITUS1
2rju2B4Tw36MhD0EwpDFAfXpcjjaiVGaPhF9Cy1L8Qd5cECUxYZxk0IcEUzIdwpKnPtuSt5222wc
fzRDxKDsGJyN0UNXkOGoeBd1vXqehIMUcN0r9ogmnf7GZWYhY8ytHwZ96L0GZ7XQn0FxzJRr/all
9jdxKE4yJhT0N7YSOGeZHNvE7AjTIMJAHPu17Bu5s8tLmrwuhx2EbgS/FZTYFwIClvKpMPDWvYjF
kDQ3cJJFee/6qdWOQTHYHeQrhW1tbWjQ7qDhhdI8J417rlXfo7DTxr6bXBxBNU5JXHB1m3SnvKGk
eP54hFEH8J1dmnvRIRdEhA7p6cEaIpJh8okAPOSZeLEm4b7ZXV8dqsKJAA2isXeEFdA6MO3ZAzyi
8M/D34ZGMFjPQciaGv07HosyVB5P9oUNvRpDQuSLEXfRrkA5rAsSrXkU0CEewaKKjMG3O9uAPiHH
Gao0iXi23EQR3zC0vKndPIN9yIu3eZ4WAWmKftPyyv7Q3Mq2owdRjw+Ro3fMUDY95FihF4FEGt+9
x4Xe15I2t8gmk3eSZvQRGwUDOgkcRG0T6J4s6KnjpN+IQrYmRC9x0QYZI/Tp+phemmtnX2gumNKW
4M3J1eykq0fEiH5juX35dsw+uBVUOxOCWNoTp8YbUeIv9ayjl0wHgYiX6z/+P7jWV3P5rHoQgU6n
JSrKpzhDo1WAWn+Usrews6dJSLuuvC+yRG6G2myjwAVchu9wcDt8UFvqBIf/HJJtZlT0X2LF8TOI
J5nyu6yhEsp4HCD7npBgPl3/sQstPScDTrzWSKP3mpNDEWQnc9kHPHdXLv7VlhCNPacuJd7AMX7G
5oSSOMXJb3QaUnGXTN1zYUNCG/VD0ANodP1JFj5s7uz7XA66g4V5ak4TKEbQ6PpedUiT2zZeo4Mu
LNfnUBAimEQPr7vQI/2himIcRtbNNotRgf/eE8wW7PCYpI5Glfmka9cLgSxXFTRwmfMCkov8h2k6
31+/0dKTzL7Po+HGhpuiWjZSqE0g4P0Vudmt5GtYk6VXMfsgSxPH51xU7annzW6cCuQh/qnjBnPG
ygMs9drZ/NBSB1LKXkLvRnPbj6b2HZrela3mUuPMZgi3ntwy6azqlOj2yYqikMdWQPr+4XrbL7XN
bHKoNeeGRqJK2OS6C3J8ngJbl1h0qJseB0vf60pzF3fqNaIgcpBgszhHl9CHOI3vRd/8zalemUkX
3sHcqQ3JhmaOpYADcof6rL04vZvGuFoZzQvbirlNe0wckVSoPsPdeKkf+b373vFia3WWL0vImYpk
F5PvttblXX1er05Gzy+kr1MxAclr3rl2iLCAoCxWyslf+n8xEc5N2mKCuHWEN+tk7aN9ehifZNje
DTfmAZrzwA0Q6hrQnT47u+JQh9UdOQBzenC2a6bYpVd1+fun52NT6fJoQpfu7dTHqaLFv8WvZM5s
oPdYrLQ4MwekKe2eYRBPN+YYPVagQTouX/uKLP362WAHm7Qrm6qAHNYboGCPHiprjZG08IGa+7LH
LoV8x7N4KBgJIqi/OxzQJnAWtNaPEUSmvK5XBuTCrOLMhj3pIHNUXu+BwMvDjiEB1ymb52iKf31r
Wplbq6vBUPngQTAkk0Bpx0+sO90ov+7Fyqpm4QHmxuqcNYoI1wYyXMYBj6IGLNTqRbrRN2znGCJz
U7WBqNghEQyKJ9XdIO52y7Acv942lxXAF+uxuafaykQbs3QokcXySquzSp1TRKqAT8+TvebZ/Q87
+9VNLu32aYxpiCxxRp17YQSBDE7fI3SexL6B5zf6a/IyeQbTsngwo4gHugOMt8sMsm2y0t3qzMnv
KiuroXarqrMsQanBabynfZaU8X7qoC/yByNHQd0o34DnWEsi+/LQG21uzeYFHDVPWRSDK1yUCE60
+7TH8rNEFJFfG0MKxh6DjdG28TJq4uknK2E5kpe6lI5+o76ZEM3mCMpLuc8pywnuQfEmqrOADBIx
PGoKRyNZ6bwLH905g9IynLSD1VKd3Oq9xS6NpM22ZyEUmbvrXWxpdMxa0iDAaBrQz4amhYLBNG6N
y/kk+Wb5e24H1xlLo4pgQSWn+Oj0zj9QbTa8iV+oUa1MIEtPMJtl88xyCCTW06mKhjRwVHEsJ7YV
cS0215toYa6dC4NQnUg1GSFjnxr6ZFRduwEs9x1v3970Rvyoi2mTwPqyMuaX7jabbz27sMyoctxQ
ZvavJh7CifCTOyhoHplA9Sb6p0yy8vIXPlBzpUrEs07ZsmlPRVG+Ol57U439n+uNtvBW5rKU3IQB
PEqz7lTWUCFWY/mHwuWnRgANrt9gYW6ca04Q5ImSl1vTMI/eKnGPhIsjbEOwYuU7yMhXbrLUQLP1
FSzvdZtauTpVKZIOJxrqrFppoKXfP5t2L3bkioGaccouTB8DZMwDTumiN5Sk5W4c3S7oWpL8vt5Y
S5P8PE6nde0osbuGhmMvHlpBhnNCc0jALFiuYFAE8Yt5NDvUzJhC6Jf6XVrVf63BqrbQGBibDqE1
HG6NrDuokiAO0ekAccrbnh0yxP/c2CjX/eQNrW+oiU3s9R+9MPfN03l6EFfiuMS4q3q1aSMIDDwr
kPErHR+v32Cpj842TEamFaqXDpYeI8DzMYXau/2AJX0tPHVhKM/FGPYYFYZbNSRMcUCzKWzYZ0cY
37eZqeBjTSJI7CIvD8QALfq3nmjOEDHbMomFGGBHduybFtLA1oievXhtn/8fZfyLtcI8maf0SN1C
IGyGpegfW1k+03bcTuA0wPc3OGHroLrnZXZ2rGBXOMRUFW/SgUYQ1+58gw31FtEq6Ur/WHh9c+GU
gVRVVBZjM0QB8w8t0rsO4vUAVLuVxlwYoXOBSwM1mYE6lhsqoYOyfnYqw2e8D7riHGEx/703NpsG
ZJYJyLUTcnITGLOG+15pn9b77138Mq19WtrlMUKINCRioenVdAtUWATkAUXhnwMRcf0WC4OUzTZS
bVGPrM7x7nPBA6v409Mj0pM3tVoZo5ef+lWPo//7ERgoLH2fNFMoWrMPW3At/KJt+UoDLb3i2Qzg
tS2sjxN3QubhpJlzcMKojxMT34N1bci++Y5nn/QCoAiT5QYLo8wwXj27hukTaoljhxzsw/XXsDAW
5rKSmNoIqIjtEYq0sycSKIj3NV077v9S74bl9lxLEtGhKLvK1KdkStM0gPC8fMwMMFVzJ5nKXVN6
1YeEih7+R6uwwCTxeof6so6QUS7rQb7K3KV/owb+tIkk9T+3zLGWVYWlV+oUSyer5PKCP/V05XRd
QeDYC3HkDrOrl/jwPXc+vqO7mkzgzSCCS1TFuIE199y79vFbzU5m64Mha1yrzsDQFDAVbQhVCEe2
BySdZGO+0nkWH202Q/RRnlR511rQ2dH+abTr8caSrrd3tK2g04/HIHe6CBmsNZgGSYkSPOo4v64/
38Lom4ch4RSrgotEQB5XuplPK1x86trd9Ysv9dlZ45VpUeZDdcmz7MtH1tQldjflDXPN1+vXv1zn
i6ljrusap7QzILnOTqW6KzO612YcVIis9aJ4+707zObXsrYaz00dBC0W+fvkelGQSr4b4STwdTTV
K+1kLsxS/2WBfOrcU9tFkaLUDLO2DvvC2JTABGFpinPJAzgLd1F3pN1P5pAAlsStRjxvm//UTvKW
DbAzsp/Y5K1sTpZe2Ww2zuCIpBBljCFUyfkPKAnYtu+jOsg9K/lWJAWbp+NMlEBEAApByFUBFp5E
NULuuLfyAEtNOZuKK5Fp2jKLIQqo9Q3nb5QzP/XuGseBAkSvfBMXWmkejlNgZa+KgRcnkGXGMmhz
HCZYSICqNoOs1tCQX9+EzkVSVI+1YY0WwquMCz/Mi+S2VyraRKQW3+t4dK6Wsh1IpUTpVKeSFk3i
94nQHzJzrBcZS+uhG0fM+AZoVlNgMpP/AXID3JBi6mFQzRB5H/veFONkwIhwbgPrc+cAYXvZTRC4
gvPKrVZ+58JAn2cFjbaEZ8TWYziW+gFKIhC1ej9zEeuoP64P9K8bm/03Mj+NQEpiEIl6awijCUZg
UAOavTcZ5raSub3S7xc2C/99ez/dAgZj6rApHtDW+p8pgUQZkmoMCZYowpe9DasfLWC5NJpJb7/3
VJen/XTLNoadV1HZnKzINbZ9Mv1IzXrAtq5cGW1LL2Y2P1a5zr3EwVM4gJnfT7Zw71SfupssYRfZ
HYy31x9k4TNlzhahUYpALYBYYVFL3AP8sFvCyTdfy2zGK4uiS8xRpSccRXn2k6EqAPvwtYKrxbuP
237lVSw9wWwh2pvMrYB+Tk+gZJ8aZT9DobOyNFy69GzKm5xsSFObjkAJtmdoAcMklStrk4WzrnlI
S9sWWJl4Lgsbe6SAlqSq3xqAjiB3CoQkrhq2NVqA0mGRLP+ZvSFXBvzSfWfvG3wME/mQioYx0o6H
tlR+SdWWA42HiLPhZIztD5JxyGewYFl5QQsfDjLrB1mV4p3rhpzsEllPchig8YHyxs/ogJsi02VX
Xwh43+rPZNYb2JhAxYuWDdsiuRtisS1jvrZSXnqQWXfoxhJAQYoHSQtIhbZFt+1e4m2ysTai9+M/
AKupW3k/3hbb+G66v/48X88DdK6xnsZITKAM1iei2THVrnkD7ve45cmgNjGFMfH6bb7u6XSutYbL
3WpqFDRPWKeQI5yq5QtQhmu2vqWHuDTop9kSkHRwVZAaFBYZIr40SmFwDx57leldb+q1iuNl7v2/
i1b6f7JJRmMqOohfT6a7l/FdldxXxvP3mmc2ahjUUw3yunHuzfO3gqVPTrIWibD0q2ejw42HAsov
1wy1E6fI6uYHi7YFdl3Fypn9172W8tmI6IWKWlsjJsiwgaXRv/pU+V70E7I5n62msy71n9nQyIkb
RYaJWOh4yh9Ak4RMFgvobzX+XG3MhsntshGnFLTWfi3+kvGbC8G5qDinIwiTPdKN2lSMZ0gxZIC9
unvkMTVXvq9fz7d0riDOzJY3rQSwr24LtlF9RxMfhSXgB8uq2DaQ65VBlf2K62w3Vax4u95kC+/c
uwzETwOuK+M6yUlhhj11gArS+XPGCfVbJW/zXjzLktnfmtzpXFqcOLzLehNBsLX3Au4q2KibCv3M
rn6lzffyDyDO+99PM9lelE4utN9F1vUAflwEDTFK/bUVr5na7P/qDl/MHt5siMNwnLtALKKaaMT5
jgOLG7amrP663AYxbYKw/BbQRKv3BerE+d5JSX5oTF2Cp4xsYOQhCPAefIbjXHwbmiqEBnYMgHSz
cC233sox1j9IQQs/BXh4U3RAQAasQjwGALV2dMRRnxOmeFOB5KTd9FPE/lqC8COy0GwUh8zUu2U2
rLMmKEUb0gK1QVuHntMEcdK6gNMKaHCQM8TovvEm855NUyOcyRlS+wnbhWw3cq4cOLcrfWMMIj5T
t2UgSzkl4PSZjPZQnsVh3CbyA1UnRN8VmIQaKxcBCHBAZ6ResaPYmAMmDaf4CNHd3smNaht7uLhP
E+0eAMZ0X0CojVE+78gD0CXDTYsQybA2c70peCGC/uIoJS2v/aJqowPIg+XBy01AFRLPALjBnv5h
beLsbagl/JrHQCkarf3c50KfDOKQPRYSPVIoaL8Bxoj4g3Dx4NZQng34VbcjjcenDhF7fg1izyM1
IMYEGWVyQaW06W6siDiCcI/1Tgp9tXRAQ5GmlSOWBJyZ3AY2ZSyq+g1UMLbPxiF7qR24KOoK20Ir
h+AZ8MUUyGe4Yz9a2xk2qMqrp8pGepROZHeSrX1q7B7kPtDmjiMimbaynwBga0m9URXMUUVK61ue
ueYDokHdDxa3KL23wHbLXg5HpxTgdJC4O7mZHm/4aMY7rdwJlwK8wfWs3zVpWpyGgLAL4KqPjEjI
gOH4CwCUnnyLJ/eGMOhxhF5753LxJ25r+4iaKXkyreY5L/IWaI6M/oYgAfAdLqv+BwVFPBgAWAIk
oUIf9vPYZgEoTOIfWDIqKPWoj3lVNxtPFekGgkv3PoPC+Um03ghkruBbT43TDzBi5UtVyeY2HpwY
KAL9D8SgGhLrMbsDYiRCA4zJTeM2L06lUhiXaY8XIsVpHCVSDUyn2kGRpXw2ylfXrpNbXqGFzVyJ
Y4QrHsEvAX+yELYIVN/kG+U541uUDUOoWUr22EUzMLTheiTSSXeO5rYvFbjphSPrvaIT+6BCi3Od
wglOWi1+G8BoHbkeeywRk3rPsNrfpiaJYAODYLXC+HECiaSGc20DNegxhocUVRSgR6sNr1DCBa7/
P75Nsss6t7sHnRaSdSvmG0OZw860RHKwE/ChS0wpQFZCuehNNBg5OP75MJYbVjvgU0eof747gKU8
FBVQLh1ipTcq7+KNPTpAqYwm6baVzQdgK1tkkxfYEACIBZhfYxhpUI8EnoIYxMeH2mPkPq8zYLE8
qcKxbvVesMbCCWz2N2IlCJN2Fm1ihuP9iDnpwTE59XwgOyJ8V10lj3Y19be8LDMBtJfJ3wVJbT+h
LurSpojgcJA99w6jysufJvwXKXLYc3U/TgJkvqajSK8oYXS4AwLHuy0sHv90TON1FKJ2MXfU2Gsk
mEK2QG3xnah0c54qKP1KCzcxhK5uUIPpQOHEkZFTogRRIvoCtG8qp/spQS9MCmfakCr2ToBSd1vO
k3rDlT35rC3dWxOsstsRJZxdjt3STQIG26k13eoVvTp7jRhhL+g7wyMKvgPmU6NpQAcedM19Uky2
ryeu93lNjUccPap3KKMJrB1JH4ioU2c6FszYRAPKlKplg4vsMI1keAUkAQrWysFEClTXwRwMjsJ5
h7EpaEKf6yIFqTwBBdMopvFnM9R0g8yzemukPEL2X57yZJsCjoihABRs0IqUHgrFwW5OiiFo23o4
cMbY3VRX7QZsKHGbQqVxAPhkQg4QR9nNo5Y4jBoSScIycjeUBbsXCRhA9TR1O4xgdFOJsaDcEkma
ZGj3w4VxCBZ2g6DdHtG+R0YS9QIEXbNhJJ9uCpW2GzPNzF3GS++WkoE/jgJBM8kEagrvsHOD3cC8
g6MaOuKaxr8bMPJ2squS2xgzTqCsiW0yx5ZBDiOYH3MShQMjU+anJNK79CI+yjnHGgjLrwK4R8QW
3nOoRB7LvC6eSAvVkyyzcgukcX4Du7N4LvMx8sUUq+c8y53cH9B7jpUkCKYZKNkpBuAtUIGb1CLT
kWmL/EQt3DlEIHCDwan4LeS9pe/hzNNHlKC+8RKAeX0nHRACM1lkj6pK9VDizDwci0m+2aChbAuW
u3uoRL19r70R/7xES5jaOkqdNs+S5fh0KRk99oD0fSSQFe4hmnIfWFvrfTFWGcYJ4QEhNtjSRuUc
AcUCjq2TzblDmfNkYfL+wUxjeC5a9WcsqAmyFwAkTT9URTCiPH7TNeN4a3Gj+dVbCmTDOkYaTxf3
O4Rn6XOvpzxBE49M+1hs42OeIx0CEzh60TYXSFrwQcCpNpbpGO84Z8yeEDye/NJIPNxMmBbuaNxm
P9oGtMSIJmVAyUTRkqR5AVsOJgXDgTbcNRU+LFFWn1s6sF/dNAHNqLWJA0uZGMdCXxZjLcLYn1pi
Qz0r7GzDUHHfj8BA+yqm022kpPpLugxUX9tz4aS6YGXHHiENJEnf4yZLz4mddY+Yt6czpl4GRshk
P4pCl+cKU9yhMAz+j2loJzayamno9lh0lZlnbcwG+R5ZSeCe6/PsvS8Ne0dKWRylMPtDh/zzk2mq
ZDOyyTJxiMVAqkbQVJglcK37kTfAUhHXscB0Lr2jrQuAlUHP/53S7gKIzcp7OJCtlYrPwkbPm22R
Gqu1dMMbnPylsIQMGZOgnBtdwIDVWalXLeyz58aOGkHXjl27PMQ4DGF37YII36Vayq1n2EZwfW/x
dbWVzg0etgcqeNVDmkG6GhDHlp6VMM5x1u1skRxBsrNRmGAre7+lJ5pVDlA79zCJYocmW3ZuwZBy
4xyZ6nl1jAyxImhe2LvOPR5xLbmbdoqEraEV7ID2IVFrTtmla186w6eNGAI5SzfVGQkrWb0hQh5T
iPLWfL5LF5/tizwJ5ovXVci8c0Ch1iDQhrAgiv3197xwdW9WmLBMUVhgfHcnqzZ+5pr+7qm3UpJY
GgqzkoQzQPerCgd+CBAufYBPj0rltwQUym/99P9Mo59a3YCq0XUGRAtUNm0DPY4D4jSGH9cvvvDj
3Vm7VL2WeSGw/MNSuNxZmVkeNNWImajdfsVfvbB9d2ftI2oYWVGtwRAzEM5idxAEDxZizqcf0isf
JzX9vf4oS6NrNiW5wqS6BIk6xGYqqOoxiBG43HeImgIl9Fu3mJtSmCKu5RS9Ca50FYzm70aMYc23
Cr6O6zdY6KZzS4oTE/zohgFQr7BEarpzk7vf66ZzP4oY+nSSojJPcfFm4GvU1A/NtHbAs/CO55GB
VRrVYLLESE2xkewTTfhMZUadg9OY7xFHBzBhi4rN9TZautelK38aD1oUwF61KELFQ1SeKtvbd4BM
OzVg4Z1FGIyGXv29r8M8P5CTBtUariFzGy2+cUQK5Dx1wPAGUs4fgD0Ck3eAShOhgpvrD7fQied+
FKyeSos7doZPPY68nZH1/jRWbxpCM5CA85U6/EIdb54mmEckhQU8jsIpfuwkPMEN2YjpXcTCB1Fi
W3c/zH6lZLj0tmajHxS+oUJiDpSz6h8bX9v2HskfA95Varxfb7KFKWxuTEHyVu0OjSFOE6mOpVV9
IAZrIzvne9HOdG5M0W4UZ0TbZjjZgEaTir51Qzut9LCF5pmbUuxSVimnKNQBt8l86sq9y+D3N9Nt
a40vBl9LwlxopLk5pTSQco/dgBlW3fQXxLGntB0PKpdrz7Ewcc0dKnQEQ9QZIE1xaiaPAjXb27ZH
IeL6K14YFfZsyNd5acLjiSPLS8gXSOYbM3tnQ7qVxlrm6VL7XJ7r06SiSm7YvARRRXNvz4X3J8pE
4juTs7JeXmqfWUGWsyqzbQ92Rmw7wXCo9kmnjtcbZ6kLzT7hjZlTs5tMrA9iUBcqZJb9A+9+MyU4
11lZJSyskufOB2ymUEagE3glBUAJKTfbe4Bu81PZ6zuELewYi6etEcXu92ZBe/Ypb0ZwdDtsVMPS
Bsh5+NfZ1Yakv1qUMa632cLrnhselFMagyVxsKoRQ9ijRKHUX1v+un7xhd46tzwwaliASlAPe4rq
gIjDF5RbisDoqztUVKzt9ZssdKi57SGvLeAcessML5QDY5xeCpBCVr6wS61zebDPg8GeWq+xYy9U
FUEqBHkcDGQouitKioX+Oidqcttr4CO8uCEzCzF8NTLfaethr0qOsgby2szgFrveSEtvYjaqvcxC
7F8TTSdeHTjy0CzxkRa9j/LfSkddaqnZsI5z0NtSON9OFQ4uuPuTjreZK1de8dKvnw3sMrdSlKag
YIFF4FWWMAubKEYLqKCRBKbWZu6lR5h9oJG9BEZ0POpTpqCJpDR9kNqmKCGOK4+x1FNng1nAzdII
rsxwiCQwi80fI/NWRAwLLTS3OaA015Vw82Fesq0z8DjvOkWEBBLycKz273oXWuitc6eDTJFnK0da
n6xyChoHJ5tK2U8id5+aGHiVsczW1IIL7TS3MaDOnJncFe2p0wonB7X9Tmm5sodcUG7TuYehzmgB
apLExZGXiEAN5IwRabVbnfCDK/tjPZA9RJavyaR/UrO8cxP2Y+D5fTtZD05aPrSZ+cRN8nS9Uf/b
F3xxPskunfHTDENqAvQMzq3CvPfgE3ejS/xGNuxtxxhuvbKK73Sh4n1kSXUyLISjFpTRI4lZ98uN
W/7I+hG+qImJJwvUF780iuYFJiWc0ndlh3+DXvJkVVC2tJ2GLpoM6s6iPT0zU/1hFhkgWJe087nN
xR3AVc55KMGfAVoQNbO4LB4mJH0icEnhLdcT3ReIit+hBQff6LroJsJu5oQ6iHlTIN7zmGGXA1qP
Mnfm1LE0IBzMV4PhwGfyWhGi7Ff8KEAq35R0Mg/JaGZbTNyIVsnwNVCF6Z0yQ0SwjEJFNkX4H1DR
egFvMDNOXMW3+ciTt2gw3UPvjHI3xEi9KS1My9nQ9rcdd52V2WypB17+/umtKDVyxUC0BUpF3DGm
jpYVrSxSFmYZNp8oCw46tQM5CweU3jpn7oM1rmxm6GUi+aozzebJoUJAR2HZ1akLrb06w+FbNb59
dg8iiLflgd7lx+jOSv36Flu1G3HXrcw+S880mzk5dmpQOtDypDxkwm7FIADk72rT2tLcG9Z890sv
ZTZ9JuKSqI1gthOZ9Icl9XuBwJGV7+PCum7uFsHBlMNz26VhPRnNGVGqCNgYLL1tJR+2KF4jlKBx
vU1c6Pb5+sj/us3IXJggvb6PEYdYh530gKxqsKttgCWT/Rq76OtPApkX+nTRNnVrWxWAshMSnV+R
Qx0wKNj46/ceYPbSk0l2cL0guLVP8aWRvsh+W+7at/jrd03mVXXIHcyqG8oa0fKivG0No95lSZxv
rv/0r982mRfU7dqb8mIY+nD8H86+o0lSnO32FxEBSEhiS/rM8qbdhmiLkIQTnl//nZy76eYtirg1
m4momSBBXuc5JtYRVI6phzRO4SFcck/jfTLRFcBv4SvmmHoo2hbAWNadEYyO6iftEL+rCmf//lcs
Pf26Uf+1SElmLUH9pTq3cIO5bxOIUhRYYCtttDB85vC525Um8SEdhEWSc/AcOyKvtLotKtiqwFx1
batfmAX8+ve/vqFGXJ8001ieVUKORQB/oQn5QpFnh5/vN9LbAA9QyX9/gAGmZGRoFG4HSbkb0wpR
2znhZpfDqe6HKiXbIAIR5BgwTkgpu7XFammIzZZ5kjNkTGRJfi4KRBwBb/8ZNiXfVLDujQImEXtc
5fwsHdFs3v/QpdEwX/tjuDLWSFY5IeApjpIC8r2y94sV8Grp6bPJTrMEDuRISTh3BKTYUFYFsH0p
jh9799nK3nUuqqGjzs4FTxHFBSvG+yCk2crutKAXc+dgNUXcJE86xWGUPfzyJkSWiTx4MCR78lIk
+/YKZaemvwVJ85dyaL+ypbx9XnbnCHbPrHHCIc3PyL4y0KSxWu8tufcnREwi8e79lluYP3MsG5Km
JjNNoM6Qn8v7QaUgUYapU9xJUacrvbP0G9cV4q85mpSVhxw9WL/J9HVAOnhTRGGVffADZgtAAU37
GBPn6l+WTCD0qGabpDS/tUyvweQLY3eOXeu8QE5VDQtTr0LqWcJOIScrco7/R9j+3yOXO4epEbyS
TSjNhwBorMWhwWbkHnn3ekIOHnITeZGAOaEmhoBoVhwSanqCeHPQKZDj1GxRQ5E9yK+2PmRp438V
bkXa23EqUbFsXWuro++y7KnvHeFuRl9lv2TtFRZctaK6I0hLvoFTZABDzMzai8dMEUcIlAEbYiTu
bR0gYXyqQrkZwT7bDHEYPjOYkiO3Rvr0vkZuzz5HRtyDG7fq0oEVdGuCip8J2D8b5ZEDSHPBY6bj
dJO1/vAZbjXhfuwJ9uOUeC+NRaAVjmLuPoZPqtjQvpcvSqb0th4svatj39kSL2PP/RVchW/O9zBN
4h9BXWRR7XoVmC2ue5iY4/2iSI3+PMBS9DsrA7VPHU37PUrbcucyJEl4vg2KuzzQ0NKn5dA+6LL0
7hDKWuxzBEd6YNQ4QmxgJ4rgxyYW5iZAgKnYJAXiqHYIKmKvaeJ4qJo7IDdNoAHD1qNRW6zM9QF3
CrdHWq3R5GLruDwn3kh2Barrd4FU9mniIT0HpbX38eh3tzEBhySGheumL8fgFlFt4aN0kQgE3Wt2
aTRRt+ByBC+V6/JdrLVGYiBoh+Cted+60EOIHzEgQZYaUaEqqMwpNUW9R3pK/jPrenfXhqM5chGk
J28s1aEb3Aopsr48Enh0/xDUAbVBBqAcehXpd8NIy53TMTBUg1R+DuKm+JLhU6aNa7twQA2jDS91
0wcRUkd5HvlDIPC/wndETOmDYBIVfWciZKNYZeBhW+YsPTRiDI95kWPwDSAbUVM7B5eQ/kjQd1HB
4hixSRPOlEFnTvC99HYalK4bxA+2l5Il8q7LkTJXQN8XFbSkW7cgFjaOsuo/CZBdQM7zh0eEuoh9
HzOEmQ4+gVYkDSq2FSb3t7idy4vOwE4rOuSXpfCv3cHRhsHmxxVIyAwSOG1WPQ4J3bTr4b/q78YS
el8WYIN1wBO9d5BsAkjcJreIPIaXbQ6JtgIb8GYIPZgXkBiknLTo7cZ6cJqVE2Ed+F282TPWDfuA
6/FrnQEaKytSX8qa21MFttXvUOvyztqilxtfIEwIu2xfw8ZiqMEhHcCHEVFe6LzeVhMyG0FJoiDX
wiA2GhM2fZ6I7+/iwqXPXZ3QO1V6eteyMbtomU39ORyD3MEmgZDwPJXuqUa0OwyalI8oMwAAfimL
Zzaa9JBluYsoO7i69E6nnj1PmEOItKHIyOQpwSSMgknwLdPauyDiyImGOPnDGOMb4nYO3wbQLG6N
aMe7oI35pdMIYeVD1UZZo/LtYL0OhLV+eKgZjABPCMYVvyEmhAYAt2KkqXW5IAe4+zRRiDjs7QCE
lG7a2PfgfzoNkP+gb356Y2q3QisnauHuv0s1KLS8k2CuYWrBMAKBp/bESElBzCiLH/CQyTZDN6Sn
ilC7Q4wrcsNtIX/HvOm/Khf2XnJSxTGjZf97wOUZsXvG/5HVTnsq3AJZt4ayI3Lcpns474rNSKpy
a8Gku02VVIckFPV+ikHEB4c7QBKx9IfmVsK1I+qD2j/CIj4099rEfO9VpWtAVg1gYwzIpfrhX508
Tw7+lUUiHJgLYmCnIJHtfX3bhAhqhvcRnNMj7vGGXggC3duP7btz9LxrR69wOBz5WN+ASp0jstu4
4LfRzMjDh44Pc+wcAnmqJJIVL7pI9qZsLiUfL4jj+NgNZR5IxUnCQ4TVlgjQjUnU5cGBdp3Zvv/u
CxeUOXoeEB1gEY/Li3BfUoyrMb7GlKRb7awlkywcHOaeamQ0teUmqaAdKL41YXgLxP5DHAR3XndO
wsx1lRrjc1CzYDd0AsmhLkM35PXuQ80z90Mc6yGG1DqPz9IOB1rFP7qKgMmn258oE6/5YCy00Lzi
zKqQqDRGAK3flw9XrA688pUWWjg+z4vN4CnhGEuz6mK7zXhr/U2qtjg684/pS915vbnJ4DwylQFi
SMrsp+//oZo9v9/yC+fleYWZdi5s3UHRvOQgURat2khk5XjO2kVvYdzPC8yJm/kCOwtGpSGPGmHm
QZrt43r8Tspk5Vi70K3/U2WWvdP2NK4uTvMlSF94/uP9lll67vXvf90kCrBza/giVJeymh5BmP/k
NcnT+49eapXZfRvxsxWMD2N7sYTtfHFjZHYKzV3Zf0wa7gb+v+8O8T7zkep39Ue9hQ4n44chWMFt
l5pldrm2bQkT/gGPDv0/efXsr0HNS20yu1YX2KPqxIEZZc+fAQjsXQ9n3iY+QDqycntbePN59Rgb
vOPo3gPgjEt71BUZyMlqzb2Z/Yf2vXG5mvud2bbqk7Ya41MTd87eT0zyaTCFOLakV3sknOtdjXyl
XRDIAiEGgZKPqgDybH2uk00A+nO/r8J8uIgqbh4cZeo9o4V337GEf3VBSv9+jY9AdqCXvoColcEu
ll5lKBC0ZNbv79KhRUp9OU7IaLQTRHeW3CJXF+Y5xELzFU1IeZHR2Hbe77FwEIesnD9Z2o8/ykzA
n02j7LJ1B3Adtr1LqcQhW9QvLkOZLlJVUF3PWaLluO+a/DSlSGloKuKbTTl5w52UvhIQldgS3YZI
201GBmgsJm4P4UDkXkyUPnV+U0V103Qtng0mUU5J50SQ5I5bZ6DDLkl1VCP0eesUuGG2zBnumJr4
j4mY4QaJ2mrPWTVuEIyHQrOXDCTZOkwqxHD3+jZU5fQV+hGxSUWDcN2yy7Kj7MBvh4daQL6Z1ps0
tIfOsDdphStImCoXshdT34EoFN/JMQ0PavTUE+Q7iB8XSO6NQq6gFsJcTaIaPJlbHhj7rbei2IjG
8KOSgd0myIT5MQnZIWdjQikJKlrgZoN5gd/2uPUmKHEQfkPOuFaTnx5x1CUMe/IaoyS0rWzC9A4H
Wbo3sjK4xzZ9Mu48PqX7AbyMjeHliOiF4neKO/D3se9wcw9d+pQxt4SsJ4Q/uOOnXxUL041vHf5J
jqR/pkiNgEILX7QNILW/TIhtPzH8NcqhYbiorA0Omif8GVK+FgedtDyKfEDqRe85ItxmFZXfWxe6
Aey/4kvl1xICnZKhLOd0OZLkYpUj4i2sEefagwCQZuVdnBbxsUWS+gkB9LhTDDH4XdB3WHLBayrv
wpIA98VOO1mxKQve5zuQqEd3Z4XOL9g47ZkFwfA4DEm7mzw97bWyVQVlSQPPjALK56++h6BNCAts
+JljSnVInVP6Uzjk7J6HFtstspW+Kbht/mmQ7/lzBGJ5DxhQZaBn+SUEX/nw4mUu0tpceFKbfUAE
u+87TnHhaW0Z8Tau74CO1Oc2uI6ACZbDPupqD23B3K2oBwblYKn2kLp5u8CmcGjmFrIHv+gdWGiN
5dHt4goVvmuWa0ZzjcvnAMc5HP3OVjj+nno23ecWkdEBbmlbHEUCYBOVPXLeNDcd5vWOeShBMrgx
wB5oUrssrNK9a9n1kqHtLh+RtEt069/ALgGXaO72BztYWHdXmm6hBWqgI9LNF99QWeC6h6Ra8ITh
WOPWQ/eoxkRtUj41j9drxQNWqumsR2/cVo0iSYRg+hIjN4TYUpgGogMdqyfG+6CL0ADjQXipW2xk
IqoT0n17kCen+jb3anPCjVC8SNz99xnm7K+EYsnBTaaN6p45eO7QmG1Xl+WrFDz4ZuDDsu0K1d1m
LuMwr8yuqQlNUvfIs47R5dkAGUwmxgRaEkLqOvKdxh4dj43boR2dXcO68agRHxJVlGZnXZlpQ8PG
eaxaYTjUclYcdMOn7xANmWMPLeI+JoZ+sSj0/UgcLBggTpcHHbrTs5Zx/MmduDp1nrRRLsOgBNhA
zQ0sL/ij34fjXYo8lQcJQgFi4kN2HDoNnxIX3VspltxnruyODFkku8wfnaPL83BHhoT9EHCxiKZu
ar6D9zpFcUrcJJqqisE0sklRvC/VDn4Uxaszxf3WtsSqTV4gQzDDar1HTrp7q/0co9ztcXulzpjt
yiGP90oR+ZrBngpSbbCsCB+IiUa36nE0BMXVaIGrJRBbBPMEmw7V+CMtAeBlTfgiPKTPFE5yXdDd
9OjSOj4VnIYPAiaPiK9iQK5gMGiqvYXA4uJRNTzYjqgIl+vxLjRM30LBPWRbOnC67ymxQFqYhOuo
i27pE3oD53/zEseueWmNwern5sGWhX76St3GgCWQ6AsXTn7rNW7ymMHXZJ/lFqVl6Ouyz06NSjpc
n0eEn+UUuAQ19hD32fDz6qIM3I7WECtbiNMqJ95PBaaAn+UaWYIxO+a1TME1c7oDercCSzV1I+IR
f2M6nGUNEqhhDIj4nFNb1w5mblbpg9tnUNP6Pf+kOqwnqbrC+agOQw1NPfhhJ2H3uS/ZgBNULOAV
5DDQ+FmyKUZRfi5BR9ghhR1RP4nDDiiSJ1+yeNQ3Hm/loYmL7qm86oiSYSLHfmDNFtxw3Md5k26S
3K/PLiB3kCR86FO5L8Ydo5ru4yycNloncGsDourtqwxB3rAxMOdeDmRTgdV66ENfR2OBtcUJpx9e
zZJvlFTDDvTQYIf/iDRXAa/3ugotxpUV24C34Y3GWereHVC9Ap7p2F/S5NdweBt8wv7jX+K8JFPk
dVhF9qhwvHjOAF117JZIWRogQ464luYBAVvDviigxALKnm953EFLXjlV8x3zg35RvueczZhhWtOu
fKr62j/FaTbtofsPMIXtuA1jMj6hfHKUuTQHnJY6jJyK3mDu0odsDNnPBjjfFqo6teO6KI8AHLv7
0JDqqBAUvcmJLA/DWIsTRD8jTFsC506Wjr+JdePc4WDqHTvo77asHur7SpTxA2LinOdK+9Vrk3rm
tR2a/NyE5YM0Bkgq3JO32BrSg0vz+rqttzfwBpn2A4bkkdbUBSocd1svxrZuaVrfIE9afLUKGwBU
lEN2Y7w8vG06pM9JF/KjYXSaX10NGA17e/qgPQQITY4FtAbs/FNVFNl3DdAvKkMAamPlQYQKjfoj
cwPvkStdPICNq34jZKvYc2HEBdK4Jwjq1K5MaHoohC1uktH3nsGIcX7FpDDP3ZAFB1f3ZNhbrDR3
0Pjy+8Z4QxRSr/3ejsL/w1vhn/HBw861cXmSKqZPAAvCQziN4ytsRZAyOPj0Vxfk49csqL2daGy8
Rykqj2p4TN0i6YT9zONG3wZwV3hNAMZCTSzz7ll1Sfq97PLmD7Z5qPBD1N6+q7QuH7uUcVSp+8p/
YvDmkBDKdx2Jap0AOoRVOTScRpeG7Gia6T5KujgHcFSU8ogNuwbu5dH8TuKuftdYHSKb0GlvRk39
XVEFzms1eM59b1xwh5B3BXmd7Vm2zQhvz8Uk2i11jeQRq5noty3ix15hp1tgrBcllORZvZUQyT+g
aAHWUYkj2CF1XICexv+EMCsgDwNEwYIUIBXLAjmCtfEec6RO3OasIYfaEAxxVZCbOMsqeFKK5A62
CaiQgMdw4I0IHrQf69dkMOBADcx2u4T2wS60TrfF5kygpSQcOwgioKMBQPHRDkX40Dew/tOgoQKu
H4pxh/YLf8VS8Wfg1sO1HNPsAuZ7Nwo57WA543R8abvQ/SLSpo1603ubMPT9k6hhpo2Iaumj88Zx
5+dJcq9TN4PjgRUDaiuwM4Z1cr51YA3xFPQgyO98wOn3acvZXWghaQ0gat8h4bDdFTFN7gsZpHcO
c9L9BJn5LyclRQQoe2ARFgd671pnC8crE2UpVw8cB867Dtfy37U7GmgcZelHdEgaqBuBFbOgguAq
LmGEmeCo92iGGByrytGPtRMixFXiVIU1vil3pBsPhBN28ONcHAgdq0fAFfTFV9bZGB1MO0XL9jBC
HB+ByO53kQwcHNs9Wf5uy4E+pEa68Ixs2RP0+QZxQIhjCLa0CNUKKXYBPZknifu5BcAf++VFwlii
Hr+gNhhhML2PEiw9fHYjJr3n1tIl5YXFCNQozrn9BTfM95+9cNueUzBrAMCjM+DZDcYhlv4NROQi
2bbIqX//BxYu2/9DwCwQvUW7sLqMgXMWUt7zod1+7NFXEO4vYKaypUtj6wAHDu+w7eMGsoKFLb3z
tbH+ejBsAWk4ODo+M9eBOUTwWmbpCpi0ABDOmZNpVaG0MCBvVTsUyeLss47NDWoFJgpH8lLFauUT
FsYMuX7aX58gYAgPEwBpLwBptmASbAi7U2u+bUuDZgZbAZ8NcTeEtBcGAFHvg+XkfC0KsZncNUfW
pdef4VYjLEjGWvoQieW4PxIid422973brZmOv5lcLlyXzOCr1oFjjO1Qp4AyC4qmg9UbGE2+sq98
0+CytmXjCiy51Fiz2Ru7dciRVVVdTA3j1zLSuCAFDpYjI1fmwcIvzGmAqWN6AacbexEBlmnbRri0
RJ4/RVrs359pC6N2bhzd1IieFBUQs5j37aYgyTlP7RFBxe3W7fkQ8RRgzvs/tdDzc6viLNOElz14
D6oD86m7NzmsG9bU1UsPv7bgX7MiQxSDGl3A81X8nFNUiYMamvvyY+v03KjYrYUzes7VZjVAtkj6
mVHYE0AG+H7DLCxK/mxGF9LCr6hA5HUt2p2DQ3rN1yRyC4GRrj+bbrkb44wOvPGkbA0IBWA3slAG
3SEk1OuCb5C9s09TGPflxhib3U1NnuLGaMaTJfBu2YHnnYHi7dc40/bOryFDEV+Cvxb1AmwLiVTW
lTZYGumzSYuwanfQpiXnZrrzWr1JsTiM4Fcw/2PVy/84yn8NkMr3SxT6hXdGWkx2A/8Y6NVgz/ut
Sp3hY98wdxXOEp9mui2C81QgZqk/5YjcrTnBFWTlLLLQSHMb3RhVgLocCLwpPDj36l8mfEjGKjLO
ShstDMS5ia5RXCRtOlDEugPKUMQc0yr78f4gX5igc/dcZEIWuIq0Plwxnuqi3fQhUsTylaVl6cWv
P/pX53Z1TbjTswmLV/eY5c4jBdL1/nsvPXo2OTPYwXhJCyQt6cXnCQm6Rq/FFi09erbZkpZwBIvA
agT35l0LB+Yotd739197qbln876uhOg4loOzbPuoq21U1xg1aqVRlgbibLZ2pElwy8dAAYIfGr4t
AVWk3XMer3Xo0uvPtlZJO/j6tZ5/BlQQZQxj3Ptar3nmL+x581QwEiZg1MQtPeNYr1CkgFpoyrqX
kNFzEeR/rHbW8mUWengeDpYAnRipuFqlx9/B8djE2drhe6EH5nEK8CkEXhgG/hns2maPklF2DHE9
uvc63EKzNM7UyqK20BPzAAXEk2ikikrv7AsRbkIHAB7x5BfuhPsPjVR3NnfTPsiz0q/88zUobhAv
bLobirX9b6mZZrO3TUrelnCPOtflxjJw0/IvqmJRVbCPLcnubA4nieECkN0IqnAebutJ7/I42ONs
+2pRA/lgH8wmc5FnGXAqTOZrLnoTTkjS+xVOa7a5S9NhNpmB5U6qMthV3PzTWAHQOuZqj0j5CBWk
lQ9Y6obZdG6MMwg3Dv1z1hHUSJNtYeUeDki4oK6sSG99BA/xz787AAVcUYkw9c9xg/NT8hKq5F6a
P0o1m4rTtf3xrclw/RXx76/UJG87REqgBuZonI0pgv5C5FCfJczBXxG67j/KDNH00ch1ugcXqN85
SqLeludAc4DDgxqmNbySJlik3UAA450QEkrBRRT1xl5LWREmA9zDss5M4IbxCrBkA4U1mEsbeO6U
N6ZG+m7U9mV9kzt5cQdTVL0RRRA8AcZmO94jadv4jfyEA04LPHMswR+vtGxOdNB66/thE0ReD7dM
cGThtWaK/NxyCakfyo/AY9uMHhEO33xifhyvXJOWuub69782Zw+OZBXKrsiBqzSIk3rf5k00TP2X
AqRE29kVvGOpb65j7++fIaKhZPTKi7XHCuisgrIBNNKVEfzWSn7t+dkqBawPIebVVF4CSEAtyfdD
8RFx3/XRszWKTMMgAGFXF5U8iSBAfsvP//+V9frg2drUpKmOGSQFF6m/2QT4HSqlDf38sYfP1qQq
62XScnDpYupGfpruSv7Cgnj3safP1qRugr6yRW7juelgFh9unRYC2DWn+DdD0q4NM1uORsh80lRM
4pTCXs9sVNrSPXMzlGNh+rYJdFNewiwEcKxhOupsRGyrHazeso1f1w10nU24L+VYbesA1pgf+uC5
+3RFwLmvFHLhpmT6ZrSCJqRyDw5qxCsDeGF6zE2ofTC8SUGxBDs+29XpM5Q/27L+/f7bL8yOuf20
F7jIer0e1zI47VaEfA/q8s/HHj2b1rAutNxPkYsYgqASywevXWuRpZeeTWmB5EIKL1hsGS5SUgqO
w1M+hCv9+daOhyE2N5NuO1F3urwem3gBpwbvFVaIByUUYk/6euU3lrp0Nr9b67Kcgg50bn0YmKpb
qCCiQa9J4RaW7bleMzYMbNyCwtql+gEX6V0JQ19bRCO2GSdd6dylVppNcwVmuBRgEp0Ff7bim67D
3WTtJkjbFXXz0kfMZnpMsqsixoecvdLVd9h00yNs/twY5s4lsBalWw+1Hj78eH+wLvTIXMjZTGWN
xDo4qhHKLq4OdvDNPDL99f2nLwzYuXzTc8DYF5nBpQj+4HnwzaMrD1567dkOTUEmb2AsgnCAIeB7
VFwuQT08SOu4h/fffOkH5pPYgWN2msEmKBXdEalfCRg54j71vP37z1/o5rlsM1BT4UPENpyTrrjt
cJqKKo88FzUuc0T94DAw/9jvzLZquLXrUErMiWYc6p0szS1XcG8dLYG/sXNmZq14s9Rgs6k9wu0+
1wGiXqcGft6ZG8T70Ak5fJkz+sE+mW3gUhW+hs1qcilMf3Y4/Wy6+FvKPqIExAL4P+aCYe9lgUQ6
su5KuEOJLZRnryAir6x95Pqacy7m9fmzmY0qcuGqKsbiRyGcSWoHibjgK+5U00Dh0YMcWESTGdR3
Xg/eBbfi8tXD6XgHxlpygP4uzSIgRnCln3RYbmQHs7UM5PrjUORhuNU0ScGlgrrt1smSEfxLR6Ja
kTnNvYZNxWeEdMpP0xRMv5O0LfbwROofoRz2z4EHnpLyy27bcx+Eu6kb+18fGnxzBr3tDXilManO
wo4mkllzq5V4CMJmr/ruDydy5Xeul5k3WnZOom98wiVIJtV5KJyvcQZqT2dPcjAPGQJEWTl86Slf
6cWFFW1OqgcZEsSbMrYQuflbCKKSyDNrrpNLz57d1bwetu8+Cew5nNqjaoUbNd7EPnaamnPqx4xm
nadgNgB5347E9bfB9Hs3pWslgbfnv5iXBEZ3gh91T8EzDMCSg5D6NR76n6Mxv98fS283jpgHFqaj
ZyhCGMw5gIkK4kQeGI1XhBJLj56tK55IjNPKATS3QejbpHEmyMHsmrvWUsPMTgxWIJKDBkVydmWy
p9BhBWSfeR87Eop5kcCiVN6pPoc/t/7mwuwcJb6VAbPQKvPaAMUV32EDnmw1sj1SXPThf/p+X759
iBLzqkAJkmJeh1Vy5r63DXmzUXGy52P5kK+5Ui40+rwugE01ndSQJWcBz57Af+1aQFBar7z/25u3
mFcGfI8DEWo7BVdhuAdtqh5UpygJlH/Tp41+asYJzSWk260ABUtdcf3Kv4ACiDIKgKadPI986G6n
pIMAWXvlylFkqa2uv/rX0yGOLFijwPKEAgGUYzDEENmebXgRroFQby7PYh6l52vwN9OKpOc8SW9o
lR9Y7XzoeCP+q6j/9e6Dl46pbKr0fOUEB+CsB00S0SnYgkyy89sPuJCA/uTNpjDnPryq8Q3wtpn8
52o0Adiv6eSuHPmXpsPsYCBS5hgQ9VNEz3l/2OQdTKxtlCKHF4PKdiuDdmEQzWsIk64HX/IxRaI6
nOntZ8H/vD+bw7e7939KBp4qUMAK0nPW+6CCu19FjdhdVVwCCzOSZvqdTfyUrmUXL8y9eRnBetyt
EP+AxVqRTzEHTWsYkxvp9Leg7YvtFE5rrgcL3TKvIzik82XXocH48FnW+szJi4/qcQeDwfcb7u1j
i5jXERLX71qi/BQOze0vXrY3gyuioAOgRmTuR2ZojjhBm5WTy8I0nwcrKjA5PcWQMJOr9jZowGtU
A7vtKwA373/O0g/MbgDSI8nV50KidLRPx3FLg6exW9PsLT3c/3eRaqcQaFpqndOQfx1BK7HhQ5iu
Nc3S1JjNb9LoUvst3hyExLtWt1AT1CvVlqU+ns3tckRqUN9XzslTIRIgQiLP9OrCQLks96NsglsO
Hv9jMjJ3ZbV9e9jiovFvS8HkgXWFSJ2TP/UphBSwuBV8hCZEDcPW1qtsvbd7BMviv7+D2K6xYSpM
UB6XY+QNfnoHhuq0LzKoZ94fUW/3Cw+va8Bfq/vIHFjwsVAiUKhHXoppkk3I/A+tujy8tt9fD+8o
6hoOL9IzVdXLCAnINqnFsbkalzUkf/zYF1wb768fkVXNG6iUJcyTwFrugk2Qr4Hwb48seGj8++gp
D+NBUpaekR+7nXIsv1m/QdrTXpTjrRbuK1QmK0vHUj/MZrYNw5jGBBs4gX5Dt/kvJseVzWPp0bN5
rWzvFShsp2epnQcbllsIPlam3tJEmM3qrOZth0jr9AyrzROTv6HK2l99t9hIV9rl7b2Iz1H5ltSE
ohCMdiEIJdL3HvDkJnxOYawg1rp5oYHmMDtyr7O8dNH2VQBT+vK7+ugAmuPrAhTnFPoFLEg+uzF2
grlJO3x1a/6divQBtjIXHWRP78+DhcViDrdzAYVNqLHC0ng3TgHCo+6RY77SDf9Rw/73/s/FbCoX
V4bpNA3k3JvRNRs3hhCrCNz6kkvP+aUKCCEcmQ43MXSAp8bNgpvKhfeLbP3xGywD+00WePpiBIQj
oJ65d002eds29T77CYK3ZDF6SIyvi73vVs4dIo/17v1WWRih84xIFHSSIOAsPqGX3QvEbvljCBHD
7769qqaqjqwsdW+f0JCH9+9SMYYS7iTU4Crnma9pJsym88mjO9oH11ffdTY9FKr2rgvsitnZ0ofN
Foze4ERbXNMbA3acYo5x+005d2C+b99vuKXhNFs1aKoljlM8PnGivmWG/Kqr4dJ39fPHHj9bOUzd
jSOleP0wARietv1mkvmZi/zT+89fWLrn3ozQe6cMKlznxKFaDUYk90m3+cE9ek6LEmY3ZXeY4rW2
WlhA5gh/VhYJDF975wQ1iYza0HlGNN4a/LDQEXOAn+oWb+5BXz75n6CTBekph8pvZdFYevPZ9h8q
AJ3V5DmnKbduGkH5o+5RL0/37/fC0rtfB+9fe7P1PTMM2STPPtuSbNh7YOApxlbujAtTYA7wNxQA
L3ex85fVqeu6TZ0VyKrAJRXT8P33/+/6+cayN3dm9FpqWeLhA1B9LfZ0gKgpUbK6gyKvwUUsgfI7
aw0sb3h69OIyfQbfcNxwWq6FUC214Gyas6lMrv49zqnOfUT7OQEg3Uhd6XVe5Y0r59mlH5nN9cJQ
eIH4cA+GAdhGabPLDFSp9bjSikuDbDbXeatNA9g1PpWIBGUGNqw+uPjR+1209PDZ6T/tfAQZtk58
GscTwl8QafYxdge8df8dvFND4OB23ToahhCwOIwBOBVsLfX8P5zsjaE1t15kDsd1rtTkXNG2fohz
TaBmte4e0lvnHnFj6q4YqLOB8VGzDQVw3kqy30HYBnKL1Qa2C1CeXdysgPAL9aaLHkptMDIkW9lg
FgbF3MLFEXmfTX4en/LkKTAv0J95axN36dHXv/+1LBjaTRl1y/jkI0BQbZhT/B9nZ7IcKa9E4SdS
BIMkYAvU4MKz23a7N0SPIGYkQMDT31O96p9riohatiMaKNCQysxzPg9pmIJ0MOYS3verBgY7D5h/
btJ6uiqdBElhfa4FFd6c/nTn1Hy9fPWVtYct5mWnQBeuUHm9mUoAYVtSPjTFwHwW9789QB0v32Rl
bC+NMxVtU/jbYgRyS9zmid41otmYkyuf4K/V+z9vp2to12Jti29g41GxZmfAYqNDB/blB195O3zx
gV3SEEhHsPuiiylwihnScQ+O6fOu7N8u32Ht+RdftzMMBD/q/PwwWIxr+C6p2vtCclSLLt9gJYBY
emZmBhJEqk7ECWYcuQoNbmZPxJUwlwVR8yvMQkozAMmqf5thPLe7fM+V1/Z/9j0urDUtTgmc3EnU
SPFUaXkAefOHZZi/L99i5b39Hxsmsyxu5IrflC0Bgsb4RSzjaeqSLavUlSG7ZMG4TZmM6FFsTkRB
gt5U5o2RVlsd5itB9tLJx+vLvk4rVp3K2HH2NhJK33jZezsFnGgoLDrveAtCTFEZLaq3WbU1nNfG
wmJ/ROf0WOQUJ+iyvx3KPbe+NmaO/PdPoAoCVWxtOCvfZlnLrVskRsYESWoHxpFzaoesBanA3ErB
rXS4Ocsa7gikRAM79PMZRYLLNPY3bplqWIYUThEC+ZeEKMlXYYzW5We4YaJNibM+9EzphVTncEYo
ufvgdoilL4/FteG+2GDzfIQ3+IgpxvtBHajtua8dnTMHbSwTqiNjDrbW5TutZBGWPmopgIx9CbXy
jQMQdJ7/FpIFHO6JbLjN3Da8fJOVz7cs/w49Iy6UPghz6iyULsr8Z6v86uvlq69MrKXRYgvMIFp4
4/Jkj9y5g7EnCyVTxf7y1ddm1uIcIGqWKUGs6kTTpqrh+mDWz4TzZGfP5AzGkD/1XLWhBXHEu6Wm
ZKMsvPJdlt6LnewN+OYofnKoNCJQvbuD3Q7yGV7F/MAbjcSSLa/rvnOWXowQQei65SY/IWY6tXCr
zfvWN9r8NuUbcfTaNzr//Z9NNWtiAoB0NkWSzNVdr4X2RTenG4W4lelCFyFHATlE7sQtANblwXCm
g45/K3m2EDM3try1x18sc9bQ5TUH3jsqYegF29Wz9e3L5fG1dunFEUAh9y6rAuA8pY0ny4ofsyzd
wmKsvZfFCQDJ69GlnonH1q8Ca77hHHSPNHby6/Kzr8zrpWbeBDQc2hOnikbWBaz4CofmYCAbF195
MUu9vAtfJ+nCwuskhf0EKvQDd/uNOb126cWcxgvWuVVCIDISCH+81mv9AWbbl1/Kp371KBssEUWA
5nr5qAiuXvT6Li9EEySp9S1pEC/5IKqoKGmt/rZPSe4XoJNDca2mjaLFyhdfqurzejJA9wbDd5z4
6DPb+/CydMfnce8a8Nm5/AvXbnJ+rf9MZibTuOs7tCfarPwBSPm7AgTco/Jod9375VusfaHFjObw
DBfzmcMKk7reT8z8AP+N62bc3xa5fx7fy6UeNG/OOnQuD+OcahhXO9eQ1M5ffzGfuduNDNVh49Tn
zr2RurCtJydjcA6XX8zalFtMaTiCS1Z6nYjKhAaubRwmO7/NsuG6dXqpoNcM7t0GrHJOHprZ6hb7
WpP+ufzkKxvpUjqfMw7YWMo0auegdjg8+TMPXuoXU/vsJmwMeg8WKqWG22FKNmbDSnS6lNDH1Ty6
WLXHU2dy8FuY36nH5Gbu4as/H2Dqtrv8y/6efD5JWFjnifLPiJrOOGWoJM7kSkdyuIQ34AfEXh40
8awfkFV3QrdGUV1BCfrkwQMERxecX5KxKY9wi4Tdqe7HL1DL9r4DQkc08NnBh3WLIyyAxu/NbMy7
uSLmjeoHOK7X0H7vTNghnjyRozETYojkLXEY5N9JacCQDbxSjDqAfimHD5ltchj+WM4NrdLuKGLB
Do0DLiurfoKaBsP0wk0e7a4wfppD8dyOWUMCk87e3ia6+dqnvThmqmsCo/UmNIlKwmBkJjM3FGal
jpxSew+XM9AfXMOO4Mo93dpA0YdJY6kwK4H+gTdn/5SM3fxY9ZJy2A2aZGd3ursjcB+8i1Ey2fgS
K7NjKS+0Uuk2jiP0qVW/ZfHVMR68bGvVW7v2IgaI495NONXwQISVIYw5hUDAV7QaqPShFRsjdm2S
nG/+z0iqYdw0tS7mn9Hb+5HNwo+98d0aDfjQifh7wYhflDO80YaZbsQ2K6v5sndSIPMDszSrj2oS
g6ZiaRG4Zg3r46JiwYQs1+VJ8pc89NkkWSzpAh3BML7r0qhEs3bUmtRjgZPP1i3XSbJns+Zh1pVi
3/fUzeGOlIMBkCgLnvMWrFahLHqdipRjQ/BI2HqzftQD4e8mrUkd6NZNv9mxC6mgGoHOFjS2viMi
Fy9TWsGyLGGkCSeR2zh1uF3YpKkZyqKqHquzUWFeA6uJQxaqUKLtkvc2jYeT19lqr7IeSXO34jfA
0phhPrc1TtM92Yu8oW855/mvwa6rncs1lhWKXgcSqsQq7wsIBB7TalahHWcauIdMHwfQl/ZZTpuw
yKTwPX72OpsLKywcMtxlQ0qRRofXYDWCeYCekIAWlnfnOC70Hr2bHrLKpjewt6zCEgm8sDTr8aFv
JYfyEWk8qL8ysAft4YVwmMMYsy5CfNifOonrfe+J6xptHGOxv9V1Mecc7qinpBjCLLn1VB942VbB
eWUwGovtraskGA8uxH2wwczv29R2TxnJ96PZiMiFu9rGgeHz8IIv21SgYxuLhiZ1ZHo/vXSPk+5V
k4kv+1IK2HgC85KBh9NDFFxjPkHeao/TIdfXNSPxZV+KamO3azRofWBj+IXq4BBf+lp34eV5urLM
LR1QChfjt4FH6cnw2FdPTE8Ds9+HRG6Js1e+sLUYPy1aknKASNOIVzJM4cBqqxGbSu472txd/glr
i+hiELl1b8Nr2gHOBKGdIHq682wKh3j3rZ2qu1pKy8/MFGLhQlgbt/x8QDnLfmVlc5LGViEii8Ez
182fpqLe+CBrlz4HN/9sCeOYx1UCn8mIcw3Q51OPaOLye1q78uIYNLE4R96qFJH29BMfPVSCz7an
1118EROlJDPHRikdsSlCeBBOZbPxrldGqHn++z8vpDNSixDHSiPIlZ9yIY5MJrdE1U+XH3zt8ue3
9c/lDYPmadtigML68Zu2i7A/Q+ecml6ZP192JHcktYDt9obI5cgmDuWJa7eHP5J3K9x0N4rY3I8d
zKSv+znW4udMHVS4GU0xMpv3OYF+iVhHEKSuOzAsu5MtYigjGWQaEW32+xK+0SGOVuq6OvbfI/Y/
34KYKIsn0EVFrPygggT2lPvl7IVp/nbV21n2JYsGDWUyxRSo5U8zpTti3LFRbwxU++/0/yTmWXYn
p/CYZa2i8cmgpEQEoLz4mLMeANcR/Mf70bXbPwVoDcaNnpHvhTA8YXBcaqUMRW+QJ1tP41dWG6Vz
0yW0eemnTnydeld/05CaRnBnTV7hr82/Zm1ShlU3D2AbtXaFlkg05R24La3bZO7Gxwp9SI9j6zUn
+CfytwYb4F7lNuJ+9ErvFXKmwTAo/iMxlfvhJlKBPyw8mNk7wnke4Rr30ZR9XPuZxXKgdUrgtcYU
DC4YUWVHIcs6hNCPwEbMyiNhiuwDPeV8Z0KjtAO/sUD5clLDLU2T4hjXdYxEXTwdtYnNEke+Nr2F
oa73bCiAHoEBbg6TAhXKU5T8yQeIzH3dNMZP4MHah9QtSOLDbrY7jA5Th4mX1Y2cDbUrdOv8GGHO
9VA0Lts3rHcFLLfcOBrMrnqpSy0ju9YwyHGgrcx8eOGWTzBfbvdxHievRdeX0FGg5/1hhjf1jhst
+1N6NeoMuqLwYffw8zkMsX3YfbUhl3m3Nxm8qqahTmDDLIafaPVSL+bQx+jucpn8RifL3rVKw0EP
bvtudQt3MfnoNuKewa4RlQNgD9yR17fwJ+c+8gUSJW6ahSWEebD2J+Ud/laFwFfTgItWwIMWpNMM
JipB21pd4KLgc4tOsSnz58YBRsmRTjBKNe+g01VvNjx0X7usZ8dZplNYDTyDY1IP5oAdGwKZwNlG
gRn9RZKBLGHBydxHoyW/mYjNfIeh2zxNeXyKRTbf1m0Tf6F6io8N4B8nF5PxKNU4BfqMHFN8sEM3
a7wgGRrzB3zrx7syAVhKQoX5MreTt2f5PMI01bZ+oA/F/enNQr85sHLbEVCgf8LMCYA8ZBGnAAcB
FwwFa/pleF4QE9UFnsXAwG0F9W4HQL/BDbqx0rnwc+29lBNc+mf3m9MkIsjB5N3JHK0akrOIFe2z
ldBq39R2vVO8GUC9Bt7e7oXaOWVmfu9wfNulZTG8agdwwcFI8FKLSh7H3nVOWQvAdVsOzg5UKHRm
sFofU6eXPs36UqHjYcjh+j8Xd26c2PsYKoB9EifNl8zDM4siq9C5ZSsjkAQdAhNqTPeCQMUEx8j8
oTIbHJN5A9qgC8dnHI41fJs8qDIHoOdCWhLnV4+MPJSWCqYcZUoGuLtP+mRBwP6WDPhMBlpTHpnt
0qM5iDjKUEwOCI2d+9l0nGc613ARt2s46XJgT/xBoE9aaOWFsen1gM54oHnNACNXEm+wMZoinBvA
nbgDg3kaG3yfN0AK4pSCdoSgUWh3d91a7ubSEjZ0yTOoeI2dWKGXW3nIFP5rqpw6Ii4GtcirOKhE
XkDjZ1sHBw7TIUfn66EQ9vAdjrh1Hlb2XHxTSVZGHIjHZ+ja1aE16vSdT17zA9O6DjyZtAFIB+aZ
SOC0SCTkDeF7WZncTyeA1wF7oPVDAfYdlFxAsCR+rZHtzmCHagSqF8YccLNyygDm5tUT7JfNYsdZ
ruAxanEzRL/V+FawobyDZzDGPGzbp2dXKX7Isoq8zBa10A9nGQZDa5YJ7yvGgF2Al2j8jYwFTO+b
BDjd3G7nBy1TF7ooc/IeMTVg4E9p1mGloUV2g3qie2Rzj5rH2ExSn8CDQFbChdjiXmusT5CLzc6x
cErRPzTG3PtVrHJzp0glvqfnvvN2dm3E+jMZYB8th6YOZdaUMFVBz28T9K0zPU3VgAa7anRgu5sO
ovpz3f64CBHtHrVd1dbjaTDthxjiXX+qxAe8oLc4xecLfbZDLsJEgAdioTzgkOZe3npSBbnXfyNx
+WIi8sK83VLNrcS6S7kLcaCq6CgSK+MgnihI0Ukut8osK2nGpbgFuQejzVykGTMu3H2b2bcDUcC0
cw5XZ0/dkJk90Fhf1Z/Cl9IBs0Ouph7bJmrzFzRQ7yzyULCtQtf5tf//5+BL3x50G9uojjQ13Bja
+o+L8O7UUat9oXUHHWZPtgDhnwfZfKkfSLJ+MsyywAEcou/WLT/6/FsPU7lrRi1fOvlwsJSTJJmr
CFYWOxh66r0JVp4PDme6EVWvdAwA2fDfsLpzhqHp8rGOxDgA0mbJEgnmtHnT3mz4AuvPrVZVNHXI
yYikva0KOzk289Dt4OwO7/E5h2ClF1tnxLXPtjhU4zNBbpDoMkpb8tA62O1MOOFkbvcKDOvj5Zdq
/eWHfTY4FudqAsudfKhNQLqwAb5MvXbudNfGMug0knUzAKgDqsZIqKVFD+A4msC8j3aMrRc7dzzm
G2zov3e85hV4rVN1Lyuc4RJXlc8UQEoamvlkfy891y0x8ZE492UDMxJfTg7wQqAFoVEeANMqtnBg
tan7WvCpj0E6qdhNYlD13igKx3n00TcUncZlE/sjDOQRTDBP7ZCT6Zlf2nH12BNzfGImCEEpdKHE
twozCTM1jl8boAyMHZGl+26PQI81A493hg23RhOVyO/FzNxv5ozW1wNpC/nm2m4N/JLTTS9NDafb
acxmpBWNdlcBV31UDWC6ACZWUV4lzUNfoLWCjGXLAguknjHM+o7BwCWFYX8l4TSGGoFB+jDtJXlP
jZlkflOR7qBYXQSCJnkd1uANw5wcdnlPBoF51Fzy7tUsJ/MLaV2gAqwGRwg3e+ychgI93HsBcFvW
L/gweMkeTAe9d6CyfRmpMT00mSGPpVUhchLzSc/YBcsCtmsmSnsnJEi9m4qBBXXWvfkuDmK+0TXw
jGjdEbnv2bHCuc/KR0kZoGQuOlNiIsihBLQLTquM3HVMtqE0dP2RD3O6nychHya7TPe9Y1b7XJHv
eZvW+5TbMfPByskzX85t5acgHQQeOgZBqfaSzIcI3H4kM+ZyL+zma25KFw24pnAeTa1ySMzk6D70
0qKF36QkuZ9SbYF5YzZ4cQjiIuTd2nsLUT06Ecfq9syuynyDYoEOBlUXaZC42nydSWndsDjB+pZP
npP8qoViJ2WhwxyqphbZ8MzpKWBAVfx10uCiumVHA+rSNiAQfYQE9AqcUrzEuDdG6uH+Go79OCJ8
sZSnj3lqnfEIVJ2kV5uRNU9035X5GckNXoUx8WwvtSFuMKpoQLxaHVO7LYI0ptkDPE+TgI+DPOFY
B2LzmY3KgMq9o9SyDk0NmMskCH0A3DWuwHcek6gDizsA+8S6042NOAY260euDRkMXp59RT+4GSB4
AuRhrFLf7hP7qcL3hYDWemg1hqnfwWpW+4XR8AiQDXWbjnG+A3WJ/iybgYJT1Bu7ZEYuLVeSf9iM
ZcdJ1hm0l4iAfFeO3T0YWeTemwZd7R2YYvzIUjQf5Ig934ij/9Ba54emBa6LS1iyW1Sb+yoemztw
G8a36cxzrU0cQYJEz/ULSSYPBa9e4YCikbY/stgdIOhAc57fAEnBdsp1m2Ptmt2+mGyAZaYWK3FR
xK99Fg8HOPNaGsU3YmIh8czml+m1uQgaj+ZHzqbWDnuc1L7UVY0yS2YVsvWpl9VfEHnO8oxXgmJB
A8VzW4CX/TXxgGIBSoSagQkLxXtSMvy7AIBMBLWVIUwcYj0JiHm8CktjUqB8YTij+ePyMryy1C8V
FS7L2TBlKHGR82OiYmPH1C90EdTX2CZDmbiUVYgZ4zE2yXBq547hkNkagVUOJwCpX90E+PHLv+Pz
gIwvpWWo4sBhu0XgV5T6mXVzZNbd8+VL/y1dfbJRLcVlaTF4rOuR3udP8lYclc+DvfJvsjD+gLap
De2n+eScyKHavaSnI8v8/H2Le7r2sxYBc9WinaceeBXxrggkdJB0K4JdCZmWOrMJjuTQi6DwMnXG
S9rFMNCx74qS/7n80j4PYvlSDoZ5bZ2TMk1kkeLA+yKITfM5a7qdLGy/lPrDM/orP/353f0nq9d4
CGHxjiClV+EkZ3ALC3qNRT+Gr7uoM06xZTgeOE3Q3xUn07RDw7OfgEY6zPWPFnju616X9d/fUIwa
1e+81mjNozcNLSsfebZ3aU0PsCV8zu3qMSlUHVy+2dqnX4R3OQ572NrnNHKxaX50glvviayLsFXY
Wi/fYu3zL2K7SvPUQ6d7FWHtenY9464j3ntldYdS5lCYti882aIDrK1giymSDm3ZiKSYTqBjwvoV
AVqT7Mb+p5DxRlJ67Q7nv/8zwEzFZoPqeDyh0/o0JuBejsVRkezZLKrw8vv6/NzKlwor0yg8Gy5Z
WdSAD5hYRWjpE2B5yPg0fpW9Xb7J35LGJwvZUmSVmSWx21IYkfxqf23v5y/5SYPvWfv91/G7ejh5
HwiQjW+X7/Z52Yw7i4kDqHtmSRB2IjVTdDV4sq6ITwfT3U8gVJ3MPGl3OkOnqF9kA6n3gB9tmdGu
rJrOYjY1WWZhr20dRBAVWCr2keXZz8u/amXuLI3VzMS2aOppfhLpV9s7T9N3xF8bK9naxRezBglp
W7f9zE9WNYFiXv2eejP3k/Y6cyi+FFrJYYilNeTOSVGnO5iuzY+6teuNKvjKGF7qrLRdJQNJ0UuW
O7w5QMGRPwIXhaRUDePeHpL736BXbSV6VkbXUrFTITDqURHkJ17Gfj38nGqFY9LkzyINbKH8kbSg
M165xSxFPAkfU7fWKBwJtNL7yFSnHxYoXN8vj6mV9WUp4qm9ssvSjI6nlP6azNlvZiBZtel79Zaq
fGVC8MUWmQsX5JdqxKnHzf+U1P5Ox2Gjvrn2IRbTHJ5UyFUaLcqnbRbQ2YqQD3/qvRnFm/wLOlpC
Z4jBK9myTlt7V4up3Tlui5OXMQIfRVE6aYMe5RIPjvUQIu8vf461l7XYHvUEKDOC9wmUKo4IX4gQ
xaYtoMVKDY8vtSETDFd7lthVNFDa7+J5YoEaJGic6Ujv50SpULU9C4Fjrr5VZm7koYtTiu0zRdL7
ykHFq6wGVuD8lMj3bozpTRzXVaQylX3tma5+kcK9TmMEQPB/Nz5OtGs4yiyi2QPPdKjHHSlgeHj5
Na8sF0vZoIE8ZzpYpIrOwvQElYy6JL5M02A8G7M3W4KLlUhkqR8cQKDNqsnoozI195xVsAGeg7FP
7t00O1FjeDOY2CrFr4ycpayMVXkHO3/s4op9be1ogsDj8rta2RiWYrJmkDY4B+ck7ZDdVHX7Olre
cXC3PCfXnnux78yGyYEZFKgVC4oWOPeLZag/l598pX2dL6VkLnOUW07cPVnnulWCftAARhHFriJC
HZHbEUeIOXp/LJHfpNUU75p8ZNcFbkuDS8Mu3UGCEQbBwrmakQpQ2vP+MTMnwy+zeSPQWRth57//
Ex5Ksx6kYGUT1cg9VGMNe6LhBi5iuwL9sZVbnsS40b+wNgwWoS4qG7EpZhxE54GFdvbc0hlg85fL
X2rt4ucV95+f4fb2XNqZi/mY530Qt3BWgyj/eZq3ZHGfT3i2XE1mUaDOY9t9lCskauCrNpiOn5ee
3xl9QKUOLv+Ozwczamj//R2oIDdemTc4Dubygzjlnhndhopq7dKLvS7ui7wibdVHk+zeOwVYtLmF
/vv87bPl0jFVBPlc6OvRJjQDlGIlBtotwAD2awjdrhKas+UqMmAzcmJilJFBWZAS7+BW8jGBvPa6
F79YRRrLmVJhx12kJvswe1bY8/71qksvFxEY77aeVyY6Ap8XIGBgc19dr802ptV5hP//sYgtFX8N
g34mUzl6y6DyonW964GoFggexbDlWLsycuhi5sJbyWCsTEv0NVU7ZPilP+RI8133dhYzN5lK3pM0
LyNUDmwPme76uriXLZV8vYA2pE1FDz5h/zuuKBt92BNvJu1WBj1dTNVJO6ZShttFNqvbOz1O+ReU
qtFh0/B8YwtYu8ViyqoepTUbzIgIXtvvxpCHGlPNB4Z1q8S59mUXAamHrsdsMuMi0lN3CyXTFzRy
/Lruuy4CUVL3OoZ5hY40B2EAiQG5tdqsPfRiquZJN5KsxZWT0vJJMvr1dWYWUIT9d/WVIwGeWYEb
kqcsEhMqv9J7dRJ7d/mVrHzOpYpPSNupAKXGiOmQoTfiV9ARQzRvbLn5ruxR9mKegoiteD1kQxQP
5a7gvwEVRaIvAQIXOXlnq6177VcsJixHz7DDK91HZOjvO0KPXW1/wFHhujG/VO0ZRllaU0uHCD2z
fiesY96dnHpL07X28ItJC0JhPqfQt0dxU4O2beJsAuD6LSlQPb3uIy/mbA2gYGUjjRuZ546VjEeV
kf2Ymvrl8uVXlvulYE92U+x0NX6AisUD0PGoxnByhxLwycm6L5fvsTLBlrK9JI9LcC2aLkrtW0qq
A0je+8tXXhuhi6kr0IonQNPsotFUL4Bd7Ft3eFbJfIixmQ/VuNVS8fm5ni2lew7cAGNNzCGCvdqf
dBI37Sg737LFg1TQ/XZIUSsPolDppltUvZWRtZT0jQ1TNowgu6jBxhNogfvFXWf6GojWja3yr8X6
J3v9UsOXgzqQ61mqiDq6fspmNZySrhzL0Osk2qeFwubQP40GWnkhv8kMNLORc5TUdiz3jQakhQDd
jtXox5wZu2K2ktonbS94IMaiephQp/6RGEY/BRkU/ajsduj6gwwLXBW3ZFeu38tG4NrrZ2BUxiHy
LP3FLL2HYkqeL4+vlY+w9CS2XOG5qP4PUUqsRxq7N23nPMUJCy9f/vPDEpAv/90fZgftjMVs1JFl
dG+p7YEYHN+X0unBhkbt2abZL2tAzfjy3VZ+zFJJCTW8x6ecD5EJ1D1aLM3XGkVw3xjn3eUbrMzz
JZoYJ+fJ8iRuIOiTA7uU7OPyddce/Hy/fw5jzB4FQWvHEEHQJrJffXarpl+XL72y/C3hA/CchmVG
J2XkZFbd+KbKSeMrA3Vnn5qsuovLztj42GtvZxEbJTbaICdnGqJkcv12vJ8hIr38I9auvAiN3MFk
MGjGlZvqG5M/0Q113XUXqytvSWroBqN/tpodGh/v7GHLi2vlvS81PcSL82JyxRAV83hu5MvfZNUc
mEjhqNNep+ZiSxpByganGbI8PkljCiwTglWIIa0kvbnq9SxRBCacyhoqkgwRKWS8jp7qW9Qrttx/
/oIePlmclywCgYIKH2SP6Vr2zpGkM+AbroG+b2AbwgIGYL6Y4574xCUAWI45jE0tcOEKnju+7qrc
7+tZf2imsxCqV7gsxnaBLm0DAgaHxeiD7u36waNFed1oWUqHUtG01JvlEBmqrt+y3MvuwJ+SXy+/
7LUBcx77/6wBSFfJvBVJd/IKBs+HJkluiJ67MHUoDHXyRm2sYWv3WYRb6PcXpUyxmehphlLWKe5S
4b1NeWOHgP+NV95luRa0BcSodBgip3nqnN9l2gSivbHoRm5jZUFYCod0hV74lmDoqOa3yH544HRe
/gprF16sCNQ00Idl48IuixAEoCKbXBfmLsVC44wnntHECbPe8jUzTIW28OQ5i9nbVU++7FGGwn/+
e1yKqAEwcQK1ydaZd2V3WnYop0AvZa2ChhBjsMXJKKvQnozs/eXnXrv6Yjwi7Bv7xkAvxOC6OzkK
3zasEGmly1df+Z7GYhy6ppNIYuDZczSiaHI3DlsGmSvzaCllRiseIdOsIVqA9MUAxXrW7a7Pnsdy
az9dezOLsdihD5GpswiSKxsWM7dmA53rtBFyfP5i6FLEDIu6KZadwmJm9tBDPBhb5iufn1joUsQs
bbTP8QIniRZNYCqtAxOK2aF6sWChPLfxxqhZe/zFyd2TSD3YHIkHJ3NeUA0L0EO9UeL8e2r7/32J
LnvkXZhLNBn4Dzjyxhn1W20aZ0EbDaGO4iGK9Ek4VJ0Tal4hV+BWtD8YMCIP0eKQhanVmEcvqVVk
eWwOwbxEjQNnqYjIRr0U6Sz93lUyKKeeBcKt3HvGJggVYORqQmfTlPu4SF2slKa+dyCKOlhQh0Fw
lNCwKOF4EovregFBI/3vhmNksD6DjnCIYORdBlWa7mE78IWB3xHYON5f+aEWoRuUr21xXlRPdfzC
eoG3uVV++yt5/ew7LeaHk9vEm+3BO2npp7/yM+cwyH+rD9R9ivv8w66BgPfFj2sWErrsOEQmve6K
GjeDXNEvzZd43uij+Hwdoct2Q/Su1KqvC4y27OQK+IGwEu3QhV+OQ3j50T8/29Olg71bZyTrLbuI
HJX8UoNxG/fJc04sMPcUWnGT/Ea15K4u4o0JtDI3l72GstAUECvMTTp90BZOqFtL7ucLIl12GUJe
InsNtVjUuI23sy01oINXjTdlY29lDNa+xvk3/ROFtRr9uzR186gED3lg5Rx17aj+MLcAeQZRzMYn
WXtFi00PQKzZcDkEIB1AyOPg3aC9+/ny1175BUsRTgXouO3CcieC84jtF556UY360s3mbhibqw4G
dCnAkYVrTNDGqoiw7JGp+Duxtsw1VnQidCm/mRS21YG3QzS6sJ2WNKe7SRYkYOCtUx/YkALS0iyu
g860+103185+EhCr+DzOxx2MN+F1olT/yqmqbp1MoDd9bgFVSIWxg3dX8lTarH01mMXCZGj7Pd5K
u++nyQ1RrETJvbaSvfCEfE3OKB2bo7fMJ9ANpEE6mtUf2lcWRKlyAFLBdAZ/yPj4UMVTvRtgk7Tz
sHkEDIc8q3w3HEjRDkPBnbCca+Me7kbypjH6dE8rO38yVWL8gdSoe9d5NzxYuMZBNXMD+YnlHhG3
xL6X2ewhhXDG9NOZdVtB7udZGbqkDTfoYM8stKRHgvHukKRj9zq2EPlSipOpGVeFLzWkNr7lKX3t
xFrsAz1JQLn3cNQepYYqGkIGtP/fWvP4HTi664blEk4wgAIthxoh2WRmP4SZ/pwTe2u3WQlrlp3z
2J0nDmeuImqnsQ9KUn+p5jxKK+eL7rs7Ww1XbpjLBnoDbNvSUVMf0TEJwYaLate4LuZzFkFTB42L
0wsLRxDdhp35YcQbm+PKDvPXtemfVdOqag28HOmikk/u78JWYj8IVkTDXDiPTW+LQGYTgaSMpyHs
Vaz95aVuZT9YttEOVFg8L3CkIo21m1S5TxzLTzZNSNYCjGUD7TDxiQsD5ae4+x91X9Ycua2l+Vdu
+J1ukCAAoqN9H7gkM5UpKbXV4heGVAu4g/v26+dL2T1dYjmVMxXzMhG2yuVMcQUODs75lhNNv+qN
IWghenINlk667aISru4Epg7K6cubhUbituRmFOZWUtzNcaVuMhiJPL1/r2c4g/YaNpjmDQzVmEC/
nfZ1MBRmdl2aReXZ3By3c2lz30A0DqpeVEGV0zwYE8PcsnEqPGr2zZ9KiyIoxii7sM6cCSJrReq8
gcMrSFTdvsl6kL47VCk4t7YnfR7PhOmc1zv1x0G3Xy/cPz2tjf+Q7q0RxkVtQcnRPnWnq5NiSETZ
Acxm6FIDI7h8IrBa2NWx7D+SakiAmBL8GcKMSeTTeTFMfyxsMGyWAgIUNKcioElX7UnU17vOgqVP
D4sfH0oVYgM2TP0Mu8Hh2qliESSLzUaXEzu+jcwx3RiWLF7yoeCVN9oz24GuBqXnbknhCjQb8IgE
7gwCM9OR9Foc51JCVmLu+lBPxdyii2M4Puv0/DnWsjl2VQL6Ua3HDxFPkqdYjMlXcyri67IZHPgs
1yRM5kUBM23m6YHJanmwqzILeF9XT7xDn1hhVHxztCVAfmvM7B5tjsmDwcAEWKma92Yu6G0HKXU3
Ra3MNaG2fsN6BWWAXtWFX0Eiwi3LNAtRfU4Arqxu6gG09qSEnNJIuPg82CX6HiDwbnTHDb/vBh4O
BeSPRG12n5YEjn957pgeq8Fzn2EGdJWSovSwC+y8NuklZJJgQQRDwuV6jIXxTUTMCmPOI9+Adedh
hNk2uGN49kVZs20MbKlXQLAkNDplvJAWqoSSMeWD/gYZkBlKqB+cvjU2IxiZT6JiljszAhoeB/AH
A9/aKmIq+Fmx3humNH7qobAQ8LGYj6gIwmKTmOUxo3TwUjnokIIi7oM7FwVNpVAVz2kPSpsRMS+f
h2VfUvm9qYYxjKIMmh28ag6llmMoBmHfAZqSf1pUr77mhQWNhXQkKZ5qdsnC8UyGuLaJGCmlTV1B
52eMSXKwWE2vWWR9eX8ynQmca2yWaXaQSO2x9ZOWvsWuVoIsmmxo6fxaJ8Zeo7IEGdt6KCZ5Jcvb
PL+N9Tdn/rX90hrhSUpOdTeX3R4+9D6TwtXg9U7QVx/p8/tP59yjt1Z7gBlinxDz7/bL3AMZlKRy
hxnFLsTNc89+lQgNYB4OFbKvfc8IwL7MVdCGMifmvX/xZw6/JkOkS27DVhnpc+yEgPGiboTpkT2+
f/AzT2ZNh5A9BHQydkoc29Sl5U1WXDjwmU3L2mCeogGLoKLzE+0KcPimU+rYNhH5rhczvoMNdR7+
0h2sORHJEHd21RVoOpNjppVfxPTCgz/zbNZ8CChbtFM3dN3eIduSdi50Id33r/lM6rkmP8RNMtuj
RIVAZQj/ZGdUD2qA2lCWBgNUS94/yZlxs+Y8MOj7sClCa7ODmIyhgLA/odZQ+Xr/8GeyhTUloWOL
0JpQICR66VrWtZk+Gik0iIseHI7U1eklsM25h3XKHn5IRUeT2pCxxfa372CpG+1qFM6GPvEWqM+m
9vHX7sZ6e5KuUlYEeYt2TxxlovwwJ1vsLOWGGIO+qnPafYQYjeMVsYyDXzvjKmqkw9B0YEJ3+7FJ
D43pPCKpPigGn4xMoX/OTbgK80uCEOeG8qqwpu15kFWCGGLUFTRduZvZFyC1Z97OGqINyaaZRgam
HytJf43Sc+NFncZyHEEIYohJtgH9wfglpLa9dqdYiJUMvai7PcymlLdEKfa10ZBcOQKEZ7PkEPJh
XfrJnMpLg+9MGFtbVWTCKAA4QGwn8VjeWOhhHlXVLpuhVJZbpxfdF8/MpjVA1qibWhhTPOy549du
PwYLJJ6D5DarLwy3MyNgjZE162ashlZhQ1fNbm/Wrpl+fX8gnxkBa2jsXHJIqQ0YW85Y7FLFdklS
bxOrRtWmMmu/jvoLJzoT0NYeGMp2UsOKkCfYItuw7gjVKd9i4ft3cW43tobKNqTA69Ss30O0a4LM
lDltKdrYh0zM1S5djNJlHV535gBx2U+SH+sMghUGBdezbs0x0APkVQTVlyx8zjjq2WtwrWAKjQjo
Be0jp5ndLErCvp6CXOH9wTPxc2XUj0ZRbEzoHYCqKzGtl+bCynfuSa9CrmVZs51QTOoRuQahR4gt
O+WvlXTsVaSlcTzBjxMjvdUvTvJMkwsg8HPXvIqnUOUbU5tG/Z5aUDrXT3Aa9MzxEqTx3PRZBVAo
IsKcnEJDdmjSgBjTtoHkyYWRdybGrCG3Fq/m1hJOv180dO/Bt4flDnzs97Su45NKTrVZEjRqpbbm
5y4zbCwO0BwPoPCT7mY7HT1UJ6RLZNUHWVdYYWKo8uX9azt3aauBYNrUKNV82lYUsAMSZMvyzDPz
rU3MXxsOazBnCzm1BZ0/TOr8qhl9fgmLeMaH114jOO1uNmXa4cC91wbVLrtX++HR9Es/38SbweX+
uNE7edU+2gdn34Sld6kTcAaiaNPVWCmsJo+gD4nM6EBvnbDbQX1yM17nsQvb2etq326KnTqOh3Rf
BtYehuKBfNQXuuPmK77zH4oqa9xn5vAlj4c436sYxsLeFEGspmb90yRSZaJwhEwjhmD30ZrqqHUh
QQosJJ2AG5uH1vxsKIM5Hh+s/sYZSvtQEokqu4FEsvQWwEwoMA52djMYVgGD46o4lYgK5Y617ZjQ
YiqlO4gl8VqSVqCELfRuygtAf+wYjVPSR4DxDGhQRdAhpKYNy7OaTbfAsA8fNEQgvkszUtcV7+pP
8iStzmChteHAkfrCxraQSTXcGFrlmxSKh+4AKMAj6dTg9QwOVcWJJ5afYK0Tm/JNQciEUs+otxHp
pyc9wMA4hZxmkEBX7AvrLQfdRZu31+lc8Y1osvm60oUVOHajvjTQ+9HuMMKjDfZfAKdndVXeVJAk
eQDFyiBuxqjxHBmNOFg1RPgUK2AJ1jlW64qlj7/CnVu60OwxnqhW/U3GIYhkjEx5fRW9sEKYH2ls
KbeO4uUoMtOBmwNqOQsFQH0yhxTOYvk8QuzSLCC31g3+oqvuYNgLRHpMnhuhQ4b2fka/H2Q7u7st
+Dh+VGwp43COB/oJSV7kRsTCmDbAKmnqGCxeDWLyNMzlx6Zsoo1GO+/GsXO+F9CsRCPEkLt8UhSa
QCVUo1pY6QZz1gtofSQJkGhQI4zcmdPen0ur4G7VAM/kdqIegiGN6MExqPlQVdTMXViEyCva1h/V
iPCBuAR+y55BEe9KLSNEMd+PTGcC8ppIEJPGNuGeJ6+m9GnKmyCN1YVM6cxCsqYQwGYb3hlGLa9g
KZu6NnjpOhMvS/tr3lf22g+o7UgyladezZyMJRRb2Kesa5MLaoBnzFLtNXcgzVQ7Wx22FRGntg8P
B/W8JF0URHWdXUUFrIVVBJvB2RxjX5NSbLAnnz2Vw4xXF7ZxhN1H46clFiLSTmAksc66hWTGJQPd
cwvK6XX+sJmr+6HWrQQ/A8YSEXLRNCxTx/E7p6v9OEovvMIzg2MNRLcN0LCXBpAjR1auk9xExdP7
o+7M2Fijz5matNOMGla0KSYBrA9e2gRDPmnFheXwXBq6RjxrmpTR2Db0CkJ2+d6hetly7Gf8xUAh
tQR1UZtpDLOHEtRUaK05I2iekE687fJ+Cikk1UJD/WIauAZHQ08rj8xZY21edkn5Ia8SV/EL+8Yz
A2FtM1IgCZyhtJ3up+qWymovnWk35mYIW5ULg+C1b/FPK+EqeUFrbEr0aRSMmF+P0OBKDlVUmLsq
qowt6IeLAj1B2F9k1y5PWD0KbBzNdJOznLgTFGbxo2nvNIpAPmJk4hczg0OHzuptbpqm19pjsoUK
9BAmrNZQf60hwBUrjX2Js2znduk3QtjWXU3m0UXq3m8MURG/Hxr1UTJjvqqbuQ4zCAJeO7BMvskt
CJ0klRV7wknLoKKxEVQMpoJ6cSSoQIPjiyY2oV5nmoEcohwycPivwUitLQpgzV0MNbZgaSfbkxBI
+7UyzxqQ3DjIKI0eadTgZ2UAnVdxjV03BHwvbnTOTNY1JrmDvYdWBspsidneZBO/qlpxYQi8XuU/
DIE1ILlGU4Q1EqMMsilD5449APK7hKvywVEllAxFW0EQWinb/FRQedU1deMuXfKx6NMthQr1S0Iy
E1mS0S5XCXOajTknIszNikLsrbukffbPzVa6Ru6NizUOnQ3eDG3myq/ytgiSCTASyBja2wz6rh+J
ljIkIn6yury9sOM9F8tWG7FUow8Kuz6JZTl6nnTyaA/kaZbswtbhzGtdG3vkDWRjuwllu0RBVv1j
lD6+H4LPHXeVXeeZhew2zaDR0JabQs0BU+mFxfNMTFoj/MU8W2YxIWCAaO1WUEIntQ5IOoS8vqQT
duah/4Q4L1re9cbY7cv5ZoAWnN1Rv+zJryVFr4vKD6ur1Ei2svJUKoU0ZEq3Xf31/Yd+7smsQukc
xYUQBHMUcqBXtGJfur4PHEv5iDQXukBnykjmajj2dQzYsMJKAPEfWV4bVeaRAvS+yWuKS3oo525j
VSOIkgxm5zlN9t3CH/icfKvsaZdF/Q1NfzG7W1tUQNybx2NLwbDI6RwAy0ADOxnYhYB25gZ+gpxD
pVYbTVlfJdJWQdF2pgfHe/tJO4J9WIRZX5gJZ4bpmp+WGu0kZyDy93axBI7a5pYOrOTCKD13E6cR
8MMo5aNdDgoOtnsAk6hLnfERJK+PWSJ9C5zIC+vWuTs4nfyHkwxgQU3oR3d7q9l0pePySnmRvHt/
OpyJQWtkPgRuuxTEgm7fiS5y7apBu7Ur6Pb9o5+79NNZf7h0q3aWuHIAMJZ88VvY1y7M7+0LCea5
h7+ayZbBF7NwUEKv5o1YNs3sjzHUkC+82nMPZjWJESeUwvYbr5bDkYyPXn0JRHXuoaymrkK+2MWn
JmubfiTxt4i3bneJEX0m9Kxdxua+taZlQnuY96RHrmcmQQ+wD0xT7QS8Up1s1TjM/uvb/Y8v03+q
b/r4V/bR/vu/8PcvGjr+iYq71V///agL/PNfp9/53995+xv/Dr/pm+fiW7v+0pvfwXH/Pq//3D2/
+UtQYrM33/Xfmvn+W9vn3evxcYWnb/6ffvivb69HeZyrb3/89kX3oBfiaCrR5W9/f7T7+sdv1mk1
+48fj//3h6cb+OO3h6RUz1Xf/PQr357b7o/fTGL/TiTqnA44nRYkJTFix29/fUJ/Z9IE11QyhxDh
4N2Xuuli/NLvtnDwZclNB7pG4JL99q9W9399ZHIorOAj/OSWhQLgf1/am5fzPy/rX7A2P+qk7No/
fkMdDLPuf1JIXJagUPIVjnQE58xer0+AGbE6aUAFd4rjnIkPQwOhjjaew2owAi2yHBj71ID/SpoH
9gxlwaJVTxYpvGip46+q4Vuu8+8ltM/cCZrf6CfB0Q+s8hScAG/g+UELG+6feVAlI3GVLj2AN1pf
AoVD+8JrGbR3FUHeDUsHWJyInWEAEcZakBgAboUcDMA2RXkUDr+ZDSfxqKPQXiaDl8GGHtJ+iwc7
GByD2ndpLjaW6P3TWTlUu/PICABGvQY0yGsd5tWsCCS87A2THxvaVhue64dSwmIlUr1vwzYx6qtj
PImNAcqDaPM/OWxHMrgSQWoVkorRcM3nl64uAprqo+HYoaL3KMX6SVodgePaEV54Ombbyb6Hp+Pg
WnH0SCCSGtYNdtPGYOcwNuQ7KeEND/r2sUz6kzGQkiEj2t6kgFpBzvtFk5cMt2KY+YGAYBjTewLT
Ml5wD+cjWXFtCmNrQ56B4TJUTm7qpQm5Xbmnb3ddHuYazq8KibUJZdj5Ycm16wjYHMmo/TRq2HbE
yfKQGQXAUN11DDUwiG5U0J0vvAUQIye13M5wAJUzPhK8DFwRG80PDDYtCbnP+3v4mBC80NgZP9Tm
XUTU1enEEoarvGEnA677vNO+WL7W8fBnHhdYDCPLpQ3bosvkYT5s4Pv1qSnBpZ+bB5jOe3BkDeDp
gYYPA1oabxp6ZS7vDNgIsG0Bfx6IjQ7XdV/+mQFf5WpUaVNt7TTG2lx3PrxmN2zmXlYreLTiHYjp
Q+1kQd+mL2KWj3FHPryOm9zG0fAdWPK4szau6oTdlYxvehM72AnSOlsgskIGl4PT3aYl+dA18jHX
EzS9dVBbFNYuPKxbI5it4boUEP7RH62kCmXUXA1TMGAGDI7YFUkM7fxo39awSUBeE6YzCzMI3DvN
EoyQwomc8mFIlYsCazA21XXM88Dpk692qaSrbSMY0cesLNjT9Pd07lEpjfdl2lqgnDqA4MPMaU7s
fcIF1PJnrEczDBn8PqsxnFLxZxHb872NnsaOy+JQwDkF6ui1OJT4DG4zaJPPWgACG6P+QhLm5xpQ
73YoQV6FMD222br0B8umftvX0abm8WfYDjG/MnPuvn4IsDvzkxJCmnCRC4ls4k0tqrZzFzLFeBVz
6RVV/0lN8ls3UNjyCPtYYuK4rTm1QTqp+R58VChj4oJmwqOd5qdRUPDSG4fyOy9R7i7g4LU3JOYu
dYrSFxCd8lLGSu+ErIcnWFeGdiGTHUrjessjHW9iahlhUhrbDOo6hWtMke+Ug97SNGFH7IXFA2hM
dUAZ951JbkCS9TNnCUlVeXmTbEim/+ToSxY08xYo4Fe5CoQWV/kkQWvKPYV+kWEtFxK5fw7AlsNM
m8NrEhH9bVpkJAw5rz3qEJo6G8O5H6TlxvxF6AIq7hMeQ3afw7uIGMsHQ15iSpqrgtxf8Z8ysBcs
04LY02kR+jErowUfYBqT6dCUdljAOQ3yGmg9VM4mjjFOdZS7cZi0NDhF16kVm3gxk22zdK1nwHHK
naf6Cnx6OHJ1veUpkn2HTFvqo1XwOPQBCs6PgmcwVVnETdLb4ekoKQg9pHg0ovyKqfGOT8mnioAK
xdGMRv0nWOY8OC1DpLRyaFuUD4LoDfp1V6ew3OXOrksGN1c5aAB8x7AuGQN/LvL2IAbLtTF5TxNn
6cSuNNW+GhREc+aAyNhPEr4F3M9z+vjLKJ6cwQNey3VyvcsUzI+m+5OwGVTNwW3qXxS1Q9jLQeis
OPKUg82NachKV6BRnsBIAMDnsG+nD9WoHyTkS1lq31iU3aiJ31AlDvLkrtvA2lguA/FrKHEYheG4
IwkWiS1sh/6VNT0hbO2G2kFda+ni6HvFnd2EcG0kRaBgfQEzWHfMX+aiejjdEMPCKuwrmEFMblsU
h64tPwsNpwAZ6IXBjaC5qujdD9nM3ynDjynC24z6rwECCy7CuYmZgZHydoC0qOTLHsy/MO2bCfzI
wpOx03iaA0WkL1H8XtONdToiiClxIsdkYg3WJi2QMGpxdMi1uIGDGaJeZnrgytzBgBFzsOrDuuYb
wyZBCceI2t5M0aU7fr2lny/CcSjqmNKy17ww2cJOzUm4hnlc4cJQZEsBMSN1hKwixAcIQ/r1hZ6W
s3r6MOS5J1Ia5Ab0Xjs+vlQjhzEfFgsDBGExYiGFJZ2AQC/+H414OKLtze3INWfEK27sYoPcRM5y
jNtxe0oQwOdOYRSrny36aZgioDZOFnaObw3wq0joY2TBFoF55nRtd3qbxl9t+wX9zCNhwPzCaTk1
1AX6+mtzd/1IJLME8lWBBPSVefDD5q00LdSniNYhbGVcbZIdhZXdxHusbAsEjeGYRtVG5fs2/tia
DRyeC89CE5BiHzZhtUz2EzxmTtNnSu2tqItDa8YEQ7sMtUKgG792xnhPjwBRgk5CbkA/v5/RIXx/
KL92GX6+i1PqDOMbCumkt2P55FyS2T1ibT+VaB/rA7ZCoWUXn42YB20+AA85vJijs8/Z48jmG8KN
LWmQw3bWM8QaEAXSKQ81bEVRzH2wmu5mGpBzmsPOqsX1KfeEepbfxupS2/stfuqvSSg5hRcgIrUp
1sVkWhlAurNJhzD9fZkNOIUawoNirGuZoKnqYczdGZGzm+0tBO59c+xu67oKIDC7uGNpnhphr8Gt
anvXQZJxYRF7bUv+9GCxf8BKwgUha8IjzWvKG9XqEK0JJI+db0JdCqyw6s94QrtWZAdqlojB4qa0
7V1qmKHCAmIi9e4TxPOF3siRPvGWbCrooNol5F/u+6wIbKtHGlbfGQs6v038wSzsMCN5gMVsx9WA
1m0TggEBm73e15re2Si0mGnkg+/xZaDxll2Sov3HACWhMkWEjRXb+an+y5coo7D0CllK707ZmEWG
rRUdhpygOQ8DYJTchmS8Pq0oKLxuF9U8vD+KX6v7Pz1sgb0HpQ7yhjURl1UV9rEmLqGauFcRZ4do
6jXTyynLNpN4b7Z5gK3I19aAGmsPr6RJf2Ip2/R28f2UZXOVBxcu6eddpE2wixRcmIwSsBPeTixU
+sshWjA+GTksor4HHf0oGr6xK30UOvkKNRYAdbsbkYvgIkbzH94Jzo63QaWJi4Bf4duzj7UVGXPD
MPqQeArjs26fWIkMUhgoc9t32Kc6VrNdcC28VpC6vCSd84rmeftG3l7AqvoEwg8Mr0wsGBmwakvR
eqAEhxX2LngrtmW8ZjMlt6D0hIw+bXfZ0KIL8hm+VtfxMm97Nvklv10wnzFlwqb5cor6ihbuaVw7
GbzjKthGdrE3t+ImaopAI19yUmx1R+YhCZbe6/v8f13EuU4AGWn19+7/hyrOqal9vorz+Jzkz+XX
5PlNGef0O/9dxmG/cwpLPUKJhel/ioB/lXGk+J2CZmHBgsUkCH+n6fh3Gcciv2NQmq/1FUERHDEw
/y7j4GgYqwS+Q8RCmoPJ/H9TxvlpBsCZD6Pftk7XR4WFo73J4knVV3IB3Gybpcl8ZNbQXxssc2Kv
6CdCfSBYDBV20HfvYchJJkhq2eCMh0BDGmh+d7ND/bHpnObCgvu284eaDBZZIihqWCamJV/zOCEG
FA/lSW46g61ytLcSbB583sfG5FtzER+qrqyuYSkPp9qmptmxtAi0SX54j/+Qv76trAp0CAiscGwG
Iy2LwCd29WggMNmLAVaSoTIKylGyUS0wVzzPZneuCG7//dOtBMVP52PUcoiDZNkkFqp3b19FJuVs
lXUsQnuK2j4YBP2UoQEQ+7BvJX+OSTHe5pFMQGQaB5i/sgybFtiBNfn2woWcgs6PQQkXYguk0RiY
DrfwEN5eSAUAFoOtKwtz1eneT8UE4Twyq69RF5k3MndsFNBSldUwclymP4mBnVZOF2UEfYeGIRza
BhX5PK1FcmFYnB75myvjFpXUAe+cSXDP16uFqmGgrZ1sCKFeMUYbGwUee9ukTXlJdGU9/gS3QI/H
4MPGGlnf+t2bsqSoi9V9aKLT4wSqJra56SrH+rjUI/tuZVA861N4aAFRZAMJFnVl1FwYf+v9kzjV
abEqyVPKKclPlONaJhEs6IYQeAfIzQHrnaKcMM2WP9YNVQcyJpcgt28L/hiCp6DDTWBMIZdD5HpP
D0OQxgLSrce+Pa8+p2NeAOUhpgyuEdpme/wLiRsnps10gcDw870iknG8UdSuESLX831OCghHzX0T
0q4gUDirCAJOZvAKIy2HH4Srkmi5JLLx893i5WJnzaBdg0i8bnOUWsDIh5ImhDxkvG1lYxZuOmTj
1xLOS18trmuvzoBH+WuNfNPn+HFffJrHbwcxEzDesnCX+FOu+WuKS9PsuxSyBDO63VBw6ZvvosCI
CucUDsIhMBhCenMPuPtGis7i4fvzG6p4b2e4g4IRHJmQg2KXyuCas2bgA7sdIeIBqQNO1wmm2n2C
nhYcFAdNruOOPVZjjWaYrnyaoOQwpbW6coBGS3w1s2nfwHcaRFtagrQ6IXVu6nanOlNuaznlj1mc
mbfNbFVhO2ZfCqBsA1rSZBsv5RhYvEMDIEoilzV55xugDNyqGTpNEGgq2JWhowoYrm6ptzE2K6ip
EHiOwt47MZ4XCQPvAYbkql7q7xZULGA6CArrRMWuNVHkEXJoQRlTybaYoLndOtj46g4opria4p01
0e/1os2DoLB+jTPMqC5NnYeM8GXDaxbf5hNunKj4qCBJ0WM+7hJHyaukHaCHQyCT/6eZyU/dVNh+
C6mHAyT5Gw/GYGXtWy3M3ziFkkHdd8BA9WiwisJQ2J8SZ/ZEBqKMS2X6AMouMK1WQgYfFm/jp2lJ
moAgjPo5pIM2k8AKsDGWoUweSnCwas+BuzeoXWJgVQFYLWeygad8V4t4AxPNNJs9WWoEoAEWkXI/
dM4iN7MDWGHp5k6Wj9I1YQqOpTrFzILBH5TNKqjilNA8toO+aW15dIxmnsGCSp0YhLKcdeh4cFEv
uBxmNcydorr6nOGI1YHYo5XBwbRLHeM6h/gHIF6AWJTLUQMn0gSweR2yj3MLfe9tLrMCkEp7no5t
MZgcXpwxfo6iSuEwzVCtD60S+e9TbkrnZD9l62yT8AkLvdU7QwpvUwoDCoD7CRBIp5POeN61U6bU
/2tFnsy+KFF0H4n9vVMmDotM2h7ugRPGQRY5VZ/VTLkJD09h98Q1CwY3caDZEMRy1SLOpBFk6vy8
l7hqBRe52G+tEj8bksJbNYYLJoqVGEOZHxUOLk+W4ECnLnxO6yl3W4VWxM2C5n3lOQOYB/DthU6L
F/EJ0qmTWQ/2Z8oL6OxGFm1nPxm0hgsnlo2DPTd17VeNwZwbG44I2WY0ICuwqRsCIdNWAbx9VZIB
Y5kUDYjFedNWn+s+cwARt2k9ehTzDQ8K6YL2s7g8lGCbbXiZqtETJ5iej/5NM++Ymeb3wPDALFxK
g4lDYfA+2owsB4zVhHmJ8aBklCd3id3b3WZusqL8AlWFb6AsQmuqk4v91RySSV5PGatuK86wrx7t
E/gZ+9lO+kWXC+G2bYEnNdBK+bXdxt+7Fs8JEIM5UT7TdoX2Xt+AX5ynC2ru8Ct10DXKnEG4BAYL
nwqIpUDdJi33jQ3sO3B8uRHU89K0blWzUyyKOWmfe5VUBD6YjYB5LODsKBDHqHlPHOC/TUPY4hl1
55joQOhUHLMcnQcGML66nfSQFBAKMhdofKY94ljLItiRisEwvB4qOPWG5Sdz9Qou5agf1xkfpzCN
JAZKJ3U8epwlJXxfKwYf1agY7CMlZV1tMghVVL4lyfwnRNWXcotOiqH8LBuxfFW0x5KFFoLlVfZI
oIDG4hnRnHVEjrA/TWRYFpCr2PQZE9FeiYUyTzZRpHzMSyto0DuoQyBZWuabE6zlywVQBbRRIYvR
iXI7kKQrDwW2ChtoLkT3mSTGRjJd3pqmwdFVysfU65hZfC/zNoY5r8xuLYA0DzA/glUsZm38dXAI
h4ZwFUnYFKci8kqVGPBjHUw8nqTr2q0GUATO9nmMpk6ayAiiF7GE4ADMT9w5B57UNUQkuafbkW7q
2GYv81ie5lENaLVcijkw+wj2uyih7fOysd2CJTvoGDQ3JKUynKoFXAULNIstsEdQXM+mSASFHdOn
nlo8dZm13GENhbWOPaKIOnT1ZpjrKN8RCPKDmAraQkmWdCt5aVzl6GZ7UnC9GfJx3LVZPb8k8Uwh
RySTPbxg1DVg/x+JmaGlJPum9xIKCyp4US3wvyyq8WEooG8QAdgvvbiMSBc6Q9dDc34Z0VZNkfW1
SIomhOXaHLzOGMod4h6AoNnIqwkxitjfemxWXKPl4jmj1kfS8uHGrpZ6F7MFyhiLkrupBqh3AaKr
9tvG7uCcbUQITycByrYwdRw4s1T2JldQD79JbMN5gEsLO2ZqQTi3sypwhsiG824iOOhdysTqmWf5
cYYlofKKNJWfIOHWxleLzhU62PCrRfNcqvQwAqrdXU9OK7/MLeu/VUi5AidSgJgVcCILKqM1N1Fd
ZjvQRsG8bNOqxrqVz7tCmy1HR38YEzdxGFT6tFHdjX1ab7E+mIeZVleRJBaipkPSG7i+d7cyzYHF
1qhsjEPKjniGqa8KrtBezbFIp0n5IKldBAvp+dXMK/JC2anHKWPcvYt0wfAhCGMeadnpb2NlzcE8
gLoBzfbGzoMsKQvLy+WY7rI0Kx6SeMw3Y1LF1zCU7yAvmGYwEs9AwCEdJPFz3R6ggAL/coQp5xvP
bApRuNZEuG4hO9VMeXubQXwNlNn+f1F3ZruSImmef5V5AUpg7Lc4vh4/+xp5g05EZIAZGJuxP33/
TlVrpjK7ulKtkUaay4rMSg93wPi+/+pYuxbAh9qjZvV2Eu3LK+Ga1ikfYp4NFZQPvYg3uc+MV7zZ
pIic/Hrp93g68qNvmBG8zU2Lwvyct3ZON55OwifVcj9F4tEPGlJasno+LnrBqZgBu9s621Imna3e
B6qs7+TqWOfQq6uUYA/7B4OguS4MPOloc+LtsjGEaFon957a9UsRGsonRcElEd2WDNGIxD8PIz+p
By73rmun8o0cF/qJ6rho7kJRlvdzM9ciafocEXDum/lQrwUd0qtXdeBDTP1xkTnnpXatZFv1xMkn
2UjrcToMcNhWpYtkmsp7Lyudd0K2nb3VLS80y79W1fwyRFTY66lB+qA25SemyChKX8V2sZfOvfh2
9sbq/ktN8b538p/hTOR8WIjbcQzLE5W3ci+jlRzT4tPPt4adR2lgh/xVzpafTBs+Gz/aXoNuvI9U
plO7s3kg+/ZO1Z64NUuA+KNfTpMfV7ciGF+8VhaHHFHQroEYaFY0FM6Sk25Gl/evsRzWhKlsT5kz
ui+rMLssVEUS9qLeexCraxEM57hobf68Dnae6rc7aYL5oGKKn4tpU2+ejn4NYyTPfVV9s3zfugw1
gH6gGbRCpHDTVLxXdv0Zdx4MYIwJjVJ7k0Kxz28Ijr9zBN9yqj9ot7NTFY3EPsejtZPx+tW8VfuH
za1+L9bpXVaTOvj1vFIKbG43VXT7UpBvUwSEwWvmikPhe4caLBFoJj/2PQWynEPytMnlR4sNfRcA
MSQj5x9C1UHto1BlqG9YQtZsSF1669OBavtjwACEpsbkdwvryakhFR5iNnvWYwsbKePT3Dh43uAI
auKzd57V6lM2GhLpO1X+HkurSxgpI+h7t+F49raP0tAdHk0mvIXuXU4gEI/LmrU3HJ6oZyrfJJue
7BfOxFe1etm+UIQNROVapXY8RZCcOfXaqE6aJDDVgBUs+GK3KrXTQWalq6MhlYbws4t7P92UdV7K
1qZzUtDn0IQ/RCke/Np69lc0LE00Ki5+h1RUZW+QU07CI9EnS+MHD9TJn9zWPthtOJ+mlqNV1ob2
J7JND1RD5smSt9bZDdzLylBycoK2PFtQ9IkZglez2qcp56UvcKqe1mIbRELVcpw26I/T0mniM5a1
u5A8HjJdVqbZzdYenC3ewwQf+kRSUbGe3C3EA2ieJ5IE7sQ2bZe2Gzyyi3jdq20iTnF020Mf+G8O
Ka4/J3fuz1Zvu09Y16qnGUvspVSENIGklAgDlvyl6Or6uVZ46KlbhxpsVf9DQsrhwrOJWPLzaXv3
hWsfjUb/oL36+7qUfcerw88/dR28ad4s94tNRaWD2w0SPprIj1zyW2WCaGdvQhzorSzTfGw6fZiz
bki6Pv9Y/RDZY4gDo+1nIIzVakgZ0uEXL2ufSgelWC76D4E2+K7WTvuEGaxK/aI7enVnUt1o9R5O
toUBTwsq42Hc7oB/6vvaGQ/EY7t3ZVfnO0ESRpTahR2cFxp41101Rs1O9cz8hJfZ3FqojcYm9ap4
vI8j1acDcoOeBTao+/1clIwAbhhW96zMMQSqsDuS2TuH/T93gz2rOWEwnZsX1NWXRZa4a14bMB/p
NLvRjOKlkObWm3V3MC01mwNRuruBHpEkcuL+Zijy4G6xY++mkco8k97G6wie0tDCE6z6UpDS8t2T
iEqGMYYYBjcjf8+qa0ObZh8SIQAEumv8jZipaG2CHfYcDmjiOIKvibLFdiUlPV+l6mBJG9QY1cT+
NS2L/q3q9GbIenKsLI07J8zSnsbLEczWMsPFB5PsDnVni1u7GrKLVfYzN6J05ePkzyFjL/lz+7IY
m5fJ1qo+Zqs7dUlWRIxxSxGy/kZm9o+iXfwHq3XzNHSL8sT02JMl2TSzh5o5qu+zcWkfSntBkrMW
fszuwF29Z4nylpRGqC4dEQj2B0Ix3+aqZMZUbW4udh90H+vkddRbTnl3iJnVoMYBKfxd5rahnQwa
LVflmIgAq20RLUxfO/Np0Xro/W6qkjAuw+ta2Pln5Ez9Zzwu42XRUbzvCheQSXRrwvm1ofMIomtm
rPLMWMdPUMIgSsb0X8OqvDRbY5NQZi7PLIHsaytmwTSo/M0697J31I5HTCm+iT0fWmuKfve9Ul7E
IvW3KO9/wviaT74W+qsgWhCR5DomMpqqYm5VbvLI2FQDCH/HjWjfD47jP2hrCK8SwP4jqhSm969X
zz3DS3FmLfdu59IX/E0t6xiCoT/2Pt8zKReQ0aSst2g86LUa2iQgR8xPyDE3p8JyMFYsVVa9yVwt
h0Ys6huavQXNjFgOXU4GXALYIx6UiLZb+FTOSRQwr452KQge18r/aJRxrpqSpHRS7fhkLZDv5Tq2
n2yQ9x6Y1mNnapjwYBDpBLPPL+y06Pg676VsGvWMjGi7RKPrv5YyXF9sEq3281hWNB3kEhO9WLDn
Ui5jbKGfqQq2L5QIK3Kp9ZYo2yDZcyPfR0INclTufUEGQbI1/YbgVMgzTgb/Qr5KlBa9HfSptTF3
BlnBgsK+77sYketWpJxZRdrOuKfFREHI1vs/5il6kqKNgGkcxETW2rK3xA8t2SZYkBtQTy9GntEH
EuxzyhRYZPi8zEvGEWd339usZ8klNT64ceJpfvQtukE1Z0gy5+pTDv2WuJqsu4jFNSHxadVH9K4s
63FbjBDtW3BPZHachPVUYCccai+hD8l+6Xx/IFUV1VE8htZwjF2T/QwLY+6zFikP9pPvQ++EYSoo
cz64Wrv7WNnrAcOrPJHZqhf08mtxcNxe8EOs0x5C+K017WkY/WlXOfXRif3qVA8CjWUxxO++U+5z
NT/MHLh3y+KS+T1eJ/QCzVI99Aw/cz5S7TUMv60NHRnuUosbUNu521kYx7GZc7UUbq1dM0c5AkHa
T3eRwmpfRM5JdWRxmmjlOJ6V8zIV3l5puexwDrbzjgTQvDp2cpEzY8gamrs+tyMEMDaA18mpJzS+
VWCGgVXUZLBQVWnZu7lHcLIrN+4ETIGg5Q/SMHKTvTrE8WXNO52RzmcPiDxzF71hY88oLhAZm6/A
NtuUqXHLUN9gLxjLs6Qs9Fc+FNN8aUZo1C3ygTmzDuliadKt79kD65BQs8Uksyzf5xo1vERmrONZ
7haPCqbW/V46WzEki+xQGpMEqq8FeNW6iMuyWGkrl4P0wzdLledymz/MNgWYST1vV46+uaa1nA11
wblGy+8FqMX0veE1CtlRJa1cw6sayPlx7aFICUI5RZFCYVisv69DfOuK7IZb/418seM0F9e+IQjS
surskFHmsSt8zQC9PGWdC9WN5iAT/bOrTZ/AanyWWnUsKsGDbrho3uI9my0+OwW+S7eNLYagCpRn
yAJChgKfDRDDspHVXaGD700bHdWiqrSIPXW0O/VEo/XL4I+cWOXtHOmrMJiXsiDe3sngPYdlnu2M
Iy805P5Eh4FALCvGaxPFBxYkKDblCEb1Su9oOa6TwfBG63RzYzhw9nYPud2Nfc6OwCBv50gX1Lp+
WBEdBV4XtESVgs0d6jow8yVu5x/SIeIJf4qy95KCdV7KUXYNqz64KB/sz0NPF0uAnszmBxUDBQQh
c3TrvBsVP2PqF0eR5eItp+MVbUdwO6EMfxobS91MLoGIUnO2IAUuP1vdUry8FZEVpGj66JytqBOE
wy8oMcOmIdU7wHaz/qIEu4tf10xlP7A3D3nKsGqKu9mwayTl6HjTTQ9CO7I7x/ziKy/D9eAQkP9T
Wa3cEPI1zfjg1TIcPgl0JB6BjtXKullbD7QiQQG5DEerV/wAue8U1m5QbEVJp220yDYTN+kf0/La
m/mpLqwHJxrfgPB3Ta+ck1f1JSqgokh5y/F390nHaGkNnbIwPNijaj8YfqJDbs9vjIjlwfSgjFMT
PoWWBWbn2f1tZZlrMeX+QzCvlXvMt2GyyaHqrCTTvOaSIR/1Y58zhC+L58T7Ucz2O/AtT5yIZ494
5iJQp1xn/VX5KN87l4YngJpcPeVh/fX9CvEbeaRc1qYk5HIXVOHw5E+myTihvPgibGO5zPT5eLYL
RczIrJg2TQUmQdU9YUyeDt4HQfbtzVhmhbjEg/ZebZn9DuA83WXhEuJeRrG0qyZbdAcnz0f8xyz0
7ElhDo5rzx+RTVfFwmH4FLrjeMjdoT3TguBzjar8ADyj7rYqnJ7Cuh+f1Nz5B+MLnnPR/1i1Gs/E
VhTfMs57GEWLwqpyLKmHM60NLG2XfnS0dZzfV+1A2lq/Au12QPpqMCWC0qrRdyQGUveBOocHYdKn
cTTlN2jl7RiODpU621ynyHmatJqab5yPy4XwDPukeWMl1prniqd9yK8im0RAxgXkwghDdl/nebzr
Uale4sIBUqh6FNR6WuVli8f2MJEsfs58rnJS5GQJ6TUMXmug7zck9urQRlm37wsGX6fSDB2RqXed
A4iJOJ4XYFMhxBaNTCcptjKlOI0IDL+YLy5vuFS4tXcowhHcog0hhCxdIcXJRT7UeyUXQkXcltw+
OQVXnzLLb4vcxueuWz67pRn2Vp75j6NLz21Zr/nLMktCIUf1VNVLdXW3enlSlVZOErdU3vQoLI6k
Obg/52WpLi7ade4qbt1t4p/aEmR3XuLpUlGMdxhlnv8ywVZQzdW0nxbvvqRopuVqmfHHBAD6mGnr
tgzrG7SlTGDxUDIM0mhXPH2lVR1siJC0GqDpI82uVAaDjfi5ESFVZczITorH/i13um0GNEUMqgZ/
PVa8SzG2b+HbgD8nmboSo/laECVYR0j1I1B4vrX8WGqwj5WxB+gidvZOVf5OKa+zl35QnD0zv6zb
Yp/aoA8epRWvRzFs8c85a7p3EbcW4fZ1dmwqP0YLFLggEoCmbRuiOrUYC2/C3g2+W0G+PIblbO/y
zJKvsAr+oZgarkfTDLuoqBzgUREQcjj2T3EWdRyBg/erx7aHCrmjN9D4XorCfj4zHkWpZlR587ep
vRtJaEmitlp2Rdx4x2KaZDq0wRfBMJSvXTCViUNM8AcRLttxipcmdbU37wgt1rchFpFr6fTl01p1
z2IKiuM4BIoMfRXsA1eticWA91vtanXP1Z6foqBzX2aDUZp/Ek2vEySOt7MbYYV3feTLfddLADBY
qIQaUBZ0XWdLxWt9Y/NwRfMjIP2FmPy2QlQ1+XJIA1n17H8syqmnCpaNhqStRK9ev6TKncwPG9LI
3ll9FtzNbbeA07RW+32heuS9FrG84xVVg8sX+sfaCdFDZ8biqZ0aDxuxbh2d1mpBwjX6rTqPE5Ap
VF6+99d5OBDX20C9Tdl9BT68zwSzku8Y6xyXAYXSYSTlt0m0sUvAYT5bGP1zqdOZ5NRDtXTBI530
Kw9U2IFChuJW8r31ee7y4CbIrRE1WkPccllH47FenfyV15SVks5CZ4cL77r6XfcGo7E+OcarU9uK
eVdp4t5UM5eYmUbr1qf48KCCkfziTo7RwRVfSn9N0yYtAN9XsbIhh4PiWY+3a4tLOHFnWrb9qt8O
bmTWndOSEiFmb0tY0AjqzxrE9hVzVLT5rBsZbGndjs6z4UffldoK78GSvX2opoGA61iePIShiecX
kNY2fi6e4DAde/2+REr+wLoRyt3aAJAVc0vxzBTSpOxv21lnVf4gmrg5BFOwdzo1nSDoABjrzGVE
zEei/JYgXRiIdmzVoKJTLA/SqqKdctT00fb1eBtIz75Um16OAArWTrA+pbFVlie6KIvzVpfscHkI
wDVl0SMqqG3nhZPEK1cUtwjpw7TCefBuChtlYhSYLwg1aj7CKYj57ccfzFXEbaAz/1DUJzkwvcN9
1G7OHeul/0sVJFPXMvBTKuOGE5oLbsJgjD5Hp1m/Wnne1ByG+zoqKECYuROOVeYOPHTRC60XQLGR
/uaSyXRY10WTzh38hMgifJg1LyHnr/2y+XgJ2xGSMKt48Xzicwa/i4591Iwfo8nZJyGFbyrBWLwN
vHBg99RL4S4xbGoFaqYrV/9yFF6EpmKJNQTpn42yGTr8ZW5YTZz6gPbD3ZXkfu8Yd/rxvGybeq2A
Sba0c3TOmhl0J2fI1od1RNWSrJSod3wJZfZeC0C9dwof8mNrCR/bTWVdn8dMt78tg9HAOChh5D4c
7NtJ9ptifNVzge582jA9bSgilnnmSXOKD+2N5jwYEzIljnl2Lwlp37n9uD76AD9nG+/SW1uOfEmx
zcO2ZyGTQwIBECS6y4WdBjlL/i+lclzj8Rj5+XGOqKeg+jqj7ANEy9sRvT/fjK5b3AxRvvysZhMD
PHWle464j5rdHGw6afNx5a20RL9sO19fcQtiaRx9jHqZ88VVD8ijpcVFSTpL2R8DgrhsP3RV/tmU
GhC9ycV97YX2Y+Fq0sCHuKREIijzdMjb7SkOKOKjKo/fP3HaIuCxMEYkOq5CDlgDC+9K7GaJSxDW
aeEW/Qj6rPhRenO7FzDjCcT/ZxEWP9bQAYsmxlyRR67sxLiEsiQiHy3ORCTFUlnLZe4pM2EQ8Luj
WGeBLbOMX2vvq/IktFz/W+200UMxaIrB2qL1LlOzeTdZZbERkbvw3dU1IK3O8UtaamWdn+inmDlh
yqQqvPFGdL042TlU61DlkBRuV1hcniZ4Dztj7xgm5hzrgcmenS4cXly3tB7sEn1+L3KyzdZaD3jH
hnA7I8gf0o3frkhKqx7xk3xBQYshSsJprAlw9SunaQv59xsOwTNBtbUGxqvimz5yih1FQU6/8xi1
3qXKohYyJdT3tckNSPxKz3BABnF+WpyGwjnSdOYbp603rB9RioUJ1BPk8hhJkJOj57laJC2srrvf
SsultUuY8i1UX1MVZVzFhb0mPPVf4dJdICasJ7lldjYCZpCgNSBGJ5/GBu9IsEVESUB0Hr1R3duF
XPdVHU1plkc4dTNSgMBI2ueIrKiSZsqanDTT6ehxi8mCvwMBs25M6PQTgKvvPo9zLo9C657xXtrj
btSjfjGZAiYNPY9kwWVZUvqfekLxiKAPE97I8XaPPoAHXQ7BmqDl20Apwq47tNLG6WGtw/I6ydCd
WGzwBEJTdPIS0u+0Hl1IRJjxOq8vQwbLmGi9ip0xVfw8Ucm0KzoBSN2T0uSl0cZLreWwMSl9li48
ewcpkovm3FAm0R/coo6cp2kU43cqkeWjWoJwTdkMsQXDrYd+ss7UQzeSeciUzba3YA1QLlkTRHmf
1QL7ZDfQ6dlNbbFXG2Iuuq7c47KY7cnSZjkFsbUMiV/l/PpEzc0Ib2xx7BTeLcHiNB8qN5gpLnC7
FJ0QT1mlrKEENhhydvRR3pkJqYDdyexIDwXfCwsDJt7hvZxn/5uOydZI1nBmDbOK/MSost0UscZg
41HDFqRqXEielnE98CSAmuTuJj42Z1X7Tbi3kQWwxm1f78rZl3cdGw2bKO8SQI8p7PZQKZQFIG9Z
dyZwnwKtTVrzXd7CLKgOJdTAAdkAepPGWR+1vRWHbXZ/ahkMYL9DAa/UmLRdTHEYuTvdInpWkZOd
lnUCv3FRYrXbcOiG/ke42GwDrX72iSB5bRl2H5ULJWc77vgkvAiuviiDkGlQd5Y8bnk1rxcWXqgK
qxmD5aJzWKQ9ewAIXzJVw4JgMJg8NBh9zVBwihcfcVJV9MhWqmiSDgW1YTY/zY7kT/yoC73zWDfW
/LrM/Vq+/+NPdLECd1EnbNevOYmy04OHkhqn1sK4CX7YVWiHhF3yn7YmgwTVquSXarFcYlxNegp+
d7ys5czIiGTmh9TA5uf2Sw/lyE41l9XneUyWMkYJZa+cyslovG75jWfb7b5bxYIqKAit9lskSqvf
F5YulleLh8XcWdBDlGCYuvVv2slw0m1uG2Q3/9CTVLEKvZMZmQjScOlQY0x2ZWAWHF/Vk0wgtAJe
FiWL45Ojyo7Js84iuqr/LkSyl2CqjzpvC4RrX9K8fe1EKMgwRfRcgnhZR2pbuWXvNe8kcY/7tIBL
G5Vov41WwEurG/gZkCbZYNCRXrhtsXmAjOc1KnMT2EkGN3SdB9//0TCQg3k4S3zKiVbdNXk8hPzv
8M4lbBKapB3Gfb/hJSS/0RV32djbT0XAGxJ1WDGfWRIoAW3DLv/hVMP8wjZ5O8CqQASNpZr3fR8I
JHIkURxdU9sfrRTxk5kHeSdJBkwzxpaXRjbl2fOZcCeCRu4cs8idVTBeR62sfm8Xr6S7UBJQmMwN
47jOMbHJibgQ1ADe5zz65XeqT8zrqCUrOsm1X6tnDT0CL7Z532dcqw8Z9tR7L/RyRr5V3ZRKzHfB
pFfo+mEhGLI+tFlETWXj8XhQ/sVP1Y3WU9GUD5sVQPeHjurO7DsbyG0+tG/CcT4GDTgsvaW7TgOI
MJY0mlAyi/NxdUCGVP+B7yA7hpOOXmZ38lIrnMqXdZ6DN8husWfp9FCkhO1JMlX+NgoR7quAyWVo
HYyKnJzmKoYIDZMI5EVKq7nVC4u7bOKnsgjxo66oz6Jl6L+B0H5W46hvurIqrxVP9rdCF48Rk93V
sb0Pk+VbvveY8XZmIyHaK20kUAvSuEA2YbptDGn2+IVeE3gUVMpJY+TZB3+qxFUJ3e8KOzY2jSrW
8o94pf9njpU/RJX8/xRO8mV2+u9tLU+/y7r5X6+1/Nn8wdjy9f/6T2PL38Igjvw4Zn12iNv9Cjv5
h7HFiv4WULaJ5zAMkJMj6cbV9Z/OlsD+GzpvUk18FyW/j9HgfztbvJh/BJYXeTGGdpeuq/9BPsmf
nAKeF/GfEISdwFoHYfDnDhW6o5BiDWg/q55YT/uEyfAvbBL/8hMw9rged+LXyY/M+5+MrQZxWT+W
fALnZ7+FDJzq//ITvgwq//QJMYlrrm75BN0RoGGfQuR4/3RN/4XF5V9+B88W7IACaP3Paf7OlptA
IV9IwN8s3zt1qv+LT/hT9Tk2R9BARkXchlxtTBV/MpPkrV10rsrmhGgPb7ktaEJ+3oyO3mXuWc6N
3ZMkzDfLh50oo/oWTiXbi5bObsfP/S6NXKOCA2GRLO6d44U7KgXX7aN3IKRP3VL3JGT60l6utmUr
DdtTtuIv9Pp/9CbwDbh7nDgMidyJmEX/XAnTNSWISReCHW7O1R5+4rm/eI29h97+i0/6o+PoH5+E
WBQjpBfyFPw5RsvChFrYFT5psbYvpNxDMYTbY13oLf331/1ff5D75WxB1sGF/+OdtVWIk2RdEHow
BqmW/c6dmzcZzx///mP+6y8XCp8UCmzHXPv/8hAuxOREq7OKxA6q1MUFvmPR+LbUwcmay7/4rD+a
Ob5+uy+7WIht4cu0Q3fUH7+SDJmPgWvdZCQ4FSyaCStBXLoT5qYID//+e/0peuPvH8aXsrGNIgtx
7D/HaJZBbbxoKTwivV3yHd5wyuXhTUxPWhd9htNTj19CX5k4/sojhnOe7/F/3CN//2gid/ww8ETA
HfLnu3H2WpKma8j1TvjjC9u2IuMm3ErJxhiO13qOF3fXrFX4U1RWdQE9355cDGP7wSxITLy+kM2p
8lZ5rxovEODRLSBk0WSg/YE/Wh/trCEQ/ZakJiGsmqDVsSUGU3C3+FieXgiQcb5lm4l/y6JAyYTB
EiaG+q5MpoRxj/ALeszrvWS1WVMvR+S+U4jeroqp4NwQpNKyoM7T96qda1IpcjG/Bm20hLseJ+we
KVj05I96Nk85Uw27bedtjPg2899N3s72d88L49tcVIiuLDfrgIsDC2lhGxrkJkQ/PYEz/D6NX6bY
zmR49kiTQYuWr0O7pRjenOeuWtcu8ec6io5j1IrgEi959wwE3zfnpfWRoqCE/SnXfEA2VjRnLYr6
pEPsz96gnY4BbS2a1CA86I8T8NOt681m2nXEoKAJDKPGRuuGMywdsDbah4We8+8KjFAm20iIdjqs
pV7uEQWzIKHa1LcaOednFo3NDcCPmzrZZj20a9U8OL0gqSf0gmu0ZcWOwBLp7XLiWFXqkv10L+Jm
0odpGuzxOV9oAySdoAO5CUrTLLfGMvl8kwdmwoviZLCAoPFDOR6NKCBadBmy8JJJNT+3yKCZzWRU
fkP8cFGceie/WbIDkR3u4+SZ+BlZd+cenTw7IP9kuB2tr2pYFzabSsir1cdUq2qKl6+tLOv5wiUV
B4OWKV0iEk2Qh6GnsPscDZ3Xqvpl5tlBNloGy6EWHCJXCgongF6KCf3rkM/VcYsC660FlWvB3kaz
p8Bp9Li3g754KFfqLDqjuugQqIBc8gEm5nYcpm1Pva4qk8Ht5Vm0CECexmG1W+I+1ni80fyU9+SQ
dOcZubI+1fU6ry8ld5B7hB3oAjKuHE0OUFJ1fhS/UPpYwVDm200/1MC+pp3Xk28a7mhkGg1M6Nrg
yQwrOR8Qr4XVpZuJYz36HdEKKGwl/sr7GU2G+jHZeFH2GXmq1gmsp5qfA9tXnwbkiG4LZO/nqgYa
Tpe4qWB9dey/BCW4xHVwa9L3Y4lDKu2CXv2GVlW1Qwo0GWfsdkIcvXDtFnjeAWQ1cfrQOteoYL6i
DZz+vS7j3jtIYdBWgPQeatRWzwD+lMasHp6pwBbDp6CT4OBZ43yy1rl/QK8WfCs8r/0lnNk7UXko
DmB30Umhg/iMOnsmZ1ai+IRAAztykNb1xOR0IzkjYzadzBpZr8BAaEtqNMxhgoqt+NkgcHsKMzlf
c1eRSdQWQpw8UYEduy4ah7Ctts+4gCTc+ZldHyhE9i9GUPRIxYsTHCaTDR8sftEnD7BDpA5KyKMV
DMPDNLLt+ZYvSbboO32RQe9Yn6EpXOdYG4k1Nbfg4SiQWaq0FQtm1cAjc25XcOhNEB7sOt62vgMh
FJ8a1vPqoJf8oWSQRcdZ65i8zzCCzfJ0YaPdxowJvNdmEGKyz2kFMFZ/9HVm9QhWPU/u7crWv+ah
i9Kydef4aWJAZs+P28q/QdawiPsilAbKzkXYkZZ+P2xX35M2fAn+GDoi/SXuThbwtE3vc708ZpY3
d7fIzarxTY/+nNVpZ1deB2cmYTBs4pvxpHJkHwDfYAXlIpYX/t41OfI9AkdoeN/9IN8qBqPzOEXq
YC5IVJtQZd64KqxJALGYzhCMkfBbd84MVTM7HRoz1fzEWIWFLVSiv+iut+bduFrbPqxi6SGwN6yq
NgKFgx3X8nXLtP9aj6jbV1W3iDCcAp/smGMOwsT1FrVusF0dI+1bC3pyfEFGVYqdlHX9MFgKIg/h
23eiqSOJEJpb5BCUW+vu7aaI3FfwKbkjwae9qfq8D0/NQB7QuaO5tN+XzbrFgMTbipOj7pXavihc
2RzCYRPkSgye0R9D1uEoQtg4ykd8knpv69G+jAqHw2/VWDh1ytbaeQ8zA+UV9np6RBO1AQR1s8hO
YkY/lk8iv3O8OniCgoLU33A6CQRebPnAbQNAB+6lJcg/g54Lexd641cO1zy7FeDzBhIQT5ja2iSk
+ODaB/MX0zrlp8a0cU7tiOPm1JRM/XkVVvNMiDmh/TWYxX+Qdp7LcSNZm76hRQQSHn8BlGMVTdFK
+oOgDOFdwuPq90F/sTvNooKM2e3gUOoWRygAaU6e1xFhYkLdCgBp3Ls8GjV3M6GGr6/AaXIIoLY7
px6oPu6IfSgRN2BLmHZwL0KXj6qYS57Bz6rC1SlMNvshw5tgz94g91CaoBRIt2p3iRqZLwUNS7Sw
1jyN21AM3X4ZRfESKePybWEBsLeRATLeKs6cksmbDocmtwRzwzJbOuVajEuLKvs7YlkHJGc1seK+
McyR2GbtJBuvml393ujQS2njNO7gpMWvUZdIOkNzmDzokMU5GIQ6aggN85/eoVEyU1vskALMiYcO
h6IEUySs/s0Y4gfcPlHt4gWaO2RYWz9IKKjilIFqdNi6oLa4NyqD1OCsH9SHIjZxrWxdXrbXqqTL
3pj0yu8VjirldqwX42mJ43uWaZEGsOjCdm/CO7FeVCAv7bpQIJ0juWhumloxnFOCkBATSpnL/tgZ
U0kECaCE5ndAzzO2dnJmM1Ud4KA6VYDqB3UnWkgVFdRvH4/VvPihTKgmdtqAcbE3I5rNN+hl6xzl
5mRsdJgV3U9FacSmGBfVCqBBqHuE2H0GGXNMzX3i6AqcHdg7I/Vn5EImUdxmlnexQNnhheFrqVHu
UC+N6fPYicQKaGNq077HLq+7xxPMBSfryPPzMCegkR2q/BUSntM3lGLEozvYAOwGyCWwLukBin3U
lol5iJY+K6/aLEOx24yoJ2CTZdE9tUs/BG1JLoDvLIUMCiKT0KVZCxVUPT9CCmmHBxX7TkHw6JUT
NTIo25kk8EjfN6oZ38TGku3C0UW10eWNHwoLhyim/Er8UkEel2naT8ggN7ljyiWoIsi7GTy/9q2h
NQ+xswWTUdwXjNAJ+BlBYUWqoo2bzSztPDtEjnoeirHJNrBfMhcXFbu7id1S/V40U02kWdXXG0S4
8xEwId5XuMP1WxoXEwCc1Rr5t7FOack1xOO0XlvNgi5ZC8qiJcZwUueu0q7dzNBGb+rd/GfKJkuB
oLjRocws6AdVNlrHaRituzRciruJJprzOmZDFD27aomcEOpdyoZGNnEYhRJ3wnrZ5NU4UlQo6ndl
MhzHp+nSniddKzMQkNY6aoVwaEE4abUhES4lXjhstSdtUCFROKGig1zFy3TgGOXIXd2NbnEwFiX8
WUCTwj9RK5XvnKx6gOiknpUHu4wdcpNJOMLKT/bpT8wSxylAbkp0s2aXYfNTyIpg8B6Zcx+oeSJp
32cxq0rX1LAipBtTfkEuCCpEq0VgJrW70fQKH/Z2mGJ/Aih57GFC0Viu1flqnpXwoIikKjzHCBXn
xM5BqxMlGHx8o2neSlqGnlM6tN8hT85ZdqTd6JUzDf5N6VpxG6AXVQ7Z3GRbuwINSVF33E6Jmj/W
LVqBh6alZQQYMjAn1Ak19C1EPrxWEXXPC+LTflkCTCxCziHZYp9HLW0gWC2tc4Oopdxw/DBv6FBy
uDKK/g1xaf7ELHR2dp05x9atNdDAVnkTEZPNZ4meD6PqhlDwkPOPh0WZBCeROsXSkN0g+mUZqyPd
stQKQsdMn0CBnBDeYypoaFO8qlvUqvOEtCU1h+ea/D0OaW7qgNh0+UaaCpIETmEykKZZP6p6WuMO
YYPW+R1KsV0op5CQkmWZowNMM0Q6rDrqrhjhkfljPqCaU6zR1g4ScX95cnILS0aTUfwtAV3L/T6f
6nHTLX1VnrJ+GY94l+nzgfUyPnDmImwjb8m03Qg47L/YJlAYZkuBlHOKVe0qatZjWdICObRlF+OX
O9j7NOog+qq11e7rNIqh5EwGkBcd+vRuTvPmZ2O3w7VO63AX2pkbhHCoJmAWHFRPvZKM39ShG4io
AJzvtaDssXn1w6ib7M24wJI/VZob26CCdVo84nC+AIqXlBoEjPCyPZ1DM/aciHfvpyHXz5h8tj9Q
15OKFU/WQjoY9uWDmRuvU6GRGBMZhVpeL+OoIjiExR3f62bCnEiyWC9RlCvzURmieVw5j9NNBgS8
NyKc1naDUgBLRs1Kk60H+Yvc6f621xYOv2bfO9/x7EQdM4RBZ5YuUXazCLNrs4mX76agcg+0TupE
DydALsuMuXfaCSTROhty7kN9hGjUDAsqyG7o+XuY5fgSW1IS8Wc1wdBoGLgi/M3gYIgY+eUqVdml
LsV+15pUE26P1VgOcxOK9LBNMugyM+Td+xpN3EZVG3vT6w53OJYq8cpDHP1IacQ9RoZkPa9kqz5L
GNs/y0XNbk2aVZscOrWKMXAVfgdqtungieboaIm8iZeKi03YGNQbIx6HF8gjyVte5SNF+uROO9eI
Z2CQmYN7Z8lpZwi2y6C0ku4W/FbbZTjltE+4jsxXcQuRZxGOtmyZeiSH5Xh4+sVo/bJaDfrd0KyO
yPhBnylRq+/9IAwkPNwyBqItBRFJiBEK6jmqkft1JofQWrG0AyRPzIeHqT1lSZafGNMiGCuoS3z0
5gztSzyORv4QluV9WBrwlQhVpQAMU2xKg2Ey528sOOIqdUfX2IYkHRxmCnqoU0tZvrSyryGdG/h7
Mmhg8BXSbj0OufovR7WzzSib6oBztRj9sm5H4aWoUAH/Dfc7mKeyr6aaJpYywbnw9VZhF8l1dC4b
24hryIMd8GrDivCsKJmLoC2LvlnQQKoDdOPkIU56/VFtmmEXJ4Wa+KiFsrOSONN3RUbFvdWQIm8q
0XRE8JCfRhlWDDoMBG8qxyr2SM+ye6KC7I3aYAdR2nl1S2iQu7dg3CbI/Gx8RDkJFoGFb+WPvjeh
PaDStvbpxOsKGANIHJZMT4DZtZLagN0FGtrEB/CTpgyh903ObhGaEsAkEW9hNlOON1p6REu17KN4
Sg9ycknIq1y9C8ald9EtgFy55pyeY1L7MP1e45w3SVLUElW5sgQDffqHPh+BQ4cW+0CQzAIGajJn
+0oL6WVUBpIuhIoW5qxi3IpRYf+x54pMQP7zkBGWnfe+IdXZxmLaxc8agHJFTHMxnaENxhygG3ky
+qELnFrOSKHmZGeOLGymmGv8qtGPaV7rQnHM51TLdvAm8YsSwOZbvZ7dgNR7dm/sh4ZTiTgM04RO
mn8i6AUb9v7yBzIAv0uc9D5shT5c10tvBmtZ/eTgsY7+soLgIyq7z34RglS/zFIxoKEsjprf8TiY
PVM9zDYC16r20aTmfF8K5VYsFuTIce0d+k06OerO0Cp73iecD+ZTGQnztUoMwWpM3zSQOueMLYCf
HNEI59pGnTNUjK5o7BRtbcjiEg/sR10z/BpCq9+4hnVniBS/khaElU+ojMOpx7b8wVZUzR+YUndt
aSK7nulZUUaPut9p8fLNLUPjW9jO4z3tMY6WbmqWRwdJl0AS0vaOVzZg30Hco/kOFgCdzZgwuEN3
SbdST+yNK8ow2dYgTqk35QwCwM+217EtjxsTqaqwT+ZgKxho6zI6W3LODQQPlk5dzMiD60MG4AMy
O69+Vk7U+WmxU/H0PrQVCNc2W+mX7Ukl6WvjFsrvbu7DxZOcz/+EvaUgeyY/yy/hy29hGCzHUWKq
63XCUeP9WMr21TbwnVRtyChNXyXzfu4Elx5bfWZiq4M8a0otbsnrmwPE6eSVoglGDp6gsi8gt+EN
kuB/0zQGHD61bBfzuk7ax6ruX21HDteLsy73EBBPy2wsLLIi9eSVuYvPGcNvj6gXraw0qNR3tjT7
b0tS2vaV2hUTi23VVNf07OeN61YcpyYtig9rqkDJyaqxni30N1ejs5r2ZOM07COyFH7XlJkQWpAp
BkPN0PDESEKEQ9+KJHJhwPzAs/m5ozL+mVcW72GZRqJSVLXIKnhSjtp5rtuP03XpVKW7lzLF10LW
U0YiGAquUzw6LL61pcIt12LV1+AQhKjI5/LJLUQMcYNm+S250NgEyF5nCWlwso08xNgDnAE9rwDY
OxsxQ8v5A3apOf7U+jFJdpDY+oMW5627CzkGvOI1be2QNmSv8C0c2NWjJq7CJZ3ULQeMedwljXvL
BD1nMS2FWDdcz0zgkRxc2Rvm1kX9gqCe8tnFnQQ2TZ11JFhGYe1CZYkkTIPB8GXbupB63CJ8kRyL
XJSqDlTXipf3jD9aY4Mppa1+r1fouMIhNQ4Wytpuq47EbAcydaig9EFbvWPicCThA7mKstdHS16H
0ez8pun5B0/7cxiTxuAhkNFuZzOpxBaBOa6ukR3mD3pn4OclteRNx7oOjWQb6njGKwiPS7uqYVbM
M2bvM8xok0kRR2vb3CxBNKxqfo1qB2k1J6Lp2QhtYsRDh6gpoa9itbTO8uKQa5jj7vpF6ZE2ktSH
92phrRp2o0eml0eFhAisxHOG2L8AyeyIkA8fsVuQXWAnqKURrcMJxuhDDa8xXILn0yZ11u6yMtdP
StJpugenaXaJcwAJuMFECJZ/JE0006ue7JeggU6qg1IkJwxgGzMIjWi24b/NqbIDubZexyUSo1dT
Q3H0xe4FK6Jyyc7wH5zH2ipQavWM8VNv93wOu8br9+COGd4w0qT7EuE/VVvpnebaio0CsOqBB3hk
HgfZZnwt4lWa2OhN8zrQwFt+E+BW5XcDJfChZDWc9qWtKau0Q9POIqoszISyUjwqa+G7jwxdtHu3
0kMfY/rVckApbmGMtw+9yFalGGUcZjx6vCUjc1LQ0eBP5LeTXvc+ZhDpKee5byddWnSphbo1sZG6
NoYuXDCRjuS5jbR+T3QDFgqOhHfXhWpyR1U33pR6OxCthySKpoNq81PWFP4u5x6xjZKamY6LvBm1
pBCkVLVqVYzGUUdEH8RWGz6XuqMGMjNEcm3zwciJ6OjU3/cwpzs0Uc7wXMAcw7JqgbcUWCIqniHN
ZiRANX0eb5ZBGelWRnRWvV6J0mcybVuOHXT8Ma7Kw2CxjPYUITiD3wbXnR3YASuqptdBr7KQxGmn
eVBQ5T/lRW2CwbF3/TGwPrlD5QF5krWi2yHqdSC0WGi6ENnGxbGij/jQzbi++XmFOcspMXv3Le84
ynpq2IuFVmnbjjtdXeYE77UIS6d4qWHARJ2b76cyazPEkHZ8KIvMUHg0A86tGCF+L3AWuA57pT6o
bjc+qKsyrElzJMjhH7eulTMiXIllxO/E9oiUkyIAEjWQF1CJkltYqpUCZCPUP60Y3cbHkAIRTVmG
qX7MINK8oJCrJVG9Oac0VTKeQZ/dJ9qFtyQbP4bCZHnVrThsEJ22NW8RtmJHftgBUX16hMnW7dvK
sq8Nu53741zSLDmpoeFGW3blOqWDSO/sgJSsBFbgVd8YXVMOGww/UqxlwwyrSaktSnRUbQMssSiX
7mTg44Y8Bh4vPTZOFPmtWjrkxJWAR0EfwQDlQ5J/RGwkyBaaGVnvVdDF+2bdfqPOYeQhgs0kiujZ
/QEkiJS6LTWZeIxUgoklrkcc+RftsUV8fjvYJTVhRm+SR8U5bjvRNM12qZ2zL5TQFzNkmXJOr4QY
7G8i05KjMhbtfCurrheeOelQt8tYXEWwFvE1HCu8TjIwCzSbeLVvpVzy8aWuwTVw+BrjZCdrnW1X
JnYFGZK0gw2N8+q1aTgDxy7ajHMJhMedOQSD3onOdM5JonXlVZ6SERIUpa08LW2t3qpRtDQoJOgo
mTgP4UCvLirHO83SKHlca7ou6sV+0dW1R070o6Vt9DK3ToylcEtFpW5x6+ixFOuE8ZPakydkmqKW
e/CwJ7i10MNFDmHZaxFYLLBxHacLUkRe2iOWNJDzCAPCqiCcl57r9crkAy5FFviB5cye5Sgs17k1
KM9VODV7yIPYbBRJjk4DUtp1YkPS+5HVI74WRaIpD2NroetThowQa4QX+sPYrZrHSA9bTC5aegNm
KvH6AZ8aDh0ytgwz67qWu6g1l8fUTIY8yKGyP3WzngT1HOknBCHFGbw9/YG3ndwTtFTIg110dbaP
4XD+FJOJEUHu0scs0ODJjZG36UMp5oZghBpubkCPAlArnYiIGK0IZiZ2Usnw0FWhjSeSs9Kiw8ER
8xbKQ51vMVRzaTmWUa4SEm9bbwokmfzQjXUHmFOwSvr4HrUHvA/a6idGZnJ+UqxSxPdtWFCtWG5E
N3/GqgSLKkeOT8OAnDkIp6R8ahGPUTO3Dv120HhF8cqEBvt2GVwlPndhh44tSbL2ux5FEJRhzu6N
uMIpxUjz5ZnIDONtaqfsIakdJAYavTryISy4ovQ9EBqkyKSlT3umVk/dSHDcTWYqsXofw1flDMkA
s48m+/YBajQq2xQ4mhNqzCvwZoRjrzgRdzciG/FV0FsXYZjGYuyPTVfc4RvUPugc/Q3PUoY6uQo7
qz5HkZj606hp5TbHq+K7RTVEBugU0oxMMXDzklEXv3s5oNvtI4IYSDxhh/E1Nu/pqCyYWvrCiKY2
qKY+udMjzGIPuRk21UuzpOMN0TjYJ5ZRhi5KhbDgqaLtEBBb8nG2bB282KoVUIGkQvzD5AsWl7h1
z9UxTvPmhSOFXzQZbGzqYvIBOAud+eyKCAxDdMYvPArkcShNeScsqhMNQ4nnupnj68rUnAAich3g
Jz9cWXRRsL0xgRgw1pCoJHezZeKpMeu5I1F95Tjh3qdpB0SKIlU7p2Wv/TbUmoCQONGHbZa3jvY9
oRCkIzpDo/BAJu093ni02cy0PwHJ2T9E3TtH7IbNG0ugxgywwQiz3SjVpOBcmOhbnKvU81Bpw05L
rAbJVTIbTyGWWTzznlXJ7hpEGD1HZEDNohV7rTc4cyWl2zWbBZnOxgTFeGPfEkGH/sWB5prmr1Dw
0eYWYOcVXn7Y+4QKAU6rrrQKSiUlbaI0u7q/b7RGu2sT9FVJMUw3qqtq34TsxAkhh7lpav4qdPU4
tZVJSy5W0oAwIvWpt3NbzYwSoyxIiletYaMTxetcgRFNL/SNyi3lM45BxVx3R6nH0bVt1vYz3l9p
MEmtv6lHzvhJlAGH5oDVHF9ERKc/n6eSwhSGwG+mUrgZ6ta9S2VPtwpO+wbNmr6NCqHe6oRi0dbJ
MbEsWFNeepy6dtBG540MTbRGHVLf4i2MKABPyeiE1VXkaC3NnJxFeU+lnmf40qTqIR/D4iEV7fhD
L5MIPQJ8Y0r7yJX6XZyEdbuH9ldepZ1h7SeXYheG/1QxolWluJ8hQgB2pk36R9XC5bvWmkAoqpsm
ck/7cn5qFhXdUQw+yLMwijo8jHqP4xGaNf2PzjTchaoRykAn6KjzSiXL76MI0rrX1bW4HxE5BoXb
KgvcAhxSt7ECKOpiw0iGTqI7T8USVubGGnoY/KvmnINaUfRBkSKCPYRupBCW3du1sqWsqKWPom7e
l3m05I9zshDTohTjSaO4Q2mWscjhMtqZR2iCvdghaCvvTIdKZw6FjsNpKdqIMw7yOmi8vDicBqis
b2l7OtGPYWk0Joo0VxQMhAHrtyG6JplFKfExmwz9WZsGDAujuZ1ghCsm9QfaDbrQTsPodTFcBcVZ
KeyskgoSD2zwYwDfJe+GjTXXO9aL7C6cbLxWsqjL7uO+BLXnVRxN016eAOOj9iZRRZjSTdRRX2Gv
+1gjIN5p+NbdRGK1xYPXF0E9oVhPt3apcKLljM+8WHhgmPBQQgfTgrkZcUWx/CVxByZQDR+xHyiv
WbRC1Jt3LXYTE6aPWZr7NMKrjQNWUd73XPXeQE10xE/QvuEcY9323STPIpmRZWgqNnvzULRbNyRv
AQJ+NvhLX7trYZ8T6la1hr1BMF/sieVycboyzeoehI0+MIFiaPci0wgPM3vNcNVZVn87NgN0yHw1
h8b/xinQp9NoKLwktDINikZf3empoV1PpRLrmDE61YSTFeFluKep5NLhcwrwMzBV4AHg/lo28jaS
hsncGMtdSpFDQmm8vOIgMD7IDt6l1y/meJJuv7SbuohCF/0tVda2duGEIiTLhwONbO3Zovx+UbRk
pmNvYjNVGI14RYxEtgPTLqzuJloAGwNLc4c6bTauxiyR7ks+qfJUmkRRehHiiXHXUoHT4eiUuvHs
PgUWU/PsNh16J9xSK2DmN4wlPoU4ZlvlGVQinh/gGeTyG7UPbqJKgS+XKePsrVVVRyG2Sh/iO1mj
ykGd7UQ/1QH1pSeNyilQVOeciBs8e2jXw9S5ZwHIIDepFTvHXBc7sqy0J1v0EzjiWG141up3OIBo
6Vd98ITZTB5S77Nnj5xhF5NuBLBqzoJcDGkIXtQC+7qV6mz0CdGCj27CeMvo+J3SRDNOmcoi4hcw
6J4wVjWeDRzzg8zW1lAKPspeGlPdgkTgKMthEcPO9RNP8XF22unFhRFobRPXkiqhiA2uIRmU7PrZ
daTzO5oXLTuUI9FP19AYZbkKx6fMN+tKXOPERE0jnHH+1qHJ+wlHQX9tsG5T4IuVzo8Y8hNakaaG
lW9YkfM7BsdwWdxBYuiljjZ2MJCvWbTwFUZBlxa3aTdH1UbA1xg9157rBR2I457pZUIP0SInwXZT
qvVNFkKSYAKmJqUK0sLhFiPQ5SoWw/RLZUfFnwEDEdScxHbQF9bWEY6K9JtWC+Nhbsg9BIhPknC/
1mU26CE9pi2NbURmo1aK9ARdDdtDZNlCDVCCdN8wSQmP2Hpm8lC1eFwAFmGGjAs4eHMwFtq6RkcD
zYOiQwJETdlEuEoaupltlgWjCC9DZPes95PxMy6p7309j0O2ETbV7gpDmgohiuNOZzzZ+mr3v7pp
KXsk7YIWR6YTddgJ5dFoDdrcMa3o+6wvnZ2w+vSE1dz4qqWoC6Wuqt8/569+pP+uwUDwQYRF/aQa
F6Er1SiGNu5nPDLa+zmB08CUdZE7fn6VvzByQSVx1NRNx3QM44L5rdYp4SrkAns56jdVuU/c2HOr
G7Dd2rj7/FLveez/kGJdg4wpyPimiYf8xQ1B3MJ2qKC1u9AzVNUQw6nw/Pkl/vLMXFu1aPLo3M+H
oCLmjoKkiEvo9bm2H8tlQzf/80t8pEuT16qqiK9UExWEdkFhxgsdukzc4P/kjgHmdmCNOxU+7YJZ
2edXcj6QiB3VNAT7ON7vwlylG/9WFhDpiLNsgop7XrurdPVGbJlmZ29NvwqHLO0vecvru37PWuaR
aZrrkI2moRu5eEFVvWQS2TI2iauJO71DVVyVcpe412lyHUWbAeDX+oKl/fGNrfxoA2ED4YQEKVzc
pBYBabqQ5ki5uteqfj+U3VbvN58/yX945e/vzFVphUPHRiTggs29f5STrVRjk1A918Hok862G4Ip
UDzFE16ywXYpwHjPp+3oA8763QbVXiB8HrpHp8RXAnCIjR2QZ/2FlODjjOBjCboA0MRty3Aubr52
UI8iZEXN7d5O/XPnfJFKr3/koXMBnqymCfQ9aCPe3zcmNzSpMabyms1630OAo72PEpf7pjT9v/dt
+4nfBniUbMfgf+4aEqaP8s6nlerXX8wg8T63g4VgZeUj/rEtdTWDW9VF/x7YYqzz0CkETszzgYRG
gZW266WorR/arbgJ90pxtLyeN/AUew+/v3ro2ocZfHH5dd79S7EzqOlQhSmXV/Dsg7twdmy/PPy4
rXxsdmmoll5yCLf1/hfUFo8oX+9m9t4QAPvpF6//n1i9d8OSec1ChXIFJZTFSv/+k7R03e0JezTP
aHs8eFR/qF5S0/LlDClAM2CS14qnD69a+4y6f0NH+pCk9hfhfx+WGVQsSH7YYwg5EsgH338IURXI
BtyFlieJClVcU/d39+Sctf6oiDutSQOgqJvPJ+RFyNk6BLioowoLcaPDxL+YkFZOLnMbC6CV1L2R
zUs9Uj62xnhuleo0l9oGFPkGQJfOtinhzRrd3eTofqtnp7JZ9m0UXdfRdP/Fp1rX7ov3wafSTfYQ
Hgb6lPePQrYzqCcyMVxDMUwzjipFOyZhJNxW1w6WN9HkeDgMPLlafosrD8iS/lMzxBcimb++EFel
w+OyLZNA8v5T2BpobzTBxm4KGLwm/to4G2L7gvJV7DMad/DJfn1+5x+qgPV1/OuSF1NCk9iXNSWX
lAx8kw6Zih8XYG0vxz3Ru59f7MOqd3Gxi3c/mRHc+ZGLDdCrqPMAwm3On59f5MO+wkWYWbaJ9FzX
eJnvHyL82jntS53sgtncADWR1wZpO9e/WMs+riVoIG1kkKzfrkMqz/vLRHg+dkqnhxzznLu5VN8s
x6SZhtB4wZHi+b+9J9dQqdUoCCzDoop6f7Ea62mlI4XAUxL4qdTYkT48M4q/qNM+jj8us0Z7abpO
4t9lpFHVRdqAAxXWEOK5S7c4yBiEO+KjXfTfbFIiPr+pj0OP+lMg0lolYajDLm5qVIa4c5uI9itX
xUaoPwzhgJtvcc7cBTfz5Yvr/eWNUVMZDAmh8uvl7EoSh9aw0ELPqH4OlrjJp+6+nHOP2MwvYj0/
XIlljjHBTbk8RNe6mFTKim2WKSYEcWuf+clqHw34jDapjv1pp34xEj9sqmzy2DOtdSmiXSSQ7weH
KifZQ+hkCvd+azwI821EYVSqYMZENQzfymHcfP7m1jfzbrVcr2isoZAum7h5OcX6piiyiNBPr0oN
3yQipzf/hHP2305kR+NUYjLemcpoIS/ui77krMGM1z053Uz1d1OGNHG+2AL/8qa4hsO7Mih+VeNi
3Qf+rB0jsqnllZND18eQV3b+ggfT5w/sIseP4UCVa1D0gL+5mmOZF4etodNnBwtdjietIk7kandB
YzfTIZ/09Dj35luojxjDRDQn6wEfhhk5nxw73HvScPpidH6Ydw4nMIvmukNvmPpzXaX/VQWNbZO7
ky1MfAPo2dgQzHdOYeiPujHkh6XT6FwZfflFQcr8+jhoUO+tMma42IzTi0e9Ol0PeoMcMgiCYxBc
B8drfrddv7Zbb3s4eB6/XG+3W37nHbxd5x12O+9+x7f/84+F0uKnd+/t+OMDv97zc/zsZv1zvvnr
l88/wfrN973AP5+DPV/HPdcK1m/8z+dr/ZH1R9d/CX4fn8/Px9/HOqj5t+ORr9/H9f/C5zx+MVs/
jjgdH1IOqLaLIommzvunb/T0QQEK4ax0rpfJX5q6YBd3Cq3Hz4fcx7esG7rF3EF5Cyf3UqxMEliz
yA7jv4pRN9RkRCTmsYC4RHJM7b59frG/3RST1MCN3ja47sVNFTq5I8KlmZbl9R0i6QPaYgi042nQ
lP3nl/o4jHSDJVVTuTEL1fp63/8avRnKtGGJStsr8iyowueWoCZ6XvCR2k3Z/QJT//x6H9c6Ah95
W5aJTRlb1Xrr/7peLDK91tPY9pbBkEc8A/MA0L26mpRi+GJZ/biQcynXNVVkxSQ1uReLBLEVkWG2
BEakRCocBJ1zLxnmIphmq4LOoybWVWTPwxFiybMNr+SL9Xad9+9Xdd1kpKzLoa0ZH0bMNMwZHJ8e
C6gB+xYFNWhz9fmzvMjQXJfB95e4eJg1XrarNRUvLxHlvhqUOTDnqj/g6oNcdIa6QJz070xZreLK
/Fbv1cb//CP8ZaSuM28N8tSoAv45Iv7rdRakFcbGwCcQACw+wWenyqooc+Zvud3891MdDaqpWzSN
TI5XFyUifPuZJjjlbo4htFCuVPe6ICqlbP8/r6O9H6JSGZACC64DXhyM4jqEFJK0jt/kX+yWfxsh
rtBMnfRJ9g/1oq4h1gnTXgGRoanEuamjX6mtfHEvf5lu6FnZ7wXHYhzP1z//1/vBYx/CaM7xUMLq
9Fp98E0NQ+/YbL4Y7WJ9+hfD/d2VLsbihHLcwWXc9noDYVtytzDw4j+dQoaGSUiqpM/Xv7ZwuC3l
q0v/ZQ3j0iYbAM1dfnNxk2mP2B1WGgdv8ZhEtwDnhrpv2rtR26nA0kZyqgbCeHY1+k95H8sTXJke
l3RyVqrXz+fDP73Ej4/hP5/l4jEYaZeEyTp4+CxzRXz7TaX+CDEE0c0T6l7L3CXTQx4ew3SAXrCx
Mnwnv6gN/jKsKI0sDZImLSv9cksUA0mCluRx1JKwF72v2bCgIH1+o3+Z+JYw2DGwt6Htctns6GFb
YzwABoKy7E2rzC1E+D8IUjcNJm3/9aVWkxydZUaj+L+MLcfRtTHqTLeIXpMvQzKf69Y8Qpf8FWZ1
/8W1Ps4XSmRyT2jgm7RuL7ECZSTLBgMdRrGu7JrG+aVnGmJ+9/t/e0tchhOhptLHF7Ay309LLIyX
eja5jN0Np3gq4G5A7a/mDcfwLzpE/3zk9yNyXVqw7lEheNiosd9fyzWUtqmHmDwadVZfx6QbsVFE
iJCWeXFlSBcuJQ6i0yHSdGV8IUmjSbd6CiK5AXFyXgy9m1Lg84UdTEky4mbobJNpp0TGLWEXdUjQ
ej3+yVVY6id0PWhNSKRri6Ai+g6jggWQbgs2nb/NIUrCwFoS8znXR4I8HD25YhhNHUX6ODzWsUQk
NulWSR+vLvOdoeNUys6SyCfbWqLHNulSBEV1d0jxi/9DclV3QBA0pV8smh8nEMW87sKxsMkIp6p/
/8Q0Uw6tmWauV1bfdeOYWv8Pfz+HWbpjvE5qk4vyrnYRp0YV4rZ5qX52cB2W0X7+rwcYJj7/ucTF
S1dSZUD3wiUwTQ7AqD1McH27DzoEFZ9f6Z8K8WJ8kaDMEOPsqq8H9fdPazBjXLnzAijbq7wf/9MP
x5ktYAncUHHthi0mE0Hh/xm3KAX1TfiATn03HuHAe891oHpvvx0/2trBfPXV7veXFwlOQetPX7c+
XbvYGBZEFqndVg6zuYVbgPGP/tXtf1wHVyjkP5e4WO+7ZRhHZIYOsmElD8g1jvy0Usf9guvEpq2I
7fz8cf9lgwH51gSVLYPTBjl7/7irEi53/79JO5PmuJUlS/+Vtt7DDPOw6E0iR84URVLSBqbhCvM8
49fXB/Wrq2QQlTCp7L7VkxlPesDDw8PD/Rw7c5gsMGEFLK4KCPsoA0KWQn8THFN0WX2Em+ODHkHj
HDC4lGfXULpuLUZiFDV6vPx73t+LTB4hIR1gmoGykyEkZQ58wkmINC6jYvoHZOsYbq7gLqiP0RR8
sidl5frw/qj/9Y6nOrCpKSTVwnIbyNRoZUgbZFp+C+kSiewfJVqsU3kXRSeovf/UuLnCZfOaploc
Pb/y77PsifumRnNgQ63ano6a5j3SpLJR2u5WJ/HUJu+Pk2kk2OdvywsetTxb2LSyCS2GUjs2dS5l
g1qOofV7a4LJJvtDIIIOzyXcY2XqhDpx7q0PNbS9I5rBtJQ0oW6GQIq6pRF0p+e7P1s/EUfYf2NU
SVqNUIhL19OdBW9ymR002rAk2Dn7/HgZTLzuzWDUqaGo49oMWaoAFjRTpSYDRrX1TE6koaDGBXt4
ybPG2Mh69iNkIOSQV130LDPKt3LMinHgF7qFr6gUfAm9AnozINDZDlLu+hPzeRG1ggfmrcttaGS4
J7wfK3jivpvxoBukfchwKIOJ1byp8TpfpzwACxMjnu2LU1+13lHxb8NmxVne3TIFKEu4R095Cl2o
HhcI5Rjsc9SUxjz4ZDSmS2fKa9xWJ1kyv4+FehppKL38URfBKfHxWXm+18hf3rpqhQYi+reM91Hk
807s/pSWZv8T7CunaFallunxcmnLesnRQJJL1Kwu/wAx4IjGC/Etq1ELRKypcKMUlgJlbkNT7qW8
cmOmHWhj5/HFkFbeDZZ8CT/C3DnG2eJF14bmCeav2ZP5nwmdvfeshPF29L/9hW1nOEKeAx1s3UUa
OLbXb28h6UBc0CkfpHhvqyuRYHEZtTmjhq5hPjHffkbKKzFSaFlB03JC52Z68Ln1NtumUo6Gzgjk
yhVoEQ56d9I4SlqWLHiNZxSp8WsotJURFS8ndLMkBlQ2Y5qPd06KlngSerdF0vsr/jpv8/Nk6Je7
0PVHUjen24pQTiPT8qpwLAu3SFFo0BhUOMrl4S8+2xnGbPzZqYRkrkbnGBhDZJE+xtdeGLr0BD7B
TnqyAsjrGdz6c0j6jeYSD1mUIwsZ60wfYk8IA7s9k1yS6/ifZ7r4/mPaq7DSrYAtBfJzMOF0ylvV
C6woLFCoY/62+6EjtMaEE1sd5Wg6Dfrr0Li/bN/SZ+N+xHHIsCrfTnDPIkDkKJohJWXaD0pzNTWQ
ffRrPTrv3i1m9+Dpggdp3gS5ZAo4U1uOdWlGhUtPLsnbk8+kur0PGNMwtqrPZXNTpP9IsBQjun3Z
wqVF5f3WgGuW7WBYgmNGcmTBnMFel4eB85fuyfBZtl6QovatDxDw8Pb08TLiUhSbWwAckzsn905h
D5pM90S1xJoqgfrUMpTRpuouMAZYylcrQPMRJG67MyzxPYiuzk7PYtZVj38EYwYxHzmTYZjPlY+8
cpaf1Ib5SWYX7m3Zf7ls59JJzG2Ruw9PryZ3jbfbMWuDrm5ljkcnYSTU++CQeGQywtqQEGbFSmBb
AxP2xjR1BmxQgHXad8c/qA2zRdFrWe4Y91oJZfOfer+mv+0SMhpoyJEJtmYo5UVNvvrlypGw+Pfp
EmEs0VF1mnberpsvN75dOPx9+AOelKD7pqZ/ev/7td1oYaYGT0aIutpbiEKuNCcvcfoeTSpUuuUi
WNlW6qLn/Yb49e9nwTiDOJSmbFJcC+UEt7gZTvFhfCg/6Xvzydx8LX7CgbijW3pnHySKgKfLvrcY
twwebnj7ogVK7JqYvAZqm4Zj1ZIblz6akYo1oqSXQZYOU/sMREgT6OHWGPkCRHOeS+vEi4062VC0
aC6snun3y2CLXnEGJuwmODjH0sgAUxn/VfLE1ZUVv1tcMzpNHB6FeB4Se8VQGg4tqFsKF4Y2ZAIj
L3T95FlBSeeyJcs4Fm8j5ALU34RYD6Urm7Ulc7XtoD+g9FHvYsQRt4pSrxUhFr8Qva06gZakUbwM
QN3HMJZB+HPkatcg9RhujeYfA0ETOfuoeR8uG7b0iQh18/s7/FmWI+wqB744LbNw+WJ8beqE8YmV
a/fSyv0GsGXhwjGWk50mNgBm/xW+qU1pXQVrR8YahvB1AlPP6ywCYzT3TvQI2xWJ9uV1WjoAz80Q
9k0ht3LR1kDADhJErl6finbLKOFllDVDhA1jZFxJEV4t3Eqr9wwG7lFHpX+/2l2GWTp4ECEghafD
YW4HextKLYn5gX4OAihEUhAJnOe4R8bR/J6tPX4vGnSGNC/rWUSNnHYktQap8JqNWUKNYUJnsZLw
KYtOfIYi5EMQR8EO0bNsXTg9GjZkPSXHNqPVph4/d7OmJJP9PSMOIQSCOmyiFIPDfZJENFkOaz9m
bXGFjJ6xnjpDI4bb3pV07zyNj1DMbmJKTbR1HuQTEx5bVCGf7Vd7xUX/h+v1788q7OWRB3J1pi11
mdt46av0HvW5fVJSEsqDq0HXkY8NDlOvboM0Olz2qKWgdeZRtrDLA+64THJitB/eDsO3MnG1fgdX
3tjBfPX0x1jcXbi8zH2y3AsFMzvbC7S8asDi5T9tvve5zcd1jf6gd1fRWmxZWlXgdMZNmAQh+Aub
JSn7yIFij9AfSHe6QlpqNBRmEAGE7yHu+h9I3+5GuaanMjletnRh97yBFnZPoldNjWJ44abKbVTs
kvIl81YgFrwVCIaGaAuFIEfsnsxMeIAHqaYkUj5G7VZC2pq5o+660Vb6GxZtoajHUwwlNVtsg6GB
QjFCi2XszKMKKVqOlN/Hy8u1aMsZxBwmzoINImt+7IVAZOEuam9LWpQlVOKHo9OtpGoLpwHk17+N
EXxiqqCqjws+TBPv0/BqRJzPf+yib5ftmR1ZSNpp5SGd5jZiGop4kU1StJlUeD8gPdwo3cZxs6/a
rr1hCmwtcsynl4ik0PfB1IEq8zQrbCnm7dA7CGbfvh2v/A/jXXgYv0sn/4QA9qZd6bFbCtfqGZom
BAsrh2o+kOTCTW6CQ3RT3AT78Na+kff+YToYh+rQfL68kAvnAzVyBVkKrq+IYQjmWVCRB3DVkVIx
PN7F/oY5+MsIS979G4GmlreuB2GHMygtCLL0gL6uXSPGub0MsVRvOLPClIUsx5Ymq/c6MMbHaTve
weFk/qh24957Db5I+7+4bvFETycQQDr9ZMKa8dytdhOjkq6hVR6F6Qj9zb5OVxKepY10hiKWo62i
1eBVIX9v9U+NTqPadTZLjf/56XRui1iD1b20lYIQWyJnk2T6Joc6MNpL0auj3WXT4+XvtOQKNOnQ
SU3XLL1NwsLRxVWl6OsU0NZWKiUvs4aKFZE9a7KNldVb8ut5oH2eFqFxVPQIqeXCQ1GdA99HgXlq
rkfZ+Yul42mJaz3duQ5b6K1jG3bQparHrRsBBZK4wc1phFGpaEW586gH32wtPV1ev6UozgwMPXY0
3jhwK75FbEiAe3++aiGRs0EYdaNKH+Ag3BijtAmNldvJGtgcGM+OjBKK6jZR5kw42+Vt647DVQ0/
36js2jXllXmlxBh7bpeQ2+dSYduxB9TMTAGZWU0zsRft0nSLMgDUhAyx2yv+seSK55DCgVjBzDx2
DXlxluVXceZ8gp7nVtORS7n8yRayv7lpkOI8HZKmIpZmuokrii+xi2neRbz+pbReHARirZMSHr1g
JcFeXsd/wcQiTd6kY26pgBU+TIVJdgN3zBG2oVOow3dhTf+o5tBubAmVtstWLsWqMytVwTEDOepN
KGp49jBoQiifB19FOfw289beHZSV9VQFr2y9Bv6t2cReLb4Gil5t5Npw83i8sYphlyLZgxrd/WB/
lk1vm9vPnKWHiLkG+Ezv1eKjP+g8NUGgC5n55SVYdKi503d+sKeNaf73s+2Sof+tFTDvQU/qQ61A
wA6bn/RSrwSdxV1J/ZWGWzRtFLGqo9Ry0GgSIdSU0WN9arT7KjtMzP6//oU5TIGqClNR0LgLXxS6
sk5CkKRwY94dR66FDiSh9fjtMsqiNSQdDHjSWvHuPaJkvJvJaFBkaGz5LW6cwJE6wNia5FcNswaX
4d41b1IoVX+J2/0HT/CeKZ9gAG5Jg7ncMikh/5iCL6g8unKr73kNukVF9aMnP1t15Zpw1F9GX9wk
Z8YKUS4epI5G2I6AKifXtvGE+NETZFt7lDhWkBZ98QxJCG6FpkwwubCsyP0k5mGMvrTWylG+aAyt
OSSrcxOmmAMVQ496UIYxYfCj0uAK3Yf1QQqav/piv3HELMhnu6t9whdDz1jZ+5DfbHjQeTC8XbKT
boq1jpHFlTuDE9y+iMPUqGLMkmu6ZqG8H3pY1f4mVJyBCF7ooDAKkfZ8Geufyv6Y1B8ifyVTWLND
8DUpT+DfiLBDMTAg34+QNTBYdtmhl0Do6ObuT+xnMns+js5Cno+gkqflgOTlTWrtqvImsHaXIRZL
DLysEfDoPnPQtnuLERa8OliDTJJlf2/Hjz4TFYPBc6l+h2gUFOcbNXpCqmzFsnmDiAnJOeoct84s
44I7OlYAKq/4eSO7KD6vICzsn7mdjqaHWRqQDsa3CCXdA8QC4rg+qM+xxuUr1Pxv7cB41QRP3+VV
XAizDKHQdOUQ0ElYBa/uR+Rfm5p4ICk/6NnemmN8krJxaxswzUTfL4MteMUbMPWtZdbgK2rQA5Ym
V+2ACrG16fuV58HF1TszSHBvlGgnDbaTwp3oRJpQxEg+xHUP28qPy7YsJFRvbBECaV9LMkyP4ED4
+tyWBpJD4zF1oG+xndux1Z7R+EXOZs391pZQcA5zUp2uhybRhVwJDQvI4qDXXntTW/DxN7YJO8u2
Wx+ySWzzJaTwbNhCmrXmrTU7hG3Uhno+zLrGbjRo110zwFzlYEiyctwt5IRvLJn//Wy3BplD2jsA
M1kHs7mxGzhE1Xk/bYwmdfMVn1heNwsaDoVUQhVPPpQCU8Opid7FCDtrfY2M+4o9v57ShfCDQf9C
iIdegkxhNsDW5Rp77Ygc/U53h012LT3fyff9Z/9Gc9WPtL/cFgdvF1eb+Fv6M177EUu50psfIQQN
VEMQdZyLuxD8oP/mKDeD4dq5a8FwAfdCO/OPuuYa7HKo+m26ED0Cp5MaBaUeF6E+5nge0/RzMdx0
9Pf6/9GIRrrZ/yd/+P/r+X+yNn3Iw6yp/9//XfmQlhBEtAGyznIuu5rMh/bjwYbO+W/Cx29j5l9w
5pg5rcrQGs4IXGhtlIP8XR8dIE1HMmYbKYc+O14GXFs9IXCEvCIOUwrghFYSdMvTQ9jHbhtue+3L
ZaTlrf3bNCF69JmDnJ4MUi0fxpaqnrLJlLVq6FwavLQPhPhRMvPWtIiyu/JIC+/WDF+r7EuDQmgn
f8mi7ahCV3q4bNeaUwixBEogVZd17NKUl9b7slqqXFs3IWdSys40jYG/3zjBVzQZj3KavTaFsb9s
xlLedL57xVenxiyCbpqdG4452rr3dgQHiptoMo9/t2aGrOyVka2BriyemGdATTSkCPjMRbedfUIt
ET2TY3YdnogfOmzq99JHYghk1JeNnX3tnZuoEMMoMBYt1bDJfDwVWLv3t8iinDTqYZb0HQrplci8
aOC/SO9q2ZUSIivYgjRWaNxX+aao/2ZfnSEIURfFgBYaTRAqO95Y3XcDkbR6xYrF8/IMQ4yxNgqr
FfNyNG9+Lp2nyb+jM2BIGGXRaHNeAVsMScx4k+nCXIS0/NsYiGaIVZplzx5WHzWF1xobudWbNrwv
pJWtu7i1zpCEkAQZa9vG+hwt6g+ysTXknVOsRaRlB/htjRCRNF8Nc9SjKD9JJEzdTtKaHeRDSgEL
A+ImFZSCaBJrdDu+xOnnHFGudmWTrf0CIUCNBaJ8RYOVNfKd2vesXdlMiynv2SoKAWqCaMlLh9nC
7MXvPzgKyrsPXsvG3aZ1tONp73/nIOL4ujEhFpMFGORHR560XW9ye/+7D5lVt/YUteKLYvHM7GG7
RyEID6E+Kc3f61M4furiK2PtWW0NSdhiWpw3vVXPSD2EXNI1pL6Ipm1g4hvWehsWo59G2RH2Vfrj
xI6VchobJqzZzbL9KjXqxje/NcZDvdaNvbi7zmDE3aWGSe3PBcHJ+mo6fJsb01spXy+69hmEsLka
u1Naa7459vZT0Pwc9dPlc2LNBGHrGFFpar7HSqkZRH2xv5Xbg+b9/N+BCPtn1Eu77+Z1Ujtzi1oo
uk8Hzf/0vwIRT/cUhZ2GOgH3Us6hSN1NkoHs7J8y6VAt5Wv861nicV51zJzUc7VUsZ4D/UvoH5Jh
pfXhV73+3dl9hiFsFMbtyiSeLbGUjXPs041x/0V9iO7tB+Wu3EavaDZtE2ietvXNsw9xNrJJ19JK
SF3crGe/QXt7RJU2DcD2nPMNElTH3UsIj0SVox13ozjDypVg6an6zaLOm+DsTiCFahBbJWB+8dVT
x63X9Nup+OkNH+Og2suRtm17eYeM37Ys071hpp8vu87qigsHcuDlcObOX7XZKzcKJDKbaa/u+p+p
G/Vb8zQd8hvvutplL/L+0f9WX71cxl9MPs4WW4gjDRw2yTRfn/3+i148S9p07CpznygIfzcm0mAx
/CWXIec/ecnHhLiSB53XM8WPxQUy3NDVQjfPZpG6lZNsJb7YQnyxzKxShtk0dTzZA1Ikr5K+cjqv
QQjRpakmHe0stsuAQNXwIUu+rQ4Z/KI0uLBc4oE8alaRO1CWu9ENilsH5UO4oWHtgXwUWV7/1jig
Rlq8qnvvQ/Rqvsqb/qjeta6zfdYO6TZdKwisWCye2WVmS2Pr//p4H5P2wak/6OHKubMMwezG/LDO
NULwj4Yp/VKed8Q4IfsSQZn4jBDFZR9cjjG/MQTfaE3VG6CxIWIn43OYNptw0Pfx4G2KIv+c6Wst
Kou7jN4UGWZj2ubFceUSEkw11cg/LAaKSljlnXbfVeG2LK6CCDWjFbdcLhbRagEHJexupjjwk5pZ
nQ5oQLjpB6hHYUFV3PCGETuEOh/0O3QWLq/m4o4+g1PfBlFU15D3tTAvlD/r45VdngKonOyVfEFZ
gxEOBkbtM7vPsUo62o/jTr4Nr6D3Tl6LL9VGOUWH6Cp+MFxvd9m4RXc8M044IYw44c0tA7XRbmht
lIfXQFqxbA4T77a4CTMHbwEwjoiXsh71RxNZVapsjNPKRyXeoaaKeuu29g86/OdT/PoXNp0BClG/
alUp1iRsSuxRvUFqoXe91uBpUh7/lI+KrAVmZJ6t4Yzi9Vqct1G8VKpQX0vdtkOxF7WQ+tAUeb2S
uCx+pDODhJgx2UUcDeg8u60TP05Z4Ia+dZ0MK9PPiw54hiJEDZUAUfstKGZysLWrXn9I5TtjbfDl
HdfCr0TvDEY8VUwvjwdn7qacZmIDN5GrjRncIfA75C9d7trhNWN0oXfdwSwfuRpCiX91ebfmmUv4
IXkZE9az16NA7835xY2nMG24McYv5loMXvT6MwxhNSFgoZ2PR4+5QBBo2zT9ZjVfm2mneD9KfVeu
DeovfrwzOGFVa8lv5MrDJF3/ZIwIGn40nevVSt8cDd5tZYix4WPWeeMzhYWzx8TIs/nb1ePgduW3
wFvxwUVPPwMQVq3XkRkvLACq5hCnV6n2D+I5l6PD0mlFPUqDb51DmK37Npwz/i8Ftk84R0A1+1AE
zRV6wMpuaiPjqmFs7s6X9fig6nV6vAy89IloHIWXFBokGndm28+ScXXIBsPJBsKS+cGyHml7HNTr
eK1ks7SCmgrLKpTtNBCLPWC9OiubBNq8vdStF8on35i2UqYdLhuz4Ak0VjKMPZPHQj0orGJNOEQJ
2khcmWl3Vw48eZMU5VoG+v6oh6QKiYmZmW5m1hBZfVLklUNLQ+M4bczb0P/hJO2Vyk1aDuJdFP+0
eJ2XkFW11PaUy2vd5e9snMHhhTFniQuazEVvVyKNZA3wYoz2YWR8iLtppcb37msJEIK/q9EQyflU
1/SJxXvLU45yggBJUOwuf633FXoBRwgPWuZLUwKHhxslN1rw3NN6OJiPtbqNyyskQAnCn4ggKzvt
ncP/AqUhljOSoUCxLTYrIQWo6wbq/DZ0zdTbZxEiwjnVMHutGXENSsjRON3H0deBCmxzNwzIr4w9
QjnI71rWw+W1fBc/fllFgZnXGdqyxXQmTgan8w2WEkXoNHppsn3W1RvPeq7Sb4b9x8mngDYbfhY0
Kj+u9STCME+5NW00pqOTA/1+bKykGLMvv4nsAo7g68wiyFYyYtXop4chQF2w+OnI9dUQvHYULy8v
4fLX+r2EgtfnAbKZSY5RUrMLE+c2hnLB6+/rNbd/dwYLRgler2Zhw0RAi0L6GFLi8Ck/eGnz2Fj9
J1/t79qxZ0wV1evrxIz0tS+3CD4z0s1cQLyzCeAdfNholgFuhMzzFNth+C7VJyeFFaB+SoqffrT/
i1X9DWgKsw+FzxVsKAHMeewtv7YNeuCvKZKml2HeCWRAsQAV9b+Gid2avuGUnlz3iMxv2QL+jt7i
bWvSNKBvjMNX6Xbc1vfTLt36T9KNuRLIFuPlGbawzzuni0Yrn7HV+GAwPADF1CnVkjUb13CE420y
lC7NWnDir/rOvFJ3ur0zPhRMeWQfymJDh0BwkK+N7crSLm6MM/PmE+lst/s9VK2M8AH7ku+SYCsd
vZ1+27/o/6SH7DiiFtq61c+o3hgrQW3RXqI0kZp3zXdUMlzbwhxCzdq11VtHQee03CKRumbe/HXe
BZkzFOHrSWoTclkCJaoORn1v+MyyWCQq9VautgX6XighlMyGcCA53cfLa7u4tGfYwhfNUqsLCwls
v9GvxwQQubxByu9QheZKorcYS8+ghK+YJpmMfjtQmdQfpBQ13TFCLsN2czPZEC6eL1u29u3mfz9z
mqHwijbJgFOcz4XymENyv0rBs7Z687+fYRjI5lbBOK9eBf1g8Zg2R99CSnVl3y2aYs0zNPCN2ZCC
v4WpG60J7FjmFMquE2lbFd/pvby8WsupkM04nwrdPf8JGCXPmamtktUZzStFsiseWKttP32epPqW
FqxdNxWf0FaPs/zpMvJi4nAGLJx6IcqDWT4nDgi01ih05xOBpPFQUfXpuyt2kWmsdC4uOuIZonAE
pYYdjugmcs7K6AaiHLuP7M+D1z0qpYQqoLyytLNfv9vev+HEAwjKyiDo5lwlaiS3aP2v3VzjvLyI
axhCy0JWVYmTRpik89W4GXiM+8pr8iyL3n5miBCnxqQx9LYGhDrtFhYjym6qvWNykfQrX0uG3uks
/TpPbbydmyGuLyaUZV0qaFezbGV0zKdDmD9E3mevvtH9j6g5brzxVTXQVX8oAqQQP19ezuUL1hm4
sLH7vsmzsAVcT3axcY20p2++GgjnDpskeQpK1FA3drdy2iymRrQHoywGjzaztW+3+VQWEIiGgGZS
+joEysGGXKNX1V1hIO9Wm5uCKQU5XXt6Wzb2DFcwdqgDe6AcCHdgeDONvMqYpr/x7HGuPFkU8ZTx
JQtaN7dfjHhNAWUVXIg7bZ1o1jTfhhBp3Uj6bZ7dWcb3MYq2oXXVWofS2/rV0fvj2Yk5WzuzWYg6
kj/5TtABK6nMM9iPZYsytVfulTV23MXYfQYkBBuIwPqqCQAKrOA0cpm0pWyvQ/h72WMX9+ZvmF/h
/ewkihojGgpYIN1gQASo7ClYa9NG8ko4RNfaida+2a9/PwMLYoiR4xKwSP2pUKDUXM8/eT6nOY+3
Y7+X2z3E79367NCylYZhyNRXGAcXwlyepn5j+eTyDV0+fue5cOBu9UiiMAtJapUf1WTk/69Ouhzt
dBaaoeSnhE7ZxHkZtX+KdE1i4n9Yit+/SIiJRZVK0wiHs9sVj0xe9N19l7hZGVyhY7uxtIMEi6vZ
7Bx/JZn6NYX+7lRBw+e/l0JI3Oqk0OFjYSmm8nPlawdmJzfDYN6bo+7mTIIUkr9RokfGEa/QHXZl
1LeNID1p8hNCqtT2vI+l+a23P2e1yuiVipsEVx0seOi5BocmV/6pk2rn+zDi5Iq86SCw2UAf6fal
9eGy5y6exmeGCGkhzd2xMRoYknQPXXPyo++lqkCnuvWH8XQZajnA/l4zIcBWXtE5DFtzpKjXjfpU
e8NBLh6V5l7nTiGhJ2x9vAy4vPl/AwqR1UcJwdR7vKPQ0a6KnWMtK645DLvLMKteKAbRTM+1rpv3
RXpvW7sSkus83fiy21enOEYDrN1206ZX+sMK8Oxlb73QkOf5bgPZcvTURNbrwqmTRpVJgIvwpvbC
g6dfmXg815c2+hZT1hoit8tuYJ2vED3x+pcV/PcLDD5EKyY0ADxbiKqUktlptTbfDP2y2Tg19a19
LF/rITXeEjFoY4Rc5qGS3SrJ3Kn+YEAgmQT38rjWdvveid/+DuE4UaWmaoOS3wE1cLGnuIL05BDI
Wz2r7pFJhu5Htcb9ZeMXbafETK1ubrsVK/YUsmM/NjTSMecu0Y9+iTbvSpSZf/a7z8toGZOu3LBl
UXetm2rFRsKGMpvJy3znQy2W71obBUCIFreOd1MHqKD/uVkzfQ7EprPalkj5IkGPLfc6Zg3jnVll
m3Tc+8M/lzHep8uEzTMMYV8OpuOrvq9zoQpcW8JtmO+5jLD0cc4RhB0JL2viDfPHQaqmo0Y/3pXJ
p8sQ848UP845hOBzLZUBR4L0mmmQe8lqN4m3M/2bZo2+ag1GSGDQOoEdmm3mDuWtNvzI+1cvfbS1
FaaD5S8COSNVFlrFxYmedDR7f0z4Iq2KTrm/j5uVT75sxr8A4jyPF472KMcAFONTVR1S6yXwntTO
W/nu748YPAtyDaapbWaTRPZa3wpN3ZlXC85sLd9AiU7gnQrP+AFJU/bqG1L8Y9KL5uPkRQHTNUns
rdwi1MWlhAtDplYAnYz4jDtFSLmNk9+41T6/Kw/eyf9i+Bsm9NPTLnmh9981766nH9qTte0/IQyB
SG51AwPiZe98T6OD9VDLw0ZozueD2Lmoldpk+gUU4TokjlfDNvxifm5R6PU26Q3TN9nO+SgVK6DL
pv/GVN/eoGyp04PSCZr5ODK7j6rqXjZqcVef2SQkXVUjRUrk8fcD7aYqjqbz7KwJgqxBzCae5dYp
CuWSbgNh2neScfJp+dLrlee1xb0AxbIF/fBc8BG2dGeHk2xGYKRl5frZV66XQx5tant/ebmWcKDv
QjLPRNGaTfHWFjluB7w8bmgDmZsnprhDjgiGSjcouGduvGDEMS9DLh3E1GphaEcmBF5sYfm40sda
U0k1DLk5Oe1P35Q3UY7bW93G0IfXy2hL/oYOM7K/DBDDgSUsJM+kZa+1BBV9yA+pbXLtWXuXXzSI
WghPahAbQ3Tzdg2tiXbU1OQIVmgNyqByQ0qqUjap9l1vni5b8+u7iycKBBBUHniIR21J/F51ESVJ
3eDeJ+fYfIKMZTvkm+FTfxe7XrBRv9unfj/dmZvn7Na8Hx/G+8+VOx6dI/plm8Zdk3RYWt3znyPs
5rKfZEQ++TnzRxy8nJrWy4rFs0WXLBY2dJinmuo1QGh74867zQ/yAyM4R+suvWo/S9vuqrg1N8kB
GYJjepPtmjV+u6Udcm6i4K6NWpe8h4Gvo1iRJAiZ3nm5BGmKtRK53vc8E47pMpNnmSF0usRh9yjh
Jbruu8Zl13ySSIfjMduag34Vmt4hSc2j3jZM8ofyrkz+oaS9lfN27eX713VAXG78Sp9lR1TaJObg
dxbcRoPZbXPoG9d6Mg/5Tvku3fP4qLv+HY+3Y7+FK38bwkJpt5tp3OifYFy7sr/L34MXex9uV779
7D7vf8y8r4xZ2cIRvn0TWr45BTkrcjD2+cE7nFLXVDYWcvalC8eFv5s73rV/lJNPM+UhOpjP5kpp
eCnYQ6vw708QPv8weWOFagcBMrqixq6aJ3uNrGbJw+gHtVSNMIWsqJCIprWulHI+W1n8aKufjt5t
wunJ7H5eXs0lGAUdY5V+VxSoRdbLLNJ7OdeJhKofuG15SuVNbcWb9I/nR+asYtZlhAebhwqRK22w
0CCpJ4tniuCL3XUb20NpwXy8bMxSzD0HEQKPGVhS2cwgOqcW8oL9U9KhepJs2naNUncpxp1DCU6Y
+56STDpQtndjOsmOWeqVnb+YkZ6tmOBjnjqYhdSB0Ouf0vA4hPdcRpTiuWbLR5/yfiW3WLoycuJD
EI3kAM/MgkHNUFd5xHC+m+QfM0QGJBUV6OBHUHzXrS9hdrr8pRaX7wxNNM5zkp6iI70047FMvklr
HPiLi4dsETuU1zdLfBWLtdjv/Y50wuheG4b+5bsYiUPT+Wzpn6AcLPvvl+1ZCggQSv2buwsBMuvk
MbXn3D3q6IbkZYUjeZdqa+WKNZh5N5/F4cpKnbQvgEmMk+74G46LzSp54tK3Oc/+hF00lZovoQvX
QLHz2hVIqD5fXqulkHP+9wVPm2KlSDuVv6/Ux6L72SMs4YyHblV1bikazDSTYHF02WKz3agokWzK
+IA8bJU+2BjqseOI6mtu3MfLJi19l3MowZ2lIEt0r+S7FBr18yneasFraa+dfGso87+ffX2pMxs/
akCx5atU6Vz6YUxpje9mGQTaXpPhNZi8hXNnaiGNbZzZFPWHV7oWs+dNsCbZtOgCCGX/N4hQAkFx
w9L8AJCwSTaTFm5NyFrieFY0+3j5yywiWZZGtZM3eATx3q6ZWvCcghgGmYvOJJx3Hw1HT951a9xX
C8/w1AwoHGgUEFDR/fUqevZthngM1ZAHMbezdLc0rJdItza6NlUbB6bOibxtTI0Db+N7s5Y+XbZx
acOeYwveZ4+Nlvf0MDGbObmtUT1MjrJS5lmKp5CO2oQ4Xi4s8TbjB1OQ4S9zP51PyGmzbqvXvkql
VjIOnhx6u6by4q1qV6+Z3v8xF85ckKFtFYckGeLy+/YjdpbqWVPIaWFFZA5+7vaFfePZzUoFZslX
6DN2kGlhEAf1h7cwbSI5Oqcuh5K3U5OEB6l82/hIt5f7yx9saY+dAYkjqOWY90Ex3w01uVb6jVJ5
zVOWoudFFS1lR1xGW/bN33aJFR3egHJErcgkzHDYxCGtzZF8tAcOeQS4N1GYzYQaW2u4b4tpLU9a
SiuodEO6SqUbTSHh02mZ4ilDaFNXo9CvOx+KIthrLWxnsbrVlR+NtzYkuhT1zwsJAqDltIPeZHPU
N3oILpvAd30jzI5qyWhsx/N8ubL7FpcXMhcuaFRAqZkJISbxlKnU0Z11o7i98ozwlDKKGVXtvlXH
DRxOm258iIJ0qwQ/Ln/YJTc6BxaiKI0WUKEpAA9MFbThMYNXoRlWMrWlTcFgPFTNlPZ5MhIOHfSQ
qtg0Oa0l6zB5Bzk62OY3Y1pbxPmziJc6OkY0fjCDcEwyvN17cdvreivPSYH/YMaTm4+yG8bJsVPq
Uxc3x9AYn8zic6xU7uRnrlIqV2oWrHQNL9qKhicDB7Afv6OnkiRVlWgsR9ShSVw6r6Pc36TVrlg7
/pY2hfUbR6xpD5lc23RP4TFZ9EELo12pFF8mT952qr8pyh9juNaKuRS/oRmUZV1WiQQiVbk+pUmn
DPBPeKEWbTmX0mOVcwWLBu9B0/JbKCkDV80lz4UFL19Z1qUtybCDTnY83wHFGDAOkF9UI1dZzfgW
9Q9d+s/Uu0O9H/qVSLe0rkgAIPIOWx/1FyGAh8og+bFKVca0X4v6FEWf6/B7XHxu5e9rAjcLT7fo
6urIFDIJqJEFCXEm6rN2JMKwojwXtN1+5L2y3yvBvWLsbQV1xIAM6lVduxUulufPcYXDfoiZBZS7
mrqAvv8xuI/Ssa729pcP0otd7cJ6V72sRJnFr2eg2+tQHeA/IbyZU8JLm9qSdSaTaxs3urzRlK9y
9BysERosbT9mb/5FEuJZYiC5Ec5IpFgbR90USJHHru6t5DILHWp8ujMcwU38wdIGe8bJGrqglWO3
oU50pT02vLZsywfkZIyPlyP1imW/jpCz7NDro/+sYUgxovHuq/w1j+WNk364jPNLO1IMo+eFOqES
PNVW3kEcSF3yYLrKUfm4z11d29j3yhf/aXKjQ/kwU6dups+XgZeOonNc4c7YJJ7U5HaPV9bf/O7U
+bf+f3H2ZUty47CWX6QIbdTySkmZWVn74qqyXxR2uS1RK7UvX38Pa+6MMylNKsrd7YfujkiIJAiA
wMGBu7ssYkm+gCjwVIZ043o1M8pUgYx+l+lUf62OoT9eOSC5CJ/LF23wCw+tW5T40c/Mu0ZvibeF
1ly9CidpUOnuZYmtgKoauzvr+kM6qzuez54FsM7sPPRVfXV5weLXTs8STNVgx0drqYkZ3sgASy4x
Srml6J2qoAedhTdJY/8Z5nb+YiZTQ44RzYNAQZgQgafLud/tizYsox4UrWb/k5XqYxrbO8UoN/Rf
3rhPKegZcQQmdPk6SjmmR44MoRhvtI+WF/uQTy+jYru0x9Q4JAKc/eW9k/VRCDSQPXWQHcccGrmp
Y+6KCX0+aQQYyUvBW6SpbU+zNl998r3W8CDC5EDU4hyMDDJk4vJMH+u8VECVdv2e05RG9InuP968
wHvcyM4tzD4kiS5V1P4wC9GArPNzivHwDEnhwknva/92t9vvb0DuQj3fu7xxnztzrnXngiQdHwxd
vGXD2EMSmHJ/8IAm9xLPCgz8m4FFij85/r5+f/dv3eD2fkevRrHw/cOHSW9MWvkk4AEJPuiDSRH0
w7q+7YNn7/D4+/f1VvvOygmc7Yt0SXQnTqMakFCEp33isa5goNjgZaBH6ZNNBm0Dgr7QK7T9IbDA
kQPEiGl60jGMg6i2WJjiWCd6FVgEJOFq2bAgGjaRoZ8TB85OArIwvh7SAKZeVn7iBKOf+0ZjeHPv
Zi2iAKQHxfwaZv2hSV+7bPST6Ka3les46/0cA02zl2ncW3my46l6pXR3dfifbV+RYcMuLYAKQGwh
n4YmMIz3Q9O5nOuY62lIK9Ni3lxgkq3fJwkmqbpFg0AI4xLz23QqmeVZVp3WHlOsrj2UpU4e4kxX
AhXk3eEhZ04UH2uc7IQcZmj4JK30xyEax96v+4mrO00ZlWtHZYXpaWkGAH45DGOEtpPKeO9s5ka7
xATDqn9Z+1eOFwUldMgi7yVOV4oMMFTYrQfMafeG5obUnOpz6ils44ot7DrmBYFbQTQbw3IYC1YW
zHpQjQKRDegKD0RRMD9NP3x5HViCmCkJw47OE0lNuznqjKzGOuawf41jdddY2p2a2RtWSWzHmYZ+
GiXM8kFyBkOLDcl5wOnbrVPBVsROSI3wvZvzAFzSh7kbDwYuhEUyDWQIW4+ZlVMSuSCYRHCAY0Kn
FORUY1t0iWGnAO25vtYdZwRutjNt6MLCsuCYTqVIIc3kztrcJ5DSTzWtQanXjV4LckwUUTaeLavr
wT0CwghnhVFm57Yd42G1yeEs82wL3OLuiFmCyS4E99llpZBfR7i2SICiBKcijYWhVZJSGLUemm0b
Z15o1gZyeODr0vXj5HYuuJ5dn2PWetf9uSxz6fiFN/mrIVJIP6I5Txs0aEjSjUenLnYqBnU6Q4Vp
fu1uyLeKWIudREOha4CVAETtBBgZSRzvdExu7WIM0Ru7Y1OpmKQ3DddcVzYyhStyMCQQD00xJRvO
WNJAMyRIvgidSADzwSQrv1Nv0i2c4OK8HKQIToRICpjzepqyyoq9URARaxG/QtOFZw6AjhvKPgv/
xGP9fPm4Fq9a3CnnM95EqGGKAsC5KqKncEinbmRQDfYYD/rOROvKWKsfmhY9jqnwM+qbppW0iiqf
mal3Wf5CXXAL0EODLLNNMB1Dvgld52ZZD84Mb1AxoQk0kB9uYZOflQHGbE0hhY+xk9O3yzIX2/x5
LdCiZ4GZQWR+z5fchnU4RTauhYsxGay/yYcrtB0iO0KN/AGPtMvSVqwKCNxQBbcwSB4+YGEy9X5U
1Drx+JwbN1XlzD4fQtCqzD24hFi01by5Kg+zraFHLiCasrNJ6xkZNKtCB2qcHfX2e8T0XYRraG48
qhc3AvYEp4ZABcbFBZfm+S6yLEXuijVY11TdQVE+2rDaR4rz8vXtg+OESUGCBzACyVQiophjRHVg
eEh+aOR33+8s4zeP3/9FisBm4woC6ikWe/JcZ0zV4o7piRepV+38ewa/UzQ+sP73ZTFre2ZiciBm
c+D5BVtyLibJWjjQ0GVIA7JurzAChpjKZCiHsqTceOd9jpE689U4IDA82zCMQPEscUQTqUrQXCYe
Bkyor2NuuxhXGyfa4zipRUknpSp0qiq6+qspBntXtFP3LWPRjPuQqPZDPWY89/oZj7g9+IrVitpq
E/5uwnp8meMo+7DthhxspwBT9tQ79ncTrYU/v75fluGqsBDII6KR6Hy/qg4R36BiFndngvsxjlBP
KA9u6H7d8RunYiSDUOghZorYEJPFGP4yHkBF5JE0BSn86+X1rN1NIG9MVEEx4QzQ4/P1uGal89lE
fNnlthrTArN00cKbVk/GHBofsxUjxL4scWnfgXc0XQ0YS9X99C7nImsSqsCPobUkqQ+JoaEm4c3W
lVrgZME9UPhVx6lbBxhBflnwiqpDrpjtBbOHCeTSns5VXIQKz1Ivgj8xUuKXjeJH9tbc9jUtF51V
qIaq6MfEKNXz9VnN6JK8LhC0AUYa8Zgq7NF1vpl1kM5BDQhmy4IqPBrRvi9fQfcwOs/oMon7n5xf
m2XgmMHY3aPr5fLqTUiV7h6Ac6qB/mzUFcG+I31V2leEDTz1UsDVwO+jwYdflrAoQiG4OxMhPuHE
ZHVjBaPcQAT/SEzPLDxW0v44vQ+/xu/Zhq1f8dJERJEWAPOiYiMFJu5cjVVWQpYDw4gBBkNz3+oY
f9n4Tbohak1vEOaLJiEkqUBRf76sCASNEXMrPGQifmhDcGim5Mopt8awr4sRQ8vF857I3mtGS4nh
jBATlUjooeOJpBZ1jA2uzJV9wy3HUwmYY3gWOQBv3MSAGUVnVQFEdVCovXIL0/lrxKQGmqRqEQzR
UG0kLFZsjCmgo65GwD+AO3G+gUroKJVuOgmmrIIRscJAKyQUJyc/hEO+ERRviZLUwpmNBFvoJtDy
V+7EtEFmzyrf4y0WrZXDOluSdJuYqrYgl4Sckkx+1DSB3bJDN5sbV2pNjADDAfCK/txFpKYytTZr
LRQ75/idVgPgK0ZA17vLN3fFNoiOZtFsYeJhJnNEGD1gd0nXpF6ZvA1WjdfE82UBK+sgKrrABDMg
nugydhd0GmlslV3qWfHwh7X5rjQSmoT6xk1dUW6MVVSRoUdsodpyoKmSBoPMMSnbs7PyZmaEskY9
dsVv0qSUsWnjcFakfU41M1zx4lv0LyYINqzSSDEP3rGuVaS78h6juTqsr6K93W+c0coWQhrcFsD1
qE7Ja6tCZ8h1koMdaHaOKgkxiIEEerMRoq3cHzT+aEjuOkgqL8aadWRIFVcpwEFXWnvxXk5yzNbJ
44YWw8ZhrS7oRJT4lBNvwUwlgXmHKKN2X7Kag3GIk3nya2uqf1xWvxX9xqqwJuBp4JflKgbrS4ZF
QxSplCtnsu8nzdh4U22JkFYzkbiPeAgRNR/dpzmqEzz7o+jp8kLWj+fvQoRKnuxZDOoRbXYhxRkU
OsN0mzt7fjKANLksZ1W1YXWQXkZqCx0q53KG2lZnMNhmHqvM5763KXqfD7MeB9WU3hqKs/XmXnv/
Civ3v/JkMMLkGHEWhSXev7wZaVODDbjsI5tGevU9DJ1dBO76uEx3l1e5KhWUiyJ1KDDhhrTKLCJN
xKrMm8vs6DqUZ//p2kg5WFoNzeu2OprW4iPk1v7Kk+IjfSjsRqkgL+p1TKCZqNIQCjwvCNOeB3Kf
I4FJpsBNgsvLXLRviKTbqVxxE0+0xtR4pKox5GrhvDfinVk9TsbLYO5brBYzr8tmAn1HseuaK2sr
Gl7VpJM1S/fCCpW8i3LIRpUMmmMRqo7Kw5RFt5hsSWeSb8Q3q1blRJ50Q8zRhbUqxVr1m0jLadXE
O2vYAs+s3sMTKUKzTnZ05knU1UJzJtcNRtL+GJqOQmMTytnsbxzfqjDAxwEhR3htyuCHrM2ivjGR
dmsJmh7jDlXlyv4oRKmFhS8guOmoOd0UYJEy1CuV7OPkZ2hZXh+99+WG/VndXccFMTn+Afm0pEm9
rrWYSQVg0sia/3KHHRE1RDRzog3fsLrkEzmS1hhOhboEmibAsKKBSEoHq6GOiPUH+6dCCFQPKSNk
wgBKkmxAVCEy5WMH/VQmlxqlW9HcLTfM6dq2idyUSwzU0hcZTeTixlyNhwzpe4XmeKBoCbnuWuf1
sqas7Rryh5iyqps4HBkOZPNeibUOHCJpYhUvljplV3UYdTcxOi1eSb7FCb72kLdcPL40qIIg4ZC8
RNwz5IcZKPQyJfVBv4FkVdl/t5Dcn46dktHKvs0GjIDfXV6m+FnpJYs1wqQhiWmjAVW64uVQWH0X
qXBOCsOwSG7u02ZSqQoisAenPcbZ69iVNbXLL6Z+8ETB+1UkxBGM664pLXfmrpWqipt5CV6Zg/4I
giGOAuzlxS3b3CCF6KLsI1632N5z02J1YxTnxgyF7H0MjryNff3K8IvraZf5jg/0kx/7o0fLwhtK
v9j7P4+eE2yA5ZZ8lNJHSJ4KcwhJbUJ/vAlBoDfutF/udeg3t+yqvHJvHVr9Tv+70Wl6z31nw8TI
gZTY5dP1SyZGm51YZFgRq1lArqoGNbamSH1u4akCySJk61LVTu9oWB0MWZpR88ePZGd9/yBH534+
YMjTY3vDfuSP5Ut7N//CsPkI9d8g3NAm2THKHyFpsT1HMVaHj6hzsJQ9JCg3G4c8vylBbHhZpRa4
DVmU5K2iTC0MS4com2bfK1B0Icb5lX+76V+VP87BfGrTwN54h6+eookUPHwEyhlyDiwtxkJwJmRe
DNCAjTIfjz8ur+ozH7I4xRMR8ikiQ14oM0SUma/dV5Tle7CnUvv+JbHph0rjP9bLW03BKlUH+b7y
B06REOh27Jd1110nW5wFsvEVmyzgyWiJ11ETkOml0iGxuYFHjGcCFTwcCzOYnD8l2WI4WfZZo2qK
GhFiOsETgR6Bc/tAsrybmOpm4Isvy13VpfOh6N16pnZBrMi33di5xZTD+A6AlK706zKv7oYBxHMM
PS7HLNdz5P9qTQHhFpLZaBsNs2ddcaobPREkz7o5VocR8MTqpuTc3WtlxRukUYYmRC98orDAwkta
9wzOyHPmKkmNGRToPQV/YIXNzjRlK20rm3tRJtaQsHWRvBT9rpJBDKc0CusaC0bKVg2moQg9s2mU
q6EVAqt2CnQdsSyZumFf96Avuqxnsu/+FI8Sv8iaAnIje5vcHgaW8ijHCGm92rV2Gr07E7jgixCV
5H8QhVgdyGG0t8ADnB/t6IIgogBK38u6fqK2VrArtGg4IN3eRCkvtVUMfgdjJ4pYBpJLkhYl3FDK
IQM/Xzzx5tqwaqSoU9f5qI1yOk7DaG3YgyVwEtVGMPKgKI4EoLrIbo6s7YaGV/BaXvHi3peH0Sea
32WUUbRLpzdtEO7Sm2jvALiVBbBLb8V+642+cpRn3yDZQS3tWpHdRKEhuSHkNba/p4ChfvkMz2RI
GzulatSVDmTMxX3Y3dfxLmHPl0UsbevZVn6yu508PuoRlIfKDBHmPO00LTtMceN/XYRriGoJ/iCT
JjlhezCLCs2Ehack9o5Z9sNQpBurWCKgoRGnMiT73bfg1WpR8fMq0DIHyUP+zblRr/Qo0I7uPqYa
p/PW4azt3KlIyec2zI6JSyAyEz1xoA3vNxJNS+yztChJxTDnwioVIaG+sZ8BlKxBUECeTN+i+Q6h
sN97zr19LLwtnlhN/PC5NzzfTUnvlAx4tDGuC895zB56X0P8+J1c6w/Mc67sABPod+6r9trfAle+
oSurktF7ACieK9Cukq5YpG9bVkEyIInULF7QF47mfTL61oy3/q/LirniDCy4WfDPwBgjDpeEwbxg
XEXdFiBkv5/Qwq+Bw1GNvNHynXA/hdZerb9u/yER8ziAr7WRwJaMcpfEpctLNGsWiATV8ZgnP8GV
d3lVK9b4TIbQ29MbbdQK+kkgQyko+9M3b2rkJ/HWhROlaUlFbOA40d0kskEAKJ1LaUjrAM4wFl74
TT3yZ0uohb6rHIow/4ugPDjNM1HSggDaCcdaQe0lJ9eKldA8frbqyYtRdrSua+JV8xdLTMJL42kt
EiQATKC2fL62jPRoce3Bf8D5fWUMNDUTtLztTa58/aiAskYOHi1EQOrI7T2RblV2kfY5WkI4nRiG
Xs7sLraHoDGrL7+EsKa/ohYNG9ws1bmFqMmqKMiB7qeOf7+seCseERqhI8+P1zQmEEhWozJzxHUc
IoY+wug/4yE1gPFNp/1lMWu2HglWQI6A/EN9U6Za7JirDFE25d487Lr5iWXXSvIa6VfE9B2WIIq7
nkdvSO549lBlL5eFL+rxQjfQkYWKp+j8WuB1rJbYaRyauQd070TBSXTjXAXpPt03NJ7otHMfFTxr
kYzs6DdlvzX/UKi6dOvQo6ViLBbyzAAESBZLBTcohlUSMCHnEcg0cSXYP4SNjgksKtI4FtjSJAmk
I2Vo4aXhMf5KyuOsP26GiytPSOwh6gB45GiqhRlP5/fLZP1k5cBVo638Oh18lxa7no6P7HZ+RK9w
pex+6ofqsHFwK2ZRgIcBfsJgQsCFJKEzJ2VLKiwspw3tju9NAJahjFEQ/HQA/9/3vr537/jBuAsP
9YSJ9bmH0h+h6LbdbX3MmoM9+xj9fAfSOa951uBjSEc1lyZgJPUiH2COh2SH16X6bj9h8gkeScy7
+72xEeK3Fzp0shGS5e6cgmlpAdn9e/pnOvpaFFTUfOi+fzi/5/14AHfrAfOcbZo82vsS3GUe9y9/
wqeaXvoEoeYnLqqrzITX4izKwH023ntaeQZGiULpvDFQbh/1R76RA16US3BvwQGI4ipKUOh3kHF2
HZz9ENUoCmntHlybU9DcIg12j2J7+jBuCFsxhOLRjqQpuL0RxEg7PEVpWc810GUDmily1NbmA9Oz
Dd+xYgqAZkaB/ZOCCKXP8z10SFkx7mhQoQnlpTQAVmdDwtoxoQsHXUe4qCCCkDulw7CI0Wlv515z
1+zjN3Og4Y3eUfX5IX2PA0xoR35iq71+7WqcCZUieV2J88LJIXTwmn100KiD+PfQfOdv9q1+0O8x
EbDexbf5tQbrtxFprKQqkVWHbUdqALNWEP+db6rtzpjWkTuY0+2H++o2uXKOESgJf+kPCAsfi1fm
kyv2PX1jz8m+3XCfKwYKc9RAt4GGKNhHedJuDvy1EYcxYsPiNozvWHVru3+GrUaKFbVBfRJwHVhe
5Hw+/dvJ1XNSVrQpWrXBn/2qme/WFpRqRfeRawB1n4BlLtMORdO1U2oWBeZLVHQAgUZxb3Qb8Zk4
Bcl84H1gCA4xhNDwheenpGehaQ29eOxpey1/GZx9ab+ZQP2Rp5BkVAHo5LLBWiwKs4AhxnAAwAfi
WIa0qGqozgjNUCRoU6pNPsd4anurm2FLiPTaq7jmgjwCQkjYoqUWlK3Fvtk6nsXxYyVAJ6D7UqAW
kQs73zpVQzZmHAEzSXQELIY/RHzDaizU+FMCZKCmAj5eOXXZdpyzHmQjYOl1/aLyHfdJy1xP/fXl
I0GZHfPd0G+BAXYyojksa47oGaCCBjQcWTXSYXqLvhwMgakQADdEKTh1hF3SbilNGZPaFjz6sfFo
dL1PCm2vRxvv/JWDP5MiBQNTNoRdEgopRnoFQNJeY929YTcbcfOqGAP7hcSyiQSkdGv6UUyHnscM
SFJy047GrQ0mUj3v/kEMQdYKrIrYMmR8zjVsmhXdqgkGTzboyYEZtyuDoqJ3+fQXaQIcDMiDcfdt
00DBUHYSZVUgl4niIF5xu8FlQTlP+yGy/CZLnkZl8ON4K9+3MDqSSCndkziok4+tjZmCDHMN1IDx
n1HY+umIPEW2MzEwi214I/GLZ2YOubJP+joXwy3txVxmey4tTlpB3AG2mSFFQDagCzXle2t2nvpw
a/zpogIL+lgQ5IKgDyhYEL/IriEOjS7schSWB3Q6dFnArWPu7kvUYe1vafqqaY9x/O5GG+XBtVWi
vgwuDaSPQcoi3TH4koHlNVJMRn0EYyNa/WnDrgF7BgTii3g0sUBRNtfQ3myhyixrTZFmM4ZIQGt0
4OuM8KbL0g7vxT+d2z5eVtAVKwj2HAFQxBxKAyjI81tgFmUzkB7aQqweBJQa726deGpveFMpYBWf
/sFSQZ6LsgbwiiLpfy5v0J1GC3VcCLSgBoAEU8dGTWbr+bl2VthE+HY8QckisHXddIL2oHpSaqnt
pzZAVSACe2RaBrB0gd6Coni/vI/rElGZBy4SbK1yFaOy6z6rK0cUsMl/GbqBdbOiAMSBKd9J0QT6
ZZJjqIgORpf/K0/4z5PwqBmbtrRjyOM5+6PGrdcU43EMYc2U6tFCl9Pl5a3Y5DNx4v+fiJsQXVdZ
ig11imHHlRewMe1KFvyDENHYjOloIrCUXgrgynKdUqxhTPWrCqwgPQksbQt1t6rxJ1KknYvyrk4T
AWgYY32HUdfvXQua/vkjYvVG+Wdt01BmglGEf3FQdTrfNGPGTKY5mWCJ+6dscL0IHcfxlvFd8TDI
yaHYjL9QK5Rdv5mYUx0qeLUlqubH6pvK3kLUloqweazYz9zesBer4jBBwwEUBeAsufF4wogO1eTC
a878aKc3mfG7HtCP/x8foqt+C0G9EgWiVw8jwoEjcrGLks2t1aFTmx4RR+q6H0rmBEbBNt7Aa+qA
8Mz4JJKA2ZU0G5cIDWINbC1SeVdqV/jdMP1AJpcC2b3hJ9f0QTQbIaEuip1yGp+BOmsqbNTuE/vg
GgbN1EOjb3LOre3ZqRTJeVgmywu3woLazMx/KzOxjuFo1A+l3k/fNIx3OiCnzPco3WdISdrNdcJR
IaRFnbj3ujv0z1Ye6EN/dflur34VYER4sYq2O3nsTZfxuchiE2kNF7xXjD+M1bfLElYPEiTsgpka
7ZByA60egaRjqoUEVqXs2KO3O9mPhlbFNOEk/NnG/VZ+aE0k0g1AjGNmA5qMpIA4bMGg0BAYYZbl
74P6NqfGI0cV0UNyeXd5dWu6g2IMkiMCz72YX25XfYFxYRCVVuil4sT847b5EUnuasPSrx0USuTY
P8zIwbtIMlqsNYpyHsVI6m76XmI0BDUme2MxyyQXvNepjkpC0O9LwtjCTVCqQ5gNe6sLrBlsgTHm
V/plZXhmvG+2goI10wWcCuIOIB7NRUOOpkS1PRNgVXjdXjHLuJpZdxNm42GCXQ7r7piaW4Nqt0RK
CtKX1hQWEUTWNZqqTYuODtpzfaC+A+DoCvYPxhmPZfAWiRczMuPnDqefpt6MFBjnFmQsna2+Fyo/
lhxlNVu/bSfmKxhzdlkv166AKfIoDuJ+dKFIFjqu5pEkLuJH0MpSE8RMU16gnw+pchCWXRa1GvfD
eAhnAIH4c7483U5SUna4AyGy70Y6gFUWcsFHkn6MNlWMuyp8tkXjPL0seO3uARSAYBxEmuhBkbY1
BgByTk0BcmpsqhX5Q92mu7BjG2LWQsgTMZ+sNCcxVuNMkd4J/VTrKIjaVwV556rcxdNM+2TDFa0d
G0hlcV6ojKI7WVoShupoiZ6JABlTXGkTOr/darABOB5jOrnp/vIGrt73U0MpaUnk9g5wNzgtqzPu
WP2EaQ0lTcthn5Fop8/Z93Em73V+n1jxP7h3kB0jmgS1JaZ0iLM92VQ08+QDABfIWYDwZgB7GXq+
4Op1mlsb78PVReKtjxQPbh6Gt0iinFKZ5mEGkMlqW0c7TlY2dLd2W+kqNc3BtfaYads41Br09M5s
Sfykx3p37XR1vJGnWR4unnO4jKK/WQCVpQ8hxkAGjigAZIxuMFh0Cks/agktiqfL57rUWAjCgBXU
4cQ7SxZk9APpDBf5TQyZLawfYw5UfHHAUxU4mo3LsbyD56LEmk/OEYNkuDGaEKWBE6ZxA7dEGLUV
QmwJkdxST0hTaQIAlIdB1PxylZ6i6fXynq3JAIIDhkRAJxetqMzpa3WMABJIMXfYAqNUbmc7Q9lK
kqyIAf4UTgB4cUQNcup50uBhuYb28qKxf6LivrdDXLmIRxuGZEOO3MNkKMgUDcYMXcsnGnNl1yhj
EBJtw4KsikEXm7C/8DQykbLi9pPSVKCRS6ew91SndMDuXRa07cKvX2N0CiNQFd3C4IqSXzhRBaKL
PHPRx21xmjsBBsukya1TMt+pf1ggUXa0ypu3gLTLSEEUOfCSQxIX+HeZncRiTZyEDFKdLHvhdf2q
czg2FZV5tWgoZqB5eeQGl1VxxU5g5JqgZhc4JjRYnt+p3oiSrJtZ6YW2uuuNX9k07GeEJ2BX3V2W
JH7pPEMIRfwrSdaSkJVRM46Q1DrfiOPC6wRKSIJ5/EF0eHMM0Nkw+1sCJYeTtWUI/CwExg34MgbE
BHfJsLP0N2Y7AWjgbWsjbF7dSzSwg8pGoBJkh9rZZkfGJi3BdQh0Rfw46pOvhuiI3QiC1vQEMLD/
lYMk+/mZ1SVXeWhhYYlmIKf7Zrqzh05phbzn7puzOZNg6dSQFBQN82h8QuiM4vS5PKbGjdKVvPbi
ORspy9oYBQwFU5fYf2mc3U52zH0QQRaBWgyRX9lD/eey6ixuvoDogEoNdHfY1wV7SjmNOs9afIBW
9RGYAdwyCKfhV6g0/cZ1WGztpyTw/YGgA0llmRQEEPAyaU3Md3PN8K3Ieox5qBIeiNHpI95cpooY
vib2FtvZwolKYsVnnXi2pORliFdq7VU15hb0AbN9E/0ZoO0ADf7GPVw87iRZ0mli6H1DEgWbyRDJ
ZgUOlB/+5bj+3ybKQSyvudIkkOMx586KWzoM13X667KMxV07X4Wc/3c61Z1D4OAxiO8PqxXKYoR1
anTfVluJ+IUZEZIEMEL0QKHrSnzJydmoFotJaDY4m+Q4ZKrPrZsqSSmADKMYn813Mbr6Ly9uVR1O
REoxCBrmkCHqIdLsdZ+XGmVa95yiPqkSxWvLbMOxru7liThJ+1hX9wjwIC4jIIQMr6z+sUJjrLEV
Kq7KAZkD2M1AtIeUyflODlNZaNPU1cK/3bpx7JM+DxSOtpxiK4OxuoMnoqQl5Vbq9oDnwmI0XuH8
tMYDS0fMGwQ8w4r/5bSQ2UVwigQQ0tbny+p0Z+B5AVUkRofBoOVP0JkdK12P/RxXqzbHjeu1fAML
jfwrUIbBE1vBBBAVNxj9Blcqx/Bo1lw3YMsquvc2ru4tYmHSsHVTauBkdreYoFeNMUgmQPLriF4c
6RSrMQN1fYVTzBTuJ5VBw/lXSEL/8hVY1ZUTKdIBlrmOQXoJpAwuhsv11Y0aJ7sOE1AzAP0ui1r1
b8BLAPGPPmPkpMSKT2640/ChFiUBPH0Dvc/8FONwEoxfjXxem5h44o+RQcFPdFns6j7iWYrAHC51
4VX1zqrybBhgV6ZwN1po0tIwHMBS2o1oYdV+/ZVDpGhhipUhzJW+9srU9TLjRwOmm6KjvbNHHd8j
9QdSqRtLE4dzFuoJBT0RKUVeo6MXmBkOkRkODMNN4DmBtG2qHwmwKOrWo3tLmn5+fLMDMAruIKzl
QPXwOVKeLPc2Np/jIoi2iPa2NlNKPw1WYZmFCllWXwWz4mMkejsjLHgteq8aNR8Z9Y1H75ZE4c5P
lDPlCqJqhFR49Ca7lvR+4kbBMGt+1GVX4ZiDJm68tzr++7J2rkYJJ0co3Qmt0FjvlBAb1UgDV5kf
m2RjZUv0nFATBHUYf2gCIrXI5aEOotlsEjTFN3H/WlfvLTqyIl/TD0lJ6+KQm7t5zmiYPDpgaLNU
byTXdneFHjTMsNoI3lev48nHSPtcs7zpgW6pMXf8CWnvgKfXmAq6IWR1V0+ESLuaGUNChgorTtOj
UY8gFWn9y+e2ajcFuzHSvwLWJEmwcVRZ28+wZdhCrf/dmKhiFdSprI3TW92vE0HiQ0710jRCnlQQ
NPAW6AewNRqvmrVhu5ZCxNQSVDR1McsXGPJzIXWm6RmoEmFIzMFTerYvO3NXutqXj+VcjGRBFJtF
Rmrg7EGgD2owRw2DCbPRvnw051Ik26EQW2/7FotxZozuSl5rALqr8NdAvpr6E6B7VDHRkIs51cAc
nW+aM3KSZBZiH7O19n1IjjNecGgmb/eDpfcbW7c0TxAGHm0CZUPBXyZn0p105qM51h7IMdBU8Gwk
nmP7sWJSkgR4BeDWbije8g6dS5QOK48NK0VjN/yZNd/ZTU0xL+/x8iVaVTtk5gDZEr2iMvamt8fS
ricsSjGyX0UxmG+paYf7UNCrXZa0jFNR0AYvo+BMFCVLKZjKuDKP2mTWmF5VHvX40LfGndnotPqO
WUSXRWlL0wBZ4C8BcAmzZnX5MnVNqadObiFsnDztfac+j1R/LD1+bfluirkBw3vkdb/QfXhZ7idt
8Hk0cC5XOjCtYakzWaRGE/6Lc8xu5ocmmO/73aPmicZ8ZIr3Hf6zHVGXvpBg9Pq3Zq8Eoh+2DtpD
8qp5FlV9ZIxuMBEuGN6M35e/cNmiixtzujPyjSnLuuOG+ML7eB+/AL0dxKCbcDFGob7mweC3FBOV
qf5U0GOM5tx+C72+DGHOP0Do/IkxndWq6boRH8C0Y12/adaLllyZ+cNkwFNsKPdKuHsuTHIRTNWj
EpAA6AHoA8xbgwSRggY/Z9fXu5A/12Ew8w2TtKrmJ6onOYtp6EGyy6B6JOupgarZbAcWYsM+PNhb
HnBtL5FCRdcEytfAdko+I1KdsC8VG1cKDU+KQUc3pFOPdG3U+119nb9dVp6V15gJ9uq/8iT1Lpht
8sSGvCL91mLchnqX8x94/XlueauAyGPcOZ3XbNHkrtldZOUwhRsvB8GLd64xIx+VOM1CaMx4HyZX
CnNphgZi9Bmm/KCr35yvj5AG6FEF5B85QHRZyAVQlzVzOlUQiLrnUP+wy9cx3LiHy2Y53MMTGXLi
qCI619tageeq6+e5mMGI/7NP2Q8TRaV60h40bl4Dd+SjPWZfWRFYZd8AT9owyQvSMIQaZ18hKVCS
sRifgZUOA/c4+VWFxWM+ljsNczaY/joPEZ4yN4rC9nWPhqwx2yDyWrssp7sgKVRaaiR3C+yC1btB
xdENbr7N2g1JHuxxA522pkWnoiTDVxY9gMJgkUa52aY1r2lk+0b322h2CLbT5mD3/2J8TiVKlq4k
BtgjZ0hMp5ek2o85SF9zqtjcb/tvjR0FserV6tdznudHKpm8sUZAMgupo/2tNF1qbsVcWxspGTgn
10jTcAhoijkGbU5DlQE19YLd9EYZACL0WqDDeS7I02Xrs2bsTrdTMgMKeli5Y7swdlZIB+vaTFtq
tzZIZ/5Lkiv29ayM2EfkSABNBmm2HFrObZU0mQrVjPI/Q4vJbSgou36ufbu8qrX461SMpCR6Ffaa
LW5AOyeHsJluzdYMVP2r7Lz/56L/XY2kFYS1kdoYEKM2T8UgnJKxKzjG3G6NAfj/mJS/kiT1MKpw
SoD8rL065v9D2nc1N44z0f4iVjGHVzBJlmVbzvYLa8YeM4CZBNOvv4fae3ckiCXWftceez3r2m2E
RqPR4Rx7SEF8F7/pkyMbvtLbk+bNT3jNniIHWSVyfS0X7ydg285JYLBygWXs/KYwh0YqJjVEVT4o
/v5kVAVLEZ2SbV4aJiMsC7pHoVSbt6lTK6erWXGjamXv1kkmeNeHsmjYUK8/U7XP7YCzMp94OUqq
s9ioowa1sKoTJc8lmEbxSlBV14hXquePtYS804m2gH9lzQf2RFYwaOg9bjBro2ZO3E+QCWFT8lJR
3a6tj0wZHUxz12rUr2T9wwBauQgSZwDO3Irdj2BmHtR/m4pfFlDaAUrkK4PgJ3HwWNXJrm0KO7Xk
7fX1WVJ7cN4ca7fwJODjkBASomC0bWwL8aQYfJKiTpSw21yXsrYLnM0XopJSk2JlBPHPkG/7GrXc
uyIDjNzai2NNEneMUf2gANMHkkwrRF+Gm5fPhfgeVpE7w5dfn9WiAT7Zb+4shwiTqayEbuWp19ZP
ArMrdQRyBdL3WmwL7E2KX69LXPSjT1WMO9TwkQRj0nGoNcNPNFB+uaJKhES3g9rp2MEaEcVa40Bc
dpFO5skZfKsKYtYaWFOlPBgMOqvt0uYtnSS3kUIvr1vC5sDkYQR4knVDx5UjfNTBy3OF0nkkg1FL
xbfcV8oYGE0bN7Ym3eJatXsdGJzRZkruYEzK+tMMG9INj9Jg6/1zb93o4pvBihWbdomANrto0t9R
cEuvgiWn7GWMwri/1z8ArwFavmTbkBplVnYLH5H0jrgt7C+ghpIfpAdFjzqCl7qWM31cV4PFG/hk
KNyGSNXU1bBrjT0IOiVy/4lQCfBI8xGsRBVgHhpnYNpaNeLii/V0AThTmobAOAM5XQN+QAOIBFFE
/nxadzEJviM8VnPMen606qSeEQGgm5th7Vm/ZKxOR8AZ2FjOaJFGGAGtiVJBESKnKNfoxJXZ172i
bnyfcYEwe5JqkCL6TeayjezHRN/+rp3st0aU79EO3fItAImbE2/zm85tCdA0PpTHL8mOvWKL9jCH
OuuHcGXyfNSLNa2CHh8Mq2TUQGlOWo02yESnTUAjyZ5KdUS4OpLpgxT1eW8bfdTeNCwGmHiSxeyP
KiWqSmgwWr/RcZDswDNo7cU2M1sS5pY6HqYhaD+Kjla34CAMZlB1rXmUNYt5Y5QA11cG4SGWO6Mm
CStxMuwoqoLQzcy0ugkTrUVBWafs0K+D4G8lSIdBZPoTghygpUBrgroJotJ8y5o+uKF1OIakQFen
gzOFwLrST3e5YaV+Uhuab1YTKDtAzU16k+W3WdIYDmLYtTNmdftSCxoenLoVAl4P6AL3hVqj0Ayx
3H3GppKRBtxkiYNSKuSc2tKo3pRooJ6GUiMnBygBGWJBRfy4UT7Qq8weCmh05lgD2nzbYsqdqc2i
ZyHpdJJGmfnQpt1oEIpKFYRjxkDx29LUcltuR/1LxIrtoioEq7dpMOAi9RZo/ghK14cNmoyCrQac
qB7WuWpvmGXVr+bUjc+aaVYP5jBE940Y0huzo9K2QmTVTftO/IkruTsgNCR+dK1sbbs8wv8xMOvM
K0cDGz6NUrutkem6CakqHsSgDxUHqS/zpRO7dh9Vo146FWjQvoPJEDwUuzMAZ6BsYiOZWZnhvk1r
9YYlo6QTGWR6uYc4mcpIHQQATwQPDhsIck2gsTcTWXochyY8qIEcIfJZpsFdg/rTB0QB0DyqV2b2
adRh0KC0NSwBLGfUgkloZVho9MjVBzGggIfNFGFv6S0Y1kvRTNxaD8YfpVQtWwBPm+Jft4vHcOK1
ozsf7RMPTJ0QhqQizoi8jx/haH4mzgMFafAXkJ58+b7Yxs5bvzO2oweemDXrdAwVXJPOeTnA7S+s
bjaQpv+bIWK3iZ5QbzkdciJ/TK7pJgeAThm3xn1wZ8zmco0ZddEfQRkfoJnQ/I/i+PPZjynOsRpS
zL4twMM6VntdnUw3YP2vLDG/aM1ujRybphXj9vrCXyLW4HI8dSO5y3FoLdrrRYepC18tI5VxG+HJ
awaVLUjgVlFIbQCTyhETV44+Q3Sja4WxklKfRfCrfzoE7lIcAGqfJhGGYFSZI0aaR9XHUR0earYW
T5hfL7wkBMAA3wD0EjxvOL8vrhQjK0Fxb6dS4wXKzORhWr9oVKlerXS4/XQB7ruAALeYVjERJITk
iiJfCdkszfd0FNySG21dgC0Vo0B27y4QBl8VthOgV5Peub6588Jdmy63sJ1u6ALSlI3NKsbQlZP+
Kgf6o4nCB4tN0k1r52jRyQVIAni/1Lnkln89Cmj41AY1Ac5OvwM1QDyaDtRHMty2DfFGdLphn6z1
kyxNEmTj4K2c3esLuiq1HWWWjpAp1r9zA66M9oYufWKyN22tJGl5fghpzkXyoAXiIxphZIhtU2NB
dfE5HGxl2GnpfhCYY6L+zlC9GESL0ho1wJL7gGp1lDIr6F0HieW5ceisOCy7Nm9s3HJEY8kuAjFW
iTjHdWVZFAOsNkmV0S2DbOC5mJCNWdUFeCsU06aeCWGFvdz+XJcxv+F4hUQX/r8yuDcegggKYFYh
IzTKypPqtttWgK11r0tZOl+nUrhTHoyjwioJUroeHAAUYC0dWIJlpx7ClXfkskIoiG6h9gA51IsG
TT0vE0GAKK2v3anHSwL3Jdwgu2qKrVa1OskRsIxq01GBerzysFnaMZDf4RMw9kgLck51UpsAu5rz
QIVw2wwHGuzzcOV6WNqwExF8GXbI8qpgDCLA5UkixF37tFqZxdLdB4vx7xJy1nCSLMqqHm9xKtzi
MDvKSN+B8fWSCOmnFMCIoAO/bNdSqcs7B15sZDYBSY3zda7uGsWDq9RhNsp6E4AnXfI7y1NlGyQK
gBIhFerIsjVQ6qUNQ5XMkUISZCrHh+qpk8NGIZfxFLMt5VGDPqIBAk2F15V/UQYqCwGFNHMv8sRl
Q1ZNVlFiXqke7irZl7tyU5Z/rgtZDBOiR+pfKdxBTlqzTtseUmJ01Uh4vxQFfayC4b5RTdCn1J2d
1bWjdr3T19qzVeeCc30Ei1b/ZADzMpwsJTpVdKnI4LG1dHzXB8RJp/hLUMqNCHCmul2LISyalBNx
nJJqmdT1XYD55pHfdq/x8NbGrx1bCbYt1DghkA0WU3QsWsgT8lBuQRZlEui/wBrM6Pckmt+ZPLqA
ZSRKA/p49asDlHfMUDXGgFGuyhkxMxqjd6rp0dwSgVVl+AZw2j4GL6narrktS7GLk8GZXGlgbuht
HAZY8n4iVbybTJ8VtqU1wBFIHODaXt/gZT2eu2nQh2caPDyGbLUNODmwFLk5kjKXnFootkDfWqkZ
WrQ++l8xnCIPqtQDVQpiku6tLe/ZlDij6pmpaY/FJpkQ3m/c/7+JcZo7tugXizpIFLPJbs0wJSaq
w4t2WDOsayvI6WwY6aUqNfMKAuRGu0MLGSmT/4wdhOfDXAU7d0CgSJu/g1SDlrHUwJcNUJ/U0DeA
k4ZjAjKTX1Ps4wIkDZ611xdw8SyaIlBTgC6LxACXokhLxvRALmB7NM+sTL9vfNXaj0zyrstZXD+U
LQNRDMXauKDOTQyFYzkVFHK0mfdJ3UYImzKButelLBqyEyncLmUmoiDJhAWstPI2b8bUC1vhw2jN
icgyOxRhoq9IXJrX6Z3OrV8mBb2Qzm6Dloikpuj0HHdR9Of6tBbvVxDmgpERRe7InXHupBhKaSyY
kJLS6AM/+1JtbmqjdJNg2ueagvKyQw40AURr1viTj0Xlp26mBLAg7BnK3oFtB4QzzmOurGlsY4UB
4bSxwJE7tcatEA3vQqPILnqQ0MrLzDeEiqa3ti9Hp01G1W5o/Bgqymcvha+KWdM7QR8nn3ZiQsLQ
EFaaIGezwo0QtL6AYgQ451yqyI0wFcRGAKKNSirluS3f+jVwId5WYwXO/v9cxDfPmkjNIgnYRZJP
hVdDfh7SQ5r5mumUIfuPppoXxrlSapKrUwmQFxKg2CKMSKqEHsrYV6IEF2nRWQzqroDwhxe8pfI4
E3LTduCdkFVwb6hENV41+qkoLwJ6kirtlsovVb9rOk8M9jIwIFe0eWG/Zip4NKPAzKEEmZtibnRF
WinoiJalD4k6aQAw38411B9DsyPm1k1va1rvWv1LQBFZAPfPGiHtsW+OU5kZwmBuHIExAk7HuTkS
9EI3hw5KbYylK5UORaS3im+Q647k2C6FexahcH42vToACiUboFWD7E7MFSanVx/k0m6iTQXOxTEg
VO7tNvE74zkfnvraUcTIFtExWmmR15uqPQYBYoNPar0Z85gMZk3y5peaA8dX2LflZ6b+aeony7xX
LT8ZRT8MEbQ2vDR7YgDtz9cwfS5sCXb+bOqcNsexEQALBlOvQupEeopQMM42HiTq/cBQglI6Y/Ko
IV56fdcXDtGZWG7TwfMiCOjI10g3eqy3hxrr+IReJShbeBu0a2gOvCvCzZJv1Jn6nppNCHHFiDbl
cUQM6oYOA2k7tO4gQzB+i+baXcrfBbxM7i6Iy7bThbzTwEOg22GJO0fISDyt5XYvMlD/yAHcLpqG
Uf7G4wbjSR7olEHOCADz1MoQtn7K0z+WdiOxg2EIBBmKiTrl+NbX1NElT1a+AcSKYA6i3RlC8YhJ
lsq+H/xGpEQQypU78RjduDxdfwfI+YFBFqpaIWHxtRCLb94kYL7I1QzicOaNzcQA0SaROpVdI3yY
4s+i3NE8I62YO/lg2WOMVhXrwJQGKZR7E32ntXEnN/qv6xp5kVA9riM8LuAvg0IJ/UfnRgB0ueI4
NljHEFXhgmFb9CWOtkioyaipR6+HoxqPJjjhI5THVm8giGfDt1qYK6u1qDUno+DOIypuBoMGGIXY
ogE1+K4aieQsWzl+SwYfkaK/k+XOH3r2WZIGc1ClxoM5nyQRXLG9ths0NBKUloXsdQECNBrIgDPP
s8hlQHkkCUvAMqDE5krU9qIi+rj2KLRAAaWJPn++IbFDDyneIYMGTNZDJntRvVVUdN3GGTEsh1nv
RvEhYv9BzYqvX9pQuKL10de3dBWpf97lC2U9GQm3/gXolBWlwUiabiJJtWGNSnJa7Uz5xgpAAlk7
EkBhBPkepUqi6IXT3TC+qELgANiagTk9SUBgxW7geNqN6WZaaycxSl/VlmQpGt1jtCWW/ormzpbk
cszIbRxzHKgLPddcgaa9YfWjRqLmPZB9w/gQlIjUjeoPuWoHqLdpOwSLCZPalQDTorZiy4CBhU6X
C0ql0OyQ34gnjbC0LwhDNY6DDrdvdcZ4uT5J/mXyj4b8lcTtS2gGgarUkIT2QeRTMluI0IQ1bHW2
1k+zJok7GnKGTQsoJIWK6AS4uSc0fyvpg8pWHkHy4iX4d/X4WwkER6YxRrCCcRU4pkomGT+mNyWb
0LB6YALyQjCVIfLYwp0k+rJyE8Y7ZAkj9ppa70r5apgT/vLZj3uK1qKa3edWBiAWt5Bf4fmO1uH6
HiybyBnyDIA2IIA6HuOTyJCupIFhzGZbF4K7IWodozYOoQTAKSADe1RWvUEEcthoOJllfdLgq66F
0C6D2J+szinaNZCAi1jZUStOBsTZ7ClSq0E2MaBcn7xiLG1JRPOLddtEsm0JJSiFd4340CNWbMQr
T+UF1Z9pRAD8jvVAQR+nJiCxEwBBC0ORtxEIk4U9sJjdNi1XgihLU4QcRGqQ9EHW51iHdLLmQkMB
/WjgQhg0AdASYdSTZATOQzYCVRyId4KH/xYtMcHMy17jhs3o2JG8M9e6pi7SmVhsFBshNSPOjDCg
Mzk3M6mC2skog5lJ6uYXOnEd9H+9Kq3uyAOCVYX2FIT91hTprSUiRqlGB72X7mNV9bSOrlQVLq0K
lHAmiMejQUGC6nwsBfpX0zLFIU2o3NzLyQgHu2i/FAvFDvgFOhqqLH4NwyTfAbILdWe9eG9G4Hpb
ORHznDnTC5o86MHsfKEWi1NAVFRJgRpJGmmHMnMj06ocWanFWykoInSnhGgGyPveRm3JU5RmQKMC
JpVNY03G1rEMNSDB48qIFi6Ds13ivC0GXFikEaGXrAVfseZ39VbU98VkECu8R5FrLWY3hnbLshXj
sHgeTrRj/v2JngaV0lh5Au2I22SLEg8vnnK3aLOVYzcPn1twTZNnNYThBB8it+CIeOhSPE+PJje6
FNpWu9Ihs6RaZxK4m0bqVJBb5phIZt2FxtugbJtsQ9HsNByy4kbP9qp8C97blW2bI7zX5sWZkwCs
R5FqYl6a8SJNqKQK/FS8EfKHOv5JW1+IPVH9r522xwMN4gpQ/YIl9aJ1RWsRXtBHzFTVYTECdZMJ
6CDNrZXowsI1p838GP9PDLegtVhHozGLGUKQY/V+RN0gd5XhsVAAh8ZWwj9Hg3ixkifiuJXEc0hu
hRKmgRYPUuYJyR4smXH4J0WFVKW4WQ6fwS7ybwBHk6xf8cUWT8G/wg0eEShNslRqU1xIShO5vSXe
o+tg36Xm/3LYTsTMRuDksE0piq+02fyV2mPTAqnvfVozJIsH7UQE51QWaFUV2YBdo4DXEvvK7oQV
U7W2Vtx9QotW1OoAEliEXr4BUYAhvLGKtaTAbBF4fdDBfSXJgFCVAUB+vlaoqxEyIJPDo68VN64S
VI7tpaolQgxeOHHFTT2GijhpZxcTZwZD1Sy1JsHOVNJNN/5okbzJ201VoAw3SeCa3IsTKqIHeGsG
OEcMXzQa3xyeLLZh2rel3onKd2F8C4qjyg9WmztNUThqvxOMXya69mgrr9xgC6tzNl5udRB6w7u3
wHhRJYeSLL0V8eph3ZZmNXCrxa4kYZuscXvOR/DaInEWIcxkMwZ/KEzs5OYIrfXIgNdxDpoCarNE
JUhRmygGWzGxCzcjrBySl3OUT0ZFwbkiqMWg5PoARUBBAWluEiSiOsEGKoZ5lxr3+Vj/qHr2WOvC
dkXwfFQupvtXMJ/dCzslTbHK8+v2mfUfkvwTWoAvMp+Letsm1BamQ2nsKlQZMm3F9i6csTP/hFtp
YFo2CGxCtA780qz76Cdqd2u1OxcVhrhIzqTwK6vrKG8ZISWBRUf+zY/H1wJIqSMiiOav2gQITk4Q
OzUKlESL9kQjZ8oTBOOeygRkGCgQbt9lCxHUFKxX7yurv7ztSAXAUQeUIE/h1uR5mZUjXLSCvQzj
LlW2SgqAvdoZpk04fjfBLlNtmq9s+lJYDmvyV+ysFCcmmk4Tit1yvOh6C0FG6lI4hHEauy3wjevG
QQbOLoJfXeJLUU2KdI83PACYczKGfio8ZjJ6kpD4A7JchJjZrlkb37zxFzppzriKeLvDOvLnPlGM
KhKwKrraO8kYE4ouMos9BMa2oR/j9LiyC2vyOEUUijAt4gbLkcQoBJZvpLgnkeSV5TYVbuLypTOf
NG3f9ptoALmGCiw7SpLwTzKg6uugl2sJ3KUA2EwM/+/8OZXVJ3AJdsm8Pdp7zqZtnU4omkL2P36R
BZuy1xGwtCx9rkaMyF1ZjAVn71Q4X/oDXGxtkEC6g2hriyv8Ng1KTw/2ARJiQFrRym8r+gLr8f8k
FVD3JtB3UaPJOQ0CLqHaaBUN7BsfVioSLX8P59q66kU3t9WAGlHjSVCFlcnyGw+SV9D6AP0WLzVk
lHkk+E7szb4STIMAFktLRhSL3YbarSK91t1jsYogxXstMhCGRGQnLR3NmHgyc9cvMHilbhKKyH73
fnvbPw9f7t1T6Kxl5S6LSWYgo/kusQwFDecat5ShUCosmrLYftXI3vMIuSW+T2x3s+LMWnwwap4P
yhPxxAf8O8jE5vmeWBE5kNNCRiG57eydvfe+/+fD8/benkAs/uDD/b9f+MEnW4I/3vHrn1+6xM3J
7a3tbA6Hzc9h4+wOr4fX79fNinrNJ+bUomCoILzQZ/4L2FnQCpwPNataTQ0KFs8UfLbnebF9/NhE
K/f4ZUX5LEgBtxbqsNB5xKNgin2R0WzE4js7x/EcD5N2yYoft7TDINVAiFxVUCQDLuHz2dSKlWVV
XMU2Jbvd687Zf3r+25dK3tyVLb54bx7X7UQSZxnFPJQCK4Kk3X6PbbPdtaksbQwSrEAenunbTN4B
jgurSJoYQZDd3nHe994f4kMd7M3KE1blfY15IqdyuIlIXVZEtICc/efn7+fn55BM5HkgjxMp7Ak/
428Q7d669ubpp7Sffp56Mn/+AKN17g4byeG6Sh5Tx7xKIq8L4BgTtBCwqtwmgtYJZJQSNGU+Ltv7
LZaX2A7mvrHtlelfNroep/9XGBeS6o1cHLRqFuZA+4n36ONkQpKzcVZEHdmtLuaFMnAwNsHGoUT1
fF4iGlDG1mpmUfv5BHjb+djPhgDTw/yc+c//spYnMjl/JrTowMCaB5nA2iT4BuILfH/FbCkYWP/4
b/7D7cPtrbuyiRdB56NanQjmnoms6uRIpBAMC1gQz3v2P+y7NaOyeN6lEynq+ZIaoSSXdTxPz9kj
VAYL+uBDU1/W1OTC8eCnw+mkHqe1JB4FvTve1id3axKOcdgL7dBVFe4ugJ4v0D2VpMjRR/TPTu0M
8t55zHU8/+GrdL+OptLezGdg5aWxfPxPxHLHnypBlk0SxM76Qck7s99fG7fHdTCCGLVxOwcdkt4j
wU2JPhx8pvjxDQUHdguooRQ9kjk+sf4rF9OxNfHaenAXk5lH/SSr/2ztfI06++M3HJz58Mw3Kq7R
+bDO3/AdH7f45/Ew4Tjhw5mP8fXzpM/n5cqoNK7kU6iCiolnozqOzXP+ub3nUcxjwR/cCPPH2giU
WaX5EYAKGHU/MhIYaGo/V/miQKRYrVHgMguGR3H8gIl8JG+Y/Z19M5tJ5+CtOTUXPg1CgSAVQ0W/
ORdRK9wJUOomUjoTcjsG+gCmI2FqMWJRzVXScOXdYcym8GySnDDOKrdJLiSRqeDyK8h9SEKCZ7Dd
kT/4aSIDvoez5+ZivgTT9m8f7Mfto791XUz/5+fwjWXZerBzu9fDbnNwDq+vu8OGkZ/Q6cn3Wq8a
H4yZ/eN5UeDfaMiD87jzGu2zHKkmasu5CAiTYqQFesglBQ0q1RCApGYypngb1nm6YmQXtgTIZ+Ag
QXYH2SR+S8xAqMZJ7ak9oBuC4NXEHOT/37VRS25oXksrLtxsCrhNAR4EQDBQggwzdfR6T7xaiyoK
rTvMU2kRf0GTqer3JmjTwftZu4a1kiy68H8QeD6VxrlyhZVTTatFTG566MFTY93p+u2Q+zEKvdob
pFevn+yLEkns4pk8zhBWgq4lTIC83CLTe/DTEGUz/U5/h9timzyWpPbp8+j0v7UVk3Lhf0EuqD8A
lg7UftS4c+dZV6q0DgqL2mV5iPtfYYK05Fq4cEXGsZzsZOeYTKWs7yCjouhoRgZSZpseiZ7rS7ik
jicz4V+qMhL7vV5BSpYqz3KvuKx1xK4Hi7Ky4n0v6IYB0m7An4IRARyV3LWvW1WaGXkOLpyEOjnz
qLHLOy9FaVSYiS4DkX3frOjHwuTORHLmTwt6dAaH6O2w6sGL298NwDR7BT3Wv68v4qWnIYtngjjT
NzOwxQbypPaogW42R8y57A1HN8CY2oYJeuosx2h/KxP1+z53E2Atp8p/DrriMJwNgjt8Ku2ACDwv
cJMFJJV9tc+Iav6ZtK9K/z1G+3ZgNlX9hq24IwsmBnJR3KiBaQilndwqm8oYgSUKciMp2YRocbcK
0NAnT63pJPrvpFs5ewuW+0wct9bghxV0QYW4MJre8rFyO1VHIQeAMDRApknWz/W9XdQh5NRwb6M1
E53q51c33MfEAlo2CrSY6YwVEAjuJhH1oms1jIvTmjtEwF4DbGC++CCKJ+C8xpBTZU/zoegAFCaF
jlntzWbFSi+KslS0n+FLhlNyPqWyziIwpVZgZxMlWww3iuBk4IYNfsXKw/XFW1INoDBpyPLqoErm
U8jonB1aeB5ormrdVkNF5KGj96IOdAjptmlXTvuCwTROhXGXgRTTEq2tEJZ3Te53CQrtBFNttzJT
1vAW10Rx9p/SqVIzCaKU/s4Yv1LhAUxpK3q+pHgo/VfBvyChTs/kdklqzEwsEihEiV4wiiYlNAGS
UhaI9T/N5kTS7D+f3DQIE1tztx1OVItcHQgepOCu6z6uq8KS+T+dDneOkqpTxSKHkBkqplIeG3Sm
S5ovSc/ZWJFmuK8q97rExQUEIDTaIwG+dVFqjssGjZ8j6LmH6E4tvFLcxumzvNaCuaDi6HxA2RAK
lEArx6v4UFbjWILlDVgoP7LhdrVTatuuqIlofHXBf24YBILYHAVVUIiD5iG+UUluhqKZZirVTOtQ
rit4gMt8VkH1YAnFLgv1NfdxvpQ599FENBS+KshozAtc5UmqB6YoWMNJ1EGpBjCHtaLqhaMEhGmA
KaOhdK51426tvGnSEagFuD2EzzK8y8YBPAQrrseaDM4yqGksAiQcMiakI3PzkxrCrWQO3n/Wt7OZ
cEahj6mmhCU0oQYKq4LW1WobK08Siov/f+RofOEDMF3hl06Yjah24H+5j+ItS0p71bvWljYfZQka
GqDALYvav3O7AKYNtVJq8DhPNYARCatH8JZEIC12AmmIIwes1VHhZqyy3ACNM9uoH/otoPfg9cRK
vlFjZgHyUkfNom6CGYTGQuNPETgtII39yUUgpZA6qvIHs7WCzKV1Iqa7eJjAWp6NNOjdFqfO2LBc
SUXbLBrFpWkpgxRsGt6CfhI/khANpVZcjp9DmBrBIe/Rb0lUsE8/9qIR+mYq6d9BTKcHI5WR5xPM
LvfLssx7oqORMLGnoWaBXwet0d1aNRUqD2gaEpC1mGG+Av5VfhPqSlHQhVJEH+VoSkDTCAMwDJqt
3G2CUs69PgGB8IrpX7IpIKJFzx7oycC9yZn+qcSNkEmg9A3y1mk1v4YnV6qbobotVQAePV7Xp6XT
cSqNM/9hwuIxkSHNqHoCPDkigOzKtPqV63nBHKN87++kOG1q6ATNGSFGQlNEhj7/x459VavVXfPa
8BYLORxQLsNdm8soz5W2DgDPpKC7Bni1X6XiyJmvqPc0Smyl3AmJbxT3VvWg64fra3iZWoBhPhU7
z/7kDu3bKEzhGqd2p3x3KCEtsse0ActP52paR0T1vhFcxMUEtl0RvLB7SM/MXCqwzlAXbr5AaWgF
S20zmxnxl1p8Tt3gadoh7F7Qdnyjh6NrwjcOqbYd2ruJagdQSG+nqLgZFcO/PpYFv/JsKNwatLWZ
Cq2Eoai9BBTHQnMErXRUpQXGekG3crFWobjgU2DiuJxm5kIwU3AWN9CDPFazPrPTAlBfaeGaJkAW
tSy4Y0LxEzK2acbmqVTN7+sTvQxhI9WKl85MfgSxl6zUoWY0g4VeEX180UrRi6Ts1epzNK6lT1YD
MFxTBFVQByamGgUZw0OMVppWi59a+UllyT6QngejBNL+Gsnm5Q7AVRTNmTQemgCC0nMt1DQW5+DR
yoF6VPrN8EvIABli6l4cAW84HVZO9KI0kOmiYxobcIGTo5lGEtEahEvtUIAVxkA0C6RkYwEWIUD/
rp3si+YmGSVlsgmMElCBW4ihcbs9ZUGhmjEqe73kKduXCOdvdoed82M5m37lir3MMCEyeKJZfB0R
kBJoD+QoxC+LaRuIKZFCMzPsVlDbvagDMNUuc5rskqkxihsaCQGIU9IYcdayiX6CURHBWUZ1yTZY
1j2I8phsksyUCqKig0RGsQ6g7iKqDa9dOPYySdSouon6TrsZRTF9EBM4W3lYrDzGlmwUPHBENQFo
jiz3Mf1zYqOScGpABg/4aUkAyV9gsr1oNhrMvvqB1Cx165o+m2X4oKX+VFGFSAP7uX5wLu6AOZWM
3k984HKD23yun8EUTpkRoVEuQqdZEHpWjwqUwanWgNsvPJejHIDVImmNnD4f3UUsHG0JMeTU5XOq
ZHa9Bu5/YXU5AdxB09FWP2XFLGB4gl5I0mG1dGVtDpy6t9qoJLSFCDMCnCULAIkurqj5iogLpEkp
gfGcl6mJdKKGr6K1vb7fy8sE4AuAMcm4oLgbIRhk4LlbsApm0hAUqtf1o6z/d/fFAuk0gulo2UDF
DedXqJExCUosZnhAZG+KEvlWY7zq0lr/wYXqzhbhGLtEtA5PSt4n65NB1ypYhBHAIbrsdYAMYZGf
AY/2+potXC7ISsCaymgOFy0AMp0fkkbqAaNljiBBlz8GBGjU965wasnJpptOfEFvFNoDo2ijAMUu
DQdUcN6n8TYKN2AFkPHvro/mYgfh5R+zVuh0gO+mc4oupskkwCbBhUfKoIg2bMzt1Ytkwdxi5+B4
oLcH1XiyPivqiWUS0Es7DmBanasH7lHP8Pw8p/SRF3oaCapaNv89L4bqCaAliQC8gknk7RCLOkMZ
KnhrIcDIpNgZNLBXvA5rDQ4X5wtuwqkYTv3xqlKAoAUxGSrtevUODPMr27NwBc+9MOC2QW8Oim3n
358snJaOsZRpkFAozB3FF/BH0Dz10wl1/ytneWkyCmw2CnXg9eA4n4vS9SmAKsDnASNQ+9DmcXPb
t6vgUguXFLJjAFcz4NEiScBfUmYeKGotVuBIyK0QgSK01sTGdA+WDoJGH7ecUDU9/h66zEubr6DS
nq7r+0WXPpC0zuRzewbIeq0DkVRmt5XldVVHqhHwiYoU3U3BT93E3iioSGjimT+shZqXNhPgM3Bl
4U/hfuZWuCgCCYziDbxKVOzG3V7OnPnhEgy7iU4rinNpzjDNv7KOlV8nihP3SBcCyTizlam12Vwh
O+yUeGeupegW56ShVAfczUCc4MPn6CFCCkbHmyBDbFESCwLWdzbepe1nLvgrW3f59MOcTmRxVmTo
1AbQxJCFmBLey39ECe/ljR4Utmr8npCHiUGkpnjd8Hxd8MIcESGxQE+tIAaLAZyfDNkyQSusFrnd
Zz9hLhAwQSIaSMTkxrAS93+Qhegf1APB7svK0r7O8oSVuW3JDZFUX5Z9sQR6R8NIu4aKtKAjAFBE
uQLcRdlCOdv5vEoguMrhWEFW4+vSfgKcYjNIZGIr6yctmJYzQdyZK5Wx1tMBgli2o9F+Kv1B+ZZN
d0As3wBtZ75DalCUX4tiazYuW2OHms/VecgAaJEq0Adx66I/iw/h5pqVhngo5nag9Y4AEKM21u0e
HqpkPOVNaQPFgWoryrq4ticyuXtVgTWVs/9D2pf1No4szf4iAmRxKfK1uEiyZNlu7/1CtN1t7vtW
5K+/QeM7p6USj4iZi3noAQwoWVtWVmZkhAabk5Z6VuwpGWSh1Bu9NVcO+trgBKdSAisalxzEZqoa
M3SmYVAj65JPBfK1rdbbkexF5vv1TTp//JUJ1QTADSi2RjCdYnA5RSr8pm2cSfs5NRoScDaP690/
t3b66J2P54krG7nc16j2IClXRK46VmBnP0hIwCcV96puYLxcI0MHsOVihPNbFC8ppEVB5qMKyzcl
LXi0OqhkSCBTGDZ9WvpvU9B03DOKmpreAL5aNPqVkiVtxiS19ujORsd+UofKiwK0q2dCfwRKGz5U
QCCuZH7lhUI+ulryb6TICHZjOlKPZzR6MoOhdHlTpFCHmia+oXlV3suSaeyNkWhv+VDVm8IqtYTp
ben7dqGP8s+It9FPQ4kpIMKlZLwig5/Pfe85kRnhvOqdKk3qEcw7Zq9ujEHSHock7qy7xMqL2IEE
TQvlHso5yBbUvux3VpCBziRLYvONdKaUo8Oc9LULytqpA54+s/5Azd0Ytm2gBxCq9yVNda1RVvim
TuSY2mOD1LldKw3K33lfgTY1qNDRvZOo1ps/ZjZJ8PhHCuc7zc8gQRr1TZbcyFRKMX1dAKG+TOWb
ONSs9s6P0qDdGWkVbFvLGGHC4tl7CBKNO/TclBrYHBuqe7kJhtuJmKOP/h8JJXe0pvS3mW76Mbj/
gjSx0yzldJOpmu/6pA5DOx8CeoiLihY28h3IW3O/R6iv42JJbCvVxt/tJOsorpfGqG/KHoqJ9+Hg
gxJ9jOV2cDSQyIPaUBrTx2KwjDtCSh65PC+SWzJKPlinw5SDFaaypJ4ZkZa/96oelTe1VQ66PU6T
4jXNqH4gh2aYDymIJmqvDWN8sN40ratNMiFenMrINLVJWN7RScu7p6ngRWdnVplXrkUzq9m1ZSt/
yEo3bmQ/BPWRDiUeJLHrmEKVPq7N91ALKAg00EW+kadmRAkYMPBnVHuiyo6zon3ohxJtO11hRE9W
S4FKokTKP4dSH373oVG9FeMg32pIeWwrPaB7EMplEuuCnoIq3+pNkMXKxrSzoPX4lFhN9sPifdU5
A1ASjpqF1V7rgjhAkw4lj2WaQYOvIuPktmOhx6wZguSlUOrqvi6gn8N8a2i2ZtybMmuCGLSR+dT7
v/Qs4p9FJTWmjfr8BBbHQgZ5BK0zyAVzy6jcLkbfDcrpig8WizH/lU1xsjViSX2plM7SndT0iz/I
FzeaDTE79OWGRTZBiWugv4JQJxMUcPziIar1clObOqlcJaT0rkKnEUiNEnmKWR9ZyOmAeh8aXjmE
rZHnVP34lykppEMNAVsTuxsePTG6fPAGPeQxq5Uov02z1h9A+JUOoPWXA1QMDTwTbiWejLKX48h+
GKOSBCzJeqVcydpdOGekLlTdVPHKwisWr7pzd+kPZOi7TpHQE2ZLjT33i4UGAf3lrRk/IF163Tlf
XO2zNQgSAhYOL3kR/4WRnjepD2uS9avJoFGg/bxu4DtSPbtsBAvzF5y4fz/U2qqIURc3NtNntE13
3rT9o26km/Ilsj96ltizkiaSlF64wjV9cbV+J4H+ZrPmS+LEcg83E1Up0ic5ZIRQI+3bY1O8xGPM
ZsKrrNmWw1rGZs2ksHhpNiBNSJBQCcafKdA24CIpcCBSr1R+9aZuW/7K5Xrx/hfGKMwu6aa2z1Ev
habj0SSeSqCmEa3EQhd95GQ2gr4BZBlNGYzkQqA5GKEhGT2MGM9k89Y7yUu6G4YNSP92+abZVtvr
W0a5CL4Ee0K8WeV6J5MS9npPeVTe+jdi/0hsv3HI/WE4kAN15A11VoxehAyCUSFM0Vr0YprGnAsD
/VtQ6TaohSdr33d2rFFmQIZVqlkFndCkceRqZYqXjuFMa4JuNEjYoZvhfKsqQWIkYJCRGPVvq+zO
bFYq7Msz+vf3hXgo6Ps+7jL8vjQatqb2LrSY5Ok2XQNero1jPh8nR64y1EAf5+1Y1CnLlK0vr6GI
/sfm+O9QxI7BWgMbEOIAiSHpRQPnZ/QwHfrtZwOEwle+B3jegxjKc7Uygatmhaxf5FvRxAeYtYg9
/njIvmQbIQvC8/3w/jo62e4ZooP6yuPgO6UgOk+gY3APoMtOBW7gfD47GehZ1NslNoGx4Ub/JJtx
Y95WX63zdB+nbLwLcRYCp2bxs7xfo3C9zLXMR+LEuuBAK6sBjsrHkQAzwQSFtBf0KtSM+660Ia/h
yhG4BAt/W9O/E3JAvYk4RfBsQxRwdtfxofqqXgjQ6ene2Ckb0GO88ZuaAXu3T9CsuXby5+eOOMkU
OHwKNDeyO6J7M+OJTwPHMDnIcgzdKVGPjY+1aqvjrtSd2D9WaxiRxcGiDwtOFf1uSKcJLrUBsV1X
ShhsBgkpV3ZziKJs8r3+I2XDYfRMz3oYtoio3TU81JInODUs+FYDjUtVj8AdXIhHMByMypOmQ2lb
X/HhS47g1Izg0LCWCD4JzMjknQKubPR/rvvrxbji1ILg0iTq+8TXYAFp6YqRm9LT7lvGgkMTOAYz
2XOzzTcP6k6/XzsXC1OItk6ga6CNjqySKJVBeBmCG3CUWNU8KyhqVyDz3nHr5foAF252WMFlMMPJ
LjWj1TgDr0kNxpFUc3MUIcM6AcQnXIk2F9YJGaSZxR8pahAhCw4bvRVU7XKOQ2c9W/RBDlewrN8N
eGeHC+locGTpBiqbYCG2hIioVyq9QeAe2nvumHawte5UZm5ix/cq1nrRPnHbffagQTQN3U/29HI/
bPSjgagQ9F33zR18zd53teNx2uR2sSMscJ7XCPUuZlr4xHmOTi6tcGbgGPI0tDXpmAz7xHBV/58e
B5jAGs7dCDL+Ext1+wCEj/WQh3jJHOT0h6au/P58nMRZBr88FDpRA0JztDDLUi8HUTag2btVv5T6
cWhvhhAPFSeMVgxd7P15ICeGhLkKLB/nIihBBVpMDFptEf2ppa5cr2zLC0JAAjvfsRC6mykwtoL/
SCfkiNWiw4Ac44Uz6paHxFWPP0t0zqH2sGkP0Q2o1XYhi4/6Q/rD2mUOIoCN9FS4a6iNizMCmjc0
kwD5DUA2Cn/Ct6hZLmd1PoQ26ErayOn6NRTnwqSeGRBcWdbGijFGMKDTu8n3wmxXAsW+BvBa2CMo
wWLvoX8elOm6cNQTHy9tvZ2tVLcpZNlysm37wgY7Hl+7UhdO1KkpQ0wwcqtQFQ5T6DPSik3X3PTm
SkC2NBq8XFVkhQk6msVLOy1CbehaFYuifWolM/O931RsxvQkK1t+aflPLc2rd+IecmIgqWTAUgGO
5jgHGkRbC/Mu3h7YYacmhB1m5WBlKkoN8+VRwqKGERdZMbcJNiNhEvzm9Pv65XL5pBMsClsusIAD
TTks1pIXvUiQH7crO98Hhwqhlvapm/ZaA8VlFUEwKew/sBzhitBgsrvJpdsS9XP7j2VzW36LMlsf
mZI5kjNurg90YSeibID9DuQ3UHhiJbkdoMqkNXpoZ8imJM+a4cb1Cm7nsrdek2Fj1iDAVtThtc43
iCoZU59zI7SRtj0GjDLzht5lPzhDdteLvwwHYpZ2y5JDfvxS3YEdAQ1m5jFjvwYWfFwf7+WLQfgY
YbdCCrLR24KGaDVGWpKB00kbWetMB80OP1rX93LGK7twfJswo2D+yn2/4MrO5kLYyQAS+2brYy5S
9Q/6J5E6Y1X8o2jWYOmXkARhnMIGjpOCVM0EQ6Orsow1x9ojbvpU2NmPdqtsp81zb2teylRXc9qj
tbFuui0qZSucpIvDVSHviVcSInkq3LumOVgFLS3UGSQnVu0Yoad5NzUr/mHBAwE6gB4JlDIIyBsE
K12kksiYwCcCDmVFeoqy55VNs+BMzwzMH3Di4uoAiKyohYH2s4GTA1XnLtoHrrkLP6ajfKdvAhvE
1661U3YrlpfO5+nQLs4OFE2rHpYbt0hZ/6Z9dZvprgEhkq3fSj+rQxPhXl+L4NcmVDgkPelyaCDB
apl4TXbfll/Xh3W5LYDhA84TexSwj4twLwoHS23qAMj8mLRby2+Pc1HE6/3SZ6bUmt51c5eTiIzx
DDLGBpwpWoQsQZ/FtWVW6N3x8/sJCJPqoVtLbC74FdgADwwiefW7K+18i9C2kspeRpbF+Mnv0EBR
bXoPIXy/DTbUslFBdN3BGVlsZ85aOW/ZNt5CAJVqFLqIws0Buj+uRCYyuMk27hh/zD0wP9vgX7fD
1pbsyrH+TIY93QYen1izX+U4Wpzfv/bFlJMcR6WqcdjvbP+B7owat6XpTHaxGdzdNMtMK/bj9SW9
TBAgHw8413/GLKLMIo6EXajNWa2CxTtkHW/om1SwD/Qbf3IM3gld7vqv5e1aguCyWXaGgcChoRtd
A0ekmIssSdGV5hhAtTR6pb4tR7uq3/IAqi64x6T7vkucCuR1Bnjym5Xb+vJRj1HjtgY/FiIeXNiC
O5DHHgWgKQTZ20GFenrmQu3ExQWGhDpTN/FX8ERve6hmMerwz87u1ljcF+7y8w8QPENkGZnqU3wA
qDs8aTuhCe5gfrWHt9+mN95wJ9jzPRrJXLTbFCzfJ08a4MG2fHNsocboM2B1Vnz/ois5mRHhQsVT
jE9WHCHHMbpGU4AWwIsQsQfSyovr8goAZJ6SmRISwTRq5+fnu0knyBp0Pghs+J0C8cCm8obyviON
Vw6/ru/t+bieP1ZhCqTpBmChaDgRRdeSSgegWoMpSC9YDwnIgh6GtNlPY1JvoREc2WQcPtRm5PsE
NcTrti89P3wInpYUemKgQDSEDQY5bC7VJqYT4tu2T3O3UVZGNwce4uigVAYjM1k52hDOJzKIKyPN
jRiQP71zqYQQjLZ76Je9tnS0e6C5KCq+/2JQKN/h4CIAxdDOTcYqZNzLFvnwqLqPzZK1a50ji+dy
LhD+x4JwLNJ0KiGsAguhCr+LFlTMXusMvyao3LeZW7PRi9lL8oScdGD/loHpWBni0p4BiAtB0HwD
aN+UOycRCvigpQTtOyjiRYhm53BauwvuQZy44oEWXinYICeGhJFWWpymJIIh/TE9AGIAFUKA1fbR
LrNfySfxTIutKQB9YyYvtsyJTeHsJVk+6Y0Bm2gje5JvZFt77zCff8y7yK5BC5Z9rElNLU0nUhky
upJmlkBxx/SUZPE3IYJegfM6BvWsw617NCNBZLFoB9T0netb9BI3OpPlk+/0lAWmOjGJoku8zmgC
XUepb9hIEcrey9SJetCrNE5YOJ1eerR9gQqxe93yvPnPJlcwLDwUSFfJkg7tdbvtNiTe8/QPD9eQ
eBdnXrAhBCitOhZADcGGRdgwvQ3ZLps2Jqi9a0q8yVh5dFws3rm178N6chb0sY66nsNaZrpS50ad
I+e/JT/eTQRNx9aeryE3L1htUac4Xbzvv59YLM1SiqIai5fugJIhNxmOxKHdW27KotsGW7VR7R+j
95xu+puBQTxsZfdceG3BPjl3cLo1+WGZYMRS0roB8Edt7l3fJRfX37cFwCgJaCSQbhe8dt9JSP4R
SK+axUsX7qi1b6uXMHWpujKUNUPzUE+mUucgH81mjddy9ELIJvFjDsqvwemMfxw5CEMSbgWjH7Lw
WyZdLj4LdNRSdDxTSOiu0Issrw1aSECpCMImMVM7xuBbTI1Z2xT6TJmJW32tW2j5dP21IJzgUQ7J
ZBrYfZMSszGC0nZU4O7WDn2B6kigO81AV1Ar3xwbl17jr03hRJt6GFqVDJtRXr0mhBYQLQJ+S7bS
bEubUlOhIZGBtjaKk/E96jTA7pus2huoXw4sjyT1A9CM5rPjUM2ucXsd5IGXP7U2TH/0UqxBPBfP
OHTx9tE2Q9uXE5dG7VRda36lg+y/dKM8fgCTi4JBxTWA/MLIh7J4RXYhKdNPs7SSW9oH/S3UBIJd
JBv8JW7b26ad9TTGQkPPlqVGn705ljszsfTtRBvtTyhXsU2GJKtsQ9LdWOWPckmzDSKyR8RF1lYr
iO7WUnRfWNEa9/fixlfBQIMnJAivdOFihSY1rTsC/q5AedcqNkoRoyrTkgOnKx7/sm497/wTU8J9
atSDZUozUBisTztDAtm8uS2td0mLbYUCwVyi4ddNjZUIesktI6tOLCjVaqgXCNsUUNZYymeR35FD
ea5JvTFHd2fR7Wo934QQxRqzxmla+fWfey4T3NUqGgdBvCMLnivve9qNM5bSb3DC6UOvxwkzy+Yj
hkCkrKx1tCxdp6fmBP/lh1SXZA5ziTxH7W5jPsftWkS0dOJPjQiui9amNRU9jATFn7xgUeL06UMF
mGNa7IlvrLjkyxcvpg3UPnjtIsMw0+Gc++QonYaSQ1HNNhLoivq/BpOVteWokLAcnjpJZU3LLBDz
W2PLfOXj+votTigkhGbrSBeJpbtU0srYLFpwTpPfaNm1I+jFVivubHE+T2wIi1ZlulonvMaihSgv
TJshIA6NETa8k+63tgY2Wh4R9LSRMIJWs9j2bapJEegDTnquqkwOqat9cL1YCYKWrh3wTv/HiNgB
nAzgK5Zm3eSqaF7CHHji2nL/zcr8NSGk1YxykvJOwjiaMoKgEer9Y2sb/e/rVpb8IhLIIEPV52yh
uPkstbWiCDpSdq+8tOA7NGJsgdiBeAaj/Zpy1eJGODEmOGG1VSdSJDBm9Y++ca9A6nPQP8y0cHS6
C9sVMcOljQCHb0GOT1bBzitMoN/lJfWVrrFVUm4CCpQS1908WTlA8zeLV/WpFSE4hC68XugNDlBh
Hf2kRaCzSQjQUStm/scL5r8hgbjjRn+itdEgJMgDVyo3yMuwLO5sXX2rZGZJh6l4pqNr9WvOcGkW
5+jq/wIskWgqH0PAlcFbbef+hJ5vCQLIhp2sIZLWrAizKNE0hw45bi/kmcBTAK1EL/T/XN/qy1OI
tOYsSg1fJhZtg8rSknyEkS5+DKaNPDxP+gaELug132SRJzUfdfgMOYTrZpc2PYg8/2tV2PSaBBn3
msOq3/yKqpdIiR2t30v9Tk0eEz1bsbY4kSfWhOAjpZGugdQTbxXpPVI/NXRlTasRznxyxD1/OqR5
yCeviJEXceBbMBKXD353R6wjR+9eB9aQ0GkCZGcLe4COcvmPs4RCZDUP/sRuGVpIBbWIrGjtbybO
7SwKj90QHGs6/qJN5l1fuaWQ6vRoC7FNN/Bp1CYcbfQBb1NwozZ9x2rV9MoEkhTQxcn5naz8Y741
DPLUqnBbWokfgPhgtkrere6LtDfEero+sDWfJcxjRFEfIgpMdC0HjNMaQ1aaaCfPtX2j/Lhua2lD
4hIGCwg4ySD3LmzInKKbodf6xh7gfWXFvBk0/b2O1pKQi0NC9en7ygciQzBTtkU8Kh3M6Hiv2dy0
7rtS+1KDYpNxvrk+pPm3hO2PPDWZ7xWcJUtET9ZxpFV5Ute2bm7vSF3aQ39UozVKgYUQ48yK4Dfy
USugZ9jUdlpvy6ll9VpYtrC9YQCaM3OfO0ELz/lpGgH6AY8WDOjAlCMhxyYFHbDoGKoheuxLn2GD
wrbpr7RFLLhDdPOjYVQBBZMli/Udyw+B0q7b2q7mLiw05XBDe6DglYrzQ3so9fjh+mItbIwze6Kv
CnQFrMqwJ/We2rG4KbZptpuaZGVcl6lb9LCcDkx4s+ehYaRNCENKtUP3nk7s1tgkjZtYL+C2IFAU
SpMtjzf6hGbcDgB4ba1re+GonX6BWCjEw0gfSoIvGMfbFNrqxNwm+fb6dC69bs+MCFFVFnR4Hc3r
l0ij64MuRostFvHm0EDyNqGx28GbhMrwWODJs3K5/Q/jYIEAWJuAmVs4Ewlot8GI09W2imBEL6CS
bnpp9Jprjw2qk5BMAnCfxdKK2cWDMpN7/J9VwbdIZUpAGNfX4OvxQLqaExuPQw9dGEHByizxkrUi
6PJC/jUo7NnBV/NMmjDMurmtzDuL2xVfecAsTiVqDajZg27ZQl1DOP0a9UvwEWK7Antx5FbI0Vcy
otdRUTNk4/OSoZ0dbPAhiZmuTaCc1Qp1JWex4OLmhwdU4IB9B+OQ8A0NhRcFZLAB1az02ywrJ2hA
h3Z9wy7ZAJwTirAo3aOmLOzXLumbdrQMRJYlNPSUUfd0utYivrReUKkExycETkA5Pv/9JC7JjHaU
kmGqwUoxIpgkNpmOYfHr+kCWbp1TI8Lel1Jwf079WNt5Fdg8eQOHs+w7FrWHenPd0mX1f+ZMOxmP
sC6tbNW1n2I8BncDw+agMddfw/KRtxuLQyWwdNPkNkw/VHkzgXYcZSqVRZFD6Pv1D1ny3affIZyD
NjJlEyB0+G70BpbqSy6PDmJPoMX/MZHNPGJ0O+IFTMCtI6ZBEohM6WFFMGIVrbagO4b2WFl414dz
2cUjWJn36sk+Ca0yTLUUVmI9c5TG4eOHKYO2Zx9WG1/f9zTzfHKIkluF2rx715Mvf/powpXPmGdN
DF9Oxyrs1rGU5aHtFDjRyKUjlrOwO9Th2hB9ZjXyr2s9U4unAxJdaDXRFANwtfNRQ6LKTyUKe9Nk
lU7a6ChOUfJLb/W1V+SlksY8wXjcoe49CwyKLDRpXIVJGWKC0THkVC53IDbKRkhHJUeo2O1QTQWk
I7rpYpZ+1dvRiw7x65/Sze7IMXKUDS7lVxSZD/J2DX66PAf//TBRYR45YahKDviwynxM/JCp0y5R
V/IdSw4CRCMgSpp7NsCqfT7PkwpagTRXazurXyoZPiLetuONPrkKWVPtW3CqUHH9a0rwRdFoKXxS
MZy2cWUUXRKyVtNcsyC4IIiYpUMywUKRjaxRwHG9VgpbvAFPByF4l5jzLNJ6mIjinV7vQ80dsl+h
vI01t5Nu/Oag8JVi1dIuAA8/ipmgNTOR8T1foa7OszFW5l2gebLpVtHBWjNxiZXAEQBGE9k8oEzo
JYmeFuIFFGMXACR303jNxrKc5jPaoEuw80qWAXrrM5RRM8qabeFKK3HFkss+NS/sDKnIwDo1DzEq
a1uGn0aET7WbaPo3dvBmAc01oGIXxPumMcjQUsMwR34XGY4WfxjFnU4er3vsxQU7sSI4bJlIA/oZ
YCWOZWZIWyMo7aZb8ceXaHgsGTg5VUDO0KeE/z/fFgNJO9oXqDdYZnaU5E2N/nDzxQ9euomperFP
rPsM9jW05aWutXbSlsyj/wqpbDSUfTeanJtPRyMIlWJsbMLvGoiQcvpAw1edf5L8SapYODmNcWPi
UKh36O++PsELdxF4O5Gqx5WL6oPI7y2DChYCNMBR6qHJpsidJo3V5lcXuQ0HV8YaVHVhd56ZE468
EY6ZHE0zbHOIPV8yb1WJs7pHTK/z7fWRfbt04ZolaG2DnAnAuECeC9deaGp97Vtpaw83BQu9wfad
AhQfLHG6mwICBMD2FO6H6VRM/9HbIaN2jPayT7B6HVQg9Ol7vbLPlub65IPEO0gCRckAPiG0uXU2
if6MNHTg6kK0SvfBbVmP/+JBjAmYMVsAcIDjQdjWfaAXGs1hT1Gg4ybZmeZg1J/NW7gF0907WKsL
ypJx5U1xqboGmNipWeHMkrpHSaCB2ZfM5TILKtZtChu4qZ12Hx2mLXjb0KfNmeVaP5H6RR+EtfvV
bEFdr7LAaz6OxeS03mj77vUNsRT94cOA+wPRBXa8mEkP2khGrRIf5j9LXnkInPYT2g2m4x8CV6lZ
CfFF3N27eOWILdykZ2bJ+fH2g1RSJhVmgwakrWrPzNfrA7uk3v2e8b8DExZalQe9rygs8M/eUbea
Gx2LY/zWPEe2/6ij7sKCR+2tRBgGDIJzE7oJ+/r//ARh0bMy0YM0yFr0nTSsc9sP5aA5xfN9dvv5
Xt7qm+HVB7ztF5qZ0MA97s2VTbcEUTqbZCH2skgQoLaKKZC2t/wu+wJj3lY3tubu863YQE3Yz5n0
U3s0H60NfRjZ7+vDX3qwnZmf/d7Jw4LXAA9pEYav392ZtrHpPxSHs4IFD5+KDVkvV7VrzlZ64C6B
g/O6UzSF4B+840UPZwFWWmYgu7I7321KTweLUq2CFslwUBiV21spuEFJSo7Bh2+DdQqQ8bXi2+Ld
pdJZWwOaWzLAD+cDH0taGnTAvE8tHqUq2pxkjcEp21q1UdVdYYHMggUdoEH5cTKP5dq7celCUUHC
j/HrYPwWswsSJ1OhdbA/6HszdoJ4B15K5INfri/wmhnhDA+QGyONjPX1Jbiwqjigl/pTqsMfSuuv
xKhk4RlBALWFZDrkCHVNFhImYR62ij7vJevOB8o23PgPppvu+JP5pGzUbb/nP6Tb/OtR/418jYer
xGvQecHt5nXtVC17zJNPEYZdxw0dAgmzm4w4tj3ejnjSxR5692IY5DWayPqN7E03dHd9vpfeBnO2
aFbRhToMHv3n+4qPihwqWoxJaEcbVGcbiVh2W2NpeTaBn3q8Q4L1V9uqLmnWOmWXHDZS49BAxdGC
rrXwSkilWq2qEceKBFAi/9P7P64Pbv52MTCZ+2hmOkPw6YiQOXnUrSGYL0gSjtBTCcqConVFCdIY
2mDBms7O0nY6tSaEXHFQNWPFYS1t211eG14LpY7R7O0k0tgYrmSMFudubsvFKwutuWK1qaFKMHRD
0cLlRA5KvQcupysvj6VEPxTNVfpN7jdnUM/3RhAX4GFXy9YuihFErAWbfODxatNN/GLf5/mNPwRM
0qItrTU2NZ1dKCmSdOBf1vW1w7rkGAB8hFIkXBC9qOGQPgMDX1e3di6ZbslbW7P8fTamG+7zrZIS
D4pvHh0elcKwM1ndpN24y4nCKhPyh3p8QIOEHUrFrusGePGfcf4rQVFL70o7T9LbMTIH6H2A1Qag
1+ubcPGEgSsb8TGYZnGDCCcs0UgoBTK+XKne6HBQLEba99LcdOG9XjKe7w15rb1mCWlFTm3Os3ly
TRo+1CflBjYDiG9EQITkqmQHg5upkicXd9y6VdKUWR1QbF73L9JuZ8aFbROmPuHxCOPdID23TXxj
mE8NlM/iNAOpTcW08WNlipeO3ulwxaOXm3rD23m4UOYxkUMJ8/cECT9Dc4zAYEPlqPVWBvOtquFZ
Cx1geRNJdp7+GcY9tf6sfM0cBYpu5/RrhPcQ6idpIHN8DY0bx+KHFsi2RHcIdyc/cal/X+VvspSx
PHmt0j+S+bhi/4JnB9EKZLqhJIU8JIq28/edLL6egDMwJB3mnzzViIa08AWvW0J2usFq6lkJMGlr
NdylJ9epTSEs1SJFKbnWt3aTPoa9Z0Y3o2Qwa2YZLlkRrHimhfW2QP1LLBToZj1C4UihNSfMqQxY
RgaGY+i+PFa1aUd6yszoZ1+uFTzn9RLW88yacJhqX6kN0H4ga5EH2DS3WW37PnUK40cyNGjOu9XU
lVt52SJyw9BUmfE0wvgAj9TypEFsSaPUbWqksrTXGBzjXaY+Dt1X6gd2n6zhF5bcPWTSEFDBu6JO
JpbJYy3uWwM8hVAptBv9SNBMTkjOtNqVhx1JXQkMQJoE3MsvHU15dbKr1uhVFi61sy8QdlE4DqoU
WJhplRZvoBwud1ZL6pWrZHHznAxTmFwtGqSgmGGTUKPZBUFkG/pDbUQ2KjBeq/0LUBSGhHKZBVG8
2S2eH0YatzTjE5bSimSXgk3TjF6VKHpqCzQ6xti1Srmyeebvv9iufy2KMt8I25S472bEJvC8JUm3
fhPYSfovMuMYGPA7kDzF00gMDiTwFw7QZQT+Ck8yVkrTT1leKQQuOJUzE4Jb94laDmTGnspxvkVC
EWpl3gw7yAOHh2hflN6ue87FnQG9G8hNGHM3ueA4VR4BtFlUGBIkjCTVa/y7OoJ6mq3mo3Pd1PJh
O7ElbPUeUrl1M8AWnQr5fmzLWysyHrrJAp8u0NEqkR6JBoYSBZlYxiEOeO8j3+NWenjTpVl815rZ
Kj3BwsVlmSffJJwMqy8htBzhm/wsflGL5mcml8c0TT794SVD4SzxfWeQ/I2exFBhATm/H3wSI1i7
SxZCvbPPEPxtgYbO2Jxh4k1+7C39Rmk05PFfaLe9vgbLdnRAcyxkhC/6Y6cmL1DfgZ0osE0wXQbJ
rkCz1Sq67vsoXJxI668hYa01veeR2mFee/NTDruNMbZIifr0OQjzrZq+G5a5hQ4jU8fWyZrXhvT3
nW69lphhJU+O8Sg7kZWtuInFw3XyUcJiFyh8cznER8k6I/QA4uyoMTcZffEbwwOwnF2f7EWvdGJO
WFRJkjqpJpjsbkTuu3V47xTA01w3sryiWE3A79DXIJadBpnnNY8B96tKO6Sl5xc50wG+SpSVO2R5
8v4amv9+EmIVseH3Y9wA6J//1nToKkYPnenpudONn6o/rCzV2rCEO6QeQAsOeDcOhKri5cpkCBFI
Sn205BWvNP/Q5Ub977DEq6PI0POsZ4Cth9F7g6x5KjsZdCRa/bUKHWomez5srq/YUmoNVyPiVROh
B1gYZp98MpOJD+TiN/h/yjiUHTlTAAPIoxJ0fMUxUbktGaVn6r+77kvP/5AEVBiQt5ZzyzG6bOVj
lvbo6bcIqzqB3DrJM9w3zQD+qRp1d2eoVDD7ROEa2dXSkp6aEpa01IvUjDWYSoZgl4LpLIi6XTxl
kOIk9vUpXhmV2MY6diUnHNBsW1ek26JCxl8lW4M+XLeyeKGdjEjsXcWuSQvqw4wPsvou0l6lAl0W
eutKgcpSyNckCpBsg7HhFLXMPnZphHobOL6iwXSvf8vS6YRXB/0aWPqQKhUSe6Y8dFKlYxs3wQBN
xJoZLbUbS4dQzwfI9R+HfFq7s5ZCB7ATAZFgIpOmii0YA6KUOjThTdVRfbZq0Bc3BbgJGiuvnEol
oxMEysphXV7XvybJ+ckBxw2w6SlMUrOidiBNpltHA2dhr68UuC42K1LOoL0xQAeAAi44vs4t1R0I
/vuJJ3aP1H4FYdTC1eTKVtbW7TINOhtCcsecUWxABc5DPnEGwRDJwDvCkAJkrmLgAcvRGBqyKTj8
P9K+q0lSnOn6FxEBCKdbTLmu9m66bxRjhQfh4de/h/lid6pUfEXsPBF7tb1biVwqlXnyHEY2ofKF
s9c63wz5u25vBwvMKTfKEDjWih+43MvSd8wTcvIdTTJQtWX4DisGkZDONind2NkDSsZGCZwiihxH
SEpkWiByVJkAblBW6L0udrD0AZJXrCdAMUcdH2BoIVKxYIQxVc3NzQhkKGoSZJwFFVpIrx+biz0s
GZXcHyNla8Y9jDZDGMSQY0B/ZRpulG6nDB9/YQqJ95lhAmxuMoKnZrSF+oMGNQml8BS+LcEpVgFX
1/lsLc1/cUzmUcExWSqyIhqcwvlaOklhG7zSE+hU3U/NPuvepzV9s2UTZD4h6kyDL5mIVaPLhT4l
XgjVlXHwR+1Xyr9cn7HLlN7vcfwxIh33sArZVFlj4qm1rULdmal1oBDefsk6gCUs3CY7nkzqcz6k
8SYtyznTOGZFYPd1fkjSyFwris1R61mwIH2Q9FpCimkqI0PFqNHkCL2IEFG645vsxkbPW/hIwWdE
N9C+9i37NgLNu7b2ARfPld8fAEJH1OYMsChJ0643iTHZGT4AeTav0bxMCYixt9RbEz1qZgQSJZ8C
ytx7g/hurJGVXqZ1JevSeiijMZqjwBYu1G0ISWGbuXr0zRn9vn9XAdauNnW1MuLlffZnwNKM0z4R
XV5hwIR9psnTWN5mxq/r22zRB6Bt/J85lZ4qhVAnrZxNTNGnWn1HHi9z7rtp29lrTGdrg5n/fuJj
jaxAwqXA/JF4vCvaT4WqGz3MVy7JJUeK6gjYo1E2oBC1OrfSV4lR0VDBKpU3vNpk2n00fmmj1m3N
m56t3BtLQzo1Jk2elprW0Gkw1kO03eKPsTH6Vfft+gotXcanRqR5Y9h3uIthxIaz0aHkY21SRFHq
muLFZWSODY5A5jdUGKj532xxJwvkNDmfxhqOs0TeuPg+dD346TPf1IJK6IETPqdE9bUCIoAQLKv8
kdyHw9dqTdh7cbh/vkKOXpHv6CKlxFfk8THrvw7mgaTPTFnZJktW5v4AB/cE2HNkMilK4TmtpADZ
0nRnJD517iDHC/Hq60u3tD8Q1KARCU0AM4Pp+Wa0yi6se6SsEZcOYH/8qBWw0Mcr4NhLxk6sG1Sk
DHsWh8ZQpA0y9lqsIocKgXlVib02FanhkrRAi4wu+sLFqUPzLhQAqoAn0D52nKkEdKEfi9vBsmuA
pZ3UET97Behx8PAWHEIMUxy2vsNT/SeYCSFNVDE+6EFh5qrY1ONYlIHhQNjw2HVkULdpZg64Dyqj
NKB6nvO1V+rSYgFgjAQ1QcnhIvufoqyntBFoAoWm+zkLMs0dDMdtx5Uqw3xc5QtulnqdG980xFdS
EFaWGhGKjYkUFQeiNLZ/paW51umzaATofogYwtIFLQFrjVCBJB9CzaK+iTg00/Nw5dpYnC8oykBw
GvhRQ36bWF3YimkCF1vU6Ik/DJ8VQFjWYKLFQKzlNZeGg9wLQJZzrgdIkfMtztS+ECN6RABkyFyn
eOzSFRbgRQOaBiQKhawDkurnBsDkAka5dCaWa5C3wpu5+X79kC4bgBYuelPhC2RCSMrjgVMDzIRT
b/+gqeo5VTi6121cNmjjjALOC2i0g7eOJZfoikrPRBXjgTjUbKtFAdXxjgAvs+UT8w3iXr5QjiCr
Rrv7iuXl0f0xPP/9xKl3JUdjTZpA0kXkX0Fp4hlcXzk2S9vtdGyS/9Hq1MkAzIaosP4BSLFPhkBx
zA2U4q5P4kWyap7DOWNkQEod4b20ExgUryEpkqVeZUPaLARd54xa6d8hgvhAB3TzGHl6VFF4vW52
cXgGfCsQJdgjcnIhwzc1rINZcGiCFV0QP4ntb2mBph3lx3VTi/fFrKU6g9wNdPSdL5YIDR1oZTg6
RdC7PtI9rSfHhifBdTNLI3JOzEjvvrQ22qIBkNQbGelc0qPbHDxMEeX3cZvu/jdb0hVoJOC2AjMd
+AXzDye9yZPbtLxr87XH0kUJfL4DgX6F1i7kaCH3dD5zPIvGmvxm0TXjn20de0JtIbkbui1aNbOw
eoA6tF+IbxEEQa8PcPlo426fKfgsC/SX56ZVlmW5VQiMsCSexY52cT9ad2G018nPQuxM81HRX+xu
ZV7nX5XvKvB/AGECIJuBl+65VSMqRgRy2JVWFT7oQAHnP8SwrZ1ka/Sb6yNcdCEQp4B7n/UN5HNX
GF1oCx2mRENQKNYqIIpX8QRrRqTXVazaOfY+jER98tYz9cUGF971cSxOGe4qYDrn+FJGKSujTYdJ
wU0yKu1PwaN92YO73qA7p/8UVbcya/MhuligE2vSgIiKpxXqpeA21iYE0mobINHl8v6rEyrvrKN3
mvl+fXyLWSw0GoDLE40H0NGR9oRpEyWLFJgswvKxR25ZK6NXG8R76C6Epkjqm7nmN3lZuox8IXT0
9dbwW6cM7Gqt+2F5rv98yjw7J9cO62J0bAlcO9TsPaHAudw1UKZEdjhdA6ouTDQ0MTSkKnEzaBfg
87rSJ5Ex7Bw+OJCY2sa2H5rId2c+dz6VNQjjmjVpWaPWabopy3HuEuZa06vgXwauuzTBk4kerLWm
9AVXjV6nmXocQDQEDpJfq8vKnPS+xfVt2ltkW1rlh9k8OZNYueQW7lZICUOqCNcCOCZkKIgxgJwO
CqJgAje/5NULFG1N5ZAbANrVboVm6bb8rwW1mZYVGTrQJWBkuFfPN4iTtSrIJ+E10+kBuglhPtzo
wb6Ng66pV7LZC3sReAXkHQEnpCBillICqmJVXAWNL/qbnJsBcYU7gGo7NFFWYon9YBnRypWwcI3D
IFCU0EUH4bfcFjrxYmCJgjsv7vVtqzhug0Ryj3N2/bwv7Y0TM3S+E0/OWFXrpdnMZhieRXF9i1or
K/XNoK94sqUbDryC4LM1wWuLrmUp8BLUbJtympuhy0r3KHDLidvkurgZU+NRGero0YlG8p0JC7Um
iP5uwthqQ8DQrFysTO1SFg50fFAHwwsKyCVZGEIJHT1rHMBOp/hYAgFv9kDIszl2dwmIxVU4NGSx
qfh6fa6Xjv2p2fn6OpnrEBCMoQt1xO+D8igKHMTQeitCZ6vQ6UHYsdvnxV8cyVOT0qwDMAjFcnTQ
gTj8M1I/e32TTihStgdT9Tit3Uhbmdu1MUqubaqZiAoLBgtIsLXpu5heM/QO6QV0o7NPLdxdn9LL
DofZBZws5XyMTubUZAMjdU5Sr9R/DtD67ra6sef0aNO9bdzT5rXNNpAKds1437OVJ/KiT4Dq6Kz+
SOf+wHPbbd9MBZ/Ryw0kbJV619hALjqe2nG3r1dqO8sDRU4BiHSAGIELPjeWcMhpKxEmllil6jVA
+QQ9JKGDJjMA8dPYd4PHZZCEvX5AC/+zAqIKv7cbyyMipbjEoVt1feqXRg8YOfh4wXWFp7XkfGlf
itjMDcw8cwLbLG+MeBvX0GZPtgIEy9eN6fO+kSIh+8SanNErYsKbEmBN4LjuWw3tQqJC51rzCOcF
EQbD77PYzyv9VoRQ8/V1D0IQ0Qv03OCklexJBe3JwwAFIy1e+bCFkBPfNVcfkT4Dfk66FxRSK0ip
YRYGVKMSUd7jaliZ6CUXjbZMQKyQXwATprTFwXgVgnVg9lZJZCf+CKQXKN1toCurSUSbaKDN8/XZ
XrKI/gcA59EljZSMtNc6gTqFkzNYjKr4vuU18mTqlNyKTot8xps1CZ0lexTcI9DUxtWAeTzf2yOK
Ue2AlnavzHPqalz5nNLpEGn6fRoy9/rYFp3/6XTOH3PiMYy2SXSE1YipaewV4mvXvlpT0GuoFL8P
+m0WIp7/uG5zcZPAP2Aj4KxA4+3cZKYqPIkrrGDao9Eyq489W2t1WJpCHcgF5DeRHQLT17kJjWnJ
BA5adFLU0DC8sdGFpG9p/3h9IItnHmsEgAQ0ETVZBdYpSCWsYj7zPH9IiHIQoXgenSjgbXsX8mrl
9lqcNxvBHZq+Ac+SGQnVhvfNLLTpzTi4m9oq6NGanLfrY5on/8KznBiR9gP4XcHk3MGIaQ4+BVRI
iaGhon+9bmV5280Mbyj2QslDvixSxJR5nFh44RvZY9VrXkzLPWQFdworcbKNXVvSm978adO/CneQ
9bThqLD5iCP5KKCzQ8oiivi/JX4TfWgA2YeVvulCBh6VbJuZn30xbLn2F6WtmfkY6r3ocAYfnGQY
aRNT6YWCZFut+KzdT7iJwp8rEzs7I3n9To3Mm+j0PA9TrfYhjHQKpdC2iD3orwSpiaHGvVt0w3ZC
hjSP6eNg0whd9D/+xw+QTneBupuSZvgArmQbI9/a0wdnd8a4bWoetNWjrr445BcKldftLh2O03FL
+xZ9OsSBHA72bVxsFLJ1rMG/bmEploPqDBKJyAWoeGWdz2zFNU7qesTx63OPaIHWvcbK1lB2LSi9
0miNaWH+YHkhkYgCbhVC6xryROfmzInBwYVwYZoGFELvxY3h1fFnoUTB9XEtzdypISlGrUsz54BD
oC+hzJ/bKX8h+X/mmkNMgOonLlBoVuPQSzs/MlhKnA7RWth8cVBvEA/53yQRTk3MozzZ96bapCL7
Hdr3r7i97Ch38X71Wu414kGsCecsLs7JgKRNThOqiohhccbkoFWdp9il2zvoM10LqNYMSdt6UGK9
7RLMXMwOmvPapbdV/WSHKzHV/LnyXkMZATUyNPHOtKnnkzfEkzNZDCB9njoFYPsfZSl2Pc9X7sul
nYamABxTXJiQIJS2NAtVc4IKduo5SWzcqKBbdnmjxa/X9/NSzg7k8kAqzBpAkMeQFkdtYjtvIZLs
Ra3y2Qqy1dE8pkSqN0I9vB/CY19/Iz24NMZqQ1secBwpp+ReCp7FlU9Z8sbQRSMzHyBwjTJ0gpRW
j/x6Bpc/NQa0FrrBTQbUfo3CLUbw3ioU+Dvh0hJYxxgibWDOW/mC+fRKS4uCPPqRoM49T7o0GSEK
gFrsINGQYaQV0PA9LV0LOkGt8ctOlb1BQE+bAxLA227PdEgZOtXKN1zsYfRrImfzr0ibFM+WzaA1
EYFIm24P+0FDcGnhZfoEAPvKWGc3cjZWyZDkoZtI11g+wVB5JD+qzfQlOxh7cltBXDQwNvAIa90P
v99ZVyzKJJqAyUODSYVFdfSMz2KHhvP78ZY/dbvUzW4HD9Pp5Y/qJnrVoAN3KFeeW5ddEecjlgut
eawxNbJgP9wr9/SZv6V78RaDFMZ5GXkw7ezEzT3xot9Na0XQC5chWZ733Ym/1dKmHxotBMjJQcdv
8h7m5aZZE/OZF+za9Er3RsWiPq57DG/SsEnb2kV+7qkGT1TRqG9ca9ys6t26p97KRlrZsbZ0mQwY
1wyqx7Juu6Ma76grPHDgULftXf0epEcH/Qb8Sj55uW54cVJn2WuUtVHnkN1F2deJOhmYVJYiSRRv
q+KNrZV8F8cGpgBUNVB9onL6Wxe8U7rZhqBWt+tN+hNPpftGGcsdckubvxjQH2Py+egoSZCBh7GQ
/JyyvZL94sbaGbioU8478cSGdKvYoYkiIoENQzkysAZZx9jugjwjm0o/1Fowld9Xu9xWJtGWdn8Y
T3TUGGzSSM/9Ko1vzW403IQWSoAIuFvxbIv74mSI0jnIVJYPdhFjP5LHEL3PnQf69P9tpaQtH9I4
nGweYaWcbxBDJsiL2nwtPbk4bTO+1wbaYGZAPXcauP1No4fmi2fSW0XzJnFbGKA3dgeyY+nejF5s
hXtcdQlHlvLeSP3YQqP/Wu7w4lKeN8zJV8xfeeK6aE5K5IvwFUO1V4mrh5AJqwI7+RqCjKc1Udbz
rRDiCGtozbXRS1FWWIENtqxhd4yfdcvTkx3Avz4Sc9dX8vJtjfFheGBR12eCywtg+NQiE8lgRzHQ
Q2FgHJqFAjMrfJ2BwgO0Zijla75SkwOq+NeNz2OQPTYEahBHamhGQtxzPrcIik0Q+sF2IpwDYj20
P4HuZiCfVmHv+dr9e1lG+T3Uf8xByejc3IC2jWLUk8RLIbhm/ywHzefMNeqnEsF4lVdQ69tkeb+H
7O31cS6t5Z9xYrbPDVuRWo86h+Ec/ASCWHseVRtbZ08d4GfXTV2i1udBgqYRTCWQIb0QuU3bemjz
CLYcMK64HYGQJbj+cjP1R6tzzXII5n9f1eQu0dIdvtWfnJV63/JEn3yDFMNBMKrJwbGJPWXH7KWC
cthNZuUQEof2kZerSDKjI3zaol48HspIr+6zodo20BxfAUb9fyYDVVvQ7YAFWmYC0cI0A7kSPkSF
+Axr/K7dxfZ3pdkk5oYbboFnPwhVuipxhzX3NbvAi71N6FxZRcMFCuTnay5IHKE2iY6skI93RBFB
kq7ppyxuKxNkBZA4N2ZY27kJfaQ06y2BaY4+gTtJyA86J29W4pul6wQZKIo0vY6+ETkRFSsDUYqy
msMM89BaxS4Ex22/yigy30ryfCG/DycEwYBZN+B8MHZaRpoTI4rSO7jYgTlvuQ3KDrNBxSZsWutt
BHOOx5z+21AWX+rafhQGQ3EmI6+sMciKZ1p0iwCWobMMMFQwSErut5tphfUqg2uqs4AR9hTZ066Z
BOgdGz9h0aPRZoE5ZAFPv6yc4CWvCHEpPMGwbWFfXtYk6zuCEq+XlA+VNWyjyviWglsla54mSIJo
PPyJHhswVb92fet25UcT4wbqK31fmwliNN216Mf1b5oPrLw4WBPHAQwP/8hFjdGuhWhGbOZoiA9J
95iRcYssocvYcFfk3YYla4nXpb19alGKmUq02IwjdHu8Mp6ESxCq1Wr6EZngoVPWCr1LO/zUlhQw
aUqDHtAethIE0rSHfF/5VvYr4czSqp4akUKmylTCWqMwMsL9xrFwI47a9YGBuq4Lrq/W0kPo1JS0
gYq0aUMgkBIQ7+ho6Q9o6trRJ0u4r+OJN/LWLdsVl79sEh0fSNjAExHpJo/7Mko6C6NTmYCl2KsS
fT9SFfA/aFdZgAlk94kyrSDvL4lQcdnZqCADNTzH7XL7YspaS9FT+CZjG70bUE/HC/ZY3KL91btR
AhBt7ulx8A1wzWW3pT+57OWL8Iz9cIhe2Bfxw1hZ4yWfD8ZAhFIA8SBtL20kJatMaFrBIRMD7MS2
cxfx1XhtcbOCf5kit6zjfpEcU5Fnk2mmNdzxo/GkbYoDDzrqD+DKM7d8A/6R3vXSlStgae/Oi4pa
0qxeLwN4ihJpg6KGhltu2WP5kI1QYPUTeE3Tj9IS2WbemE91jabVlWhmabBoWUSXCLJhM/PQ+aVQ
lRlCCbVLvGy8T8imQWdq/ze3KAAIuENBwTMTPZ7bUJuhzyOzT7y2/apMdxw6XfTVWqMHXhwJykdY
Ms0xLlrnwPM3prhKcUCc6Lltu7e4Cl2nn4LrR38x4kHLsI2yEXYIXk7no2koY1wd0LSY0lszDKzk
ps83Y7Wt2gfVDAotIHgkWUete7lueHF8J3Ylfx0OWhv24TT70ByEV/GeiKciUzbXrSzdQ6ejkw5Y
zKOJZ3PDbGiDV6wi9s/Z6I5GRu7pZW5vorLVfJHnn39jF0TDJmoSuJOlPQLNR0HqBqObosyLMgd6
CpY/Tso9A3FNrikby/p13eKSK/lNbfz/LBrSW4U1WdQRdB57pABXSnxH27WS0WKIc2pC2ip43RnC
4jDhOMwrW5ysIOQPvH8vLS/Xd7OiLVvjyVu6J+Yy7m+5e/PinmBmadZTbGKbdEXgmB9AbUFwpPdJ
19xF1XBojAyCwuP++mSuWJUn08D9nnQdrDrD/VQCZP+gh2+V8lAbu0p4wljZLUtn4WSQMnMrJbRN
FAJzffxcpDchMdz/TvmHm+/UhnTeiqEqLK7DBnR5wQjpmgbwflHs5VDKa4Lpb1Jzp+akgzdC/noU
KszZ4dcUdYF8CFYbDy9hWijA4IjNej0Ify+kyknCGwFFUnhiYJejjaZ3/ENH/+D3aErohhZa/jwU
TnJng3lw8saKK/dZrqInpE94fwxFmt40pgNM+fXds7CcMyZXVw08sSAjJ43dyWlUNni+IwO1Z/xQ
26DQ7/47tAaDnzMxeLEjfKAyJKyCJk5BOiQJ+16YR8UR+gPPzJtEaMMuUdvD2Om9jxjudgC02w3j
YvqLYc5kGojfZkEVOfta2VD/zlK8lZnz7BgPaF/U1squ2oL//k3Y8Y8NyeWQrpxyinS512CrJskU
GE3holXeTYxxx7rhRW9s0GlYwFYKLyHUS7IO1DOam8TDbkQHyUB0t1E/beQDry/ywnvj7Muk8+TY
iWAgEEm8ikMH4a1vcYYOvN5et7Lg1bG5Ic8B3B84kOVkmwVxL2Qp8KrUq19J9RJWr9d/f3EUc4wx
NxJjy0rxUm2qNRtrxMMZDYRwGxDwj8J38jW1zKUjYRJguQGqg7iRXKLv9RjHNMELg7CDrvwUHTjb
Vl4UaybmqTzJu6po9Qc1Bky0YDbvIhcNz+pav+majfnvJzagF9yhCwyvFqf4JZIgAU9r+fQ3K/Jn
puYVOzFRaU5blz2GUZLQFea7U3yyDJS9a5Hy4s46WRFp5YH3C7llwk4OfDJ5jbuVO23p98mMQQeU
DNGlfKdZBTJDaOmAE8QJHIFpQSh5faaW4hEkLSl0JHAwAJyUhsAnwRoTfLJeYd3QZjfUgVNA9/3D
CFUwRm6HHrnCFRTyZfUfXvfU5uywTpcnhHB6RyFnT56p5o5bkOC4xkexpXfT6MZv9ZH6xkpFYWnT
kRlEiTZDegnMSy2SNUYxJwKUY2ptoT/m5mvF7YWAxzq1cbHrVKY2zTws4Wsqkpv+lN2y6BVY3llf
du1xs+jXZ7YHELvjyYGk2fk0xiy0tXrAw7f1Ol99HSK3c1Fc86B6BSEs514Fjbty02zS7Rrb5+Js
op0M/PjItAJ1e24ZECtutdCAB63nwQgP5fDpRCtZhsW4BLJf/9qQNkmRJ0YL1BPeblvbjXY80D/Y
sd3QbehaT9zXVnKPy0MCX8GcDbUvCEwzAfazcMKQHA3xxvc+ux2bFRMA0WBepIweEC9oUUeTDBIJ
MiS+iYdqTNCr5qVKJF5nfqhvppp0b6AVKAGnZPpnWud0z6JYubPzuDnEmZYFMeBuO1ao4Z7HVfNh
DEz9KuKC7VSNT5tYMSGJglQB2RYdZxv0ZbUH1Zo6cJXb+QSCaKDSLD7gvu8GQy0BRHcqH7pV7W0T
gflurK3Si+pWv61HW7mvBBsasCeM01Zogn/VYy29tbIWwtBlPRyNOGoewGjfIt8ZlkAnJhkdQH9T
c5+r+jdnStDMlBs100ETUzYvbRtFiDc6KIh0E/IXA3gSGrhlxwJZd2gDpz2h9/etsRJji4nrnxCs
8L1mCi2gDK9Mt20dYxeWQwH9yklUx4iQ+ctYvO/Qm+/ros1zdzRCgOlp0W+EZVYbNe9phv8oGzbO
2KtHi2XgvlSnkLzydIJisVVDjAgsihDMY0Y6lq6RqcZRL1W24z0F+qes1Rq6I5jETZ+lxDerSfkY
NCtTdl2bRl5rmx3dxFYXbbOJWl+yJgSQRVWVlxjB0+fEHHaPG8gIFC0krRehKSF1o8YeDZ+k3OiC
UU20dzLp1E/NdjzYaDL90qaV/tMoIvWht9M4KCotQraCoQfVV/Iifc8SqxdoginSHzkzh0OMxse3
WOu6fZFrk1f1Y3aL/729DR0n95rUJrdMGbWfiCTCvTPo8a0emcKvigm8gwLFxncqdOuxzzmNQZJe
kdItDSftNyzjHOR2EN7bF3rdPCYxEdA3s2jjxYSMB6XP+0+7C9UA1urcMyOWb3vNUCu8hsz0wUl5
fZcyEYMTm84BNPrUn3mS5U9FPlmFH5dhuW8LIT64YYXUrRoWfsRFaIEWsa3xeIu0kr7Gia1s4ikt
D6xVyUvelgSSP30SAc2pT49oEs83WTKansIU+9G0Bds3GoKxbWcAGBKIVjDNtXJU/SBpm4zdNq3r
4TEtu7Fzh5SyY28q2c5iSrtjUalorj2I4luTx/ajyiJArKyQmc8cks25n9td+lLExvCsAw73SUsg
8XlKwWgfl3H+kpNOfDVT5LRdPbcaxw2TULx34L19Nlszom5eEoKeOCO7cfoBqJ+2GzZpUfcvuhj1
yuVKVfwaun4INMBoXnRrpuFOHUAV3Ewv0CWURTR8JgkDOUxkhj1EkEj9okPUclOwFjGOWqhp7oZs
6N9Ixfs9S7MKVnvLuoGCMLvjpMEBLlQT7KvQQN+HWdnd9H2ifowF0VzwTRr4dNNhGbo1Cvsuq5BS
dTXssr1gkQLXYVXJuI3KqToYlZI8jPEEcmwQSIh9Yod8k5utHjBzCivkv83hqCCq/wHmwv61tGm7
z5wUaG6GEtR9jgRZzkcwbZZVUX3lDgvv4A1bX6my8Zud6WIzGURBciIfQre2yxiCDOPIb6IuQt6A
jhbbCiPOnge46w1E48ApAUMc2jCl2DjESW6NsoifFDaGOyskJo4DNCRdxwqbgBN0XKbj1G2A40s+
Mlor4OkP2yAbE3s3iwIPrsXNzq+q0UbZSdNrsQEInW+M0QZDlCEgNxnnRlB0idlvS8uqqOdk4EYF
CbxWU2hvRqLx9bBOQ2TEKmCizBIwd4jtkjxo7aghns3tJLC0JH1xYoIkfV4PygQXZlZQJqmNqfSo
Wie/0EZIuTuAyfJNFJQFI6nKD9tgza4L02QzGmn9QbjS7IQJMYdKaZugsqvSJ/Oko2mlfHLUSc/c
3kgc17aT4nEWrDvyhtY36KOe9hp2IprNlHCtC3rpKj19p0g3tyLgQ5mBWEtkgQDDSG2+af+5BwIh
5KmNORY7CSFjCFR2YH/Dm7Y+xO17RaHC+Xg9NF4Kvk9M/I6cT0xQlgMfW8GEbnwJwSverjG0L84T
emvQ4Yx8ClbpfAxojk9GNUP8lmmHCOwhWQR6q7VYew4C5ZBjbuD5x4i0GB1Je1ttYMR6zL6KO343
7RTPgnRk37mtV35Vd9dnbTG4PzUorUySmg4H7QtSKh40QPKHaffQ3QB39UC2r9RXj2ux6FJMhS42
aN8YkEiAys75LKqOAorFBoHbmAFP0j84ymNr3nLnfrJWshVrlqTHsYDzgJjSbEndGuGOV45rWI9T
si2ovzKJc6L5YtVMMJGiDAP+J7lPHBIiptVlMMUe43tbC0zgJQ6NF+kB+fGf5YPmo/THlrzPda1k
Io9hq9N8x7ibjE231oW1eJRAPIbqGVKN4DQ6X6NqQH+txlBcB/+7SQu3yf7mwf/HgMzonOZNYTnh
nOLpXvN+Y4U3Bdtaa7oNiwcWiCmIc0FMG0tzPgxbjXJRt/MDz972fKMIaBCvZev0pWzS6RtByokR
Ix2qPsEbwXSBkd5UX5r9fR/wWQUufrB82wvBpvalOUB2ZFv+yqEGR18Nzd31SN8FK9twzgzK2/D0
W6SzFUbKCCYbFnsdeZqijQpMk2Z/6PRdBSwV50spofe4MdZIRJa2C6Q5sFMs1CAvHrZVm4eFNkNS
lXorZnbWqlo5yotP9RML0lHmbalzOgNSaTt+ltqPucecQtnWIqirRt9pmj4YzRplx2KuBcr1qCEA
c2NeaEnUcU1qLf69tLqXAheGJMTOaV0I+txH31bWbsmFnBqTHL+o7bgdFBhLHGRwo73ZbVrcMKCo
isLdEL0z40csfq0YnTenvGFOjUoHvahilJgyGA0jl+yqH9kBxQvP+K76cTBs89cVc/MYLs3h4QEe
ZeBF5TwE2JkFZ2hV9fTH6kj8dP8t8vht49qZC92MB7ap9yh1OXf8fq0murSBAC7817I0u7SaQs7m
LVqlm3Kf/uJH9Xv1Fm/tFTDdb97ea0OUZjSnScSqEIYM06XPxdtm2kZu5nIXsog/slvzKfyGp98d
z13rrnpdVexbuvNQ9EIDv/Gbw1iqHdQ21AyMEgt6Wzw1986DUbrOViAD7VGPe+h1exhv+r1F/ez9
b9b2xLLkB00aFjSctxL60Uz3HiGytgVvnA2OTid0xw3UhH1QCX6Lt13urXWwL1X0Z6Xbf8cteb5I
IQoue1gXbz3eZ7t7zXbTt94vD8o2gkji9cEuzvIsm2MjmTyjec4vlqgO0W07Y9ULdhdFbg9RvXLb
17dsTbNs6QabheX+MST5PZDijbSbIeRK9dJWXwjft2vsn0vO+9SEdEnGAts1ml3rZO+HDPAYjfx3
HLwFMAeqlgQsFuj4P5+tgiKDp89gW9rf9OPWhvCvuZIuXrqET8pycgeGVme1qnUoTIFu/tg76aGB
yJBWRGDx1f3ra79kCiwC6LkE6IBewJeKcnJC3gM7Eoa5mwFMZI1uWgRavHaZL/nmU0PS2oMltTKy
ZjZUN+URebvkkCNvFNhNXT/Ylc28qoN+cWdZn4Oq1b41mZvUiojXGtHaVbi04VGN+x14ApIls5Wn
DZmKCTIUnp1sVLDfa+ETV28asPoM2koieWk/npqS/Ehe6gJ+HKbmhp2IPPboIb++gssWLKCNcQdZ
aKE9348kTTM7nrPhTb0tizvSrTxEF3cIKtT//L581+ToXKwG/L7If8QtRGlzJKSoHZCoXNmLS81y
KCcg4poJWwxQp50PBRsRmI0KppzOAleUiUBB2Zg8c0ukBZvJBpbbdnUO+oSkgODfeDc6/X6WxKzw
nIxJhuySCqULumu1u5ZR5BZX5mLp3j39QGkTN13RTu08F63y7lgPoXXIwiAsQNJ3EOWOrCEsF6f+
ZD4kZ4a0Lu6hCEWIBICPOmpcqxw9vdhx5OCub6Ilz3w6sPlLTrINOY1B+DpiYDE6Ishro9yp6ooH
WNynIN+FtihA5fCc5yZ6JTdRRgKgMNaPYaKh6L6Kblqerz8mpK06gmoDeWbMV4vuEi/MvPYu3/DA
DoRv3bd7xc9/RS/ts7PirheTDjOv8D9Dk66EbrJDpZzXKY/c6K550BUX+XH3h3rUZw4dPJKSlfVa
9GB/LMo0ZFGe0gLwTED+0LWc1i+1vcnTL2l9VLK11rLFQt/J6GQgOOtZk4QUeyPdT0dyQ3ykQe+o
VwbRvv6uftdd+zjuTERmT9NKyWply1DJeTJqVb2AAgHi+XJXxP9H2pXtxq0r2y8SoJnSq6Se227P
jv0i2E6ieZ719Wcx955EzSaaSA42gv3QgEtFFovFGtaKjgAO2v6L4f/eOjb2aTR1GmMfC2mb3abQ
BiSIcyclqcD4RfvFOI6qT2pd8bGG0yihucUhoDSpEk/vH4c49f43lRivMZWyCtRcrJragpm1eM5M
cLRagnW7BK5H3mZpFYzHwNSt3shIy7vJi33U7wEFs/YxSj28tQcwuez7h8kRmQPf+/7ZK8aD+LIS
EbvBXgXxVsb8Tt3cTMNNZSLxBsASZQMi1OsryReItnoERqaisi5L6cxoNNIOweS34RbNScfkbt5r
bvR6XQw33Mc4L544ACUAni6zY2U8JYOuQw6JjlG298cTeKtQVngFJGSHarru6IqLVjkHDUYCR0L/
NPvAw5wP+r+AhGRdDFzm45yghgTRYbPPu9CVUYwLRRgV3MrzUgpjLH1MEiOkUpoVmqweDWdeR/vy
NS9XQJCuD9OueoyfpcFBd/vu+tqK9GNsptdzUOTSW8e2NjHZ1FmDedF/cVOLNWSunSqPZmM2IGPM
QF1rwvl3giPNdYQLCcwFEwxlGUkSJGAbHR9sPr1o4uvX5PilIVD4IYr3j86K8+s58211ztsRDQ/u
sIkegFu7rtx5a76sgXPs9jfmt2gd4lKz1s3xeXKarSCMvaSlog4FnQn//QDGRkYjstDeig8YvRvf
s7+iQ737kRzNXXwLcA7PzJ19sbpuHNzzvRDJGEcBpBOzyDAGkFvxU4wYyMky4IHNIejNiTahmS6d
HlBN/sA4gsAuheoyRqOp0diaFWSbN2GPSWrPPsVrcxPd56/GDQldAAcB2m0VrYnAlrjehmJAghIK
AN4XBBkV+JRji+50ZAT3maVhzv9paCpUFstj3xA3H+X7evyc2xfMyK500GdcX3W6kaylYYAHSWxg
JqPnlInyBwkoPLUCzbNYSeK1TCZ5q/eSAR6AErgUVqE8XxfIOz2YALagKvhy8eo7N23TnnOzsqFw
NQIIcTz2xffrAugfYDUCiBxsF49/tAszAhJVr0ZZw9uW+POGNuSVkrwOkDT/ezGQAeheDG3jUmLE
jNGgtGEPPezQURKAtOSnORCxJlCbZ3VZCmGOIWSPUalDSKh9RQRtAtsUsV1XPzXdy3V1uHawUIc5
fSN4MYK+w6qVI2WxRwMBAG5Uykvdvl2XxNufpU7MWUNYZ6Yo7+OJbH8EATBPHglZXRfBm3/+BeyJ
4U0L8G3suIiOun0jUfdVEW8+6ivTy47SD2M/PHWHcHNdGM9voZkYdU70/CIIo78vXmuqWlVNNGA0
Jfc/SLROCFqoSjTVyM5gf2jSugo+rwvkL+BvgewwhZV2GMlsIFAttJU5orsQqMMZ+niui+G7pj+K
sR2nCbihlamicvbAzHpqYk/9DtL5Hi2EQesosVevr0vk2+AfxdTzlSwLQ6nVnNpgsjbzla57efqo
6QKXy3NAi/1ii8QGUPazroIUrf6WIWNcCh6gor9Pf1/YA4nMeQwoR5s/AgUOaLqxKEzkWhwNT9Ho
CYoDtsLZx+AbQVs4AjjyWLeTG48vtayjAwfNQ7toQkUuEtgC1w9hQg9T6BZmQ9gcXdCC51QvINFW
jpEPCIF4nQeDM3QKMiECK+Cu30IWYwWqlUqGQfnYQqAFSWhV0F6umxk3Q0Dn9f+rDXPn5daU6/UI
CRVmyOJ9WT8WwUOtu3m16dBVhWxIvFeC9YA+MDBy5kK+DKrBhVdHmQqwlmj8vHhh+ENmKp0PC5RC
ZYidjPTTsx5J6NKqY6vwitbPUWUdq4eUmNkJeFFJ4dLGvRsFkCw1gPJA63Z9SXgnb3ln0t8XNitr
AJIjdM0Bpeh0KjqUs3UXP+r/gMNBAV5/383MLaMUytB3aAx1fdhrhHJugkYUBSPlov4M3hFZCmIu
mcjyza6cscSFKmNQ/wO1Kj19bPVTRzxwoG8b6x8KEWjeAgwU8NsA/8iEA0QN0OHna9jT/jFWV82w
b23Brcb1+wsRzCZpmT1VUarjURCT26TLwcka3+Z1JjjrvKVbasLsEa7n3opmiGn6tD0YBARqvqTs
4zEyvcaI95YNUhk9Dg56VYgyn9xAfCmc2behLpVJJVjGh9R2jBP6CN8aIO1v5YN2n3n1Sn3A9bMV
5TK47m2xsswVPrRdZPQlVVkDW5y6rpPHItwUIQbOBFEj17n9kcQigcdx01tBDUkhuLxqXXZaEVeB
wEpYV020goDMBBJSHa/rcq2ivVnPBLNBIjUYH22PSolmXWxTr7wQCzIer/sj7oZYGoAQgUWCURTm
NOVxDIzDKsarCIUa2XAzIPWlN5J/hym065K4swV4qCPjghsBE+6MKkmqxKlGgRNKawIrzKHvf6a+
U8S3Ug1s/GI1aFuSvU3+TWncYSZOIJ2nKEpedNAAqTQgT5473lxPwjkqUJEa7u21vike5m2ROPqu
XR0nj6DtxznWbte4kqCXgC8XdXzAh6IDhYUQ9U0pj4HdjA2Mm486xPz0+I4e/tNoPGlJI3BcPI8C
iCmAl2D+Xkc96VzJokCmy6LzFKouu+N8yOLPUbMcowDpyaFPvKb9cX1ZuQKBJw7QAoBVGyz0tgSM
XLVEohz9LsVhat4aCwnx8Ta0BjBlBE9zBnJyQGRcF0q1YG91hF0gNlQoWDpbiibI3JFcAVRComPq
Jtmp/WECy/0/CDHB0EhfnOhK0M6X0rbGDuVFZF1rvVk3/ryrQnnTBKZgx7gPKDQ82FAHo+KGxvR6
1IOamAmhaYEovZnq0wzm1bBubjXTXGF6ah1W4R3wfR8m8BDb6cc/KIkeaRMmgzFKtuJeDp0t1xUO
RZDsp/mbbG6VWjBNx9sswDRjRBO4JYbKeklJi5GplpADtePYJSPwB+GRRSUwnpdcCmFci5nMsR7m
EJKZ1p1sdvd2/nB9pUQSGHPQtDwDZRhsrjJ6RxlPRioIa7iPQDTfgZteRxoSTbXnBpfIUxQMNV7S
jfUqF0BBOEzqo9Q9x+G9krvhjXSDLPgsenvy4tGFVPaFEyLCSg2a9xiSGePQL21NnNLychFiKQ0n
2DO7lMOYeVDLw5jLkKNUZr6J1Om+H1/r2b4z568MSCUOST6v7xjX8P6sp8HaRJ5oRVIgME1AYmM2
GdgBHpJKcHxFy8eYRaY2alD7UKu3N3MSOrPpVGAHCgUvXZEYap2LV0NBmkEbCcSUeKml4+Rk5mc7
bEtZ1LjO619cbhNd1IUgfVJSoqIdwQVjlRtMH6A7Uqobv3yoR2BSJ6WrGiru739o5kC5SVMUVIMA
BMZmCuw4wEQJdYJpL+/bnNz23dN1a+AdL1rRsm38o+6O3tMLzXyjGEYMt0EEqW4r+pwuZycKOyeL
NUz5Vkgj7YmWe4MBkrVvaikCyeNsIXpJQMqKSViA77D4fGbfKVmk4kEmo1o+FJsY8w3yuxFtruvJ
sfozMfQzFmqiwhHoCYGYtsWEVTueWr362eYimmTOcT4Tw6xm281VH1GUmLSJb3Sg5BEMJVLmhJu6
8B1McQiufE6cQfDaQ/8EMIUuuyhiRZKruMGzOTarFzCXrsLuZ+gDVmx4hElhYOfTjgbBUnJ1XMik
vy+WUtKlwahalbosr54f6+TecTQAksetoFmKu2eIDhHNgDEOgCDngsqmzgJKn+yCJ3vTWeEarH/7
ag4EkahIDKOPBgpbMsgQM7abyrwDCVMq4tmiX8p4eVD7GQaqHJT5he1kav2qzBPLhDsEg00O6uEa
2R5MwGZOKyqucrWhZEdglsJp/hVXLXYHXAo4UlTUGA5eZ261sQNvjvMPpwktgvhrlNuCHRZqMg0z
iIaFXANgAFL1eQIigBEIbn6enSkyGitRo8GysaArAejOpaCT0GwcKxs/REUgBk18pU+e3duYKB2R
cIyK7d9rpmCEHRxACP0uOHPiwcRzqAwo8wSo6O06qzxi98M60maBejzHt5TEeKR5Jiam/qBeaOvA
XtKPeW/vQETu4abZ/b1SQMlDOwCytZSP/PwgAcnST+0EydNyNFeDDJzw2FxNtS24jXlWDk5orB56
GBG7M5d+RTo7LSI8/O0kd6JpA6Kj0DqYxJni9XWFeGu3lMTc+6GUzcCugkK5tAZwo2OSz95e9drj
dTGc4BZcQ38UYtZNkVQ5wK8QY8wnMtiboigFDpyvCcFjDUfJuBgaSLOUoCSKPEaW/5wAfmW/km41
GP9iAEAC/q8UxsVFiaJVIc0NduVd0e0mIE6OgluBNyoEHjeooFNycINl0SjHPktkiusFPj03/V4e
o4dp/yS56WHcGuv6EO3IHvXcE4D5bzGudLiniBCiRn2e91t+BHOooiyzu4F+RDvdjsaL1EWu3Ai2
TCSDuZbqcahx40KGpa/14NugACJb1NDH830oyNsgf9IAA8ue2DFVE2BV406K4vmzzMJjr2WHRIvX
aQrGospyLCVsBE6dF0vQHnaakwEEERuJGZiXGdoAekV9CciQ2xjXRpUVTgOKd7NcAWRhEGUseB5j
KZLZrr5U06CU4TGqjNyiI85Vh+yrL5VVZlvrnmQC5y7SkNk5vUZntG9iVaeiLEACOX74pdTs0r75
VvTym2wHxQpMX7cZ+pEFi8vf0D+Ly5xACeO1Y1picWeijBu5RNIEkJe9lxHpYyz8N7lQbkJDlFbm
eRfku0AYjhwU7mv2dTln6lRK1CMPBzxetDEBgZdb+z+v+0lesgbNriZRMAoBWBt2FlEHVsEIfCCc
fdW8kRPTnVLTs1V7U0nxIUveWivbGYAaMIJpGxjd13XxXCuifRbI3gEyTtPOrzez7/sawDR4QhRf
bZLBcKK1GvS4WD8wsiPYSO6SLoQxV49myJEP6GmkhgDeXpovyZzs7CZYG9K/xPb4c7/VYm4fA8P2
sVlDrSkEZopsHUhOEJ2SbTcWp7iVvTpsHWsWjmaINKS/LyLIHJ8EHHbIDeNyC2hdNzY6xwCWGACZ
b8ZpctGufRdgzkmN5a3ftY9ZaZ5INLSO1KabKukcRUiFwN1iUwY4KwWqAb7u+TcBMCOth44eH8qd
Fq7twDN1D2BRzvR53Zi4B3UhidF+IDVQBkNor4/vuuZk6TZFBQC9Bj6dausFpsu9SxbSGI9UTAA1
0qheERAi5embj8qnEohsViSFcT7hkBiSkVJLMjAPsQK4g4OYUHAwuM51oQr9fWE2Wmt0oQLGLHfu
2m+a3R7DzvR6/wUTWCvdjFZR+JFjVuT6bvEq6Zi0/m0YJk3cLKTGfRhXJZWKzty1FkU7UCK4Sp+v
etJuEcMjtR97gBV76HsNFKXlygo+wCd6l/41JRoeQssPYVxtW0mmjwkzWlhWPT1UQb4QbUqpFQQf
vJAUjOZ4ngCVHow8jBiSgn7PTvDyCoixHmJzC0yazfU15VvLHxHq+ZJi4iYCBSQ8XNMH+5iEaLMP
X/x5FojhupmFJozXLrS2sNoJmuhTsKub8kbpH5Qc+P6jkNOM/in2+Y0wCvCdmPlHlxSzaLrdNpIW
2ogKAXw+js5sPKTAI9deiP5tnNedfzIGJ9eBQdGtGtGUI6++hybaP9KZ9QwRLzd6DUVVZLgK/d4M
96HlDuUBJDJp9wnQFZzHEgScKnrehtX1zeS6s4VwZpUbMlRdTV/qRQQE6NidzU0QdV6QPYMqWBeB
QvKGys90ZW7HIAjBlI23phvOt0a/KtGMb/Qb8CAjrnrQpIdU9cZYUArmGhJtUqYHQrtA1JTsdJDt
AjJLP9zldQ92sWaVW9Kmg4rXV5N7DVHAZGD46MiZMobUT0Y2+Sre7EbYo8dOWUmdvknxwpj1b7i2
dtel8RSjQ0S2TGQgIrIlsKkIQACrFwj4NdI4dZJ+byu7d9XABA+rajxfl8bNBANQGKN9mF+npNzn
5z4obKuRDYhDJ5++aZLy2DZV4RltMO4AOGtuOlP7aqOqcUarKzxttAKn9OfHzCxFnGM8FwSnjpq4
jq+5IBxRs1YbEWWBxTK193oHwP6K3KTCVxbHXFF/o49iWvkGkAZzZ7Vx0INaoEcqM3qw8o+yvy9A
BzP1LrquwnzVSBItW1xf58tdpVTWgPWjne0o+1PdFzeWZKlhVPiQGWeu0jxSbK/C3BWDCE5YJIf+
vpBD1C4OgD2HS5+4bfc45Wsyn2r99X/Thp6YhZQyHkDXZkEbAxASoYWhYeVRl1GVfbou59Ii6KrB
PCm4JCgPGOOsohAUfi3VJn0c+vtcPlUiYrjLw30ugvFdoVHOtk1FjOQzIDul9oICpfSfs6gWcXmH
Y+ZRVglq9JiyNtjWhxaYZNJEG7fH8j6o7QfZ6gSZc64EC+8hZPtwkNmmDk2JQz/yURboareNX3Xt
r10uNEB+FIyAeFkiAXy+611YTs34qwRAnhttrfmAcPZPOUZSr+86z4aXcpjAVR1z9LsNSMCZmRek
qRMQYCaiJKUL9OGtFwpgKEEhewXcWcavdy0Ct9JEfqy2T2rxIx1U97oiv7Jf5yEInnJIrmAiG1xQ
aLs8XzEThL/y2CMEL4+Y69i9q4FDvGrlvzebaZU5svNyo+61tbHC1NzsvGbodO73gYcHHgjVkXhx
PvxVgGo3SHc21z+NM42FT8MmUtolmiVmHFKNGa98yhG5dkbpNOOT3PlOCNAStLA7dXFj2z91M75v
tW6dxPdy32xRAXrqVM2TlRpYnmCmNSvRi4VzFg00s1POLtS3ABBxvlx1l/oNsK0RTZvpwZ+7Qx0p
G60y1hOO5TSLyrs8caDRxKlEkhQWzSxBUQD0fCCws7qZy7eJ+ECpy2aLqG6Rpk3qxBNw7Ny4q4xt
LmWYvNP1njjzSIZ9AH7Mld3NqeUALKHIQU9oUTzPuG+efeS37oyi1w3v+p7xvheFJNNEvhW9I2x3
mj/3PhLtWJ4JTx3HT2RPmse9FRXHUWq/55EIEoR3URoowYA3U8cpQUX6fD8mEpIxsGgMK9WgCGxk
b9C6IwZyPTJPXl3ZyDBlwKAaNmgtFOzOheuHhwQpMxCK4PwxEMlc0gYIPSxbwvh2UrfPo5+Wjq8C
YFUrB8GqXmoJSSDvkcE5DnhUNOacaxkbYIuzKgLGdtXea6Aic5IAZ7QJ3/1++D7b6kuYaRh6yO8U
vRK4ugsXhJYMAPjA96DDXQfU8LlsMoPGBN0gYN81D0jagdIyEEi4XEcFEDJop7LQUEAsls9srNKC
4E0OkC4LLcmTPMSrpM1AVUvKfHXdPnnKgPMO3N14E6Nbn1lIQ0MLfaoS1AaD0jGMu4msrwu4xIbA
cqFtULfQOgB8XnaIq0OreFL7do53f5MjDDUOJDPatTTFp1AGKUSjG3tfHY6KJO0tq95JavFcVfMN
oLYCANjK674J73INQL+p0e8Ltd36kq46gayJ8MMu42r6qaAWAp4KjAtrcr6zAxDm8QADLEQtmetS
ybYyYCgnU/bAcAY2tdCtYt+Vx69gNrxYCVy7FwGMcXYeBXQVaWDU/vCWYGyrKX0gyE1IUBYgNIDj
CuoHVVEF9whfiI10JdCkNdAFn6uZpVmVlRNCphCHx2/kjYk7Ts+31zf+ku8LOGwYFESbI62OoEPv
XEyT6nOsou7rjmtjLd1+jl72gceRZ7l4mGymr/r1AaDjp/xwTE41UJIepSdggr8TbxLoy/EW9Evw
MEPmR5EvCl5dXOUKprALtxiTVd49k6meHdKO27mqvbruvMmvH5QSwIxGI3JV3MUGviSVDpJAliAQ
ZCWVhnnNArVx+2PCwNxYKoc0nAWtEZxzDBX/iGHeEEZeo2mog5ioaJ0mNW/bMHq7vqHULM4CI+wn
3ljgvFfRtID443w/raqck0zCfpr1g+7f9vk3LXHa8cFqvun6thNCkFJbvyaPCSnbqbX8KYoLdNZ7
RX2bTE5EcX68Yd7r0rutOe3wLPUCq71MU1ItcW/iGoPRgkr7XMukL+2qrFPMTm+ldmPdA6zaVd+Q
vjY93ct2/Sb5+n59XXkWspTI6KmhqTsrAYzjlpl8mrRirwbjjUJEpBM8MYDFR28cLVSobGoNg7SR
LaUZxoPSaYVRsF1VN56SRwJD5DlRWAjGaRE6Y7CSNfjWHpLRGgts2yk8jut+17h4tb8XR/0rdmRB
I4NQGmP3siL7ypRDWrtuPWmLOeyNcqgP823qlKPTCS5m3ikDghi6xXFZYgyAcc9DbIWVpVQ4ZVPu
aM0PVFCu28KvnAJr9EsJ6rn5EVIaHcB9Cxfw2umu/aa6syNLDhCEFC859vvZ/UhRahY8eni2ARgJ
vCowBGspbF0OYP0zkJsaOCn5STH2mroaUpFdUDNmNdM1Sg6O/kUavp1r5hu16qMiX7j5Lj5ZN0/m
d3UH5o69/Jh44J5oPHfOQY7rXV9QrmbwWfC/eF3DdzFSkyksfK2D08pqL69NJwCnnjDIuZxFgtfQ
F2Ko4SySK1MekLAue3iNUzE5vYeQEACST2rnJBtyUxzrF3NbHezdLPAdv/Jel6v6Rz+q/0KwUaKv
C8SL8FGb9xGC51N+HOC21tojXvo/ymPlhF4fOO1WPcVO9SrtVx2aPj4mtHQYu0rkPXl3xHIdmONo
SjFI6kx8TtusjC15bNz+YHrlSn0sC69ZjytQtGyrY3RKXt1ElIPgCkeaDryXdEzmooZuWsgtF7Cw
yDx06SZrUk8Z7pPQy/0f9eBlhaAvjGPRyPkiUYAXD9B92ed4ivqLbidt6WrAciIduOaH+7a4i6zI
SePIqaS/fl4pGEVVkZgA1CPmOqj+i71GJsqoanlEqivvZ6e1vsBIDkehinoGOV4OwSfCtl/vgovc
ea4B2jmMZGyiVUv7eVBbN+uNUeBzfpGkMaaLJzwYfUBVhKcU2zIdhyQwMzSMuuaz9U6OrUcckBje
gRxkbYIjtfPmvao4GBpYo5573Svw3OyZbOa8VnE9gegBssG5+zN7qY/pnXbIKgdVyLVdurOrVU75
LL9eF8tb2KXGzGG1kgoGk0Jqkx3G/qUQ5a44BwD9t6YJ60d5BWmicwNRO8D1WyH+vlSvStnJLQBN
W09KA9i2lRpsJlF/FS9YOhPI3FZlkthtWVKBB3PTHpUjOcwHeyX9aLzJixRHPjQCD8NVERcVJn0Q
pyHfdK5iOvgGSGZhm6QY9509bvw8cEz7p0Y+8dB0fIVsZKL+bZIWsSCKVhgwRACPRxmzb0OfA+8F
71LE8O2WBMNtJomQBrgWCbWQRgNRGx4rzN7poOMoDPznBuCYkvSXNNpF8k0buxJQEvtndUIDyZ2K
F2H0kXabHsGVKPTlWefyC5jNTIyxH6tcx5nwZ2mvkU496ZXxdf0IXPpM1Kvo3DOyUxQokjl4mWT4
wdg0pdslj4BTM+N9Ox4way3Je13/cV0WtYVzB3Mui9m2ZIilIqP+eeo+iL7JfScej0p0Y8fedUEi
pZhbD6DOWacXENQGXmbdxv6z7YNPFLQ1x1EVXDqcx6xKGZ5wvIEEBHxl+jGLWwBw43qWVHkJbD1r
V4SvKJmhQDW5Jgk9NTc20/glB+mjb4tMlC7X+XKCL2xhoUwoVWsJ2myphcaJvJLw/6Zvd6AmEfhm
ulisGIsgpUehROns4rl+4CGfotGmtw8ey21pucoIDN3oVBXF+vq28RRaSPq10ouVBDlTFIWZAt46
bd5mur9O7Hg1D+bDdTE8hQDPjI4G9IeiEMOsW5ooVdxNPk52nZ2IHXyOdXQjI8MEUF9BhMCLQ9FB
CFxzigUGl8UsHijfQDsVQBZIHw9dF9zNqAYTzP0jS7NOknYra3cKeOXTSnXs8VZVHk2zPgaN4VTa
Z50kAtUv2w1pMPbne9glbsECVDQdvmc2/NeiV1Z6reyNMt/HSXjXZNYqVTC7jKyMQcCJO+Z/7W0g
ns6+AkADbw/2thh6FQB9bVC6OTh2MmU3KigNYAwicjMJuYu36xvNsSeUJWgvMPor6ZzPueXOZlBP
WRlB2jw6LU5i+jH3gqtIJINx0oZfJOCgCsGnHeXO7G/yKfCqSVTU4ZjsmSaMyQZVOQLKGZroycZq
36ToNky9UNS/KJLC3AWYIe9aHRVK15zcPDim2g5pVtV6+pddQSZCo+PduHfOd8VS5hgcX9AlVYC+
pW9tMNpNtsCV8FX5LeRiCHXsBnmu6dZLN7l+ysg2ntxRBCt8ec/AnGnvGmAO0GzCPnCqnPjxSLBg
UqMhLm93pVYdO71M0SSouoPib9RBxCTAMzha6ACKJhLiKmvUKRAgazvDdWNZ4ISY7KOc5Ru7VZ6v
7xLda8brYxoFwKRw+RDEDllXSRUrU1nBFkz1ZprJpvA/r0u4jAZoNg9xI4V6Uy/mN8Kh6dRaw+uJ
WFHmDT1g05NwyFZFOj8qSlQ+KCT4a34ZXNNUn/9jirZZil/DbIxuxgPdjSJ5N0r2obK1+7g2b/ow
FJWlLvXDpB/kYW4IPUhoJzi38xmhVWvriMXbyOvtN11b+d1+0N+FSP1cQcjpI7uHlp+LKknkow+2
KRANl9230Xzz613QvdTqfs4Fh+rSJqDRH0Hs5dEUCTHSAfezUn8jGE0WTsLQo39udCoSeZZFk3kU
YJDa/iIAaPR+LtrWREQzHub2DmPdUvhaB9tqOJTqAWSEf2uB5+KoE1mIK4I87uoO4lKggU/ybp7q
jR+9S+O2jUVYjbxNQh4RBR404oADmLmL+hmIVjjVuHjll9aKt6Cauy+0eiXVnVNqoyDuuHQSAKRE
YzuQTsGeLLOjyYaE/qyC3krDkIE0bj1YqKivrq/epYulMjC1gNYMMFwZjB8v4t6aigED3F3xw5ge
qvgYTl4scnc8mzMxFoX4CYVAgAef75GiVFmuESpFuTf9CDWG++tqXPpwPErgwPGK/OWF6MYtjKCT
MWBaguLSLXLPLJ9V/yvQT1q8A8ohiNPd68J4VrAUxrwVkEcOO/COwnnPwNBKdga5N9A6QuRdI8oF
8EwAI3h4ImgIP2XCbE87WAMoGrFwFVpM0npjJ+iWDUWBCVcK+v903H8aMnzM6oV1gekNOQV5lXQ/
2aWj2g8SkZ3rq8azNIQLv4Uwq2ZVgwRPCyEzDmexa6Iv0MvLimhyjLs56B9AbIr0tM3is+RlieGU
CGKsxDhksiRtkcFoHD0Y30ln3qiBnwmOEFciBeuHuwNYAVv4DY0QIyM+riM/+06vc2DGVtJOGkqv
LTb/sIa/RaFH49zMAd/cNjEdwqymbZPsqqF0QLsrBKjm2sNCDHNcTd+oum6AGD9dmf1bFz6U0ct1
TbiLhgYnANGhaKGwnad2HOp1lGYAjlDv+3jdGnvZpqBPrhkJXANXGTgfGchw8A7sbFao++WgZVBm
AFBiOWnoqc2+jfokcApc816Iob8vPFCaDZYZUzFJB4602B2j1aSYTlsIKj48V4qX0G916MIu5EQm
SVUlgZzaCHdaZ73kcyCwMtGKMScVieogR3GndPvgwYhOkX1Cc9W/bP8fLRi/1ug2esmoITdKsg6D
Q5dsqgAIQHrh9MLnOzVXNiBZLBn7jKjRIN9UOoSByi5xjKFB/nbeSMa72VleS7JVP+teZXaxGxf9
Npnt/2092ajBJLHfVwHkw7126lOvb/xGVF0Q7BmLaqOmfZRYJWSkte2R8CS3gM7R/8WF/7G9iwF3
sxjAxAghCvC521VvrQ11T0QJJK5rwAg9GtGQcUGT7bmFa/IUhgooxjEi8uXnTjWt+vQ+9QOXJKJ4
jpMfRtywkMWYOtA/o5H0kKVulHW3BzH6bfGMitqWzOB0w7hoctdtydN14+fuFWZSLCwWLij2isJA
TIMcZAn3Kj9p1SrNfhARCgb97guTX4igXmThJeIApE6WD73M/MXKP0flIwFqvfVoDaojixrHOfko
uop/FKIKL6T5YZsqaQWFysJRIkd9yw+1Q25AzubZG+379dXjm8cfYYyjJb2UFoOON20taY6GWZ5w
HF3E34PxWRiCW+rXA/naOjK2mLRjYzQhhMnTNlvJbvSiu2DQue339RZzr8+SA9iFVQseOm1TP0Re
KQrNRBvJGGgTBL1cFVjasDa2aGAAOpYxDRtFe1PLm179hxfHciMZt4xew6QOdEhTc/0zJVPkoNNq
PdUiGgqRxfzqcltYDNGCEt2LWNc2WNX+k5F7gBx15ngLrojC3BYR7tBw68ui4ROqwJX9ZLtMZ2XE
mIMJuSCfeenteGePT4ZPZXaOBBp5BaWhqhZEIII91JjsYuHPTRgkENoN9TpT78tqcDN7ozZvA+AF
suHr+gERuBe27USekyqRqXsBgQmaMjK3bsuHVCICrURLybgYVWqNuc8gBlPnRuyW7Z6gcX6yt+Hg
TrbTiN4PIrUYJxOkZSiNGuT50w1pb4viSa0er68c/eRr1sG4lr5KS6SSIGIeHsfpU5sEUQ+3yrQ4
XxctyJYfmHEPAdbYvsyT9KCAX6ZUwvsA3WOTaRyi/FSmgRdn5u66akLRjCOpLbWSY8Diu6ZevGhZ
d4zT4EDItE/1aF/bsjuXuQOi35Uxypvrsvn2jyifYrmh0Evjs8Vhz/0u6zDtWrqxpLup/CXH4SbM
5rUy+15WxzdzYQpyQlxbQQABAGo8mjW2ZK/NiT6mGIzGSMewAq3IKgdRzJD8S3KQLMQwB1vvrNqO
J6xpG/XrzLJAvBed+kj1Mu1HaDeCZeSUoc4rr8w6mnj5RSCNxAl4l0Ines/uzV11U2+D3lF3uIGA
EO0ob/FO1B3A3b9FdZlR06xbrZdDyFVaBWzhQNPoNm3h1fLsqMVr0guiTO4FvxCnnZuLboBbQZVQ
zPaLFwnNw9ZrU3hzs9ZEdyvPgy3zyMyRUKQ8L+QcdjmqySYMvKG47+YtMi0rW3KCEPFfI4JB4em2
FEk/aXEU9CwoqzRCrqBJf2bWQep+ju1zAhLMUNK8vz919MGroDvbUFE7OxdVd307gqgCzixZE0w0
Re+qdfSnYq2qnhWIJnK4/mUpjjGSrCBa2TUQVyFKIfouDVVHsu4tdBnN9tEqVmX2ozNNgZLUI7Me
eymVtZUwbUmp0S1ER9O46QHdnKBhxVS31xeT51CWcpjLDpDecdIit+QWw3siu3J4l0yC2It3+dCc
OTDXUFADN8L5fqF80gVmBZ9VWMVtX/oPuMMFl4BIBHO/5YVUWkVb48ou/SOaIVZVI3q8cRcKY5ey
jNcbxnkYA0eip4pyC4dXMxJHCd8aeXRiETsX9+D+FoKk2/lSITkVWZi/LF0yTe9z+xTZ4S5CEnb8
bKTHOFLurUQERsNdOjSEotxJADvBztvkaDaw/Aa7k0zvtX2ni8heuYa8+PvM1oxyPvWYkURNyzS3
lh2dQkDjOUEhrfxJlI/gy8JIDnqFgKXBTseaYR8NkQJdUBNNHaI2d9PQbWs92gDL2v2Hg4Oi6v/L
YqlyOkKhvAzIkktE+uWrjfn6WHQPCxRir3sZ4QyJ8AD9NYSNcUWwBWIeJQoFJ5TTW4nCI8ZXkZug
rN1sozrKwarVoyPZne6N0PHvvfGr2APiwV9nu/w12Iz7fDN5yc530r2oCZh3CS9lM/41lxqAhWjQ
caITNUEagtAVjEPG+B/OrmxFclyJfpHBtrzpVbZzqcra934x3V1d8r7vX3+PC+5MptKk6IEZGBio
SMmhUCjixDmRO9ORlUm6G/CIufz1Vq4r0HVCixHUWUDmn4FscjMOMeMG0HXqRz30OR8AP6wLT6Gv
lw2tPQgXUglsL5jVQWElRL9kynMrsyjAgGbnG1O2VdJ5E2DSNK3nXWv8Qcf81kRdCzwMB/AxSeaf
19YJLBHgxhYQzmdqVdasDvkQA1ADroXOI6me+9qQUNYlRevCt3NPDSuZ7PZKqFxGA0Fzt1Dkn5GT
5WHgtIAaw2tt8Hbw7hDkKGZ0heQbyswIjmNp+TQXNlIOoCxrPWNGB0Uk2YTd+RA1xmOPFyNcxHNC
Z86Xi9i8y27Tu3ZDWeTf55uxZTNGvZdCWvOrv6kr0M5IFrgSmjHch0ELwBww2SniSPW8y6dAQ+8v
DbqU0fnXMEERTuKfq0bI0kPAzP+S859eOf1sNlbWoRFnTcZ91gP7BWvttaM5+ZUyTagejMo9ym72
tYZUztXn+Gesp0CJWX3CIm5mLJbxw645LYYvCDhC0Ok64yssJ13NRoJ19+Zvs3pKeOIlJYf3QkXD
on8fxzHA8q8x4X7q0OVWwWaDRIuPwEcpJpS3rdpkSigjIFu53GEJjWI83LDPYszJK9RiaAN/rSfQ
aqQhXjdpFEE3elL21RSBSjOlYOkemz/tWDxf/swrQfbEixcvOErP896qrGjpFJjTvaa7ev/QNo96
cgjrfS5r5MhsCR6V9pU2jw1s8XE45J0F6anGNfrG7+PwPgZvfKn3ko94HmWhcQLsgmY4iLCACgtv
AqjbNko3g79n7KlXD+pOUenGBioUEg0bpSMvczSA1wcKV2hTlPz+8u6enaHFOjW05Reg7ycCQ3IQ
aswQVgVXCv81hA7TGxnT1VkiAAsIAYDp2IAHnUG50p6PFekDUJMGvhHuK+16zP0uf7+8jvO3jmBG
CKkYCVVUpcY2qq+l7vMX8kv9mDxQPxqcycZsz8K3YEsIrGMeaq3JYau39/XIWVTdUceXLGj5IyfP
qG8joJkAyHLl9m2A2Z3rBqzPuTluErwaGedUc+1Wm7YtTRKWm0PipUXCQV/VjrfI+0GHqA3mVZN1
D307T5JfdBbblh+EaVhiGgsFrMh9TaJgMCDnkrq1/gWGYAb8d6Aq9x0dwEE8epLlL25/tnyTAk8G
ljIMWQp7TPoGdPULSVipBYRBc/NAA2L7YVVUH31kxRtw79y1fLZvMel3EzuK7cVzIjkda76LcId3
k4WZY7AyncaeIQ2Bch0heZR2lPXGPip/xM67JWMOWNtZ3BYYsAKnBBRehBAwFDVBOa5KXcMZfH1M
9xZNvLAxWEo++GhIIs6a9x5bE07K3Ot9HNew1s6aV+m6n9r31ShpiX8nh2ffD9Pw4OVAInA2Ex+Y
Tjj2AVgFxtIakLD1GVFdjEEZz502xduoG5ufELzNw2uI2iA0RHEC3nYt1+a9bcf180iSDqNfim38
dHpOvEQhcweWnSy5UqspD/1kRnOANa3VPNeh1vhgAqkrt8nbyeezlb3oVmv6Rltoz2prKF9BXdi7
tDPVFzMIql3aTpkHwMN8CFG/AylzEISMZ0563/F6lCm3rG85RtnAqrDoIiz//+gO08Nk5DZdhrrR
WRhGa7x37P6liNtCUmRdvU0wfE8BwAc8DfiXU0sxpCTqYeFnK4IBOoK/mgkKD9czZXwEN7Sv21c9
9MVLbXP5uJ4lCIgNC1IJ4kEUVCGiOJFjtHZgZfApq32Zu6exvOLxoVVYoryo9U6LtpfNnQ9Dw56J
pwkmiNB1BLH76TK7oiszqLngxLQvWe+NxFUTL4j8NmF2/E5STCDsNOvWKSWG167LY7tLAnH0IWM9
zJXBwTqdpt1G9rgbJk2S1q4Fg4UlC5uJ0sYZm2bdDq2e5viCPN6VDfBEu6nKFi3Iwpolptbc8tiU
EAmSgkN9BURDrsNbd+AocpgpU7NU4hyyFQmhnMfQy61DmAlQ8S/H+zF5p5jOD6ZP+cvqLINbHAMM
ZhRoUNQDxJrQwvfa5EOLkwaFOvpIYwo01kMdPHUqiKFkVK/6mj9gzhHlJ1RtMMom+KFWKX1Vk+WS
hp4QKvG0fNJnfDlfqR6a4JU6W8W46fhPgJUzZ0eSr6a8De0S3L1bp79Wjc9aqVhWPqXzLre8KJfB
ste2/vj3Cf5qVQ1JTI4oHEGrUmX9tKntB9L8aiPJTXnelcfGg9AFUFvwlWmQdTg9GaR2Gi00sRO1
HkJOZJtO4LNlVVizNnmorMkLNcJQr/XTomZd+qMk10XgptVvk1wl42vujMwaXdV6GLnkvlshOz39
aYKbd3pJQPSNTaiy60nNsPk+XjF17BH6HGcbK/b6ZFcoXsozL5cpT645JMIieHYWdj2gbU/3JRnB
RKD3Oc6YDil73b7Pzd8tyOwTDdvgkM0oU3pfvwJQRYRbImshok/GvWUMnY3j1k0+dR4I9/LuLbef
w/5nRx/QCTOQFDd/zeS03AAoOABMjK8PlNDpOodUn0w7BWXsELa7UQtAyJXcWbUhySvWQpZFF+Yg
VKX0swc2GkEo0fRJ6s4oi4KMlAWGO8ja2mu32bGRJS08ivJJU9Ic+sJYi/bRtsxst3a2IeHzYO6y
4E6XYZfXssxjc4KLVNVk8miCOQs9e8diBrkdIblKZS+xtWAAgjpMMlhoWoIy/XRZ3aTgBBe4vEjS
Qy53X8+PYZX4hvYzTSXp+4rXI/v4lgcDiQjg5aemoIsdZ5EBU1H8hGExqDnXKJzfcY0lxIWs6OV0
YOV7nVgTvtcQ6zxVwCXmJvF+rgpIzKMVi16hpbPM+EEgWg3F8csmV/zwxKTwzWLokOcmwAkuJm18
te3QqLxRZY6x8sFOjAjRex7iOKiXTJ1j2KBKr8DgjW1lTu31leRc6atfDOcJhC825ihENqAsj43U
mJY9TJ+icT9Et21OIPXqmdw38ucoNtyw/2zyz8g6BPPOJrU3GBYj6sbpMPSzb/mmDkBD0fmQyXTR
5WRhj7IQyEpZEd4NsjG01a05+rnC1uC66XI9wt+vQfpPoQai1Vu7+jUojm9/Xv7UmmxrhFdg7UB6
c16SvqACnM1rlLcI/KK0xVTVXgXDECDM5EA1Xy/uW+sqm8CXpz9S8z3Nwm0pu9HXbjNMjf3/Q+li
o61R02BQVfwaim0GUzm/MXvXTFTW9HsLFAHB8N7V49Y073MMf43/gcIX5kEeZ6HIiRxc2AwFL/Vm
XDL9oLof6bMOKhu9uBpDST6xer7+NSNKQitzoNAmgpm8eY9AacLLXV7JyDFkRoSAaBpKOEInBFup
/GgoZ13kW7Jm21psAuiFLnKJNnpuQqDQunFIk4XnPbR+pcF+Tr0B1PJ26o3JdVG8ja+XnXVtSRhd
X/jX8IJA/f808KqtCtkuPuHcTb7i7EznaZZlNBIT4qcp9QH4nhIm6uom5R+V5Suyebh1E5gUgVgx
ak1iqWkqyNwSZcD1Me8m402ND7VMJHbVBIqSmOoD5peKHG9hr2v1bGMV/fgEcbMpOYDG/PK3WKtJ
Lrxg/9gQgtRkahVvGtig9fv8wwBTLDSrzT969KPrH1Jci2aXSWyuLwvPRvB24kEu9uyqsgU/A5RJ
XBPDivwrQgmE/Ly8rLVwiKGhf0wIt22gqU4GAtnUbQJ/UHZ404AjMr+dqa/L5ghlqxEOD53QUzU6
mKIOiJa13RD9gOrZ5eWs3STHyxE+UtJNQ6OpsFFFC+8eM+zXyckY1a6JjLVmJdFbBqf/2TnhcGp2
VQdaCVND8VtTrtLmqxzx7t5eXtBacQSpP0Ar39yeuvgGnuMBCP4Objchu4MIEYO+Ewu6/tquLDfQ
azyMy1uQsW4nM7gBN9FDWP24/BPWgt7xLxBcpISsVIMhRmSazr6f/lj9s07A+X5V8V+Fs4lkYMa1
Jw9wjGijgJgbrWqxP9XTORwHzcSTp45cIGzT6MUu/DS4Go2ZjfSNoILc4ikuSQLPwQco0Cxjzzjj
0KqHRNlptLUzZaqDwoI8AWteu5+ZT34RL/wsMCbBon0NsMhnyIq39sa5niS2V44GTGNOAp1qVTvT
6gbvcBXYuEeWEOk4XtZu+9H/668IrU6M1C5D3RRUXKerKzO7HKtIwbukisCQtbHUbUgY6BSYGXlI
8mJZ9XLlfBwb/I6nR+8uS89rrQSbsksMTFbGJYTB9jNQsbLpo7W9O1rYtzsd2elVzh0jo3iTKxxQ
ApSARwbG3su7JzOin+6eXXZmniMldkPoq4Ilh9C3oZaAl1di1wIkpM6iFQFPEOJjYilzRhL4H4jE
D03RuaSKr9sh8otFErqPJWCblch/Yk4IlZGCUpeiwudS/TOpIhaBtSxV/Mq5crCXMqFpmTXB/Wqz
Q6KTw5pueTVa933IjHoHihxTf0i6r8tfa+X9swAVEPWQ1+JQixNOmL+nVdvyxL0GG/6236TPxXa6
qvdoLOypq7xErnHHD9B7vVV+QB3DL7fxwUPAYY3PJY/nc885/SnCNqtqYOWdrcSu3VQoil21Rs9y
GSjw/KzBCFjFVDQkloKNmPuCRaGbR6xXBzjL6LxKifBKf7SV/eWNPb8KYGcBDYCqHbRi4rsynnmh
lhHsaNpXYvuoRs3Vm57HrLceMntwQ1Pycvge3TjtPJ1aFLYP9d9YCwJYJHc/Ipe8N/5TvI+2nf/8
m7L5PXr8nTV+5IKwMWJlywwvOpQAhxVPfDP7xEeFbitr5p6f09OfJLhyqg6FNmXLZgd+ne96etW0
H5gSzluJ66zchMeWgPkUog5VyyFf3NisW2NvZbkKvuIg2thtwG80EsebiGYmnqV18WmEFn8MNSfc
At2RPF/+7ufIeOP0lwgOpk4aHwYLv2Rwa5Rk/NClfvsrVdn95JWs8iIcnWtlZ0t2YHWrDagBgoUd
lS6xDhnUtCaZGkFXq7ppoO2W6g+O/TGaXlVLouGqZx9ZEpKczIzVOrdhKcFYOUVmX1lMhZJXYWDc
5q03HoxW0t1bPbNHFoVw7xiBMWkEFglYYwZ/BkneON4F5X9ovuPboYSMxi1e+UioTr3IGMN8nFIY
Um2AX11Ta1gPalUUWuvuKzAe1eh5pLcQILzsM+vf7h+zIjA14GrMrXxZn+ZBZYnVyr1F/Zz66iAp
d62G2H8XKIJuNF5bTVbAkmL4ZnozzPfa9H55MSuvv5NNNIQEACz/pd2FITTrzJ5phZ+h8drOjU9B
tmH2L33MlGnfqxKvlK2MnH46NbLVftKwsl6fPQUKTuP4I5ijv05uTtdmnFqByEFmlouDROQ6jJ+6
IWLJX0/vLwFkgTCCZgX1apHSrKwzTOlR2KhMls8xc6Dt1WksRBX08pdadbsjQ8KFkdC8BZsmDI1o
XRnKb17dUOLPNatkugsrIeObDQW0nhoUxGzh4ygAQ9LZ5kjaB9/MMZaEUfenvrgFnCUpPDv7ey8H
SerCr4DGHPpyQryIQ8J7B8Qbbh4fbO0+Nd+zv89A0fU8MiHsXWQRKx4m9NaS/L7V7+v+BaMm83Sn
d5JrfaXVempJiEkj6MjVYsFQ1O/JT8OtcwYysFfuDht+ILcM85sGC39eIQe+a64wl/T1pf5IJZ5y
PpsOXkOw5UOWCHhzSxfLK5ODwujYAQOlaYx0zNg6V+rPKmXJa7FNr/PQna/Gr7HZ6JLztuKiJ3aF
u6bq0Fy1e9h1gvtUfYorkJS5BuFQAdpdPgxrYevElOA0EBFy7NLCPjvpV6u8W38wO1qUE2u6G616
1eIbHsgg7Sv32olJwYlSxTByJ8bq0LcZtPdZ3db0kMswKstfEfLCEyuCA/VT0syTg4VR7XPqfxLF
C+hjFT6m0S7QJSdvdUWOjtrlwqJ7RiegdkMTDgNaegYq8j2arVHj8vRAOsnXWon2IMn+144QhxPw
PpKkhR0+3+mmF5TPvSx3Xf6EuG1weESQpb9vigl83jphoQfQPQx0yGqpX0RWT143AP5TiA2gai2W
GYiDapE9Q0Oea8S3Ev1pNmX85asmUEZeEDWQpxJHzJNQMwcseolSn0X5aEFy9fKpWfveS536/waE
uz5sNX2c8wxl1+xBxT2lJ3d2+hjK0vu1z31sRrg/6rjqkbVgHWGzn/NXu2JxIPGotUhzbELwqJA3
PBwTrMTBpGf0QQvfUdDpAmdXWkmi6epXscCbCt0nB7I5wmqcxBi0RgVQwYwOBibHGtCSX/4sMgvC
YhIkrkWxoOFaXAmoC5amJCNf/SBHS1j+/1ElCVP8aJZRoDuU8CUynsk0uvEg+SKrNgAcXJSC0V0T
y7k8mPMqGYGsKMY7RfGc4kCyr8v7tJaXAFDxj4nFvY+Wkda8SUAxkbrldNs6rIN2AbDE5U2l7Lqy
8nJbJlq7FotBMY4JEe17GlzYN4BWlskmdN7CaVNZjQcCG5ZOnmIdEJ8rSAteXt+qUx+ZE9bXmjS0
h6Vn6tSHQdtF9qtNvKnelX+tC4f84HhdwuU59E7VRzMMdeMPK95W6FcYEpdbXQsQMMto1oJwE64x
p6IZpmHQ+Sbl81Biom5vcMDAn+JYknFJDNlCKaHqhi7LKgR+8Kz02TNeMGBw64GutSSTXqsO/u+K
xKlorjsAtQPv7VrhG4hkGMS+fYgeXXaB1QgNORaosyFfdcTMTYXsYRz1i4sTZqDXWzue2kEI/r/E
tCMzgqeBqyTWQg4zuvqgKO+V4l1exmp6hlm8ZeAJDT4k9qdHtYitOA8WgGM1Z36lhNdOnHgk0nda
OFyrw+2Y58DA6nnFctpIWmUr2APwRUJWCX2HpTQgNk3jnES2084IRbfadbZFC8BTF8kec0tGFvh4
pI0Sk+eiejhRxyaXSHIUmhApuipuYFLf5vvo8Tnf84Zpb9StvPILlaRteKs9aD+Iq3i1wpTPy9u9
5jWY/wbRI8YB8Y+w2y3JKJlzHLbRuQMfNTPj3aAAyre/bGbtBAA/uuQPqNQ7InNz2PZkbhycgELb
6sGffrqbbFk/Yq00iNfYP0bOKNeyqasyG0Y6TEwX3NOdm8D+MOwtNV0NwKn8MabbJpUc7rUr+Niq
UAbkEwE6arHa5NdRW7DSeLu8d6ufCLSv+EYg4APu99RBar2fy7nEgWhHxepcw46bLYEieuVWdmK1
LlSmaCY5hWuhEUB3ANxwBpa09dRmC6Araa0RTwngbkB8g8GD3nkG0r0P/lrMDP7/jXNH41gDlE64
Ka3EmSKSDQA8Qrs+KQe/wqyorr9e3sRVB/x3E8XKG5BfDajqlqhS/MzsfeV8dN3mson1yHVkQ/CE
augDCOvBhmbtw0bDwKsJEO592t7PaEE0gYfBelX3L1tdvoT4eiEoH2FSGqNsmK85/VIjmcF1acFo
0Br5xDBgE/esKZXKhZ6DszUHMG+UTRndKG2AqvyUadvLP2DVVRCq0Yu38BoU8b9pqjikS/EDDOSG
KfErRJGApkxJX3WZEOXqUVha4GhhoY0lCtKpGel6SjuUl+rIm+Pc50oLVaxUR+Jrymi7Vl3myNjy
Y44C81zkaTBWADOo5f1keO3wkjgSl1ndO7DxISZikuVs/ErhoZ3mKXxfq/JtlSjMdn6iUoBhCCh+
haYkQ1h1lX+tUTHfsaoW6FksaIqMp9D5mOt3TucHtFCu1Rz6DSVG7gzZtMf6/XZkVTgVde5URjov
5/tODV3+mPfuUk+6pf58G7nRnj/TrbPpB2/wQj+4Lfayp+tqgD76Afrpd0x5pehcww/IMMOw5OG9
rKy/ApPAHX5kQjiEtqJmyhhjZ8eNtjGfwucQSm2ecVVty2twKM+ha1+5/EN9rxlGYP+TE5lQWUEX
UtXEUn+WlTEBvQYOYPxFZoXNAyMmo/mLKZvyWnfXfy0JO4ne+Bg2y4noVMxgNhBrgl7aQ98DPPHx
l0EF5EEYikYquwAzoBhy+s16WtljZwHvgpnv+7IESWuVbsD2/9SAB92Spg5nRx3mdHSC9G9MD3iv
T82BSjI1nNFOXfQz/KJufpN2dC1FlRTNVs0gbGGiHSM8Z5PCC5szpucBJejj8j3vFdQC63sqZQw5
c/hlNcbCeo68EnQry884Clx2ZGWmEQLWEji56TtVEj+OafI+tEPnR1AQz4LyNomttwLMHqyfrZuA
Z4Sp7VyxMajoPmlMGXnOmefgJ6FIiDII1IBQTRdiKXopGl6NkBPvCSqg4BJP5luzdbXkKqPPl11n
+VMnF+JiioDdeaGfUoHkPV19Dr65sEnizC2HTruJOx64Qd4OrjYlweAGjYKBh8sW9cXvRZO4/UA0
h1tmESY5NYkplTyMeZ/hWmKVbzNwvtms/3gvthmDpNlnsbVBzw1UiascZvfK/Jx2MnLLtW9um3hI
At+OEWaxhtKBR0QzCH5CPUNeodNjFnfx2+V1rrnvsQ3hI3LEuN4wYSNw5noLvQdtrzfhLztrZKxz
a+6imxhug0rJgiwWzmPf61XTL+5CzRjDDsXM8tbSmA34lAvVuJDF1n8yubBgYawIx1OETIWjzSEt
nWXuOG5odwWNU/z7YzJ1t5Tx5J4nissBPbIlxFEjsvrYMmBrAsFwFu5ytEqbyFXn23b2CHmYwChW
K/7lr6evHYxjq8KmWgGPi2ZMM3fIkhQ54mjHN7pWND+CwJlunDYid1pgmX+CYXTKDW87IMZSSw32
XNX6h2FKc2+edQ35ljKqe6r1de82deNAXpF0GmTnFar9Dhtu+UPECfgJhxgcQalOyl2QRPwlzI0p
BQynDTdR0JsSRObZAQBKETkwfAaCBToV4U0a6GqjjBdYnUre7Kl5aBDOL+/gmgkdAwEqAAO4KcRu
ozoO3UiTCZdR2VlAokFMU8Fb/bKRM9fHOoCzxDEGBQEimJguRXaBXJZmrgYkiTM8k7x1ufmoGMSd
iaTSdj7DvsRKjO1BJpvgv8RS2zzFvUk6cKCTDVgyg73mgY2Ijf5vzeM+uKkfuE+u7Am5PNMdFl/F
ewjP+tkO7Cj78Xry823HOv9JP1RPuSvL285KqKc/TizPEa0YFGUhaJ9NKLCSp47u8SNDYzvYN3kv
ecWvxbajnRBLdJgNNqmy7ARdAKlsUGr1jzZUzmOnRKkkuTk7iPjEeFVDWXshmgC32+l1EQVZT6fU
gKs6T1bwpWheNt93skGJNSvoXCODwpQJqqjCPTiZA7QHCjNzVT4+xOSXUYw3Ze6Ac142ZX1eNcOC
MKuIUA0YA64ZIbJUBmgPchum6qbyxu6qJzjxO1rsFONaM91x9i0Lio3DR2xfZ7Lbd22doEbDNQFc
DZJFwTjtMK1b9lnuglXTDe2t7ewBJ2YRmOwun8wVidST02ILYbvMZhsUAPAR66EOfe1a9x2vd7uI
FZtpk98Gvup9XTYp80phbRMWUVTJcj75I9BupbYFzcxlE+fvM+GYCcmLYRZW2QywYT+9R/68773k
h+6GdwfNvZ939wHLgBk5RBvi881l09INFVzUnCkcRofp7st+nt/7u1/gkt2CffXqPtuObiJ7v6xv
Jx4WGB7CsRNjK8akMZDTIa1Iza8xv9c7FOwkTrJqAvV31ULTGhm+cLY7WsTRUCP3Vs1pmwBPBuow
VLVkncXzEYjlq0EFDY4P8jhN9Ho97RK9+/aMqGDTZPzi+e+sSw96g4g8pZ+1ZruaEaNdm+xmqMrx
RDYQf37ql59wlNMLXy9J1VYDXhrOCcUgH9pybypVho1Jh+WFHyvbwDSe1BqDLaoaXY9mpHzYcfqY
aZ3lg1dLkTjyWRxYfg5Y9BDrFiCuyDGjOvmQkCXvj8mfVvMHYEeqeYeC6WWnlZkRgkDQxdWglTCT
FLdB7JXBTRfjC5iStsD6B4ZuqgVUAtYlohI6DNVFTZVkLk/seNND5CCm8SGepmfavYV5elOnnVup
0VtnKZs8nfem/n55pedjocuOHv0EoTOhaXHIMwM/weZe+OyULMbgydfkV/6drrA3zCw+aYDN7Om+
H1gsuZDP8qDF+HJ7YeoEvFqiBl7PmwyPDeTIrQGBo1c4GxuLbR19ZjKopMySEAAhug55zCUbr1vT
o8k7CnWQUyquom7Yl8Eg+bBnSeSyLlySeCVC+t0W16XwqYd0IbJwNMNHliXj5NWdIRstWAtDxnIh
QzgO/E5nhwEVPkhr59i9youTlxH1Z3X2JP6x1AvFZy/As6g9o/KsqeKbs5pb26gUFGdUgNQwIju9
ds6mng8O6HchqqTZnh08SmyuJYXHNpfjeVTb4FEA2TAKmzqeuQXUhBFmyp89uSXBptK92boLK3dC
FEJrUnfToQOix2uzvVXsaSHrOK3enSh8L6SBKDmAJOX019C8Qe3dxq8ZimtOmWn8CcYHyHEoARt0
5HagofQ1iMPVd2ZyTQovcFhYXXWdXw4fKYZYYsmNuhac0F0DOwwgkaApEkIyHQuUfFLMXJrqn7l5
Ly0bzK3A0Wmy2rixagmMesYCY0C7WXim2DTgYW3BUuOnXrEztkgdNpqXHnqd9Ttz8z4wbWPfRYze
KqzZdhjwYIX7EfrEzVyHjdean+zzWwe0AmzXvk9IMPrXeRuwh9LDzJ7/etlv1s4DXlTQgTM0c+ky
nX6oLmma0TQGpG54ucJz5ujekQ1Cr9tADgwkGUYTvwlkjlyziZyiiyo4Qz6ZO9usbuxC2ylaIwmM
Z1V8BBD8g1oheFXADyXkhMDcFTylLXyuyWmEaq+m3vUgkr2q1SrzSN2qD32ndxjTb1XLnbIwf7u8
l985jHjugTFbqrP4Eagwnm6mOjfgGpvwC8pwq6tXfe2H9CZX3Kza8tQDj8C2Vq8sEDo2xu/A8UPj
A1SWQXcfyWhMzuvuy14c/RLB35OYRzwe4YXJa8Pq2at/VV7lzu6fbpuACX4fHsz70Hf8bmfdyqjT
104ASlSLwASoRpBNnu6CWc0AdzuwrYCgVDN3ZeFF/JXOkrrGmlchoQHf71LWO6OtoENaTRqkaVwL
nbt61DZOE/pTQHzJR10L5tD91ADCAn4EIO7T5XDT6puhXkLZRNPez4bQ/FL6uksYWs1xsKFRF/gg
I28fUxRWbUQ8JTJYDs5NGSv5ankMgrQ4Q8vo6Vn9GkmcUqNijJ3dQXSiY+Ov0fLMeqNslJyR+8sL
X9vf49qtkM9pMZr3QYKi5jxsKPmRZ0xVZGzIa5fWsQ3hyCYqMGbhvIRlDIehPKzv9BTcvMWmyl2L
7P9+QSZZgj9EGIDAF0IdNE+j2epwOpVqz/sPNdhmsui/tp5jE0JiWJVkQtsBJiq8DZXgMFt+NHsQ
jYL6rgOqbolvrn2i41MunDRSJaRx6sVcr7sYa70JR9OfolmSW6yu6iiYCJ7QVRUapBW+EmiUIf5h
1zXLlTewL1JlX9qSNa3m98eLEnxC55E+GwCguShTtun7zG0WZi9I78PyrXX8okD1749a7cFBzi47
yOIAYvg+LuMLDgLZeVvhOe7C9LnBZEZ7N85g9rmLni6bWdvOYzOCk2TOUDWligUGyRNvQPVZuI3h
QRp1NrZI7CWLWrsVwd4MVIAOAQiDLtH66PI1+jHXeT8iiX8H856DRu9HfBU8TqCLkXy5NW8EHTcC
P7jA0PRZfsmRpdpsgbbQYEk1AU3bYvzOkmHs1q6WIxPfAfLIhD6Ruhqq5QsNb/PwqTeeVrtZvb38
gdZeIsdWhGOlR3pCugELacHFrHcNm3rJC2Ftq1AYdHTgUvBtxOltMynRyDE1ZETkYI45y2bPIpJV
rH3470YxnmV4UIk0unQEirTRLSSiE7o12xnqrlnYMb3kbCy3bZ548SDxgNUL6timkABZeaJZuDAR
YjkUG/NDC6aTFmyH2WaY3Ibfgum+HiQOvnJqQVCgg6qXqBj8FNMNpeVxHeboC+iYUughoUGzP/E0
srn+RWQQ+e8eqRAiYAxlB1whQPaIAt1RmvAuqgM0qFzD7Z8Gg2UZmyo2vEbX7Z5ssqvZzR8B8hlT
Vt3TPd12OZANFot9o3FlpYC1OuHxz7EE4IpVBEleK1h7fnC2lps/cz+5CXZMuQmvyVX0pD5ePhlS
g8LR4MNUlUWM9UcWc/YgJPP4Q7uzYWp8Bafjvtx+Siwu4f7Cjlv6aVSZhywgfQKLA3S9GHhl3fEq
3txjXvsK/FPbRHIy116uJ1sqXD9hNwxOVsFe67UHcph7l7KEFSy/M1z1Z3HL2ZtVe7f4xKHNGoTT
jWTByxm5tGDhDOXQ/7aa4vsHNDeNvoGPWZvf/OoNjabABhqBQd5AMjq64tfouKCcBhUV0MKgy3a6
y2Dv7HK7h55JZy6iN4FnOT2bEr+3LahBf2JEC4qe7yWqWpSHeDZv0O1jCf0i8XyTodDaNTtjPFD7
qVX3lvPIu9xX6tSzm00mE2E/P+/LTwUpCUa60NEXY6ca0amcM/zUFLP8w6OWfaDK0qsoJox/Ln+K
sy8B0QMLc0N4X4AF/Kxw2lBltprQAqqnKJCSzgamYdK5lATNZWtPvvdihZpLrxE351n8AsdHicln
YF/sOpuvmqJ5GakOQeTcevn75aCrBt44wDGWwszpN+5JG0AXBA8mNeQ/MxSdZ11GuHqW2mAti2oW
UAIAJ2kiSjxvFZKiNIlmYfkxkad2BscKOhecgxf21bT+w86hL4GqDiaJMAknJBwkL6dkNmu0naP6
1dT4wQnrV8pLCTjpPCMVgLhCChWFSlzoNXByeHbdFD+Vho2PRu0nh8Ez78Fem8nYH8/SnG+DYO+F
uJEJbqPlCBylOYVq5pahTRiPsn/G5GsEh3AV3DXWX3PIAGAMDbBvan98MCGYd0038DoElpkrh47v
Vf02Ha51yO5Zkqf6d//oxMeXBR1ZEoK4CtawLoQAHgYwy+1c0+u4BYkiyYlH9bLztH7JgqutDvL7
sWk+S/P9suuvbihWCEo5DBsCy3m6oV3tzHOL1jK4MQZGFcPjld8CTcq/Lts5O8vf6/zXjpDaO4qS
gsBIxY4617F5bcQbpZFcUOdFJsGG4PWZNs2gLcNYhPpgPWj7EHKTD80fDNC1O+uptT3lJeBsdiMP
A2OSA3eWUp6aFnWCk9EqSRhhG8f+baKAdI27eJwYJ18TiEb06VYlu8sbuvrhwGWHyRMKIKLoorYz
6YMWYEMzkJYYk2tpX+HkcT1yL9s5u1SWlQHm4aBmpeLMCUchmyIgw0w4aDLvwDhURs/K4DflnSkb
RV5d0KKCivVgakHEpKYdbwoOLSKXpsreqr8c2v+mKSBOdSU53TJLwpmr0yCaghqWBv2BOhsjeyON
7f6PtC/rbRxnuv5FArQvt9psx3Y2Z+vcCJ3ujqh9pbZf/x3lxTNtM4SJmQ8Y9M0AOSZVLBarTp2C
urHAKL7nGte9O1sSc6+guQ6cnUjBkhr7uAyVq+HdN5Tpc93pj21GD4mMQUXkSa1fyoTcG2BSS8kS
jPYPHS1fGKAWLGbiWU260weyu/5dRZvABFM0NxpTb/DblMbvnKDWjzJBt5AgLP527a07gMTzKkJn
ojOEsZ64cUZVGUDKtaf3nH4OAzIlO7m5mWtv/H19QVwdgnMs5rOSAjl8fA501QTlGzqj7iC223mI
w3sfhHEfSsRR6lUfourut1joa4mYSQDJO4iaskRgfU6V0c7WAzLdVcpd14s4+NwvBTn9/wEwXyrT
JNzmDQAaM/dT7TD3ft5o4fBfGqmRnP4HZ3XhZ3erpVZDYVLgGMl7UiyugR6y7OP6R+J6kzOMda1n
GJKOYma+YswU2czsbapjL1OIl9JHW6RFxN03CK/rSCSgtsJypsZ4QGvXDKy2dgmgOleWvUmkLcO1
8DMU5mIjbQf2oAzPT3BkzTToIxcyi1S+t6NQt5+ubx/3mjkDY244Oc5HTVlVLBP5iDKJ1QUtUtDK
E4lBq9w2yY/rcIIdZLvjSjQpqMb8FRy80WqD5AjRnmLZv47Cv7dB2TVRmVnpmMyq9HrWFqKt93ax
t8LhTQ5iV05RD3bn+9Lt7o2NeaL+z9m1BXcbNyj5C8zSBZW6ymhZAbiT7M2iZCC69ceot3bXF8j1
EGcwjBM0Eog5RClgCG2gwV666ut1gO/ZpdUHnSEwrq/RtCLTKRAW9VOnstu029F50fVHtXklECSU
lBtMNhaAcs/yGShzu01kAGMqA6hR4zZDcy2icT9LiAsio69Zvylm4JHykZro0XN+TAnxJPqKQdZP
A2YJNWDApPr4fP03cQ327CcxrlKicmzUMX7SkI5ojDrVNeTWH1tpcx2G90HBtAUPFvKIEARjDLao
+2Koejx/e9VP5sErlkVgmdyX1RnEt6NnJLFdodXLi2+zYHLBTIrC5HnZ0DD7DXX3TPSwEgIyRmpW
sRzLq7JkeqCf5S66GfYYEDC17vIpu2rsSuH1PeR9qvMFMibrxJnZFuvjvh9eJ9mfrAfFejNEKVAR
CmOjUQpz0Bqsas7/oM6kxpnbT++983l9MTxHgsoM6AKQCXGgM315rZlj1aUQY0Iwjh5KPDgMPVxS
Ubf++kfYp+IZCOutbLWWiQpuHEpokKWMT07jO+mDjZp5uu8q8MoGUUKJd7edIzI2IasxaskqEM0m
1GOPqjjjqjuXh/F3Vor4iYI9ZKmytkMHdR4BJlVPGfWn4Vn7cf0rKVxrcFYNRFAuwOVkrKHvJb2d
KfpOjbZ7sjAIaDvNamg1y5tTKRj9OtrjZuraGVX5Qb2xzfxtrBr0TKeBk/xCCelgFGOoTUsvSDLy
PCn49OjEM0E3gc7Hpfk4KtWJvKqH22jwKvUEM+EiEOh/pqbbi6qIvG0+x2LOXQvpUanogFU34NtY
qre0v3QRP4630ecgzEYjJIrtedUoL2f0bsXoEciH2wL06uU/KSWB9Ye6NfJB61jCy71D2GejgWTC
1af4xpS5pPx53Wq4H+cMYF3rWcgqp3bsWAUAYgWSndDs1kDfjoaXSgdPS1ST5N0sGO5ogbwB1hHY
IJdgIKbPcjLpq67Nez3+asbw+mJ4X//87zOLaQjVrTjS8CJFg2msdT6xnnrU866j8LbsHGX9/2db
VkKrIyowO8Wr0t1gbCI50JXBy228cE/XkbjrQXkLqXncxqBHXiLlY1HZ9io2PoO43HShRqNQtQR+
g/tR/oKwtdXSiAa1kwESYdqGbW3IILp9eedlbXL86qhBvyOzjLKFGO6U4prSmu3SeU7pltNjKiqg
8NfxD4rN1MTQboGeZhXrUOOwUD4nTHe8/jW+F8EQh1oYqmqu5E7IYjProNSAf5mBYII9Wuo75BZM
epdMm0z27WhXt684oVm/qePEHXFe8cq8/gv4G/nPD2DLfqkkpS1oLms6lXiYPx+Zz1X3Ng276zB8
s/sLwzjsWE6USumwTkUhro27IT85otCFe4iclVwCKje6fxhXEM1ah6GkSNCU6ovRnoxkJ5e7qgtS
Ue6Sd8tbZ0CsT1CrOU4J0mHIIqrjcRyfZ2mr929tsdVFagzf+15XCzkDY1yDXjm0dRqA9dRdQuuE
8evunLomce8P7uvr4rnBIQhMd6uJOjm41n+GzDzUxyot89kCcooK5QLGR50IrnGuHOf54hjzTwu0
L8YTILQ7Wvjdo+RJt5IHiuPRCsAy3NVegE65+DT65bN+iH3Re5b7kj77Aaz5l3ZrkkWCzdjvyim+
rV4Uv+7d9PQHs3zulYcb6rduexRVmwQGxDLHK3XSu9kGqgpuV5dBleJg00PT+3r2npsC8h0PzF7H
myKpYyG5yoQWS+zoOV2d8ZRVYaKqHrWMHV3abac4mOg4uX1bC/j3XLe29t6Bf7+OEGHrgygPJkmU
IzStEi/SZBeqF5qWYBDvXdTsDNtNoj+Ild20uc3Ug5X5/bS57m+4D/zzX7Aa99mNKtntoCQDfkFc
3aqTv8S+MYZ1fiTxsYV9pY8RHrz/BRN5M/QMrY1JbGIT+nB9n1AHjxoItI86tDDuk/peavfE7DxM
tnWbtedYVCj93iO0ZoBkC7cHeloxApDxELltl0VpAtYpNel3nS0dSinOuKeTVOzKbpV5hTLmpsEg
Ds9KUw0PEnXEI9VeZPwy6NcMdPwvEnZrMfCriReiSoy/p+lSZe3adRa1j532mrcavrmI8sm7u85B
mMhcLRcQpCOCNg8psMmNad8hXEpHQWzGc4PnKMz5yefFGiQZS8E7w7UazbVEVCDROhhbjWSlkEsF
CEb2MKIpD+Jylu64RCShwrsg0cwGKrW6Hkw22MhsuWrqFm1VUty+pJZz3yrSrWZOe9ukm07tt9fP
A3fj/sKxvjUrktRYIpAEBoNuJmV6WOB4rkPwwgpnHSAHkgBodmw7gKlExhAXgOjqXxom82QkGOMf
1zG+03jQfQKGHZ7Bq3Im5q9eupLCzNtBbjA+efSW0DnoXnwT/2m35DV+qD+Q8tEe0bal/sZEz7Va
WnpVucter/8GjoVc/ATmKqZmFxv/1wXUzRFIPHVWP5BK0j5UvMmpO07GKJLv524t5PtxZ+D1Adrf
5aobJM1LZ0GTpRRpoKffNvZnDZmd6+vimshfEPahMKEArI8OxtvYHfVaXYa8juD0fm+wW72jYssY
Z7eW7NlUQRWPUVxGWAdBg3vhFp/SHRol93VY7vE0TQ5WMOKiR/f0LbkRmSeXrAB9Usxqx1xbDJNg
NlFBmstuOpzsiniD4yK8OGTHZjxlO1AmN9Bgu76d3AP+1+uyaVYjA9kw7nEcZkxNruJfFHOhM+d3
Wd8L51ZwzeMvFJtuVfTZHpMEK5vQjpKkyyGZiK9Oo6DyzMuy2mjxWEX51u53tsgtazk4ezoOn15A
bkXCDWYcImhMUQsdv169ZK5NyVbJ79GUE6a9qPuFEzxdwDNXjDyoaWZm4AV1eiihPjUh4+Q7EDHW
5DtZRJ3jBS0XaMxV02GaRJYlQNO0xx45h6UPWsh+W+SFarjdkYU7RFDZuW40nDN4AcrcPsbs6Hqv
YodJfVfHIyJ90RuT94a5gGBeZrFmV4WUY12S9BAZYWcHGol9XT4a0VsmBUkpue1vrZDClAQkeSUp
XSVikdoBcR9jwvaj+UuOf8zNkz2ImOb8PUezFw7namMszwyDUIommfDbaP1SYAzh8NNYwrG2N0X7
pEMpZtAhlixyrrzSu702NUJ5FBV2NDZeelctMaqc2Nj0+Ub+o/9oIJS8bXzDy54Mj+6VXROgrV24
Vo5/wFtexoMSnD3czMx3IKnUl5KKpp8pnAP1Z/SuBssvxy2qMP5T3pphcefAsnfpg8gLc7wFgKE3
+6UZZbBOWJ71qFEwLMWLJjfVXszqmPbhdTPmrg3vG0hBI69psXJGuSRrk2ahFaJTtY01/VLzcI47
byo3k0hbiHMbf01F/B8Uc2IaaCHaZgUogmZMCQrAW6fczJZgQbxzqZ8tiPlYmJrXO7jc0cmZbSb1
rrNFnbXcj3IGsC7z7Ik0pkal1gkAUtUz4+dkCEkiEL/hXYBok137B1fpvm+6/4S0UpsM0Jq3EjnA
8ATXVoIi+8giP1EOGmZCZGGeQApGFtV+eOf6ApkJmcAerTVDW1XumweK2ngBPssHMoQLihW136JS
J8pxcSFBWAUvFtQdZFhXEz3bUMVJo1wbUC1BqibvnirMyqJgmfduP1M3LcC1nvGI8K/bPecrovX8
Lyi7TtlO52wVXS2X+8q8l5VPc/p1HYJzCV5AMFFMG8WL1kyAiG3IeLut5Zo7MGTd2RbEL1/kSaZi
d47EVuy6oTfQagskrR6fDNrcpNEMTRsod2F2SNZrfq99tvmbqZzkym3MQzFBI8YG+cZ25QzDfQyy
SwYznIvWj81nNZK9Qv2VqJYLJqU7GOX9NBp3KYbUXd8gjkO4+NnMa1dOBqIYHX72gKSGWoWj8uKA
NFkG12G43wEzu0EsRG8UqIWX9hXrJKq7GSrIs7noL4njFO8xzLDFfHqNIJpd2zn70sSgNBnDov99
rA7VO2hV4B2k2/K3md3okS0wEy4BbSs/VfK+zAWr+27I+PsWLidAGOjEZVZXDDW6YVL8/Q7VWqeJ
vVTOQkd+u76HHIohYMDeRboExTpgXW7iyvowKgPDTvLkse29MQtlbTPFvglmeRfdGYvfDK7lHHqv
eTJ0t/c81TXqcBG5Rt5yTX1V4MSSoSLB2ExPaiWdVSy3qf5UmXnoZ2kzU1VEl/5+La4NB2g5gMoJ
qmNsqrHPS6XJ+waZuNk1nuTN4MsvxU10sI5G6/WudSx+l16xz29EI/Q4QR+Q0QQClR6wYVE+vtzo
RZapVMtwwKguYMo8Kfr2fq7UIXPlvIfadd+gISaptO6hmnIMuFkKKN34SpJU9wpSU3fgbkGvr6qd
zvS1MVKDsWsHMOQhiFC6kprHlds3GXmKLNo9jUuFz6bJmb1Vo/TfX8UrJxXXPXi967ljTTOqVFWF
gKlXoofF0SO/aQWCA7zPdI7A3MVzgzp+nQFhqh6GaL+MJzndO1nnOtrp+gH47kRW8b51VidepQr+
ufwsNBpajMcZkdVfbkG6lpttRIJydA3bI0I+7xrGXvrzC7Bvasi4OtpylQVuG79Qj+O8KZrAzgIl
3pp6OGl+1d0ViV9FW1sTSYmtC2GxQWDFXYxBrAizGftDk3Fu6mmLBIYeI6FWWzTInVzxLMm23UYt
DnOb40mVY/gN4mIRB/Ur9fQNflXCQEuJ9l3dXYlyNAe0cNbpTn2PfmpufZBQWHA8fQeR8rcBdYXt
OEKx46a402/Jn39PF8Lx+4v/FaycBSOSMjmt7AC/yj9jcx8lmyF6NYrNdWvierEzFMaLrd2nqbFO
3bC7xwxKMS3GwCrP1zG4ZwOTfcDY0/VVA52x2A5i/LU2rNrSNfTEjCNxtI0ZLQipKteWIkFA9T3u
hs2iTQviQZD8slnOS9doUqxQLAmq2p7Tqq5Kfl5fEGdM8OWxYHYtkgoba8WxaG67Bwj5SM+ONwfj
5nd+NPxjT1ziW5tXZevGu9pV0NBSe7NberY3BgWYuYLohfcNzzyCw+Y4dMwhaFaPIDeHFhVNZxsT
wVuGdxbPIZjnbk2cKFJWfXKa+3TaYUIi7tmxR2UxlGyvq7bXN5hTf1o3GNc7sqZwc2zWaCqzTC/B
IvXiOuz6e3l5U9Ot3d3NEAnv/9jaLtffa2kEMyvzKvlnZwjSVjwbwrlHHAOGO94CzIURNWacUg3r
LTDSFXMr3EEVHDwuAvr8VpmatROJQZCXus5Uc6XIaphkUhxlCIUINnH97qwHs7GL0J+Bcr7G3hRt
I8lNlKFhZjRAC9gX86PibKXsGPdBZfqxk7lNB6Ib/hOUD3lX1Bkwe2tk1hD3A9qvPTSrOdJG0T7S
/laZn7v6Rvn3HH6c9L+LdJijmM64JOt1kXVchd38s17UG4kkAp8iWhF7xJoyN+e1mYtommsud3m5
xyMkMj/kfguiswCNd6DP18ScNgraXpfJ65rAvbLeu/4GsqDXjYPnkzEmRV6nrlkgoTNRRF0bbdv0
FH4/0kFZaZM/yQC9urFa5oBM8RJgNK5owipvE9cMHQqsYL3bNmPyk0S0xFmJeEV26nuvsD1Jfq4U
d3Zuxuzp+vo4W6hAsxe6eBDqQSMzsz6dDkolmcDqHeR8Vd18qntzCXMrmQXHjOMaFRlDmPASWfUu
2Jx9LEd482J6oZeUiavMyW1c3aOZ6VZS6ptauyWyFtoGwuPr6+OURdAH9xf2W/5+orj8DPiPZHK2
mMLhOpPlx8kLVGe2kmTedPVTG5P9QDofAS/GNuq4oqAwki4lKJbPekq2OtU9Xfl1/YdpnK+MHwaz
gh4TQm2W0NfG6VBZJYzXrtDwCLng7IYYlQydOSdJX/CkX37YTu7sILI/blN9zvyW9gikarXPvLhf
IihSZuS1bGv5vlxVlXx57I18G3UZ1d1qnPqbctImCMrOpuZbKql/03SIR1+Viul3Xqb6HxK1Sdjp
E5QfxsRUP6yhNXblOGf7ObbphDJfuzxSp1VgFHL2A4JNmLDRki4Ez7grDlJJnWMmD9W/JnIgXofm
HBqO9FX2lLH/mMr6UKwcKmuWko1kLmpgYpJAXbftTtOQ4JptO3LnSh8EtxmHYYDJSDLaBFZHaSIm
uozAkqLGobTAMFAf6AvyxQE4BMSXd8tNFVaDKz912+tWwLndLgAZf4kHOkpBX5SG7kFD1dESMXC+
Z2wuV8S4yF6Pe1uCHXmYForUUCXVbpRAWunfZ+eAg0cjtKgxAAxPyMudk5qhocla2rfNJqA0uy01
aMcOreDG5NQTcJwx2wZUSOQ0LLYQXutR6ugVaHwonYwBiptbDHhMvXofbWPVdTZG7ZYbMJxer38n
3jaewzLfKU97RSc1YJXuBq95Sfs9V8c8EjHRODQtmL6KIvQ6KgsDGBgDREJs6Buig+IytKXsEUKG
I475+JlQqdvKOsW0VDOrpw+71OltOY2gUMhDVgcRjaSbCmTB+zyrUErrpaV4bhM9u29yiX7U0GUQ
nFKO6aKoA3++VnZwczCvlbIYmnTMRtST7NGHtrTfTt71TefcvXhUQn8XLf3Q4mWHeY1E0cehhU2p
s9cqgVoG0CJ0u3JwW0UTYHE+MBgAxqqF4zioFTDnZJD1Oh++qucQxCnf2+mur4I0E+wZ7/tewKyb
evZYHcaxmdIZPIB545xiCOF71aO1z++ie4y9+cTtlyVQR4Hmp9+IKIiriTJRLqCRhMMH0wwoTVxC
65h8HGUZ+AHKyTjpN3ogBemH/vBh3A4YuuxlO9Rd6BYSJRijpHnzNt2MosuYYzIXP4E5RZnhJKo9
rxSF8odpH1NR/ZVThcHMjbM1Ml8xRYLaSBwAGL9WFl4ECung6j4KLzIJ6Icpqvpw7vALPOZzkiQH
4xu6xh7Z0WNluqUP/bqNDgLrTekqD0h0vqIg4r1oT6KZRryX3wU0c0muqgm5rmKp7Vu6w6xHqMe/
6iDeucpqSF7/mIX//q66QFyP0JntknlYhnxlQthQ35KlIJ5KwSEU2QfjUlI5NftiXVOpZjuMNdlW
tWAN/GP+9xCsH/RsDU1N8maZsYamjKHQiCnK06uJutW/lyyAIWK8PXLv4FIhyrvEMQalJkMBnAKU
G2NyY/tnr906KRHsGCd8v8BhDNBE5nQGoR3C3tL9PBy78VWiP657Yf6hOlsLY2mZGandNABjiR/T
CG1yRVBaqRuP2345qu1DUu5k5+f8HyKXi6Ux5gZJfEdK7NVZ6FBY6kCBQRopOmqiTyXaQtboCNRn
nVXHP7JPRn3XxuipFClkiTAYs5urJSrUHhht/LjY22r00NflCr4T9/Sg/AA9DuSCMJzn0uaorSax
3mHDGgcdeVAfT7YoKq65X0uGFqSrJy9tfuqi0o3Qr0TzJ2i6CH6CDIhvd8z6dHXQsIZZ3ozZV12D
BrIKZk+bULMehiIE3TOcGi8qHFdGI4Q8HfIqFKDydhfDQvCKhZVibCTzBXuDmO2cIMZt/clHL8nH
Ap2txnU8TCq4M7z6KD9OkitUll0Xwy72HJb5qKmkpdgFMK/NDXrTt1MYu267nzz61pyavSVQVOJ5
rnM0JsC2zGyZW8XCO7bYQpIDo5jtzm+H4Pperr/5yppYKmvrFDbpVxSjfStrX1+O9lC7WQc/GUbF
23UwXuUMQ7n++XBszU6RmmlpVKB1bryZ/BifLL2zbhECpW4BKXZXfYv92iePJ+2m9fLUhxYipltd
/xW8DMHFr2CikmqidR8RmM9y95642XHZdh45OcEfddeFkdtu6sal+/0k8Kt8q0UiBCIU0OFi2bZL
rWSVLSMUzFu/hTxsb6Fi8yhYG99G/4IwNjouip210GD2+nDwjS29BTXtZwERrsgdNuOWiiI87mWx
dtD+b1WMmdIWgxjRb7EOoFbyMNpMT/FD9TYtGGPrguj1H64/B3xXBaE7plrITEw7IgfgNGu8l5QI
ng895k2LXpzcz6ThRYDpSkjUsA141dimYzLBpa28TLI2l6B8PgjWwXPdmN/wPxC2/26yiZUuC0D6
+ikCSTARFgkFy2AzGyPecHNa4AaSMKYRlCQTU+lEX4P3XgOHEq2KEP5bqROXF1AxY8yZM4J23ysH
efLp8GOwQi3bzeOLwKy5q9GRkEVZAJ0XX8+sszCOaqkVzxHODvWmXz1cROFaIVy+q56S3eLVD5PX
Cd5P3IDbOcNkjpJdqv1gxrC1KdQ/s/2IeU3Lpjrkt80OQ9VCYycqV61H5ZsvPgNkjlJu9K2JjgyU
qzbxY/GcHLLdFNSeSJ+U6/L/wnx1BZztpVEnxPwaMjSEVggCWRcaWM4g8HYiFOakpiWZFa1Zd+8X
xL0fogOEZyVfJFcu2LKvC+dsLXasRn0+AiU9RBsM8Hrt/CFIQtFd/FVTvvJp2DiHKjoUdCfg6A8K
rv5+3wZISL7lm/HhuqULDJ2djrCoVqErGoBMebtEfozRB+rzdQiey15nbaN9TUNuE+MAL48trfoB
41pBplfyH7V0g6SvXw3BbD5GVmg7mH3waclhZQmIIJx4BqiaAQk5nF9IUl6iGoRGJliLCLudwVMx
OiuJtg2yz5Xo3K6WxXyrNSaEgifEvNEKzliektO8UwsMHupMGmBKrRvZ0JqBfsOEBiclANMarYkS
+oLGwo+X7OP67nI8+wU6E1wMWSZLNqjXaBCc3NK+VUR5He4+QhwCOgRgQZisY8+tocPELOxjh/A6
kz6n6VEiRyIK7TmGCIC/MMw6eqL1SesARosPcXoYyNaIwv+wVWcQayxzdngXVbKbOIMQ6qSiZt6h
mTJ+uo4gWsT6sc4QpDZukfTHIlB3cSvnkww9KG8iJhon5oLoBNLgSISvMquMZS+dnUk1ZjJ4aay7
dYKEO0HLu+aW5S1SusCbDH/pgrp6nuhzJGrk4LjAC/TVXs7WmEnakEoyDK4Y0k3nWCd5aPYzhlzH
mokmC+jETQUM8V9PvEX5/3zRzBssydMYeVUsetEeu+iQG8dJ+aG179oiCJW+f0OkhC0MitJ1B+Mu
WUGdohsbE4OSUjDqZOJmtLktTMnNZSLwT9/3cWVUQO8dgzyRDv6Wwelp05ezmYGM07k6PdbTaWxm
b9R2cr8ZrPtS1AHEWxg6+9C2gGMso5Xq8sNNNfrv6trKPDAJJeU5I49S9+Pf2v/K1/4HguUbGNQs
nagCRI1GxVZ/06jpd7N/HYQTKH2xwjUVYzQ1C7pHlwuJFKdH8svOoLuCLjQbEvqfjlvvOw0N2K71
Lh3NU4YpT9dRv/vZS1DG7GeptkaMGs68xhoDM+18zA28jsB5rQLChgoPMuhgS7Glp6bvY5KAKOI1
AZTKQpTnw3RT7pxDvutMzKMqt1r5Ym1q7wF6uYd04xxEbXbfff3lL2CccKFLZikn+AXW4NYShvQF
g4bZy8PL9ZVyYEDRXKt4aCxfT/XlB8TxwkxZmmCB9Nlw9toUWvITVQT7ySEoQxITFgIdb3mdn8kE
1HKnOk2RF8g1uMVj9qIMbhykioeEvZvcJJvIzyFuBv3/AbNCi5OQ5v3lhy8Dg0t85sA1+aJ2zto4
QW++po2F+g/ldg5VN3+2j7+tzc/f17eVU12+AGQjbSovbZHaAIzeDQWtIBg0NewV1wmMI51C5RN6
8a4A8vuTbNWMQWemvA4/NNj2q1SepdaYYDGtL53S++Z2OKWWbx7MGoWRZeO8Kx60DSNPM4TvCp4V
oafWBhkb/EKQ3S+tyJBmU8miGFaUR5DVaKLHXKa34yJ1O0WOJMH55y30HG39NefXnmWki6RJmVcm
Tebq9c+pzJ/U+Ie9qNu5/7y+rRxXbUNYeZ0TDPo+Wn4uwdK0JlHT4EM6VQzd0J8T2l7M+nQdhOPR
0C4HTwNNcwx3Zquf6CPvK8sB82hC26+BKR299bCOLBZYJQ8GMwxwp1qo30M2+nItRmIXqSWNSJ6i
hAtuXW2L0gKcm9QG8x9XKHg/398XM3EKpVm7hawozJY3AjnxNIHij18pIVphUW4VaWWBtIdfzZxt
eGrUjcHJR1syW0eH1EnhkLhc+2vsbnFlPZohViFH92idg31YBLUFl0Ce0rPsgfrOSEa3UWykXlAM
QDOxhDJU5+mjhBposnTjbhwl/aWIOkTxiTzU27TWssUfNAQicmH2ZIMZq5riDwhKDl070gPK++1t
o8wx3ddWot+biwmPvcxLqPYz2ZtqIb+rc2Xvp8TudjSzjASaQQViGn3RFZANUauFWnjsmJ+FXE3h
otvzRyLNxkPVRcWJgPn2Wmc23etONoUGMB5qG/znuixV4heTM9zouWm+DQ2BSHw2E1zGRlIufjc0
0rFK0N67yHkXe3MrDz8Rr6ZdqELIbEfNBRFPO1rF/Vi2/bIHK3OM7h30Hd5BbsMevBGDQjFAtSTV
zjLI/FLTloRWMjixWykQvgQtwNyQRFvA/LOrGtrjdIYIyaIS6S5XS/kta5booeq7BHwry2h2xSCl
vl60CuhYaUldFOhIuS/rrLrBZ9QwN97J5j9qo1YFRhRmxROUx2sUFAxZDsuuSz47NH6ooWS1JdLi
lkUzFCBi+hanafOhWkv9ORA7/VDiVgvamOqYKFrm2kEnHcqMvRlJArfL8w8Wnpt4U2OcJertl2cq
cRLYz8q1xE76qvXiFB2Mzb/uH7ggIMMgVAQW+HuXILqVJ/Vog5Ii2Q9DF+bUNzQBBMeFI7H6F4KJ
Nxz0QZlRCiJWN71nhumnFA2F5Qj6i/JfduwMifGockWrepSwmG7eKu1Nh2BbxKrk3BCryjduJPA4
wVhm9isZZnVA7L2yKssQwxXCAuLBZCkCPVI21z/N92QXar8yZkhh2DBKQGwiNAEMkZpqlT1aPB2a
tqrUb5ZU3iR97UUDZi1JosQ7R2EKmAimQOVEAypWeGkOQ9E0JF6JqtIJFZvy8FZ51uIWR/3pKb4d
9olnngwIxjY+vS8+MMYS0St6+ETdqLzbBBKaoK2ixxxqFMyvMKLY0ssCvl7LQhPdKHQSlmt4RnkO
wdz06JCaKrsHhBOFBmZzHWfvA4VVy1XvndLXHppdcmhdZyfKk4qWxhzqusytqh+BG2tIXeazO5a7
62YjQmAC4n5WqD5/XZRwr11yO6kP1wF4ESgiMYRjCrT4cBczIW+PZt6q7GeE3JUqvVuDZf0oSYyq
WmOXoEE4S5eHRYRxRa5emMPi9iRKVL/P1OJ3G2sp7Dfp9nUyDo3A0/CWfh6FMOc/j6NpjNdGkZE+
S3gJmERAHORZzTnA+gPO4kNMfMwq9Usqf1RfMrXcNGhYMOb6plQFSCI/wzjNqZKLbJZQ1IzqZDvG
uzJHcQCDseQjIf8+6L1wacyuTYoVY8wXKtDVFPm9mfiz7ufViy43fimZ3nXj4Tk1Cy4GORe0WEKC
9HIHm7gaaOfAf46YdtUlbk08Td86reYa025MRTcC74OdwzEfrFMyfS4lwM0FaFyDP8uf0eAO+cv1
VXGqvxhAgTISiAPIuxhs99zgGC0ZaxDgaUADa+uc/oAc9AuuswWJIHG1jbwd9862fhsdX1Th4V3h
iPGRtVV19TtpFiMVqJEbwCZS74LabYMAqCwiOXYBCvvsnMtYNpMZN0MKgXmb3Jv6o0nD69vI+1pn
K2FzI8XSLk02YyVGbZibUctaMD+U44K5H+ALRenp/w+OOWPJrDd5lwNO037l1q8SgX4NxQ2Svl7H
4eUI0PnxzxdiCz1pU9iKtD7Ckp/Ok4xUo7sckDPDJQA9JTAVBte+tcPkQwD7nUcDo8T1iesctFc0
wl+etRYupI0odBMH3ASF4TnGI1VPyowsbuKTKuxnMWWNd75XXjW6xXXoprG6Ig5RyBhXOva0KlfB
IW1fUXqiY10ESns7gD0kOQI6LM9VYgolhGEREVng3l4uEwH9qFkjVDGlUaeBpN0bGY2gmlrKu9pu
3tD0KiJJcRG/BCIxgcDBXXiJaNJe75oMcWY155iypinJss3GRHlXs0giXqM3Ub4pMARcUBTg3G/o
etFMy0ZiFzKBzMWLT1xm5oiCdUmMXUWPVtRsrtsM55T/33wWE601oEIxK5NQ9rR1iiqenGVFYCyY
2WO23QS2v/XnOhKn+rl2R2AuLvT1kA1lE7xJMcxoGZpBMu03Y4ABAD+dwS/dFJ2bokcO5wBeYq2O
5+zelpYsVUkLLDQNFbfF0f5NQtOnoRqqdx76R4/yhyz4VpwE9iUmY5ZK1awTtIBZBQRKApWL15uf
eYmnHclt796Agy/Y0e8f7xKRifwkWZmGlEJSzwJ1+Jf8ksVe78672UVTUhCdFC+/oTuRcMH3s3AJ
ytjk2KmVXs3rMp3TIu11DF4yPa1HdWgWySJxAs8LLHYKWlUMhtlPwMLQ9S6Atgq6RT39VO5T/956
6E6xf31HuRtq4cCBsYGaKNsXa+tDifKOXHotnTH6BHef/tRMou/27VRDaRbOZG2+x6sLGleXxmlr
SV47c1F680K9OaW3U6wLQnY+BBwkmpJQxWalVtVKbolulKXXzOiR7qAQkwz1r+ub9e3yxjKgI403
AYZc4l3A2HtMaGLrUV16i/FhTw+19aNFK5I8/j/SvmtHbp3p9okEKFASdavQYXp68jjdCI7KkVR8
+n/JOGdbzRaasD/AwDZ2Ay4VWSwWK6wlEXO1J4sYbUHlcpCUs8WsSNSl2QAQF6wWOVWNcy6I7Wso
895WRiZFOErO0IMIKYGUti73c9Lepyb5UZSF5OraXDMM6GDdMHp9NTfJEzN1KszogJDhU1J+G3OM
4zEU02SRwGJCF4nMZdH+k4P550sTqy1emekAOTlSSUqzn8cvRnU3x5hLszLXdB4qEMs3Xi7DeLqK
BgS5gmnrjZNHfbjIJTygCvdKwDqmOQ36kbjEeFFLxbu9cRsrugCboowMuJoFgPRS03IMEz7yDHeI
A+TRsXITPrih8SEc/7aTFlzFa0HLkVtdKVaixJoxQRAz8uLVTgz9iLdBdZra+ktmxzL+9Y2VxMW8
EIssoD+mGFd1SpF1mgEnwersg9pMPo+6zlWB7ZKq5dkobDckslzX1lpqCCqW7gPUKcT0d2ZraDpJ
u9IzRssberybYt8pJzeUESZunDY08KLRG7CC2DYxnkr6oW2oDddhKs4dLYBXaQFouzKkgduWRjpK
kTrwoPBY+n3BrDbNmdS6H8DJ5U1Z7Cb6W+88G3mQtLI5sE2FVnIE44hVhVh9Ah6lObT3GGj00IHl
Z2ze3Tb26wsRRrjWZ/mOlT5gWMDgWwF9wrn0s2z2jGHH7MCavNq6A+PMiOd1o/gsQ6f+fEoMyRnY
VBM1XlgImigxaXspvnSqZjY0qOmkeqApWaBPIC3Rq5fbal6FGIuWf8SIfa0hwRtGySEmisGAHX4Z
jOaVqJXPdQ2zPTJj3JS2XMRLOdlSDUGpZGxGZaCIopCU8NS6OqnkW5L8jHqQmYD4+rZqGxfzAniL
mtlvrBbRIDWFqQ3roZqRlE9KYdzbzdfbEjb3aCVBMMVGnTD76ECCnfbgIEW9VuMvJMslpripCJAk
QVKJWc6ruXyelFPRqwP8E42eVXt8NWTsB9vG7uBtiVS4DjQFwbVXCf53UZkw9jF8CavZLas3u5h9
Urv0tSwDvX+2ydn+qca1h+zx/vY6brkOVAJRBl9CHEB8CLaOF18IrsLSS+ljCprVcviedAHm6yUX
2Jajx2AlLmskyFAeFo50CwooTU80yDHs80xrf8REYAgoSCTN9j3V3KSQXWXXvFU4YAaGrlFWxQgB
RtcvdcvnoSwHQkpgjxkfSTQeraTovti5caq5eS47Znkzid+s1n5JhhHgV1msHVsyqHdhAYIC0hq7
mgMtOtKM99urvkgWAhfQmS/t2Qi/lyL55Ze1takNINNFZn7QXAP4KZjxaHZ18TM0wevhvHUy6J2t
bV5Ghe3Fo6H3SIxi885MrDbCSxF1jbD7Ztu7sgancybZ5k3FVnKEAJM2dqwAsgGNq/07H596TL+Z
o1+Yh9o5a/Wu/uu+MGwxclCopiynB5h+lwuJjiNTCYcYLwCaoiK9YAsPLmtl7Thb3mYtZlne1YVE
OE+ZRrF8lvM02ICcA5MEdd5uG8XWEVmeGugGgb1ekbRToEYU6CwqPW18CONz0RKXIueq7ngZxJME
zWFTo5UwYaNita1YkafwOgS8l81JT/YMAFO3Ndq6c9YaCQcwYxFjCnwoyuioP3deqZVuXN3z5F3v
JY5608D/6EOEp0A/E3XII4iKtM81PYzZc6u/NfXxtkIyKYK3tJwhGxkaBTyHHp3641Q/gnmuHyQ+
efMQ4aUJO0Bo7IhxI4nyPk1QiEUxLfKdDiQpiQdpNqvQ2JbsgJnh0UkWH2wZBBgYsV0oUGrApL40
8SSt9KK1YRAIrgJgm7tpGwXUfr69gL/fsaLnAx4X8gEAaV46ry7FZHlFh8bAbdc0zDVjwx0sMBn0
GPEaRmDkVShbDqR1laZzzTTztPJ7YZbnbHR2Pcive5DvNeYvs5ElCLeWHO8YjJqhH8u4gh3FxR8O
qADAP4LwntcVfP6vrGb7SnsvZ1ArnuvCv70SW+ttmwaIYkD8dU3IU9sKoC8BzOlpTZEeGjUnXmbE
47kycutfRMFR4tmIrgvEgJdrTuBZwtKBclU7n50pxFKrb5Y9vN7W6Do1CBmApdHB9wK8pCuATAPP
k0JdnuNzae7tLH7veXJm/c8p/GEMwxHDk0B869DlTYZXLRkDU29rX9EXTN5OViGjW950bc9LZLdy
2Vxr0k5xYM8KcMLfu8xEXxI6lHga9KY9vZJw1MIdJUZpusAcAe9UrTn9V1jm4GNoPKqX3qdc8RAS
aNULRY/CB4AlJQCfCNE37jdKC582xUN1ctrK/lZMs/PSW22O7gK0Sr2mQGJ5HtH35fXoi/rc4F8B
cYGmap/yho57HldRtosUgh578JMCFFpj0xg/l07OcfqmkI0e2nMq6ukG8G/JPBt10FlNnh1Ya9dP
ddhgjDdJcyAtYkATw5Ej0Gkbjsb2iCsY2SALmNMYd2gEAqpo8+C0XJtdyxrLH0pnJ58mNeOJm9iN
ilplRPCWGgmgW0qGziDQb9S6dZf1toH+nEhFa3c/pmeU360nTNM7Y8D7eogCG5Rdj5medL5eG5Hl
xsTK9yTH1K8L0LjwA0Gbc3enc1agdRW1jEetLdpjHLX2bkx7xAQhjXDeG0YL1Xem1H4f0ibibgcG
zL3WcjShEFqXu9ThrMIUDBlOfcTGr6G6UAMMo1IHsanXueS0bPn4teEsB3dlOO08zG2fwvsWmMJi
4UMXvtjIKFEZuNh1pQDHxUELDAIYJAeuJgJZqhIARuNYTuNjWR1iGxhEu6l5pzRz6/QU2kdD1gi6
5XTWIhfdV7qNtGd2qSDd0mLYsdabGLmP+jmq58+3XcHmGgLwcOlpJAulwqUchwHVt8whh4/AN43J
vmrS99SwXupukGzX9jL+kfX797VOU4kS1ZJnnq2DRr+p0zMHFexEv5I6mOeAZc9p20nyqBtPC2St
8MK1FlpIoFmI15jaRW3CGmQAnXPUPFXDuR2/R/FXYBWm5m5i6PgDgkDvakge1NytQHidfeK5JAF6
fWtdfoV+ucyD1tKQx/iKPgP+VvjaAgetVAFNFvtD/TFO0IogGRi7NiBIBPAeGqlMkEeJepdmloKR
nINJ2wR2QKPsSEKPQygTcz12RyFnGfxGhxia7HXBgMKht+p8rhBoDdYrcfpngKu3Bx47d5aRVC4a
CAegKOJph8GrY1I1wBNWVSoxrevwFb2zuMyQVKM6qr7Co2mmmVMnS5o3YeyMeCXehwXtfGB0L91A
E1K9Zqy/3T45WwtsA1cdhdCFn4sI3qfundpJ1LxC6nzM0WaRMy9qhjDoau3nbUkbB2dZY2sh51s6
4MWIL9TGvNAyqFc0gJH/mcWTa7SwGeWzUnztp4dJv59mLjk5W/qthZJLk1WLMI9aApMdzfmQatYn
Hne7qiWSEHpbuaWSglS9bSMTJcgBlm1YEYZ8A2gri+Khdd4KhM3FI0XnchsU7FwA6+P2il57PSwo
gKaxnJhvQ2rvUmbRZB1oOnE4WPGzZZmXVg8hQEZKRbJzm2u4kiMc+9BxlgI9dGvZXZV/A+SMJhut
XbbhMky/VEVYvjZ1OlMroApvn2ewLIyTDM1NtliCIVCdoT26hBJZjdo4OAqzhD7b+YnqnayTaNNN
rtZrWc/VDVHUFNBJFZQp6aNi/1AYGlXGo4FAONTuBy10Gdf/wRRwopZ2BsCjoh/gUqRjNN04UGSw
dU78uHgEomfZJyBB/+tnPGLGP3JEqowhZsakxpATa+XJ0sqAW7k/539dMYY7XosRLXvMe9KpENMp
PVwyDWJwa9QFk2izkQuFHA3+AVhaaAYRX4dDM9SJSpHVRRvljFrQEJJd00e5cTQ7qo0+a9MkyPQO
iTnaKA8JIM0CAw0QX+hQ9CedlQA2G1ogdt4+2FsGZGt4vmhI0IJoXjAgpcQciqOA+9ZJjf6TOs1D
64aDZjNXZYR+rayJPZpJBChrBfUERHJwusHtT9g68+uVEc68bbQEjxSsDA371yrUfjCb+HYlecJt
KbqWIhx7rWRzPYXYZ3v4iEFFF3TNYO9+nhcE2hkhMLBK/kUvoFWhaIWRACRELw9KVCdZHetIsCcJ
DXdpo5p3lQF2iNjKZWD8Wz7t96wVUsFAKxFzoJzlPKoWUV1n3Ldh9ZSUsjbQzWsHJb/FisH+aoiJ
3TjMUj6rqLI0Y+dGrWdMB1098H5n8EBznnQQNvNO0lO75UmxfAunF4KGK6h6RXHUqR6RWjfRw2Fr
3Mvn6VgQElgll+zW9aMaeMgoEoDVHb0KV2weduY07ZzoJcqmGDZR/LlHT6b1udXPmPgt2/fbNr+p
2EqakKO0i4HPRQFpMZLWtNwbKkf6kLlVIlnBa35B+Dfc14jo0ekK7yO4a2Vuc1Yuek0mGNdNvjOc
wk865nKmeKmt+cP00UED9tSM5zC3d2E6eX+vKz4ASWwDHPCwnstzUBRVHY0DrsOYAFep+N5RzCmp
zVF1Eskebp1xwAYjSEH9G6V+4cQlswWm4ERZmmYeezrsVKA+8yeTAin2OAAR2bZbifvcshpUfii4
7nCJoCBzqRu1olFjeVJ5I/06awgwnwpgSDNwwNvAtWIy2L+NsB0LuQy3LcaKDpFLcXpT1cXEG6QM
OtqcmonQu1RBH7M7EtweBlIhe84pCyVabrgXTAUDiVVfYDsQcl6Ktca+GqvlSWKm5l6Z6Q5MRhIj
2RQBvQxkfdDFaAkL2VtonrcBV+ANc3RsdGSHUL39azvUgLqNvrDlHFzHzd3UOHNn4gYuioPeoH9x
vG8BEerEMh7CjdON1jPUPTV0gID6SFyvKs0zPbLg+UHWnA6RXzl3ZvUc6RJ733xLLt1uKjpbbLAt
CsGLCS6waMywalUZgoB8QOfCa+NgRO+LOT0m2WNNHi1rPzcyLsJlN8QYGoQzi8XDKavibqGBuSPR
AAW58lUh+qlE6qqMJA/yjaSrhgATTfqoJ4JnQuygsVqAJ5oFDhdAzN122lfV05g+WwXSnPuBPTDr
pIPuLiHegPBT+4xU222DuT5tcCSI1oACgQ+56o+rjFDvx7pEDbMLd1X3uTFTj6nJseyiO9CmHm9L
u3Yll9KEKwGjAqnVNZDWN0fgQKTtnTnEz3M7+FWVugZNJO9ImXaCLymLGaWYFvJyYPwVtvFUo1RL
KJprePowVnoucSLXh+JCP7EnhHI9t+2kgn64x8PxrWW/GvvHKIW+W2z+0jYv5QhngtMwSesScrij
f2FZCtNJS+WkRcO9XhTIW42jFZR0rNAqUhQB1/tfCq9lyJ8ybYWgliV00rRF21bZ6dSvbR3UMHhs
2s6/GCkqE7BPNHwZ4p0HrJRCdyZsY1yfi2aH6qBWZ67VfoxlLO6bBrqStLjw1VtzUGynnEdIcvQP
XMU67jCyO5et22UUqLAy3ojNFUQbL7qUgFoNNrtLcQSz6Tzpl31sICnR/AJTMnzWz1Y+SDyNTNTy
+0qztM1qtTYgqra1V6oPn1MTRJaDdWxNR3IKrj0nrHOl1XIqV6JYqmBOm2MRSeQ8I2Rr3LH7Rug/
ZBkv5QjeJCXgBB/imqGBKDBmv8TbAEwQPmar3SZ/4xgD5U8z9TCgdtuLyZZS8Crooxy7CgV4rzHA
LYj2SjdHijobKn8oTZlLuZ4SAG+2ifYeoBhg3B9/vVzNBqElaoOQZqbjz7zWPFWPHukYHXmRfArL
AmSVrPuVAnUjc8r7mKoYFWJ+2oQ+QHc+EjQF3dZ+kXfle/58jwij2it2WQ/d71UHDriKoXQkyvPY
CjB2rFh+7gRo5f6HFQeDy9K/DcAIhGeXa6BUuWmMZYudVisA7ZZ2gO5+fwbOAq4UCTjSxiMQCcCV
MMGs8l6paD+CFqloTkZ/Ui2PJPcAUKvs98RycweZeSne7tairmUKm1yglmwraLrziHZXJo8Fx0LW
Pk9fM1ANdT6pzpF6yNKAIXPBzxM9aMNdzF/sBBw9pySSZfe2TvDqc8R2DEWZjNjI8TnMjL4MGfth
6dm+HkNJwmjxpqIpofFHRaPhkt8X57o10DWhHAAxqd3tR6v8DM7I59vWuhUBrEUIbs8BMljY6cvC
pgx11RPD5T8rT1r2IVS//m+iBCO1HE5truFgtExz4+KZKegJs08m3mqskqzc9gb9WTnBRjmLwyKn
UAuOyAMeaaTo7kT+upF2OQjANwHotYEWLUEhdG2g9UDBqcvw3kOQgep0eKqNUrJFW3fuWoygS5vk
FerhjKHv4Dy2b5bCPrHyocr5zgKtXkwcKSnaEh5d290fxYTTNuOZp6YcErty9OLq4PyEcsYDkuR3
ieLNk9f15e4fjGN5WgIRCg9bccKYIw7l3Yi1VCN+nwKbWAGWV84fHO0N4Pm3ZW08KrBxK2FCFFPn
URmZqHp5SW0E4wA0mELxmrrF2PaujzRX6wOifaic56Y9qN0HdG/kMuT5jWfb5TcIoU1UzjnIK6Gw
ZblO+GUkLzHw5nhAFNxg4HRBDpaSR2Z/lui+ubcr3YUDX9t2bA8Mcts5cwFjpPbPGCNp9F0NbBwl
L9zaAj4U8TVEBrdFb57JlWThuIA0RknLCZJrkJSq/d1sjfte9qLZdJlItVJgQltggF3UX8VWyoBy
jhJ1zNNn1WfcxKuJd59uK7KRx1/27o8QIbAfkGOxnZEzT3MegVTO9Y+Os2+V+4I89Oieaz46+p7x
B1p9545kETedwUq0kFZQmowoGAxmnpFzAP2r7oxKfGzUbquie/NQK7Ysr7x59aILAHCIoCACatvl
ipp1marRDIlK/QaaCe64drIL68HNgafa8QOVzaxvBxh/JIq3a0/1nE0lJPb2noP/q3qastkN+8ov
Y+4aeG2wGvzKNLi9rZtLC1wvjD9jPAPZvEtFAdBWzEimAGxe+1CPsevkPajRumMXfjaGL+j5ONyW
t7mwK3mCB0DTFKa7ejBUm868N+Zxrw8qkEF1F43/j1Fj7dWucZNc82+LlakpOIBi7EdDXcSCY+OD
En7rc/TJcGPaVcYXrS+CQa8lT6vNEB3QEUBaAEsYkr+C0XYxKRw+Y2UTHRh7+viuzfU50eo9pfND
qr2jwQW8GKjRA8oR8RsHGYDyUc0cF2nMfWUNkrtm00f8hoxHPhPz2IJFkxGICKlJW29uxn2udy9j
LAOj3gyr/hOB3NylLfU1HjpzDBFgQhvMBwTFabanRF4hXXbr6qpeCRL9XWfaaFmzcXVZoZcAB6FD
F2KdzYdSSnS96b9XogSvp9McwxzLLvb80FvPdPjIgU132zi3z/5KiGAqQKKZ1YlDH7uIkCVCAy0I
zbL8LglBpIv6rx3oEZ5V6BX+HwULp78Mla6ONQgG2F4QhqBqN4KaHPq08drRnayD0Tw0sn5h2ZIK
LoD2VUZTQJdhbsG3FeKG0d5mvUS1TSFAIjOWzNACwndpiwY61Ua67FsJ4vgxqffodAxsTTY9t2ny
KzGCX2l0a0IjAsQADAFdm9/aKnMjtHiq6S4MZfRwm2a/EibEEoCZtat2grAGuBhT/lD3xJuir6yS
0czKBC3edBVPWJHWIvaGIEx6pcNeg1I29SZZiU62R4JLMmv4/yyFIag23tURMP7UaVc07PW2lW+L
wdwfZjZRMxBbeJq6igs2wy1pSyeBMSE/+jrqsuZkmRTBUZRZ3UZIqbfeyM2D5sRvU5Ps09KRPL82
L7JliPH/KSO4ii6x86ijDnws3pNzvCdhGZjJgeOZ0kT+LHsVybQSHARtw4F0FcRF1UOse7XeA8pS
1ssj02n5iJW5IQkQO9aIpSuQYfJb3Ykx9D8XX5OczgF4WPFIb4rBCIx87t5u28b2iwRXFQrfaJlD
3epSNumUmA8DyIVaHpjtae4CHpuuUT3U1Z3D/dR2u6Z1UWuS+KfN6/iPXBGjqIzmZuoz6DxrwN8F
ykE4ygKQ5bq9uiVXIoRbcuoVnucaRNAywSR969b2wYKj1VMvGzNv6nbWtMsjGV6dTDPhINhlWat5
D5MxFfs41t0HFOL3t3dt0ypXmgmHwLRQxlcZNs2pzi26hBNMV8I6bwvZjFRXQgTTR8MJVaYJeiC1
6RLlyOAFW91AjVt3rfGFZ3ezrJVbtnTCQcgHDMl3OkSWYYjMYn4XVuWX21ptuvaVVsKFZRkhalEU
PrfBmEHZnsuw2nfWOekSiYFvCzLQ7QraWsxpCnuUWjEavQyl9Yg9PGlFisHycgFTKN2Kko+3ldq8
hQHz9/9lCVvVNmgDshzYQ2Ge8HYatdY3uG/Enqr9S6LbWokStojlJiVlDVGa0d0b0QSclZexAFYP
use/9W1+NECRPtShrPlw2+T/qCjsG1EzAOYAIBdPfIK6UzBa0TuaSyRp7k1PvNJOiDCMzBlCY9GO
Ep/nLzWa7jW0v3NzV7dOEP39BCtSCitxQpwxd33naAWUyqOgR5mgr/cG+0IsWWu/zBYFJ6/lQ08b
FWrpDWB8l6dfk6A0kb12VSrzupuppv90QtPK5YVSUqUI0fYG3xS/J8MxrkCuiA6gzpuH0M2z19n5
hUmtivDD7TOwMYW3Xkz0G10KHhUrt+YCghNGfTX9xQBruaOj6nIEJE2m7Iv6te8n1+mpP4Cko+7D
nd6Des6IXb23X0bSPE2FKqv73TYpdIVcfhZm7wjD0FXr8fSd9yeTPvMqvkvzD5b1JWstidfZdtpL
c4aO+hcRWw8NbQJpeo47r81VN8FwIUhvEoO5pXYcy69TnqDpRXJPbBoXOkI08NpjuMERPMKYhboO
ppjWQ/oGONsB45+Z8bOxJMn97fzbSo7gARRASqcshGp2c6zLY5F4TPmet4eif560vabjrv3Rdu9N
/jyR0L9tXJubuJIt+AVCG51by51uNIfcAsp19oGhstnRXRf5ajf8j0sq+AWrZlqqcYiLip9N8gCg
roY+ljKotc3bdqWU4BWYA6DnGq1jmLSZj6bZ/dA6XRKt37YNlLMujT9XU6cuE4hImtaP4dcUw22V
p7zZ3d6fzdsBLek6EKUxCyoC1FGn13laREgAj9VZIcYZQ5sfLGAg3BazHS2v5Ag2yOMaeIUGfIwx
fESJRDOCdOlAcrkZBSoYF7qDFbpxJ4O42rb9lVzB/vRJYaybIbdFq07bN3fhbKDfP/PDEiRTWRvE
zldWxt/rlLt1Y7vAgbi37UkGpri5navPEOzSAHSNMfDFl+XdXU1A8YJmoWIcAXc9SxzZZkizEiUY
Z+GYwDpvoXFX/DBhOG2Kx129A9+xadPD7W2VqCVi1WUsC0uMPeC4tTswvniQ5UyeSiSh56YTQd8C
emHRSXmFV0HIaKX2ACNtpj1hP9EBUlfoyFV9k7+3qqzpcfMmWEkT9srp7IzbI/ZKHb7o7buFUQLn
wxDGXmkDaH83cRkirEygsGMZCxVSVYt6JbiiLa9Uzlqru231UBiBaQWGLB206b/+aHhFbhTHmGvQ
Yxx6StwJmYY55W+3LeOasmb591cyhKAiZGgjKUcopebqs5MMjsvyqnerQu99LR8fmiF9VDn73hrD
7NlkfmfhfFRoiPxh8pi0Wuy1bZ4GVW6EAFQjjgsG08JNnVAGprbR7k1UG5h+S0MYRu3EhuQ8VLha
2Am6+gyUi1m0V1ErMnMQquupiq6N7A7kZ3tSgwsKvlhJh+PInX9JAq0/QvCPBPlAlFLxEVr1PCjg
tEBBswAFhWRXtmLMtRjBHRJeKEaRYedxcbV0x9j9PHywAICd5J9Y+q5WB3BMNLPE+29fMv+dX0e/
vMxCkMybcQNbSNX5DiBXbl6Th6gBC+lt9WRyhJcjpv/SGgwtyKQl9cEIq6DBUA4gdyRitt2RvaTd
UeazxHnm3CIV+qOgjm2999bsssLveO/aU6CNz6olGyTcvjsxNg1kJh3lF/FBHA02aInAwOHlYDyz
J7fq7gsUE8f4bYzPQ3lw0Oyq8MotTUk0teknVoKX31fptSgBX3CFyr832c1eGYf9oEgMcvMCWUkQ
QuA8LkzETljKkSKpMO9qK/Qz+1ARW7Jnm7eiA+pHigWkyCtcqmKnqTNWA0yjjF/MJkhQuQe4WkcC
jBJLRG1a4UqUsGrhqPdqWS6immeiDS5IwtwiSnf/YOsrKcLKFVGMdvrlWa8k9w4qzJiDzqXsQJs3
E7pkVdg6EJl/VypXBhAPaDoygNvjacDZi5J7oN1WKqgw2KOTB2mWu40hueo3ZukXb7yAwaDlE6Aw
wmVY531WZDZE8hIE4+bL9GS9sQf9KdypvvqpdSdEccfoF6K42+u5dahXcsVQRm+zMgV9LLJO85Ha
AegysvRJj06d5k/p821ZvzHexQTrWphwOWLULOsR+eJy3DugcrMjN3KJB0iOp+Ku2NcnZ3Y/qiBX
a3aRn3GXhJ4ieV9snYf1F+iX5wFVYyOxCNSdRzAZn6YJaag32vqW9vW2rpslyrUk4eSZhVPqQwRJ
OlAsqqCbOt9QT6aJFgXj0Fq7prC8RpYfuuYqQOixliocQkr7SO8VrDAGxM4z4vpXNXUxEYdqR/yR
v4cvJ264wKr3v4ZBJCtnGzJjEg6nPmdgvkrhsR033oVv1lMKemU7SAKU3fYANSHPqU994rVH86Xx
lS/ctY579qmGddceOyBOcnzqpceD8bndqc/KKZE9jBb9ry2QgH18GbYkRAgEcmsCXHiR4g4DvFgy
epP02tpyg+tQQ9j3duG2USdcHpizMQHtpxT7UNrxvvm+W0sR9rnNzYTMyxVVwKFT8BTnAGfySPzD
6NA7kSs7Rwsa9X1W94OzMyfZIO7W/bUWL7wVlHpEb20B8aRR7rLZPg35L0XLP7JJ+XH7HMmWU/CL
ba9WZUlhUvb0ZGrvU//Kw1//kwjxWZB2eVfaEZTRAbKqJ7oXGvNuzkv/tpjNeGa1aI7g/WbqxGY3
LItGdgpe5LiLO3ps9cfeDAbtR6qdKs0HetTxtlzJCopRaBSPvabGEBuZn1rUzXrt2dQ/3paxffD/
e0uIoZpJU1YXNXYpGdC41zdIdyifKB1Oral/S+kro8nhtsTtg/xHonAAJidrcxJCYtucQxVRYGGB
juUfZAABl9CFOfaqIalklGnDcsj0Ln6onAHpEYdU3ffbUjbXTgPVBFnoIq/Qn1V0AA25vkhpLH8C
vaCK6drJ1xXDb6zHCNW6/02esHJFNE9ZOsAFZs1LSx7DbJdN9yn9XITA6pJNvW4a30q55fdVJGWr
SZqpINv1JnBFxeTYZmBKyCSdupveaCVk+X0lJIuA+5wyCAmHJgCXiKcmDt7f9BGNHhKzk22WcH9Y
UZmCtg+iKrQ6O2hZCfj8bQIirn5SuKS2tLl2C0os8KNUAA0JN4nN2VTnIe5yO/LNabjTqJ80Mlbk
7ZhsJUUwh5LotZIvT2N6jh/bw3xA9epYnOsSZW8XhVugrPvGEQhy52KnFm5+poEu2b/fwO1Xt/Lq
GwQr4R1RSJvhCPTfHw0EhR/Q0/fj05tuetRv/N4DkJ43e9NHGnSecTebHt8RyTdsdh/aq28QjAi5
0bFgEdahA1iNXwye+TKe2L4/pN+a7/GzEWRAWnMbLbh9GrcjtpVcwaLyUp8s1kBuWrlUcTH4d+IH
/Uf4ozNc1JZUsA0331AlfQRCjGEHhaz8tnl4VvIXi18dnpCQLHMSyDdfz06BKDG8H9IAew8YNpe+
dKfwRX8IZzf6dltxmVzhYk8tBh6oEnsO3s8EKQRynpWAyYpAEim/o/SVdnaG3u/RgHZJ+y0NT6D1
yVLAZDeS59vysTcM+PfVvxKjmyw0UmdZxKjw8tj+aSDMdjDbrxq/5lhF5K8ibyvrmN10Rn+27neG
byWVlHMb9xOkdvUPJQSxW3YI49yd6JuFvGHCdrd37JrefHlcrOQJDimqC0fplvzp5DWebePpZn/C
fzAsaD+YgIkIPqvfOFiilftyz99J6uXPyv20v/0VEq/4e2pjpTQHLAA8Fuym0XBWBm1XEQ+0fpKr
XyZF8EgVgBz6eLGbpi3d0Go8tfvZdeRfruLVgi7Wu9Ilb8ulTQFS1PQ70wLW+U383cyCCSnCNPVv
L9zGmwGoNkA+BQX0b8ow4cRVqd7lRQFIiHLajeRxAGO007kAKUQ9D8/gs2N6Hf1FgUILAG1fM/8+
TQn5FHgKQHRDuVlsqA6V0lAG3lfAlLwbku+keY6jHxIdl/f75UFcy8CxulzRyTZD02ohgznkWdc7
t8Cmjer31MzuQWRwABT/Fx5NnwGL6uqddqwz/td7evkFQpQPHEigT6Fl16vA7uqMwNViD3XMTyA3
8k2E31OSyq6Q5dyJSgN7CdlkqgPLRORFaXIj62aNVJi9iGZrr5hD+6mboxDITNPAX2Kgvj43qmKC
z9WsgecSmnYU3WsRyQ52XfXGrsuJepc6dPj7GV/QBRiguUXuUVuAcS+3g+aUMOA2AA6kUE+a+l1t
mgMbAbaSmopsFba2HnNhBA2rBmZQRGQjxMs1ie0M5kUfwuEd0HquGh80JI+L6lGp3q3u1Jl3Rf8e
W5LY4doPL6QIfyQLV2hf6m0St4ArVKez3Zy18qhrimcaD3aMGYaDxMQXAxJ32wT0JHA8gBZlWoKB
pSSOikmtKq92yD2p9Jepf3P6OoiiareUc7kxnFU1u6cKvWNa+Pm2+C1dQTKF5k/MEC84x5c7mnTc
7JqxXJA2nA+TiU6Yytg5KfXiFmnKRD/xiMgc16bGQA/BaMhS4BVBUpQRc7RhBI3HzHwbdfVOmTR/
1HjmZVZ0byHXPGXOHebyPTP8URBLZllLCCyuuIW1BpAO+mTAEnGpsxGi47/nwDCp2D3FIBc7Ujxz
Gzq56XCgTkCdPZiGc8MvUiA67jJZjL6RSwSUNLHwR0MOXxfJelonCVmnAo9mSI8acJI5CBKI8isG
JI2lHPLpSMLzKOsp2dpp8EoZDnhSQNAgpspAjBU18eLIUC1N7zOO5/Vo8hpBIsjguuTBTsOvfeZw
SdvOdcSG0R9wcBCgqQD5/fd7ZXUnakZb5onOK6SWDJd06BCyAFAzYl5di/46GYymJw3DapoBfhvM
ql/ua1iTVrUrtfJ687vDur1BLZ8DWsvh7dFu/2F2ZEHPA/w4RAGN83cJYKVZl4ddlzkA0MMV+zoS
EBvoBeoKWaDRBig1T72jej3wYyKgZN8+tBtreiFZcMNKZaXNsED3sfBpCFPUGAAuD9JhzIHIzuqG
F4YoYCaRhY4Cj9fLNVWm2fw/0q5sx20c2H6RAInaX7VYtrvde9KdvAhJd6J9oSRSy9ffo1zcic0m
LMxcTDAvAVImVSwWq06do0EVHo/IRT8aoArHDXObKkmgt11YVIaHMtGucZ4WK71ZRivq1S2guHSx
Nln1JzGhB479y19QLxklaY3FLigwm6de6b12eOpBgn59UyXng4CkEeqWrqaDHV1YKXPAaY4ziXRK
Y8fO4YAsaL5FtXelHvZKNR3KeNrIfSWQRbiQgwsVpMsgPPqT4p25kIG5XOAlYbPIDmazz8yjlkRd
uQfTYu3s0yWo7FcT6be7I/kXBXJew7g37Xu21b+Urh1SsKtCIrhkRDJ9prtTqsz4HTkI2orI0F9s
8wT0DZjib9zS3F3faekX/WvNFJI6PmEyBDzw2OmG+4P6ChLiYJoMr90Kees5EAI9Qjx4xdAaQBZh
CldrXJJ5ZGwBxaU6+HhkgDeXPdVae5PqxRPmsB+vr0sCwUCyBs7HFYUGjUAxrvfqpGagi2swITxD
bAEQ035XAAxmtKe68nPMd2dPcf01czKUtF6uG5dcahe2hYu84CNYR8DuDnWJBFJm+a2WbskqrSdA
3M6VasUF06cGTXBhO3nftqkTO41fKk7ogK7eVGdkgdnh+kokg/oaVG9WxQULQFa01S9PvMkMkxsD
YNd95zZRhhaxtxhV8lg5iRtwcyqjlDWn3LZgHGIi/WzkXprMSAwT84uCy+bAm2reiIQSX8KHBXU2
/oePKx7Vsu2NaraRlDdFzywfyXZ866QFtNxcUoJSzu70AqwWcb7FgrKuVth1wwLFC/YB1PPoBl7u
hpUVFms0kEtDuoR0d6NFA7JYvt23fun8qPpg4FsfQBL0L0wKHzpjNUQ1J5i0nSmg7RcXY+bqVIGl
oHgAaavXrKIXyGwmryRqVLquP8Zko5AlKWTCC9Y/ILhRDZBIXq67mpGk5QyHqcPUGi81bywSj5of
XB9uDBViTAUuPOOHC/aZ1uwig2EkQav3WfXQOda+MAcIITdebmU3sWNFKVGgsLeJaZGdOtPUIb4M
ZkE8xYXLifcsT2YXp67mDrK5Iyve8tiDxkTcJ19yoz0Y2ZvW6x6xxhdSlbs87zCzvzWpIzuYOI4r
dQcqAqZ4deEAaFkBCgQ/06HbmRnatIc2GYTq+m7jaSS3BHpD4MuAYRQLY2AHpiVbn6a5QfaOlu4B
bQ+t0t64GGU3BOAaoORfCR1sMQJMqq7kZle1vpMSBNF9VnxkTbMztjpC0oi9aqnh+WXg9SPuXD1D
1XXIaes3NI5JmGZqtTPVbkDipvAv3JntV41p2r5K7fa2t3vt1rE67QYTMBwFKzfZuEFkZ32tyBnw
JlBhihdIM7SatRQgRLbSV6t8cOLfZDpkfbiUD2n1bPFf1yOtZJvBsvbXnHBn5ENG1Gw1l8YnZwIA
K1y6r0BpXLcie+4gp0KtCKpwJrIL4SQ3SosJqZgBEtB5PLuNmw+m/CZDaBtvJoloHaE9dt3kn+lB
IWhemFxXfpZYQQm14XYBk7OPgcpXEMs8/UQRDq9oj92kXu09HNNfygPz7WCrAi/Z1AvT60VyZnpO
2w7Iet5icP0bVf0SCOluvh/1LdEByYV0YWfN6c7sxFWsNj2DHYWU6D9D1cedfGXqD6xpPV1JN7ZU
liKef0ThUh71NJsyMJz55fC2YDZ+aZ/H7ElVgiZuvMbdXf+Amim5g1ANQUoDZjMQ+4r37QJUh13r
SBJBHQuVtaqbpi7qoavTh4hB1rEbCNXDBPMou7kauq9q25EHxXRn/TjYFcZ6xhY8hVahd4XHQDCb
QHBonh/J3Ki2ry+6Xj4gnNOoHWvD3mdxMf0oNOg3+uac6GG6JLhXEicpbnrqDmNAuhQKXtTiTRpO
ptIdSzDOhNkaB/SaAM1bMVX7cAe135N+LOZARXE9C3ia17bfT7FzZyo0hyyT5rQPemKoL5Ro5Zup
Vo7qK2D4wjO1VxMVrGoaZufSZsgPDDO/eHihNx5oUCnGb3DYHbdj3fRKVUl+aB0o11Ae7p51qo9t
MDM6hiwf1O/QhkTwNNTMgvIqMHbWDsBVckzGZqq8oR2H0q/60UyjvoJIAUSiksUztNJYdW/VvUvJ
iKmpkpHFc9sJWhP5VFPEenXmx7FIXebTJHc+Gs0CezSz3d9F0mqHSnezCGWuOXBLiN0eV36+wB5m
jn1rsMle0udzHlCbMR9KTWCuYKqB+ZZ2ZidrccHlpxV5zHZZzFLg/bvc/F258fBDy4bZ8Yuk795Z
r9XPTdYswOLQ2QkGR3F/lya298lu7OSu0yY195O5bEAhYSy3xrDQkHdFfsDtiUt6dJ2I1zEBv1WL
rujA8uMyjvUBBMHkoA6gcqZTC2YoUqdVs+t6eJjSTXp9NM1Zr0612aBbqvAsCTqATG70hscnFe2L
bj/XGtq6BVHRV2XwXW9uSPNGuhmCHDE4iwCSmhdKg9E23eaxnfL0xupm3QAB1UIhjzpREDHZIL00
w6lIk10O0OKdYi7as9FN2eJRyiGORfSGaA+tyWsoZ40aS07K0Om300j6UMcr7id3Zxq5lgUBsBae
UW2FcumpRCkQCjKI5hj5ugw6XTfAe6oW9z8IAGMSpfQE0swiu9MLr873evO7W4JZv7WcrXkQ2VWN
ZzmKlIC3A+Au1q8aPri0L5BqQYn9tuf8zkw+ClJB4LSNCMzNI9+BCf+GVtmK0fcGo9kISpIQqCMU
QTnHBq4TEneXi68Vdakww9RAMELziB+Zt2w0cCpVP83+PTMaeLdVUMxBvxa8aGKNVFNKs9cGBTVS
BoWzuxbowqzfz/FLrGcbH1W2LFTnVPQadBBoiWWzdh4RNinE4eLeQD2WGs1RUydWgoKAmpWHKMKC
JdGK2luYNY7e9UgvuS5X+mqCLhaKhJ/Kkig/8y5fINhTZvNbVmahq3SnQVEPDhRN/n+mhBuzVDjR
FQum6ET3DjUxrgVvAhNAoj9ctyTZUlAprMh6R8MNJL5d9Alj884M5tWc12FcmS3gP80zoOdhbleh
UyrhNDUbqbnkKXJhc93os3zATjBxznPYLNmIwXYdr5Dn66uSJP/n6aKo/xJDxMnoZ9D5t2bsGdDi
KyYQbzobvXfp3p0lpcJ7t4YOHl9GyHUszMX9rXzNCvduVbVQ7HJnJ0bEE2XjuSFZGJjUHTB+wwV1
lDgutw40WH22jDgBxh+eb4acJj6UmbbxpJW4Oth4XADQUN6AtoVoBm0Vp01bZIbaEHbmPk8NJG8v
9lbZS/Z0hnIG3oI4zcgRxUA1W1Ortwmmf2uc1zcKnng0FmYIWPoDJpFbb7QS/Io0L2ZgtUcjtrwZ
+c73mDNOvTJJits60eybtOfuPk0siDciMbohHShINKPkKMD2VoEJh2EEL3tpOdQjHQeR4XV3kzr0
mSPol18lM1Hi1ldH6GyU08YcVZ4i1Te+iSSLPvdpe/0RZ6emQTFSG10YgRyyR6a9xj4649HM3i0z
vL4cydcHSzeBPMVa1AIPz6UllrPB1ho8tjgqVbkKeoZsb2lggfx63Y70/JzZEVaU95j80zWsSF/P
CyvenVb1Ry3fFaX7zYyNY1sUG+FO9sKDX6NARVZlRMgjXq7NBf+hqbKu9VsLNeoU0MCyDsvle6qD
tSv9DglrUgaVsUVqJzu352aFA1X0dUW6HGaZOYZt9aLPc1Sy4Pp+rr9deEoCq2dYUG5aNXDE1+tQ
6v3MVZQIOLqjiZ7eFwnb2L8tE0Lo1poOaUACE1VV4CzG6SMZso3rQbJXCGyY0EdhGm1AkSKzo6rN
y35ASUVtn+pe+ZHE5a6K2/9QwTg3syaQZ+eJZWVnDQ7MtCX+3DdQb02zU+6CITrU+WtlbYRu2fmF
VAMgMKtclSUmLxVFz6oyUQsd5hRyCcN9vtjhMBmQaI0Du5p3151Bas7Bv2mjEou2mOBx+WJRi2l4
dMfo8WlLGZoA+ZK2Q5c+PbXKRiFWdpSBsPnHmuAXUKidlHyGtU65X8beI+SjL04gI0mBC6i3rg1Z
8Qk6thY0kGzMSYkeYhQZAXR5gTXrl2GHrh1N4+8yfwElSkDZB+gxNvIx2Waa6OuhowAJKzRGLn3F
0Cd0a5OCQiYLuskNOFWX0gCXYZH7c2qDb9hiP69/PtkhALDGBWoH6iwgG720WKVT4zZ2i85/A42n
CXDsxAQBZ7E1OydbGd50OqqXKORZIiWGM892hrMGcb4+5MsNmJo8KAynHV50WxO3clP/tAfEpEyP
UT9fgDzz7e6tUVXoSH2ZIcjVxvt5q0u4upsQCV0oOdlocqErA+jC5e6pGbq0TgNqxMmpXp124HuS
OV1oj5b52KWxGv3rj4UngY13yUoN/WlcPk145lAX7qHmC8p2tEAqrZHCmwbj31OYYBoAgAwL6vQA
hJjrJp9FraxMuJuqHQWpURulXR3WnB+mzN4P4FG4vipJrIegGRo6eMHihScK6LBxtHnfw5STD/vK
nqLU3pr8l3g5KtqgQQbNFaKiWEWOU3DmW3pN/XxA2wTy0h92qkDQerF/XV+L7N5Hed7CnqFDsw6e
X+4bRd2ubbuR+lBGRrmJ3fBSDV0eH1rVjtShuysIPWpFu9Ni52PD9hodRG8ENbFhoHGOTycm7Rpv
WJ7aC/VJPIdDvITNUAJNw3cW7U6jlR7cpPcwJx5UlRnVc7qFv5QcvPUj/oEKEEDUhLV3rB5QdlMp
dDYW9B9bOnn6yO+SqUtDI1cwx2WzLXS57Mue2RQ75+hJwCm5Rv00DZDmfVctlF1KkmwEZtlBX2WX
1vEVE0FsvZfOjkOFTEGxY7IGZjdSx+mdaubeXLq9pf8HRnTIZaHTi/TKXimLxKPXuSUm33TqNyPx
69r1DNCQJ7UVoOwXFCr6jIwGFf9aoDbKebIRYyR33oV1YaXOVOlJQmG9ZxPA+FWDh2027sbWoLdp
poAEhOv3M5BF/jJoWypT0uODTjLIWTENjwaecAEiV1psdzThQmn+YIEXGjqf086N6Q9tJsc81iNW
FLcsdRMPYWPjnS37yHiIrA0ZQDmRvF9+5NrpZqdzbYrxNes09tMTwKZPSqK+0cX9dv2sytz2zNSf
fTjzp3lunaJGMMcjq8Xjeq6r+5xbqW91m0RNsvCK2XhgzcDyjNKZ4E5kHhw96WEKSU6o0/bbaJjv
11cjGW/RgIFAAxSwZzAOifG1AlwPM1ek9V3nQI1ApTfL/MGKfVnqXt2/pYN1A3K6uT3E0zPFIKAL
+qbypLS7atnbNYh4fXMJ2yQy2924NbP7+asSdDHRoEWLFlrbIraxn8zEaDie/hpgAtriMRAqz+Q9
d5+ub4LUjgWReIClVlCW4LqTy3Xe0RyN03Kdi40BnWTghj8am/KjUktY0kpTgRxRX53rzHlSpQUH
a1ailbfUUIF6Qtdwju+n6sf1BX12HJQaUFaGoKPtADMkmHEn0xiduMBDYiwxya0MqG/H8VZNQ7YY
nARALP8IBNqCe/ZMMfsuxfOIt1N546rgyGk6gifEmH5N5rH/1yNnBOBLAxNnf8BzoqdqmKSclhgP
y86OkTexyGS2bzVb7XrZ3mEEYQWz6kh7xVcReil6UdZ4hE32voo/SPl2/dt8fgdhGXi3Yi0rsOoT
60WBsRirwjuoMoE79GIMSRvpDbAjXm4cDPbrujX5av5aW//+zOE0Lc70soC1bDTDRQUiubSD6yY+
XztY0CpWAdYW9FHEU0pdfU6WZmoxhqLfKdA00Jpv7vRkk69kYWhpsJ9ZTLfAKteNIje8XJcOZRzL
HMbWH5V9z3apGc1oPU5VlFmZz8B/ivfK9WV+jvsE8FgwvmBgB60b8YpxpjR3oTuAYkBPPXfZKVDn
KIyNK1wy6QcjEBgAAAeoNJyry3XF09jMCUO6W5pVYDUTUEuKj5zMJ3P+OufWC2++mkoZFPEjiGne
Z8xtgc24czGPuyl1KOlSXf4Ycvlj+jGNnXjNvV33UVkQ5gcA+bOgwBXoDc5rzZobXmCqFcNx5Xia
pnkjjEm2HENdwLTj8kOlUZzcJhPmCfJmosDCOS94r4F1lvFVq2hTy2YNVZf5NyTHVANwa0yDQOpU
2Pam1bJMMZLOb2awpIJrGQ60qA/UTt5Ni90XtLA3arWSgTW8B0FyC71D4HVQsL/cXM3tame0B1DS
3JLvkO4OsvD9Wx4MHvTT/XTXhcSrQ7b/Mnqm97j1ppdMdkJJGfV0A+B95Exipmo4SmqSETCzfvaA
ZEnu6ocFZgMzTE5AAXzVSw+vubvqZQ+WiN31kyTzK0AiUU0ANAiRULxvIbk6KdApBP3Iqb3VPefo
HAr/tXlrDsVuS8RWbgyCvCiSrE87EdU26TEzsgH7rDxDf2rv+lU0+dVhCVE42ecbd9SmNSHepqWN
KScXS6OhdUyOipfel0GWedb9N+Om3nq2SZJuHIyzxQlOZLsl1TSOxc2PXdByDwxUoNsI7AgU5Bvx
7w9IRTgjF7bWdODsKrG0HEeVwdZ4ZOHP6aaI2Bt9szwVDjLdb+V+skh4YU7ILjSDoZ+8Lm14Y+H8
w77hHj82eJl7rZc8D1H35XEL7SRBWl1up/CCqg3dGbUGNp3Hap8GYKcMZj+9db2dXnk0gLTVboq+
paG6q6OvG4diLTh92l5AQ4FhwwMKIMzL7R1LV+nnDra1d/ej+LGLT8QfPLbDxbocm8Pm55SEPHOF
ov6fPcFTzYypRbt+TuOE9/396Jc+hi/eqJ9ECwQn78cAOvUnx683rjjJzX1hV3DZYZzdSqGwy/x2
5+TezyczQqnvP65PN1E1WjtVYoQrNQIxFJcjwh1JxH5VJz1IA8WrfNfvQv4jO/xIj+xm3kRhrvv2
+Tv+tSv4kFvrOrp7I9hN34ofKGkkXnzb/exCzZ9CtJm/PLKNgyk1uIo7g/Vubf8JjmMOuokhP2zo
qCy3wJ/eDDUNrzunvt70nxZ1ZkNwFr5A3rrOcF3MvuG7t314rx1m//7pLQ7iHbQJPfuOHE7Zl1/o
+HwbA/SWdlF6kwXGnfvyxdlY8Oohn37MSkmiA1EL3dTVw84C0ZiZmZMTgpPSvLTzU1lH85b3SJ42
KPch2wM8B2M0Yk67mE5B48IEl7kxBWC51zANhTm2hG9dhVJDmLFArRa1MEiBXK5FaXLosdQGyO5T
fz5m+8Uj3wzPfETVGzKofUBvVc8Olgembmyi9OpAionnte4A/Cy2AlODMtrPEHeddtzZtw8J0o7Q
uleiTN1YpHSNZ5bWvz/7XoAhZ1o1wRLga4aPETOv3tKUk5rALCAKmM4q0CWcgYyVPBlLfC+KEVqM
8ILGjGYHZytzkZpBkwezWyueW8wlMBLv6nyG5yXKrVU/EbpfMn+u99dPm/QaWieSAYEhmBohwoYV
TmX0sQ3FnuF9Ckbf9orIDhPwkTm3oFCAisox9e5Gr9nHJ/tANlIY2enCu4NgwBElIQypXX4tF5jf
idrwSNthD7Pl7Nng7rJxi15Avsi/dkRyv2rRKsom2JmPpAq4DjkaT/G1CDHyaYzccDG9VAmxyhCw
+dx355AEfGv4UIIuQVbo/pk1wCwM2miXq2V1lmpFA8exTv0P5ynBo+s2C51gfrd33T79oS+e/r0L
kxd1jx7we7Zz+cZBlPoUXhwr8wF6v7bwC4rEqEg64xdUy2GcHu2YeoBrYPzyX9fB15X+tSOE8LnC
THCTwk5c6bt0nbQHVSrQnZDwmDfaQrIr/tyUENSywtRzh8HUDPibpcW70XSDBuQORONfOws89+2u
3QIkSfPTc6vCqVGGWl94B6sLZBYBlHbJr1kD1hTvxcazjQPAzuhhDAPxHXIAxvT6oZXcwhhycHUV
TWDcF2L5u0POX+c1KL4tO/erePD6+N9/QNtU7ZUmA/+5IuamQtsJ7yaQNtbgbpktb7G/5eVztgTX
FyLbR5S/gNNcLwaARYSv15IEI6UMJCZV6Wm79t44xDvzpH4MIQ8BtDqRzbnctVgjXOgXFoUvZ5OZ
uf1Kt9OHZQAveRgf3B4ygF6/B/Tv+vJk3+l8dcKzghMMUjSrrQzqIYXtjygmXrcgCaAXqxESQML7
BTB1WGjdg9mXntIH9RZ3xR93urZlQpSu2sli3Urqo0bWYxqwMA+UMhyD5zmyP66vR5Yp2IBHaybo
a1a/ECLUUvWl2jXgFdPe8VUUD9htXEST10XWafm2YYzIfAGpHa5yvNg/wRenzKJtYpZgnIvcezVc
buKd6wOTkv/IvTxCEnHdntQdzswJrkf1Vh8xXQYeZ64Hfc59EJldtyArtSBP/bsiweOKGFxIOqlA
lQbE/KMRQUQm33W2p0VOwFwwE+mP65Ok9Zrb7Lf5smF9a4GCN07JSK2lhnXmgy0tLO5+8p3qxw9Q
lXluPjo//XXdoORZebFawTGViakTbbGho/uQlaECqjbdy4vYq/UNEJjM0spYQCAUBUSbiNPTpwnR
HmND/lzdQO8NEClKPposGOKNfEzCm48RtjNLQkQkCqGLQmDJOuWKNx6tyAzvH+5VzETvJy+JSu9I
QFLkxSHb6l5LD/q5bcFBl66zybDOkzSP3APC0o/vi4iHv5nt0Y11rq4gxpRzU4Kj0iIh5ZhC3d74
Xt+m9yAKOCmP/YaRra+2/oizx8DAqjTrGqxnZSAbNa+q0NmEzHUwLtNGIJYld/huYMkGVzaeiyIS
ZrAHkmkFXRe07MBenaBWBZn7cDp0+29genhzT+QlfZpvchQJip/FvBFcZDWsix8gLDalNaa+R/wA
Jx69pHujzZ0FEs3m3ZwDDNEP47thvC/9HTrHuglNaPKVOVubIP+qfzdBOJBdtbDJVddNOOWH+dGK
tBsnmm6sg/pRHbgHtZUd96Yw3mnHzst2doQJymi6d72v9mGLrUYWjM4+iCV0bWjVMXWe8VsWd/Ag
wGs099ejz5+qzicf1lUbY/14noEI6NK9ii6jS6ZCoZ2jLIEUJgKP7V2KHCZJURU19lnA9suDGm2d
HVnhFzDov4aFT10rGGXuJxheSn85qHjrqiAPd326xngIdKXR9ZWu5/7aQoXPqoB6uOgq2Bs04o3o
XHSxR7QOT+vwuqH1H7piSBzZh2xizwoH30ydfVsDS8uNkR3XBjma4ybkoNP36/YkjAmItn93Uuzz
AuKV57zByr4nx556v3CD4NQuPpLeQPWYB0bp6xa3VrimJGchqWkUjScWVsjyfd0GnYG+z64yfU3x
2uq3vWVOlh+er09IpxxTLUxzWD0FZElqMHU/k2EDgy1N2c5trAfxbEnmRCtmarCR36o++xW/lDfK
99yz7vT/0Ba9+FrC3dgPem8MGjZvAIXG9LXS7kq+4YES/YFLjxDuQIh7DMn/7tguPaQ+OYIDNQKO
aIBHFId+13njnrwaT9fd4k8157PnY3AWgzQAY4sQUZOWGOy0sTT32TraN/qri+px7z1w1GIMUJC2
/isip1+itKvu1UD79h/KTdjbvz9A+IojzYuszvAVNYzo0VuWhKkeTVsUfdKgjBagauiAWWJG+dJX
+qGxlQW1QH/KVQ9PF/BIbxww6ZMSAXkdFMFIHp4QlyZSdypV5mAhVoS+mJ9/pKmn3WUPSlCGZTQe
kuD6p5NnTWcGhZ1juZPHqQuDJhIMTFN6r9+I1z/P+2a/NfMnd5MzW+IJoCjlQdsLGVqoxqEVshCM
lf7kGYcBHXvP8qrUe4gf3tunJISgGeb2dR+CHddXLPmIgPE74IhBhQeaNMLNWhRdXFIyQ6QIzWsP
bdeVW6bfyGckqYQD1WtAlwCQwVUnfEbDLpYhdw20iFbRJSvqijdAcRdeeS27T7c46WVLAiILDXkH
iFz85EunoaVhgUMW6DerVJdna6BfZnzSf1/tBITprxHh2oZGUA0uTAAHx6yDLBE5DpaB54q1v/55
JDsHlD5ARUCqrPBi4bameazlNU9xS6PYt6PcBuNG4bZeXTf3tHOdp9ig9CUrqblhWHK3AdCGPAjA
BqAbTME5B57GDCKm0CxUDwkoqt2HDhlgfqLF937wi+Lx+jol2f2FOSGWGAmWbxswB2X7kKlhobRh
TjuU4AIQyW24o8RBQONmAQ9mr8ANcVwmMdyWVWuHb6EHXkGHqSw3TpUkybqwICzHLksT9KgTltNq
nlYXfp8/GdWp6afg3+/b+VIEX09HhM0ihyFLfYQWp1cnbbjQGw3yagOkGK4b21qV4PMtZvWnRkWH
ki0Kva/SYgqZQpPHdnEf1XogG2tbXUy4RnHAVuS1je46LpnLczyD5badQfvqc/exrg5d9rFZQ5e5
HYqviBIGAtMnKldOwY8+kwW93uYhM72R7cciqOZnXj9d3zpZKrJ2C/6xJOzdBLrNcmlhaY7iqPq9
7Iabnwv6FlAnejKek4c2MhIUxq5blUWPc6PCDsYkttfYC1hCvgdLYa4+2DwwWDCnTynfeEHJDtVf
W58Ujx3G8zptYGuYnrPx6Gy1kmVvYmDE1ywA4FQVSjeX7pDU9hJrhY5Te984vhpWpzGakMuZeFDg
bhyR40NoZ/LoBuBK5obndsml3RlaI6iZwm6WdBhneM3jMlCVDSOyxAOrQ2caWBjDtsQJpnFI6YL6
GCJGEsRTUEKHLrG8Xv1KhrehDJ3ptm4foRp93UHka/vHqvhGq0CzBGlHrM1pPtrSfCUdCZ2+fvv/
WRG+3NiUbluNWBuem1HRIgkvm6PubE1mybzdxOge6jVApGMg5/JDxW7N+8TAYmz1d1Pux+ppaQoP
xCsLGuLqz+trkr02wVP815oQ4gkk24YigzVMkFjf02KcbW8idfkx4cA9DFpi+mbdN7f2NMwHTAb1
oaqUmT9hcvyQ5pUVjN3ghEPRflz/YbL+KHD5jgs+cmQO6GlfbkPW6PVcWTPOSUFCPrwyPLlZSgKo
5u1G+k5s16Oc+VOLQS+VnwZ9NryRos7Fvi3OQ5l2B0UzjugV3ZtqHLTulnqKNBSe/0DhQE1dY6MR
hh9onaZd/jBGyR5z0ZEx+PHeeK4O9RFch3kECPD1nZFFqHO7QhY6pjahcY5OQFO8Dsap2irlyPzv
/N9f7Z+9nRsjNwrDQAQkCBQ6kIIDD2yInOcPMTTAqo1eqezonlsTvB2cS0pOMI4EHd3vM/j8if7V
dL9e3zHZhX9uQ/BxiznLSFvsmALSvuJFR9WmCMj8dN2KrOiAuQYLOoGIe5gnET5MAjKdqSqxlIV8
HRPb7+ih0wavQR3RjKz+aABEQLdKHbK1nRsVvlbv6tSJTXjhyL+UxYtZ4o18srbeItJbC7eVaakW
JmEBc790ChBZVdm8aIjrAQ7eEtz3UWaH+Fphe4pDMPa4o2c8bTUrZc5hI3lfh93xABLvysxmvAId
EBbXFmFG0Xfr+del/vcc8QDjnpkRTrJTObFaUPgHWFaXBnLRoLZbFp9C1xRk7Z6hb+QYck85Myh4
itJZ/aj+cch5AHE65uTM/BbvI2io5sG4kpqV4CZoQHzkUr6RTG3tqeAwJI31RFexp7H6mLFvBYu6
aYMmXJaOnu+n4CwKsZtFLeAs2VQ+cYdA9aSOert7gSRKCPzQRiNMeoed2xPON2ABgxOXsKc/B8YR
RBlvuhvEz/0OukQHdBV3/RYnoSwG26t2AkYdMa4q3tFoh0F6LIZFq1R+zfn4swbf2kY4ke7imQ1h
Vc2iqYWrwCvVqH8CIWnIbzS0LWrP2Me33GcBxEdvgH/aCGNS/9DxSHfAngM0mXDvjknMQVWHLCej
zmsWV3utsU5Oam4tb/Vx8VmEV+s/doRDp4F+jUImDoeuyr709EvG3IM1l0FPZl+fX6dFiQhnz302
hgnoEtoh8525/HJ9k2WLxQTCOrGJlBXoo8uwpmelMYwukGZG9TAWd6X9oqob+ylryWAI/a+N9b49
u091PM56XsOGTfzpBiPUT4qfhdYBeiPLIzvwY7Uro+mb9hFvnAvp4hxAcjTMpBLMdl8a5k6ZOEWF
1M5c+l3Mi8xr+tar4nijhvT5CloZ5PC4BYkcGCdEfERVDo5bxBXynuK3NYduBsXyIxjsr3+qz0cO
VlxMwax3Ad7S62rPthHdJWg0zjlA2Umqh0ZrJYExZ1sdOulazqwIhy6b3JS3qHv7GRgJK+ZEpAaa
CYIhVbGxns9p1roecDqtIQTsFcLXacoq0zUOS5YNririKwzItB/D4CfuvZJmG8dty5rghIvBUgzi
QER+6oabntNfpd2BVpBrww6U9jOYo6zMq1x3S1hBvp9/Vyk83VkB4gQ3wSq7+bmtNA+nHJraUUl0
/7p7fC70AeSO0gca3RgWRq3v0j0Mm7OhzurBr53YswY7bJrMm4kSFhpu8aUPKgfM1nq5v25Wtq/o
HCBUYlIL0FvhJqeZkeCig+8P050LepzuOdEOSfUzbSEKndsbi5QkDusq/5pbD8nZIWhQneIqhzk7
RXHRvLPr3GvUfaw/mOOXLNtVzK+L/+A65zaFg8db9JrLEjYTCH8AR1h3mI0y76wkVO1HZ6vWI6kg
rEu0UfNeIf2IKpdLhHaABba1ZvDd7Iup+voQ9cqhqBMv129XGDq6M5MTQCTJu/4lJSiXS8Pi0R9p
bCktDPO4vlW777nzo2m/UKXHs2EJHIrzoSuHeQAFrdWCl7MLGpNFvNKjHpAm12W7uM0DtdZ3lrKF
Fv4cyi9/m+DdA+0TCHTBu5du9Ej8VFtv+bThXOu/cXkhwwa4eQHvBrXzpyJi13VW3M2woaQDNM3d
WvH6dMTUkVViAInVd4DHjRuvPwk47NKoEJd4ZS/qlLSDP9vNl3waIztlQVtDdjBroIhl+hwU1jn9
1qrZDThk9WI5GdoXMOZCb5EHNXAkhr7cdvHWlI7cDc92QwhcqpWwiaMa7OvgReyVV8L2nIPc+t2A
vk+NnKQ92dWRs8N1L5R+aLDJrE1PsNiIxKh1TjFnq637MdV704bapJPs+7qNrpuRBxINo0GI7lD/
EjuSLiaTMT6PQ8272Y85MBsmDwfb9s3BXftAL0baBGDdfpyXLeSG7CIHM/I/poUYZozg7HHXGMYs
fswoPWAQfcOV5bv414QQQ+pxRbkW+HjuMO2mzkAIKcChu0XXJA8ZZ0sRQsZo1SrJwVjtU5CGBcW+
j9jvbA/+6NtuX+9rx38gz876NC59tt+qN2wtUogJbT1g5CPGIrMCUB83D0urD8f/Ie26luPWle0X
sYokGF+ZJmuUJfuFJcs2mAnm8PV30VXneAbiGdTe91mqaTbQaDQ6rIVmwNumsnqxXujInVAT7FZm
s1ysFmht5sAqH21cPekx6bxa3naiCppIK/7ctTapy2VJM8VrhpNhHI3x522NBAbId2ElSTjYTEEs
JJXPIzkLY8jV30epBzO+mL6DL72+wdAQglh1XlQozm39VNn/JubArBQenmhYQKb9+vcBnlCaWQMf
0YJJbgDIIFGSJ509Gxrb1kZ26Mfmx+0VW70aLiRyNlDlhlzZKiQa084oMdZwX0lbvfwZtgJjW939
C0Hc7g82IOTKCYIi69w1uqt1Tjw2gpt+VRtM1BNgTQG/1ebWLx1mKdFIBQc04HrLs3EnA2TcieR3
GQ0ELUDTb6/eWgwMOI2FIA6cL2gfuN4vrQMCbZmDhyKyto32ZimeYQdCopdlD75c38jjI/QFYoDC
TwVKZQiUAANLR43Mq9vBSbIKdzeaZ+i2iMApJkLQXl3GvwJtruUiaksW5wMEVuXGUu/q2m/LX7L1
rBiCO1EkiMtIUMmqKHqqoZmE2aDWQ3ouTX+oimvPgsTcn6cqv4hLiw5q0Ti8eJpcb1UOagE6RS1C
vsKJXHlv7A3MBwIHNd6Ct8ZJd/ppCO6S/bf70LPd7v2pOXRedtA3VVA4WHIXsCaCI7EClIDA6u83
adw6M1Sqa2I06Jc7v0s+3ZNteygfsjdyYof5LnmLMcv/kMqOfl8dqDdRBOeC63QlwYZPAECQsUDd
4H3F7UBas4LkdodW88jV9ujBwijxwBwQfvnA8b0HJc4mEiQVVuo/1zLV662YsrCvDQsyf9DZVY7j
m3w/3QPQyvsGeESMpSsYTo/22gGrvtUFFrdS27kWTq6FDzYYo5c6HIbzyq22Kf1wctON5AJN7F7f
4Bl7zO6sQDTYuxpPXK4zFxpRPG9DlkKstJ29ytedcp9ikMttPo/Vs3a2HMkzTiYSf2BaETgpde3W
upTNeal2qgZ5IlhvclaCGd3P5zH48WhgAh/wbXv5Xj7bLtlo3uSkb09dgAg9EZnZmgu7/AQunOqL
th6MEJ+gnogCE2v9x9kZA8n9c/SKIH9nG3NPfNu77aDX133BCwd2HQbM+Gh47LWpoT3W3XQSmFYD
MvnO6d9J0HpmELvskIB33gFYZh6EbiN6ea6u/IV0ftebzK5MC9JDVQNinq8CIfu2gmsSNAXYHwC6
RT6Qb1xjqNjCnNEPl2WJOwPNN1GD2xJWlxCAXniwY/mWuerrE6MU2ZDEMkQ06CPzqi2cdPsDlnP4
LF6Z84vu6PPkRLvOzV4t0QKuXbCXsjm70RqFzEoI2Xbau3RwaeFFSB1Ig2AZ/4eSsBAQLBigTebc
gtHXdVrNEEQ6Z/60HfRXnvMP6qSu/pA5GL0Edo5bfkOCBLS3G6FXWouONIDB/Uc8ZyhDFce5MS5r
PDn65/ienhJUaJlLewx2gFXlg+ChkZ9/CrZ2uWD4SxGs4tBYI8s0NhcvJW2fhNVAlpGVVzNzrPSX
YR779DlVXxPdi9J9L2qYXb3zLkUunuIiz2XGZAD/AUTWsZM+9FvFMc+FVxzYLt2CG90gaJ/V0RTh
Jk78NL4mPsV9/aKJaJmW657THLDQBBAaSNEuFGnXn4GmVqAMV2DfGY0XsBfZ+ZlpG+QULQsOojpb
osh0ZYOR2P7TKYwmGnCYXctTVRTKDKVCyafK+w3IeoCNFiY9HkJZIjiwKy4BDbMLjyYSbTqGXa9F
ZTGLe01uUOW35cBi08esyYJoalWbCxHcJhZxj1AbEHmugjGGtpy9djj30+a2da6cfcA3ABsSKQUZ
oLXckhlVl5CYQchMkAqlKbouAysFGPq323LWMiYQhMQYGi2Rz+ZfdVTJSSN1LWrRyn5EeGhHTq9t
SOhQySmUnZWdWPR0W+baHlmAZ/6DS4uBZ043ShKWpH2Htj4rD4qQ7ZC0F5jBWp4Lav2VwYVZsx4Z
RZZCRsowgg/AX4LGkgJE2iSoW28G9ensRW0QUUGNeM04QI2HtlwMdOPBwrlSZhcsBqk9arbTXRj+
isensvt9e/lWTQOYfOi1w6H6kpuXR4CTTj36Y1v2XNkK8P4/zSzBDft6W866Kn/lcG45KmI9z1vI
KZmbkjutu1NaUWi0bAPnicDSCI71BcELN/jyDRcOUTLjbAQAJKwvLx/mJGTbMC1f65ksxK0a3QKC
cN7UMiuOpRLtapt8swcUU4uZ5o+3tdVWlxV8yQsgKTBb+JKHohXAKQdbjNtnI82cxjab16GM6L2Z
jexz0opRdZOBmRikMPTU65vCuovSyMClKQEAHA6t2OLHy02RmmPmVIhLjqPVDCZg/AyKId15vqcL
3nMssXETl211ZBFtX5belNrJBgY+M5nq8X010OYhkoz0ybJnDMBOIIuVx8l8je1BYV6kxd0DuOAU
WHGNnrYxQX+HmpzLbslbhWyyMFTSx0GZTuXvAZTJ1AGWqOyjr5rcK0WF53OldOpe7TorFkQSK6OZ
C3cMhjLBdrCwqXMPzUFqZyD2om2nMCR0Lb5gnX3wuQWzPW8bS3EIqO8QUP2g+m+5ap+sCTRyavKG
W8PL9cyJMFNR1N9ToEVrzbBlpYKSWi9Izq/YNdpTMYWOHDGMjq+4ZsBgkCsdGw0Ci8MwaE5ZjvvR
fLttTyt37JWUxdwuLDueraLTZUixGzbcaWDmi5zISknjyEaMScKiSR9T2d5QM8xdNg73t8WvWDM4
3zHfj7eVosLursVjLigBcCt8X4vpn3LqXW14IpY/NQI5y33KHeArOZy/k0KLTGOOq90C9a85ByWI
AGc88oanvhfNvK5sHJzF0oeLfrSvYaoqayWVLTgkGelT9MVsZKk4hpT+i/sd5osGGIDg4lBwIYQ+
0txgoPtyo848M7n3JjuLHB1orre3aO3qBaAISoEmMPCBDMet3VwpQw8aSEA1JT0NTKUKA2DIVmAf
7KunmiIanmmpgpZGGRwDfb++2hX0+fZHiOyEc/IFugL6Nq2xpqCk6+wRIPFulvtVI1B2VY4CsjgQ
oMBz8zwaHbVbojawE9KCA6Xwav3ENMsxFcF7f80e0Uex4Pwj4MSj4truo3BkWbIcu7pEDpQ8JSx1
0FnbDy8jFRGtrOl0KYs/Y2GEB/YEWZK9t+uNHrUnIPFmpohiZVUOimZ4pSAHqvI6Jb2lGzOFncSR
aj1MKt4DutQov22ji5zZ0IuX2zaxEp8B9BcVU9wLuH34AZxiTOM5X25CG8DcAxke80GU/Vs5ylci
FpUvvGPfapU9LU3GA+CDEiD228oEknARkcW6mAWPFaEYRlQ4a6CxpZTTcpQ1QPWBbHoMnxLp1+3V
WpmCxA9Dwn+EcGYA6lIdpKFYrsr8U0xCa+WYvhfyTlFeSLbRMfQABtahvevsjS2yjZXcEoTjIYcB
LPB78+dqjqSsSP805xoN0JC2Q5Ojj/8uRYYXQJd9JLjg1241tF2B6mQhQsCqXu9b3gN0fKoXk2fD
Lky0jTKO39Eocihpf9S0wpVnbaeT4fX2Gq9ZJBAQAQeCwQEFrvJaLAuplBoN9jEZm02rlnfAafzn
Xh/39V8RnCPM+iQnxmIquhw/9HL+CHZT0HiKYJjWLBK7BZRwZOQ0UOxda4KEXDqbXYHHY217czkH
Kpt3dj55txfMXLOLBercBJs1Oh/4FatMpJlVrcQwWKRUJZitsGFOHeqYw8nTWg/6SDcCq6/GJ6tj
/R3LstTL0ICPf5LwkU4sg9HWMeWoAUrb2Famg3m50pP1GoQTNWj57gFXTU4Ssro+JkjCs9om0eiE
sjwew96c91oS5uh2VBPqVGCLeGtDG6ySkZK3Tmu08XFo6vnB1gb23CT2vO97Enl9y2bLQTLIBEwi
ZlIpskAsSVy8gXLdocjYfBIdPDg+eGvLrVQotkfHCKA3g1rhnlTNIQCwY+HqTOs3pBrtxFEbCzXr
KLqvexIHMu7YnVSEu7SU1J0pATsdfHcBYM1Cbx6YjdY7ezoDJXDeaLqkHfUKT0gQxXVl7ndKhX7w
Ziisz3zUyHaam/l1qg0ldwYzYfdkRtHfycaoDZ0pKTAUpEf985iNyqar8vSbRGMFTMSxgUYqhE0i
eKrVaGIhVFwqGUDP5F/VKnBmi8xExAc+GvMIbHZ212GIZQdADe0V7Xph4tRFN3pMGq07xeqSwhlB
3CU4Rmt3FcYCl6c3WttVvrW96qekatnyoENiqe9+15jx0cAXHP6+beAiOZzTrcsiZ8RE3KKAWdw2
gKeph69JZu0He/7nzEvovLvQifM+NK+mJjORi9Ht8IeBd5RD0UnU1JnlDKX5eFuxNVd3uY2cYhkq
ZmzQsY1Q5AhWzMe06Da3Raw5cctQkftDyYuAQOfaBw14MzYacr7oKVSAVhEhwcQoHicskLLyRymX
bphYO2aICsZrsRlIuZCbw3sEIGBcYG3bg9STJQYslKMau6UEPGIkOJNsi2Kg4KJas49LWVySDvzW
IyiCsIzMrDBg1WV5IBnyc5tV9WNjS6LRhzVxlybC3R4TUUD8jIImQkFMqGJU1Eh9pj6HkUivtb27
FMTtXalOadZpEJQCvtbsRr83MfZov84E9Z04vc9r5kxNJchqfd05dHyArwWUI0uXpsGtZooydSRX
6CHMUBzof8i4+8tTqY7OJIty0yt95YssTJIuCQSgPHEapnM6zlEIWXRMwJT5c9aMQ6t+ACrENVCc
VYzBxZutdJT0V2vEnjn1J1tvvLkG4HViwYTvR5o+3z4xK871+qOW/b+IV7UG7eU9MhYuhjX9Lm18
CR2b026KPWK8z2Bqlu9IJxD61RNAJjIzKDupWAz+mMq1PZV4M7VubskPaW48ZYkpOCVfo4RrEZxa
JEqlcarQwqEWxK8T5IA3cupJjO4maR8VnUDc1+DnWhznAJrObqWogTgSy84A9pIoa5z5X3A2Xovh
rHUwmDJ2IRbOSJUtbYIyAYoLWXhEgKW/u20ZqyphDgKZFmRZbP4NT4c+SnoGw1iKASDadLTWB0vX
bSGr5ofufRkVAcyuyHxKwkBvcjvm0KhWfkcANAQiAqb94tCVdLxykQA0wLu5vS10zfxAQokjCBro
pTZwbfLmPBqVpWOzGApFbU3usqEWTHJ89Zrox70Qwd11UgWuxgoklK6EorsESoUECAno+2Ivt1VZ
c1+XcrgLPK5SrCqDnMJMMWt3xrTvDPcZlX4reo+JRC2reuEoKrVU0kaDqFRFtdZyWK2iv8et22MW
f97WaqW14Xr5Ftu8kFUXqTHlMkYrpG0HSmPVsU4I93zbVc+gj3FzD+znruLPm711jh5fEveFeqJ5
pzUPcrm0nAcB8tvQye1imV3h54U/zGUwYBhCVw4S9STp522dRcvLeRCwzcZTaUEc+A+eJXUGdAKI
XawEM3FJ6utmvLktb9VCF8A54KTCUC1OnoLJayJ1XetqVTCTI9NOFv2YRUazuogXUjiHZdtxloMC
By2v+Waw+q0k6U4cHsYm95l1T7vgtlIr9X4YzoU87hVfVBXD+xBalZNj/Tapk78TT34gb3ruoOjO
qCu9ApRtq95VQQvGCvp0+wPWnCZcJYAAAO0ODEfOcHuiS2M0QV8pQfMZjd1Ycw1RxnHVf10I4SyT
gmFW+rOoIcBDZfUt7kTcwMrin66T31jHZZoDk9GY4uVLRnMKcsQxxDoW0rkq7wv6raYbc/yMtZ91
fzaSvcFOVNqk8vO/WL8LuZyTCUGal0bLwW9m6ikNktMmAiNRRexrqHmtHbdLUt3n/RxCSlXcaeUv
bTqqGPo3NIeywgFZk18a/5ju8Voit2VjySrUTxe7aPZ28i3uT7T5pouu7JUzvVR/0AAAwGhEtNxt
0GNCeca8ES42DMAlJgkyIPOk1rlXYkFwsDJeDhEXoriNommmDmYxYDwNEK9PSu/M2/g0b6STdl/X
Tr4D7+HB/qYIajIr7gSNngBpwLA+5gr/JCwv7gWGej6hA0YKW3aywtHBSA9eeY6mlEgN+l0peBys
nOYrcZySLRkyc0ghjqnHXHpUkq0iPd42+JV5mqV39a9KnC2OBhusSoaMWn8c0EdYg2711GVeXxRu
GPtK/7vVgto6yNZD3R/04r6Jzw31Oji2SLC6K008y7f8qXACRR0JtutrV2lkXZoHzP4xj96Rc4ed
LT809zE+9sd2Gz12QS454TY9FneGs49eGlFD4colePUB3DEpQglgMCk+YAyDcAxY5EX2t96+Y5Fo
ME+oK3f/1ZUcZ7EOUYR6VbKVkYVztJ9R8Cs9fiZB8lYqXryj94NTHNHS/sw2H6IHr0hZ7m60rHI0
Kxs73+XeoHkaCuh17sf0O0lebxuZSBJ3K2ZmObWFAV21CbNyhyrbT9ljMz2FsejiWE4Ed29cbiA/
qaGhb0lLakiq1WOtfW9TQVy90v2C/icN8JaY07AW5rtrE200pobaMhY7jWc9PAN1f8yCigRzcZhG
D8oRGrmzpgved39IlznFVOQf0WGO3h7AM3Nvhog2DctGbRlQIl4N/zaOYEbfJBi+Ugc/Q9IzSTEI
bGxzdqD9SYoOYKSe9INB7gb93RgegIvpqBOqTnSThl5S9v7cOIN8SOdgKD1zxgOIOJO2Q8L20IXo
X7eQAcFARVtIbjO+9hEDE8SH2m2y3HDNfHJYepjqs9nKwRi5Nt5NVHVikQdcsRxkOgEDiOKcBrZd
7kZBwgRgs7OOOAAeEJi9pX1KUxfzRJVee7eNdMW3X4ninG05aHObqYuo+BgbXhO5BAP3seRZ1DOY
wLOvCkOqbmmKWdpiOE9H5wF5MwJhWW87Yz4HsmQ4rfIuDceyu0tYG9xWbuVmXgT9Vx7n2LpmAgOz
Anmp9CoDVp+oz7Qxgrnzb8sR6cV5NQXsl6wxFr300MmbPLDUz1LfEMwEMtPaWbMIcHBFIDKAGP5F
/Rbng+8Kk9TICtEE1aHq48uU7eL5+9SepKI6x4r/z0mukItQwfGBQh2G8PnrPy9MsGNTu3NVPXQn
9jKFAFk2gqEQWMey+9xhv5LDmSJTSKQ1IJB3C/s8pqdMeY5FLWgrjvJKBGeAZCZ2DCCgzm1DzcWY
rmtoghBtVQmCYtyS2Vxwya49pToTgxYRFkuLure2mL2eRY9FIogZVvW4kLLYx0VE1iuWZMQypIBi
3CHA4kX56rZJi/TgPH4iRRhkmyGhyn+xyicTUl7Ilv6/hPDcTppeEooDAnQyNCm3+m6wNHheQXuW
YK34OpaVV72pldBE7vRz1KseGEW823qs5ZgxCPPfXSfLw+5iP5Z291YH6yVIvuZTbBz1KUXBCtTd
E/FYXBzzNnOKaMBjXAadt+lXCnoHIsxu9IWjD/ImHJ7aVATXtGzRl/N08VHcLVIAobG1Jaxu3r1Y
5VM13VF6yJpDT09K6vfdw+1FWHG2V2uw7MPFGiSh3BeJuthkPGz62Hak+C1TN2EqqAiK9pM7w11v
Ww2zlzOcJvddXR3y4vm2JiIJ3LVRVtS2RhkSBu0dE/NqKxyIlgVbw3kJI85mwPJjrTJdfraSJHEA
vWahX2q6H3vJt1MrGOPSaZtHgIIIDt1a8vdqozjnEdEZHZdDiAMhP+chytE45N05n+8bYz8mQP+Q
DoWkCqSuGiOyXrj6UXr4UnxoaguFTinq3RweKyz8WEucoXLNsXOyD+NRbn/d3sM1aySY+kVjCcjp
MCpwbY3WqDVsAalxO7v/ndeYYEYurFMKTybCBV1ON3/QLmVxCzq0YGGr0hikQEfgeNaYczmyD/MU
Pr2oj/VnKeh8Wxm6A3bQhWqca7ZCLUsUTA24/ad8F7+aT+nd9KuyHXYwAQnle/ruVX8QQqWvmeyF
VH35+8XxZqaa0SaDVLxO/eE3wLz1k7YDz2DkAM7j/7V5Ohf2Wwor5WKErKmOPWA9uHPhpsmjJaJR
X7vkLnXi3HakJ4AwSiAnJwDVyrRDNMTuMIkSRCIxnCPulKgmebuIwbSVNewTZNdEyfuVrrErq9AX
p3axP5M1mVO3CJFAxW1t6vfkuTgqmAUq37WnxHBigRtevfMuF4/zwwD5kft02aSmeKUfpmN8b73G
kfx4g3lX3ZF+sYP63NeO/ZC93jYP0Xpy/hl+M6vjGpIJ+RysV5U0TiW/3JYhVI9zIP2UKpK82IZx
IoDs+q447SHe64XXDVCpfJ/3433q6QwzvZbouS1wKDrnUHBrG5ingmyUx4HmqJw1V2aOAeov6n+T
nWJjCmKklcllA1Odqm4BbPkPXe619YRTHtusVcD+w2K87c95tk+BlEE8EJJ5cfI0Vaci3Hbdppo8
qbpL0o1guZcjfe1Dlw8AZjYgs1Gf5l808zhTOys0DM8NGFvvgRDLdHeSHewtWHsTUBJFhj+Hfs58
geSV1rZr0dzJKS1qxegbaNzUOACOtK1zcJpu02EXpyfJPuflsa7eS7KpzVdbd3o1BkaAT+RfivJh
4I2iO/KYPtgLkySVfdL68XCyqnA796lrYqKGBKr0npe1Z7PEaUC+3tbfx0h22/ZMZ6AUsi1RMaVA
d70GihKkL5pjM6Pbw/puzZIvtZo7ToGibpPZZ/lOr/alVPjVsCukTZjsjGJ2WoDPWhtj2tT9Uzqe
QnLW0QZDE+rlxU8aHyhasQ1EFTkwO+f7LDkXqmeoAbplGYjJinOS75IpkFvEq8VrDrDtcJuYW8t+
LdkD2qtdUhyy6SFD+56Semh/M6snqw3ylKAP9agb+4Q+GOVRAqWu+Waj7j8f0/pQkgzcBTuzfMzT
TdF8hMMz6iaF/WT229JwzGmTknOB8yP3oKyNPxsNYyfnYQ56U/Xj0NHyd7n5Vpqxi5KIg6AoNU6R
5QLVqEiepPKDTI1no70QAUsLjC1mgXK60vaN5Nnxp1oCE4N+k6e7PDlLLHY7FFLUHrDoVgDzc5Py
Jay2eRjM7e+2chP7KIdnpLH65sVKfwwAj4qqY18tC3LQZ7+wRzftA6r5jdzspK46thRzq+o5I4Mj
l9bGSt/B+BnksZ/borrTSnUN7Mvomwafhvxnbvj6bOY6DWs96lCjZK6yM3c1xq07P3ayYwNiIEe+
JyfzpfZhYU/gCxHNRK+JB6uNoqFlDVgqwEm8Fl9lOiaBVIhPjpmnuoObusW5BhO78/ZkHKlX7D9R
OHprfBES+wpjClL0F5K5g2mUk2HWuNT+dAmFvrqvnPmNVg7Q22T30fTNE/Ob47SNdqbHvGQjjY7s
UU90EyzelnNNV5+xXEcXN2vUNyUghPAZ6kKOCNGhZ2zgjAcww70UDm44zzymzrv987Zn+hrCXqvP
XXM9S61JNlEvG6kX5d+Z6jeMOR0R6bd8/y39uJtOTvOhMnXUr3Inv9NccoiCFHpWXr9p/fDQbIG4
6N5WbaWQda0bd8PlEWC9Wgtrmr9WGHcvgkoDxRzyj95He7pDk7s7CMJmkZZc1JyROiuaxYxNe0/0
TTjeEWkr0GoxyP+9krbMxcjRxCwjrSEjMegPWd/OcrFjSYMm3w9UnDw7Gz/aQXXMNEqd0AI5BAZx
hrh/SFPRC/NroQWoaMj6L0way6mVuVNrdmFm5FIxuNZ3OjkVHuRBEUg9KEUBNjA5zXkCz520SwCQ
8Xt0ze9sLx0TATbJl+VYvgGY+ZhctfEdfLNDnbHGKkmC/rrsqCm/re7X7fVeV/JCAGdFKKEPOW1j
9NWPBrraSqfSEjeRrUf0JRdOx2wU9lCzAM5AMml4a0dOOCKbP0RbyhJXIbqDNmbHnqszpiV3qYVx
+aF+snSMOTApFnnSP3zst8yDe9bYdqYye2mTQID+gLloEhS7xEvvQu9HCqyY+RGRBhARCqcJLMzs
D0HrDt5eT5yn2+v2xbFgXzRA0aJfV5UBVL4clQuHNkjRlMlqiNB2qgMVfDsVLrzGPAmh3r+cucUA
0JIBdnrMQmh8vt/O5owZGvZHi0DabhRYVZ8IITVWzexCCucn1Z7M2Qj84wUEwQL9A2Jmp0w2xTZ8
KnfELUanREHxH08ccbpxXrMAir1JKxi3VD60yTPTg0EReMkvFw8ngjNvZJGlRu6gmJTI8i5Lq/zN
1hPrrOQMaGYY2y5PZpdkvyU0J9//cxPREW0Y2Do0//Mv8BQjVEo/ZwPqtBsZvOgyoPrrg0reb4v5
msv4o+JfOdwLfNbUPmYABndtBNyeAgypDd2r3yTbpUfrqXhkB/0ENCm3EXWqfn0vL5JB1gsX+Qfc
gds/as72YMfp4GY7HL2dKTtvgLP3gVK6+wOT0Qk2UyiQ282OVl1cdxBonNpjjJT9xnb1B/P7EIyb
aG/dCfNEXzI2nIbcjSfpUzGYYCpxKx0kp5iecFSAQSGEDgoxOM/XjopraX+yjhdOpSuysp9kSBs9
5Wxt+s8SM++TrwKAqj3MG+PcIGKN3PYD1jRtRQHFqqfBIw0j4gC/lvkeikkpy0Kd8wEdb2g57rfD
kl7UDeffmOuCcwK2FRWwDJzRGK1lMhvLiii4+91tZNfwpWO1Zz/Ce9Ovkae6y+9p0A7/ynYubnPu
5uisuaOGBbmo+H1qD4qXBaGX/VCfZ1d3q3P3Q6DnlwTEspkX8rhjqUtq1kZROQCLHS1GbeugP9iN
Nw0gtYAq0OFZLljZr7H+IvHiKueMtU8tMEuoizs1dsb34WN2SiOIntj2kTnNFiNSwTx4yZ7sR1cx
vNGdvKd/3AZz/Qk8UB+RtLHOdLjbfN5V8nepe7Bi17beikyUDF+9sRb68yXVgcFHzoySXq/ipMFZ
mVHwKmZ2N47yRrCFa5e8Djh9zAYqgKTjWVbGwsQbdTn9oI/VwZ99190F+oGA5fJb69Bnfd9uajRK
BiKkFJHcRfcLP5CEdUriFnLtWN1pbD6iVO3ScvIjEQPw+ir+1ZALY/pk0ueWQpJlv8Xxqxb7t5dw
7fpFqwv6XtBBgCiJO3RmAziNgVYwSapvGmQ+wnt7fByKDUC87nJRz8eaNpfSuCMHiIA5ajJIm+y3
jgYlkClvqyMSQK43xjBjfVQWAYb1pCk/2357+/cXo72KbnF8kPQ1UOLR0a3Dj/Iq6kQIkL8Gtzd/
4LVBAMcUB5hssanIG65q8leSxT2zypHgIkghKSZy72IYE2nnNDnl9CcN04ACM78qstYrevttiAuw
qBbtq9xjskG3yrswa4Lbin9t24XmgBPFrCRuBkRM3MpOVKtIX+B70t+gf7S9Fp1FjVMe79CphKxI
KwuesmtHbMHvB3OzCsIKHphVi7EREcbDXBqC3M88MoIZbcUvG++2Yl8OAO45DIEDF2hhhfrCsIZG
Uz2Z5w7MDihf16EXRWhfo25fuqn+GfX/nANhEQdXBcReFRS1nFecaGNlGLkt3ARQURlmiNGI1McP
eqoKDOiLpS56oTCI0BZdNADnuT4JcwhuHTmHoCZDh/oJbFe1maDrBFlVEYDN6hJeiOJOdYEapDkS
iJqko5yqjpp3fpbtqYo1TI+6iGX7y8ngNOMskcQkku16WUK5CtIoPNBhEBzzr4EeJ2P5hgsHj0JB
HmsdZIz2R0UeJsUtMahtTfs22ddzAH+MN3XGtm2yRQjqGvHLYD8a7f1kpACIf75tol/PHvc13CWQ
qF1Zyhq+pkaptz5oOOXow3BADegw42CjvK3KAdBHosLvItHBXwzlyuUtwk0UwYDPhdF7nntPMqqU
Wmgyc0NL/ZaShX17uJPQGm0p6WYCSchc1CBu/17YWewwcAQJlF+VDzg3+FsV7V58arbX5WmIJRRH
O4AJE9Jj1h59Jt2LbPTIn5OtpAF8LQ8/NKN+12TBE3GlZrQARQBwxlpYbcCJcG0IJelAeWBB+354
GwrDC9Xam6zc1Wn1GtoYhy9Nn43IdUyjT/X0fRgKPzTaY52jM+b2SnzxiNiIy0/hjpke6mTMWixE
gTI4jXzZ/kWik1zRf7Pil4K4A9ZaucziAYIqsNFk6SsB842MCLV8NvrOk4pN1TfOMrwfCedYvzzn
/ugIdGxUAYC9ynt9W27THiAnhUtJiZE2Xzd+EvkhV/xk1P00OUcodqiCEGh9Xf/KXNzbxVmfNZys
roLMKi7nylfjiWSekeTDps7iET3ibHi8vZPLL/JHCor+V0vuHRDNMct7BRJ17WciHVLmSCEwx0eX
yKckmwV2s3iH/y0NJZZr/UKlmhK0uQEpuSj3cdlsWRPCf/y6rdPaffNXJwDgXEvp57rDGD50mkYU
EFB4UjrzVMRPuQ01ZxFUx6pLXABcwHCMQADdodfiMgwWlZ0s47cxLxjNaPN50LXMYeazZfzACyvD
lFasvZfhuSsE52PdXv4rmm8SaUZJX4oWhdtWYzCo4NnpvJxQJ/4XA9Q48Xg+LUzplolw81pJsx6l
uVYhKS9fozAAO4dKTyrG/hWyz5Kls3sWBbgrXfDXMrnTYM5zVijoTMEccOSkZpDJmiuFRysJJP1g
VBuUpw3Ji5WP2+bzNXO0nPwLXbkNjXtL6jIFcou8d2t7V7d3ugHn7rbDMe8cWWq9MAuiMuhUJzRE
Z2R1T4Hhi9E3cL/Z/Py8Aiyi1M4BxZOV9Us3JA/xgPxH9JpJovt09TReSFq+5MLbtGOfyeMASSU4
l1kUeQTvCIZq9+31XFNoCdXVBasCVQluOUulH6VYRQdmJpWZayaAhbEo/Gihad9TpRM0c6xKMxZI
aZDnoSWYM1SQ9+VoJJEKVwJF2hgSx0ZFPZeqh1ATpRjX1s++EMXZJ2Fo0SIUoiIpr72UoAsnsxLD
Y+BVvb2EK/U7pPMvRHFraOpF1PeoLwED9dCo31X73gA8THWM2Gc6e2T+LiuvSrhV+7cyfVTA+ZUI
vmBZNt5zX3zAH1j8C1spxspoWgsf0JU/83wvW0cFtR9Lvc9j0cN57Uq6FMW77yrUGpvSEtOR5u80
el16rkujB/ANDIdFQa9lAuVWN9JerBNIfphq5SRKiSGlDei13KjQd3bT/R9p39Ujt650+4sEiEqU
XhW61WlyfhE8Y1s5U/HX3yXf7xx3c4Qm9j6G/WAMMCWSRbJYtWqt5w49WXUf/JuNcGaGi5pUM8pi
osEMosgDK7XNDBPxqPtNrghKgStziEIQcigQJUOKgKfxkWKI7vxZLk3SEZ5NNTCEcr7In9O7hEmy
qzdjZNO+bQTxxMqLCOxigE8sxBeawZegiqozojyPSkcvY+kBVWfL7VBz2FzfD4u7c96oA7S0iDpC
HhPEcJcn11yrUC5R8TDO6xcDiqPxcQK1U/BhgqIemnA2aQTou5VefXRjqEi2YGgGGkEWFzrz/7rs
JQPddKUTm5WtAkKTdb3dzRSMUDowVLpvKbMXgyg/1aWd2oEYnIaezuItm8HbFA43cTG4gTF4s0Gf
5JKA0zXbZla6SUA4UxUW+AZEAnkrJyE+GWSo2gJkQVrh8pOnccjqsULTaNG2bhUgGknsLPmZs/vr
i7HmawuPMf7poKbiA2XaF1Kc9lrpjAwYHXCIRbtweFJSvImYT7GP/zdz3KlbkmaW6byYC59LVHWJ
dZP0t1HwXAzg0vg3zwC04YCvFFSzBHhqbhbzqobSjwx1oXBwQRjVWAw9cNCAUl5i02713QwiHREX
2NrKQYEW2ZLlSDJN7jwKlU4fI3Q1O33jMuC6iuxXMT0NciOYypVDHdylf+1wB1KYW4NRE2wj3fR7
a28Y4KXUbDI7WSVSh18LqpaTFVIWIC7Ae4Obxykcm0aLYYuSu1G7k0ZHwQMaNFIdQ6LQAn2qW1Zo
AQb4UN2a/a/rTrMCwidwzoUzwbLwl8dGgJIuMfJp/OOkTP5K6w+qb5TeB2ZBBmvCjI7DUbAv1o7C
c5Oco4JHbixaA6toLDTws/UInUbBabu6gGej4s7ByFCnQe9hQqqjI5oVN1JYb/omPulp9tpHk6Bj
bC0iP59FvmSjGND3MhlmkdbDzya6pZmMImN4ixzYvlK7Ryk0NxYSlUx7g9SYLVjDxR35U/9sQnk2
UKu02FRZGG3U7tLaq5PRHqoHqfsZhC9mdCyrR2J6jfpUaYKYct15/86zxW2UWFKUYjJhuakTFzLp
9swiIDGT28Yon9Eyu5mGh0mNtlLYuynQu+oLAaRWMPxl118bPpcLSVVjKocKk5/WP7PgvqsHl1kO
AJd9jQbPHYCpRH1tRZXe1bPIQBMJjiIZXASci01TKI+FBqtonyrYI23vgmGTFAJHXrtDAH74jxVe
TCpNgq6UdFjRNdzp6FHpNjPxFf1DQbv4IEhirkQPSAosCBaweKJXhRtSTKcCqjQ4iizzWSpSYAtf
Jkt6bOQCSGPjmOiKDeySoIggMMo/1VGMJdLAYLQv3bJ/1oNDggdlBEiUfKQhAMOFwF+WA5VzF4iF
gYhNAQswIkHuEjHAYRoqDSKWnNxXIBdSmt0k5JNd8Y4LI9zG0HMjD5gKI/N4x/BKzyynnhCDiaS+
RIPhfD+WQARMq8WO+Rmh8tNOAYig7Os7bOU0NWQQri9vVAvs8pxfFDWIwlPwiTp65mjZi1V65uxN
wIMllWhxVucNTfa43pFMwcv4MjazFAgAlDJMVcHt3P+qh0caPursn78CMKC/VpYb6ixonVNUlDIJ
ViSKRCk0DUzPCLy6ew/V2hkCgcOt3bEGOFnQtAyeX1Xm91VjoqSkLOZoftuEn4Na24PyYgB0M/tk
8IZuK4n8Ym3JlpoAms6gDPyNC0Yv0WCRLcFgpjM3DpltQWE7vGnMY63FgvGt7WCKUxAIaYRk3wjV
TMgpK4EJWyVUDsp0Z5HnqHwzx9HW2dcMHD5O4OsOueYlcA/QViFgAh6cc8ipNrIwGWARKki2xEAX
p4VHMgcuKOX/N1P8+x41hxRkuYspCXXVMfUl5VXVZ3suTVEdY31UeEJZaEBBTXBZ0zOvbEMlqMZQ
h14na7KfRRCWn2ZFpLdBaavHliqB7k1lFh4GPcqO2TzTozEpOduC4CvatUEDDjjZ6ql63xc5ATB/
juoebYZ5L4jfVu4kMEOBDwOKnOgu52e/0iFp1UH/GREqhLOUjdHe6SClz1LQGpeRPTTv11d7zZfB
RmOpYKGA2/JBRmiAyLlqYS9itZ2i5cV6HxGOG/KdGUcCX14dG8q+IA9G1vpbcUPSmrJTl7HNdUNe
RyUCcoxWpyasZncAQCbNyhikdPTj+hDXjgiKKjr4MKGLtADHLtc+qCAvBeqdyqnKd0U7KVbm6sZ9
pdwrCsQbx32reajfXTe6MtYLm4s/nvmbRuem19DDDL10VAihmZ5PP5aEnQ42EYYuG4ba93WLa6W6
C5Oci4/TEI4UHbHAQ3tyuSm1bT6j/wZoBepXhNlxtbPCkwboAgQ6q/vKern+AetDtvBeBZIGETt/
cIBHJeuzrkIt4lSVbsseTIYi1uyhcFsAn37d2lpyBCSTKMyiLrtACrjbLMpU4KuSsHJ0aLW/mIU8
PdBQI49zPCrEUfuMvQ+GmvqKluu/a72zflhj1Htt30Eca0Qlb6cVrf6GcxzfZrDcfDCTVIewZakN
g2vUfRR5TW+kr3oEDtDcUFs3kUClGc4qsliEQARLMKS1iB8r+N8Z5MO1FJyTVUDgqImMhizFL60b
9Kl2tSPlEM0ecyT+XyrZRykrN35Cyltkf6X6eGGfi95K2bRyM8QKhvMOnDta/AoEfSg7U/wcqf6o
v1VhIrC5EmNdmFQu98kQI/pXFqdRlPuo/yXPkIz6fd1TVq7QCxOco1R9n82jjFmNIsj2AJ8hk42O
8qqV+/kM3W44q3fd4sqhCjQ1VGdUE+kHNKdfDkoaiDXM6lw5s7WfTFeGqI3VfMbBlgrXbM0UsikQ
mwRzE0h/uU1nNbkWTOEAVT7pAwop+gyURgr8fW6DRt+5PqyVOxR8zuCmQ5S68Fpyw9IYOkuVdgSx
a46KX3FEpO8lyVcvkl9dO7DBeoOXGY5rhD28qDfpZSPoM1I5WqdTZKKo1mW2lmkQ2m2hnYfuSRnd
lKMlF0dDMtng5kk3ZC6UkXNBCnZ1es++ZDnzzo7xNmOa3KvoyYuj8b6dv8r4jaHmOKWousyV4H5c
nV/AzMCZbWjgIuXmF+KLYZN0GHY2Az8dUElzDVK8lRZ9k0DSL1jNtZ1HQPWjANOCvDY/yX0YBWYx
JdgWoGosw/KYFSoalkRscCsziPGQpTdkuRn4R4esySYD82SFeiqmLECTwSPqp1b6qQ73191zbZ+D
BkKFrOsfRTZun4PVLyq1GLzDZg3yiRd0HNhyu2/AaSuN27yMdjj9r1tcS03hEQBqdchZQb3P4Haf
KTVNVRNI3enybzndIlq3SQcIfO70Y7pJrfeyfAnVl0REd7PSuI45/WuYcpiGsepSmakwrEk9iD3c
GS2xiXWnBz+UrLfrATTPe6ve6qCOhGIyiCPpWxy+z+VNK3La1bDj/FM4rx3ZlPedgU+RJIgdYF8O
BBip3NXlHwmFOmzjK/kRwokF5BMlqGw4AZp1rq/DmisjpQL5PdQcUP7hPoGqgRpCxB6/2rS8BARA
oLaWy/frRtZOJbzEsGUgmYOIkReVVyhT8sCAlR6FFoiGKD+CHE3BcORmk0z7JkGvFRWxn393aoCT
VZzwKDghG8ZThWs0J/EgQ4dSn8AaGURgvW29JNOOkhHuLd30dPAbloMoK/F9Ri/NapfnXp8q+gjA
KxQDGtVuGZrACfVyY3d9SkWDW77i7HRVoWcY9ovIZpM5JoYxPkNuRVXfpuBHlh4CwMqu2/t+wF6O
avn5mT25NNI6oos9zYvQ4BsBSvaKuPFfWMGJukgFohrJL1mRRXI+McgdFepRHrd66A4dNLzfrltZ
qc5jMGdmuCWaZtzV+WJGO81v8Dv1E6J90k28Z6/Gjt1XD0Zok1+S4I5aOfJgFipEQEHThXJnOe/P
5jAOKV7LyxzGkNzUwIu4b35Tw6XKLVLwNHPH/sck4in7fodc2uRu4ZC1Kp0q2ETvWJr8HvXOHqZX
K7lhQgTe90eMYpmou8kqXsOmzlMKlRGjedNq2G/mqSlOXXRqtFtWvajzfa8J5nLNHc9tccPqFGme
uhK2NEgFgvmiClytBBZuEGwz0ZiWbXi+ZESLSwNaktAmBP/yaNp1+TMGNwSow5ABVh2jMwUXo2Bk
/ENmHsKubsJlFqvbMvxF++cYFWlLRMm25hc4kKFYCY0DCMJyvtgUmTxIFFLjOtIzZnZjDPsZ2OCA
HZRqe327rR2I56a4tRq1bCw7A6bSBDImP2S608Nf/5sJbpmKstJq6FhCxIegThnfSdVXPYb/4gg8
GwcfOFitluYBWXwu7jQPcp8NuMDROhQHpnFLrEAWRJmrvoc2DguE51AV4yMkg1Vmg/ZT2BuVlxnv
dWc2RrcZpoOcFQjk1VdEjgKbq96nyXh4ocyCNBoXDlhaRMJmCCDhDLqMdLlI0B8euZn2eH3B1u2A
fE8FSAopO27BQqAC0L9BIXlYDOjcdZIJ1R0pdCqRrvfyiy6rKjiUwHuPJDBqYYTv5Y7R6Ni2Myax
7n+01QGxKJKB2xH8fo2rFh4ZBc6+uq/O7C0DPzsw8qoIB2WEPWX2y8FWFTdk75ScikqQJVvhHcHI
4BugPNENwA75HazEA052TOFwsm6QJyKvqV+B7rzZZ8/EaSU7BFF04AW/rM5PP6XN9QVcvczOzXO7
Wm2jVrYW8/2mvMEbs4aWyGd2kLax2/qRCETy3V+QhYSM1VIcQy8BD+dRcolkDD2BDhSKW+oN7BTM
7qTsrg9q1Qry95DqwrRS/pWea6muTHPWOqDeHvWjET43oyuJkn3fezkR3aBgCcYYFTif72WCgcxj
3oNQadpLdgzeFslut+Sg3ih7a8NCdD63qi1vEjB/7OkudsH6dIhdEX3Md0/FVwAeDNVivPvQJHHp
qVDiTZCOx+/OGjeaXQk9kBVAsneVKJ/7/fy/NMRticEMIwXAp9YZ1S90LuU9ur8+ry/cn4+93OaX
NrjNYPR4KkspBiPfs2PtGDtzo257TGvsML/bhNvIqTzwLNmIEdzE03fy1vSQzxbEryuRJXiMIIwM
Og8oASC5ejmp2jQHgwwVcid8ab4Mj3T2fIuWfbC9Ua/wIbx9IvtJRE62vM75wZ8b5bZirFtjrCxG
2dcEknyKluTmGNvart1IH83N5F+f7LX1PDfHnd3ETOVI6mEumY5QxTWWVnZBeCeaRz4K6ipFqdsZ
Nl6qnXmidn4v2QScSsdXax8/shM5CTIggkHx7+DR6lKmLAaVaZfoO1XeSqLI7vtVdOEbunLpG1Ne
0iDIYII+qq8IH12wHD6Juer+lP6uuAOf3R9lKHl207I+uwaybUfwrJFNttGesBe8cjdtOv/Z9ECA
ts3sIN6YghBC+R63XI6Te12FRghA8OKOA6i2o6N2wzbJOyQE9uwwPvQ+wx6k2IvyLt7d/B7vlFvF
BRTzM4CjihDfwrngDjk0IyRqwPAt4UvnqW50TDZAJxcby0uPyWf7Vr1I2+TmMToNTrIVvb1WUk2X
M8GdfJY+6Xq6rMS0N7xga2a2dZg84hP71xHqUV8QKb03fUuweZb55defogEKtwvgMpBKu/SzSqqh
EkhAn0RjeZux/NCEpQCosLZbzk1wJ06oQvJ7nmACCpN+VYU+AB/AKYgYz9euKFxOMtgkUFYnvCdT
NWOsZIhGEzX/hdoRGiRzOp7KSH+IwELhgUNfRLm9tkmhd4yCLjVMaAtwh5s2oVURgHY8+AjQMeHN
bBnbvveieRdFKqgJ7TwVnDxrQceZRZ7kO6jRpdj1y/MICc+y9kBs+dEXwXE2epGw6trORN5jqeKb
i1oN5xlKZ6ZxsLwogAk5pCF7MPIUbI218TQOwUMn925pTM/Xb4vVTXBulPOVVq7R4iEjUKThfNdX
qA/m5peZzI5FPyZKHehRgWoRe6OcpHujbG+oJW9l+ixngWtp/b7Q6aZKQ8FNverBZ1PBrXNdxG0Q
5PgqwuZN0DU3IwpBZVQLRr8644ixwNyh4knFB+maGXedOWKj5OOHwTRbQ3+4nDjACMyj31LJvj7Z
qxtmKZuB0QJPA76TjsnAWicmRpXl70wtNiap7/P5d9GrB1TyBQf96tjOjHH3WW0ZIQV3fOME0E0z
i9RP251sOUZ0aNmOmCIIxOqKnZlboqCzl1UTNrHeNJjKOQggZjkgWy07YywJcH+iUXG3VwfVWqkP
sEdGiKhI6o8odiX5B0lee/NARfJ6q3v/bEzLmM/G1I9WY8UtprAEhwqCOLdmP8Ox2GVgtb3uGSJL
3FXUSkUTy8s72Ch+l6nXgcA8bZ8K85/XE/CYwMlCQBuFZhGNWyUFVUmaEAvvbVWzLSrfsBEU2G3q
Xx/O6h13ZoZbpRq7DRpsuBkqlsouFOeIDwyH6l23su4LfwfDLU8Ra3JrdhiM0R5NmW5U+tYPu4pt
DcmpzffrxtZXaGllXPgkVH7v6mMxW4EE/0YfkCN1eCUZra3W1I6Kf95thEUCJM7ExYqqD5/8q42R
qIGB2VNiNLsYD2r9SkcJ2DGIXxOHiO7UtVMJyVqUZRdtU0AOL728UGd06UR4vBeNbqfNTQMGAFDn
Tv1bI0J+r00igLIqxFiACEUXCGdKQ+ALLXjkCUKi+30TIrpUknhbVPodsHns6fqarbnhglMANg7t
xJQnOOiLstRyFi6lusTLlfAGbROb6yZWJg/QZwxGASxC+5aoLfWwMeckBvGzdB/3pwQcjLRyDaSe
TRGhz0pOB2VmHZkWA8ky7GJuoZoSN1kJQk4nStDWMX9ZleSSvrKreNrESEFTFY1Q8jChgDE/FHoi
2G7Kn/QiF7oS4EINIA0pGpT4Mn5SmvkEpbUWjYrxAGbHJHqn4ZR6hA3ybGdKmj5BjW3wZDUsd1Ks
5l+sNA2nR3vZI/B/8hO64+ebcILgbFpIbGMmsY5MjikdB7XpbzpGhsImegmPqNS0/hrNvH1Ls1F1
9JZUbwo65SJoB1YSyqHl+ClDGPShrU1602RWAKB7HvmkD8dfcWfkKpo2qQbxoqAHHcssG7+NkYFj
Rs0iZVfNo+QN4ZztZjmiOYD/KRDkWholxzpoJzTtWF0t22CVVSZ3GkHk68qSVgx2apSWskW7pVbZ
wZxrkZeQSgXlpUxbvCOGCLJeoK/w8JTsf/fdaLV2RJMIRFxJZ6lOAO6F3UTU8ZAQKT+2WT48melc
vbRS/YyOqTuY6v2xLGgELfF5Bts2tQA5j5R8obBR1E3cD9lHR5npzKTKHjoUSKHpbJHYmRTA0YuR
lIZjlnFTeZqRDtAgyGVjq+mZ6hmJnOxIViheRpCkM9SR7rFpJK/oG9BCN3291/ve3E2WovQoOoyR
x3qpY19p0JFwD2Bw5uCrK3PfQGm89Gqtoep+iEYFWiZlbtnqiAYoJ88a0B4wdaoetSZOELemuKOD
yHjJqwbwQMmyNmMflKldU6OzTa2VP8YpQZ2vQ2u/4WpWOLYOSYJkA101oDjqqg8fu7ll5mOWjR3U
6PRCeYWMZO5XGjryHGPOU9BXkumnTEPozTekqrxcSvtnkJhYikuKwCi3c63BpgIu6ldNSmtzr4W1
9YSgO/cn1rVKYIc62F6qUa8GG9gSw/QL0rHjqFS02LcoLWjgB1Fkr6jlqLRLywx0Wy3Y1NtlYdHZ
7uIK2R11KPtNVxTaS5yHaQCSnqLYS7ks+1WQNv5YE90xmxlk6iCY1VCCThUK/dAweNJ7lbg98Fyn
TmXjJsJ5vW+jovYDiVlHyErGCmyHKegBZBb6LBuSBzR4zTt1QDHVnkeIZ5UBeiQ1sNHbDbhagUvQ
9SF0q4z2u75J0W88xiNxoeJLfqtxD8xb28cIonoFJOVGOAZHVZKyR5mWwy9r7mJvsub0fhpK5odh
Mz6RLEuwAxNzPqRFErh5qKv3dUskEBciB26rGPNGr/tUtmcpbD7QEheDMDivwnclSVDHquLKHO6C
osj3TZBJqG3JLLvXhtZ6ZEod3uVqMb0PUzvRjZyq1nYelKDwZyq1x4hkFNe8HodezlLjvq8yuXMH
U8rIkclZ9aBLoDtXJCP5XeoIEe1htlAC1LR28Myw6CzbSM0eSkVDkYGRv2Z7Y6aTq+d54qXQD5wE
x+V3clDUZ/AHr1XAZ2Tggi8vu8GiuW62OY6FrpBdaUaz3Ahu/jJykNbd4G5/1utfWtZAeRsHZ2en
+88pLN2iPOny+Hn9miJLtM8f3ecfw0VkrSxXLfRXcfNmkKzsn/IidxP6MY4qxFDD32X9VYf6MQoQ
dIIvMYaQnuADltLUtQ/gLq+MSJlZjEvyfkj2SdG5XV24oLR2gPMDSQrxNUjFG1nk5ijlAqb3+q/s
L5mKpSsKGO3L1ZCkOlGohbvLaD7TSHOjNtqoRftRkZ9zOMe2hRo1M8rQzaoI/xkFochK5AMiw6XY
ry+vPz6dr1EctxmtYZ7V0KDsPrFV9n2xL1CtFoz0O9YVfndmavmUs1dLKaGPmnUNZGGr2o0tT05q
D7lNuwHctX8x4u0Y7TtFEPGvxOIETJB4Q4MrAr3k3PSmcqYFKOUhiMQVqM/DC1jF/HmWgQ8tqFM1
6YM0/bg+0LXQS0EzNhImKJSo2uJxZ+OMQkmasw4m4xayN1oNLcsIUK1dkDlMxNewEkkSsNEgrw4K
AAr1oktbfRG1WgXNBidSv8Cmb1PmXh/Mmn+cG1jm92wwOAaVujRhoGN17ISSlt8UQ/CWJSk4yIqs
Fphbdhu/G8EbvMAJ/9TruOXS9AS3tz5jufrHZniJktfQEHS3rk7ZXxO8qms0SVMlDTAxqqNrjK3b
NtvrcyYYBB/eF8GsDYYCC13zCZn4jj7/i/o0utSXtn9UN1Gi5ulP1BkccKC3xwsijnLbBElBWYOu
kZC3QqmOfcTu5whs6/UgQjOs7Sd1QR2DnUxXwIN06Q+pmk0Q5lZap2+JHeSfcu4hXJOi2Wuzp1FE
ybh6PeCeAtB6ecqgo/vSnJSPk6QwFOiMj8JlaNi8bV7JDaKoXfmzZvYkyOKseTsAjRaIjwCExo66
NAdSrq5Vl6sxJU/g0sjmT4keRtFJuGYFtB1EheavgWOfs9JFeNbKKvwjKW5byBVA+7tWEUL8c/Cd
CpLJv3a4vatXFhviVMZo0Mkml9Rv5wyKsJOTFbIAVrC2qQxdNqFjvOxcHnQySg1ILSO4BcKNY2bO
xykVneRruwpNLrinlqQAns2XazP1soZQAa4gdTS0e6Ogbj3GAcR8UXa/voH/PBj5Y+gPfhoZaKoB
ec/ZspRa0qE545Te+IY3j5F7B7atPc2ZD9UmdozHYAOhlGfU3u2ptJt98c8rJf8fwP1/H8D5/QDd
oyyjywdkrR2P+6L4BQKg66NcS7GfGUGH2OUoraFGbWSGEclH2F97p9xjn60TbLONsSu/gqf2bnht
PkSE0CtNNyDYAK4KDPFAZuh8dhuNTF1TSKhvtY39Mfs0t+OPiDjh7hFvW8XPU0cIO1mc4/uC/jXJ
LagazpCCDzBU2el3xA8717jr0UbqEUd6N3ztIdkrN9Kd7Iuqt6vRtgHEzcIYBxJ1vhil6NUUqSyA
BNh2PCrPSJQlbrwNfGAKtooNsEb82GyHw8v1tV3dj2dWl5+fXdsTyTqosUtYWsipQQ4+UARtGosD
fp/Qv8PiwubZ7PE2DmGgORZgwzwkv4uXeIO6Gvl5fSSrV8D5BC6n6dlQisJo01jDBOZQMLthb8Ux
9iSAKjf61gLbdvp63d7qMXM2c9wxE0Zh3LMJ5kIA9cBvYmv1YGciboIVDP+yB/7OH+eQeB9XlPQw
w9z8BlpnTu29QfxR3gWP8uZH68eCYa1g6S8NcieKZkBTsKcwqH4BzJufZtlRBrt7a5/QKaA+XZ/E
VWsLmQ6qhYCayX+wTGeLBgliktAa7jFlLntrt9Ce+EVP5q2+10X+sXabotsFs7kE+HjEXPpHm7S1
NUOvxgEf0YP62LtAObJj8mbuogdN87qDuWE/kq0luCNWN/a5Xc4v4wKtjiGqoQ75Sr3opXDj0UZS
YXwANlt3lBvtI5FseRudRBIpq76DLkywYyP1Bmk/zkWNOK6jMjUQX4KP2G+LFCl5nU2QEIwSaQd9
AQx/rlHuqlQ9x7lqasnjXMvtczmAfifIyeiX6lycqgZUC971lV8OFv5cOP82zq/ZbDZoHsMt3RQ9
uCPHXSkNm+sm1p0LMM/l2UMXNOPlitfQj1QHE50u6awh/ac+kvp9UCI/BY9jVQBZAG3tSr7v9UiQ
rVgf3H8N87w4cHezjSdMfJCQDURANgURcdStu9XfwfHsN5GBzN+UYXCg2jmSny3SL7gm5WczssNf
R+k0/8h+QyhCVAJeO8+RO//PnPJd6WwuIwJCwxaasPILqxQ/DNrtTIF/oxqUd+sQPV7GXVtp79cX
c+24PbfLJaOgHwbUj4wpzaW7OvuspT2tnq+bWD0goMKJpxI4hkEld+ku4PsYTRpgRkGMR5G/1G8N
YMnlt+tWVn3jzArn+F0saWk5LesW/zSrXSeCw69GTShdgu8SaFbU3zivh17vIMchoib1FoNw6tqm
N/Jd7Rpf9cbadf4oqr+tjghPTMT1yJ9g6i7nbTYKhOElboxeeZGGYyoL9vHq0htobQWKVAPRBrf0
DfoI6KhgQF0DEkioDE71fT/Lggr2uhVK0UmNNx1SaZejGIYIJ+GAUUztQzl49XTXpIJX46oJlL3w
LlkU2XgHC4nJejbgsqunP2/xmwB9QcnQ/hs/PjPDeZg55/i9yw1eJztdS+088DXjRc4FT4/V7XJm
hpswK5ORml/u02ny8+qY0l0nge1KkHddPvbbPfHXisa9PaARVcxZCCsKdebkKDcfGXUtsjNHDzp6
17fm+oWJZyNoHS3cm+aygGfRiJTpvTbUEXO6H2bn1b037s3CVrfZPnZNr4dMfO/2haMKzrb1LXtm
d5nqM7ukaBJiNIvd/bClt9ID3nOnsnPYiXnMYe+df32gq0uHJir8AVAcjQuX9jS5M0a1jSGUSI7x
rDt6ku6S5mcqVSLmi7W0PRg5/2OJXz4d5R0T9zCWb3K6amMaB716JdNrVOzSArpm5Y4l9zkY3EMR
nmf9gjwzzR1LakMGCvk25lhfKIhar9EjechPYGsp/NFBYTGVHHDUH0pXpgI/WvXZM8vLpJwtZ4/a
RMiKFEKDkVMODzk7qt3L2EEM9zjWok6rNSwzupzRmA7MhQmkA+e0chK1Q1NjnC1125O8B6HsuAdR
1R3dVj5Kjie1svNbIRR9mb5vGxMNvdaiHoekOedDalnUqT7DZ5nbv+Lst4PHcPcenSx/vrvurSuS
F4uezX9N8U6UDKYVBjNGWL11nrGtb/TP9Fd5mm7Hxp422ka/SzfyR/ge2cJ8wHK3XBkln6MHn6Ja
dssoe5fYlp1vswO9Kfz358ApD0LHWffZs5FyngPNP5Y1fyZ1Y9nEv+ud+ARFDUd9yOzQocfslH+K
QMxLWHNtiNz1msm41Qt0V6Lj9rYB5b981wxQiwTqybu+josjfjeETCaaUMENy3MB432c5EmAZYxB
89NqxB6szz7aXTeyGows6dL/M8IdpanRsM5KcOBIemCT8QFVyusG1qZrwTYRBUgjtM1xx0pa9TmY
WLC5Z1Rr2BQ5c5idyhGKiVW7LWgjqEKsHdXn5jiPCJmKNr0K5roEsi5auOmak1RtclFr9GqS79wQ
5wZKMyZhrGDixo26S6Dl6uv26I6HAaKFB0AI9Y/uIPmQR70XiV0KTS9renZeQqQnQ0YdprWt/gWM
AGiZ3NSzPO22qRzrXttk23A3e4FXiF4zosXkz06zYWqXY3Yt80ce7TP6NGUAP/hdsrnuNWu+fz67
nFta3aAPjMGQDhAmhM3LaKtAX+m6kdWrAMwsiyYb8B3fO8DbvAPnyhL5FV4olcDAHMLstdF2WWB3
yUGOHkAgBpaYWDsmylMK4ZxIkO5bm9DzL+BiTzkYIjosWUyW32bTIxAENrAsKLraVhILhrs2p4Dy
YKcvhR9wsFy6DYVy9myOCA3j6VaRftb5RhWVTUUmOM+UmrZXpMXEVJL7IkECzAg2rBcRvqwi486H
wvlhCuq6qitgh1lbK/vRSV6jeGH5W9VPwFm70eTk1u0oUtRYiVPgJhAhhgjinwv2cgJnMILjrQKr
pKltQj77rrXz3AZT1xgAhNcJ9sDKUXZhjjvK+jIG+obg+QMyHaAlaxcNgn6PRlk87pzrO2HlFrgw
xbnGjNeiORjLS6vPvYal+7A1vOsmRKPhXKPpJapODCb6/HYmrxN5NOfH4l88GTEQY6HtR60bkOfL
JaoHyECUS0AwDo8A4ejxrmCCZVlLk53b4DtECJgkC1bhXp7MzEWXtGuFuY2+0ndGS1sJa4/Fswvu
Nr+Op/vrk7j24rqwzd2mE3j+LH2AbVl7SypvSPeQLivjF6gdtdFzqPtMfZzq3VC5mnyvigRlV06r
C+ucR6ZqpGn1iNnNQ82J5J8N+OPTKLSDUn4pKxEnkcga75RWFmXp8urqrDui/tJ6CGYUvS3nB4A5
BfO6fDkXayHnidBNQ4O/hmbjS79Rk0rpzQAj0yeEyzXU71DaHVh4VwP/Bp6B97IA1pSRB1S7bk0N
yt3p2/VPWDk6L76AuwnK3JQskmK0ydiDOdccCABuDQHfe627102tTuzZYLlNYqhy3skFBtvF+iGS
wk2l6XvV6u1UyZwo/3nd2vrAAD7BDauiLZhbRjmcI+gQYWB6vdOgXV0CtLi9bmJ9QH9NcGdLFvd1
II0wQYALHaldpdBTKo5pv03Sl+um1ncgSBr/M5xluGfBF1EiEAoQBF/THoWz4EQ27cn8iUrMXZHZ
+l7zs3vRrbpCEIlLZ4FhQ4sEhDXfaCDImJI+hk321HmJC4J40GBC59WOHZR5IQKeu6OXbyo72hs3
+MERvntQ7yAqKBj84hnft8nfD+EOgDqFWw4ZPkS/zZyX9AC2l9xwFOaaR8DSncn/ATWO2paeimd1
FwlC+9Xr92wWeEcC4jdudKzylPngsJbVAyh9NcWLobtu1KKhrrvt36FyPlWOTQqu/GXON5ULcoPt
Wzs6vZ+41gN5YB7UX6atiCx+3blMMPaA4RXAe75IgdmtB0X+f5x9yXbcOpbtr+S6c+ZjB5KoVVkD
RkgK0s2V5f5OuHxtmSQINiAaNl//djizMhWwlVGJgQe2rBMIEKfhwT57c6QviElIDFWNyRkPveds
M684kTnBQF6Y1DdJWx94EOYjZE80+YpZhSvvhb90qScrsZ500wSr3M35PQqTcgu4VgfwWmFKej4u
13S0fkGdgeP95LOsBwtJmG4KNnzruBxevsKtjLln9+qUvMOLVJcnZy3vW/3NO75hmNv99yf62te0
nrIfLlQlDT7aS4FaSDBto7rjPOucmcdmcaAlvfymVvCY2NBmZMLHbd7HFeT1WhRzeuor8FvF72hy
D0qNvBVXvuMvK68sgsYeqMWznzhXvD1M9DjjQyvd5Rva9VkyvQGzRHBV1/KXPvPkk84reRIbCRHg
m4rxSTUunlrQV2AUw0+vhIFffwhYViC8kmEoxcpebSZVR/xeHRaFUjibbpnMbhv/mprwr3ftnx9j
V3kdxAH3LsXHrPyWecehuu/kcaFXrjiufYpVz2XgpmtWPmDHuhPZvit6z4ZjTf9zJvTzufvXl7G8
OcNEwxaAsuWAMkcVvmy/emYQH4eOPQYmav5+4P7f1/W/6sfx/u8JQf7Pf+PvX8dpm9u6UdZf/+f3
6XH4yz3/8vVR/vf5F//5Hy9/7X/uHsfXX/qf/9PF78D4Pz78+EV9ufjLzaBatb3Rj/P28Cg1Vz/s
Y5nn//l//eFfHn9YebdNj3/77euoB3W2Vrfj8Ns/flR8+9tvmPh6ElzO9v/xw/MX+NtvH9pHNXzp
f/qNxy9S/e03zFH9FRwk5+s4griOK5Pf/rI8/v0n4V8xSwIkNaYGzgSciFHDOKsGnxj9FVhGzM6B
AeosQZHiuclRn3+U/TXGv2Gi8/w2DzJ9P/ztf7/5xQP61wP7y6D7+7EdlPzbb+cw96+87kGsEYUv
uuHWbREY/7Zx5+OKJngCae4v3hadnuzBPz7p/2DZht+vbRJg3oUvZaOWr1HXffVE/R9hI/+5aGJV
yhNbobHqDSsUnDGF04rgoQN7/cFt3eeE8SSEndWP+MrZUqakQVU1oi3TVdGtm/FzNHhqfPJQQKGA
LEmqX9IARFs7R9ntZvwcN58YzxIJxUuNlWcjmi4Rhn9uRkqvKW88c1KIlSjXATIlIpSmHAGiyFlG
ee5v4bWboOesWxVA3TZMZXiIpahxi5hMc/WCdttydNsZK/pt1dYm1Z7ossumEsJxNw1NrzzRy9r0
X2fRit9L15q16jZT8nD0w5MBjwHgHSHrxBdl9n096K0KGeZdjPciHmLM2Tl9JfueJYT2Q6jmSpXr
jF6hOWuBcb257Zd9f5TwKuBbFWNgyrTtfd/34tVM4iuZ75lHbd+DTZ3OSBsOuuxT+qqa/bHsunq9
co/6nHErNGQEI2KJ9hUG8Fb6wHij33neNR3zZ4zbJEgr5n7XAZrI5dAujw0ZjsEov7k9TqumCcN+
4rKPdIlhV1q9IfvAizbc6+VKu/mZpceWB2COYWY9bXQZCV/dUTWKu0BjqNFt9dauUxzElKkJG6O8
VzJIbuRq3rmZtsJxoAM9YN5blyJNtwRkZfNwH+/KOO6LFZClB4iOFkKXup7Yg8+z+LRhutxxX6yI
XPNYNb43YvFiprkcEgybVfsbt505P+on4X6a9jrZayx9hiKKOG5VMP0JiFP35d+bP+/ALyoDu2uD
WwmaTD4CTIixqyj3+FKVOur7B7HTTR4r0vpX3jifOZs2ygf8WFEqiUS0YQ17EUD+Ard17NrMxnPW
rSfcZmpP6iVS5TBVbXsnWNv+vrbp7pgXbbnpZcuqBcOWsC9xBaFZihFuob/++4fw3OKtZ8w9mnYa
rzrlFCX0s+cF26dpD66NzTxn3Uq6ihrWbh0e8dRofcBoxHJoB3EFjHD5gv3PxBhZESfkYpsWMCyX
bCbLd8FJ+GKY9vTe20TIDr2utu4W47rEbadC6+P8Jpy3flZzKTz6KuJS5Xrm752egs2CENd13WBy
GESeTNwm1XrcxHp0M23V34rJMO68dS73QX7EvNaNp+SV1+Vnnq4tvzRO07hELVatmuBVr/gdm+OT
06p/4E+ehB7STN1WkUCVkPD+tnTby9Bb3FZtdzqXZBIyi5FKfFMXzdp8X3dG3cKx/UY/t2E9qAVl
Dc/QHaXZuzic3jrtiN2TWKAzP0+Q9iypAaedb4qtr+/cTFvJFVxWA2zXKF5xsZX32vtM5m1x25LQ
Sq8NyCbM5CM6KrA2vNqDbr0bl3D66LZ0K/bqoOKrYrUs6Xy3occVjt3BzbKVWUnIVqhGhHPpMUhG
S0hDt6mjS5796cnhHoI0CpvBw+gZT3/Xa/t+zALHR2kF3BXNAY9NO1atADYAT8e7ZhWObwQ/QCNP
1o0R8M7TvJ3LoCMHdGzyenTckh8orCemQTVT7UEyzGWdjl9ooB4Ebx1rpB8QjSe2wRCyemM9zeXa
xCASHjtxpxvd3Tidkx/99qfWwzBpMMw4lxERhzjoj5pdG598Lr5aD9Ngknfuh24uyYSJyQRcZOAE
+e62bCubQU+bKzB141lG0R/NNr5h43zrZtp6YR2XCtIRWT2XoHTNq/oRnGBuseTHtfnTvQY8WGbn
vW68PR+jr2gWuD1Fm0Uqk2k91BOSezrU3xqNvnm0XKMsfuYx+lZ43ZYVQkXROJfhCmY0yEE9gvjF
LUrZ80RZXKet4EyW6RbeqTS46bhxCyW+FVoTOQXoKPK5HBf/3szJp6pvrwEdzzZ+Ufrb/GBT5gUr
hujQW9Cj8HFHAcnGA+W9eOz7kPTHmGWz0/t6eu5vPg22WdfrlNVkLmla4+LF5+AKUk21Jo5PwArm
ECruVz+AfbOtr4gM/0CL/MHJkWy2F1p327RiSK6UU7KBQGQEq7QHkKabdWtjajn6alUBUgUdiiST
v29GurVPbWI7sOTEjPZIcPuG2aesX840rpCtc1u4VdGObN37tfJEuQXbTd1AzKXiTmEAQlWXh6UH
DhjELUhDU+pzaKbFM/Smww8u607tyXQUQlomGnER0PyDXN+iyDq6WbZqLEl3r6OgyyznKcJdLsnH
9Mpkya9jF1iHLjek9o2XrUGFvU5ArKWS9N3IwQT175d9LqV+jgK4Y7g0ftaKq5N1kWUViE7l6RQJ
+jAkAxk/VNCye//vP+WZr2DrCy4j1C1WJUWZ9Tvg4i3ie2KuXbs+Y5ye//1JRqKzUGnCsPNsrU9d
og4iuyba/JxpK/uHDUeFn1JRMiPA4TWcDIpQpy2xJwY7iaCrwkyUvvwm/TlnzPGIW6kfdKPSH3es
OZY99J27E/jLrmFMn9sPy+1jzUDSNqbY6qFJQQdb+XnH3OrPn+TKBqiYjrJFjZianZ0EhgGP28hC
p1SKmZDLU6JpS6uYYr8zEBdxHeXd3rk9SptFyAvNujQjdnzN2K0WHkaZK6euWZpZvo/NVSB+he+r
gdwpHr0M8J7ldADtqa5ORsmyAlFTZmtyZPIt9RPH/TifnicOGUBMKW0Etlou4XHKstuBeU55J81s
h0yjOvJb7EfUbweMFwB3cK0eeuZsZ1Yu9jXCHSa+Ral5B+wtYmEdOK7ackkRD7xTGw5IhNygQ/5y
+w8HPP63AYdhucu9btkiBpZEovR2Fj7Ekd7yOWLXJFqe2RN7+jPA5RwUBmPEkoixPJjTd5Je6wGd
E+MvMk9qOWS6ymavNbqeqeGJuI01Loo2UOROebym9JvZt209rH7cX5MKfO7LWBl63qum00MPX0qC
4xLLP6FczK+k0eds235aiU2M2zKX3byzmx2yjvmO6UW32GXr8AgdeMmctaJcVsARM1Hwq7K8zy38
/O9PfHVjAThhY5ge9frGH8K3tE2uKKU8Z9ry1X5uaaC7APu9izIBrUTVXxtEe860fern2Cce7UQZ
7Cw+0BaYnbSPrgFon7Fuj4rPQSqqqJ/Am7pX6WFNyZb7zK3RB7mDyw2P9b6uaYNTOMqshCDzlCcr
pgucYrpNMY2X/S40O1Io5VpB4MOf5wCTE+N4jXD8ua2xzrnutzBmPQo5vLocRAuZzTFyXLtViXqV
TBNQLgvEgw6zK929EsYtiybnb/PkkFd6YvVGmcC2iBdsnY+4ELxx23HrkEPXmS5M4SRKzz+Cm/+2
Hvo3bqathLR6wRzWfj+XC5Ecc3R8GvOJh8NXN/NWUmIAY5CKb4BK9G3wAJgipBH2jDy6Wbc8NAsr
2jdMoCZi4SObm09elrn1QMECfvk4t12B5SPgouxk9SXx5teyBYOf07pt1FHbcG9cCE4hn+lj0AlA
6fR/xgzxz1xtE3f5Z9XhOMEDHT2/Cm/oSqftuEIiwridGGJ5p1DZMkCcBRvT0jAPTH9nJHM7LvY8
deuBujAY4UOJXF6DS6GIReKEFQFl2+XzHCPBayggosrwwo8zyUptrpXm5yPxiyLDHoZroi7xqmnG
WznfJHkTCCXYbRaB6B93LAEozESzkw/MqJTdALKrQCAbSWkcv5jlwUAbRDzjoyjbRXzv0mE/RKlw
A1OlZ9Ti06DmMTYrI8+XI4q2h2EKimaPHd/FbBBMRr2FhrMSZS+2D0OUfUB59snJw2LLe1kUQoYP
ckklHXf/u4Ge4nGfR0w5uJm38qvZ5RZJoVHGp+ygfFSPvTJuMIOfpHwqOVWiG7Atm2zuTTV9bvzI
MXfHlvP6gDE1w4TDAgDnSVfD+11dU6B4JmvbCgMJYH0C+HcEY4hvrk39AtpcD27bbfmu8vYWYzgD
tjtiDW4aDM+NduyR2OiUwbQ88uZz9eiD7w9FTI+pAbd1W64ppxocvCne9lqffApNettx7eb1NmiP
6oHvXrCgWq/jkyFLf9gwheW4biuvcnS6AcJKUT6G9f3cV69kl7l16W3IHo+lHE0Lz9l7U+WVFkne
Bv6fTvsdWW6JOiYe9vMrMKXjH5yKXh8CgKa2g5t5690uXjeSLgNaDmqt3kBtK6+WwK14jCy/bEUY
zMG5LoV6R5zPMuJ5GruBFTBvdhnE46BKYhMhY8toqXKSkMc+2R07GpHlm8KrlY5mX5Rh2j1U0Qo5
3M7xrFhlr95VMNQpTK9zW0IB4V7J+sHtUVqeybPZJOjgTiVV1YdwZQ+hiRxN2ylz2SJM4cPpM81e
Vlp+GLLFsQNgw05WyTsTaXg9MfM3xICXoh/camkbdiIhwAJtJ/i8WluIINUveozDOG32D1XJJ29G
YyuzdFVoAiZ7d5Py/rVexrdupi2XXHepGAu6qfSZ+rbO6et6jx1zZWj5pMpW0tIdy46pKffaew1U
ee62bMsjPaUatCzhkcFg3qRT80Cpd3IzbfljNm1RuEcIsJH23zexD7FBR3+0CUNHasCIbfqpTIX/
XvieAmv+5Fj12Kg7tYKTozsnNEyvQDQQxtUSOl4p2LA7QkbRs27GO8uYeTd6D+gnL12kW7H5Q6n0
yfkOqjNB9Yy8QOLqbl3o7w1uRJ2epo286yMBgHItpnL16s8m898OHnfCK4N37zIrGLKaiO5IOSGR
bc4GkPvVZrs2kPlMNWhDiOJpTZRpQtQnHuUHfZZQmWTidsZtEBHqhyBqGZnKRA9vM0XfqWb97Lbh
lmc2CE1NK/HavxjMHbJsOG7JXLm5vQ0hSnXIshqEYeW0G4g4006DtVzduK3cypapx804nPu3HsSX
oAx07LPALYD/oH9+csAZ5pg28LHggMtlA5uNAduoDxSU28KthLlUasEU5ibKChozOVnpvRDSsdVi
I4kGqYmsaoRDrSNMnnQsb1vfDZQD2s9LF0racNp9jee5yvW2jtn7uZZuic3GEpmuGwxtUUUkcTPl
oFR+G9TGCbWR2liiGvRaCdF442ELPfNm9/tN7KtrU+/PeL4NJ2q511RmlFPZwm8Wv/lKluBa3jyn
3l90Wmw40eJXjO8NcGF6XdoPiGD6AaJldVmhugUxfl1N13o6z30LK43SNYyrZoqnsqrEXbqZdyxg
blcWNtpn6RuV9Of2tiegC6IaXR+9VURu3oRZzouOTcNJulfIG2UjyEviRwXUgxxNW44KCETkcY65
t3WMoEUwNd9a0/9j4Pdi3vf6kCcYRS7XXa2xTFS6oriY+Y30zP1WU6fw9ZNAyRBDsEbFAPuYOfTy
5syJ4G3ECTgDuvjLde+pUV42YlN8zl5m+/yaN8zppTA5D/M+bb6hs+2RQdBzs4ZtOR/lixEynE65
KPkJ8JNsGjBzRF2tNFThuLjfCXXDyoE+6XLls78TaNAwjDlA5a8X40Poe19csgU4NS5NR5v2IpEg
oMcxejWp1wYHiftjpyMOuvpL65wOIKpozkk0im/nTr03KXnvtnDLMfHuHUVh4k2laOlbM6WFWMQH
N9O2Y4ZhOADPOiMODvkQjIfOXNPI+HUcxFT55YawDPeUe4yrJ94D9pgtfnA7LI1bgwzMv5fWqTfR
xefLBE0x7w4o/EflpR+d9sSG4qxzn4y9h3jCVIB5ufbgsdWp0kpsKA5XAjOVqkaDFixdh7Vpg7xW
1+TFn9lwG4wT+GO3qhDn2/j8c9Trl3EdO+V90NVe7va8+Vm1eWj+0qg/0ql/MHvl9J6SZJZXQt5H
hICtoRJKG/5n1PTkJhzbztG65ZVBJcFFHaL/G2V7cNun4vU2K+KWHWxIDmbRw7g3qPjr8A0Nm7tY
ckfLllumsaYBM4jfnZiW0yTVkicjSCjdDrjlmbQOtm6ecFBoou8Gs79YA3HnZNpG5FR8EWxOcVB2
wm4h8PCGdtTpXRlaBpdncB+2BFhn4DUoG7+va3c7ULee3k+8a/1IwFNpEGBTNk23apf7XTf314gb
n/HLNLlceE3CaaQDrjfmlbyEjHA58fqd23ZbftnSBlBBAbQGScI8idu7LXEbr0tSyy8r37C0lvCc
uYlzTtF+a7hbqkwtp0QOHsJ9xSGpk+SENvuLynfLlDaSH4MB9TB5eJBbqz73NJiOvI1rx2VbTgkC
1VFNEEUs98Y/jBF/GfvXcJTnuuznt5MktTwS7UKOYS/cA++CJvEfPSCmf/AxmNqT0pWf3EKZxL/f
wGo3X/kuZ6f5xQfat7MSitApehVdOeJLNIe2reuXaz3TF5C+FcC3GD4+YNiiavMmGblbMLZvbUPR
h8EGjehSjIp9ipN9G/K9u6rv9oyf2bgo3CBUWdXi4UOs617U4asxGN1WbqOiGkhvZ3FFp3KAGDkU
DcI/OJmucT09t26rWK9AVRXuAW4U0qS64QN/HaWb0z0IGEkvQw/Sn65GiXVLOR99mYqcRoMbXgQv
/pfGU9VqTmbst9Lt98FE76Eh2lx5xzjb+MX5tCFRddNQaHvEYzn5DQQNk/nBRCz5WG2LW6JKrBiE
qZY+pGs6oVwfojxW4xdm2LXW0TPunFgFO5ok7bYF6P/3aYgjHnH1OLVjOBzqKlMNWLaEd1+No2PU
s8nN22qe2WgAlYqYhExD+CrVyqnVC62vy2es9DDVVKNfutMJo0X9zPOhNW7zRYmNlIJefFtJnMpy
WJLoe+P7GrimRbv17hMbLBVEM+510LwvN6K39361ss/R3F+TrHjGbW24VMRFMqfBgK1ZkrEIA4/l
Y8+We6fMbmOlVm9a+W5wg0mMHHCrRnsI9cjFrT9go6X2DiNpKsbbU2NWDHeRey8ybiHHRktRNDMW
COuhJ7sEDFptsTBznjT7lQz/Q7r6F5HBhkwNJKrBX0jHctEqAC9j022vFYAX7XFdjZF5lurxHRrN
4mFuAv/9wNTqoTTq029Z3HcvGhWl7BYyH/TFHNfe+yyKxJoT1A1vWtWNn7uMz3MuWn/9pjwCzn4k
elm9DFCOvzCegC0zGWhn0mV1GxACl+Cljw0Cult9sA/lHokXs5hesZG6tZhsMFO7LpDG4YYWqAsf
GzodxtH76nRAY6sc53QcZtrBdBy+AmB93t1SrS2fC+4qZdoZduuVH7IGJ4i3V4qeZzzWhjCZKmgT
iRfCAuor2ZtztnqL16v+D7cNsdLhAOldWiewPgt2XLf6OLXf3Cyfv8+TS5Sg7mZu6glb7ff5Wr3I
wM/vZtnKghVbJppUIy0GeeP5/JBqtzlsSDderjlsEj9cJSyTaLrZZPZyASzNbdFWHb5EAxF6hOmA
sttI7kc0lt3Snc051kxtjDkbHL6B6PpQ17hGhjDXcuO0cBvBRDbZ1mEoaNHVe3D0zXBvhsytxQ7q
+csNZ5XehySF8dib85TcJnRwOyQ2NVLd8EiuGCAr0iE6kkzkC3vntiFWeUr2OSQ8GPAkoUAGzouc
Lp/dLFvOyNi6ZEaOSQGRMn7YlWSHYKjcEAeJjVyKVeXxtGcpQMZgfM100+Q7CFTdknNkOSXA4lXt
0TkpGCHti5SQ5mbYRXslgT4TBG1KpJWkXsLTKSmoirpX4cird0Ksrkfc8k0qvDCWa0KKbOlzQ4Jb
wUJH77FKUTbzZd2NIUXgm2M4/tHO+8npsNgAppaC514GKinUPOVj9U3sjhWojV+KKw0B94rDsqLT
sY6DBxZMmVuT0KbNAd0X76CvSQq2mN+rfX0lF7c75MQGMG3RzkRQE1L4AsIKSlR9voyJY9n/o7R7
ks/qIWljsi+k6Al0IhS7nyV5cHuUdqrMMCLidzCN2qSYg7qcY7e61oYwLYZNGWASBMF7a0+B1PpU
QRrCLcbaGKY5TFkApAspEFea29Tz1VGNfeME+U1sEJPcWCRND9cxFGOSKWSalRuyK7ERTMsC0CIZ
NCmmhR4rj0KlyC1Q2QCmOhYs2NuNFFuQ9TcZ0/4NDUD+7nRQbAzTlHq06jSsZwuZbvjYRgcfVZaj
daul46F5KsMFxxBzSy9HzT6Oe+yWHWwEk4qbuJE9vF7qjH3B61W6HBYJMXi3qGJjDLZmIhgY39eC
jv6pkeFB8d6tcLMBBnvldfFcrWuRCJCILRt9h9lCtxhu84kM+xxkdaDXYiVTczN1tbhVVTq6dYts
fqhOLQJsogGe5zQ1dxHeFE+zChwPuhWz9iZLWr/xSNGC1IpB1ecQD4ljYAmsYiLjBtiLEMbHWsR5
ALjbYYlN4njOw8uik4pkZNBlJsVSM9C4xBBAAS6lrZnbuEzyQ4LrSarANGqKe0FoofX7dDT7fAhD
6vY2aOO70F7PhD9yv5BVdQiCqoiW0PGg08tt2YA8XzB44hetwRjqyg5NSN2qIBvdNYEcjw+y9gvh
ibdTyN+J3nNCF/0kPN8PEDqaGrMXYR9+AP0HuOe6xe2g2NCuJDKTSvdsK0DXbfK9pR+XdH3jFMpt
aFfXz2YXfbMXFQZGQzSAWvNOdr0byUDiW+4JdYI1jFiKqKWTV8nQ30jqu72l2MglzENS0JSxtdAQ
JdWK3wxN5RTGiU1TlNAlkEicSzFMaIrh5rHL5y3+5LLjxEYujdB9qf2WLgUGooECIlA9dhudJzZy
qQon1ezS0wWa2sdUNkWXxk5BHJCkS6/UE9eyNY0pWrnlcRzmHnFq1v6kkTqCdG5Ng0oXLFlvWFbd
murRbaetw8fibWpGHWuckGV5SEhKTtkUuY33YJr/ckf4GPVr1Pi6MIFIjw3YCm6ixY1JgNgMQpjw
j8KWGV3whRx7EryqHWeeiC1QlLB4bbOxNsUU6ddSj0cg0ZyCIPSPLrfERKKOiRhNIXrJc0hGFB7P
vjs9TBuzJJZV8A3M8EVD0mKZvWM9J04xkNiYpYyaDMzSOIFrDMYDPmwDxGiU51RzEhu2RFYWqNkP
NIBnkbnxKCV5TVVwdNsWyy97wUAR7K+6aAfvYWfLbdslf7qZJpdPMwXrwUp8povA64oqHN5kO//g
ZtryzC3G3FNLlC5ANXVfhfRDOLjh8YnNIgQqT6PxCqGLqeN3fNlOqSPpCbEhS5I127p4WDUPfWiq
pyGkZtOvbjti9X4CzipMgk26CJNPtb/cBEPrVPRA3fTyMQ6KKwKpTVjGSPze6ztBrtH8nA/Zz9dJ
EMW5NB0OPIYmx6KLFBpD9Cbt57S9MdUcfq5xKZzkqYyZW5+J2AimVS2+P1KNYB61L0LQZqrJc6qv
iK0cyXRMG7AeqIJ206HCTIE/h46mLfes9mjawjFWxcaW6r30p/Zl1adujC3IX5f7nyQiRRLyVBH1
jZ+DOzh9Ea3j5pbybRBT2himGWkRcYczgQI9dnXrFnFtEBMkJrMlAo93sajkLqLyJZgbb50cyUYx
jbinBBu7J4td0jydq9PUpU4vPcRmOtw7XIJFS6OK5I/M3ESjo1nLQdNkZXTirSoC4x1IyopVV++d
NsNG9dCUIfqhvVFoLwVbCzuB4+cayuQcq3/h/DasJ4pX4zccu9GmqnqxwItOXsKkW9a02Y76NZkW
yBTJYmbkfbRlfT5Qqd280kb2QNRK+EDKqwKK4bzUc/t+ambl9P6Kse5LpwTOIKKg3pJFRvtblqYn
thKnViSkAC9NN03KWlP3qtgD/paF85Hw1a1ZAOHlS9veGkHqARpORW/C7wEL/hh14NYvBJzy0nai
sjljXMkiHB/J2h072rqVPzZ6h3Atwkphs6txPwDOcAtuE7e8aaN3lm0Lp/l8oOteLqdEd/MNyZS8
ElxTfPVfeI+N3qHeEOgUrAxInSwqFyCWv4ipJzUwfa2Ib6CyXQd5JEB/7HbmbdDiIteFTWCxLXrP
m4/zOPvHhLvRexMbLORvkBwwcpJFU/t7PmVaHKBA5YTDIDZWqFci9jLDZTF4+3Q7JWw6pkM/uL2z
2FihzlNrn8w4m1BT8l/yIEUJMDsyBxMbK9Rg2rwJ5TwXNIA8X9P3n4jibvxkxEYLkSEEW3so5mKk
6euBvWnr5K1T3rBxQvUqVIxhn7mIOpMvNPrWNaNb+8MG7KimXeeBwfQ8Yv4JkThPFn1tUPGZnGSD
ZBcejO0+xXMRBCDC4f5LJUe3hGSjgSJopi4GIqxFtmVHP63yoXe7ESc2GmihPjiT4n4u2rG63afH
0K/cYpiNB/LXDHzYPkglgzA6gjngkCnH9ywbD5Tsbdh44GIq5m7INV3zbBrcCiKb0mjrxw7jSbso
+rGuP2XL2t7vfh3+6XS2YyuJ0rHJKghjiaIGGQvhVd6vjiWRzWmUqa0ZdAfTS9aoY7dpdkinaXU8
gVYWHfXogRAW1kXA7rpRnwCjdroAghbpZYIGh19d05r3yHVQAoda0nBqNCC3bjtuFbjTed4s2oe6
CIAGQin3JpvcLvSIjQpql560lb8yQFUCIGurgS8fern3bpzEUCu+3BiEk6qSDewbtQRHsXd/aI87
dhBtbFDcZBG48D1yMpKWaovyFMyBTltuExs1bb/PJm7T0+jpI9TuIW/AQW7kZtyqcDeQkWhvipNT
LKN8B/IoCdx808YG+aqNhWhbcxKtiW+zpt7v1JYZt2LRxgYBHDmnNanNqfOSl17T3FAz3bttie2b
mQyIQhP7BMnHJfdn+iqsWreLQmIravFlkSGgnebUztu7GXIk+eRRx7rf5jaiXo+uhDxviq4hIZdm
Bdi9HVdug4MiyF7Fy0r1idZgZs3CJTlg/W5NBBsf1FfQJudrCuNV9RYcNh+rxa0mtMFBcz8Nchsi
c/L4dAhYc0xN6uaYNjgoaMTmNUuo8VbYHE2YAR/0xekI2sAgPQe9iZPNnHzCPnOvv1262XE/rJSJ
JLnNzbiYExHri8m0t3R3owEkNjJowjVe2DTCnAzrq1tae0Fu4jF0e2G2kUHQFwkYrjjMaV7To/DZ
+2oX792220qZpu/QVxHanJQKXoV1DRbfMHC7Xseo52XaQXls+KANDiARrylNR3SbZ7dQZUOD0sFv
R9F05rTI/YAPuotS43ZObFyQnP2OtB0e5t77Xp6G441HdsdWqk1t5BlWTcLn5jRKXHNs3Z7cgFH+
m9PTtIFBkHkwRGMe+TSu4m7vkxyb5JZ1bPiLn6kRfXKYTkl34LI9TLWbhAmxiY2qOdhE2sH0uu63
1JxJNqjjo7TaQbMWPhjG4TlQdFX5OLD3mT8ztwLCJjYSGIsi8zqY08D8A4n0zZA41lQ25oURvzYB
/pzoUn3H5dWhEcmj2xmxnLKNKdsHBceJ9vh29EeTZ+i2u22JzWk09JucGWvMqR/Z27D7c/RSJ1g+
sUEvYhhpKEdsduSvyAnkrhbKrbC3GY188MKObMFmtxKEN7y5w1yP28uOjXkZY7CBBbhKhh77kCeQ
1kjAr+H0HG3IyxzAU7qemVPd7scuLdQ0uiV3G+3CQzOGxvP0aW0gLa6bHIrFbtcaNrLQF/Mm/AHR
rz5L17YZpp13Rw0TYmMLac2SLqixbkrnP/lO3hq+McfdtvJkyn0POHnYbqKXOsgO/r47Wrb8kQfN
nvh4UTjpacu36nHKProckNiG/6i6SYhacUCApzkCyZ0vXDglA2gS/X/OvrU5Vhzb8q/cqO/0lUC8
Im73ByAfTr+PfXxc/qLweVgCgRAIgeDXz3J1z0xXdk/0REZUVBw7nSQp9Nh77bXX+vPBTkwiR6sz
dxx8nEAMBIS8Sdngwqt/gs3/RPiTmUqE+wy3LaWuAjnlG5tbf9Fws3MG0GeCnS4jbt1G68H49bD0
l0nRsXPdIpqGoU9hgHZEhXco+k/pmFxctijZuXKRrVMOcCNyx5GpvHTdNjz6fLH/IZr646z9VyCf
ndOA8mlDutQTeyQATcmRrHIM7qTJHS9jOrf8qW1ok6EKOS7yAM2GEcY38TKPhzH3fXNoSVezgqy5
V3dy88NSwxmzZZdBi+xceyZucV7NS2uPhnJozlH6AV+yi5J1di4+M6sg5h1cCI+b6X5nsWiAFF9m
M8XOWRxzHzGZhsoeM1sf6zarCzpcRgtj5zSObesGlYEHfvSzCYthmNcCqpbZZcskO9vveiJqv9H6
c8SVKtI0+myQ3S5T/2DnZA43D72dBoy5w1osBOV9OWXxx0X73jmdwzV8hlI1bp3H8pVMy1U0Bv+h
3MWwA/2bVXLO3pjDepMz47jvUFTMR8c8vazji52zN6Zu6pbEYqqEtGclzH1oucHt8KIhOefh8TlO
EIB4e6RtdB03voIy3EXBAjvn4WUzycYmt7h0voTFEgdXClINF54EZ2dj3Yl4roPFHhVxO9/gA6DY
fJnMHDun4iUicrLjoz0Krbsqntdut+RjdFG8ys7ZeJynpANn7jOJTAekHh1bBHrKJ35RZsPO+XhN
00lFicbd48le1c0gb/JpSS7Lbdi5kJjLFwHTXSyiYf4KHbRb5ZqLwAx2LoVEFtPGNabIkU/9770X
D3gG/2Erj/8fy/Pz9/8UOMxLEoosa4FK5UxfQ11In1werQR9pTZ9u2gpndOJKBrhyERibOk6zYpF
2x98NpdB0uxfCEU1jF9bE2K+x80htL97nV22ks75RDjdAzSQ4sokX0XZRKQksDi57LA4ZxSJyVCj
N1xcpsMtH1qUXoaLqubsXBUp8arvY3RNHxNmgqpL1H0g+GXAAzvnFXVoWR/JEtlj+8khQN/3W1er
C6PYc2LRFC3bWBtmj2tT37KxK8epvWwJnbOK+ABtmTSimIOirgGUSl5Cyu0yE0J2TiuSY9RvPcWo
ZGY6ahlVyOkvKtCxc1JR0gdNF4BUdMzr9sATXWZdchFfCZbjf177pPd1skK2DQ5hAfoo5kLWl9UW
2DmnKPY2ayHOgWniaQHGRpZchHWzc0JRmIyDGgNceIYF1G0g8rqwTXKZvBE7JxU1uctIFDp7THm3
iGoygxaFkQZ9dxdthefUohDqnhl0CT+fpilN7L5G0WU9vOxfeEWxGdZ6QMDS+i6sQumPi8vlZdvV
Oc1nGFMDD2aELF3LDsuUFzInl03wc5JPQFu0OLW4dNSmJ0AolTSXeVWyc4YPh7jINkczJniQy1vF
O4x5i9LoRc/ynOHzSduGvCfRRxYJepKBk/sum7LLFuc5xWfrWD7SYcDVa1mTom9t35W+E8Nl+hTs
nOkTB6tu4tboI9ddWwzIJ8wqLjvxz6k+3RSOA1eDPbpxK8Ddula1/HrZqJ9lWbKxuR1oNxzhgun2
i4y3MiBwDrjs6mfR8wp8cBrb3B/rHAB43D8kzXTZsXxOI9qiIB6V2fxx9kFdQZlq3PmeXBj2nzOJ
wPW1MhlXf+zb7EUA9i107C87O8+5RFzB2ICGw3qEo5+FCNQcHmyuLlNgYed0ojFkIyqu3B+7dJ26
ApyOqCvzYV1+XfRIzzlFUveQZfR4pAFu2S3NLhn+E0fk31M52TmhqFfU1X7GI0Xhdf7I8XjZTuhl
/NEPrIWyFgTFm5dgSzu7u+y7RH8+sTdPzJrmxB+T6UtgAwg9XfoUwrMr604wUDn9MVaumFxbTPFl
/gTsnGIUrAzq5BlGSS72vknpgV5okMPOhYfSdQu6qab+iBQDgof91hb1eCEocs4wEoxD/d2O/shZ
rb4COwpcsY5h9J8QBkr+yGz/DThyTjJqugGN/So3R40+X/YMj2J5mpM5iG/khL78L5A2o+bZClXD
lHfdlO3ffbJEK6RHuWnnrqhR9dJDASSx306wrYGkjt+EHJ9ol8TDNR1bV5/GeVinO7uKOt8pgnbf
qwlSXmOl2zB2V+uULNktg6ED3Wkeia6aYwGVh4LHuXhlQRxmZbthC6haPvRjZeMEPptRHrTLcaoB
Rj2w0AXxXk2EiUPiwZt6WEzGyi1evd+hUnmau5C9IIhy3xnpp9v4xTzqnfwCuElake0t2M4/HD5t
LWO4hiRHaOBB3SjKSPYRoB4JSRxsGwL9/XUq9tHas/6JNuH8sXnIqUFqtRsi+KPAPuKq91Hc/aR6
Q9UrDtquP8ombbaXxsjW76csCdZ9irbT8QotTG12Hdh8Hm7jLtbRG2TRV3eMYLVQl1kyNV+tWGNR
8hiUxNLR3rRXnVjEeNdBYXN9TmA9WleqR4NfqUSukxLOBDHfT3Tj9vRpSy4rotXK7lFhrpci52GQ
f18x6ONVHFoHb8w2j5pvdeM5uQoW9A9WPpFTt8+SLhRlHqE+sEtSH9wv8SbZDlIEa1Yy5nhyv9a1
/rKETdPvhHSaPfZQV8DdTFp/ypH1GSkHYdus8FOj1Z5A8Sa6VzIc23KArjzqU9sMRVOpO7TfpGoB
4X9hTgRlrtN+qjYPFnpJlolCaX3gCSSbKOv7Q5aDYFcMLN9eFgu6VtFEmQnKhSjBim11qdpDcJrk
u8460ZSZH90317YUGpiSLO4QxUmQ/tqgYBUdI26oOEQUHuiFMxGMfwLIN7mSD8FySglPId4Nyowo
t8GE7/gYC4HdtJ1PSPRNUkAr0dhX12RWFYB10/xYx5bMECIKgaR7hlVUTDpK3IPL2cplYUMxb0XT
9dFaxZ4Heu9UttalFdARhgvOtvGy1z36ppcozexuNCFos6wlvC7DTCqxb7llvqIg078vjfBzEZC+
hy+HbhyvMqLy+XlwLP0G4IDLyixxPhYdX/hysPh1e3RZNG1F3Q4su0fpILEFZJGX/sC7DP8epE9j
WQTJ0MLAXkHgx1ejc3J9pWsuweOD9n3T/0rrfMwrUncuumkhG/kr3GpPDkEW+B8jLFTeVqHCZ5pp
lQCzqIPxCxdqIxCYSZbtOpYLNIrLho2G7iYeJuxh6daY7J3oWn21Oh72B7mkaihs7Ob7YXat3mNt
Ra7s49H8XGoG5I9DQtsdYSQUNIdgncW3PEELt3GEDZB7HLv06xL3wUnN+E1RQ9Ul/TaZrGvNDrqS
ba92i51Z+1gnvNUfqObRZAdZmTBz4BLzKDn5KYKqcqFnEUtdKpSFTFQkJKrXEl92He8MBAfmwxCw
MLsxi/mcA0EqsC0JI/C4kBfyJ7Sx1fRJuaDWcC+1nA6FGQRQtKTpzFdNCal/ZkPUiZ8WLhRDRUaO
ELuu26S7riHf7a90Qrf2fhub5KX1KohKReYl3o+9dPYOu2ngS1a7PtmjcpqGBeQXVfcV7SNR/lX0
lJ8yg7o+WqK5FSeT+OSjdWEH9i5L9XKrtUa4EHaz/QaJVwf7Nemaj6mdp4deep4WncGKCkq7hap7
atwW8IpuiDEKKLQtUVUjXhoOxGBOkCCR2Z3PuSAHFbhB7BqEakE5ZKmIdim6zERlszroC5naONg1
QbC8JzrTw1WvtirasHcUC+qdn8P7JcxnnDUZAkjJWSH5Cine8X4Tdmdq+6iCMd922BJS3KFQHLuz
zjgj+6nlhF4FgF17WkXocHkZ1hh4GU1s/j7SKL3Oon65Tcag6U95WnfRIYbHRbhnWATTLQ7AU7ea
coAUpPP1bb4kNbpKGrbdZokebgBr4XSPwBsJyzXVvNn3Kl1ksTIgxgUWaP4Gxc71LpesTUvIIP8e
NkP+M84H8T00xOhHk9YbZkJNJS0TUmeVH6jCgQixTEivrRyahSHssFRbf2dztp+ZcietybADgC4r
6NjoXT/xQ+39kZGmr2KJ0pFNo8MYUVLkdL3nnR+LiG9dkUMcrpCQeMK8bB4RRriiRSdu6XywFBs0
CVSebhVPE1fwPu1vmjC89VRVcTq+8iWY9yFp6srBEKmCXfnNlo4roDyVBdUEe7eKd3Neyj6Y84JC
R+/gBfSvsDu36W2etc9uHR32c/895XzaQ6+cVcmslud0Fn01NJC3hrLAOJQ5TAAdpm0msP3E3p+g
aBcWMGF6VgwZRIAdHkeb/rpmAfZDMeQFw8MtwaGgBaPrLV35gTb+Np9HsoPsvYeRaifLKVV1uVpy
1ybudwxjshug3HgEkPVdMr7tomipQGvlVbc2H/AjqXeBQ0U5g+MZAgDf7qWXh7XjQylyMpXEOBwr
jj6QLrt3a3qKDLiCdQyKD5qFdZEKd+jYkN8Y1t4K6ZcqSdbHVo9G7Wsf/M5gXVUooa6nebulgvcF
p/Zrv6jsZJNs3Ikl+VD1fMcVysWlxhjGbT9hJfS+HEh2g5Rz+zwBIGHu5x5bkA4mWhchHxFtRXFk
9zJKVJF5OZdhK4OSmeGLSHl6DCcO/fCePDI0kUBdqS0jGZpCubFoDMF7Uo0uhBm8310bM3UFsCIR
BV3QY6IAOhejbuMHGNenOGlEhS/EdbXB3FMWJt3sQ8hp8rEkYhJVPtfhc91Hbq2GuUXRkYaNam5o
TGNgB7Oj6x3chtJqIZrLA89aqUp8PxqWcdAJuk+BTPkT6SN6m5BA9gXj6EUt/NhnP/o11pVpoiC7
ylqRfDNdF/siWif/CsPIhOzzcRDflrZdLGI+9IWe8pBlHjNzhIYxN/X2NWeohO4yCIOW3arDb7CH
6cdibOrxW2oG/jFyVH6uu85hdJzCmsJyGlI4T9fNhgMEQNldEvh2/TLqnOtTykkW7seQEzCuu2Bi
O0PHjlVZqznYTnoRdzYW1h3aiKm3bpvUJ2NdMg0issS0Co1dF9SX1txVfGpxrwztMu1jlNf0h03h
MvdV9qR1RWgAtgIjXYZX0naDQ1CV1e2xFka/9NPKzO/9lC4fUwLWUjEmEZj8IyJi1K4WTVkFAe0w
e5hl1/e70LXQqVN6bdUxhUPTE6FMqJ3pJSbk4DK0c/J6gpeqdOl4Py0L3xCajJOCD5V3+sEMhjdl
53REsbE0ZCqAsMZ2n1u90WJUfB1KND3T+wGy+OppgNyEvR8tIcPeEGflvqECsWEeoeu4XHyIbmB8
Cz3tZxM1FesJOSJoDvO1Qip4A5k3C/4zpSfIetj0GmrmIeKxeNvGXYt95hsJo83/jFcBumc/D8F0
GA00rCv0BTf8UcGmNLoaoowJDEWTRMU8UylLkoYd9pWE+2LB82yPMTSpoVXsFZrvYt405jHQXjf3
lCa6rmKEvLSYeiggPSBvgV04sxvLdoitH6C1WKOriWQ4Srd5XbfKpTK5bjyL5SmjfAK/JkmdBA3Q
ZqKYm2148i4b39kAUbxDCx59UCYN/NNLpuTy0QeZDAuJ3uCveg0gw6mHpOVH6N0jKkk8miiqeULs
XgR9Nl5PTR/sFA7yd+ai+NkOgTolaY6EotH+hK2Qyrs4mthcKDV7dsolbxhSgBny2WzbPtQc2xdk
dVlatGYUUTmG5BgKLneBWrqpmoNsYIeIBd6X/cyof5xoM61l1Ldzhb0ue92cElDVhj2xxhoz+jUg
aeZ3XYtY4GbAzrvdK4SrhYP74l4kuiffyWSjrUSy0+jDFKyq32055V/A78jr3RYEMz2lnrH8mhu3
PsOCUn6A5zHz0g69rg8Dwq0G9aRloNXG2ptp7pbwvlWfgZF2Ao470Ersf+Zhw5KHlLNtZ1Zt0xLV
v6OHpKcvLMw3+0IE7DYetxwZIoxjNKxMxGoBtLGIVS5hnJSyVgrxGIy1H4faBF/UOEucRJNKH7Ml
le5+i60ZHxa6dt/1on2IvuJeBsUqQxxP1kYjFHfNFt7FWs4PtVUGRvBL/Sqb1Q+vgib9XEYCbWZR
ngVBhQUApQDe2s8dfh3GHLt9No2l35axPixqC09zNtUNhNo25kvbIxcm0G5qXxHUtUmhWdjAVR03
8rTlefMrlnJ5BFwefa3TeOl3cpvklYUTLoKkKVlbLMgkIKcazJ+q8XTeiXSSR4lKXSH9FjZ7op0X
12q2nt/VI+Ffhzm+h2k2K/oQzbuhnOQuhRl9VC41KHy7JPK1urYmWiAS1kYTJOX4ii4XbnK5mzzj
zZ1roi04kFmRmzAbl29iiYJbHaRsqqKk7QEhoCUpPW4j8oodHaJovBU2lN99o6UqCCLZZTfG1GXX
Ce3S45qrFmyqcB7AuaCJNDsTD8HLqigrACKkpc7i9uCibvik2fwwM7ljzsDzIsiSDTFFmwaVTmnE
D1wMtilmvuWP+dJu733c8xNd+HynJDLBIvcdbW4znOHrd9jQrvNuW3EGHiY9m6Onm3gz2q39blhS
jdNGejPvtaDE3AOTQ1I+hwgPYUPKfyKHbp+UncC0rbfkOGTz/DRis7wK10gk18RPtXoAjN/94lmX
D6WR61SFg+9OUSwQ36hxvJtyDl1HiAFjGzM5i14H8LZYEUIgcNsNfuvvJtNMfCfiJb2nsFedjoJP
SEu7lcQ/sLI/wRqSrsGXcfCtQ0KbmxvdenOMQ8deLfiYHeKrfF52He1HzCocik2hbJ1fJZBRZcXa
pH1Q+nyYw2uuYp5XQ6o/j4S2fqJ1f6dmFlVKbadmW4eiiQ35AjvG7cYQmHfehlHmnzecFcOu5Qta
zEcIIewG2qfJlXHehyfNXfosLWzLMOiyUyWcdegbRo1FpzpSeiOg9g+htth17OorsQzzQ8JS7KM1
DeyjlJmA9bDs8uu+XX6B9Jls7xb97b90OEPNFyCeKpRc19IHEII9LHxdSbESdB/qdLomm9/FrKX1
ruukvxVhc/Sie1g7yxaAE2F6hcMflDOI4REdlwH6oX6uPKPHed3sU01Dp0p0HMFwg7bUDlesy6Ar
n1m2fQk27WjhWha+gzuvfp9DF7Ej6XAmlXMU+2HfrGiEUi38EfgaLrfWzSPCL9UHBxcD7yiXcdnk
iUBb2l2vFkXZko1haG4CRTIM/iLJsxJktnd5zPJ0H4IFOjyBJt3bslvWzj1PdV9/oMgw9RWO4Bkw
TC8MrrKhewdqhy5ubgKP8Q8jnzzEfde3+37YYPzL3LjGxxgM0rDgOVTLi6Wm7L7Jwj4uZ2zst6Tn
y7us2y49pMqAgIZdqIHKNrQJadWIujd76BbZ35n0qPLC9A67zQSdDVX2jOLkg78b1rJxMkyOJtWz
uqpXrPEr9KKYp1TlNL42Y91iUrO+rmbNdFN0ONBkgVDe5Kc1cmFfoM7jEOCSzslv2actbYUzAxYo
8Qr7sT1THbPVOHZ5u08jbeu7XvQcWU84J2bnJjl/nyDHRUo6h6gzzjJzWUmHOnuCGFrDyyFI4vqG
REA0npEE5OtV5KKVPocCBsY/UwmW/t2SqcmdYpBxwsMwi3Z8yLrORL82oZU8QOCPf8yTo/U1Rba+
YeWqMb6nNQCCSo51HTyIcINESEElChFY6TYbcYhStPdWbu2QTnsJe4UXmBmlUIKZwvguAroZdkWA
XYc9hLEmJ6KbdK6WdOiiwhEMxnWD5pjo0IT5oPaswwi+LJ2y4c4Lv7JqTuHNUapl6vSrm1bsbihx
Df7eeICUhYsj3RY8U0SUUE+feAXF0/mpi2pY2/VcJ6DsLMinC5wi8lviGjvuHQ8AHbjJGUS7iaXm
TsH3Laz4kqb1k9ckMCX6K8lSmnHz00PqmmHXaYe8ETlIp/Y8q2n+ARgpXnY6beMBZStE2oUFIGW+
gN46G0hG4g1XbUaSUBWid3Le8xRA5utAhWS0AH6B7g6ssii4H/oAO21nZQYRnUDn9VqkrLPzjUKU
JX2RzGHI30WU57LICVNjMcE46l0q/BshUhMvRddt+B7Q1R/fgXonMK1HMXQqRTPiCXU63cbjgg9o
q94TdO01CKaTd9LDCObYmtjGX/KlW/guEZjkRbim/QNpyaR+ZGMA1SfTNqKpmpXIFJSCED0ftuqY
9uzNxluQ/4jm3gB5mAfX7ED9DZA/dWpiZdpbkhcesfh6GQ3uvDl4iqRqat6bo4Wh5lHnY3YPsIxd
WI45bxAeqaE96UZzzCbiq1arvti0/Ic1xn//yVbY/u1/8PMPSHyNtZDT2Y9/e+47/Pc/n+/5P3/z
53f87fCrv3vvftnzP/rTe3Ddf3xu9T69/+mHnZ7qaX10v8b1yy/r2umP64tf/edf/v+++F+//rjK
82p+/fW3H73T0+fVsCXq3/7x0tXPv/5G0YyHwt9///Mn/OPlz6/w19+ubPv+X1cT1oj5N+/79W4n
XIRlf8nyMKUxQ689oZ+UhOXX319J/gIpLXCH4jhMIyACv/2X7sdJ/vU3Fv8F+iEp6hIkYjTNP0lX
tsd2iJfYXxhA2jSPohxqpQm6h/73/T38vcD094eCEfnHz/9sBZ38wVH+v4UoXCZG/ofPIgRFKhae
t+2atdNjH7TJV8R6P/XcwgOIAJUZG6lu+y0Pd2HSfMhB8yuVpXcb7bY9l93NBOSgqOl8i92B/VzY
IHRRb3lbwln1ceHh8Ghhm3fXrZm/Sv04feFNqA8sauN70nTxPXxagC1t3Y2FGXCRtt5Wm1vFTuT5
eu02/qMl0WMKNLXq9PDaSar2YTqxKiXi50prgViCZ0WemaduFVe2yX6nc/RoDKuP2P3MbtFzV3ZQ
0i3iLnoUbfPd9e0b75CHrlndoNKRPY99agtKA12AOz8UvN2AnBBgjtB0esNR8RIO4msou7deQPMi
NRkEf4N3SVEbce0HDOMQbRF2V29iHwYRBFT6CWBgaL+to8F+A8D9FXWK7zXNnu3Kjji+goJA6rP0
NrnjLDgRlwY7+MxFBWLua0DMn4dnmFV8gGIPOgliBFibPpBpNnsncXcNhZ6c9+SFC9wmbAefXYJ0
hAboP9cRBmvQ7QekYUk15eQFa349rLNFXr/SCXAd/rew5meKZtYCvTq6QEuNueehSEoUX7JqjPWD
Rcm5WCfSAmfp5U8REVL4Wrsjmy1/W0zMX0WTyr2D7uJDO7fyYW6BWYoeWRU1XdH7dqlyhxjHjgJp
8LRBEGdgqLoMyuwojKzLpsbnpxsx35O4p6/OYAagzrchKmrNfthGWwGt/Rm07DFPA6QG+NIpZA7K
oJcfOpAfdSQ+arOECOL0Tb/6rFIGQyQAQaMa7PgV8WtwrOfA7zBN6nLKBTmKxXxJFTrMrKHxcUVB
qnAgZWPWMtgMwwalwlqQBXoobuGktKJSplmFHq+hEOH6MmcS4Qkgg2Km83iFzFydMk1grmrr6Fu7
AkfGOfXGBbeHjSwvMD5Zy9TOsopp+mgZhxIoj6ODIMldYOf4DqzH4YcOkB0YcMOBzLBHlPXMjqT0
UfXNz6XxL82A+1Yoo94agCdfOzc0BQwygkIA7y0hs/Gc4BTduTaoj2mCq8A870GP0SN0pbwtPMqY
BYsmW+XoDSq04M98aL6DnfOkHZ5+32AMlLF5+ceYa2PnAhvYY0D1XAzZ1BQgTF8vyjyQZb6dk/aG
1rSvtk1DN6nBSkr7NC6VxmS3E2Zn7OMDC3tZND2mbvzZTI+yg7jJu+wq1wSTu9cPQ5TWj1uT3IV4
msW4mtfAh20RzAkQxj4+9hOAMuAxR6RWb4PdXkS6tp/ZwgufME/WRTvY62VTVU/6ph0129fC1QdT
a0w7hqwcpSGsiDqzz5aodJehsPhsJuwvzWdwhraZXRuM4LHiu4/E3YqsvdkM7jeFzL4NzUM/Yz4R
qCwNG74TgTJdISV4ZHYh25GKaanScJpRG2s+AuNuB5jGV1EoOuiXh3PZEI4q5BgA9kwG/vbH/tdb
NBkzwMw7FOShikAwi1q+vQTJGpZk4v0OwJEtk0GidkLxjAewV0pGsFQSlCZsyB5JAAA2zJL+HmpY
rMy21KMiiGJDnUXBjgTEQkAMAgaoicVlP1KPGTUDkysyjiHpKV4X/dRebRPg8y7H5pEO46um4+un
JkSROmz5az6gQrLqp3Q0QxF5Zr8AwYjLLk72MfHhLqi7rMKe+qIQzxXaZs8I96OC4GaAa4+vTuKk
MPydJfKjixdoVbVI9FMzT7s/rq2jUFVghlzNSHi42sRudAQKcZv6vs4tqcB3s5UVaLZFE57Zy0XL
Ylqig5brC3Dhj9DWabmh5nRCtnw70KAvF4El2+q4LnvZ3gyruhk6vB/H3l1ul9uIc7/bRhxLGWve
NBtfR9eFpymTtCDB9mJsgh7tGRMxjDNgbYsbZKmTJB9hmhw0yA/TQK+lbbbxNncKc40gdV3Q4oLC
QHYXmehxXrDuiDBPeaffhqD52gzI1YTEXFADqnCwmES6x8FXAMRRl/GG0oxqkzsKGYFjiybjp0iZ
dBdOjUEVE88yxHHgnX1FjUydYA3406AfBXjxFJaLC9YS/P3o1KLl4yhC5nfw5KHP6KpDUrhEcTlt
7HGJVI5KWwAjqizfofXBwvjC4Nny5Bk6/rBGaw3G+FPwwk7yA7yAp431D5A+f/O4rXIV+GOogX4X
QPMgdaBvmmF9Cabkbu6HATnNnB5rGCYUEcMDncT42m0tDE0ajMSUBb+QdqiqFemVzts3zINX7TGp
U5Y+513+gwfyJ8lSvwvDDbt3vRBUFjb+hXv90Kr1Bdz+V26RHRvfjLeRHgDmWOjZ5EnwCyeNLRQy
6gACV/uhgyNp23VvNOCn1SRtuUjxMxCfQ98n2IEgCf6/qDuv7batbQ2/yn4BZKCXWxSCRaQoiWq+
wZAsG713PP35qCR72zyyNbKvzrnJSGJLIIGFtWb5/2/acSEL9ji1T9NYJXYc8hklbvMwB9ZGMOaH
qRyDbcrEGq+c8uRGSEOOUohiOpMmTnR2U69RGz6Clr4BYPw+TyElvfAt7dllKOX3a6HKyvVcBRqt
Hj6dOXLWjXFEL5uWiI8SSvZqyke8nzxYDqyI1TKqbk6Zwc0E2mExb1sj8OykkTOQyXt8wj5+HRRh
m8OBdaxcOPUaW3nfW6ZNbYBPg1jF7nG32Iw+pvyRj3Y4shsUs2naIoppe2zOdzAiHR+6UGd9I1xo
HFUL5n0zSOqDFHE3wo5NVxspe9EOiF81hZO3E7JjVVCYFUXJaRS+upVQsFeEiep1X1NY4/pVIbMd
pcEpUsWbDhmGbS1NBTiWF2MBVOs32ULiBqzRbrIous4sauTnndLp2+khpn380gw6XyZrn87xXRvn
rROnY+EnCx1akdjKMQuCmkpmy5Hj2loZcSm6Zcs+G4hBYQsEgp6cZVdtLr2Uc6q5yVB+ycu4XxE3
+93Yyd5QhG9x2rL82K7SlN1fRDJAa5LIUUEqvNZmvaGMYigrasCyF5EB+gK6FDsZ+IdcsTQNdcrs
hAazJwzNcBjrqqN9J96IibFSQlm6ig3eGkqAtl4EM2rD6jiMfL5ZzCJ0SmVK2WrgMGjZI+OI242k
4bXJ2XaynIN36jS6KTM/aXZsZxSqWzszortBkPvV3LBQU9irDPPge+tK+FZW6ZdwtGZnOIfYUZbr
+05BWM6WlboRSbYTTPnoRoF5QilIOE0bAH2YtAmbqnG0wV9eQTYPqHhm4TXE9+eqFRXbVuBFzwIE
EO+bYQyuygsDeZtH2nfKrqOXlOrsEPQ8DFXQralktb4VKKkX02R2LS2zVkPHCpbpEe/CgvPtvLHA
safLPIUAqWbjtLTEy9MSUR+OddWN5YnOdMNJxAw6bmOqK1sxiro/TYj/KCvdx1+bsi2/d5c5509p
6i//1v/BzBSN1Jl28fvMtP3XXdW8dNn8Y27610/+lZtK+h+qgapORG/yV5r5V24qSX9Q4JNR2EjY
qKWzhPOv3JQ/wYQh8kOiZKJzOKvg/8pN9T8U2aDpxaA/0VKpLCv/JDd9Hyzzn9RUkCXVUHVTVbjA
jw61JgKeP6u9gSd122rFV0RLbi4HCHgkX2hKuu3IScbrPrQ+8X2Rin/kWL1EkeUQMzK5lafNIip0
0y1f7sUacUj8EM/VJ7a790FCH32rCyWvGEpjlNH42qT97biorlp07ggYAAKfN0yvAT1+Wvq7RlnY
Mhqn6+h9Bp95rKWzqvejq1+ofTM9Z6K8mgqMdB39MufoCQQCxcWW2hw051FUiZEY50eM7QhTflV8
Nm/qncby0ZUv5PvIRmn41nCpBVP1zdLvmnijDagMQxJ9cTiOtbEzUt1thJrN6zNr5i8X0YWuP6Ui
UTODs9zMxEjX/SG77h7pR9PFR2xl//BufVBFoVDz0U29rJ0IVNG7dimDDUPd3Uq1XOy9/txcUy5w
+9JyI2K931/pV6vnEoAWz6NoMRdj2oy66S8zaatJ/BXIthbGx0xTCPQX/yofdn1xQqDi5pgNPrn0
+UF98AAvCWn6Ikzo9cZuQ5PGH8RjNxq+1oSAYEj5UuqoLXdU3dUm0Fv9s9GHFLo+vOj5Vf3BpWpa
k1CKxtJtUlm0zyPzINr4wqD6Fq+MOtFFBDYVj5+NvPnVKpUv9hyO9NmsO9PcVE/VXfwNqe44OZRW
gsdmz1DH5dN1+au7eWHBS4MmMZVUqTeWYNilcsolgqvZel8+CzsayoBa6FdSotyLn25w0nut96OH
eLH7aGMgzGPQlJtupRtO/CA9Ffsy2kd3cW2uomOxkZkTbtjp4gzu8DXQt6RVh2KPk2raxYH9NUh2
Eu1l+uJX6UHrnfYhOWrCy3Al2MiDbTNU9vVLeShvs96jG+nVvqbtBc9yWsSTh/ImSTbd3qykx6ym
RvhIAG5/Ne1aph1Or27dKdtWdSyZhPa5ux1uW3MveZJTXpmdY/jtJvHmtbYRdsG8mVaTqzpKsJr9
Zlt6nbhCdrMp1k2xCtqv0b45tOs433br5mDd6vxGHE/2dMpvhVV/XR9rwy7iGzV4TR6Vq9A30ZSu
w125hk4leQsyyjdUqsTojTu8qiobxkHYjjg7/MYvfCPZwUT5xE32yzV3sSdLYw6HVZjljWoRaHaW
S+qwptsDJnlIjkZpulKguDDabZN/J/X8ZNt6x5F9tBgutmRBGes6nUR5059fX1G2Dcmi+EejUf4S
BTHyHhQgzZdYgrLKtjJ01TGPZX+miNV9+oa/G58/+hSXO7Q+sXnKQ7Ax1Z2olNQbQbYAXB6tZNsu
wYLcyUbR/piN4i5A8O+VWrhdIlrAbetqSBzOlTzROzdIp2FEAI6YpyVZOBcs55EObsh86jqub9FV
NqGV2j2Z4XY0pXiVq7FXx43Lmdi7tZxdCwI96lEgN5Y76Sofe2ShKIK0dkjsxnSSLHw05pjFNt8n
obRhqlK00hRJcYZ+fo6L6JrBz8THGQr/UD1OkrafC80FhF+vlNywzXpxZ9IKw8gP0YDuPcndPI7u
ygg0gdRqtBvztYgGezUnag+QTjsUpXxtFaPTVa+h+UXqPmk1/eoguUQCormx6CxVwSaI10n9ZFnh
qymI7hT3RwNESrR4nV7dzubeXJAj8sTZhz85xH6xp18iA3uA8YOW0kmQgvo1UiSXod5urBACBIYb
h8auZCl2jfIJh+SXX/Vs4vrhDFEbE7uzmAebuvD5alpAPskiP5+adlneRsNst/EtlE6293BtGMYn
3/NXscclYXBRJjmfQiHY6JRVCuxVRUXFDz1ZRGHFSqqduuwG7aYobz85os+7+Aev0iV3UFXQlCta
k2yLTWVZ26xt7gUERueHmpShlwr7ocmOmsRJrcu7Jdxam99f+RcR0CWVcBZgYLeVniCXsna1KlOU
HHatJRAJzLuK/z6HQb+/1C/v6sURVopjZlKZlzflLB6jQNya2ulc8O3D9h7BOJFRbFfYLeQo+yz0
Oe/EH93Xix16WtqmoA8nbYag2wnxYgfjrYlgEqyIh1NmF7MbBrNxHRDaanyUdDY+26Tld0bRRxe/
2KXVdtaR+BDyTcMuHS2mKFcrk8MhKTFNSmj/qZeLD2rGFpWm3RWqrV2eWdd5Az+pORTLtFuycZPV
wXOllFeK7LRRygCe2K6VxBE6+mQrs12lyrZuV2W5mxe2Ij9tVujjImkldIETYfua5TVTrin2LMi1
2WUR9bFpRTxZpoHWU0+5NDof3E60UHW6VZbdWL2q1JAIEiN/GGBfbQpzTSNjOovN1gYjlyavxPtp
C7GvE9AJVPWD3Zw+KfJhzHeB+qSpt718sqbHSv3eqQ95cScNfqr4g4GSY82gmKHdiNpKlPw8Rc7j
S9P5Q6N4bSYfmIwwrKNwE2obLaI6t0qQaiS5XQUSbYZKvhrMmURkSCbHKIR1omCTavoTI1auFMYU
9MFCbTbdWcDX4aKs9bn2QnlylHhYpb21GUI3GurDNCPeTpQ7xkn4/bwRxeWgmo+Kfs/oaz+e53UW
cobyuneVuksybRVZsR+Z05sEO8sw5zsroxLSKvjdCul2bs17tTug/9oomX6ylGJfKPnXzop2Bv4M
SUX1zIjHudU9xBBumOPSQM8tWYInze3XUTBXFlFO3jZulRQvi2ghFo6jm9ikAbjM7DnqfZ4l/lIX
lGm5GUKLwCQxxSsxSk9JbTCziibotyiuEdyWdlt/aYPvcbjGcJ1Zbgb2x26UcR/1ppdojS+WiLuz
AkX1iKwuJKmjYTEthashsR8VeRMKlZfLyxGQoWPSVhqqkaL47Gv6to6znVmZN1LUrItu8upeca06
9qrIWeDvCZG8xu5yl03FdTIMboK+0JDETWCVo234wVSfb801OeWpSx+VdEYYRtOdOju9iSG5TfPx
a1VQSiuQqS8VsHhmuFXtXmcUx5wkMYaG6TDH5jdVnu76al+jMjurI+wybUbHoKA2zGtZjLdjqN6m
k7rvZ/1uDI1X/KwMbAH1L8rrKMtWs6ZddXaqz8c6xWBTazeDOCK1THHa6ZtR7H2NeoWSY4MIyo2m
yvRYzbUeHREGenT/d2ZX75I+9SL5WagC3t/pJgqRTxNuBwn9OjWNX6hIrsKIigB2EkV8Yme1UwOt
ZXyU9Pizc/JXu9xFIIbZrFFLuWdq4cwkrWlt1gOVaXpkkelq53Tze44UqwsIqXQ8p59lz+8++A82
uEsOqkHDXTVaZdiY+L/pnO7Djhc8H1ZlIh6UXmM9Z47adpgFUfeXyPfv8Na5IQGfqN/VIItMw3SM
sHarTMc0Aq6n65kX03lDXjtlsE5wNYcSUiFlcTMzcVIjpQ93aotnUSTaeYtH2bMCbTVKKmck5gxT
8M+OsIEQjRaM18sznLubcKAifpsaPXoDJPenfPwMa/mOAv/oFpzP1R9ClIUpwjScw3SjRBSci12Q
bTP5VIjPnDC2RtZpTj1ldWTfISzB+djSE7SIWZETAxK8YYy3WDhM+7ELveLwi11LVq6I3A55rXs3
WBg/OXzfyY8ffdDLWEpSo0XVUkYKzcom4hA2hM6lkeHT9+vUW9E6NEvqGJSiU/mmoS5uFjneh+6K
kU2rfDScBk9eXx1jeT/QU2aRybtMrLdYOr0+apwsdfoecWr2pHQst9e+xhiWBX7L9MWUmasTRLMW
iW6YFq4eMLSTV/zcXV/ObpcaE4/gYc7Fr0DTmh2jLk956MXW4uRKS839a5Z/P6cAmo4vEi11O6Vo
kg1bmtFEYsEwG5FpgDQ2uhdh/CKFjIqXryqNirYw33T4R+VURNFxk3abLNrIybVKz1pfUspnrEJc
gcxwvCofp6pblbK5Mmn8QRtzsLY5cwJBgV/fyJo9BZkX5jo2rOeiE+3cOKmc3mfbFptuz9Tu34dK
7ySVj57WRfVEMIpQSVtGZSVXZiL5JRpeP5P149yVfpi2dptutO6uTx7CESvK9FxHN1o+OOe+1Kz3
3oIIkxFeJ/zBKzPbJXgJ8Xc1yXuStR2N+U4DTDvRKw0bWnRB6vUpDHAco7MV+EnaXFspTUOw2mx9
dq7Lm1wLaF8PbmTOrjJTPqDaOXapU6T0Y4Zlrdapk+gaDaF8i1Funcq1m+Scq1rhLXXpJXHImMzQ
RRhl40Oxf3+f3pFhH92ni6oPkEKpMtsAe3b2HLQyHVt9z+G9E/ENq2G3xih0qGPrBqX2WyXEp170
I0Pcyzw4FO0Hpak3g17fSM1GZZkns3C96GWGN+e+jdRHOW83eLWQucroekqHHo2jFeckegjJSZ71
trmCILczhXKtyJBBs5feKhyLs3QJU1rxgm8mohexGudCuBay+roa9Q2+CzeqG6fu+7U0f1HRHzAB
xB6m0tO7aV8ZOPzjag1FzwfZ6SEw8GtR94ZG98Wod5OH+ozEOGfM5V2QYC5tzr1jW2ee5yKmfqrR
KcahHQSfbR7vec9Ht1n9eZcrQ5mmAfKkbVzrrmk1xOntTU8B08QeM3fXk8D/zky/CjW3bq37PFAQ
3UwwTLtjPVv+52XF9x7CRx/lIolY5iFQKQEIGxMeI5uXshPn63YuJcqZKD1SiAUKXcXMGE+E3xtl
uWNyYGruECqx/wrYPLubxjawpC6yKjrz/Dhn9wvd2EinrDDmr3m/bCjrb2XLxmBCDGp2twum8a1C
D1y21qO26dLD79fvrzLcS5izUama0Y2ZvqkDldpY9KRQ0ap0t5OgBrhDou+KLnyQRWVXTjtdEdyl
o4X7X178Ij9JlxqVTTPQpqEgPEsy4jNzV1bWS672u6iW6UYPOwVN3/kxWkm2g0hgC+pfutOfZKc/
Shh/lQ+KF2FLVki6IDfIDJLcuMYpuVNqzQ369Bgk1PhLqpXn2tWoHZcyefj9d/64goE0+eeF3KSC
JUrTrG0k0tqCZpFpHs95/blykhGa4AewM+2/e7o4k36+mhiL4CtES2Faen2vszdrAU4i7U2OrJ1m
nvK4ckvNcNWoOQravDMi3P7kQb//qh9n9srlfPmhLiRLAReygRXijrnuL/1h1mmz8zXbNPBl3Gq/
v9IvsMrKe8zxQxAkD8uMYYo8sZ6vsTi5iZnfi3zH851F1O4339vadCYp4ahsFRddAOcAoWmifLaU
Py7KIxD4+U5jimw6RVnMTcppibgfVbjiSCm1cu4n6g236yRfzkyH1j7GMuWTe/yLCrByyavOskFq
RnU2N62Fh8J4Or+7dfDQygYBzrKTuPV6IbhTlR7r8tP7/atHe7EHYnlV0SqLFsNn+9KhDtgWD+ZM
YQCnvS3gPdalNYOHUOi6SR9uC1O9mcIn2A9fGAJwDKlHKw2Kz+Cz5tav3qpzXvLD889qJe7BwFib
KpNfgiH0WlXbxaLmY3El6Bd3jTDvpED7bL2dN4j/fQZQvvn5erUCyLocKmsDTuUVjjoOx2Zbj+/7
lalEnhxrblk+xiTDn6zwX62vi60Ka3KoCSYrXOPNiVXRlbXKVcanIDTdSG6P40yxuHqqDV8Uwv9u
r7ok9+ZRrzHB3BKI2IdduGi7hG5Zzxt83hbhsu5EmpUSp+4n3/EXd/WS5dtrqHGaVBU2IaW/84ZR
8p5Oi8LpPe9AiNqBivyylVxNC/685j8SeZw+tx78f1J4GKKJioK4/dcaj/1L9jK//GvHzOKsTV/i
l3/5Tfzy9vKj3OPfv+ZvMwKCDxEZlqJpFpr/83ixv80I2h8mvj7rjPHAi2CwBf5tRlD+0DURiwIe
tncDA+/n32YE5Q9FF/mNhilbmmnBhf8HZoSf33/Dki0dtwQjjnRZt2RoLD+/lzhMm0wuxOZeD2gf
1uIuV3UXiaZbir3LD6/SvPKT8jPXjXQRPv15YcuSdNnE66yYl8113ZLkuuuU7h4lnNdAIehU9T62
Uk84C1hFKfcEzIAgUoY9qoIBvg16xLKFyp4jemLGgT8Wqduq7Vad9NXZMYAV04sIwnFA3iagMrKk
d0Ox2qAfO47lq5Rr4C4KRw+1mzxLT2X1GlGL1ev8CqyXh174lMzD3tKJGS1KbelUbnSGynbL5CuJ
/mx0SP9wHJ6gLBsoC0V8sGMCa6PyxTY7WMuZkhK/KKHWb4bGPIH68VCAPRMJ3qsqEVvduVkcv0UF
3IkovNGb6XZg7DH8ncpyksY8jJlxYgTd7flXtl2zGUY+SiuMmxRz0mgNzESVg2iFVYUcT3WnjpuV
tqvz/jL1wjbhDO2wsXjkyFeFGHydK1TzOLfXhZC8RXBvVmnKfmSM1RMj3bxKWb5Mc6fZbSREFIiF
lbwMnqzTBD8rU1Vk8gaEeqdT9UNfk60UTUp3NHUNtnf7nFYYWbutOD4LNb+STMHDSQWqZ/bwxX9y
Wr9HA/85N96XC8YgNFOaqbJWrYvzs27rvJ8kobkXzdYVmfgdnakM9UxLUbuZA9y7ij5ey0l8GvRw
F1mZpzYwjTLjEFPQ7KLqDvTNqp6nAKVP+xRm00OGtaUrKz9iQiQVEzdZAi+SBleLVdgR8s3SVX6M
YnXm8LIxiR4KvT6WwcQAzIBSMI890a/oAD0xl5CDJaApMu3qonCEMQEQx9PBueORhrggi2jAS/2t
qJ0XOJSSGMKFnYEyyTKO3Ah5BUYGgwQ9zbSruh0HZxDyL+PZT9NrdB6Msy+yes405tIM6QHp8bpX
whtLz4+5bFwl2XQdKlgZ6/rOYvxVlgk7eDT3UUyWa8n3QxOupC5z5iA/GrwmU6QeUrlZobTcD+FX
NGGunufHsOKzgoLKEDbWEitE6lYKU0vNot+yQK+iJfiEuyqJ5wd3+WAlBSCGRrqt6JeA1AG/d14w
YOC+Ea1TpVunRMw8EtPV3KMcF7E9jNJ0HU+aV3XJvhspuTXlbTD4pVpAjZuuE/hMTZ1cxeiuxTJc
gWpCRirvK+ylY1Ed9UA4qXPvxplxVUEjAH3nMv02tQVp2jV1vXm3UBjDPp9Ac2kDYJ3Ra6vuMWAn
bIPciRTVL3jfEmPexSkKXx2YWNZsEU65SpO8Bqjgx0GnlhAl5GPjA8PY3QpwWAwpooxzT4cElHbd
yppLHw/8Sp7Qe4vyaugHp+6w2EznW4+IdSjWwEz2lTU4E3herC5gpcpN2RW0pNt9qAzXuUI1gaJZ
bkwc8IsnRC3MkXGfW7KPKWRxOglXBE5LXgkCKusQ1Q9Q2q6DsVqX6ZsFCmNBtCxMBriBr43MV5BB
iDXNtm/xQsJiTSLE/F2JU11h5w+E4w/n5fHPJ/tj6nihhvnzTZbo00scN5YhXap+EkMHmhhX7T33
et93bCkhM7NmzWnVYl2TjlijtjaD8CYzAjpalickFSCN3sWzTSMg8+g0PKtJ7llqDFsPIXi16Cvg
WSugH+tAV3GNpAcz792p7B9bE5mNotzXQfz1/JbIvLch236jD04wn+3+5qGxPpuOdq71XS5qReRQ
N0Ukmegpfz5V1UyuDT1dunu4iDUa9cof5d6dmzGlHJl8sje+d5r/19Vg+yi8RBQfLueugoJThGrk
KFXLbqvl5cqwDVfpKsr0u67W7vGZ7eZBu2rQcU6gtsU+H2xpCCIG4haftG3fmeM/fhhF4y02VVNC
yirir7xI1xWNEq8yDuP9qGN5TeqNYJGnnw/VutDpA+pOVRFlYDxvDHU9VNV67DQg3dqKqRSumPau
XuqHpFMOHWpu9ustqJ6rMqqfpqI4JkW4q9lRccMzlR3SwlAeNdk6xlrzqC7hbqg1GjXyfS4Mt3rH
1yzm/hG2w+GspW8y5aqp9VWYhG95Xvtw71xz7vdiprlKGn9rObVlfbpuEy5CCJSbxV06o8avw7mx
Z6NuHVDUDxJ/B5Jz9RziclT5CzYITK+UBcxP+tWkRLsqQw/++9fmvGJ+vq26zJgeUZFFSdKMS3kD
44UgVEfcVl1Q1uSvvpL9NcT8H0X0vwzX/9/Ktpm8/sOdPhuWf7ITb7817bf5x/D9/Qf+DN0F+Q/x
LMdGq60Qc5wX9N+xO38kM66a4WWmIrOdKQTof8fu1h8yUnHLsmg2GpJ5Duv/jt2tPyRSDBhg+Ix5
lOQC/yB2l89J+n8WhcaxbMGENiCgELmb4qXJHEBFGs8N+KNG5APai1C2vGtCCeVh1CiAGzTadm07
L4kzd5LZ2Uw25/Ufx+mtTcf6ecJx3NiRkJ6CsacdW/VJ8diIZeYkZWY9q3QFjrGoWHdiNNHrGmvh
hbFRwdf3G/6P1t119a2465pv37r9S3VpGTj/pn9b2/9v2NQN2bJ4GX+3sk5xXjb/um5ifO8v2Y8r
7N8//FeCKBt/4DjnQZqaaZr6eQTKXwmirP4hqnTS3+0AAB7+kyAKJrp/zk9Lk2VD1KBOkVb+tcoE
6+wW0BQRKSrrgiLmP0oRcRP8tM50U6Y0xQugyRJHjKldDmxQZZUTQ6mqXT8N86NZqKAdYr2YvmcZ
XmjyAtohoqji2sO2a0GMwEo9CRUykKrHo1ZhsKkSM/UCQ202S9lEj2KwKEQifWutCohNGMWCCEc7
/S8rlWGHwM1CgqBHiccAl6yAdJMNxDZ5FB27pAm2MXysGsGojOERrOi+6AFjYLJso2NpGPS2CkP/
qidBfuiFXnZyVU09VTayldw3zggD1M5UtbnRFMb3iRNelrHvsWX1+M8KSylftJFPEZQRBp6xsnAJ
1UqZI34Ga9GApwiCxqMpu1yP86K/QQgxv71/ljYw0gDVhoaXB+lU5WSRuNzMDABwpmmIb0qjFk51
O4kbMoKU32oCx/GCEGCp3eRgI7U0XvYGDFpglMaENRgm15vYn2ddlgy/dHL0mE9KpePpJHKhKAwc
F4JkWy8oIOp9AgQWMmKSzqtkqh2g6HII/jaWb5e00a/CtstPXS5XzzH8p2dpkiY8XxgcJwd+UKHB
OqwAgaq486wEauGihir8Ga3oPRwToluFPERzji1br8ppm8TnTYMpT/WjJJcBGlE5OHWTkWOyoJC+
nmkU1AQaJJ6BWKe32jCmig2LVX0Ihjw6jqmcIfNuFGA2ZCItzENT+5JUorFuYWwfo2loT5IUCI9D
kCIWXFprkw5h4QVsyhvRyoOt0U6yI/c6bmN9+aJRsH+L50QDIRIr7TXA0ZUIH+iZLX46TGO0kFWo
47VRYNnTYL2iyzLzoypiujfTc4tBHOVnVZTS4wSY8XnsUwUs3YwNNCTXdSnVYLUK3lUmwwpZbHSY
4sTcg/Qrn6awE5/qKJrvY9rNR3GIsFqb/BU1VdOHYcGu1geigDma7K4Xm84rR0kggM9lOumm6avZ
3GzqZBmcWdBTz5qa4Z6Y5zpOqtadSQ68GPD2S3T2yWVRAH8MAeKyblveh8LS8V3WKSBPiQEcz7hp
KaIgdN5rlcQkK4bPf1nQkvnvHkW5492kpYugDtTtnkwy3StZE99kULW3M4RLW1q62FcjeuqdppAN
6r22C7F/+22OTjyz4MCJSSG6Y4bncYAKdqcDU1nNco9OsGeYdiSDwM1jLMZnC7BFqduBVTHvFXnO
v5+9iQe9m6N9QBT9FjA2yNdTTHdtkojrOI3TfTanhKqzoj5kcwwsZhH0bDVmHcBrcENwcaKw6Ws3
Z4gyyrOWnvHZmywFA6LgdETWIBvhhCcu7oxjOE5J5WLFUd+sWmYJyxVLhxapW0ySiN6mhDmZz3t9
6UQvGJlJ0zCsoy0Qnt2CZPGStljlRoDsrXUSpKth5HZZ7lsT8oosc4eKX4sbe2fqb4Z0nYa+FkE2
Hfp1rKNPjHfJ8iJoHL7UKHDiJbeJgh3o1KIJK4N7fNQ6h3eAjbpdF+RlyRI7VkABAKzASzHd10rh
TflGLq+T6XXOojWQuCTeDdVi95bkDuPNIO+s+ADEcmJbqhDfXxVJ7CGRgGO/asIUM2CzQpgCSf66
r5AZrsIZg2TVD4eyKrHMeHHgYD7epPkKsk8h7wyjvQ1fK2Mt9euuvAUlW5Sjk1IM6W1VPKaFBhwV
OPIqsL6a8jphc+7hoCMqUZE5x3yzsMcC/xLU8aoxZicC1NXIOzN6ZKaakn2RlMkP8OZWw4Yhi/YS
oOLWIRrDp/Z7tX+bkvbU0brk+Fvlw2Qno7YdamWHixuksoQ08jbWvk+Mh47JDGXmQTr1rZlu1ajs
vzRETMiAhU5GzyUD8x1HcV2ZUYdWMKg8Jv06eLndylK2iildCUMOzBqnbqEyB1lJhVMkop4LFdWe
8sqtceIWmIqAGHoU0+ygaE5Aoby21m80mSkXUtd+lTEbz4t6WOL5cey6fdboDzAtKcAX05OlDVd9
trgtR56cjLVrxureyCp4TArZQywr34EVP4mF/FWJELtpt4VuPqeaVTqCcqpQwiix+VDHLzC57bbe
s4M41Btqt+j76zloscHuz3fRGDtbg6iIZ2ktj/WuXiCOdS3Zfg73WsZ3VsB1z64HAcQpWiczyBlK
JTmg1V1NYA/m1IpGw6Z/ISEEnNZZ/a1iROVQvEImX01MGA4FbVuN2NasxWboFCf6VpM2LJKl99Mh
P8TSaxXHbtYFeM7Tq6pAd9CVb5E2e3Ome8v4CiQCtsnekIv1lN+BcVmKnaq+Qh72dO12jn2cuU5l
Ps9a7Ev4gXr8GCjkLaqtUzNfactY4A2R+WaGPDfekscabxHVNK1G6GrmMfc8UYAWqfWhtvKbBuZ3
YM6HrlRWsZzsk8V6lRnwVffPuRjXuB+E9SgBCcQoIDNXxLjLemS3eFXyLUDYtHTjtnBm81UxThhU
ZMrhpnJVjqsh+do01VWcXw/KqQCeGIH2esphxAWhx0gDu83D67rfmsEVq5CBnJv8FRSv05jIBQAr
fo8MyS6Fym3Grd7c9mc1lrXKlGRDeo1P3HzTOm2F1hv08kZKHnLtKYSDoKHsRd9j5TsjuIuVq04A
AaasJAOKA0loQ7vHEbRS/GIl4vyc68F1j89DK64wEdtZ52nLY9zYcoleoXai+dhY/mJ6ho6Rbgp9
I9Q8lVqiyGF1lmlRREljvPlPQuBN34Tge19uluB73T3q1UYWX+t+19enWH0YWxdJUTQ0ThShEqOQ
2bplh6ruSbmfpWMKHLZvN2TZ7Jgns3LhPTLTV9JANO9y8XbOTt3/cHdey3Frybb9lfMDUMCbl/sA
jyoWjWhkXhDakghf8Pbr7wC1ezdJqcWjh3sjzokdHU3RFICFXJm5MmfOKc6f0bhreG1qpBLc9CGY
t+9WcRT2yX1366Fv/h7nh248A8WWQjl/D2WvTXwCg3iUhfYiVxjjAQSRpZ/kYid/EVAGQJ7TmzSX
6KYCLdTEEcoJr2foUbY+KTMjCB7JZqT3l8NymHBVG4W57aAz1jKnx1qLvQFO3qa8rKvThsulDCqO
j/P4MLGDhD6o6kM3fUIpSSrDee5JZxK3RlETFkOHYV1HKENzqaCVLoFfG4EgXBZw7mc5JPztQdS/
p8vZFWlCmtxsvfaEtTutuy4S02E2zpnJqRG+sqv8fAlznVd2F9m8uMNEPbMFW93MnjHdbehziBD9
lOnNZj7Ccwe5iJeNYQXLQcJDgLHLo1HKIdigHuhjZmcQpX0Braxizwz1zfP5g0jpuEKVJisdYE1O
mkC3ArZx8pg3cBoWBk5lBx77ZbwqK7gbhRu9+Hzebjg2e33m71R06vxYNvetGsqbzlBOKOonOf3S
5p+3IvNG/Y1Sk/Q0I/zv8+/TuYRjmCWJurkfhV+XEjUIFRJFqksUNWMsNu/m0lVNUy7dzGqxLbjH
1oamyXC+6tS1YqjREKfPDCFZDuQq+gWD+o0/6QoMOGdp+ohauBkgjzR+1PJsDjJhmAhSpfyBwdZL
iAkapxN0+ZZPTjK8vWBe6aVUXw1j1oXDuVcP6SzOrjKy/n2XMyo35bxTq5yOqFOvLqiSz+Zw29Xy
oanYg9uerMG4282DP1j6pSFV37J+uTVRnbFJou313LopEtbIuyhQqbP2tXE2YGCG4jWRln36QHSS
KQ7h9cap9pByV6tvQWAoQBlSyo9Gvw1BpZ+RbJDHbUY2W6h9cYsMWM+TfZefhGo86WDY1s+reC83
3+QCPWXJPA3V+2StjhQX4EaQeZMFVXWtGT38oWaxd9K7Mib3b67K8nwCEQSl1oTHC5J+hhCRapl1
ziOLGKJbtKym8/3AmzCGhFGnFZdIc6X/tmWXcC9fr+qXKh0ittpNmZHThuM5EtL1gzTPfl8VwW5M
46QHU3EOG2jsx3Y4bqZxK/UwkWzwe6REwPyubgt72uLPad0cFfD77aO+QblhukZ9H5u+aJCAWkTk
Z2f66x/G9rycLb2swZg6FRiD47dCGUbiZPC6gQqLZVd2Wjsdc2P+YE1ogGhNSal1/Ey+uZ0KhAWC
7bxkiHEkDbkTrRZyDdFPGrX4USP8o0LKf6+A97+scU+J/dlb+6nGdzdOX8rxeQXm6Q/+rvHx4t5Z
MqQuvEQoRKUdRPF3+cXQ34m6KGsQpEG98FRi+bvGJ2jv0GClCKRrsvjECEhl8F/lF0l8hzHoNLXI
8MS9V/knRT5qPM+LfAaIAZE6I1z7KjWdn4S9ekNtBq3RhvuxjEunWkf9uCDkdqtVoxpmY29G536p
Aj3p6muZKs2BDLzxy1XfrnuFMaaxQBGhTM9BkjCLb7JNLixraDlYL+cLY1fe0In8odr12xHqO7F0
ofGML9oUQPCgxW/io188zk53uCMONEOn0gX74VM/8BnwSFQ7TQeVot4igZYwVXNmusU0v4pzLkTP
XvIvtuZLqNXfVzJFSYbwEZzDXgd+DnEa4XrJ52bUbuWq1Lw0XcxoowgTnLWmOrZWqp+asVkH2+LU
+4ZXePnOni69Iys0JjVAVeAjXl46NSmPmJUY32ooHHrnrU+OML2oF4mmr29EwZ8uhZFR4qNzbEms
5uv1zLGbyWL24k6Y9cFPV/1LpaciPUVJc36/nntJ+5kl8lQKNXB4SdgQtCAAy7x8KqMWdSoba3tX
GKJfJX1kmppvbozBtaIHg7dP3dvWlOicFM6kfmhF4UaiZpXn1Ey+VMZ3VTWJoAyyzcNhra7FLnWn
SY0qtfKr8pbi2/2iVQ6zuyHDQ8e8yo7dlFwPqUzSKEtv9CFftuj2h1HFvbIPDFrkwuYr4Iu5rKgS
yOBApGIWfEPs6Y3FTLlU4PWdTEW46ver95M1UjmVTehD4f6kPa+9WrxmXowiJ57eUcgH2BkvW4iy
UQlqK2aAdGHkpdh55OTuTQt52Tran5Regwa+ULboY8Af8+q1wfWjW0mm3o2GPnvIUQAmlePqjd32
qgu5X8aU5Z2ERqGYbRHHXl5mJ7zNBXgF78ZYYrRfSIsQ7pMtKCrDWSWzBH/HFEScWCTmnZ55fZzq
NvlF6+RVl102aG6QiQfy2IK2+geh9d/xAypMO4Ys/2jGWPRcXviBZmnLsc7j5D6LE6CX5TBeGZKg
OjHwGJtCBKRVUvpeMATj5vcXln9aeaAqsMWqTLioAL2UVzYmDRuMZrrW3aOdsnVnJuhTioLGfL5p
+/VDp0x3eQlFu4EAj72Wyl8D+jOz0rlGpcawU47XsPL09rrCtgUWpRjl74mkDDaY1r9qfSPV3YKl
aT2ImN8w1lf4bl4mJLhgAUx57zpaorW7gmdeWmjoKSTbtN63mnyKNz2gmO3WpnXZW/Mxhw1Rgyon
E9QP0vjDjv4fJDH/03pGT8Qg/xjuT1nKcZy/ZMPzLOXpD35kKRAaYz7Kj/7Qj5bijxxF1d9pbGqS
GBNuyh/owr9zFEV8B9yG5AU3Z+h0Iq1/UhTZfKeBtkHscMfeWSC3/yRFeX0QMxR9lxYydOiMDQt+
w6eD2jNzWZnTU6tOblxp7imKJhO9eUfLikXtHOQkrF2GiFLHBmDnvMxON+rzwlywSA9njDtI76Yl
gWuWwFHvrGw1imh6lsYHuV7HzDlP6J8xybN0MRqcabM4xAppYTgKnakTpIDImMj9GQbyTKnR50t2
JLlArZ2zVTFKCuWoaTnUYrox/TKZ0o0uS8l7MzMZ6tkgoUJ9QW2YPjLH0aR/KpX7XF8jgcuGwL9w
FAPxHiBY7TkadKSu4P/rODnFpm6G575ML7oMCnOgtnKaQJOjZjska2M2Xt6MFNLWvoOlni7X6prn
eEDPZs2uxG24RDDJvFxqUTjJVgJ1IjV7Nb/J4zX7lCyCloBgW2cmq0lbaU3xsSnz5w8K5KpnKC35
8jzEKmNEbaWu7wkojJoVraDcxjoNpW/WmAvQrqJGZBzS80zdzpSoS/il3um9B6wydtsVnS0g8DED
sGYKgfJlIqy1ZmsTnt5JxVqWLscp3Uwwk1VNyVGywvM2S/j0MVXSm3Nq0TQTE2UI4YAe4uuha5XR
m5VqOCgJomEMenMYW9r2rP7Vj7V0BTM8StLnxNRg3LPy61KRdQhUWWU30zP9Npak8oKz80RkWLaV
707dvMHWqzB9uC3N17SAbIBCqaF+1BJ5DjmEtrotrw06QCskqByPt4pltJVBqx1NPQDUKj8YRRkD
tdPqzckTYKSJOIqaN+YUduJMLdGfFJHCkNblaigtmpXjvOkTFDldadn5wrF/BgFnL0WfWWBhl+4N
xWfpZX913z6kipw8+EImI3k6Yz7bPmqdWpjJNtJgyzI/gVk6kCFcbG2CCzSThblPjmU1r6lV1Eni
qA8ZPsqGeqjNSnM857Vx0xg14qBmQ0vlLJ3vmUAvXHlNF/f3Me1JyPnfNZe/7xWMkcHJZ0+uX8U0
dVhjsSiB6SRiS/8szxlFvI6z3jR523lBqd7S59FGQLLswkbuPyP5KS5HpZELy1PafnJBHCOJYiEW
0kGXjCiUPujJo7VQx2sE6xwKVqHeymlBb5DMQOocAwHWYyqDxT2n50edhhvTTxAcsRn9c1o1tT33
Y+EmpF/frVXLb5pmGz4j3ke3BaAQc/R1LKGW06dSTBlVEL6v6NPdtKpZXla6VRs2VLENFDA9H+GU
HZ0lYFpxEoxVMYngI0pAer9fxifeldfLqO8IMXDXmgVi6mWAzaXFmGa0SNy8yLT3ddVNH8dWvy8Y
8w3XpBwixBcY1ewAR7ewTPsophtfSnHsr9F+kCJ9yob7WEoFeG2nlb4KCF6jHQp/FeTpjVf+MnN9
euNUnAHq4d0VqOv3E8gz67Smc9pAPjy6WyePH1LehjfnzebXoygHKPK2kELsHOlsp/qtZfrFzuAI
JZm6DuQJoPirZbKsDkHAFfwk8rF6dAYIHUo5yqzDtjZ3Jlpauy4I6mpZX/lI0zD3WaM6tVm1X9Xb
5qEW+z2uEuFCXeXK4zgqHxa6sW9ozct7BvnyZXLMo3ywayWDtHldAzJRI6tqnTlPBt4JKR2tYghS
4ttm5PDtbIjYMHy7rOku3iu7pR6PXjwhEoZAzkeLilk4Zbr6UVZxPUUrC5ddjBKkZE5VqMMmAYlH
OQZM4EvwN8Rp8uOs+kcJ1/+0VMoyNEPeJ4r/czp1+/1cfEF2tk9hL3+eVf3zt/9C36hkUOCnFNlg
EoJTzD/lH1l59wSnpNKjUfx5hr6RNUpGvHGO3fxEBxbz79RKe0emRTYmk0Aj/aD/EfYGE39hWz8I
OU2OVa/Oi/S5VANNX+WUR9mxPfSXDCOHNEwhG7HNk3zY/6lempe6ZzBO7PcOcmEH6bYjU7mKb7JL
VGK884lR2ZAOiF95+RUV7YPsIC1+yC+KL2UES62CcMxqNxFDSsfcS9zF1x3Jjx1Ch6t7+mGKCm8K
VWfk68WVg8Yt3pOVwTS3HFNnddqwPfae6kAtd4RpKRJC+icuc71hF63e4IuBemiDIsjd1RP8OtQP
zW1yUFzJLS57NF7t8SS5TdT4jQ/+8zKB7NqWfMUdQtUVTvucfGabF8XJCNtL+WBc6UF7uZ5SV49U
dzuUl1k0hY1PFzMofdUTQrpth/omvhYu0SA7WJf1qQrbnZbOyxzaZBHD855w0gJ06CITahPEdU8w
JTN4zSw2lD738TX4EHv5Cy67CH4KL+djFb+3v0de78b+XWZbjhTobubJXvyoO6yr34T6022onhTy
CW4bKC4IJLuOet8Tr+OL5UBXMwD470D1HI7B2U392W8jNFqD7ji6UoBa8qfuyEy5rzi6qxyKC8Ob
fSMoIimYr8/hxF/N76ub1N8C62ZEOieCQfAGWnynCOhTqnYRTA7Q12B1JwdCYjs/pIf8YPrKo3Qo
rotv8lfr8xDW3AfSUPZ45yTO7A624UyedugvZl+/qiPVRyfVK4ImpL7jpuF4YdzEV+sFcqeu6Isu
CoR26+pX+Xvxovq2PdBqo7eU7FzJdjs53aXodh5STZfWqY+KW+SfvTZaHhHkc7TIcCs+hCz2OAUg
BgINgsHBk7zCz09IFbplEMNyQQ6EFOmtcW1ENORZ7SxAENrfiuvzAalKNw8yV/yAsMdBPs4fGLRz
4YngZk1v+JrxNW2WUH1fHZVoDOlTrJJjXqrvpWssMYi9zC+9ln2CTt77b+OxvJeus7/YP/xmfgMh
T5DRSjiogeBnV8UtzeIL+VBe6Kf6aL7PTwY7oLvIo/RwPqjH/o0skDLQf9jqrwLsXKPppdetdIJo
3oNfY/EHt3GhMgpH27Ab7qFzHx+HIPMNdmUZNRFnfw9qHWdwhTsG5u3eq76Ap3JKR7TBO/izh8iB
U9gPmZv5qJg5gKRgrbezUHK7iB3mF6EE7aGdf808w8OKHHRMHBSlfcMHH8P7VrDy4agmhypAhIn/
BjtzoPsJlrC+0Y4w7Hjw6AZJkAXZd+isOWZo6I983/6q7qdwOEJqcG/m9hJmwXrVhMD4IYh3puN7
wTEc4UF1O743hPGn1Nej8qhGhRO79b35KTnJkYTu94WJLZ30KwwySiL5bnuvvTe83p8OxokSYRJN
h+SiPG6Xsd/76pUWKPU1Gk4elRMHNvfTEsDujnkv+37wJ8e0Jb7/CPLP+fKptL/CXunN7AV6wm7v
iQckGu1vjzl/P7vsSX43dmAhdFa7cvkkr4+0w3yRh1OQ41jNyzYcYMXU/AmqI1tyZw8IgZP5pLZr
aGGPwjH5gMW5jfNFt8UIknYHalNu7hs+/EINeCkn4Xi+2PzJ5dDk1N54tK5LR+NfxeXmD77pme9V
pEsDmEoxPTnQXDA3LjzCXulxBrTpk12th/265Wn9K7nSExtJoIRL5l7tpx5bIGrD2lMDOnje4hY2
egcu+ooOEA1H9zp3dlRHOsL+7qAs5Bf+bM92B8vnSKjpPdrn9mg/JkSEycXr24t7jjQXwlTkw6Kc
32pD8X0b5hD0GJ9ATWF+2UeO/GxUJRKIQAJmnPNoUAa58XsjglHJlgMhbPiQ9NDcJ+74Vsqo7qDs
Z+nYv0Pm/v1niSrqbAWjHqZ4oqVx2ghlABEClEHcNqwAwfBOOnfzO9d0eAKWcnSMi5Q3wdgPi4Pw
oSu4t9DL+KOn8WXGajxAvu+vXmV/OztnB0iTzYk+4AzDhEUTlIc1BADBNiQF9fctS//cXdzPZkC7
0ic0Q9Sa+4mHZDM21vnlbO9mswdJfuAC2HCg5/cm/loPJL+LzEOMo+p8E1ceeyVbWPw8Hspo/8A+
1LEx0akuF7/lqxSn2Xo9/41eB6NJAAusbTr7t7CgL7s99yFT1fwbJpyoeK/yQS00cBYmIXOZPJqd
hYfdP7z1pCjHWAb3x4PkJAqMwuEMUtd0SxfhXy+P+KsTA/mOYbcPI08nYz46D4NpXbJoBHHFx3vx
5OwNv/6S3/H5rCvCh07s6Z4YDD4YTE9yKy/jP90hqzjweSw3NiVcl/exZ3ott7Q+8lqcxmUD/iWK
dnIbJ3Z63x9bbEcNNhdqIqd0EReOKt4zFGP4To6DvE504lzLh7NUgrNWdswAOCq5Cobuit7krmyc
1dkpdPef7WsGxxQvM/ETYgczmwRGDUPm3I3j1DBlRDUIQbsp157F30luzUXOPEMFXemFZCMV74J6
43H2VGnw0a0M8QS8vRVrYYH4DcHeTa8O98U7R9tH8zQfVpaj565N3j35RBAHzUUa9Yd2N1RXD4Sr
/U0b7hqe8QEGBpz4XVB6nXMLaSrPgPiBfXYeAaLYFreb4hUK9uy+FiBruGnkOZ4WeeDmC/4nEgdE
Mhq4MzYMltsJ5eMQ6KEeDkTlzI09KxSO+KCjcD2Hfbhix/u1VLK8fY8kbu6lT4aJnDlxpuMFNUGn
O0IEKoyryZ7BzttN4nyBbwrL3ZLxLiImluI8Yq8LwLW45B0O+Gin97aP28c02kEIbgoxcB32CT7I
INQb2LcaDExKYnkiUbn9i3H+qPOZdeM7aTCHArt4t9Ts0gwgSvaFsPPD2JmPVkSjKdi3w8CvQJVo
K3jgyYNI0k1JdXHRjhCm0fBVxQ1bF7uvQkuXJZUx6f1RKWK4Z1YUiAyXMLAqmbVcPVY0YEvdmPfz
jXqJT+NdV650qtx9vRtuRnWKkPTX5dPswkVTEa8XO+RIPvAo+xygUG/DicXvoHPDhsTVBzPvZb4E
zokvMTFKyBOjkZ0Q44sU7moiULAvSKPFwDxpX3W2r3izBiYhBki623wRghq3hs4s279+wALI+mWe
pCe45LwbkU24X9myDR9dGxIJ8leHtC2MXaTnfYvnhHsKR2B6llu7JHNOySIPPgvrigflybeJTxa+
+BIea488+25dHWl3QyKvmp3qKOSfDY8Opv2ih+mNOJKypq0z2bELdtOTfOjAZv7sKepxK9MFnWl3
ssGe2MX79Ft9uS91e9C40ZJlwHvy88azSMnNIL+LSbGbqypoSVRSlwIvSfd23PTT+aq6Wb8v4Z4o
oL7mZaQrXYjnYKvHgcSvWZdWZU9HTiUeGpZBcUoOzBfkPvQbbn0A53soDsmhDsr1AkLy9IqR3lN/
6r8D+bUB1wQAeh2SIIjE7sEjB1nIvfjAfBzmP30MzE7dOWgdlEeg4p5sFGTIkuqg8bNwI4MiuSXP
yTlSZHbldGRFe9olcD4Bjbf/5w+2+E1wEs4MltN4e97SeLwgfz2Nl8uF7uS+6Q6wZlvBQKK2AGy1
ez5ehgI88+JIiR3rsgmVAKVkUvbCEaPmqF3GdyASB74Qb417Ck1AJ/ULEjEvZe7OrgJgMo4W6IrD
KcDOWBZIcz39bsKZRMMxjup71hdDAb1yNXIKOR/l61mwzcbO7tVIJoNTPqvfzDv1OgtYHn43v024
Hf1T9h2euqN+DTbIK32QYxkypswTOMkN6HevC6uAEEmaueehdOI1LwkEj66gX5EpAknk6blJp7SB
zbvQog9hQSalBXzDbp3eviY3/XL+ApvbsHrFRXaR1Jxr0KQJZr/xSPNCJCXVNkS4Oousz5pmp/zZ
R/k2BvqNnfBFfccvk/PtrxdeSR9hBo3eIJYMcMito/0cZj29N4sPZOL2i7ochc+kpxig0F/EIRrA
dnIHUk+OMmZcgtSvnbObf0Iz2v268BLjr7M7+4v3haFGnEJnm7bJTuQeDcfw6HfYOtbVuw22O/Cv
1d3TUKaRbfUpa2RkmEsw4FvBdsmZi+Ol6KKa4UN4yXdXAYjvIyBMb2idlYpoxu3IX6soizovvdw0
f3lc/c6Ludye3cI4vnD8arkCqre2zLY1uRJ3YVsMyIbCjezrPtzY3AYKhswc28m38n15uSaB6tcE
tz2tIwnCrcXYdBNyED0ZHtaOW0/83KtcpnK5luhL/E6DbyDm8OKwXefL4CgEWm7e2TdNw9UZL3tK
ujN/T7Z3494Om3P/mAd7Prsv134EQRqX22GUlhDdOOIHAR+l29MBYkC7I2TvNzU6/D8OSGahcxwS
2TkHAZnvScQdPpm4aOD/4bkhk96zOuGYOwQ1DqNnnJ0LsyNh1Nyfg0XnGBqcvYGbpQLKjaDDh5Pf
00FIWkl1c8/027sa529FZQBn/ROnPQxK/Cbh11muNB5ADa0DdnTXRqwXQQkI6sPmw4+OUzaJvWBU
AzNsOG0QSIO9/jIE6e6GvX2VOQLglEkLLiaY4h97MkbBR7jOoxRLbCFxsfkDbphEyk8jVO8v82jP
sU2DtF62OYGo7sLDQDbuNd85ahNh9uOiQFbxrMr2i247883/If3ev/8s/WbcIKvWupFOJKlkmhWN
HgpLxHXvG3mKB2XxSgw5Kw4HAF6AQWYFjp1aEJUjfFqBB0SOgFAHNTuJyuYmYXm951tLJO1xIUhx
cNSnqCWRmdrbVXwfn+JTd2FddRFN/AhqHSocFhlr71BjIqmeDxo1o/6hvFs9ph+imHxvdnQ8NvQg
e6EmrA79qfSnI7y4/A9Kiz1onIajHu0ecfTN22k/tnGH04flw2JfGwShKujvGbi66k/5bf99DwPS
3R7faFIiw6CFkl0TAvob47jYXyc2d0U82F2VZdNdI/Tj54l2KuaculoIc8jGj+E4wQWX/HLupgz8
k2fucQWJ0KOAN5Rc86A/SiS+1I/cZsBpA+hl8SgsUaTbQ8rGwXImReX6DpUTZ/VLLpG7/Z60+ntQ
YtrNn13cBL+z52jxzeLv2Y1GoYGs2ZYfNnfPDfbynew1fo8j2xeCWBoIge4Dw356HARrSApb3BRv
BMC5pxKdgYYfzspNr7Pd7ZpS1oRHHwAXEzINKgj5ORgpEMG5csuj4wYY/PCmB+FmY6Mh+e0ph4yj
vkbUnkICc7DiLxWPzcE5K/MpohP8F/Kfzt/zSNjgyBD3HJvTAs8AGhRYwpV13ZzED/lNBR2jSKqX
n0AskLfunkpIHKciCWscmFEzTLBzd5ukueZ2HLWOTHf59zQPnTFiLhY3vdrlzaI76aHbHUi4H205
XLNnZ94jibnNBrzaU8SR/GdP8RSvRRwjtZtD6cFL5+yJ4cLCjRGhFV/S4DX2lK4hLaOSQ1LXKBf7
ocRgP+ZPngs/doEW72VyPbsLPmkvOVS4GXg5yGd/v1uZVP4Pu/UVwqMqGq0oU9M4xd+lKzRja5sy
xJ7v3Yvvt1tk6yGN9Td3T2RNXOOeWkr++Vq4mqkyD5+0KLvVrusjVbWb7Wt5wfcf4SXxlZAY75kH
iCX99AoBY2/PHuJrKM1uwUEfpUA5bI819U2oYp3Nk6lyrn4W6SSGwwUHaNIYjsbRRErMIc7vwvWq
JNfQr7ujcb8dqO+5fUTQ9IpDjYlkF8gZc8Q8fSI44vpd8RLVYuzKAxIfydfyp+FQXRCFSGhlYlns
jxQ5W0oTethH1o2ZuPNXRAnaqPXR0zlaV2WEf8eLUz6n8qZcyZf90Yg4env7AT8PrPDpFfxR/+V/
GR7XMnTwIHQy/nN75n399Uv/X9++/9dF9uX8tR674WWP5u8P+LtHo0jv6D3SVmGuGTiSjrH+DdHd
fwKFlgzAClEAuKT+GcNXjHdAXAxE1uit7/RaNHb+RujuP6KBrdK/Bt0LeFL/I/jLvlWetf/ozmjq
PiNtigYkX7QAXwY+AMJbLWhlfZNUj5C+LyJoF8Zf4ABwlvLs1R2jFCmxucSnUOU4A5x/tnS/iLmv
ybR+uoNXEDeGQQvF6rgDREbAxC/MLnIShIZmPq2RBm2T2d5k4+dKH5xdTMYSvv3/teHnA/7/5wPz
nc33b9mX/wE8ALLCUv9nK7+rz8mX54b99Ps/jFqQDOWdoRiigeFouv7U4vth1fzIegeKz8LWAYHB
IYHt/gt5LqFTz2+jbw9x3I4boY3wL+Q5fAHgzrFowNWwQ0BU+keGzeZ5Zth0NhEqBDhqQs0EB4Go
7A2LZxmdUWS5lkK9dL+YtXWhDjUeM68E95zryXutXKYQiu7zncqsdQKXv1Uzd4+i39oJDCGKU+eO
wyZxiJYgKnq2jL+w+L37+e8tt/dcUUGkmAsCX9x5Ofau6bM7q5ZGTBIGdO5jMe3cmHkou9Vb6brV
p8LvBLV8AxD500rs1+N17AwICpd/tcXTSZ1hTE2m+6RnGL6cGxiY8v4t4bVXsMsfjyUxZQT8kg6y
+dQhevZYadwUUnxOp/vGKArvLFhMYoOAgCE/teb35ggUK83N4aKSdZqkSJ0z6dON179f25cdZ26C
iRYd5CechWB5Mc+Xa5sVudozYV8/nM/zGvbDmnxa27V0zcocPwhqg4ZQHcc3cluLN52KWtbvL//z
Ipi0zqFOMnRmBBh8eHV92IoZSq2lBXybNTtoA1TOKC/mtSIO0iXku+QpWi7DPMzQd76oH8eCWfff
38NPr5tZMkArELIapgFNy/7zZ+/hPABc7stkeOhkmXpKJXPq7Az9javsD/LCiPersH8NmX0Gu8ar
B10WZoGldBkeWl3hBIMWLxRioxZ0gKffuNSrMaX9pTIfANUbu5gTm2y+ihBbM80SerLrg6KVW7Rt
iRAINQ1XsTCtwyQDTLbrJpU+WoPwUZ+hLRcyYgpw7ViunAyBlDeI3172On/cDyFZMuDW0YFWvDos
qkbV5tXYzQ8wZH8eGfP2uhi84KLdLCXlwoxJ7N+/0p8XG1AGjDwwZOEbVemVL5PNTZ30plwf6iWn
gmDp9IBkhp3TKnvrCPzTpSxkWiVMl8kMDZLOV9YD5dbakw5MD+XINH6VqYASrSn1FrWX33gq4sBL
E+JSwO3RhJVgGBVf0zifmzZvUsh7HkbhXPmLYQmHeNRJXjsNVNmqi55kdHSh6krx/nA99ytDSEVC
ZkjY8H5nz7ZIPowpE2wdbIhoyobSMAqu3tfAMLQ1feNSPzl7LqWJOpgfQDc7x9nLSy1JekZVQl4e
YjW+MPriozQlpb0YGYPhvfLX75/rJ8PkYsROKBcgutFZ1JcXg1XcKKcpHh+KpYGeWTMMikG50YfN
WnFcy4QKuU+zdv/4qpIGrpohVuK3Ib9C+3TbVqxnIxUftqKK/0KU+6uSdUAfMlkIhRECbmMVlMff
X3Nfthfuh+QCkiAdaBMPq6ivdgR3oU6T1YoPU5JMjjXHQNX4gPCPryLLODhmbFQyXutV5ETI2jK1
Id4e9D6lNKP1qCQpS/xGfJZ+YSOsG8k3mQqAeO2Vf4vXWpkabdIf8sY8QfhmN8kuTdNcl9l4MXWe
pHwaDA2gBzpCDws65kzHh8uw2npC6rA8/P6hf+EB9ixBY1OSxpG/vTSiFsY/oawr/cEEj9VT8N5q
ukfbWzNFv3xqRpcIk5xnJIiCX14H3P3MkMagP6SpK2fRXNrKMTuZtzOopRsWQY7ar0gKJt/gsIit
N3zPrx7y+cVf7ZRaMkqr6nr94WydVKBCxiWz5n+6jjJUaoQJZZ+bYuDy5fNNyvkMiU0OcQdw4qDc
OibFCgMp9VIr/thOMVI2PjmlZOxfvbyUMMMRlSI29tDO+uwVMoBWva2bN9ZM2c395aaTDZDeyHhr
Ctm7qry8jGTkXQaC33owzQmheugrh+/JXJ5jBgWMnApR3eU07bRzETUDeu6tmSy8QKWoUVdqVfUT
5I1WaUuxnhZuLajnb9AzNVA0DNJWMYOQosuzmEVG9ViDQNPe2qKcHVMZ1qPatNM1oxfn1Tb1wd2Z
42p3HtGaDJOsxUx6dYhFW5lS69GEt/QtH/ezv+HRmZNmpAjqO/FJiuBZxNCYhE42kNsPDE3UXoPg
iNM1/fxGsPg5fbRk0lcIRkVGUaDae7Unzoood7LZWw8wo1AcjSE9seOhNuSDbGVzpKwmLA6rqgHC
HWdxu87jogD90JfVGxoSP7skdT+fKTLZjcT0zqszCvwARr9kcMtDJgbvP+JWriwWRSjM9dkrwLe/
4QN/Xl8UXaBCgCeZeoim7vfzbH1rdWsrqRuKBxHKH9fYkErRKyYrfr8lfzodwFbOlALnQeDrlE5e
bUl5keC9ZWbmISVWgzdSGg0RnjYOi3nSrs/J1B2TM3qjSrvQgEmS5g2X8Mvr74dSE4/HKPGrp+xW
TS0341w8MJKUXS4VtAKCmOhhVpPn6JVguSh2G3T7awE2Lil5YwNLu/m83MA8v8aoBuSNFtj0V8+/
lLMppKmeP5Spas+iEBBhKU0yDeEtCqD0PIUcQl/j/GJUSB30divDdpXUN4zrFy97hxgzVMgsDvSA
r24jbqV6UGJeg7l2TNuaiARKzbb+uUntM8VkzYyhSxwhXprUjDh22xqYVA1PsdeXy3JoxFy++L1J
/fJZ9lFJArdF6H6VIpRzZZw1syge9J3MZp5TUD+V0b/x5uRfvDnSOWYJ9pl8krxXQXmMpyGeJjF/
yJql7G1Zyovvg1BAHFIaWUxDdW7TUwmzzr1ezeJX0eozBO1iWhDn+HFn43s0xFEABDcbFka3nddH
qRCARC0wqe3ESxCf/1/uziM5jjXL0lvJBbSnuRaTNmsXoRABrSduAAi41tp31INeRW2sPwf58gFB
JlGsUVdP6jELJFz/4t5zvhMlGimOCf3VXqpK+/f36RevPhcAzna5gmWH/vlpgI2GewfX+TabK6Qq
Bh/46FNfaQRJAtcjo8P2i+csly/KHuD17w/+8w6Stx28PetE2L4sso5mroJgwAiOSXybw7vwuihD
3Kn3xs7yVSSapRSvJ2WJGy26/BAXvrwm0Xq6HH0RR1Pih/+F9x9rowWYFTClenwvdIo91pDl8a2V
isa2EaNiNYRqvv79RS939OhjNxeg8vtxFkPs5zveW8ZYt/0c3c7mgD41GcNVZAU01bOMTXShjV8c
7xc3GQ66xC3mqwOrebxa1g2l5hWtm1tr6B9KAxFCEcqaPUg6MZGjot9LbX/fq03g9sUQA94SCd4W
++ZEqYvkT2dSSi/4R6klqhTfDfCYn68+jDIjjae8vQ3AZlS26LfNjv1R5gVwNte89c0dNy5f6YGa
BSA6g1uyTL8ErByPDstZMI3jNqMgwzb36K2vBJ5zohjtUikwoczBnmJVGpD2WdDMFcnWynKqGSoY
efJBk/S57ZTp2hfk19zKzoupvZy02vqiRrZ4TT6+GYz/S0mFmAkse2AfYXx8mmyxUhK2SJTavcEU
vw+6Mr7Xm6bFUIiBCrkjJDJ4OHUj5fY0TNohMNPqXq8mtbWleNYRgaRKelrlHcAaqRWJPjdS5CRG
qDR2P/QNPWN98aHOQS9dZyo5DbYwhcCG9DlF3pJa4r0cLPbLuR3y68oqJJTf1HbOm6GRLqiwZYiR
FUz/clMqo61o0BicugiqxyBKw5eCafQ6zYpYsau5yfmU2Z1NQKTmuLVlza8u+0HIH3P8d7eTiTcP
XGYRorJU/DB2JD0On2SxhStsholF0BkEOlauwUufKTlDqyYXz8o8FdeFFCrfWkNQFDtOMvlZ6U0Q
aAC01WfJCqoLFQgSQolcC9BplCIL2Zl3aR+1SvhSWgb6ynxgTa4A60Tsgx3sWmiKCcFSXJIzqYWz
EC69lfhBzDP/+47gjxpz/zmczn83+xST4Idx8Ccn+tUTxOJ/7LuX//g/T5+aF8s/+9G80EU6cvT4
6FCwWyKZgw/gR/NCl/6JM4rFEdUaaAt05/7VvJDoT+C0EpcSC/wQaCL/6l1INENEE6CxTkGQUBiO
9QfUHOVortTAvfA7KDpgUpU1LPCfv0+Wia1f+g0ksElZ6VMcWTDfCKYG9bqzqlF7IYSguhpCq92n
Uj0gCVYadDdTcRJpRv6aRprKZ9Ya0wVcXVO1tUydn1ozCPfQJBHt62KMKLqoKj4XP+zO5LHeK5ml
nrMisJ5yP4rOg8mfL4Uokhz8ziEqwinM4M3iIbcJcBcu/KoJHyWSiVfQ6ickRlrVM9HkF1Eiduj2
UvCMYxt8n8f/6K3+7/a+UtigTLUUN/99q+38SUgj4SWMnoSm6T6+tn//6+/vLr01TLdL5hERFCyf
l1r491eXn3AkFla8pO/YbF7Pv2AKpC4RbQDeQFlKg+9mwL+6yTIwBYOWHXUeERgYpdA/eHMXg+DH
qeVv+8Kyfv2wf7NwscclUT2bolCjta+TApILEdJ1ea4fLThv9ihbRBBRqtiIRUQ4HvGeHrgAdCty
KpdbfEQzZnEzejL6GiyhOLL3VAttF8zpfTxgxe6qBpCdgcA7z671uoekYNYZznaiFrQwm3iXy9IB
FIy2LIypuCTWLgxT4zJURgHZOxPBumjMM8Hvhn1qsTHQkkS9Z+qllNBPUWf3nPyhytNHGASmY85M
Zw0fIqFFUByZGq8k7Qnqc+300oQYOmpQzleqk8tD40pNA0ZTEYtD7ofTpih9Mn6htZJHl3OWE397
o5GH9KJFuX8VxrVERrMUBPth0vXHgFL1LkhmwysroyK/Cmzc1EzZvk3p0rq5kkakPPjFqxKr8Gl0
JdgUglGflFOev8yy76/qWQ+uQRAYt0Yr6eDuxQjQbFLvBEuSNnkQKRdVMSkeAqd5leKB34USwAHJ
mNgIWyJ/TPyAmZz3y9GN3CKo3pxZEbTQuWX4gDac9+B0CHKM3ZLab33NR78FouqlIZ7CtGPerdQO
TRHbuggVtOJm7sji0z3NapS1quZt7LZjGh/6Mi8PUKLhk/p1vvEjTUztNGnFVahD0GUxmB/UVpc3
ZSzGp7pZ93dd1JdOIfjGJZO3dTbRZtnnQdHfTEWa7upCw1BCwq2bZVl6Rh04ObXGCiW3rhZ71ZdJ
gC4lsAxZ6/t2G+DsGoowPHTUyJ027tGr60LrEqJQ2COpdDZsGskTxWoWKHXEkwjJnEUOrnXHHJWb
TACg3ljmdDv0SvwchHV50KL+wsxKPEcQEkH1ReaZUZNR0sSE6fotj0uRSd/0p+ZVy3z8JipJRUYI
BOJ92PijAfI/N+3/WrWzHOj/sbQCXVuaynBelhmXwgncl98NpVv00P84Leq3Ik0+DqS//DU/FDq6
8U/W+iCmVJVxEqjMX2OqtPxEgnGwNN7obC8/+UvKAIYGSY+8UG1EkGLQo/61HGCW/CfSB4Q1xGgw
srJb/4NB9fM+blEMvf8mFe83gzhN3c9Da2oGC9S+Cu+63VSjyW/u5y/6mUdlx58PcVQqaQEz1dLM
IVzzJnjq78EsY91D1Jz/IVzu+GKOtQipYSC1MDlSgXgew+CHR33+fXP7CWj5uUL940KWRhtSJqQV
71qjD9NQkHfQrsMhvEMXykrldL7zV+J1eRqtfn8g+fMS7ecDLfPghwOp0mjGpTyGd+CkSADNZnwp
NeKk53C17W1lp+3aXXmCIxtBdrdFiH2qeDAUiK1ewet1QTxYYI+/2vRqn2bfn89q+fmHs0rjMWCL
NYV3oCZmpOKbVfFqeR1uEsyiT+Nt/zgykEtf3fXlDfy70vDzYY92uWHty2plcFhxh0X3etzOe6J3
hbvmpj+Rdr7dnCP2iLF87nbG9e8fhPSrS6ZUjkDgved5LPMRKiHW1bgN76QXauUmNYfHwukeSKNT
r+vAVs8SyNmehoz3+fdHXgoIxxf98cBHn6VFoR740/KqTZ4R2BJM3NuXYvP7gxzVVL7f2o9HOfoy
Gxoahsr/udMJEScG/YH5Vcrg8i8HZJW/hJkIDlPY74+rLCXYn6+O1hy4PwvCxPLzD29SHxWxSaBz
eKdmHvA3oPvBNHuDSfGwpMgHLVnBdmvoF5kWE803bhUKOcx+ensCny51uoj0jKAnsIT4neKQUkNm
xZW4yWhcxUL9KOTmbZKZOC38DAuGNK5zWXgrJiPcGIWBCrwXotWoyG6SN3czdBRPmssf2wnmsOCV
xO50Cor803DxebX61939+yqPNlq5FBrTKMrhHar+s/Y8OIyXsBZOA7u/nZ6lB8UuvmgAHIkdfz7i
0biRx4QX9PIc3ilXACUl8k9s1aMoZbMuxed1b8pfPcmvrvFoTPAnAidqpDp3FT77CqDGRCEK32a6
Fx3q1KLl9eeLxzPzMLBNjpIuLHbLdPpkE4X2AgPHiphiSEzX/O/kTHDlkx/pXf/2QfxqAGHXjTAO
WRxl7qO7Mpu9GNIEZNzazyfWKYLxx9+/z/qvJlFTWvS0ixqD8uTn9xkuJvSpOoruWIrjoSAX7ZBc
Fpf1N6wKi39B8F4GUt6w8M8noTudtXfUpnG2PbYnhKy1Jj7/6Vy+EhnO8bncBejgobBj6zWwiktX
4zlmclBMr7FjPSCv/0bedSJ5F6JbnXffYExh4CHHDmsBQTzB+dNi9vn9FSq/Ggg/XuHRu5yGlSS2
oJTucKBgVu3d/Gyx7dJ5TXFL4M+8FCFt7MIrE5NcNeFcwjkFtEN9xn3khI9ED/Df6gohOpbiL53t
v5owP57e0SOepmnOVckP76Z1jLdWDJ3mNoEMAm6hcA0cS+163Ek7cR/ulHNrX34FgH0X2hyPaB9P
4Og7IKh2EHtKG3eABPbgzh8ogWwKpz4ZzhPn2tjELjZ0jDx39a5xLWzPFR7Oymnx2KDkPxkv8ufz
p5fxIl1AHLgd7jv8P8qDmXG3QgBSh+JOvmxOBmqBmDa6Lz7jd7XAT6e/YHkp3LKuOdZlhXISwScN
ozv8+oAMahg3a+tFw1mTr2IcBYzJpadfzV53Fn1DKQ2d4O33b9gvxy5qx8huOAeVU/n8DckhhD1T
j6O76Fa+lV+FS/UbteB2l2ceeHcVOzlulOyLCz/qWX4fMT8e9WhxAX440ZQ8i+6A1ZxpG8E+b/YI
BHaLMeaLC1yKFD/d4w8XeNQzqEujtHyBQyWnORalAyOCj72DzCaAGX7h/f5w8q9G5o9XdrSCqBSr
SIwij+7woUAowuJ+6oNjGPejy4B0Oj4L3vQgbslPcrHVbJsrGuNudPf7s1hAmr+96KMVhjFltKQz
LpqPcj2Az5nX6XN4Fj5bp8FOw8JUHnoIMwf/VGTsXP/+6Ed+ux9Pl0hIle4Qr/Yx55p4tFECIhzd
LT7p1I3PKHqepHjEBCxg5dvwUGEkxZENMQdER+tCcBB/QMT+7ezzXR/z04PXRfSOqFfQ6h01cafO
CspC5R7cb58zzM33V4fn21V0WgFK4I1rQL8U9vP28GzYJ4sRDgSE48m2t1sT5WSfb1Xcc2cLtSbb
Zfa9vn5sMGVn62vGkHB16SXOZh+6GCbpCLjbc/xmi4Pu+TZYgULAZ8Qs7KxOMGXCt8IReaAgYzf2
48XBWJ0U68eLxD6b+beavQJRDUBCtC9GN92Pq8MZdE4AHb6LEdaBn3T+ujp/uHzxpjOKHLI3ryL7
cAbVH79bYZ/0rr47O6je43WI6+sNN7N9uH10K/v6tuLPLxjKnLPDjGs6szeFfZ3aHH9hWtn3K39L
Itb7DcA8jwOQ30qvhGHy9ewREpV9UbiZfXU62d8OjzOX4J4Irnd5hrF1n+IP07bu6mJ3i7fXPnA9
37Azr24237Dsc3KAB+zNTYc39du9790+gqPABHiOTZKR9irhz4Vzxr1c3o7x5JnnQTAcVkMy1bHy
bTX74nAFe+Cwbe3r9Wg/TuvHE+fbiL3wsH0cuajFkNm6zOUWZ96szx7ZqbHmshys2WuihVbJobUv
CU11pnOd30ISuMt3t+L3tzaewRYTIH948TTPW5u2M+4Ux7nydqcY6tfb89VoP2xuOFXFWffOFlc3
zSbe2/3d6dVJ6pza5/uZ13m/2VkOnnnX2+133uXetHeWe1/ZJ6CSrmoP7+Ceg0BO4ln6vF5vTyZm
UFaki8l4/aDiufR254HX7kyb4f3Q2ae57W0WWAap0U7nnF7J9sYL7W/zSuOGKruX0MWjLeyUnS2v
nuzTm8lNrgP7MYQCoHPjvEv+U9q7YHl2sX2Lp9slMArOQ2nvXw3H25Vr/8TbSc5yZq+Fs3JFXjZc
pWenew7EeWIKPJxFrvfmubv167LQ8U6/4aLddXg5bxjQgJGce7m3foVfuqm8Q7e7mJxDD6oF+yyw
qE1ibw6AdRx5d8vXDVSCV/a6dwHNTBA6bm4PZ5p9vzH4IsCaQtLw4LwY9u3h5IIzT1xWZB4GbfzS
J513dpu4OKPfFPvq/htv8vIZGfZb5nqbm1vHO99NvICn6wduX2a/3W7uB5u7O7nx6dN+sWmfPgTO
w+Lc3HntxYRnHY+nt7ApQjs+8e3Fj82jyBfL+WrDzS53IQZmfuvy+xZYzMLe4YRuvBvOrvV2vnN1
cf882CcLyoLbC8xhQbLV2+tbYBSsRE1u4QUm6RsMl5vytN7lzq75Yhf5Lsz73fh2VJ2XBVOP1Irx
zWB4uRdO7mf3+dDw1tzypPhgYcsdFtxMwwv/fI19Pdu+UDaotnemvV/Wrj08BsW5+q+tChF+sMWl
r0cz7vOSoox9CaRpHVE5yLeiF8CXWJfbILHTqxiYxOAOZ/qGyKjcA9/GC/f72eddN//Tfflw+KMZ
2AoJUlDzZlkTyhePxem4xXJuryNPOfU3+pm+KnfJWfXF0/jVhIsuAPsEyFxNPb5mMUyi3lSG6K6p
o9JLTWEfRsGLKc0Q36IObz4FbGrsVeIEQ6x/tcZZtgHHl0xiCFBSNvVEPBxthLLMXJIbOfrgzVvx
zXxTH4Z7+Z5tSXkwzoXrHybdP6pI/6+uaeunFLPkP+yufn3q/lG8/eOqfWqjpo1emmOr3Mca9P9c
vxanT9nrT3/p/8FK9Y9eHS/Rv+/07Z/KNvycqPv3P/tejjZF0pmRDlOI/t6R+9jiQ8Jkot74wVLn
1fqrxUdLm+8H2wbmU2T4SwzuXy0+8Z8o4OBbY7fDrYIi7k+q0ZL+eZX8vcVHRfpYF97QL0/6qhLW
hBWQC9+URDaSWpgnrJBLfPLlGD7kTbdWJ+lhxHFqd9mwr8Zyq/VNSURkRl6dUjxIUnDSZOODXgT3
E3yILtmZ8mM4NTC9ugu5pm7US9mbn83Xgjzdh/Nw3Upx7vTW7M4igYBqW+pO0JCa2CjhaeEH21Fg
JUAc9MpqrdOOrCLbMpJ1WlIQDFFbuuXUrAZhIv85tsO8oNVFnuxc1mTDdXQM0zeL4mRQRHu/nx7T
VoIIHs72LKE/0S1HkTAX6Ka40VttaRdd5nV/GUj1fdjoL2OrPkxi9NpZIY1M9DyRLN+RKLnpiBHu
WvM5rQQULFPsEwForMXOOIuJk2ggTmJZuhorzqIxdbvpK9skX9FFqPJUpNJ1EAzAIrT6tVGGyxQG
9IGblYctOATrQh4hGpszCVpFVhwmIlSIjWs7AHo48eVQX01VfyqSMGabGVSaKAq+laT9kOA0u6Eq
rasyUmxBoOE6z6DBKngIKdEM/A67li61sfQdLR3eY+wuzLkAz6WfWkICujlR1oJohDcJChYrsh5q
Xxs8XwYjZtSneSSa3lgmljsTS+ex54faqbebYEqAMIrttYHgZ4XRqwf3ERTKuiIWdx110bgPtTba
VE2yFvsMQorV9WdzUGvfRrMK7Fh5CcfK3DThJHjBqAgby8e6F/VQQErx3GpqwSnlNsrIbYNIMlW5
FxspHntfrsjxMGkQt4n+FiaF18eT9V3N90cj3P9nPbdlovz3Y5j9VP/H/47yj9215R98H700BiLi
SvBUIZFZDO//Gr34yRIjQxuPkWhxAfOTH6OXrCNQwK24pAAtYVEis9aP0QtaMaIEtNoSZUFyghiO
/qCXdlTDQAm4hFBRYkTdg+cEM93nBYcmaAqvxgQINjS7VRxnb0UWR08kERn7uRJSV4m7Cs/UCFnR
J1mqKyp9JYd1sBInZLaKMqjbD/fuF0XoI0jy91OSORMaGPyHyJKjUyoJOAA/A4upnLvOIV3R2ll1
145eWnQQasfIfxLUqqeb3PaZM5cpObxlxJpX9KG8EifxqBE1fG5W5bMeWZPrU5y/8qd57pykHNTb
RabjCIEqPHSJZUwkBLBvw5jBYBSdUVYf7+tETdFiWqVxKwdq5zRGL6wno41EsqiFmiABXRcMWue+
RRKxYlxNswaa0Y8Hp9GTSLXTHLgAQXcqmRhhnrRObRj9a2qWrWpLxGaxGdUHJMcKGZ0E0mYjyXfW
pD9OdWvZmSDGXykv5eWu/b3O+X5XoWLjlkSTzZx5tKU32znFiVrWbmV0npTJnsxVTyP2k4H0l1bw
D332jdyfdZ/2ntKgFiQ+Mbys+sTOxWBVGFc+HD9jFZUEEMfjlhweu+tIDub/HTVsuZPINaXGrlRz
oxbCF1T2z6WhH2evoNWX1WVOX/rOH9svGF/aIiB8w1WTIHBxvJAOnURfKYR/dY90fPZohA3sXsem
C8mYozAjAdA1phwCtcYzzf2LLtunRvY4Y8+y0yr6Cot/JGXn2lD8AzIVcURSjNeVZYX6obUUKHUT
l3oL8yavMq9UM3E/EFzFbBOJ45Mmx8orXzENREsKigs1o2Bn17GIphI39V6LpmKfYrcCdi2SipmF
obBH1h/fxZWU3IRIU92qHpL1qE8aOCwzUL/YNRz1fr9fwCKgVUDus4Y+zqRiZJm1KUhqN0z70a2V
AUJ00ofOPNNMkGO9WNWdAkay96FJil26QsbHByiWhlNI5rjVmhA2pxCm3gg52W7lstnMipC42aBB
A0rrnaY3FxnBL05WFbGbyZpxkAphOEO8D9q4FC+JEMjPkjjIsZMzaf9+RFo2XZ8+HQ2DE4M3NnY0
Y4yUnx+Q1gsYSDqinuNerTdyTbB7ZPZOIKtvkkwH25i/UgV87s5wRzkiSmTsxkg90I8fve5pgp27
zzhiWdfXE+Zqe2KQchMBBVHzlfn3qKL8/Wg0NrHgYHH+udtEYAsidbWuXDpFTtpq7YpkToME7Yi9
e6ZARJuywi7OWfGZZGdH4xeF9PcR/egGM5cha5FxP7JiPxqbOl+op04NKjfQrWCN1xK4bZf529SY
sdI1GsSuSYaEmeMK6qrKcgp4AXalGaXTdHXvEDZvbMXegrBmtCtLaa/nPpk8FW2UQ9aG6Mq4CVw9
yXESZRnLXDOE8JyDXbCaiuJZKmrX2XihmnFvt+wGz7M8qWzCvjRv6K3gsokF87oPO2CfQB08bH+Z
PQMS8LQxnDK7bc3iRopSHByMHeGgIbagC78dEavdRiGx0VIBYyIyeHRjMo/fe6h/tN767yYC/T1P
CKlgWb9+XE8tf//7ekoh4YHXlKBgZlD8RRrfznfBpyL/k8UU4Q90tZZgyg+cFYWEz0XfjyB0gQgB
o/jXemr5fSwyRP4VCy7E/38U8XA8mFPEWDgXmOlZvmDhPzYsFhaRPo0fQXbs5xp1kgUVwhbjpKA7
ZqbdVa31/YWQ1NLeKlX/eWC+AdagSvXzGOukRht1I2+IjCtvSJUZaLcJZvtUaHp53/gGic5VJxmQ
HuO2JEqnj8J8lcvJrK5+P+IdTYRchbFEnS5IpaUHoB9NSTR+hkKsBcnRpAmwaVRD0mxizYlnFTGm
AQMbR0IQdw9/flj05Ay0CwiBBenngdYaSw1lpyU5U0BdUvVdLg31ZHY2j/Ou7PsDLIvmi8F9adJ9
GHveL/XjMY/qP+M4CErZLscUQRP6pUZ8hE/nu5K/aLkfdSzRjXBTuZsYnylX8N4ejXJiHRmRUGII
jliQM5UVcgbquE/Cyo7zXrhuJ0s9ycKJFWnRVTEkS7G1x7mD7jpGgX4iCIW2MTVx6O0+kTXELyEd
M+CgHURT4r2eRC0TNBsrT9fZfmoV56XSoN5E6pmk7u+f1PtndnzfoBMt0Aic8Usl5fOzkrpclfMi
nh0U3AFtiBjbHcSTARgnfIvRU7Uwl1DITyXNyTkVVFvIqvnemksjWg+DBux/6KWD7xNChlKsGxlH
g6p/DdWJLyaZ9BjUsCH4pZt2atHZUloKgy29X6K8XK2ayMm2TUq/sOcu5XYsOa24g5e7NCz3ywqG
GUYqN1HNFdTM6futbZa7HC33u0qmgKiD98cwCAN0atH0QTKqJv4VpVRSmlJhpr5OccF2fWboKHaa
YhJJVIzdWLlmVwiuNM/jmzqWweCEHETywkFlnTi3lvKWlNEs0AGWWpNFjSAgo5F9tXJKpfdHd9QG
Nd43YT3yy7Mxb52sqUc2XFWsE2OgLhgmIrZlyaNbGPJcJ6X13YS0u/iKesCuCuLRi6Vc7ndDHvv4
eOZR83JRlhFVVNl4l2tGETmJLGfMiUF3mdbdfBmXqnYdxkVI8opkVM25GFgUVlo/zS5ZYRXbcOyn
fqXNzTB/02ascd4wxhHcYsMax9ORqlVga4MQga/um+myMIs5cEJ9snivm5acLZ0celpYaoyVdWrV
zEDKoBmC03W1RMMiaGBAa2jM7SyIEjKSRPTXTTRO8qrJW6bUkI2RHTU94YFghbTEIe5uuJb9qd7J
Il69Nf+KN4SwOJnQpTZDlM3uq7liRxaMTuMH8lvoj9ZgMxQrr0WkaZCiY1lhYZn03RPC1uGWeNMB
unvEg06DKgO6HBfow0fW57EjoDZwx76v6pOMpzYSYpulk+eH5eCvE3Tki85eR0fCXvi+WcbnPqrG
Cn82o7a+jN+UqRnKkXfUz0UjM8Cby1jvL6N+s4z/tH7bq/+RTRrbmqpm82kJllcGpe6NgRhJtm6h
W6E4NQomHBbRYtmiJ9Z1FGfzV4v3I70goxKRuZhAcdkvIB39WC84YLoZQiPgJGTjLFeyb2Y89W5m
sg8tumg/djWTkiy/lR3ifqtt3JlaoYoJz/GD/pJkuk0FFu/3o8uyoP40JnNOJoZoE8vPwo06Gin/
vjFRg/OdrfJy8Sa+U1t7vyfa+/1JWyFkhFlu27TcwPdz+KNV1X+uivXfbe1F4ejD4/jJMLatnz4J
xd//+ve1F8GlOqsuCaPYO4/ub2G4YpKSTqmd1Q9e+u+rsr8q8cY/WUjwGPkpIvBPyaVYdDTIPKCc
VAQPBOj9SS0LfcLxe2MuCe46LQFOEeXC0VxutJ1GNqSYu1UosASr60bfBLlWEBaQt9vQj1JUK34D
LMqoVBq9Yz2EG20O4vDGwKNL/OUYauGFIVVZcr2Yi1q4i3ldriVui0yNvWB5IOIMLU+zVrSQGeVA
Edbi0IzByqqiUCedU8uMnT5TiqcX3tRK9di9Z3r6RVkSoyrEVrqL80RQb9UpbZqUzUhAUajVM8lc
h2koPYgjjginSDqR3JhaECEW60NKNmpAnJVXWzL7wqBOKRmVXUoRG/9ZfG7WOLrtOqqwf1ptKhB9
UdbddEOiYgcTnNxGcmusrODvTGmLoFEZ/DeqWArxKoreFeteBD2jOn2flNVBw4+eXFRtOao3TFld
5k2Y41qA4kVUCKILbWgAxxzg7LGzUjdUJ5ZzDWV3N/WqO3RGYKwtoo6vgY0JxFDRdYhYzCXdKU77
nByEjtBRWyFFz+Scw+msSaebNNEKpHdJHj+Z5difSXHcT27eJUpuJy1lBcc0hOKb6g/CSdqoMXk+
c6lTCFJ6DYSwJsqRW+VFT36UbuCPqbVICldNtWzjgjKKSyDMc6ESDhKqOFkGLvRGraSUJSYRt4c+
hQy3TeIkab3SFLrgLc2MTr5uS9FsVkprljTjuxSEQGVmNGX8volY1FdGjujRt1icBoqarLSWpFd7
DBJepyDoCFNKrIxDq3mALj5tahF0c9CU8ZbU5eCmJh0WOQO4N0SvikwlofR7E5a/0PiXodGKHcGC
RIZ6ppWa33zC2skGwFkGB7pQ2nBfTXJ+GcZU9xyjUvzX0QQLl01+zSahE1rI/ZY1VU6dISuieCYU
JLxpmRzyU9KZRJEYurQWs7Wfm3q9swSDpowe6Lxickfmpj31YwKZOjE5QKbUwyrSx3B2c2MMiJYY
hYogMb+cR7eT5pRXrOqtejXkqXk5DbpxUMayrFyLNRazeUAbye5YTpFzMjRNaMtZmJ6xLIt1e/ar
6qGroRK6Uj4VMgughF12rGUVQkijNcFKq4HY2c3gy8ZhkkVpcgsfw9u2zPoSA7PB1K1IQftmRl0c
uJoG88vJ5sa/09sJeA5WpfJmDrWOWqVWSoKT9u1wGse1hZxKShPKyZPqH1QJg+dFVPsJWOywxf5d
MiP69lQFpmKrakbNU+1L5ZFqXBe6vgJBguC0Ilo+d725EoW0hiPt1ypE+ZaXbNXLVKecWGH0OAx0
43o7KfyI6lYpaGh49EK9sWJDbjzF9KHLNrVVEerWKJmyqlleJG43TOOLL4skEoe1NlD5GNX2PI+6
9jmRMutbuZgNHFHsh0PFq9BydxN8qaUQoKfW+lm+S1iQINFIyJClll1OD3pUGbT4CKflpQ51/TwV
wx6AkO4j3Y/JI2Ys1MqG5VkaDySDlEonbWFFxKVDgKkEISMLK3SfwiCqdA04A5ZbZUZaT9jOp1E3
WDjWlwoL+8aEFbhiBWPuanLIInhS9TrbZEWA96JgLH9RwQBkTkXvMXdgd6RohqtggHlbNmjhp8Ai
r7dn9DhN1YKFJDnDNTJEIcpWQajLz5VGPKhdDapybxT0S2xz7uSTadBqxZ7zqrlUfUPAXMigw7o6
ppblYu4lA7lkrSxT4TWly1SOyAFMzfayERuclIESDfU6HpOWS5UNn36qKtHEhOsE1F5MaVfStzHZ
ILP3CN1Uzfx7TQ4K3865a6h3EkUKHVUpmoCKmso7pwyJsAVcqDhVNPeeHIdnOTNVJGcYUHzc+HQb
b8opUrYGEWThLMenSmT0ex5X4E2teJFowXBGYKsbJCWbujRILkddPUnjqjpPzPwyVZvobMoQLJnC
SVGHV/5iTq4jIoGm8twf8C1GjUDEk9mfK9OyU6h2eqLhCRmCUswcxv9ik4UKnlH8Xe5QVtWFrxU7
tRa3YTBH1MqyKLCV5pY5Ds1wSgRYbsY3ycR6mqYMiaz5pY6OOam77lsgjmu6DLdkbm79KEStFJLA
FPj6meSzira054FGttEKulP3E0/El8tNr898slJymKvYX2GrXkdz/FzoyU1D7cMRunZXyY36Wkrj
amIwObSGKexGpWlJtBKz+F4NiKHUw54wvb4JtvoQXlf8BinxCUyZJzMMIHOJSmpPOe+77XddtQlr
5TQZ6NjW1KgzEW54S76LXshunwXymTz15kqJMt3HDZCQ491riN3l0bwgLVfewPoD7CCFApgv8ckw
ZjY9WLpiuymqFXSGE38odrSpMkfpEcE1ANCj7CJtkz028ZbdYa0l37paOyRCFp/MAWVII2dG0asR
dWuRkMsCGLWLuuusL+CqZxNJoVN8M9RRfuCxY/ExCn3vJ9Ao8fUOazMPEOpXJuVwUb0Icwv+vkbp
f20l9VrOBWMjqMlNlaXkXBnMvAAkSKGLuxNZ9a9rObM2lZocfEAwVw17IEDsmXQhdf+Xu/NYjlzJ
0vQToQxw6C1ESDKo5QbGJJPQDq386fuL7rLpmjbrRS1nttcyb5IRgPs5v6RLebHNh7Xv4Ke8RX7a
As+AV3fePekcWYyHfgvlyFVdCzrpPAKsw9LPzSGypRyf5qWVv7YLVWF5jbGHHdh226Q7t6O2NnfA
zz+CMu9jp8mo2STnzqaVdcWrN6BQXLu/A33jg4DViCVH8EHH6fLktETklWTJBfUg0bv5U35fpOuc
8lJV86XpMhpNsrrkdh1bDCU5wvbWLyMzy557nGp6O2oPBrRrCG9LqWjeviXTTMvPkn5X1fipmx0j
zdWM+KSlevPswJXukq40f1wjeSn0Wr1UtUbTgG4xvyjK5ml4B7bKZ/i1ZW8Sxxh2WVUeUm6LilEi
WCfrZ9IQT7h60DHIxuTPaE9uUXHrzZUT2ZsH0FEkNy3ZYsDHFEFlLjNr3tyU3WJfKiXrUJjr7UAI
MwoH2y/2bmmax9Hyj1oJNkY840MjpTpuWkshyuBisxDVjv2vup+cVPzYZvWYLOp9E9lvPmlgkdqy
PQu7LD7TsTOS6ZjZhcEub3eK6CtHtmLfNdYgj2zIxIbEHKjX/Jghk2y0+obcAE5oLm+FMc0evTNj
udq/XdooAB00+pYZ4dUc+Y4maxge+xH0/7R5DXm0oe1Ikf8mdo78JAANcqgbY1RQbaSsdRSIU6rF
nUnqLUuCQr5nrx/bPLaLbB5k5HeOvpYXW2mTmdC0DDJwatptWtOgErVhIx/xyJp5KDJz7J7MfNXW
D7uuU3eJl5oJyjw5m5rzYp/VWWPgjas1Q7T3nlPzv6V1KNelvIegrrzhfi59URZfSdcDFkRDMie/
LOUu+orGbfiRhtZZPi3wmKDLhl6FYnUM8KHZctb9ZLbOY+GDadR6T0yc03oLV7gzEyR+gSbQzJdC
eu07UYatHkuRGfpbm2eW9s+l+t9aaP+fW1WviXT/u/Bi13+xDFyLB/Zf6utf+QLj+hf/mzBwWD//
KaSAoPw/hIH1D0SWPrg/2X4kUvwrYWD8w/7PyHaEYo5xjVT9b8LA+AfIPmQV2ywXIUbnf2dp/R/G
QsJh+fdZl5CV8ROalvM/yEWshI6btCkaA7uieHLSXHmZrxEEEJ2J6a4nLTFlFaYtHXiCPtCF/+Q6
dn/oEUOskZF1JjMjXZm3AzPS2e58bdsZC4FFGFfUEEwkU98N5gYJm8mUltQVhDRqS1VHzbRq2h0D
T3lMKm3l5pK5XezlUGRB0joGJTtiSukVlg14G57D5r9ohn/rkfz/FGNBwPC/P7f/qf/M/+8Hlr/w
X8+r4RL7r8PF/vPB5Mn7L37L/wd8Fwn5YBxgG0Tr8Kj8E2OxrlknOPrJ4oHcgs/iGf+nXshCSgSD
bJFwaJJ+7iIl+jf0QsJxryDKv4BzwHI4yXkp0CwZ1+f/KtX4F7lCkeZj5qm1wCk5J6dhqkMfdJQt
6D1JMzpj3A61zrDXzb3Z6oecVSW21k8XGU84iwqC2ZDZs29v0xZYWla+LEUTax09Z+kaMK9xMZGk
mtkUSNN7VPNwG7nthD5gOgf7usvz5wF1T2RY43E25ri3TFCJDMMx1ZJeOh8nqpFF+T4OdnNj+n/6
npgA4QUyS8rAWqnPYE6OGkI1C8zR6dqeCL6rAjaBWylFaA/eQ+frkN9vmjEEo7+FleYeu5p4rEpX
dxmHd5Qocy/Q0oXLitfXpfmuv100P+gRD9ZlcdKr7WM1Ftqa+nLfGe0OU3bYS+r3huR9ZoITJfKO
tZjiHG67Tz8bcrYyunjazxHctc29d6eMLQSlk/kxyZ+2NQK5vs3aJKKNV/3g+nU0D6IM2DhP/aS/
dFXNe7u8TKX1rTLVAjqUL406ic2Lcr/0d15JNtIAr1FIPCLmevZL7eDOMrQMfzehqjktgpvLL7KD
tTyS6XxaMrm+gimEg/fs+ndu1/N72nhlayNcm/UOfSkadKOe9ldeXRVu9gBzwSmjHzTT3XeivtHX
z2wu/IfK8PXXpvW6Z0PLp1s9aV7HkQKnfvys/SbWF+/NQCpS6d2HsNrTWKI26J+KbIASYeVQZOqi
ayE9iXA6wKy+OcDaMCv8IdzmthzUeaS+ImrXNh4UsBSSsqjczOMMYDx7Xf7as391C1xGUOh97BXZ
o1TbE/RL90d10/LXu05++InW7asvWbAS734qqvteoKfsHrhRAiJOAq1K4LZWnA01gvS6dVFxubW6
EYoMit56RuczvK6TfNkqeI21ljU5pluxY5dBYKUzp06MvqtJM6FJBrik412+oPWLF+M2V9WDcNoz
vAHMoMJm41m0Q/iXxMCHWqfRMOWHurAfMOS9Ng0fKUk6ZXmyKhEMJVo139kvTX1MCHJ00tvWOSYO
cAh6ID2zDisnfqrRTifqF0+QE+T+FClNu825dOu7gQEIvivy7LMtph1+7LNwmsD3h2eR+U959a3S
c8rOIVroyebWMcspFuB8zvyp6j/+8EDgwMmk7X1t9pPfRpkB9FWefXaqdWr4+Y3tvGjjHyNxQVi7
NbSyB+CMIDEBeLo+CfuBsADKrjdtCGWXv3Sbft+r4m1LvYsOua1gMQ0nNDefBkaYFs89VZ6sbvyc
vd9vnzsnfWjdo7lWRzeZMfHaxqEeGlTRyGVRIHXIkGaiwQnPO2iD9rvCxJ5tr7g3yv7W7KbfJc8/
635ijdmK9yZV7j7L9LibzYsvijGYoLvoSbG3b0JB0nfVtt7DQhARchA5RgyKoAim8ZxZ83xSqzfc
1cqfdlo7a3z82nJcWDdCNCRzIP3+Xgz2U282j6W33JY+KENVyN9SbfZr5S4L4Z8otDpBx6eJ9M5H
iryGbT48liltikN2SvXhMGfa7VTS6eop0gmHTzV7lMzVbKK2+GNU/aFKxnO/aWAAHn3exYdVU0iW
yjFevTndyYqWLc3bjJhcpyWyNCsLO2o8u69kRTTdSIRZs4AN+l2Yd2Gz1vfJOjdKIS+e5jcCqNN4
dtLsZ0kWxNy2oVHS1W8+IezIbvTEA+5wewkPqfTPZSrdG6PPkjAjaj+GJKR/rtSpx5Q8pp3nTgBn
thYNHQKuAetRauFoTEaSd80OH4b3TOWMvi98jQ7zTunfLKVm6DeVFQ6qo7LOduOuexNu946SFfo+
IcLqhEjTe+zyn5bUuDSp3LDssJPwklHAxsvRroF0Is29y/WTNabBRJOk+d304ZjyarSckN15q5pj
nc6fTlGD83nJoUrNUznou5LHsG14ZM2vPOPgTnHj5ABwHn7yhbUadWmzWrfVAqOYKNBhI9vr2/vA
eSZc7UNXReR2NVGvtVXubdW4cUXGQ7B5y6OReHGx9DcARTdtXTxmtvNEODY+IL1qqnNbexe3zT8H
ZAtBNq03Hr/e3FOe2j/lAnIxmsApeEgEwnblPXhW+lHneZQukpJQL5qGG8t66jhfWT/DTE8/rYIg
63IOtLHcp80aLr5/5ztF4DXHgcLf9J3Aq09t4KXuTrOJbxGx7YSEaiasxa8xpro9srT00s3j3kX2
aa/VR+6uR6d7qav+3Ws3yNxmO8PYoDRNzQ3cycVZljQEBzjVjsw+9+K0KWBZL4Ns7ju4c2MB5p1v
tKV8EPzbR0u1sONpqg7tirLGvch0QZxKK2KaAQp64K98y5v/Y239Lu1E5Hk9CVz2CDNdEa475+e1
6I6TwJwGVMUTSz9uM89HX0Ky5+SiRtRffDRa85ws8o9Vtee1x4O/1ElUI9ggpv5GUxQmjs38NElj
l5Xej1hLJ0Id/DM6/ttoEASypOPJ4s0P0oHsNkX4x24ThnZONAtc0OZR8SV2XVdxlXysjsaBtyoz
roeC+JDq3UiJDVm7gXdReGvgaRigan4ZfX7u1uLY+D42dlJACK9Dzt+/22b9rBnJg9Ep+iABrbIu
8RGNdlvYqirfWxxVoLE7gxu+bPxwVOa5ddZdcl1KsUhi9Sic6XV05iOCIz78tpsClVM4pgsmE9XE
pWecm0beTcURuVMR6Iug+dvl0+noWpB4Xdz5UJXkPFgLmoo900EzmfmRS0yE5ZDsisrdq9qPnDW/
a3oRTLr2dzbJCPWRiWz5g1F3T61Jy7NG6KKzPmpZE69mUn/ApATV5DyV3fih6791be6n5tfYzNMy
nI30K70mnJnyuMCPrNpycMlQhiPiRLhpdcY6eZth0/Y+E3HS51eDNzohmCiv46U92dub9GXc0RlR
FgefuGdpSFDwOdL8V3MrQ2/5Gmovtvt1J8pLzl+c1zTk6+S7o3kVsSCVBaFs1sNiZFwX9WdxHfBG
XYq3vrIjkdgoFKkEXrzA9tbtIBaPLmHHPcORXFVbga5NT8XiAQBd1V9J8avjgcmm8pxay02OpgId
2HwpsiPpwue1ggUDlrisiE7yyfruUeT7q24xyTSUtVAibqacuu2hrXwZihYazEZ74zUPTomH0Vv/
UC1zWNQkg37WQmSnJ+DuY5WCautq3dlO8+IVQzx63aMx3IqexyATD1P+6+plpIyS01Y/DRkFikre
I8zLI1UTKEQ8Pef89Nql2IedMU7yxAjMnq5Fm7Lm3H+15v6YMzpdSHtsa7QZBpsqB6eZbfxBGhri
dK5XWEUYKn0lbI7vovAabwftBah3Mu3bqaad267MXydRL83Cr0DxSphmk/voFyamRGimsCrEfdMR
ujfXD3bb/wEMGCN/5TtxVjJAC+2xkv4nsbuxMrQ70Rt341Yel+bHbjqIQxaHOrOaU6Uv7AFoSOzi
aVIv0mIL7/lAaUoz8fCAyZuB23i3ejWcjL5/HS11wF/wZmfLa+mK2yo3ztwT4QKmD1p27kwdKDK7
FU1zEJogTkZN53XoRNha88KZvQaa49Yo+KxdlhWCg1i0cVtkZ7AthOATAbpIgbreQCw2PReDOmA6
ilh0njc+cqIjo6HmUCmUvJmlwBw9VnQnz+OLV6/MupNOMXuh9oWFZl9P6Sktxi98YjiQJ/2b0bX/
cCTnf7ka+iWtHYvDY5Z7VYqRqMB+o/La12BWC2n1oeYK6oy17gxakR9SsWGaMswD2df2sYJvy8fk
qXJUel+tGua0oW9fetVz4mZNvbh32raWd6sCInOMllLVWdaRb5M1o3TCAnBVGwAWBMdFjvR37lQx
+nd8GJnU3uirS+41wao3m4CsagT8p+xK9Sb12pP9DIhx8TxwaZ4cnkhUYB6tcQvcjO7MZDWSauKx
9jXzFHtupr1hdBmor3WTT83x7wtd6wPwzyEwRHm3Fa7aiaUcjgQwInoqG44DixRKwhtLH8ajN/Wg
adpLllMnIoEI+xmyfpY/tOvFFfAm+rGW3ti8pOa3ll+kKxf3eZEOPwaaqgNwYhWCLoVLzujWmaYK
F7fQ9l5D8fjoWnQMUFVGywwV8vnk32ALgCFP6WZfde1kz0RAa/BNpuM1YcWmBbgeuav4msVg7hoJ
nZFbQouWbvEDNTh1QHioCbrj7lsD7KdtC3SOrQwGn/a5edi1skdupO7Grjzmbv+A2OiuZvzLEPMZ
5fzjqg5EW02B08N6dMav41U3Ujl37tQxa/KyiMkNBaKweDQ0tj940FAtMrtbJVa2xmLHHUe+tkRJ
J2ztethtPVIKw77qpvXhs+3F+9Ibj2YrDtvg3hDCG8Mi3K082ecy/+0s76PXp8Piu78yL4i/Kv/2
sw2VlXzhnzqI+tvzX/EGvprG8NRX1rO91tkp2bJvzXW+7H74RDL/4WrTY27y22uWuKuzvorJB/2i
VihY9Bz5UMbIvI4gbG1kYkHI85+aJf6coXeIEAWi3JtNauoHG0Z8IoABgkcNDBLFpN563cYfo+H6
uRbrFV570a5WwkE9CCyg8OufrTFRrqHPTZDTady4HSGgFQSMMw23qhqyi1tIMwD9pw++2ZESHihd
fx24QigyeR6uK2E+/clWuYDFqZaDxlkjbyz2Yh1PTZq+VTJ7amR1Sezh0ooysiuGqVb9zMgeTS7e
MOsNinLLLOpGruvVYWjbFpKv9Eivij1b+WPVzruxtK701fZFkNmJvM75xvXSX5jRq+jwDOl5L/X5
xx8dRMCI6wMFWQwn8e4pd6c7tKISuMvQLmPZe+99UfMBoaEJZOvjd3LT0BVRWhifeTHe51mC8sZB
j89FIpwO33dRxRh6WVbTqBLqVFn+vh9snnzjJA3zrC9ToFfTiy1qOuVqd49/dDd7BrlSS5RTy0SF
GJQCTA/huxg0t0M/roGbgg9NpnhTRUoztAW8YQys2W3QL0iCJodRyv0yzZo/PZ2mnJtwbI+TCaQB
UFoF/lR2UEvVTcqIus2JcW+2JvxWHY6m9po3bPGNhsQBqsjTaTBb5gPiDgqUmi1jFF2Pc7UNbK3Q
8m9MRNON34lvi7tu1FRkLIx+XjaApc2pfZm3BfbCbFfjmJlbfsHdwoWooSRaAtV6MINLWlFxbDvL
QzHgfwPNeDK7ljQa3dzex1aclha95ErqVzDOJKpOxfAH/Uvsrz84+KKyHp+zfL3MOcJISXo93vfu
kpotEcE2spUX+NmlBJCqAZqQkDJiTJu+TVzAGP7coiNqVxv0xy6RZ37sMSz04UlCqwaKlyQe4SqR
H693czPGsxxCnDOUWDntXcU3r/l1uDTdbUaHRFk7zV4fPRkhA3Qia7x+5opWShTvaT7E6KBe4Z5j
D+kR9jzbvrEBcy6zavTQYEU2i+29rbxj327WTloD1hWMfSc66x77qcxvpm0lhDCXu4Xw5309ridl
cikTtrcGtizK567HCVdvsx6QWFjiNCw9QoYmnpB6/a4RydhGO94X07ZzryiFdC02kcMyuhGtIzuj
xhGnJylVQ/nKYz/OqXPhkC/fPAGwV7ALcF5/TNtYA9gzv6Du2iNHQv1Sjdtlsof1ZavzjRRsPf0t
JWDndOlq7ZB36beJcXcPZZgg7LJpjM9YtgBFTlXbB6XmnObq1TbYo5sEUgB3njfZT5Ob0Y+2HkrY
jP1sHofV+jVzsI8Sg3Bt5w9rI3dmoXZzkrKQ+Z26zab2TTP1Y631jwsvcTB3GeIHgqnTxP4ds35/
nVFM6rMSMsiKs2bQuo1AzLKHvdFXz575bWLIQpYd+9b06Eu0WnVn3rrT8oNCjVu0a45zX55zt64O
QiWPhdXddsLY6yvQ1DbzX+eRRx/pNkNClT/2tX5bozLe6emMWrwz87cq+RiK9UaMj3792Dny0Kj+
mCROegcw5dgpOGe1b4uV+na3Mz7VsGGCL2wZ0wwTtV11sYb1Nk/+tOYTBiMjnO1L3pvvWxv39rsA
lgPSW1UdenNxgSEMFbeSRmhcpMkktrphZhRR72AeJyp1DgZi75Bm65OLPj8gwjFaje5pTjT2t9z+
0HT8GbJ0ysBhQAelD7zSe8yRDBYjzs7VHrm3/djpBZmKI0KNpejOhf08pG5kc5aNXLETWALZ1Oeq
MU6eA9iTAwANenFIodc1hj1RL6AIwjqmbD1X0bVY5i0YN+9tTYo+sBMvWDSrZpNuEABhopfjxwDJ
Ayi9wYG3Ina4eDbKTrY1CZyhiCxXcRypxE8jPV2Xd2TLv5qb/l7fKgcZnS67vdbr72PFATxL9Yj4
LLDMCtV51MsjOOhpcO2jk9FZYedhMe9n/63k2aEtBu9k81lauo2ukASftjr6I8fxMj4116NCe25o
7myUHS588MU63s6zte/06+Hs7+X6vRrV5+BnkUreHUCJad4tm/e3YMPRAD/LqY5qlYXOpu8ddzqV
67jL6phO31I8ZetfUX9V3vtWIfTIfjiyz34PNT+J0Ck/hvwFREOv830L1K5bSNrS5TJU9m4YWBkM
42L52q6c0eLYcjjX6W/bcKsY9W2PNqpJ9b03+UGykUCcdVYk7auuxw7RjEKdFd6O3EHXKXcsuXyA
VnoS2WcmTCRU9VGb7ysDBLl0pkNfW4ccDUFnO/e2fPLMr2pCPUTr5twIBPks9L2l7ScSAgKrL++o
Hzwn7Gw4RszYcPBdmD2hxCDUnTY9OGr5U1vpT2NwC64DfYkejs8ufbBn76Su3l+ZHytPQUzUmSRT
Xry1BiG83RvxCBIWJFleDTPftenvCpdA4kov3iQ2y5GyxfqVrg4+3CG0HFXfw7vrp8WSR219LGEe
+fecvbOOcVV6JzQQN3rfAAjTbWO+52o85u3yXInPCiK8mN1HSlH21NEEqAkjIzmn9oeVewfZEq02
+u7LZDdEQtbyxirzfd5V52a8S/ypeTbyDLxJO3SFGxgN3SGoed3kKS+Ss0C/I1c6vMS2K+w0VuVy
dT9w6XvhKO+Rg4RKw0FRPy7Ws5wU+RKivnXyOB0/J3HaAHvHo4Yu1e2JCl6KcNZPcDxGf8MeZRnn
ur2l4CQoACezU+kdh1wdtfQkmY6zIr7an/NYytdK3VVOvbP1T40rvLhpm9OaEqfI/JCtz9Zc3C55
XOkbF0jCs3PyWzPIS0zNXRdVPDLXtdDSmkOufhAXRnitH3BEovl786wN0ymxT9VwC77cLFfYWV0M
mxVyMXe6TO+xWMaVYe4L85BZ+aVHylvCYF0NLIXFmASyhnU1IjLl6Hb2HV4OP3nj+A8SV8Z6R5XA
2a5uHYZP7dCMQEVInwzKhP+u8tUc3kQS54L7r3Ufu5o/ajS3xNU/F6I6VLOz0xQqylp77Y0iHnOI
jrnOMYSL2FP7rTUPzdKGmOAgdy6EBfPG7Tt/+TCLB0WmnwQsd8n0KtobKfeIOEPg4dHkYMk5o8TO
Iu/E0AdKs6+K276+p3RbwFLAfXh2YPjuWRMaymgSfQJh1eh5Cx9xdfubtMvEITMdCL5gQKQPslFH
QScANEE0GESg8A1WHarUotbdmFYu97DBZhStukqXSaC1zAmyJuPmqTAc6F59tLaB3ay6aQ3w2mq6
GRTiOam1d2OWfC1O82lq7Lbj9EYmekf+SSVPWH2ZCI2SrH+//yjXd6VDz+vD8N1U+U1fq9CcSoAe
Eg+mNvayaNQ9ykTuymQMrvg4eup979L0jFim3e4SnV96+9Srx3zYQktr46lr8hfL0u8217qhxI8K
4WG/ii0nRompBMT3mc6rsFODHZPxENcIw2nBpQ78a5Fx7b9uxmuH6lCQPwzpobQupjGNLpVql4ib
2pzvjeF7MbVj3lBw7X35Y/54ddiK/B6TFaRMH7tq26f2GDMnLCVeouq4kb2avIvlLO0nQO5LX5uM
3yMaGeSS2DnAoIZufCKcALntaH749hJV/oc3tzft1Z/bQrJ1SR64ncdpUh+LSt3qm/kj0z8W2HE0
AVP6YsWtm7j5DjH2BbjABIpq17C05ptZ54ekUSyUi32o7aG8k0lffjgqcXblJu55vca4gCaJVbb3
ACR87YM1mzfKhQQapo9SEf9Wqp1ZmQ9pTYKM7uR/kwEFVCVu/TlVp3yl7qVMSWsxe3A5eUg9jdK7
goe5MwCnQUMjbXMPs6v58MolBG+v/Wk0/yIRYcyabl2o5vDOXj7Oz7Oyvhydl1z666MBOLT6/e80
dkcSc7QAAeII6wXg74NOhv0IJbKuD75f6F+jrTmHQU3eyenZKIk77+yvDZ4dZa5B2loNwpLOTn10
/e12mBD+G27qRDLBNWV4Wfeg2cmjmlg+sNC/+CI1Q4DINqTHXuetGtJDURvmQ23sEh8lO1EZCxJg
ODuijurc/PIzlYOiphsb52rddRxJOL+25dAICxYdY1Pyxl7o8wj56lyg1N57CxXXdTcZduwQILBz
Qd4jq+4Prbu+pSvfBqperIT927J4By2zv2gc3JUYTUAPxWuqKzYwfGMVaeZC3Tlzd4Qg3qVeh3I6
O6Kiuxl9/eIi9ST8wgkaQedhoUitI57oZi2JJKqUpu/JPRvvXWc7G006e4R3pOlRlna101t3a4O5
qKo3MbVWEQtAkv0wWCKLdFG4E1uSKTROlfQ5L6dWBO6QgV2WGf9uVGzFfnEq5GHmeKLPy4khcczz
ZPE7DZAOQLRjmeBw93J7lyRtsx90+UgHqXxsDPhRf0vcuzYV3d6U1Jyj6RYv7tDelgjYYjbNJiST
og+MltVmbvU1qhuQCpXp4xNmDTMG0DfuF5TdtMhuxA6ZqoKqxmmpkEyIfHvo5g6KnEY0Y9cKVmOd
nIqgNo2nMmm/J28yyH1NhOmHFeFEHzQ7dr/zFeNNhbGE7QLQVJVd/6tyvQz8VE1/eQdn7hJzulM0
eMZm2QOu1AVccKt1t8hpDYQM28xWpTT+F5Ax1hzAT6wxTObPTC4VLs1K3PeO+zr7IGRWmxwKlBs7
zPfmB4w7vHTTTneU42j4NQ1OD4l9UW/1Cs9i7r+nZcaci/D+k7CKv5nsrPEgncW+6YbF/OpTOG9s
NOVfhliieYmFOtGVieBkuWYojbUMfFJvyJvIJkYPJQ/o2+WNo4E5NcmB72LkbFztk+z6v+NsEMDr
ZyyOsJFcuasbtoYC6k+12WK0WxBOa4xm+rBMF6Pa7PdZ+h2GlWHwf/V8NRs8ftq8F1W/A/VY7Dgv
mi3KWGj2baYB+yZZN7hBCp3FGlxt1d/ecsuniTasx1muA/yJaqJ8UZ9jQmM8itTqr180ObGp4EQw
sXNrciHnsngYppTmeMX0RiUOEl4Tg6Q5eyWzQS3Q2y/iw5CTuOv0RHyM7DXHtrTrW7Gobi96W1xq
9geGnJahilR6SxAMZBjhWHbUaWVLAv1ZJZ3De200lB34oINL5u3bDmG4hYeK762HT0nK1tlLHeXy
pkEkrpb309pzHUNo633kIG650xvp/6kwn+8Lpbnx3CKOTgjM2OmMCCcAauYo7tO7YdbWN3det1D0
wrkfDELNnGrGK+C0tnPue9O/eKXpRnM7IoQx2SpMXwOQWDvcLZz/8x+Uvna/zzWNtSUhvqE3e6mf
+sHj/hSp8WiMKWnWrek2ceLD5rKAYTrJtQZgrrzGi5njgMUltWhZaLb0fgL/jdkz5/vSwRoTjJ4G
KW24y86fxuzWNiCDaX/OQadyVjlw9n1ppnYaaq3+5iWJ6neEUq4Hq668z7kcaXLXy1p1EbeY9igw
EkWuq/3oSb2CMmzJT91bgsZEOCeKKI04R0slQSgS/+KngCZ95U/RWLgeX0tuH43Bvl+TrubWlEYe
E2VBbCxBeWyKjWu8WVVi3oPv+CSwOW1lXBwMW1pQJAkWBcD+sERDEmuaVxi8s6K5AdoA/i7sOXIt
O/IEdmiC3bwHHAvbfk2W4qz3xRw3OKDD1HVcgiv78TGp1vyhZcXohFtfCmZJNB+Y0fK235YgwWZz
2zb5PeFL2z4rZWjIXt9NrgmPmyhA4lagTp7b9H0pXetULPbb0sjuzhrlei+w2nBcCzPm18LwYibJ
AQxpPHdUR79fj8Kd7bNGiVZuL4s+8yXwTDxijLH3W0+V9LzmPEVXy4NlNduzM1EzUa61wVSIhoYO
Tf9B78X0AFDVajDvW74EHskjzn9QdybZcSvZlp1L9hELgBmqRna8otNdLCWRojpYKlGXBsAAzCbH
khPLDVfGCtLFL3693u9EI/hEIyor7j1nH7AfKXSS1JAOjvWu+BjTSAh9jc05L/QxzCYotVo1fBGR
sRl9y/8hk5QmjeN3O4wu8ZpviJ4K4nuiLNjpf081Hm3qcV+rnoa58uuLYB5oJHdEMB3zcS6vcbtw
gkoVO/wuK+Rl3GYgWkabV1iLC3zuu5lYpksiZij4+x6OZSwfDUftu7qU/RU9S7mzmnG6EpOatkaX
842lLdJqwofux7B0r2xf9zfT4IzYdRriiauUglNNiGaPSmHsrwVNEpxwiRmy3xmy27Ebk128FGM7
O76filbcTDzbfsXmRGyNyPb2eTw+JCD/7gjj7N8N0gsfK2MyKbhlnyzqDOvCUNZmHscKhWuxCwap
d9bQkhXFrvFj4PSfForMttZLbbSa8v7B1wJ/SdVELvprt6OaNHtdvW8JBlw7Y2ZfpSm+syiqzB3b
H9pI+UTDRdKnnOmP3kCCQpVVUAWikXwcMy2u8Qy26zabP1PooT5T6fErfD1zLfMR6YV2eyro+PLH
up0BxtBIz5ev0d7WI56FxjBDmsUFMQND6SVbj0D4DRsGuPANG5EyUzXWh+GyoJiXrzqUzBRfPttR
ZkkmbBdjfFCP4SaqguyLVfLoQhtdAY4lxyTmZJFfNKOuUXkhOemaIvxRRpb/bqLq1yCt2QBOQshD
niG4Am9tmto88IJme2yj3tciC1Bm0pO8QcMhGKj1LvI5dmnyWLZxTfIH111l+7DrW4ow0ehemnqg
BzSKiNPz1IU3vG0czRPV5EidwuS+Q9fIFtMfqm1a28m+Y/+BJQJJX563at8grCOiPgFVwjpmecNG
KYCMK6qC442d9R1VI0Rs156ZW7etLsfL1A6hvAZ9P6+lp9LHmjMCkq8msTe1FY0/ddEkN8SGu+vK
HShNZ/GoKFwE4wHxKw2dmN+XsD+eB+ud79eYo+QUflWjx62r3J7jUW403zE7zT+zPK8OwWzCZvQi
g0aBGJYG7Bh9RoDh3BjM5Dsy0vODPRAAgzYGc7BBwtx2jqzuqHuq5DoGjzmPg3qC1RBtosBhNy3y
+j7om+SKMla1LbTNLjoen3LOD3yJlUHBsEPj8aHHl/szz9LiCn7jsKtyoEIr2zYSDnweOGQT4d9c
jS3kSKoWUGyRxmKXnDft3CBiLbTf3pAjvR+JY13XLEmXLiE1B9tjhc/0WF41qsZilk7TzVih5mkT
7z6kPbkbPZE+xX7WuAhe5+7YG321MUZ32xrx/LkJx/qD6gLUWSlOzNwbuwdT8VKtxsRsqdF13hGQ
LvpEfSfciIqhQotgTu113qTioivt/mY0Q9rTSeYFH1u3r8Fe5vpiKKxma1S9uhPGsjCMQ84q5BXM
pN2M9bX1S9RL+LSuMbrEG74ZWMDCkl/xXSRXsbCxNkVRQ5cd5OjWpzNE4sis7+Y0hRM/uOaMvseF
jTp6TBEZRpZHJpOvPU3FS7rCpPRQXdhq0Ke7MhlB+ONF9eAYpHwL2pn1FzeYgjs/uspDOh/xMXBu
wyIuDlEbqO+YLlmdwndNNl9Qzl55bscWoA3nnWctq/lsHJuIUqXsS/otR2dAdNh2K9OSKGqLoywT
kirawOE4Gc4jH70vonYB73l7NijON1oS8omVI7xAqpgn9Eo851vQGOFDX5TxPqecQfOcDv24wrFr
sLFP3Y1XE5u6yfOyWpmyIYzXjy8Kq91HWfJgUgHsSW20oltfHPBOH3uCBXZ1q+kdV+0MXiunTBNR
iEnoeZJY+dRjkzOy+V3o9w9GxU8ESR65TSHfmX6cFO9/pf1/PXPvBe74v2cP+J8ERbYg5fzX1oDL
9v/+n5ck0eW//+UMcJfYUvvECbSBYvgLFOuXNUDKf5mCFoS5hJGwtfEQ7f8bvxD8C8ioJEN3Cc7l
n79AiZpLmBXhJeavf/Y31oBzSp7jgTRawlRxcFmBWAJen/sCShTgU9pgqC04CIcH5OnJMU6VFe7R
nIrgs4NswtvbZdSZxurZLbr9ZT54nlt1xn1ArueQtulIi3BxIJHWGS+kxKqWZDI0t0hmUno36fRB
y0Gt+yVG6Y2xzi8TDiAHYpZ39icQL5zFHvHM/jAUymLJcTmm6ULTLBDfcQqPuzmP3EcLFd51HKX6
3Z+v79Ux8XdQwbY5qJxzKR0jYztUePD35YQESWCIpEsVPdK2NK6zpr4nm1S+MebyuJ7ZPOhEuTAB
LYvgenkCary8TqfvPFNRuNlIxJkZetxU3CCqp55ulGP+vuAofffnq3xtRLhtVGptaXkUOF6OqCc1
t3nMAdjRTXYUZpMeXW+2d2Yj9INpQNL+6/EW8CbyHYxXCy/k5XhUYBSTY0OYjIiO8YDQZ4jj65aN
1aUwkf7/ebRXnmHAThKuI6wTxzlHOrYqQNRDNXZjZk20rsbphli4q6TghOWWzl748fs/D7j4cM4e
4BJoT242ZiEuEujL8xd1mkZi6qdsQoLmflTYMA4O7c037uFrg2BWss3Ap0xDsf3lILYxBtJV7cR5
2iKXV+mKeuNc+f7lny/m97vn8U7AT3NYLwMKOy/HaWB1wH0B+RDpdu4uAAgMyY3ApB3teoMcclRz
VQxSLIWk7mz+bmymVTBEZEIzezoC1OrLse2CPlQTt/NmwLqzHqK6+2jFg7kLFT7YKCnnw1xyo9+Y
Z87v7DJqAN9ZSpyBPL4zBOiczdizI1AblJdD0B0uirx17FvRvPvz5f02EDMZE6gHC593xT/h7Z9N
aDjw2yr2HAJhPFpbOo7LO7swm5u/HyVw0KUJYPy8/WerAz59nRtObEKWomuRpYHyN04U4+r48zjn
L4pncSXQ6PBn+mC0zj+zoUEAlFbhvHF6N/sumVO3pmMVN6Zb9MdyEX5DwEXw/+dRTyvM84+Nrj8Q
7cVdx7K8BNS+fEf8PswjlWYECtlLQ5nO/9ZT44WLV0sZDkCwgI1ujynurdfkt+uVLgAlh/wKAsiW
b+TlwLKflGFklKUaT5CdTTlpA410AlpSDnIbySoZNt1kdbd/vuDzFRcvk20BpZHsKkgpPKeGkYc9
gExAEgKBZXKp0IuZU34aTrh72Iwayd/ynxnPoSsJfxcrI1PNy8ssqlabTQh5KGobizYpitowAEzz
l1dFJrwNBBSoIZgq8zyJBNmiP/ZR4aOP0M5hJBT8ofCn4BZIQ3j/90Mt0Y5MLMQv8oW/vCCjlVQV
5thnhx2o7dwGKL+8WCfkQHWsFG+8n79941wYu0ITNDR7NOylL0fr5VjQj0V0r1B0X7adH9ImGNs3
wjx/eymWUWxuG9OkwKDKTvP5igNiKXaM2fdoyNfet9Ksqm/YS7A25mD0Nn9///h6gKyA1fQAm78c
q0PJVTu5S3XXDPNto1VyhS02OcwUhN9411+9eeCRIY+D7fwtki3ysjl1Z26eHaX1EQKyou9SqL+d
IJebx/dkse1igfPtlxdkKyfQfZr5m8Ibqg9DWaeHIkrLNx7R+R7LOxvl7BG5haBL6fDaFa5tHCEW
TLeTAGM0x5FAVxHnH//8mH7PFzgNiCfZXs4Yjn/2nFqsLwNTl7dp3U5/RH+cvNc0k5D2TtnOStGc
81Mbe6qiaimMfgOjUWxmu9ebNHMWKVj2Rrj3bzPm8hexBbMly4PHDvfljY6z2iPjjzfHU0OxMyz0
HfTNvJ3i818jNf5u6tZ++PNtWL7mF8vDMqYDN5LDFnTgxZ79/MvgAE8Zp7A85Dp4CExqDRdBbhQX
UEGMh0hU91HY6ytcrN7+zwO/+kmiMWBfDqSRteLlwCRRY08uHA+q6CD2Vp3P26Qf8PElpvfGgWGZ
gn+/xv8MdTZF+yWeIz1zjX2syS+JrXu7pxAMLAg+DvpaX5nz+yYx7F0lUNP/+Tpf/UYd36bsJF2y
Kc4GrwIlAPnyUNtUg5cNMGhPKij/yaTzn1H8s2m0iSY31oPnUWQdxqPsIZSUgY92tsYg8Q8uaJmy
mRGot4uzC8pnbcB9M3hwdjBcIEaolmL0W2eEV99LXkyW1ICd7fkZwYCA6kQpt22ExXIIxOwdhlBH
j2PgyS+V5ZQHjvLOhY+G541b+frIvsOyRL4kb83Zi+mXpi6wRG1ynVkTOqjK2rt0uXYwZuLD2Ei6
gW4y73Q7ZN/+/tay22V/yCcRgFl5OTTdakjCxsDQALbek8JbHRJ7jN6Y+V778p6PcjbNTJ7SplCz
h7bYSncwNySEM0VWxhj0vwJ3/su8ztde/udDnS0dHTAzz4/58rDjqct0YWeprn+LFPva0gGYW1KE
CMCpLAj153OYV5oA7GwuiDihYGPZclirgM0YNf0EN4RfqTdekVfv4LMBz5YOU2Cs6BLb2zRIVr+V
jp1vsjBPHuimi3/wtVG5IjEMgCm7ibOH1RCK0Y8By+JA2/ibB5HsstVj98YS/9oF4XMFQG+yyktv
+fmzk1ajZNxEDt90JgNM+Ca6R7sOCrJV/Hj753f81aFsYcGwCdjwnagzz4YCwhDFNZH1KD79GlE7
3EysUgUAu7i7+/NQr719sEoCCs3sZX97LwA9zy3nAW/TCRTWZt3UWzDk2Rsvw+ujAEAxpYQiu+B9
nt87P8hcYbcR/jAQ7TtL+AjXsANe/pNr+c8oZ7PSBEk1nAye0NSmzPLRQOK5QHX2T0Yh14NKouQ0
fP4ehD7ij4G5r2pmwHgTzQArQ5D396MQq0hANlVDwXn45R3LhnCWc8G1cEimp2hHBXO7eKsw88qL
Rr2VVZeuqwNm6WwUZTt9n+raQqe62B7aEZL7NiSnbeeEYRS88Z3+PhpfBZt+XoFTweJsDpqBgvaw
/AB6kxSwuJpgvoPjcEX+zqwcVb6xpfn9pXNkYHFc4oN1HB7Vy1uI0dWfTDPGu9IusreJPny/UED/
/KBeuSjHIoICTgK3kJX45SjK74lioOK4qbomx+7p1Tik4TIihW78LMv++r1wqZIv2DqC05khzu7h
gEnDDsDII2Qxne/UtiYJ+Imu9hvP6ixIm92E4wp2FfiBbV9Swjrbe9aApaca/PNmHqZMfw3Lxm08
RIeGOV1mwdRBMPGVFNmjRE9EFOAgdIti2EbrRA+YswRnAX5yT73bTnYV1slmF1iQI3BM+/BF+ZmF
6ik0vdjehmrAWz0MVisu/vbxkEfhg48FYg099PzsHLWEd3QtOiKv55vdeZ4zRAQ3SvCnY1ZW938e
7XyV9XF0w1yi/sBxk8/3bNHjic2ce6ACleCXCggERvbUN3GVbyxjltgWQyHrv3wBGTOwfUGkgIXB
7rcc+15FSZWX8GoDNaNDrbUQJAKgeMFu2Zdo4v58iedfFV3+hXMmXEEhh/KR/fJ9d4JkbIJMI3Fo
Y7i8s+nKp9Yd7Ddm2d/v5BJfsqRtcB/hVZ0NYyA6Syvk2Bsj95p04+a19wMtIqogJ6w/O1mPbfBv
L8wPyC8C+xosLPPznCiKwJoysR3yIWs0rKpML2ut/Ddu39JQ4w49P2pxnOPXS/L6AkqdYgGBPV8M
VatVSQOo2sJ2LLMvuekazd7z2bzcJ/asNMZDcyQXYwr7T3Gaa9ACdnaTQ1e+iQYB4oUuv0BTPQWl
gdAkRi+aZuEX0h5QwrUGrjVmw+rTnEWEaFgfyqiSewsKro86PxT0yosgvLYKduauW+hbNro5YXhU
Xh7iuYGeDbX1ve2b6t6wg6ZczVbcRsfUhJtz1A45YSN7q3gPq5EeXWZZ03XptQ5+YDcpPjhdDzsz
TOQllF3KqImXOo9DBCcHfeF0bdjNjxqFBA67HiFvG8bW9yIFR6EtlX62pkAdawXsUhsWy6oBB/eD
6CEFe4KE0JC/BJEBmSLSmb5mI06rVS+n7j0xeFW8CoaptEkyKfHKDo2BV5CUiDTZgCGKoIZn2gWz
MBe+wlo7OMaKOD+UMAsFwNWFf2w6oyBxU3j5Gg2KjacHFDIYonTrOT0G+kGhD57axkQXXZqoroa+
2k1SZhaaLuJd0TQXZrqVKvdXUBPU1RQBqoR8VppPYI3Gh1RSEcls21lnzmLir9OFMhTH4oe0B3tA
v2TEOL96NGltxcI4IFdFPct+96GrPQOZIVhM7hTyZu8a8YaO1yR5IHwqIiqRu9AtCJnzwYp6j0Lk
2llVQWM+6Ep6nzSpVuWqMiwkiLVvVV9gFpGclakSTHpnlUfFI+7BkeQVALPW8f2KJhdcTUT+rq+A
Mg8YDvWPYvZi61ZF/MONQLZ5401WEB74tYri5Iz/GMCTa9c7WleL9lB3uXXViB73Pzlw9T6Mctlu
m7yrY2TmaM3tIrTcYwT8dyBlKx7qm4ZJx7nwcD2a34e+SOodolvvMROxcWjRBybb3o+KR3tM760Y
8vCEHuWTPSFGXClDQyMqKuigmIKYbtcjZPhvs9Vlt1PdY58E9mytcUNn8N5sjGBe2mKJNHF13rWK
YCNmM1igG4qeWGtwW0WI60tdANbpkmmK9naKFhnmTOo2AGh2iWfFsHhQKAG5qecY20ES5NfQUzPE
XtWo9Fqj4bnuFIOt8ZUkGL0qP8Fm7tqwDirW3ekKP1wmivuKYwy1ljEKs/GjQMjPd6TrCtZBTjbp
uiiaKb5ngezTnY2u1wGgltbpvevMxeIa9B0/ghQk86G6CZrUKK6jToFrW3M7AEKMTqT6zQwGHy9Y
5mVyRRybemi03/hrTwVG9Lk0s1LsvajMyPlLI4O0Or9TNwbhMEtQjtIKBU40mXji/boI14mZ0C4Z
PDUPIOIha6wMr8P62RP2Eu48X6Xe1vWjCVkpczyfWtYExKhh+9lJvtV+o80yrXYYkOtbf+BL2sVj
Pt9GsA1QwbpDSYtpnDhqCbSB34uwVQKMBeEqsLxCYe1AygG99BEoDiskqwkYJ7PXgNBMw/a3scrm
ByMynAoLdjAhKcXha610PsY3SZ2W+MdAXH2RmWnfOKhdExDUjYE+2FKSGAOgo+9ia04EpmadXRLS
4I7HGn3RJ9REmd6QEzP7G3hjY8J+JsrJFEWSjpkNRdFXnWamWNelPzyBb8+8C5mC5mU6U9EXl7RE
idQ/wmcwx0gcVk2KoHIbW1n86LYQ+VeiQeO0pbsPLWgScrzQjmfgEE5I3Vp1YwUXop3NpkMg20zH
qZvhALYRDSpyosm03tamwktXR6Kwcfx1/phuIA6k3qWnLe1esbZTo+UdKKwDLHjl7y0irfNN0Bk9
uXqBN8IUk6P9GEcN+OkO+O68HV1kffDYh+knhgTQNoNfZ+NuiCP3XZAlrFaDA5AdCP5o3doNJPQ1
kGNCAvAueT+xIgTX7JqE3MdJ7zy5iEHNg+jamVbXmAbpXtZEBq17bO3IQlNp/ag1XoStLJz6yfbY
e6571LKIVUvwigjgrO5xDjofZmQyZ/W+Y9W4gzEJAELiFQvW7ZwLjZ/WC0JklqH/DqJ/9d3IKnjE
haUR9qZNB+k9wp1EQEg1CbXOe8/9xvsFqdBnCba21mxxBbWYhpZY7VQBvO8kwAU4V+IurtLUAdpk
FCZ0wmr8XlU4Sla+O6l405Mf3e2kLOMUnxx0zXVdeMAP6Q1hpsEgpGkyypStqOJF+Cz4jTaqgjDX
IHlG0W1jsgOezFaKzzpPKAAPMJQ+pbLIYGd0KssuLNrKe+VANFkhAl5eJjgtwcqs7eCd5aRkeqHI
Dn80hhxhKzjI0ZDwSxILGjfu1C6jxoH23E36G9/KUZBC/6KMQdFOVVs5ydwnuVGM/rqMo1FsFAHY
Hzswh0DrCpHh9RG66XeORFs7h8zT164d9x/DOUv6XZDF+jO+5OxdhigZ/12ypHx1ZVT8MHqmxXXd
dXFwV7kaKqefGPgBUf+jve2LDnGbUGMME8yMWdoGo+EBBkWgxWYaMvxz1RQiAsZR05QXUzUn1a7n
ZjvrGmEraeGwokysyLA+Vy2d828AnIQ4Nl4FSrsuy1quSuHPwSE2p1hiE80hsfB1AWwBfNP7qzlj
iiVbQsSKSSASKVQfq7qOwcTYix0fTGg9JxGQG+JgYVRMyJIrlM7WmgiatseVziR/OdSZlW4mpR37
S0hkhrWdpa2y66qcadOvqjiupy0pZniw4ygXzd3cODNYRkIm4vSrZydJ9b0bDTek8uglfX7BGugL
9THxlSjnzwST69DcAN6vaPcT9aXtcDc4XQvFISQVp+Ykb1gt1ZbMzh3U58iFy70TWcTQXli5EO7P
yjVA1Ww6tK/JdyDydvbJI4xsiU3uC+ZJLCKDtyrCUSMb9Vr4A3XhTtMuL8nW2DhdpvpVEhVdfRPa
OfhIVDGogqH04R9SMv/BdA1lEOooGsY6jmcC0AqqUMQkN2hS20THP1QK2W8xdTXvzQIV0046s3NR
0miAK0d/M1l1Pf/Pho/Yviro6rCmDjzUlWDei9ZlzT7oCgdFGuymImqfJL/bwHlZ4yFuukFfGEXX
VRu/ZU8Kv9zJ/C3OC32Xp510jyOBDp8GbGxqJyPPgrY+E2UHXDxrAa41qTOipTYjrO6igIKDXCyd
ELf7mNhzYCQHEyFredlXIO0+tu0Qqw1LRo1sujLw9+HISL4MqABngo47Fr85GGY4botuew2+Cauh
Rij7fsy7sllzBx00xv2YhbtojPt4jYsTlrxISqy4vj0E91EzNdc26ljnaCTGcEQvg16elmP8NIGQ
f0oBw8YfSJbJmgsZz+kNsmpmrbZJugPGDLz/XuALUpGDPGXHSJXmyctHGx495Ypo1+L7QdXc+7Lc
mbL1b8tJ5T+trJi8daFUb64GUoLZOQubIFuZeuN97tXlV2ZF+0NRWhOZwTbxJxezwDm5Qm+xwPVm
VwNZ6uKfi75CXhSZ3X8HEgpT1Ih9qpthPdX7Ke3qEAOZzH8GFcv+ijqNmRIk1A2345J2v3IqK/yR
2i7sAV277Nybac6IymE121Zxg8F7ID943Rs2C3PV5YojXGi1h7KM2RUOSnj1LmdV2BmgH62NsFKR
QtgVtdxmnHj0ypynkJ2kV6c4WESteGcIseFFLr9ZMiIdKZp+eqLKDp0kLGCu9XzX2/1t0cJXy82+
viKcACtBolo/InAkrNRtzHf+odYjgPzEsfvL2O2hpYBd2rnwi0DolT7UOpZBRTA5JCd6KcYuzSKI
W6IBy9rnA8ZjQ74fOf/EhHyzKVo5feJ7q2bEIT4MDXwvU80bgimXmAfXhmXQR665YRvOEWaA+2PF
aXiPzNwkkpI46Xd+aFzOKd5kPY3WBwkv4t2ctUQtAaC48mOv2dlTEDyAUwqPgVmBe/NKgtV7Uxsf
6qQ0niBelu913Ru7xG4leRN6uBv8ArZgGCSfS9JQOXvOhsZxkHJoXR5Xu6lnfz7EbOsvEuTYq4i3
5zHylX6PJ2Jeh/Y8XEunyLERteylDIL8XKf4MOPEJVKmQKLSAekd3GGtW75o7N7TvB5Mch/Y8QCl
9lP5CGIg2VsVESIzq8cWGmawlrop1044+lckCyYg+fimFhIwl1Vl03ugF82acF950PirL2MK16ux
w3E650evlBedB2kFVSr8o1BWLINU+AIX93umsS0iWLAfcexXe68as4uqGu2nWbowpto8fSjLbISH
FpneDTTnYdeO/nGcwvLjZLjA1UxgAyRktsdQBgeDJszPaVDNpR6ST0Eh42thGvgBpKkAx+KNHXMH
6pkpmndT65QffEd295PRTe4OPxEAYcx/5l7m4PHMKb0S8yB2IvOeBk6ZhKaAiPH86rHtqebOeYkH
lkxacqEadeTsmUx0W83gKQHIEO8kjpB1rMiNwsXr70lWizaTrpJLJHruMVfF/NP3DbHPGoz0OgMk
GHB6nrX52a1dKH1BFu5xuxjHNImTPegUWeHnSNK1NUa3VeeoW5lbyYckcVWzHvrsKh5H45JyxLjn
42MOG6YfILDVjnXHIuvH7T9RhiJUvc+6FVja7FuY4diu6Da+y53qC8YzmFy+wLhVo6NXw5QcdVEm
X4yogDXhZPahNFq1bUIKDavJdbnHvpmjiW2GXcrqma9DaeSwuyg27VLO8sBX0/AS8dXdHLTBUQ4I
XQFmlNBiZzg/SZlBbYjdwd3UVFAPsIONQ+1aUH10eCndKjtC/XmQoTBuZ9+CUqtkfXTM2OR9hNPy
CGXLu0aFcx+VrvejSCVrghuJWy8Lf3ZSPfZcwxdOHaBsCyevPo95EOcr6acgx8Drvrfnojvkc9Lu
halv87IXfDdMplhhwxR9sStuUWGw5ZKdfsK1A8J25uA79iF2I3HKM7JO2UZFjfZ5xfmezKNsiT+y
QGfGnJ0oj5GTpuoBTA1o1CUGc97ndcNSnZzylPCnju1Faypylti79fdxSbINZ1DrfsCkNW758x2c
9CXFhE1/Sm2STU6CE9t3dT/qJdfJb3P76J7Snuol+AmyHBlQRrTEQXV1sYthcZMgdMqLmns3vcYm
gzOUqlBOEtgpXarhaaUYdpfUKXFKoJK69r9ZTLEQfCIXR2DQ2/kFmfYh2qwsY68VnsKs8CK7MDtk
GaZr/D/zdRwYRYAxuCYGKztFYslTPJbTLlFZcHCJzUrqJUIrK3HUrWeHm7cCiWiwAsfEppCCusRv
4br0bo1wCeVq8L46q8wX05ORLrFd6SnCKzcigV9uCfaiJUG+U5PaHRwv09FXlWyIAUuXRLAWnOBX
/CndbU6MPPYoQ0bRZmDW/lYaJGluWNOIF8OOQtTYjLqO4JZTBBm5R/Jj+SuY7BRSpg2fnB9yfAgv
609BZtmvULNTwJmacPxsU+WCATtFoMFHJw6NVbeLNxIm5mdqWj0njqL1xKrTHcwh8gMc6mC6JGDN
OYWtdUvuWgeJI4bEaqJNG5NUX0OHJKStbCI8yxn+04/eKcYNrGD4KE/hbib2y2hDYFv3s29x+6yr
JQmuyoamuMQFiVq4PYXFGWI5K0/eEiJXVmGFflgu4XL2KWiuZ9vfb6awaZ7qwSfGrZgolgYDBaMV
My13z46W4Dq/WkLs7FOgXWNl/tWwpNzNzRJ4V6Rh5lLUaacRHCNHcByxiWFeNsMczegMyM0jS4wG
xdR2abqzTtF6SYmQf4PGg8g9wMDE72EEJ4qvMoGvTKHzJE5BfU4epdlWU33tUCDnoFKBDg1kkRUR
JO2cefvBXZL/olMI4OQ25b2fJCp+Z59iAjnAWgsrn/TAmo7ksI1OoYJzFIf31a+oQXuJHaxQexZb
IxEhvjuOWh/zIaSAzQuYcuTzIzfeIvCqahigXYFf8BRwKDuocUwCk8h2/pKBiO2fw1hwikasfYAB
K3J0jJE1Y4lPVPUSpZgVHrGK1SliMT3FLfan6EWLWtsVgZp1/9485TQaFZ8UJxEIdsSVycKOdz4H
l5rCyJLyiCGSBcQUg+NsklMS5Ejalb8WS0AkPunqe0rfRq+BkhCcYrVpaW4mVCHXzRIxaY0BRrFm
CZ+0TzmUvWvC/oFTueRTSqe77gHNJJv4lGA5xoX1YTjlWnanjEuUfJJ8ohpN7lqecjCHluPYocFZ
jUy1iXXduSvrlJ1ZdzU5mh2Nn+yubVTZXKXoeWCkxHaeQ8bxcpq//hLICUCSQw8uQHI6w6Im+jM6
5XdSx+6nj/4p17NkrqNM63oYhTlFpbfVKQXUaJZE0OaUDtqBONDb4JQa2kyOZ4G6SRxUNqGL/7Os
M4VcHfG8jSCrVrpv2ALMUHCntCc1nFA2jmJycECEYovN6tsps1rrCv89eQLB0OH/BG7dm5TEiQK4
cJFbcwzVWNXY/EaFdzkOQVmjpWCn8EjSGrLoXrM73DkV4jMMrdiEzIcxBejh7MaRPsAxmLx0PFC/
HLpbpepkgr6W28N74jg4T217Wxg8yaJIUveiSsK2WRDMstj2JBDqu3AScPTayiyMQ4wWrD5g30TS
x8TStO91MNgI0uDqBl8r8u3cmKCyVBBcYiXScC4cGkLlpWKXC6K8tFzwqHx5SXOdUOqDvBTU8WBV
a7OgeUSiQd1rKITdXNUTXF6oHj87JcevbtjRTCGRIHemTUBBwWx3PSEuGa7SiuDDBypdJuy2rDBm
cItlELrNAJW3MSiR58pS7sdgzIAnzsrwgvskJ/9qYyXJwJaol0At6AlLwUGAnZQVHKQGaHJD3Twn
Jj2WyoAQZaXAprGgz052bQAw6Nqt4IBg3Ospt9S7yqZUtI6MxuDs6OghAC8cTKPLRq+kywRJQyms
tB5BrtjU48oDIOG1hnfQYWiAMxKTqMNgwx4wKh4KTMj9hdeMoAkIqgfGcK/tJAZlhoXHGD8iOE7j
ZmOmRVcY63YKKn2hQDoGt0XaTdMxrIIkOrqc7pNV1A+SWDY6BJCr66FNcxa3QGd7ojS7+p6uVGjv
HIAsw3Xu2hUNeMy1tX/IQoS086pXJWl3dQdX9Utp0eR6P5EkUjisd6NR17/awX/lW/zvmRL/x4Vt
LeaBPzgTVfvlR/4iZGv5B/8/ZMv5l+sjXMbt4/M/OEn+bU0UhGwxCQLjIlzcoepDH/bf1kTxL1K0
JMIR5KlY6Vx+pCpIGP/7f9nBv2SA7cwHW0E/nBSUv7Em/hI1POuYLilbmGnc5Vfxp6CyeNkxlTFB
Mp4HIL4axzTdzE4+f2rDor3zR3v+FFZ9yJmHRN8fkyfqh9I2JjBC2tbenRfHbbMWlWvFW1zYlDJn
ip47EqYVQX5h4VxbXcAyBJzjw5CiLYT+78z1dqRD9mCSuejRNiw33SAQNDiYFMECgA1BsVAZTQXg
y2+YbL0JwXMnqtF8F6VCz5uIg2W6GbPEsHaJ7+dHaYEhz73UvprLtqcYR68Q0LMsAGcN+C6ogBhV
80Mq0jBXTjHW5bGTBCytEFRA0jWoZMF0tQpZvbcJ24zAn8d1vkUl212x8IXVJcHYpUWfF+//Toi+
g9mUBGDyotLySR4o6SAuR1Jm+SpzrX4PEaMnpbBPfeTksCy/jm6fj2zyiTqg5JJb1GkjOp2bAaH+
IXOHjnPgpLJmnUgzNIFRUipeh4VPvLRVOMtEWefDXdMCJSK5JdEXqZtjB5xLyH/rse8VmJbUzOX/
Y+/MduNmsmz9Ko265w9OwQE4fYCTZA6aZWuwpRtCliyOwTk4vVM/Rb/Y+Si7uiS5yoIvu9GFRqH6
H8xkJhmxY++1voWAumQqSHflFn+7K/c10SP3HKXcMaDlzJE+ha22MT0pTq1+Gsudr48WqDpLPTAO
7ceDHgEVoqEooGtrNlTw0MlSvw7gLyEswQ4O33kEOZJ+wsxePBGLvHyWFm27DZOf6IAH3YTqCWH1
FNRiwcy2opQK1NTXJOnMkXcytH3pbHqIR3SNo9QHvYgXlhNK6swmsBjBNGfKB7mE5shzRy4I6OqN
QUVLBU9+Ko2yUlUASdvU/46fDg7X3MYm4RdZXD0NQyW8LQx77Z7jJeIG8kPmvdv2a2Si6+Vn0mc1
DazS0B79nkhChllKbw8+3QF73y3C+1oPBC2N2ZANm2Qml2OTwaAuL1VcZ+ddpo88mQqke4AIhKGJ
Hhna8zzb1amCDTTv7SaZJ04nZVTvbUpaGmsQIRguZah3QWBOpdE/lg7tmjMU8WRDkLESg9GNgMp/
zfVGeaQjWk10jBBkIQxRlL6+rxc3Ag6Uj2pivJnQCDONhe4v0+npeGCcm32GsVQpAs4hAfHm9Ml8
rPSySA6myW7VYf63y+xgaDlj85bMhYkXiC57kInU/4zuiUSmsTRn4pXUAgLm1Mq9uHtCl56GZZ8K
8Ltm+YD7FGqlTkcLlnvdGEuQZ0ZzXfEknEMNSE+bfsXpJS4BwTid/d2CoCrwB1/+mVyUNQvLE3s5
i6duYKt5t2bJyrcMDblGQEXTEbBGRnDnz8uGN9D4YQv5303tb4aJeOZfb2rHVfv0QD/nzba2/is/
tzWfHYr9gtIP3yKmZJQ2Pxz3bGsUbw4iXsxiuot4+PW2trpEmd+w3yGOXA38/9jWMJehDDJxd6Lg
EX8WxvdiNn+9rbnQsV+uz1GHh+W9Cwpakc9WovrAp0Q9QEZXp9lSkZJL3eu7h77Vij4YY538lo5O
9U5zZUgzcCYopbX7kxh+3FFnWLdI8WkfpiDGzaa/U0DvYYKPIGHT+UaTrkXqQEu0CIGR4762smnH
9HU5nTDJ80wCysZP15x1QpJGZ42GH2+LibTerak5st0B0JLWsZvm/erzsSQjNPz1aRE45P6eKd1R
PZgKpyRywPGMKP9eiLU3R7vOxiRqYUIH5xInnsZZkjp4C7jY7OpNn0ls74Do42nicI9sBkEBmVPW
SGbK2AxOc1K7CVzHes70jeQd3liR4CSot5JcH7D5BOq243jkVQRwbEjJA7zULyWebOzFsFqtVG3L
PDX6dd44LhC+Ga6ZBJW0jbkv1eTYnyOtJUEB/DpZK3E0p0ddPwH7HZfU0AkySuDQIcF20/iotWr/
2upUpAOl5Xsi6cGiQD4ROUmdmqHJO3jrk3taNHV53pBlEuYxughyEMY8yGa8U54ujezM9jO4S4Vf
8+fSTnE5qpS+eLBU3HIPKOuKa93hoHbs/AjG7TMzqTH9xEqRVcg+QYL5rtNgaANv1tMvymgS58RR
IM0F4wAgb8epcgwtzFKj6cKEM9qX1HKmJaQZC+spo/EuAo0YNOukcCL2pUr4zImsvOuWLUzgnPZP
MZP+vIBlY48gzqJb05zyPKxzPe+CKass7S4ffeIGrV4nnyxOowm6TucwiOPoKkiAUHVDjnct42AZ
Z+apYyo4Roy5RABTp6LIETstj72ZYT2fpsUgjiey9Tuag2m8lRyN9SsTzlO8pzSNbntCzx4Km74/
fWtmBhsih31m8VmSX6l4FBRM3sz+i/+Ko51OC7AiHCsDcYOMSp14zjTyIynlXgi7LmS4OmIvwHaj
AeEAyanRoBvehKivyD4aPfvZtS3pQFShEkA1XFEUvBQIdlXnJFhrNnFSWk0JkTaufyheCoskH6kx
FtSxjEXtuCYbyvbPcr6fhYyFojzKWytlvrJk0OYYRs3XrWgTaqkxV9+8tO7JLYQO+JS4nfJXZo/+
Faf8fGPVlRkFSBCqEnG+zK9hv6H8qNKZOZjdVDI/NUumIWdqTix/D6WDmhHZZFmexG1OLdmsZaV6
qTDholJt9g0+ndCi/UQVagvjzB5ibCdrkWpwdDUIvltrV7Cfw8IGDGT/NPb0fgyjFhkG34pTE3LB
DMvc2i/1cPdSG5cOXdRw5ZwZuSlvtXatohd3WADprsW1vpbZDgPGc0cvqb0Ji093aQlmlGfVAdHs
vFTqttCV+2mp3alYMUf1rdvG3Xfll74FIVKbvqatzD97DP4ZtUyWcYARwZAvqch4Cmn/6e6ucd3p
gt5teRjovONwmY2IFhbRalm7F5HtAVaLpi7fWeapOeH2xrPEibV3vB1DT7nRB9eOf6i2/3eH/pvp
IhD+1zv01cO3N7vzyz/+Y3fWAOKYSJZx7OCk1nFzIjH/sT2//C2cerqP/leg01gtlz+PnQTsOuyX
WOswK1uOYSHr/7k/r3/L4AlhdxYudlzH/aNj51ud7mrKFz7wHUTVLrRRa73Qa52ukdEeXCLqyKX3
tb09pwcrJszLIbM54JT32MXGUYSEcAuc7JOoWtII7XIL8/OsKAfzzNKtXaFZ9pno716+wj96mv7b
tSdWD+S/fk5O//M/vj2U1ZtCbv03fhZyzl8vj8DP4k38Zej4bijeVssKz8h/PRzUddTdOuU28iV+
vdXm9vPhsKy/0OPT4KC9QfI35p0/ejh+Kd4c7GY8Hi9CeGtFfbx9Otp+QCQrc9J0nZRWHfzE+Kl4
ObgxcM3PdG1FAmR9fifX053m4kkK1cuZz2sdb0voVvWk2KbHYKiL4ibtx+gbQfVE1CE+NC6jCJEm
6gkNGAZZtOV9nOv9hhEDaQ96ruWnmE7zchdDHi/B6Buc9DkJMZpmUOEP/JkgUYPYMRBE6n40PheN
L27Kws+us6HMr6NyWGmGjKmuKndcRXecKE+lVOO1nPv0XBuIPwmzIY1PVWv0zq5oi2hNrlJRaGiT
TqqJmNuvvWVAQO6ZlZahI1R8nuCZrAPXoR+qBkiPYauV5bTnIIh63GAWR9zIBPYyUVDtN55QNWLL
eczv4rR+KsY1v7eZUaAhPUYozDCOfovUvTiwGz/OAxNo6T2VAEElZMN9sRLjvBA0LLYaEssyyAF1
7jxLuduyUX28M5OqDzUPWt+GSXm+RiPiy9ggHx+coJt0/ZiWRUnvyJTJvSDNZdyUxTCTRaYI5mN6
21gacXdeYQVGDMQ55K/SpbRp/YBE9cGfJEYxXg2Zx7G7E/qFpWsZ8UZgPcAmVH6WM4yp5zYkMU+P
9phKBbz3cr73vEj6e+CR9kQcwQKvvfHLcSsBTK+sSxVf2rbp5AFYm4iuRV6PDCVcK7kjkRdYb+lw
HtggzvJhx3sOnYbKlc1BGcp8LKoh3+uLHzU7AnfzZwnE4ilNiqw5XtqugANbas53s62rm9KKkBoW
8dDEGJUnEi1rX8lv7dzVHNC7aW4PZNJ1Z3UW43NsiV/KONoj7wuYabWf0g595KaPmPeGourzZzNv
mDAJ4WjEXQwMIlC659010mh5Ba0OqiXDUElimVU3x+3ax5jmUdh7pMm0N/58jfwf2uh1frvjXsj3
CLr1n/+xjgr/r9VOyCJirOvmC7fkx5q6Lm8/N1jT+cvy6OswMcS3th6O/2sNNViHBUqYFwgJHtg/
OwC/4AtenX9Xi9nquIGf4oPpxkH3dglNezTZMsNiZmjQFAmhJDN5h1hHJzlgmo1LGoEaMfGDNzRn
YMv8cpOrCV0cyg0k4lrNqWyjTVb9XGsRglpdq6PzzKwIQWqkwpvU0DtbVW2Gv6aYReLR6/qRGMR+
AsyEai0hAyOXJIThsxNXWjkMt/rcJIJpf5XNG7c1Szu0/Rr1nKM3+qe+15Kv5bIIZL7gNzNWXE+f
NkyJSWjkdGDmhAy1ojjhFJ+YRKq0051E9tiG5tTSXst9FwNH2jStsRPw/uE39kaldmaViWOwHlm0
lw19AhSC9bIA1GhX9QkBZPnW5x2yNzS+03zX5WlqXftMyk8mcMIuqnwr439PmeeSqUs3ddPHDeuc
1ynkOeAxyOXgBKCRfBQRL5ePiXU1GNwkLHBAVRvDbT8AOrzYs978tCBDdMYJPi4xsZZRb3/aIjIQ
xsEHCcfIr6nElSYQb49SjgcnKpxPGasj2Z0cGUANu+d6p/dO4JCMx9R1dL0Df3B5+aqguPxx8deY
wbflHCZAg+EG6ij6QJxrgJG9/UhEXQFwHX263Sq3zok7nHDwjh4WG2L4TDTiuz++HrMU6ls8ch7c
mXdeQBS6A0F4BF/IqVt2qm/Tu8hjP5J91T2Sx9v+GG39S47A+vlff+UeuAn0FYxqKEYoV3mjX5er
CoKsB5vGC2EZTtBg4vEYSlFGcnRUfHBrLCC/XmplkuA3tNdD4ttLdbQ0HUo0j2AMrAsoBKrHdKyX
j5gFv1yG5QcuJP9tuh6+4fUXfWWDT8e+ypY4dcN4dXRAU2t2CU2vze9/J0Aqb28HCpbJiMpnYgVQ
gvt5dzuwdu0xXUY76COMqGR8TUKbQiMerfmYaU/a3KAk0sVdYdPqgeZhps9UA7CGGYVXJMaWSSvY
yAtbwNfWE3CPF9OI1YgJ/2hHd5lNcUPqAjE+8L6dmoSW2ZRjhD9Kj8sDMXEa3H+ngSMcW9pwUNPi
fLFHJH7bpVc8QDmLZAvsHSoOySItWSDB0gswCqM3LvIuMWwqpSDxAQTuHJFNLg2CAeH4jrF7cUXm
C2tET5gbitHCrP192nWR/anUGqYMuAYcnYgtmViSwdoQt8QrKtQMgdCUhrywG1iABYMehAjrGD0R
M6NbDTp3nDtucdBKMZNJb8iKaITSGeS5sbC2hr2jspLcgy53oxMFP4cnUcpc38a60We7wU3rggAp
VE3RqRyIZdkK9DaEYI54sG4cSVJf4DHpF9/oY5RAougaNvvE67ryhJCBiGz5VutCf0GV8HXCIfu4
MF36JPIcv8qma4y0v1zKXMtupZ9k7SdrbtRwrfuofA9emlfp2ZITWEUQTCmLVUw6OmkTZlA8jZ3d
RbM69Es9NChk4TPfguu2s8+N2Td1HFhtkp6Tx6yZIAsnNX8TRVTyUaCp+xcDjQZ4btJrkx1X9KpN
PuFZCZfUFt9mmNV4z+KZ/PeB6AR0+llXP2EgyhnlZH3sqQMNXt8iOhhNAfGZstW0G2aAznRUSL1f
DkbPHrWb6sYdGN5Ysr/pElXZVwPuyOkWLQoZdF3sTdiGZAEryPC0ebgomqUkh3aImiL6Sm1mOccc
zQEcI441ynt+C4wIh6QfXSOm0hSD+WDGytX6fW1MsnlcakxnqLl7hFBB6fkpRhWPfGFq3SonJG2q
kNhazE+DuWOH5GcfcOEgq9T6ExFbVral5vPGUCZylMcI19x9nBCQsvP8NXOmqEZWKu6cwHOQ5OSm
9ZpmudueT88wqFyScte0izIPtZ9XdzMxuhzLVT7GG9X75RQy8uoLhBhxRMZVrnA7ZuNM7Dxjngh0
f0+Ta1vUYvGJHdHSceNEHoqcOYpPyXcrPGLLRUqnjhv2t73XES8lRrtFLe3Wdpi0EzllGhnkLSpz
g/QYaVrIfqdyBvbN5JFpWpkkCIadGinLqWU3EwmTnjHMh8SsxUkGCKVkNtb492nlxmS9t5hLQs1E
5LVrmtR1jhzZJP3GRe2oH9OYJ662dzVt2MChKM/MfPDji4HRrrgGRU6WZWUpnfjGXC/Pu0G4NatS
XZH9KaP42h643wBpCluMx24j88BQmSWXs9lu60LDqelbko+8OPzEfPLC5ToKWViScpo8J3kbO6uc
2tQETs7uwTpkL7Qn90g9HDMmhcAyG6YVoSqLIt4VXkqvmSFrLe19OpYE7n4EI3i/QkMJd+FB0pNh
w4FL8K6cYCHpS6Q0WKEnRE4l+qk8ss+hvTT5VtWuX99OUhvJBXPwh+11ogrue8ur/NOyaoYe6Ddg
in1TTroXcJidffyzmBFvfr+RvNuAOZABYvKoMwz2RYDO7yZ+JVlMSdpmCWKq0r4g4l3S8IwIalkM
7YMN+AVz9mqzf7mW5bItrts9g6x3WxY1Zc3ywORbbweyQYtFIoQeMe6ZlbidMel/rpH78NfM+Dzy
NB1aO0aqNk/qo9/f9LoHv/sgHFPXo4S3sgmtdzeNxbiz+lVpZ8KBcA5sOER7sSqiJADt4J96bWR/
xKb49WmgGDAEuA2iLOgSvmvMZVFp2Jptj6FBHEbYl6yxxVT9IWnD5pkDdQDUj8KKM6v/rp4amCAl
9YAMtRpXFidg0v3gI0z4/ff3673YMCv55lYAtgsb522N01RUPwVhsmGZ9DouZNs8GrXOffz9VdZa
8/WvZK1MZg5sBt1Uk47ru1/J6syR2VJBB6op3K3wGxvqWWHs/Mpnn1hH7Xje0x9v7R+1Kf+HHsF9
vuB/3cwMHvqH9k0rc/3nfx7Bzb84fHPuhSLtQYxZKaU/j+D6X8gK6VGatC8FLzaPyj+O5AYz6nXw
TKcRQif/0t9n0vZfELDXUwZoHTDHoEj/7/95c2bo3v3/r89I755GC7HCeuV1LE6jlE/y9ml0bVZR
o466sGtr+4wAu+w41c1Pr76Myx+P3W8vwpsraI4RHAuIHbbR24soDp2aJ0g+XZnCxwJL36Fp5ujP
FiaaC/zx2BX4MrnEL+jKzOu0ipWrDbH/6ic0aa8TqDy7lFDrXaVrxo9+05tv8vVNrTvQqzfsx+UQ
GvDVgYhkavD2pjo7jRAQ0eqLq94JU5Ixg8UjI44J7Iiqf06PYZaQJkg2+f73X+c/vzLvNi+3cGlL
v71y1Uf6TNnRhlExEHSOcX5vMbFdzYFF2CzDiG7Nno8yQdDk76/8bsN7uWeXywKLtR1OUe/W4WE2
AF8UXNlv8OCMI6puguw6ONd9/EFD4ddLGVCW2PbWZ3x9ft7eZAphsxhgLaGsm2lb6NRQjd+1gUCN
Gv7+rmgL/PJbIisCOcNDiCkdptzbi0lOF12X0mIqUH6PQVMpCWPQja9SI3HKLYVge+/RLO7o5VgG
sYm4Qo4KoeR90UR480hUI9QdU+dZQ+b8LSKQpArbOU+foSBZyKtK9+vU5BVGpAkQuekFGYk1G7Kt
MT7WFWexYMFi8nUmluCLPUTDvWYk6XXkMEkLRL4oouWivtdDs+jsKOiixBTbxJ6QfXkxc3lp2IR+
eyKNApIy+1POmk65sVXD7NlAYHwr2NAfyStT9hYdcdHxV8lWBPJh+s9U8r4WOE0304pvuhjHXelE
J25muIFT6fNdFKvofhyK/gvilejZJXSxCFRRl0+0rRrjaMw6EF99X8gb2s5rLDzHwnTTquUmped7
PYvZvknaykKuHTkTp27XXJDKs6ffZZ4xP5ozzalQijEzqHMl2d4OmS9oQFzsOHOfFOU25tiiQgHy
X/CHiKnfWIRXBbhLuj4kr52ClphjPMo6AueHjrIa1jUZ12uunUOSis+5Kizrfn6snTL+rrvkGw55
1sD4bpvkqy6y9Fof0w6BRiuc66W3RqrdzC2esHrSoqfxpZ+h4caTm83Ltie6iKz4FJHNsiTJRUt+
5LGsTVuhMFhD69rW4+xPgUtOwYi2wwFK0Y87KBhMaebKwAg5oIVQwiIbWRbOuWF13bSRfuY/IRLv
PqW6DqeAhCfU1VXR0g/FIo32GteyCpCIZLcRoxTUCXUf+dsxK9tk02VIp+o6h2eB3luc5AAXop0B
zUAHGVYT4NRB79gOBkp8PUWeeEgcuwrjqAF7SRJAfuiBXD9BXSqHzTQvPZEcRjHjpBud6Xnw2uq2
GLP5oZPt8IUAwKXalOWCO4hVGYPfZNTOV0805rwZ2mpQQeYO5heO30Vg1UYhdykrJVb51uMomA7f
lNdbn1sd+21aLcNzT7o8eQHgOBBflvonUxkfEuLMdYV6u2r7xrrb0aMUBua2d0M8oDCV1dNhhYq5
BBmAk2b2cETelDHZxKDwmN+tYU6hphyAKVd18zhaJ4gEgsY/F/7pJC9QzoaMo7zomnYNpGxSe4sf
C/wf1VH/3ca9zPNfrbohBdG/fUeE2c/nD/L7v//t/7UP39KHf7t6UE//+R+vK6WXf+9npYQonf+g
w2P4bq4g3b9XSkx5qVNod4p/6Pr+Lko3/zJo0bj8lvQnheVzMPq7OoC5Bus6VRQpOzpQvj8plJyX
Q8arR4czOBUZCQQWIvc1oufdCSye3Rjfhw1HqjEqbR+hkP2ewrnxwrJ1wc8L1jCzXRY9MDVTHzeG
1c+3Cy0642hg4fAD3ZHFMzbA+SpmvGbtTLvPDsozs72ZLF2OLQORc+qO2BdTP24OtR1nQZfNTbWh
eRw/iTJujqhybsqF/lzr6eWJwexWDywrar+kGW+xWabaU0S98hmzvrEbxZQFfNF3tPeyACspWlxP
jfR9mtLqjuo2jx8ms3DuSPNtaQa4xWfW4xJ3d5/nR3lMgDk/ySmf2+82vFi0Q1p0UM9IiVBRFS2l
RqNK+1LAokJ63NlBHVnjJ2EJdEc5EaYp7q5q2Hf2oCxQEIkN5rnvmQYzx+A01y8S5lojF/skIvHN
Os7zAn+Kl7TZVRon5gARaZrr0O2ivD+jz5ruK442ZxlJOssmLV3xVWemNN2YELvKoyXK8HLT7Pwe
JU4BFqHQMTp5kPNB2jfFDfaglDff8BmHIMzGVnrAPRblj4wxc3YQCGmqkLdMgWd/CKMxkk6z97zF
jsh59uaYqWfNhke6/DCoZngek4lzXrZh7F13eDKFVAivvxt+pSmYOAKBpc8PFpv+FrWkqlotlGwM
tX6GlN0jAy5e6N6dpxqz8QT7LR441FGx6agcKYBplL5xhk4LQfcyqBbTgrKjODBLoOcjGyQfmCfo
jLKja4/GBvdSMIis8k69pTNhwDjDEG3hqjlfIlhRGimhXjNQIE4o/MbR8x8UuA1jU4ncP3HbQfSn
ddHbC3LwFsvCDvSsJIKRhIWUR95kL1CWWZwBxLGHz44tBx4taTn2nRDJvBVLRHBgpdrB/+L7uXft
Ue+cO7i41E5P+vyT65Ar9ZlqpBRHY1TDosKr6txGi589JXpp2RdNNdT305yX6R5dHe2qKS3ioJl8
SmvylMSlx4aXB6rWJMqyRubJTTe6+bwf2ElkMLrl+Oi0Io+DnJYfx3i09Y9ds7Yb3drsk5PInJYx
MEioXYJekJx6DM16QdMgKNwSo4tPFnMkHFKj5Vhs3Ck1021bksJLRlU8XsBsHqbDUDP7Wzjt+TsL
jcenWirzRgg6lGGUNvNdqVDhhsCskirowJ/uBvzumLm93jg2wF7RhWOkGURisK6bdI66YPAM/yZL
FhS4VDLpUWoIkq5HrY7pycdjg8M6xvD3oHtjO26J7ogz5OwYL4+TLG+6QyfTBGBZsRaTxHXVAH4i
vQmnhWi46zKpmUxWM88isJzGsC8wKypy7mbLfWqnsnACDQVEjLGhra8VKpX+qEZXtwStkgmxWchh
JRlhDvQzMidXnyO2hG1PCM24qQ0neajJMj1UxphczAIM6G4oe/cLx54MhX/p21oXjIbJjxIZY3eC
5J/XP3NT+/tC7/SyNifz2Bcj0+CKxMJn1wNttBsLshU3vW/OCjtoomPr1Iq0OoZiUYP301snnDpX
HqSu4ObNVVze0vQ2vy40OOESArf+wixL3E3GGljptw6+Y6Ocx2ZTi6hTPCpuDkMM223PbDmOk601
ORY+w9TOd3Njq5jaqY4gCsfNBR1a/4vGwlpvRsZg3i7pbXlUubWf7rzGwHQh1y77Ro7kumPwbpai
wlI9wDoluxeDspmWRRnMEV7wndtnHmeYJbHSE0zasXtkNn4FdEpLbbTfHXOvst9g1ce8fIWYbvia
kgcQ7ZjmJEugRVIf0FWvGlt4CZ6ztGOg6frgnNaVQ5I0iwfdLblBjDzeyyb2t6nZWE4aKBOXsjeE
MqvqDCUrbHwtqi/d0bRyMr0bIZtB5Jux4Rslcxriie2cI9EtSqAGeqnzbDStiasc/42WaIw4DOUB
W6ZEluH0ouYuX5TdjSWaNufwqTUZ7msitk5LvZxMnSADgz93m8TDaleZ7a7csOgQZmEKstJwwuSx
nPZgYeDbIfpWEeGjMUA+pch2BD91IkUS4X9PrdyZ8kvNRqqHutj2ZYOlHeuMYKJFwuMYT82pnfFz
okQy7iFhzfnV7GoMbISnZj+Mob1ccWB3q8BJFCKrUYrZCYhp7ttPGSIvdQq11R0PmWDCdhBT1z0j
OuquSc/qp21vuU7MB6zl90QmtMMhGnZ9YCxFMwcV8Nt7ZivJco3TVZYostx83AygasRecnhzSVG1
0vokts0WpTi5mx4vBaM8wGacA/kJCkRugad1pE03a0BXtuEN7Jywk95AJDmANBS/c+ss/UXPyXCl
aMWopuoMcsDOpc5OmRM25QLrLGMxtojldI6sZXbkaaKr+IgM5HY8HaXSxZYjMb7hvV6mhX3ORHIy
Lxe9lFYwFW2S75qpdBjdT7FhhWY6mPfxytbZFPh8fIZiXtadj8iDDt44exc9d+TfMtCqPJYU/Mjn
RREN9nFBbnOLHDrXBlg3hPWVF31uIMvwRl1c6KWLw2xRPaSXbC3lH4kgjKvAQ5l2VzRaDBhDTfG5
GLT5StQRoMHEZtGEJZDg8ocGJXvyrU1l3htpm9TrkmNX9zAC0q+FQVwm7vOcZHrAfYtzJDWSST/h
EC6vjBlt2K3G8HTWgX3mhXnMuuHb26JxwFgGseG3z3bFTd1Wniz9bZXJIUHw3DcCBYXyuuikLVxb
32f1WCw7aCWonPuITowMUt6IlGilxm6s49jWs0d0Z069RdjOrCzhWZwvB1LB43sFf+Y+YwBtBcTW
8EEz5Bv8pgU5HFsiRa30aLaGTlzHpSZqiTNc9BKCVYYjTU5q2tV9YkSnCn/y8tnwSLq9TmfE8Nul
qXwXJ4bfmPclrLbuUs6ivMTb7t5nha03WyTRprVXUN4sfNRm3W4ZgTEgHZkx5nxty4j00DJkOtyr
DFMoq0NXiN3s+Wo4JHhVrGAltAEX0OPZ2xSZVXyNeLb1M4Z+rdhPuSgS8oGJNmd+U7MROIubSXdT
DD23aDXrIUuQXw7eLRagXlNttndUXcmZMY3ml7KYsgsTr8W1V3kY7UQEZnzbN0zpg84ZqMF7gw1Y
r6iGu2SmD+V4A2PzprAtzmi5337R/b6uAztRCmTESlXcFkvu5Be5qPv8AkRRZG5UXvqHJYVTdTwD
ywqAKJKKDVFOHUfofR4iyMBDgJzFu2/W3JdQ8tA4V/BhZR7qkYuWktg+hceG8t7p6/gQKY0uSqbs
7rnSxXRTq8HYDyv4+lCYsv688KrOO1K8eURTFyOMwy0cxSbxugPh3J8iBp8XKTO956XNRnAeUlQX
jVMnzdpXqLFzaLrg0bfsPgCgyEOjkQMHYhcaFOsE/Rwf69kIndHRyiV2ESxFsbOjmWmfLLSNdNCp
AO+eZI76aIc7IwKaYSeCzVbKzj9qBsv5Wml5dlLhg8WnhwumD3J8jTCZcn16EG0z2xvLbehI9JSM
ycboCkdSWkete4o+MTnTjAj1QNW1yJJwGulgawhGv6RQ9x9QBVQANvpZbHrQwR3qCMVLY2V0tEIK
3eE6WSC7HhYcg5fOoFh9ZihSB1Q3ijdgxSJsMQdP33I986sjiey/2JCrZgEcJxoIvawYVXXcT9hk
tiOuIpitE6v7B5OctcP7+kCIOZrlyuTwSSPWg9H+tmuY2yCLBdqHgHwIXpicauJ5EquClXMBn7mn
eTzRWIfX+UEHeO1SvLkyAnpBCxbnts7ccRXsvdbJEAZcVE0JCGci9Gzc5IuIr7Iyon9ZQA9KJAmV
CII1eWmlfXWAUGCOH9z7u7mBSeMRwxw2R8JoHGD4699/pdRhr25AP7JO11KPzsEZ2OQrzt3zqx7B
5Y87et1jfz/1XC/D5BtP5RrAof/SmF2K9SQ0QscSEw3S0G06WQfKSX2MHGOlbXw8zWhZFmLg10KO
VcVoHGsJEmZj1whlk/qDDviv900yJ6d/j/AEz8WQ8Pa++0yrosImXBxJsr0zHE7wZTTHfzYw4bbt
NQyRoAeLNxZ1+9ur5FCGB4zskCoBCh5xNrKpc6KPwsXetdi5ChNIAHh0TiDlkwXy9ipi8jg5Zh4+
I4ejO6s43gwOLs18k81xXH3wzP76zbnYqBh/QR5nDGS+u5rl0SToo7GkKvN5RWYEVFs9qofugyfz
3Xyau/JgFABn8QjwcsiLfXtXzCMUex7vRoTkPdtVAIHrTTS3tIatutzmyLs+mjytf+Tb15EBq4PH
gLkIVrJVfvv6ZfAN12d/lXJ1RXbPbQqUSyTJcKInyrnWl1E+sudMga7xnH7wPP7yG3KrTAldblbo
pKO9W4MqR699Z7ZpJeQF44kYIRvdog4z+KaNM/P+g/dxffDe3ClDH4f5GiMvoiKYW769U7NOa5ka
HgXOAFWVE9rExpAV83wjBkmtxfXdT5FIxC2Y6ajci9aNztM6T7/+/oP88iPzOVj8DLCVJvnD6+T0
9Tc+d3oGYkbIIOuZ6YBIXzhHGC0FVaA3OXAUEAYfPln/ZL2nKwg2kDxLZlLvn6w0QlGTeyOLUS/E
raxQThlBmvkCk26pD/Hej70FKFbe+rH8IDPql99Z6BbZicQv8FTz+rz74o2sXY/BiYRUi7pOFwsD
plTzuuc4sTnH/NG3S2yuMNYxGGZswsZ+iQafO0fpk20kQcER9USpwc2JNnHuig63Bjx+NrvfX/Dd
2rBekC2EBY+eL3f4PuOk9rM+MbExBxUUzYPKxBAWH6+q7x4aHOGm67Jbrx1h3WLZe/vQCDjsSe1r
OCJzWW9bPzPCxe4SN6hGMzs4+vTR9vXugflxwfVyqzMJhf27CzoyHtCm12Q0xJZ5X3Bq/QLnY0vT
RIQqphWUMA/6KDv03ZPCRRGwcOzAF0fCE1P3t3fJ8KJlRrOKFrXxKaILE/iVeipMZ/rgR/snFxKm
ixyY/2Nlf887SObUqM02i4OZ12KDLmwOioLxSWbmfzp3XqfAa5QL41kXifV7Zc6oj7OechLYTFGd
hS83VVCehv56e79/FH8RsnMtBBFs7sxE2YffixWKCEFtZ/1/6s5syW3lytqv0i8AB4DEGNFXJMgi
WbNq0HCDkHQkzPOQAO762f4X+z+U7XYRRRddumuH7TiO46MkgEQic++1vgV0qhRckQY53qHmKdv+
OobZHB/8yQ7uRdH4N1PGeWtFK68Fxzdkk3/RG6mVXiOghPL0/s96e7Nn/w/+Cw2wBE2Sxfuft+DX
4yaiSjxxtvPVGk6h08Ubd/6rjw8lmDmck/lUv7nZELHCAQh4uNaq/snu5FOfdU8qf/3xYdhC8u0i
sUlDS3Y8T2HgGyU66mDdajE9XS1NN0Y8J1+1dfoHNw/vHhYACA/cQ/14qKjD89LDDsGzDhIwjCb/
BtsANMv5r96/qrevPC5VulAs1Nht+FYcD0WVJU1qAicg/frxjoIz7/fQd9MeFnK8o8URXJv4Tn6+
P+riPMA7zyacjwNaECYI5tXjUfH3KX4smmDNCuei2ebAeSPNrrt1m5Z5GobyMwhRJAsOHR1Ey9mZ
/eqJ2YlpVnfYoJNKzI71eHxOzMRKgG3k+9+X+p2tpvq3Ip33BpmV8YPev9q3o3GpaH0wHLjQVpZn
jyxLyw5jDVjoesZdKNS+rfbpP1gL3g5Et89mZ4VNgK/gbJl6vcvQYoRyfThS7ZyGlzeB3tkfvQmY
U194WiQaQghZ3D0gREM0eykh9ZOsEfGMnquh6+lc8VcfvXUWu+M5qIrLebuFkW3rBEIruXVNfJjf
7UyNDn/ybjMRZtUawjdWbHtx41LT5Cxc0Sp1jLC4pOj6VyaM/DIO27/ev543GwcAYfh7UaFanJY4
DR0/IRPYcB23lDtiQyNTAkqed/5qTgwCK93BaU7x/O0grZ2NEdmMPllBef5gmGHzmzfK2H74Ugj2
mv3NiAE5/C3e4UwWSOKaATpvL4J7vi/5ZdV2506Wb6e0Pd+vOYkbyAtdquMbxv42wtXZ+iu9sHTh
GVxbfwH+ge2zmzTs4N+/qJPDIXxEYchWBNfN8XA+3gDfpi3EcHJ8SlGX7KuRggFJ4MPm40MhD2Yn
yZGWGMXFnAOiPmr0BxTIDok/eKkbFZdqwvG5qGaI+vuDvZkSFAEg3YGOECrOq+WJD3+OiyYGN0Ts
q8ZWoRK0UUMm3wdHYddooIfgtMx8gNdyfPcUWO29wTCraJ5uDWVXrxydD984RuGmzVJGPsd8s45H
6cq4V6w6gfTL0VnuutnGwFk5sz+xlzSqDyaac1zjsDx7Stnws3VcvLFDJxrHIoSFpkYSPUOoRr4A
6vzTqPW03GMruP74PZzT8l6wDuzrFuOpcexUdNXd1UtdWbH03htcJ959eBSuC0IUs0EVb/ZMPkcb
gPugtcNU8cdLNRs4Djr+UI3BR2ceD4qCjcP+jOqNucySwy+DUDfCS6ZnVYc/ftDbYhU7mVufGegl
uvDVWV/MU2LemZEhhMCG/z6eF00gJaRx3t10Xrt7NxmuI9/Xf2QIEq7KRkBYl+RV3ZaEsdEVNASZ
h8EYI/EgzoFglTAhQIguCeiAHJv8pTqCu0LiQBSa1mbRRgOieNO1vfnNLCyBdTxMmxtby6bn0IWd
f0H5cXyyjLYoLyu/oxtlV6iz6N0a0T1dbep+LZ0FsQqhTQf7pBGuv6OJ+bnypYgPmW8GXxsT5+9W
n09ZTwPGoBsK61DQ6eAU/doES/Mkp9IJbpo28w2cTaq4qwLdmbwGTcOVSyTXnNoT+DMxUFjUlfFb
/pr6gUAm1nKCMYLaGsDmj4Vz00aN9i22FbY7xD5Q/v3oDMNmAipWp4LGh3X53hAy1+CEIfCnC9jD
NomS0306O4/fHJFd5+VbSouRcisC3ONn7nM7YH3xeTCcgnKSSAf/Jnc79pBSIUJwLKf9xy4LtzAH
LXRVcwg8JtbFgEUtU0pEoI1gUza/B4CHF7BUzomJl8s1o7CQUuWkQkbNeqnvjR0FISqKjxUEIbbi
EdusCSvyw/vXsvzYMQrhzS4VQBYCSnKL5Zqsa71rQpUwQliQl9j8oEI1qc8JIEOVe+agceKSOKHx
grL1ZyO83C4kMSTeouiUVScV0FgZn4WA7uXfF4EPKREfi4x///f8z/wEklwjvGpfHAb/+l//menj
4lcxiwGb5R919CdjXvjHr5s1hEf/g+gy9IT33a96/PSr6dK//4rgVzH/P//Tv/kPVeLjWKJK/Fl0
eTv/aeSB5EeqxNkI8e/9Hg9RfcwghIf7T7+HoaM6nCsvUHChAbDJ+l8Vo/k3+hkIzHH/vMjaOcb9
U8Vo/w1yLspU/km02i/sm39ibPjz2Gpg8Z7BSUCQ3I/IGCkXLN5xnBHsKdgpsZSw1UTHf/yONx0c
rbhV9HUkFIBtg94gkp75e5uiDFOXhMoZ7zYJCmQUU0UzrdPYMJWvKflR9N1f0HBqYgQsDwTvDbTw
SlqYYEcJFUWn1hLiRk5MvQ5DQe+1DpRQXCpCb03a4fhAgZuY40TxElJdLscaaN0LwE7gbQzmDmwD
2S4rIa9eChnGn5PaVyzgeWEq01WlltD5kaOJAMEQLMIBrnxbaVW0GbW2yn9aWc63k8iI1ky0Z10L
24oSDVFs3UNktwMM+LwYbWi+5EvUWC7D0Ix+0/dvE7F2oZtuqk60wy5L7a75NPgVHlMYaqbwqrrW
B+DibTKYv4XWkQKx1lsSnK47d6jVO4eG54+YnY/G3RxpHA6rboAg81ylWZfvrXyAQji2NhwzLfbB
PKRg+JxqTQYZOpZVhrH+G2KX8TGNreYWmjDyfZ/sSjkEOxtyxc9GsZ4LX9y0Qb/qqbNf6Wl7Qdw1
4WfiF5FB91Uq0VvinMY43qEZzStNRT3v0paIi2sFA/rTBB+DSm5TX80wkI1ZoDfJXOUKT8CVauvE
oZr9eGmO5Q/CD66g4FzQ9F2Rev4cFmxA5+jpujaUK7QCXjC50YPV8ju6mYfbbBVUZCvNXdOSW9FS
V9ZGl3/uM+drPZvLS4B98ooyWbPhzVmPlbuNpJIOXl3Yj0QcbiuhJreIE3JSd7p9G7kXjU3kdMl0
hTc0UI4aKfRr8gcnjXwTDfWmywyUNY3c9Vq3h9xxcPgD21USt8WecvrKLRz9wnTbz0gFia8UiM5Z
m4tIZ+dAg3kV8oFHnCaqS1CGG1MZn0ZZE9fDRD64UI6cIjSMdVEjF0gt7Z6IqMbcBb3UtwQLEOMY
AGIKfUTzHSE/sh8xKNOfDtdNlYdbEmy+oFlGyONP32K3cvaEeuwasiVJL7HMvWog2y8m3b3oK+V7
XGGpiBXnrojJc6rUR3KM7kfSDkgOCMiBCuVlPoGq09r6wai+BXW7g77rb6cUaVfceD63FR7Dih5R
N20KIYzHIiDjc1OqKHs9TRJODi2aVIys3EUmucPGVK9s28+3fT3cRDZxGC5TZwXI5KYXKq7u1vXC
2OXyw2JnWuOnviL7qIxaT05tfkFr+gkS0lZFr7BKyLK7Fi1pS0UnLkmZgsCptI8NiultVaETBYNr
xqsZeTrzJk3rnpib+jvKT+vTMAmTLRp4JGUPjfCqLfrLPqquO0XI2CujMP85ApdfdznxD6kI0IXq
kc/LV+vJNqds/NmUQX8f6zK9s0XXAqEPH92+r8zV6PrzcmYUaJUdoNoegDfj8+iXRbSlDRBi+5fj
uuyJt6uTTU8SWZ3/ipKNBaK5QOFTZGIXS6v9lYxUoiAsMDniUeztUb0R1uhfG2Ho6gfISsp4UdqX
SZQeQEpfU1kce1o1mCLiDfESiN5yw9fKDQ5dkK6FUu5Tytc5szmWV/BgHdIdaN/DMxzQquYkE6mG
DIg7IDnhxnRyawdxxGrWwnLN4H4suLVD73gYwx8TmzV2ZoGFbUtpioAjh0TEK9X0D/i3v4x2nio/
MlERM2Y5q9op9rGGNj1y1IxtuJ+LnwDF2djK3MEGXrvXuqPdRAXrZEKyLa31QrkzrPBQR+VNRLjR
ZcCt6crUuE170ocTUkFY7rjBat8aKNjjAcVbR06P0H4T9uqS483Vib76VcvM/12H9rfUVTaiJxnW
FUm2IoAXDOPgf/b78ZpPgLIf2mx60nMUzKrvVvu4Fzf4ZUSyZg0qxLoBivm98JX8Nsglsk6iH7za
gKqRx3fANG7GJKgRvKK33fY2NHYFspdHc8mh7QM+HBppsIIKgu/KJKoskZdaPF0jUBcb3hf+ljWo
nzUs+msiiULlXgsq85JKQLriQMGVx8WD3fqeQ5g1SklYHmaydhW8Qk5I+G+jXgijNG9ASCCj9dvG
s6zQkbuyiusVpib0IQRhjb3pTQ1fk6BoaKWO9oMP6cv05RfbLOyr0X0mJHBXOFAf+mreQzZXE+vR
GE97RN7dF+Jr1JXtdvu8vjKn/eASxppWt0lFKh8BOODvyRWeiuo5qFWowUSirWdUzibUy0tEX8O6
i34OY9Ct4jAwr0FpGJ8EHNy/RP8rhTGPJIM7qDRNchfx8oOwuHdbslW14aL1kyuOJ7jQy+o2onu2
SjNL/WY2HODd/CoNxSfL+V62Zn8FxRiRbr2rJ/8WW9k1AW7NThlZiK2iSre0F4sfbtDdlngnZKhd
I+M7jHF6n+h7UHrorwhLImk6IMpY5NuhLrxQldcEHF8Fo9atYaU/jaOJwly5rVretiCv95ke/CoJ
PAr2oMnztW4S/YuudstW5spRfpfafTcLu5t0y87hc+9OFHCsGAYxa7FbJu5clLgwsiiNPFklP0vW
waJ81MUPB39fHxqrOv4LxTFt9uIWFuBWHeRara8Boq0HTFdlHjxSXeM10zAToQAjw7tptLVCOJrV
3tTKQ6bUn6tuH9ELoAHIkuvzHf3lWERulMjAbMXrhmqbxnKX5d2NNd0YzrcJjn4XRmv0/Kveste2
c8P58JpX9o5N6DrNkMQS3lZNCPE6yTI/rqoo9pKGDPSoPzT6sGu1CrLuz7Q2b51I3IVZsUmIgc6g
y4BSYPPx1VSuMmEAD6lUjf0CydG9e511/cZlB5banpVplNQ2uvFXrfL91PXorkPOCSr5MKAoJn7X
2tQ+ZkWl2ThKdeXipFz5gex7InTd4n4iOsAIDUgX+jbU2ZwM7m0JSadJsl1n3VXEsJm8Dvj9wli/
RiqGRFkCMEAcU97HEOigy7PVXksTxbMFHcfDpCoIBsj2k7gwAQwOvbigguBpJbMFGWmJTfEguzTx
bH+4QMF1KweAG1al+S0PuywOVjA191Ol6HtibfMDSpFoF4zZsHFQoFdNc13ELe9+3n5pRkPsUaei
p4QQmrNc+1F9r8voU1bf2mFc7PpMq7yumm51p7nU6v5Sbze1cEZPB1Hcr8hQYokskk8mPO3nQbj9
jiKYs8Z1gpI2rjKvgEI8JneuO+wD/pGV5Hsls+wBQbexHk2z2/U5GctwBbck7FzWwJNWshyvHDV8
qAQxvaaBMDcUfFouCuJy2rUhyw3/wT+afzFyGR6kbJjdWEjQhli9DgYbL6ajh99D3drbdvy5CEL2
jlI8+GO4CdmBiYqQIbvZG2b6qDNyXkf1SrGQvOrOsxF1nos7czXpN0Z7X8E1J2Mh9cpOwPm11x2M
kEyJ1kiYr7RIRewXcGOISY/3oa3EfDHWWensiL4dt1PQbvq4YvIaa1cyWaNhlxJtiYOnXc0KcKTU
Xuhn21JRvwiSLtGfe/5YPpCPcRMDFSSKXDw1av15/qesOn1Wh+QhipVvrplc2337SdHU363SP0my
0vnOEx3lkuPQkuVOGclVbieJ248Y8yqNt9lQXaupdlBEBgedeLxQRfA96A+a0TwNeIpE8aNJeb1s
/LWwUy7V1GIGWN+0Zvjqolt2avs66NSNNeUkLQxsQvTgIo/Kp6Hwb4zO3HUFesy4c7NVWecm4fWq
eJI2thTLUvyN6Zgj/yxBpSa0OQVH69oMk3SvR8bGxgagKh1S0KC0Ri8LsF/GeHbMKdhyYojwywwX
SIa+tX1UX4aE7e5qmxAEiVlxjDZdC61bpNDPD24uvlKivEyYJ+0AhhvTFBBvlR+KcDSt3S1eokMA
0knJygpa37Ajj3QzkkA7OdZIhuLY7PJS/a6D7xt0ojyxizisjDH57AbA8rlP0hoHkuI97G/f7UZ5
dH37MUh7Mqi0FRQmVIrW8MNMLn1FJ2u+xMPKkQ0yhntrxf3gZS5xoGK6jF11FUymeVAkolRrqDA3
m+UOsyArkMBGBcgo0cH64QeT6gV8no2uZ1tbljYBU5Ls5vFTZEd7vKV0Q3OywUm1YpfCCrOpmuJb
mlgbfLSepLfOUcazZxSVmV6BEDyE021BSoxtfKEzvxHt76BQNt2U30djDzewIx2kPthB6w3cIyO/
VfEgZDk5xBylAOCxowrU+0m3dniBdwZftiQgxCRpPTWLaZLW14qlPDftLcmrD5UZXjcBatrgu7QD
3RtGdxtY1nUS9l7cyueCEI41loMexLaSPNIM4NswOMiQ9PK2b1A/+ZHy2xIkopbQjXQLFkwTjJeW
NpiplwIsItd3rNKfSeAauBxsky2emhShf+HXDUknAYynz3aX0J1xjMFAazkV/s80jLA0o+wfpk8K
CVLtutQCy78wBQpyzh6a/B2j7stXNtGNh6jEaLLytcj6HpZ19s1Vm8zg0NNmv0MCP0KvQPMLeVa4
44MxprYgVWscq+tQuvFetDM9FV5WDjHcNSuEyS+EVQfw7i3nPGxso6k11jq2RI361G/r7zDVILXq
L9RW2w9oOyZg3SgpvpBdNbSMkg8WwFeyv7FdNkZNFP0LEVbtKD2s3BdSLGYGRV1TVAcjy0HC3qiF
P2xtq1bBzL4gZ/VQu7FeKLQzj7bTQ/WbeIHUdtkMrIX9h/50UIj722Cc2IQ1O2RPhAZJbUTbFMRl
vzBwB0XBGl5mtQ9ID3zRJdailK1Vj43QUxB/PZEkAFOXNR/bQ9SDJeheqLtyBvCSz2iV6+wFzquL
rrG2yczsnRw5tJ5fxdENP0w+BkpXXkldEehxOL8/ZLbNrIlmEnA8lMkjZCrzaZo5wYqpgQye1NpN
1wAyZ7aXpmZyzjjjWCEHlW8rAQ8xPC4jZfemFwbsoYmq+AQuAAn4OugxPno2K4a9NnrOkquqra1P
PvitR3D4gLhoMmJj10pTKldxg799TRSCaW0bK5dQQVRS6zZiyklRMK3IlCubGuut8cLu92eMv0NY
HvDiGe7PthLO/6TNzP/khf9vvGQBtIEkFyCItPhBa+k7sR+YkwNKrOXA4fBdfI+IcnvWXlIG0pfE
Afn39IE5iIDGJJkEZGDgyZckFZDpTmZB/5JfMDtWlPX4kmvwUjT8UHX1Pyud/p9zg8/IxX9fP91k
Uf0d6uV//b//wRf+q/mvpzz6q2iOK7D8Cf/whc982lnmjnhPo2sokLv/g6Cj/Y1WOWJfZBNotdBq
/G9FFagtelwToTb6AzonGn/cPwk6+t8s8shpCSAfAcpjfqiiOpdLX7fJKPPOilDEaUioqa8sqv5Y
LSf2a5EO3Gay1h0hdxvdKs6xTJcKn3kUNHaEG9CIoxO0UPw7QkairDvdQ5FfU2KT4hsBFwXfPTW6
0mwbRUdP9DaOCTEzGoq7V4/nhBB/2dpgeKA6/MumK4gIbzE8AcQZUe0jdFec9hslU1l6tVB4oi6d
M31Hbe7ILm4oY9EcZhy6qfpiLIGHQdeVwfAgmG+NbHp08Qxj4hxQdPcXGBixQ9tNhKeOhOBWj76+
f6knnic3eu6ywWrini/annVfK2aaKVwqydCrzHeVLa6zcw6ORRGemWrPyCculHYUrLHFRWK8sibH
JwlV5XB4NQ5p/k1h3JUWZcaVmiTdz/evaumkmAecxYOoay04T+hYjqv+bkmGdidtQMstOc4aJrK9
EpPnu558vYCZRN+6W1ucU7adrlu/wYx+i6BubsEIlE9nfst8CxdPmN+CYEyzaEaAET3+LQ0VD1sL
A8PL+r5kl2J74xDd4rYHRdJTqAWasC785trkN5Noq61odVnfgphyj6J21fr9n3Nibh/9Gjo5r1Ve
TtaoETZl4ZnUyOkLNt9VP1APKo3q8MzcPjG3TCSlBKyjwdJ5j4+HaslZxp1az68RNiuIQA9p2ehn
FBYnr4e7MsuiTBTcs0TxtTXHpjyS54h7XF7ZA3IFihN2HO4AP/8jXPPfMrDODbWYVIbfOoMVG8LD
2sY+wA6poHTldRs0H2Tz/X36wuudpWuYVYx5fXx1UUA2KTaxNHklNSV8kWp1KUXnfHgqgA/j7WCB
Q/uAiOh4FJCsrVHaDnt3X6j7PJvGPcbQbM8mpPmDoZAPIeCgW0izZZ4qry4IBCcaB8MuiWLM2mdo
FMpucjL9OWj8+oMSmJlQxo7HmPXTyJqXa03bIU2hXoBzXsINDQsO4RzvzsmIlspX/mD+fLI5Xr4R
fCSOL2i04F+KAn8+n3Htl9WI+KqZLHetWhRFJWltP2K993cffXePB51Xmld3sRvsKrN99q+Wrzkw
AKqe4pBqtystda2L98d6+/LOjwoxKNMQbfgLVPrVWAUpX4ZZWxQ1JAyndnDBohqtf/X+KG8/DEhN
ETIy+1w+Cy9fx1ejCM1hk92bjUeBU9uJprR3UIwwW8qM26gp5hkdwYnHBiFypmras1NhOTlMMrRC
sPMU/JpqrstNhVz79kChmELioYqtbuPixz6zEL5dOHiHyZadt26aeGMGs4swEG4Wdl5CKN/ayuvs
kBZ16zmxVp+5wBM3dM6MYWKC0VDRKB9PkTCsSIpCgs0Rp+tvC7PuiCsHz1yUVFqN0HWGM9d24lPL
V9Zky8n+hdh6c7EqNkHSDHoV1R72VIEZq82xZFkVPPxUgs2DEkLKqFXU5vcS83C2rtuuvXc1Wd1H
9An7MwvNPNrxx5ZdLveYJQ24qWEvVs6ozRM7S9vaM1NBo3loUw0LStsm2E8ACn1q4hFLNrnSJGfG
sRafY7qfmGCsy0xmCP4zdGOxLvR5o8MGYfzObf2tyJXSw6nWepwvv3exG+6rDp34+y/Rm+lFWZgt
BHJqFiWU1YtrhpKuTW3bdB4MnXjT9BFBEgTYA17Lf70/0tuHzVC44dAhc20s5IuhylYEjoXfziPj
tk69zNb9C4fG1b62WgHFpZII4kjx20xjY9hr3Q/tvSON7mCnsoq893/NietGCWSDS57poUjQjue6
zFP48TqQ9Bb//cpW7OqTmWrhI3q3+MxH5c1rhVR49jdwgpqn+Qto7dU6NeWwtDHgtV6pFuGmjmKb
nm8wPPmoR7bB2Dlf3r+0N6sv4yHjRIGNQBrQ8eI1tpQ+tmufFaMOXfdnwnl9i1NE2b8/yssdOnpb
GEa8ED01jiAvCLLXH5S4932kYpLLKhP/UmvmlMkCGpDXKhiQDvC0600ydM2sughBxQTxxgZLdZCl
095lCrZoytWBQT2mjTbv/7ZTd8A05owN9H+z2vT44Vp6ik43h6I6WwWJKRDDdirS8MzucZ6vixvA
wjxvgRgCZdk8xV4916gDU5OaE5isJCrDddhPyVU0JYHvlVWnXwhavNcNS6qn04PdEdTrKmcmsTZf
yJufgL2c5zAv20u3V1BpiUY+c+MFYaIjE7V8r/JzEicL3bzsUtIQo6ak+axSsf7CHHXvGkkmtQN/
w9OnWtuV4BzPfJZP3ha87tyVee++XFHIctDtJO94s/wioq9SqpwVRqm29ONQ0ezUSPXRgKjpYczV
aScHszDOLGpvFlKMt+g/8ddg/Se8ffFyo/YkpMKepybZqLcld2NlJWOy71B2/54UZ2COTtqZ11x7
O6owwa9SchCCLvsSc2vhBFWCIiUN0hafjfomL1rYh4pHKuZqVu1iadgLCxlZOJKCA/wp2QOW6sHn
N5JYcdq35EGfSVo+8ZtoV1NsgYWPYm6JoQ1dbQjVmu6HWYvuio63ftOUWnU3GWwhlHiiJzfa5Y/3
X7+3Cx5TEs8xewkksniOj1+MscplB9lC9fLGji/H30mzMYYy2/Bpy87sIE5cH59MnLd8N5F3viiz
X72DmTRyVGHJ5EElre8BonYbnCf5Q0IDd4fM1LmahKGfAe6e+JLx3cCGT6Vn/oAspbiaQYgoLt8R
BxK3MdTz+ECDtNm12DZI4U38cIfGp96WYYbdU699lBzdeNPqZ0XBbz9j/ACDrROfGOrdy1oFjS0T
pXc0wbrv/DUZFcGlbxfNV1mn+pkF/+2iioeMvQmmkflev9yUV7e6jMt5ZzaRSpua/l9Z7kfPeSe+
vj913g6CmHqWHQPzFrhL5+f9ehB/dIgEVkdvnDTtl1KE4meU0+p+f5S3E5RROAqo+POhgix1nXIk
tUIL49HTujrdW41RAqPWIhbuBlJPGI2u8+EvEgJkCCREL/LBwHR8fF3SmUY0mO3o+Y6m7kRdKde6
7M0z696pu8fqM5+5AJ+zs16MogZ1J0pyOE0lIaQnRkEDQCfZvn/3To7CJhmJPXUp4g2OR5mg9skh
akYvJTyWLLzYuuziYDgz3U48I2AQ4NsRiFOZsee//2omJJ1KT8GGai0xbuyLopqRVH71yUBK5mlA
Y87cu7dvEgkAVKcpM8LeQGV/PN6QdDERzIyXOZFyELGiuKvaSHMbdtRw7ht56uIwl9nzU2LP7Sym
eZO21KAbtFCK34ZeTCc5VoPfqhrfMXvyM7P9xPPicMVxYl6t5g/U8ZVpQNysanRahLmVy8GJAJQ2
rLrd+7PixP2b3yUNRfbsV1IX9w+4DHVKxew8Ip1+ZX5ksOMRX1tWo4s/GYiTGodUqrTLSa50dY0v
U3QeYNH8UyVzzMrUvK78qTuzGJ26JPx/Amurjgx8bqa8noKKk/WR46udp7paeScKU2wUWykfhnIQ
Z57RC5XieCc3F7j/NZZ+PNZkhHrg2Jy9q9IOrno0TiSPI4HGep1r/r1ITIS3Mgfo5PXki+fspcoB
7F1us/uDj1W4axvqBpmTGHYmenB626L86ukvDznwykep5OWv2ux1HQZXNtpeNkFy9d5/Nm87EpYx
W6x5fQBVqISuHV+GUodx2CtF7xF8pW7QtTfXoP/bLyPmgo3pgvdEi4uiJTMmtNFN5O/Ity//YCrO
N3OGr1BCW9qxupFT7ajXPUoh1FyBzmYXr053Mbshzwx14kWeN3tsd4BWsL9azPoRRzIIEuyMVVol
1zlqYsSHgVJe1YjIV2UoqnMBLydHpK8Ak5uIhjdRdmYOr6lP2t4zqJ3sI2F1OyAqiC5Bz2vXIinD
u/ef6Ynlw0CvQZOHnRLdu+XyMeFCNPSRfCG3KNCSjYj6dCs+M3NOXBbGJtpI+ED4/i+5Jm1KCmMv
ya2p4lL1Ypl2hyqJ692kRvWt0gCWff+qTs1UFnwYMdRYbe7mYqZmsR5betEOHoFj/SoYqw5plY7I
O46LR4QfyvcMWbXiwRGQ91Htuj+cjv3Pmff+xSa2eO/ZvlHB5EtA7cmc7/6rzxyB6klT18PgjUiS
zJUAwHc1GGl4K3Knvxz1UF8XFoKIFv7lmn67scJJUl+3M+M/0Gwo10aQXQf5YFLYbcMtB/buzBni
xDI4958wubFpwpm8nOOcVxC+KNIrnREJe24pw87NpHZHQr38+f5jOTXZmNy8vXM6JibB49vhygBG
a5YRWhYi+giLsoJHZwbbPxiF99ahuaeCCllMaam4zqSXRKPRsfN3aRMXh9KFWPn+KPOf8ubRYkJi
u0fv3HYX9y1C4yJL4UqvGcf8LsUgZK/p0XMcj205XFh1n31CgubLNd0U90xx4u3BiNoEu3T2F7D3
IMMd38ghMo0hLbiRVCmm/VhG2VUa1DECMN+/kCly1k4rjR/vX/HJmWLTOQWaABNp1hi8nswVdJ++
cAvUaG3yuYbXvlZVpHmBO2Wb90c6OU9ejbS4vIYSZawWjJT3OWkVqKGvwymVZ0oZp68Hnxl9Z4Eh
erlG6EZOsbfmekxSKmt0ikSJwSjEDpKqX/7gihyCWGEaILdYvmVx4nckVbIeJTLRtuMspKsbtTxz
Rafu21z3RBY0l9uXG8/KHljrzWbwDCm7jTaGGJDK4RwZ6NRi/nqUxfuVaGpTaaLkvnEEe+gKIFWD
T2xfObr2vgw0dH/v37wTJ3Jc03OdlYkHZGnZupCaMarwuCVTAexoYDi4eEDHykMfZM5nWbvaYRBO
/WUo1fQJwLBy5bdddGlko2Odee1P/xZsx+zrZ9OgtZibPYosVzEa6Y26lrJmD9EmU8PPg2bXF2Tk
/O5F5OUdcvCobaaVNUQBoNjozHHm5IOm4gPKh42ybS9OGHHnh+owAQnFR1juzF4j9xQk5JlD2hsE
1BycRnNKg6QFNwANyvEbTwKkg2iVWw7U376csiC5T9h73vCtbBxP9632EDWBvYlh1f8gbT6DbW47
X3Tqct/xdmjn9tGn3tjXv2fxxhplYkvQqNJzfIBTXc0NoCkBHpjE+DNz7tQdNlyWdursOkqFxR1O
ErYV9DPIZhgFYGzfQGJcJsGZhe7UR4SPwlxY5LRIqMfxDa47CXZahtKL2XN3qwj9H/zJuYF0b6gJ
Uu8e/8CVCuZP4M2Ii4/y5uYHTLOGcGTOqpzuFq8yjdfAngJTekXoZgccavUain396f3399RjY4lV
5zIetKJl1kydOGVu+kTtuV2u7SndwGwPROLcjdOQ9Wdu6cnBkMFx3Ace86aj2vcxyHc6F95E4W6L
o1VdF6Gt70NHl2fewpPvh4UYjD0e/8KwfPz49CpMutahGFOLMfye6mYQefbUKY8jmsvLTurmD0ll
DWJzgnFzFfSIdvZTqymfpd4Y1arpAgyn79/sU1sDJsiscbAp04vFI62SCsV/r0oqK6rYQUQfMbW1
9t3kONnOKsxiZRiZ+fj+oKc+CfMm15jLU1hI9OMbEQRdpCcZC/RYpNEmCpu7TinidWeZX7VWeX5/
sFOvps3tpjHCFh+T+PFgetFhTRt592lh6wdROYQ4xGZ35j6euiRuIKufzn9z8D0eZcxDqVJM4ptT
hO3nTDeTR78AcGcFYXUYNLX/k6uCWEh6Kos6c/d4vF5LTDuLeG4kMOCDyLO7qe3rh/dv3cmvF7Te
uX2I4gAn/fEoETpzjhq0SAInCR5cImHxngCvjrVM2egEe0DTm5pDrtTtN3y67ib2BYk3qtT+5Pai
64C369I5XhZpaVn2cYFqysPJGlCUrcNDVRL2tsksqL+rTM2Sp/ev/eS0IdIboiFyRm0Z3V4V+LOx
TA+elK7r4aM0PKWP4u37o5xafrgitIWkTkAPXXwyo7DWHRlpg+djB7gRzeAeaE61exW//Jnl59TH
A7qYwWJHvQzt7fGzTGvDQrOe4DUJhLxJcC8++Xab7wZQA5uMWbAPCHz+kuu++INbSf1ZnWvE7EFe
yAqvjrWlajdUqUmKz8QQPUdFKdZZRvLv+7fy1AOjwENxjrMiFJHFGzgBAIj6VLC6NkBe8T5n+N71
wv2TjyDQlbmnOasw3fl3vL4adjS5RZI1rvVB27jSHS+ssay8P7maf42yeL/hSFu4thlFtVptg+04
3WiTW//BwZBmMQcAlFM8msXaWAXM+9qg4GAavrzuiLAON7LTKHarpL8QxZiRzqOm8oy26GS9ZWbJ
MvQcKreci2XeYt3SOBPIzsBWbeaVfee3Y/PEJ8Da+f3Q7xuktxdTEfe30g05MU/VOSjzPOGXR3LS
0dhocDKe8SLHD9KYtKbQBt69VPr6NtXc/qK31PJ73PjRxTjlxl+qPomvue425Ho02FGCuDXvgjT+
YLYxwSfze/GvX7JYZmPSQsoknDiIWf+fvTPrjRvLtvRfKdRTX+AywXkAul/IYMwKzZbkF0KeOE+H
M399f1RmdVohXwmutwYKValM27IYwSAPz957rW9VHc7JSF0njvgIIfaLGwTRPk9AejdMU853b0Q3
6GFslFREc59GwDC0Gd9NVikffLq/OA5lBgUPeypKnvOBe5UrapU3rbKC+Jcfx4QgM8FA7YMdt/P2
02O4DmBrkRUuKP3Xn16iksUWRpmyGupIvcZ6Fa0hi45eigXe6wCX7wnXrkmniSZvTqtK/uD4v9g4
vTr+2Q1KOE8tDC1SVrot4bzqzekr+QzFRqDL2maEnuHJQ+eyeX9Z+MXzAnkSjV5cBYtU6+yoIiJe
JgpDZeUonXyVU7v6ViGmWwuP/L9xJPqQ7PIZunHBvD6/cHDmMMOuvxoaezqQ7VT7c1pLt7JGfuj7
h/rFBYNCCVLkMkO3UYu+PlQ8JNUQxLZC2xOywWiZA26pKFi9f5RlLTu73W2KbYQtJi0wGnGvj2IL
IxACNhzJuBYKMsdsogcHh/C06Q24CsewKNLig3f2C10UW7SfDrpcxT89LMy0iczWweUSiFr8wOPY
XfY6Huc5Xmy0Za6TQdwNua9LFjih2R6VDYk0+ic1lg4Aw/0yhnUTAg36+v7J+OUpd+RF4Mi+noL1
9esain5OSprhq1HjuFmahT6RKcUHpxz+w5uTTkmB7Id6EVUCJevr44BVGRypoT1NHBzJUNY0148z
9lNdmZ+0CYdgZot0Y/SEtnigfqI78sHKdNUokYPkuguKUygxuPJaED4STASlNe66WEjhJUtQcTF2
MybFDtyj6fZ1aMv7Ondwq0N7tM1dqKlJtY6FsMKVGYZxtS7x730Oxgo7Nj7CkhwVaSLvNYjGaTvP
3UTzpW3U8JhHeD4B3fCYB5I/Ed+WC2lKN3mAfG1FhhxmoliMqHXkhLbHSlHDBkFRo5iEANqN4ytD
hpFUKfTM9qHyhcfJqOb7oZwTOqAFUGF3tGtiz+weYolPQF3Q7tNhqlovxs+CzTECTcxPKQEpqYNF
b1Pu0iF0ycHN1RXApfJJAOVTtwVJR8W6UWiBEm+bGJbfiCLAFCyBPFyPoQFGhpgF+Ci8pcAiVS+x
NlmEen6vVrU9rPRQ0xJfRFrYHTqt7h2P2RbevwQhhCeTGVK6WSdhbxQ0GjCH2k5MYjd+TiCKkqTX
nxbjj7JJkppTpaSmukrtZr5WDRhVyMnh1LjUmFK9jjry11y+1yLBmYjAB5UuEZ4sICcXZS1Vj4bR
EGenWmJfTZgu+GlxVXrZQOpkQc8pxV0w1dJe6tk1gYDoZpI+A0Nxk3ByJsK1ApuWeqgl/SFTydDE
tdk0sDhjvV0pdsrwIGyZ5G+yzkxJKwoC65iYluBUBbM6bsidkh/UME8mpqapdorDCYqQE/Gc2dGx
SzTPatVG9cwxyupjjbNLxfDeiMVp3dUHRwtQN8JinCHCdjjbPCXorXrb21ClL1WrkD4R2tE/km4N
ftIalKwD8FuYXyYu4WfTLoZLoWBqtfM5Z+4vD6pLVSUvNtVkuJN1cNDAesWwt0rQBS4KJ4XsNDLU
WwcRcj4CHLBD+yS3jSNtB3JQx6fOtlvDTYBq4UdtWwLwyOfKk1XWy9qPsSCPDvCMlmx6SUg/SgJU
dVgluIWAOBRcwnKRTTcsmeAr5mLOH4wcJg5BiXS5PNq50eckqewdXNz8O3FF8dWgjH1yGYSW/pDG
ICfdDFWY6pKwFMkrgLCB4OLJ0UnnTosdewjhs+xIsGvgkhlT/FD0MNmRqAxBeTWqhDCuACDXmQcv
S3wzCCMq3TQrCkJJrKr/3MJ2rbZ1i8HZt5LQeCDpcOg3RDMEKpSsTrtMo9ExmDBDsozQMEl+mzlz
40b6xF1KymDe+XrqVLJvCYu8TFWancs0zCRc5gEvJMYYFroZH9oSbDkp3wRlFVBHrf8CHkaSQIwZ
cUyYYKo/xHgpQte2KuhYaZTE6WpE/CN8lGqKvXNwrcur2LHZ1sH3MmHxNHN8pXJzw64Ggtl5fYDR
w4MqUEhgzrJi5+gx4TVxVWiKL0RXhaAniOJ0s7GGAKSGCVHXnaQyuR+juCP5WU6LajXY3O4XpioN
hhfPwgHoJkUkuEgw08j3arRIrCiTikd1kMlw7vq8TDaTI7g7VTmyc0T3PWAu7vQO3pmK75pcG4GH
Jy6CFlmdoxXX42gbt1I01CrMh1nkqAvMQVmwpTERXx0QLzdAAT25zaL/dvFIAAMyynTYjKaAdEZw
rDnv874plGSVAytBcd0ZpFIS5DtKgdJ8QaRYjNK1LA2zSVYK6GUpuy/H1CYcHbCm2kTef0PNiwDW
mfqqb+LiRNPSuTXgd9wZqpDog5J575uxme0TwBQANIaYhUWqPVFb6v0UKQl/7DTiHpJXxRWVlVLx
wU7tjRzXRmTDoA/1Fb1MlEtn9WiItLQH16KvEjO85XTBg1CCiZQTOVsRb8H2sBD1SgvSbzymiGdN
JBI1kEO7DiGMXtU19y+P/P+4pv+JuuSn3c+bDG0vZmYrvj0T4v7KKb38rT+d0prxBz5hRLHIY6EF
IKL8l1OaBG2mwsikFk8Ecqtlo/Qv9qT6B9DsJT5oGVGjO+WP/sWeVP5Y5BE0PCircThgWHwhf8Lc
vPpzSwqu8390C9Lier2LgmJNjYPcElEwTVO0pq93USZoc7puWFwUJ933gf6p1czuqoox+3ZMGbZm
zcLTDxbZpgTAHux5vFIzUa6LXLa8EXOLYKMBt4r597GThb6RJRswSarNV6Wpj9uREGwyIUdV3zAp
XmloLg80n+V1nJukqmZgp5uWyRXISwX2V1r6XYGXyzElqHS6dhBT1q40tS6NtRa10mmAfCh16Cbp
mEnrtjeTH8FUKpdqqxQPqTQpVwDvpGt1NsVVN8Tyni1/fjR6Ambcsph6mJLktj70am0dBMADlwxM
GItTctknijtM9soc1Rt8hutJDPDKTHA9sSYezZxvK5yW4OI2ulSSxDcj6xgZYqdm+caYIPJEu/QZ
jCRpEuOVURbPgVl/Lub6ixCQjNTOzyznQMzysbRGQIvVlRWaV0pYXOWF1LqGhkQ9UO6AgK0ks9qY
gT9YV4Wd3Eaiui0sFM1qYZ3YRfgQFdx6UtiNkYmbjVeD/ZjE1kqLA49H6sYeiQdvxmM/1Dhgugpf
k/S5bs2OZTO/bhuarZOANGgkn9sRN0qbPxByeYxS6zD1wVNazg9Dk+0CBZZl2ZAipfphZ61J6rqe
QgF+IyCVN2QTZJVPDWF+I25gQwou+76c4FYl7iA/adkxrL+PQEXLOjmS5X2jllDqqjw8WKWzHgnh
9exQPRCIwCuJ7YtIyX/UVFdEVrqm5JwqIbZ1Y1+qNUfE/TkTR7sN7WQ3J4Zn9OmqTS6d2KXGvOxC
w69F8EyF/K2w5pXUXktqcplEqT/NoHRSckO3hnrVkTYrifU8P/XFjgTyT5EyL2mHYtVPYMBk9bkq
1W0K5UKB6oRwfeM42QYCSQHJqH2UMmktpHndhOW9EdyVGtym7EYoAe6ScdOpyYYHdxLFV7EU7iRH
3wjCox1GlFprnMiKOamFva7LT3PzEBTdDtfKZ3iRqyo3tkwTfehDF1M/761c/xyL8AqK5WaUs8tJ
YqOjlxypBiZQt40XatlOSj83vbJnB7E1KvZ88uSN0wSM0qT5Ym9qVb2g4x6eKPr2dNU/G+ozV9Bh
Fs1a6eWnVH1K7Bsl4nOqCcsLanLWhx88C6/ldLgteo3HfbQJ09qVR+CKxWMh1WwaTeNAR8K3q/ao
Dc6e8uQ+7oxV01bYmS8abIN22q2FcgMW/0FJrLU+XNhgWYwDHGiimq1p40zjEXD4QZhYQ5O9HGZr
bZHt8/S2Cm2jxq3fNOFnJyNs2iiC6ykbbq3l1ots507pt3V3o9ffc7AHWrIWENAKI1mPLehwGASD
vTNFvbbl5qiVydqsnIuSNrvLtqMEB5qMbklcDyAYF8IpezagYVp+aUjiMbOM7aQG9+yl/aaqjlKa
A16TnOu+Mg6Sed2HNadB3ZROuFOpqoZ5U+TCn4p+2xiNb0SfJ924atoGh0yTbYZR/hTU/YnIhwdm
918Vm0ymKh7Y7QrAgK0Pzcowy5j3HG7apgKvUm31cA9RXe8X9JDudqoa0hQcIUTqzr3syFeaI7yM
XHowgHHhCYb6rqlk61H5MtkTO6B5FTrWehabmsuX7T0uqP6TKodwOUXwIwpmz5HngHI3PTgJHhUt
sVzyzA9VUXyr8C+xjgcQMkFhyaq+F3O/NqPhFljksMpspffp8sZeWmXOg11UDQt+9dkJInHUo6S6
EG1We40lHyjYLzVpPoLZp/wZJHwZUm9fdgF3K2O0aKPHhMtj+wyU7Gg6AITtpksOJMxeL6AZt1QU
Lg5rm/NX3crEN9wq6lNazLetkT13ZX9qoFEc6kiw624LeQtUuD+2lYpnldC9k84D58bIG/VqmDTl
pMqPGP2MJshWhOethkT2wvg+Cs0YDX6Yce3WysaOrXXjXAxO/JyBzEGpks9g8SDNh82WsIzrNofc
l0zlvZTPfgpmLGPEeCg2UgrDLsFf044pmdD0AdxGBAZ6hOHgZLKzxYBN/mld+nUYP7DmZ96SIU6K
OcXvJpPLg5rYj3XU35d6ILmRsO5FXAO94sNKLeYpXd0d8+IqzuFQwFiF2WTQsWjycd+r5TdQfl/n
TrsDa3QokqH2gpDg50K+JOEdYpUiP1ZmFTxXwuo8YlncNubuGPcFiSyEc0K1KrwSRJIXUQSAEkTK
0hbcIEMnEFVRR8m5WApv00cw/gCesd1JWhLubGW8SOZnmJOPw8R3qTQmkk2e2zCVcMgUifRNxiWW
96RkSPPGKephlYbaRANkBkdsZKeCQbTiAOcyF95YPz/KnfZDmmrhzoqDtDjB4mdoYYBohRKjG/Uj
HaBjmgV3yhx8TodgyYs+9YXziJLzeXDUK3Rxa01vv0XjrlZvwnIAVAdFueWhdDfUtMISWZZWmtHL
kC2pw1T4MJuhBJAVVaRwS4lEsZ92YNHGQWP5zm61LByxeEMd7QlBEP1cb/TGqNfBcsYyNuWe6mTB
usyU7qKNbO7pqf1U1JAXiBwLjiCqNRelRXiMo/QiNnl+w6emExFkPOD1uv+uS621tpmJrcaOgQho
JttNnbjds8H4VpjkSTjpfMTlCnJxjoFGKXm/KwIjPUaNmZ5yc5I3sa60a1t0gFmb1iZRu0KeK7Zq
LqpFdzeRe8AmaaauM+0RfKrebAaz2GSapNGAeazGpzrWjyH55V7uBFeaRZSiBmmD7YXBOmXfSa1z
2WRiN7KMaPKwFQ36nrEVCEjlU5h+cUoqQShnna8a08ke6lscACSmS0A95VS6TmHo+lqV31FE7ifK
MjsKhNfXfbSutOK2HqPjXCQKC1ubgToW1d40OvtQtKQreq2kWaeKlIULxrPZFRnxrJ5LliQZk46+
LpWpuCY5gLOm7SvZuLbDyd4NUfXYSlK41uItmZTSzUxIyD2BSNPsak6VyDzTBjSt0LL8MeMTH+o2
39R51myiWnsoKsvy+0b68d956WiK1Gso4zWLbOl2N8n5SNlL54Oc7F0NAz1dBNFjNV2oQv0SN/lK
7dVvHftLvQLLFf9V+P2nzvonPYj36qyn7/n34lWFtXz/XywqHeIUqklMaYua4KWO+pNFpSt/oCOm
O4xBgEprqZX+VWEtxdZfFZWi/sEgghsWlwcREVAyzgqo9wqqP6PBfp4FYANA6rOI5in2kBcv7fGf
2vIVLB8jNoB3lwCtpY2WsH+/mlM94okTtk7Yk8s4LtvksG6k+IhSJzc2CC7mS2umWbQzYY4uESeq
VG9UrajRYiVzi0NfzempW3mRP01qj8S3pvP6QMfPerLLdI49KUjLB1sDIeR25MQoFZi5UrLgdNPK
s4FPagt3LRC2Tt+WcUVRhwRMTRM/JAr6/l4xwzJdh1kdaZQ8jUikH2nW6bnw9D5SoCTI9INSOmVS
stiuMV9DfJJDRQIBq9FZP9pBAme0boro2MqdNFxkQwxbcM5kFd5jNiXUWdpsN1eGHJv6jiZopBXu
NAtjoi1bp+Wz3coIFO3I1EISaqgLIl+xpDRzhZUa9N5wfUfqJhnAfRyjrm0DGkLo9vGhDZ3xTNPd
lu/YaBhI2FOhzRp4PSOWiuiQiKTMPxWaXfefp7EZxb1Ih1HxKjHmwPSGIsiXhiyBgCvHwQyYe9Zk
atNpzsB0Xztz4HweUYtXO3IY+uhiBH5kZu6A1CwRPFWkKTBw2GMkUD1GHQEMJ3JnK5JTMHnBXA1C
Kp+1oIxVwRKUA60z6I1JJcKcYgzAA2tTYFklQZKuOgMF6n/IMeODyHfmqVMZAhRVFN1LBCaZTK4J
bXP6VajlmHLc3mhHrT1mNS4byL70wNKvxNb3oEEJyoQBmretnm8T0xbxD0IMJPWWta/YzLElIs+Q
nPQ+kKv2Gb9HAtM0g6XqFC27ETlIskOddVWyY1Qg8gsLHRKPocIyHnHEC22L3tqs9sWQK+G2idQp
8MpZp8/aOdn1QNDYqtWd+rrqOkiDZsTe220GqP08fNpdq/aDX9vkWKrV4Dy2cl59Afx8CbrdepDD
RJqwUmv6damJ/KtK/7n2dK3TwXbInXiEgotdY0z07LGSR/m2DrG/F33lPOGtCC/CkK74yqioLr3a
cEraw12xHmLpVqv6mXFOmR2mOKMBoU9G+3kwxuo6iwb9s6oLcOlqBESGxIYYlnk2a2t7sBXGOTwb
80GND2khS+uFTKmR975jwINXoQHLa49sormbf1A7lj7wSEqjWb7rsxYAc6eaR6LJ+RG6Km5Cu7jp
X0YSmT7+gNYsDtNUqn5ZsMfj5kgJ3mQqc9vkTVl6zmgkQEHVegE4p0lu+lmRyialdKZFXkqsZbqv
jZj2Qhwrjray6VzY694JmvSUycqY+JqJRfiR6yAZvi1wDsfLmyGQT32fZzWq81Ayn8Kkmfh4p5HI
CpjcBjuzaCbAfkk5kE7zGBA7IpFFY1067FxMX20Zj7vlnEY/UprgPb1ts7rpzd65GsdYfLGVtLWW
KCgrIou1VVt+UlzeOxI2QWjFzFpgZpI19eg4eVH4Qu4V2VfTdq5W5aQnKgiBNmq9MlEoeuVQVh8H
Bd6/j7WSjaI6VARnpiJJrXWkl3HxnDdRKvZk05fJVqrmUPGJtINPnM+QbUp3dIaof9DM2h6pbPtS
9bQuTKJjXS3CzGAUzdy6IqjN7Ls1FGpypVd1Va1brRRC3s4EW863bAhaiVCSWs0OoiChqlg1dO9C
V+t7hig/PeH+6tX9o+jyK15c2/yff57PURHOM8UgjJU4ceQO5xRDOMHox60ugHDekpBcWBgRVlUl
2t+c174cB3c3siZEf6CUXj+wDIYrs6X1gTsDzP5SRcP0RRHRR8ybZdD+82NxOQqtcvZaaJnJfTob
xM/wfjKTWeQCAdW2GOgJfCiz4oat7OjWVdpcTAE3xfun8I0YaDkqvhQT1RbsnzfskGwoHJtPaIlm
Q7rRSqMGWl2GbK1bc+ITshhvmGFLKZp1pwYvW2mZW6H3/PT+61iaqOdvnok3Uigkxyj1z04xaWwW
WbDktoVFSEMgCY88aumS2pPYvX+ktxcNeorFkQOUgphwdWn3/rT7sFk341IBot+GhXNnzIGynpvp
I8nk2/eD+kaloY33EXPHud6hsPKkBx9PfeZwPzSOSmJQWATHqR2r374LaMHDSNM5c4SfnZNH5slg
AmcWgWswVD/YDMuiQf3Ip/WL9wPGYwGToj7HVHqmVSP8RaaESxz29QGbn1An2qENwMeoaUbH97c/
InOR8nJnmxCgzqXaCbKNPsRdsngBHyWZrJM5TOMProNfvSP2oeh5uAbo7p+9o8qoNSnWB8edtaSM
XLnr2vSQ9sXMvqps6n71++8J8NBi9VksPxob7Z8vOxPU3JKJRuvEbLq1KlrHxw72UWj0ucwG0Cm+
G5OpiL5Eup1b5y0EkXA4dMeNDHpnTU8f0ey4uYXUd/uykL+9/6Z+cTjKAgYwLzGp+rlZwGptLa4a
06InLcUPI6X9Qcoc9SA6pzxp06T/pmKSUR62eY08KofVGBnW65MYznSnahJ6XEQVppu14TMCG9r3
vXKaTPDoap9/cMS3VwlHhCLDA59lDr332RHjUIM/zRHhzJXr2UJnwSPCoXuYfoT0fLv+c6hl0dAQ
JCPHWhaunxYmQy+aHsG35bL7BrieDsOawNjuzrIZJoVKEt9bzYCa4P2P8FdvkIufu2CxvOIJeH1U
YWYhK0hnuejt+o1UxY2vVmm9birK/fcP9XblhWXH6s5XRmp8kK8PRfOvCNj0Bq7COOwQS9ayz2z6
7ftHOb8mlwcajgo8gvyLO+FMaVa0NmExVs41n/XRl1SkEm7zvPDbKesvc8Yw63/jeBacSh0swbIA
v35XSRBmkFIY0jkWGJNIR1HVId1/7FlWOpf2Vv7BaXx7nbA3YF6KGp8Ht3IeTxx3s7Ro421XQUjG
yMtk661GVnqnk2i+F47DPGcy6+F3NZdQjRf9P25C3ifY6rM32o69IqaOvJl6yPW7rJoUr8hISSmE
0X6dMFncSiXSqvfP7ttrRjXxooM44QGHge/s8tRjZ7KkhqxsOrPMOJpM1r6oSGRW7x/m7V3AfAUt
MrpOB2GeevbeaGT2L4HqTNZII4GY8I01qNwkDtHW/8aR+EhouHAw7LmvL5c+kQVdXETepaw0jJlo
6Ln63MDoICjgI2Pc8rJf76rYG9MIIXBTZsfzxnpshqJTTMQmZZBt1AX1LTXW1yHU6ORp1Qcsprcf
FXJjvMYqdgKwLeesh8QqRTBLBcoWkGKePAa0io3S+eD8vVF2LGmSKisl7wgjBTqg1ycwiqoxiwqL
Vm4wD8GqMwcGZ92kdtPKlMrCIanK5pwmvRU9MlcRAP/lBui2JkVWtZ64PYwFaKjnhNIW8kfYjV+e
hGVLARBigSuevTqDSjNoNN61VZm1ZwaM8Scz+IjW+XYJIIUaxgVPe8wxrD2vz4GNYjeyO8YJEZm6
xxKi0VUoo9FT7Ka6nay2fozRxXxAVXv71uBnQE5kDcBfyvt7fdBBsoIOsJ7tNpzWTWRM+apxsuiD
1W1Znl9dsgjxOYiMHxDEq31uvtYpfdtk6ExXKAS2eHGW0oSKyY2uVyJQDekU1Qm0cQOkDdkUWpV+
f//+fHPLgB1CUGLSJ+UZhUHi9bu05ibOW7Pi+IRdHLtwpm2hCwWZRjEx7Z3b+CMD/fITz94xprUl
mp1NNI6ns7WncwICA1nm3dqK9OJeD8oAAWgJkHE3k7XnfPB8fPMxojo2KXzwZr9Y5tTXb1CttBa7
mWm4SksWtBPgrMC9/9sPqeUorKhs4iGIYP17fZRMDL0Nc8VA3Zw2AFRLZWOkeuMppap4ROhV3+rA
6D9aG5br/vWpZD1gkIX4DIg4e8TXRy1mUG+9TlRN6oSI3ZTxMTaVT4VjneyouTPy/ouONEO3+ruo
RO3x/pWjLLvP10fHCIGdDOP7wl86v0Hadm4HZcoM4lQM4Uu6PO+iMOm8dDbGK7OmjWbVbXJdN92w
kRq12XaeweTt2/sv4+zzZf+Ir3N5GezoAPKfG00SpSzQSc65l1gFyYEtnFp64b/pGng5ikkMxVLf
LuG8Z4tBlobTXMXEtBrExXtxHYHQnlPlg1N6ts6BhFMNnibsANiiYk84W+fiQsUYu8TyOnPvhOsi
MJ3ntontzEvjTnSyC+QIzYjZN/ZHBqWzu3I5NIyMZbfDTpwycXlpP+/G1bCyoxlJOPNc6YaHRk8+
o4byaS0x+W1/rxjlaDzWsMlibYNF9oY9Y9IdAxxjtl4bMoFIOetEX6ZJl7umNdgfEX5ersSfrlQO
hyUAU+AiuQMXoJ8tciMzYhErVe9hA5cQ4iu9UwyuKRpr2PTEYbb7LkFciRNAmNNd7fCCfFJvbGlj
OplUn3ThIBUGaNL35rOQAQms9B6hwMpSQ+WuN8s8QvRWjY55nbHf6XeGVQ3GPkmVyllDPSfxw23Z
KZdID2Q9eX65A/4zA/wnZmMYOVwntJRo9ugQqn9aHN5oL3dN9kxMDZzs5/xZ0OBt/nHxHQEl2TXf
vv/Db9pn8mt+EWPzy8P8OUqULOMP2InYhBgnLiLLxbP+5yyRTeYfuD81xLY8W+AGcVX9pdZU7T/w
+C8eVMTzuEQXEMdfs0VJXnJyMMWxYi7BN0vz83fGi2emnwVmDe6GnTwrH7kv9Kpe37ik2edhH5vh
U91XhYuS0bhRmuRUNfNBquvvdQ6qjfAwdwyzdq2MIZS83G9tGuZxogy+KLQPFuTXi9hfLwieIQ0L
6N7y+aNwEC12kKkPn3JsEGspZCz28gXrdLySUnayeSc//PQ5X/15K//cGT9r63IOoUTQs+BBrkBW
gsv/+iw0mlpIDCC1u8mU0BAKP88H8YmBYu22Isp8QS6AV9R57pH7/Mkk7/P9F7B0Uf9eYRB8k3YB
73pZQg0KY/PsU8gjYLC1GO2b2ZhcJ+5dlAPTWke1YkrESMuGW8TaaVJ5Rv7ugVm0Id/xBIbixf9e
v3GBZmchWmk3qikpKJrS3h3isoDI0d86zbBudPPWUDAvlPrT+0f+kzPy95vmEuYDZvfI50zgEdXW
2bGTXjfQvEX5deoSH8w/FxefdzsmpV64IVzuaJwcH6XjFgXtztzFG3MnDoRYniQ/Wtkrx3N8yVt+
f/m+aiu2xbZ1r8S25T/JZ9qpV0i9XJNv/Np7X6/MVbGVn8TB8fWVxR8nX4an6So7zJvxerwxLsJd
5Sun+RQenfvxeiCl252u1B1TKK91LQ90ki/8r1f80K9fyf30SdhdcZ68eHVtrDoP/fA68OBD81+a
K22JSl3JG3lT+vKmX4t1/iPZEcu4GjxEXFtjlWzKbbNoFN35m3xSdtPNeDleSof8gM7uqF5IW3kz
7Qev9juv5KcpO/Hy823f2Elrgs+385V+ovjmJ3Vu4P3YHghtdm3PWi0vw1nVWzLPt5l3m7uJZ3va
LtoEnrEzT9HGuWu2g/uRf/Blr//m86SkfXG5shM4+zxj4nCD2kDzuV5d3sWucqi9chNe919gQWot
gkvXqfyc1LbDvA392Y19xVXcbD1vY7/c8K1+7SXr75vTHgOYK7zbyR224arwJpff8BM/XZGc7WWc
8mL554KWyuBe4wxCIty6xb1zVeBD4derYSut2AB5y9/dflQRvN64vly3EIstancWdor3ZUv5016n
0vOhDXotXxLOETEZg70nwznZOWWxGQCEMG3EmBWG9pdWbmukC8uXPNpHBMfvXn7VTMNTEfYNKqG4
dSs4RH6MlNxTxoq01r6kRDeVWkYyPXhCHcv9yxclab9GahV65OIBa8Y7ioyBpYHbSD+0ynAZFIm8
D3gDeyds/vpSlCY50TidVn//3sv31ePH0Tqvl7GXM0M9Qe+XBxsW2XNYcEC8XzLFIrmmc7qXdOlI
FORN0kZHO/8ute2tgpSR+OWTJikXqjHfsjddz/WO6YU/E2mtzvtE/hZG2rHQhzsrKZ7L0rmurXiv
pM6hy9uHriQhrEHjWXxhGPHUtPm2HCOYnQLrZHdySnMTK59samH8TM6VbisbZtxoIeZoY0KvCrrx
OLbpOtFjf9ADv4wujbRD91n5hEqSOWR6rdlvsyUrWpZXut4eEiO+1DLUj3V2A6H7dmjL/cBU74PV
8HUt9nLqwMICC6HRxS7zvFefJ3bHdAzRqpzyqGkTpBe4dZC+/4A/3xzidqMYV1NrYpNEfPd7B+cj
4xNbQElU8fQq1bPHzyisxqhaBRNnRPBkUMeGR1onqbw8NRYty70yXkdF1t0IXSJcjByI91/A2XWz
bNN4BhLXx14N5ND5HWUM+FDHwZgvk0b9nuaOcKO+zhesJR69Bl9gS2k8O1XsOkmjbN4/+KLU+unh
S+ogM2SFIpjbGeDIGxRqBb8yLDpDviOUQN1OeniT5HZ6ULoGaV8gISgnyxmjZXlRVuUunuPuIjXK
da/kh4gG8IWpF8+6PhersAVSEI7VV8BIzV1uieSDnuGvXyllM9UELd43Y1JbjtFRWPJdp8RPNoMf
L5dxEyAnPBRN/NSlyJ1jur3ZTFn9/ll6KXL+Xt2Bh+DmWaIpWN3pVRgv7umfVj1lyIWtkjN1nRUd
FIoh8FG+7Nar2KryTSSAL3UqPRgEu80pjyPG4lZxP3HRHMKCptBQd84RQdI2FFF76HXl0Z6K4Zqm
itgIkTbeyy/NMqp9Qx8mjyFSvMHbc9+FeXai/UVAqJ5cW20V3Ovtac6H6ZiEe8eK+ttSiQSGYuS1
CJ/Q6aJu8Rq6/fu5KOTVXDTtjRUGJ9nsDaCpfxFjfqt+uitz/v+/l7/ztSS9Ng6j9kX09/ev/n+L
9wQw9tMV8qZYuou/C/G8FEbF87f4+z/+V9gtv/FfP2sqX37En4UQrjVyRpjws81e5uLL3OfPOgjX
GihsOi8YbOnSwkz5f3WQpvxBCbQsi+wSl9E2xdPfrjW26TZsaxYPSnP9t6qgP/e5f1/ddJ5l0pyo
gRyaitT659lzWT/gUDXgGBGst0vI0hbaKazKL2Wlzm6kZjRTMOJo5n0X2HtEHXtYaBdV4mY6C4VG
/3OW5SerUixPMvHtauP3EJ3XlIdH3WMngW3JDtZK/Ny06meMo5Onx2VIHz6rPFyomIia5lgYBiJO
jOGq/n+pO5MluZE0Sb/KyJwLJdiXw1wA38LDw91jXy6QiGAE9sVgWO3p53NWt1SS3ZKUnttIpjCL
WUnSF8Bgpr/qp+KdeJtp7vL7ID/R6N6Rl7XDpd3E/tptomYftKCDto6/F/751OM78zxKqKM0PQBj
G7bCXlcWseV13EcmKTRitf1mycNQepR74/a60jVsxmvdpsr9HBS39LxnzV2cXwMeEE3kxKuLZ7Rg
kLs1iyM94YF9Vd6X9/mKTDaL8rd4tPQ7Qid6WCURP8L5Dkt1KDflxnnW4tVCBOiNGEl7z6CZvOyD
ZkQ0iookktlXatzV950fPojy2GhPeLTIJiu2TFESalYTqbA02xuRb/XOx50YSW3eUml/SbyEaaVW
V+V8AA+5c4fbRgO9sBGDd02wt6zLiHxlaGzpVutNCkui4WX51N60t+VT//lP/ec/Lz+m7/33v35M
383P/tv8/M+/xu/8HQvt1v4cv+1PBxUH/7mJ4rMcR7mJl03AmfhgenloB0VItDa0BiCG+7Kt3spj
Ljc6PgmzeSXipMCV8yR/Kd9tKxrJ2hQP8KjvZv2q6NdYT0Mjaq5StZ6r1ZRsefBN8Ym6MMPZTOmK
NLfbnDoRzeqERx1yIr+XZ2z5ccCG2Zz8bufhRFNYG8OKqpiwdjaptoYf9zqzjwSNVIYWSJm94Fdf
0DL3czR34RCEwdsY2afwcozx/ffGXtfkEN+2VbfLW9yRJ0JgYbqsLX2bDJHnRe68scrVcuZ9pjGH
YEyCK/uhmUL7YTmnHzGpFHmusmuv3s+AHq5jWhx36cBuVl6aCO8S7TORp8o9mFflsEm2/PImfZrn
u9l6c+r92dU3ufbCpZrYyGKUaBkJdd8Tkhv2SX9pNjTU0BVEp4GnrYbxquAs0ESZfd2R97Pmczrs
rHGrK/IJK6Gta94wAU8v7MUNEe1II0IQtcnWiW+s+KY9UIk+b6it7w/+7ZuDhyWAjZNGwanr92m6
Thpu6mgxH6R2luMQVRf/U7fK9TO2yek7fciON6vNyi/3/vdGzKuGGOn7jRY6bFAQ06PajpTaZOlt
KwlvRPIIUV7i3VwH1qHDr/2gncZ0ze9oLmsnWctlPZtIfPG+NA9F9R1nz+Tvw2IBtXKYIrt/J2y+
lpiIbZ1Im8MIVHNCh3YiCnpD8TO8pUNn1HZBel32eWRkHzS5r2a57whL9oc6GcK2OAQM+mJspry2
oF+3Z/0d2T8DY/FElkrcVeK7IAWfLFFVzmsPAfdOobGmLT0CtGz7LDAngly51Hf1j4yoEbOBiKQc
3eZh0wcRQSJ+7v844fnmpfGN5uF8ZaxKC4tcZHhvRbxEqfcVTNpzn29KZ1e2V4t1fWHrl23oJw+p
8Wz7Du90W+ubon6q9Se9ZJ9xTRLk3cyx6KSSyrPLQWEqry2TlIq/ZqQZ1puhPOvLA3Zpu92MyWG4
8Z4n1kMjbG6r20CH8xcuNgyJy/+oT8ONvPn5r/l3//p/dJZXO2StUpcFjeLxf/3tyEh+NTecYOV0
xcKortXzQoI3CQtcuhgcV9RTkOE4C/tIrsZYPrjsOWho84csyffKo7OUXEnPmr6mDDcbuKcEUHQd
VQsHfKl/GDU5O+3O67QoSa6SVmN+VqMLXMmceL3jhRM2YX/Zg/1K26vOeazW8bSe/FWBzSZXQ8Zi
7b5InXUVEby941OtsRoMXBjAyiDO1B9+GPMnrwIq3QOTQF4zhl2wbSSwlBADcNC+lJO7KVf1phi9
NhzTMHh3D/nHgPzAzswWN2lzdJOnhmdijMuw3qGxex4chY06tmR07chR0Wy+1NTe9sxSklHDADuv
M597B4u3b6r1UiDIeD4/B3As3pnpr+u9w02b9c+2M69biIxB72wAuqzzJt6AIP9OnDJqc5ZYxs/5
0IQBGM7CfIyN4oOn+WteYt2atTm0MfkTkVgx4zhX9DXEgxvp9hIqdas32JeTMUoCK/QHIxps40rW
7lor2+vS1Tk6+itLo9Sv6dbT9D0lB18S+562rkt7T6an0M3OmkX3WEpcMcQFvLKX7DbjzL3W/GA9
Zwp7E9jk0JDjtRmcqvneYCdKU+O6MG3IJGLFlgOzVZtU4TSqjYbjRZvfyN0di9w4zE558sr5qSrd
H2ZNdso+pfX/g8T//9v+E0rB3+0/j8PX+P6/3r7K9/oHn8ZX3Wf9cvXj//zvn7/uP9R3QMb/JJUI
YZuCDISav6rvzj8hvjH8w+9BTNRGxPkP9V0zg39yBDfhsGJQ+pcw/5/qu0OtPHBIiI2Mnn7q9v8j
8f3XqRlzQPwIOocq/KgM7LBi/aokZWQsGJ6P/avuTDOxyWXK7KhVrnE/iwwMyNiVVR065BBfR2FP
7sqOW2KUXuxdUu6ecH+4dcYutM6d9gm3/fyjjoFIrv7ywf536vjl+P/vzfHlZTK8IHgEe4sPxv2d
eQY9wFblPNivF+mgXNnOEDybGhjguM+bJ+ba2PKttJ65EYXTvBraZB+lM2qvjWuMSzhbefn99y/p
J4r8ry8J7Y3Nv2fql6E80vJvo86RLXli+aP5sTRakm6SovG+lyAnzkFYzpebohuUF3XWHJz9ujL0
MNVU8lxXQfFRG0F7HfSBSYnRVIN8wvSjhrBmsjnvKFIFmD8syruJZ4bxLIaJ9+Aqp9qlUHsvoPDk
rius4a6vB+1dibE/BLrIX1VXVPMagx1gsiWomhcqwuojOHdke6QPOqDzGu/loHShQq1w/XRXsgSc
KmoET3Pc5o8LUPujgRRyRVfP5KwyTKnWyivd4ryMnffJGbu7SobR/uiHSftiDCxuhsWJA54kS31P
M6m69TOamKAw18nGCIDdHPy2s4h9E7V9buzC6FaG3iozFLpogivim+NrPVnFtVl4/V0zyoYkqtTY
QJESIiibpy4coL//6n4a7n796rBWMVHlK0R5oeXh14s+NXrf7+iY/NBrS7/1C6smQr/A2WBcAIrH
6ATOtXwal4PKLOOsnCJ2IouUGVCarvJlmKi8O8JR8m+Xhfww1KZMY6EllH5OC0d8pabV9CEJv4qU
f9J6ZtSOZrenXdm889zBOTJe4mFupMPX37+138xWrBnupbQH6gnucnxdvyOI+3mmpWhQ1auWXspZ
7bxF9F4CrXkrCuE1YUah0f3kL8VnRojFjaaC7inmWTWPAzzit26TeBabu6T/k8b16y3MK/MxTCNX
m4TS0Y9+962WutYMs2qLt1lU7WOTDwbxNDfTX8qxEkYYJ/jRIqtKmltF5OJOF5o5R2QsGLcJ3+7g
kaV66f9BU/pdebsUjFzM8cxGMWCwvvy2/hEQ8xrN8uu3qXSNY6MXZLWdugmezKUwKmbeg2uGtMv4
InRcLXsb7dY7pgjk7z0ZnphZpGY+8XNen9+Cmik7JS7HUDl+Vk5dnspMZ+er2yVDxD981ZeX9u+r
+PKBeh6TOpQH6MQsQ795AipTg6hEP/ib32rae01C8y6FwPAux4QNi1+JhNVSOR+D40p2HkZPdQQk
UwFxGsDbnwqYfxvj/nw5lzwK3mtWawsh9debKguCpGqFLd8EMul9GzQDF16d0frc+EI9GtQrJat4
LAd0VMMFiD33l0uga/z5RwNolRSmNzmHoSCDHrVCjX+yw/58SPz6gaGtuhhULB4gHtrNr69wsSrr
QvWb3uygbm9zwyie4RTq2SYzL7Ev36wwO8AqU6shHeeG81br7lmF3CcqS+P95CrvE+xhBmsPxagO
E0TreytLvNNgBtPraC06yEEyatfeMM5l1I1d8+0Rh5g36SS1x3kQ42suPY9iBTqJDsngj5uscIpT
YrspW+dRaM+x3vNtLdIHBjHObfod1JV2simqfSqsCsTcqEg6/uFSuix4v38yl9pIXMiBw3d4UX3/
oqxOhg4cvdAVsEfacENEsukpyJ3m1DRm+nHhLT4kfWG8mbQOg0SwYOlUOq1dYa8843LDyPhe0KWD
eDB//E9fG6ZRVjMm8Re1jTj0r6+tlIPp1yTb34DnIibQCzJB6rC50cAW6TwfGz+vHmAYzseSVNlT
QLWSA/DBLjGUSac/BVSHkgGT7hfhqFn9aWvy6w6K6/7iOaQPE/DVxT2n//YwEW7cpjlmINhIcrka
KmkMIUTI6ty2eXJnSjV8sPI6Q6QBXjhhOMveYj0JnhtDwhV36uWGpdzD3Jp3+hBZD3//8eE2+e27
RStnkTAvY41L0/Lv1lNvCmY8xKX9ruxaY5YMEjzeeB7H/agik/wSLDJmB6EqrYsAGRrWpq5zcFXz
3A7OlZ/ntlxrMAbUtiXEa4djbrvZzmWr0F5n+mShNVV6TbxagCKM4mWQUOhgKtxfojxfrQ/CqfTZ
mewFzumXqmrzhzJts3iPVjt/joVz2TH5Uq+u1GirbGMFiR9s+tbr39piEEQ2HR30tdY55Y+R5rE7
pF20G6NxAZLUTVEeMnIn+5bHogxFoMthrYzO1tn0FVZ2m89Uh4d9G6gPc7GaK+VOzQ+W8sZ/0bUl
r9dsTIyE9u1++MRFWig0yyzRd/aso9xntV9dD+xwWcOnCrN8CmrxilUV6KiTFaYf0mEXc1oHQA3G
UCzuUxnXJcJFSiIY3dUZHl2XhpG1qee+f81DpcNRAbNB3PheJ5ZrwlvxdOgqHtdbU7qzfXLZdlVb
GwyiGUlzGH4kcRncMneBOKggAO4S5hHaaskAq0ZTPXGdC4Ldt3nQGw/93CzACEeRzuFMaCVGjqra
O4YU3d3CDdQfUtdt7vSi754EG9IXtleq2snJMY5G1SU2u52ExVBJKlA3A3s7VIugFFe5asxilcym
9Z4HkwUvaErLr6EyRQWKFof32gGnxcg1ju9ZGYi2t8rxXhYyHxWNZIPbb3rTz66S1FVPXAkaIpsP
6wr7Wu2fZeJUlGxrxqvdVUkeOoxuPuoknj+HoUJmU9WsvXWJKO71+GIEHUiLp+GklqoMS8iV4EbT
rPHw6di6uxNVY/grZ048PhooYTvLz3r7pu852dYGrOl1kY4JlAsmVbfTUFY/zLmn5KZjx7i85rXg
gmindmIJ11NHrJqBtY8tb/3csWQD0tKH+AcBdw9QkLQPlqpR0rPcRXMFTsIqqAAb5eiew/DtQQtJ
QWJVZEtGL6OXJBF+/TF5yOVd4SHVyyS2x2jkv7vXOuBfYxm0N3OeIbz4fYrWaTK/3sse3/GqCrwi
fR2GRQZ7sKky2Zh2Vy4AlRL/ue8o9AwV7tnnbJDabYonn9Ito63PWm2iA+mjMu4ruka5l13u8opd
+Ajxxp2XO4i29bkzu+A1LrXm0KXC18i2z8sY4vhjxn8ZcZEK5kqqQjt1rLfJXgrMa9TlQmmM7Soa
J73edVhmk30joRvvwR2kb6YSg3+VB1qmTg6RiWyjzz7CdcUKbd1LI0leqJNDo/Qg1VXoTcpAu1Ce
hqA8auK6LDObtVWVT1NtW3d09izffd0D+gkKro+M1fNIvccImYxg1L22NECOuibLPpae3s6wr1zv
oZ3zbu+w4cZgm7oDBZCOhD636PIVx75+qxMXfx/sWLwaVBoCSVpieWIZ7OFqceh600TT3pG9VlkI
CSE95xmnCsidRPuj2hAGn63P17w4Y/duGXny0bGkXwPzIiFi1LV5qKrMJqcoPX5zz4z9a2/K1VPB
PdWFXQ88g5vIFDtpZ/WPpUs9dwfV154iPWh5oXEQm6+i93WxShu28atyyFr4gBwIGdUwgAyF1Zuo
QHZiF6uiHn2ACHZ5FmKirYDHJ0Ker0m9QwPSx+u5dJOXbhgv6mUOQ3RjNZoxH9iMq2YdN0PDk6AV
/pGAD37aGqbve+WN2UcVLxVaEi2kQ5SIRXpRqrCqRdI28mDd4xJ9jkVuYGzopgxym4rH2w5c4HNt
xRrCXV5SCiARNy7HDnnF2kopnFcMvcvm2vSfnbpunnRX6ChgqXd0mrFBsJKifM8zXYOobokUlUv3
Eh4xxeLc5JZC8u28mBeRSD+FkjAldz1fK0p6rqyF7P8lEVTMASSIJHZT1D+7d8+mf1k5MiBEP7ig
eqBtuvM1mXP2aJEYh4gd196778ngKcn4r8J48KoHHqPBa9Jnw5M5pe5dmy/lW5ey8V0niRvHGzdb
dP92aOtO59ucxpdKwoSN8CtJGiYrrMhccRmk7DkveJB2YCHuiAnOr0pPg5PgASYiH0LP69jRTL66
wBwOqSHcLHJTuYDQHiw7D4kH9U9WHMhlm+ld/ZjMCZ1dMwATmLp6TRVyYzMX6WQLWCghjtibecXj
fOJwHXbwfvYCMC1wAtu+E4WNul4l2cZUXbU3Wt3GEKYn5meQ630VXjJ7JzfW5u9JwnlCzbdIWOk8
7ooJH5WT3gTS5c/JvLI+FEgZH7RBVM88aLt5x6FHr9eW2Wvv9pgk9808+ojfteNdGU2aydBOOnfT
wKm1IyrLsVHDX+lBAtcqYBQxBfoXngYoYUPXdaeANjo2VuWcDetkqttxHUiDY1pqVvfNwsQfRvEI
waGIqzObAO8umwrvRDlkCdGbKuV8Tcu4ed9ZFbvDjuP4nT427gNvu1SrIqslm9lGIfjnhrpxAmFf
gVOedHIIlZNuOFdrD+6Y1dmqZH3JiLYIzvoOC1zkOpdlxsljPruRY+NOH9Ls1rPHwVpz3wb3ypjs
HotELvdFQSlX1Kl44KnJSfGw/ITCJR5rmtAS77Ckk/8A6Bq8SKCK5SkOSrsOZ9XpD27tuC/KrNSH
NjVFy9SFUlHMZhYC/GjUfvLsDYWe3V5OuvZ5nvrMEqGWtqChWQWI5tSAFrhGRtdJI51+uYcqbyw7
rBf9spbpk6o5+KciuyVJV+564QXVAeR+sy+XljqhUJ89G6eUNWDLmaq2XUuvQVbqdDeuHuxMWbw1
JQQW83BeOjd+trqyGW8yNqCcriZ+w7AlKTYyE1Hy3W/GwOYXWwAUKtG32RVwmdH67gexOE9FXkhG
OV7bPwcpOul1N6SesUkyGajIyiqClKiaZX5aOhycPKOS1ln7BI6O1iRH+3NWPptxxP0bp5w6cz9g
LVnW8H2YtNli6Oy1Cwr2RG2KNK/sTJprJBnzaZwV0d00IH7RDoaTRFmeqiYEyOe9suIVbki9iZvv
enNemlVSM2bfTVWa3Ek/b05DCoWQZ0vuibCFA9ZcPttmvAcLucR7Ul+g/7RMNBQ5cnHYa5xsUEtL
ntOH3En4WKGpyfo6KPq2vOpHqzBXyA3aG9dEe2PXpTtHVIQuU5TT9cZMt8vreTvWptVurRb4dSST
vtO3sGqmq1yzSntbyNg5Q2j0cWOScx9w0Uo+aZEtyXQtZePhde0RjKJO1qBX6SDHvTIAP78fSHqo
dVbJpdwVhO9g/ehes2zM3DGAr2gVw28vZwdyJdjg2uuYZ42zzVEcZATitXRDWG3xi59My3vpAyKo
WPBoal8Tf/WsY5qLAndNMY+MYDrRZrdFYyS4CwyO4tcoz+IEn3pBlzQgkC0JYL0h97PXJUvJP2Vm
XFxXddC8eM2l78fVl2C9JF4rWLmnHPx33BK282w17BCzwU7mejwNke0U/rMnDfcedUQ75UmVZSvB
SPPbDvriNU6t3ML3aA/7PrcQPTNVczALRAa4zS/7a+r70l2jzT5ocb8ovG216P1TIJPpRUrX9gHm
dgOjcKqOHA4MA66HsuH5ErVaO28n1EYer0QBw4sV7VmimRcw07WqCbXSrV+dbJiNu9wlVn4TOKlv
Usmpi08FkveDM6agkUE31F1sLfBv/iHpPc01OFdvyI30CwSGqEHdgeWdwn/Ap7Vy3W3GN62vkr3W
Vt+1ZfL5Sq07/6NtizptpYMqCPL3Fky4xXR3auZgBYe7/oMo+TOM+295gWpwJhz4thDZoCk41u/G
LSDwrScAKLzpatF21kAtnxHQIdH1hs3A0NT21BzYYTsoe9N5jgal3GvJ1XVyB6wIC3EJE38SzB87
p503HCkx6lp2fSNZxniKS3ltaq23rhNjYaYNJ1w3cLTIwomZsgn/eSk97Q/y289c469v6lIPRPr4
Ev23kCZ+1SUAEKIV8gR+V7nFAULlsCaN1lPPfaqqDieJGN5A1idPuGyzp3LoxItjzazrU7rId2PM
3R2rz/DhtsF07hqlfY7xRRBrzTLnqeMPnzQc5LxbDtSPfy8KBJew12+vnawd4SUGFzonjd980vnY
Z85SePW78PhDVmIosRiQ/ouvRD5Wj/w6fEC1rptbNQcxMuzSGRBti6C6K8aqfadgy7vVmVakIX7r
8a6pPHWDKTMGfZrPYDmL0RmuRtwTz63dJxyLupahaxLXjGLVbGrrQlUZ/dRmQKsJyrC5R1okAM9S
lD2BJKrxZltt0BOxbMZHOjQ4E/S+q960hccxngrNvQah3z6BRHNEmM1dNkRBNzVnjSlnGdqeL59k
Pck6ikeiYFFVZxNbmzRI81t38iaaKSRNK6FD9unoZ0vsrv1pLF/Y8SuYSXkNTGlmXHLu48B4h2iS
FqgjFfi1S2nHwWMDQWPhVDehXpric2LOfOOMqXNSEyauKFYKoKhvYzuE0tjflEva/Yi9sn/puiym
iAVUVwTnSQEU8xyj3HrKH7806XLoQkJxu80E236NpbPKWPhq5+A5csBlP2r9Yzo4zhQ2iSN3usqD
zyyRwYZg7fjsN3V2dM3F5C1QSPDeKXrYo7HgRvIGozqVw6RmFjhH9X+Yqfwm/3KP04Bn0bLKhE4n
xfG7DNabgMN6KhLefb7YH9Xcp69NndT31jCYnxzEqUF0ej+FvOlzBh0qD1x6CzOXpVzdlZzSb6vY
Mw5EPyzrDxLdT+bAXy938ksmshYGUguXLVTEX29V9s5wvIrYBsZXJ8264e0/xmYzJ5tpcY2T9BjH
bwX35WsrSusWycLcKX1km9cYzrDDaz9ct0siOWcr27zYogN/S3+jfxIDI4OwsVtY6YtyX2cicrhr
UqtHkRTjgxakwdYRLnO3vCnZrrGyabiGGBTiiUsFvvq6XM4XOQrohdl5dDFk0g85Kc2vVVmxhShE
6h4Xve1klCZjjukuYa+a9rOCbcsRWESUAddG6MMGPAZpZj6Z9thzdXlj9+ClOq0UyrIZCNBMcYQW
KE5denHHdDDuq3Ap2GeE8YQlfmHbs8BSttsrpduzXHH+6K2I6CDcxcxw+luwyk3BYZSlYzcx735q
pmz4w4X002n9y5eFz5IJAsNJHyM6o41fvyzLEaD7gtj4oeuN/lHok7FtzWaCmji0V2Uixc6P0/Jo
50UbpY2tPYkiAOvuVt3egHa4zUevxoAoFV0oC2bxlPTuRvXLvNbzaj4ovXPXeVs1Vpj7RrOZxpot
G2sZxyKjWXHzDZdde7mmZC6/6WUqYNlmbKpapj2OFP2eVaFdMyGwV1PrmH+IdvyXZ6UZkNHDDu5j
SMWRbl2W7r9I8cpTtJMKK/4ocgwj+EiS5Cwl84JN3rTzV1tM3Qv+AefFWjx7AikiamwzRmnccQLR
7KgI7PEmrjhZr2J/zvVNXOi6iPrFELe68MhzNZpsT7Htp7c5l+9Bq6viGxK88dGXen+uM3Ibl2eD
3CB1mX+YNIBH++3Rw1AS1wNpfXZ5tET83qArzWBQuT0P73Yw5W/I9Ome5yzQBxqfnOcJ1O5xNLAQ
RLmJmXwVSJlZa3Ym5cEYe9jGiTG7D0Scx3GnZvoAwm4u5nOVG/4r2ezlweid2MeFyH5sQ6G5/Thk
4CBduymIyPYp+3rbHh5BMF5Ouku/3DlJM+wcK8crrA3LJvPbYdMOCTYuz02TXR+UQ7/W3VL/7Nno
0f2YGMJ6QOGoBCp1O53ZxPr5Ogeh9ICVYjZufE1hcSzsQK8+B97mlz1XsKCnMXExYDrgS0tvnnYm
ajZuX6CSLY49c6QnSKvc62Y0srMjM6dcK3NOz23qWTdCpsbLEEDoTntZ37UiWGhxuaBIlwCVvclR
KXU3KVjAZp5EOvvGm0xvtHO3tPZ14dECQ5GQjSNtKrBr1mgPh6wGxRouXtJ+ZXM8/kBAql+HxTJc
cOwXPOTSSrbxIyfv66ls8i9Ldb7aDFZDkaeCzYEHDbJVt+lqmnW29XLBZVuz8JcHTgeTomgJGmiE
DOCQpCscutyKeLJC4czWg6piB1HEy3oCFlgSxtvewWdxYA3HQ7NJOADIJCpk79XbIWdijOmrsTiL
xKUTfAGDnpI9yXnu5cyW+sskaTgMmW+Vh5LerS2KPZ68RM34rEDrVCdDLfmD9KqBVgFZdLeeMRaP
WTrn59ajfShsXD6OlZqNvtxQ9oPpDuJ110B5nMw84vRrFPga4/GoLN+/nBlGDoqsL7PY1kbjl1tW
IsPfDvgN8PONif86BU5DDg5DQ76aNYCMYbPQw7NiWjWeWOJgXWroxnuQyrW9T5vaLJ8r4KJlaAxp
WW3a3NBuZJkaoxNmQgiCZ3MuT6mTtHh4m2xAYA6a7EOaPqpkNg3LsmY2lh6Rd4JP050wYkP62ilL
JtYGj4d/0wZJL7ZFbqfF1i7HXG1K+Pq7oU/is0u3WheOUEKbMLWFjK+ctg30bbykmowEINxxTfin
xCjadJgkhqTNMYbGnpswoXF98hUcCT8QpooHXY0u5tMOkazoF+QJM87sZmMiszxyaal5lxd0woWt
lZTX/bhMMyIUdG1bc6t4M8mpJdvrlAw2OkWYI+x5Vh864AbFdTtxhHR7z7xn0oHD0NJAb6VSBPc0
OjVHNRq9u4K16z/4YsbF4RuJeecWOGVCOAQj6kDR3yaz6O59I/X2hryc1IamFXmY9W6gQuk7TRol
c9eBmOOgd6QSk8GSDav4Ji5Si82xYe11ffJoUmGJWPE6hz25m4koJp0wt6xgYx2NmT2+mEVKVt/v
eTVzydDmckfRStImQE+1tMCdOVtNdVRMkpJt7I6VjtY1lcdyVN59mvbmTZbPhXXvVU17jRKmMPEu
SHjo7TP1UWNZtc/BrCa1LtkHXAvlNG0YxHX1I9MHWLSlO4JI702Bu70v1XQy5owJCr6lfYlbIYug
rerZLp7j6T2pJ++Ym727LloGxKveHGjiUGBIp3USK6pmiiSg1eEil35hP+mvujzA/WWJ5j2d2+qJ
chWeu2MqpY+6VHZYi2cFB4p5Tf6QaAGTPHY29U3Zz+nnMLsVObJiotOv7OnSdZOyjMqgZv6X5vNW
+pX25bKtytZksTI3mumbeNOrsXryGhv7say1hONx2xX1bQYaEJhiFle3I0VxL33X4GynD/huocvj
0gXWJ0+LmpubWqDHrOYujqfQFwhka4DuS31lDJ748riqBnhgTL6i2kmN4Jk1nczzBL9G3wJGvRSK
Md2vzrbWXRJyPaNT4hDOkNwMY+pqEN/jmMUT+EITFbSgVZu0nia6BHKtLXcWnh+Hx61rzhdzU3M/
Fu1svk5GSgtBkgpgrmSsFy/fWFLGR62oS6zQgTPciX6hazP3+ulWVjUXZlFK617HzzBtTCsVGpe5
UY57a2DtF0nsvTNMyA6NRMUNs5hNxpoBqKVC1+ldAuSpZogDMhXmbINDS9gafY5SYwfp2RqMtro1
PRHHX3ju0A8k6+CwWWAr11c8PVT2wcjfwhFbJvmjY1V2weJej9NOJMVMnWEBc3gYvDk7JV5RPrSm
XtIvLboyXWlK5t9uLu3g2E2a7YWDwfRqw0EOS8M01O2RGhzTfsFwWzwJPIsUnvSkH2lzEGkZ9VWD
dVy2Gq0xRqySXdnrWLLYjk3uI8qDyHdArLzlZiomwzySftOKq4QN9bIyuG8oi2gqPtLYl/G0yqzU
2U7C8h//L3tnshw3lmbpVwmrPdQYLqZFtVk5fCbpnAdxAyNFEjNwMVxMbf0wveznqBfrD5JSIUVl
RleY9aKrrHaZIZKi3OH3/sM539H1dqTwUM7W4kPBVDO1+2ila0mktqMXKnIERGOzkxKVtFdwTMo7
zbPqWyOZ5ptWn7BU+JFbGxsGYGF21EIdYUThjaiF83HA0CNVgkK46Ib8i+t2LNRaOZlYXhL7swX5
ZYm3MXR5NmCuZ9fIQAcjBLklchXrtn8zeCbLMUIi5S2uzerG4oymTSjd6cEZpuKWND12A3VpgZOS
Hmjijd4m2ZG3SD+v9Fy3z4ppYFEdmX1pbdVSMgeeGc/OY++GEdOKiiZW4Nfbx6BnjhJ3obnp7TiJ
H2WIZXPXV1zQgFscKR8lnfM9SEfqM7fm07wJ03lA9YwY4IoJcvOW2bRQq4GkXQfPTx4/qd5L7jn8
SKMzjTg1Lgxpxkdrao1rG2RSyPEoxAe00A5JeKYRQacVyRddj2E3LdIs3gIK3ZVeshRHXIPkY6WG
jnPDsuTMZDrhYs1kZ2WBLg1MQomJ6FyOLv5nBor1s9ONKeP7BMdKqvUVU6G5hAzTEy1IkmuuontX
jelnqefGfZ33zkNXmnV3liGQvLA0DQybPWgTQnX4YMnGZkvTBXhuan2R9HWnvJO1he1SzieILPlD
btesedpU69Y6j4PckHkc29uE+ZG2pdDoj/EcG/TCZjZiGC9nwhaMIU3v/cL2dgmbGm3jeyPTOFJI
zy0GNQ88G2y2eSurCwmXIkM1V2D46bEE33nVoG4jPZ4ubBjX+mpwtXTcTG0jrudymB7GqXxMI/ZD
cHkNrsDSGwgZ1JV01wPk0RuiQeybppTjwBKPfmyVNn110RVdCoZeNLzM7AL4z2yckzsdcdAuaR3k
vZUMp/fWLgpnWwy58G5TMKzJJo+yfg2XPjvhurQIRSOme2NC3+G9ZqK1nS0ZvZXWRG32daL1lxyQ
F8mXpmqrj+4/lQmSMOlFjvXf/hbg8G9skP+SdzBh3t7z33ZV/q//65dIie/f/MMACYLmd0X5d/Oj
/Qm4GIBIC+4XykybOeZ3GbplfYKjyuIVDgzRfYC0fzc/okKHkIKbUkdQ91cU6OZi6vxpGLkYH3HU
EBtFm0fLiyD+1443kbXGVMnXgzqk/qoLR1AIpGyVB0aIXr5NTe98do1HUt2uGoEMn2SWqXIv4Hng
l+/aM7tw9kWVBcNcXGqac6x6cTJs98wbsoeEUB09nu/70WGCWLtHRmC7nnmYAWfEL1Fv69GxEfoN
2mSwDZlfBqKw3wpotUVP0WMZH463pNO1xbDLc3KSqjR9dbPMeZd93y7ZBqZxP5a+2tl2TbQmdKZj
73FIDKlhHcYYrqmeO+qhy9CFWmY+PutTaK5Hq5CBRtAErnbnNWtfokxWl1HD/oH0ni9ST8Z1zKpl
PTVtcYz8od+yOI0vGXDFe5G2ML0lrfaC1CUhDHl70HSNczNOGceBXX0hAHYJvCVWXkMadupSZZPr
Y2Gcbmq3joO4Dns2rR7JWKX7iGCmJSzZ9wIn0oZAgv4PJruBJ88ElNzhg5WObOKLTgW5o7EyZrHH
6k4Zn+083DQVXwSJ6pgVbXTtF/LQ1USXFXh7YIAGYZXt/L7ANarO0qIKgP0fljRaNztrh+zMS4mu
s5qgKR7arjtUHuMovQTaVa08ez4ljInlhAomDeOHKer5guoUCzxPftPhfpXtqx2529JUV7z3n0c5
bwYAFYb3RH7HdvYZDovyMJN6hyFPc6ml/QDmZYD+ZeXzjxKQ+Clkz40YcVw0qitqxPKzZAmDcZHr
pl0ZRF18aZkzr1Ob48xYhn2GWWYPSC66dV6Gp0Jmh2bOmy0T4+cRkfF9OMnbNpr0/Rim6WWdcZVU
RztM30V/1sbplk/b1k2BtGvmzOI5sm97psE8wV8woudXpi3tfauSY9rbQRbyKxZ1D1NEQYq1+mmb
Geh3mZK/8SBoweyOxppfK9uaeijPihzZcegSbmHivW1ZMo+NWRwsMZHDoIt5ubkXaVF0KWZWvlEW
s/f1hycIld+pCv91LP8TQkrDAMD/ZyfznSpef7t4marmt+kbx+sXl9CPn/DteLbtT1ANADksVP0F
2Yk8+dsRzZ+ACvlKmwNrt1iFfhzRpvPJBLkJs8pdFjmc0T+O6OWPGMhjErL5PSl/nb9yTC/a6N+n
stCLwUIB+sSOhFzFtP6o7jaQHdDBEZ3s6l2QKdGuhip+Ykn6Wqi42fmVMW4J+v7p5br69uN/gWL9
ql399re6i1lgAbRC4vqDppz/kDhTGttrQ3aIOD3XxthOiTglxbEXyWlqEAiVjrWjbrpC1+eSI4cF
OGvi+5Qjec2lMwd6mYpvQ+q/9Fz/R3OzmYtB4B+XEbcv5W8bBWGuVkn183P69fu+u9kc89OCT8Br
gDmN5/B3N5vmWGDmeECwU7DiZQFE0fK9jjDcTzgRbJYirM6/FiA/HlL+SMA7wOfGV3iuxwfqb4XO
9+fjz5OqfnlKGQChbEGRrQO7Q/MMLuTXUqIgYChLS4PU3Tp0g8kNAzG+IJDq9jwNhAza6To5Ik5K
HvOhsOnXnVvTjtaYO/V1yhUX1IN4MuA3bsPZfY1oW3ZN3l4ZbCbhjmjrqqIVKZQbbVx8KtWALCBN
p28omv/UD9fXKo7ybQEAQzIXwHT+7GH7Hzeb283Nw2b9P397fG+796b87ZYG/OXn5+7v/sgflSw7
YN5lX0fbztvNMfyjmnWXUnUhLhqL3OCXapZy2PfAx4BCZkLFx+FvKA/zEykZ1MCkInw9RMVfegq/
moZ+OiyXivaPr8XPO5ymUyifisYIIqbcKwaX+4gU201SSUBjXQIhbOjjXWUv4iTtOhX9A3bhtYrw
BduCBFkLD0ajyDRs7JNaBKO09spvT1nd5s8e3WHQaygBC0DV7CIjc0d1i9iKGX+SpxWZhNSrXjOJ
S+xMySZN5o/cxgykxSVzHG8413LmX+U4BXpe3AwSw3VBXtq1YswUuH0lDtKACoKcPFtNmAkH34+h
8/sJ81Y66PqmMSmP49Egi0wl424ivIz+2BgDBAvbagRTV2JvLzyx9fvyMUsZDogE+oPtod2Zk+au
EtZL3CSnsnBu9BjQlK03gVV7JD+l8akiInGukofOR76vGeeWrl+w19w19jRviqxVZF97JC7a1sA0
Xc6BbabUta6/E7oyN2WrXxDP+EHYF+nREUmMjGXPCzWfT7NOXLeAf1v0noJspb+3MUTO0DlF8Yit
z9MI1ER5z9i/sbdjN1Abtt6BHEvF/nGKzkuJTxxHaRC32RnNLJv+ktFzmB8qtsHgh+Zd0VXje9PW
HwRisLK1I4r0bDp0Bsms2SLY915kOB7CjA7bXCMzSJkvMjr2N0PoXpZJ/qEmvC2pVB1FKtIg023k
pbPo0lQOIyBNc4KxY+wIi9yrPZiTPq3yRhOnEgNoAA222QleQlagAh+6Pu6r1nBvB+PVLac0UHHL
EZjEt3FkomzDmop2sWv69ch7rFhWPCbJfF/E7q5NIl5lRWp3XY7V1UQk1XnXDAMOAXRwvTZo0I3a
z23LiruQPHFu/oURE1sxep4uNsONsHv3SBHP0pqE4rPWmM6xQ5Ex24/3bbcEpmagrQNTwhcx1api
Won6Ze+7xSXDyTuwsxs810Av8IE2H4SXbUkIDlILICi801WrrECV8aaHyoXL8lDBZ2mm53oyVhhH
QGI4QUucZlcauwaeHcKVMwSxQal/7ml3fAYldlNsNOwbI6F9ITb5OmVAm/tXIwsdt7nSY0Rb3TH1
k61/yvCz5ZDsHOtBJPZFScB76GH40jTj0hWeiWI12ugu0um+3zXfFDt/6U74h/ON5af8oDxxX37/
qcuk4Jf/s/nqUL+GkjTdvLcq/8aHit6r5Sv/vX/43ed+N8n3f/6nL2TMdctPiyBy/nx4c+z+41Lj
X/LXl/LXw56v/3a0m8YnfZFp6ChILPb/Cw7029Fu+J9g0xGXRGASe3Fjce1+LzAE0wiHo1032SxD
uP35aPc/MVPg1EdKsPCb+KO/UGD8oR41cVCBH6MCQs/2VVPya31RqxrHSMcDE6ZxTxAsCdGMalNt
U+WSCO6fXpS/U/3C/v6lnPkmzgIazHwE1iNSiD+UM7VdpCKasjhgoyGeZr9LXnWad+aWrapYMwvV
bQevxJZUFebwCp7Fi1Y5g94T+EfH2hdlDpmeHUiKjnKK8k2EGMJf++QfXgslHGMdd4j+g9Dyi7NW
MF9HJyWHQ6/0Er6lj+x1NYKsesrCiGQsQSTkuOods5nQ0hvgSV2k5Q923HCGGIwurjOnqa78AWx7
a9XAUhjruiBZulz0BAR7yRO6zOgwwFohpHj2Co+pY8qmOEwko3XU7HgYuiw0n31LcxG2TG78wDLW
Adxk5D6GnbIYvZVtawtCRuusYk0rpblktMv+FDGUeGzHsDirBpneRCX0u31qTZhrcsImFR/QWoWB
3pNDutJUXV/1PfjrjYE2on9P3ax2vnoYnqPKty/jMF7wWdwDT16rNJQ7TW46Kz83B0I55rJ+QJky
JvvRlJVgUu+H526GdAPJJv8lwJNbfzaFHz4if2ZYwvQrdzFK6u2AbUlPOPa1WX8RetIuYTCGh2i+
HzF+jl3xWhRTMmwrMXFdqrplEd5iP+wDwIvG9aBFhbUXnY2pwJ0NdZ0OlqOt6gE6Jfl/CQqyDvG5
vhtGR6mgxM5/xlMrCUNvJv8O6DFkvKrgWCa6TSIjdjTXeY5HR5jsKEzxohWtZgY5skY2rRnCtW1J
AsrVNHT9a9qg2EARO3cc16hVwf+Jtq9X2CPNe1xCJByjcCeosa7hXXaIf/WgGobpvpMDAxeQJSkn
qHD6SxR1OdvWvgAuFbImXRPbyRjHoZHcWaDG3xN8e+VGmF+BKzwy514TDyRUN57zRpYm+qkpn/S7
MiKzFYNZ0wB4kT1kIENvWlApSBqfxLBcVeYUm+wLuEpMFqXu8MxlP9arcHRY7DZVQ0cbgfiMVoJU
Epu59+AXh2JqRX5wBMq9AIe68ZGZDn47B6EbyqESmZUdJsV9rqP6IpQ2JasTaCqJsnGIdyPzJly8
I2UUyBhnqm+jBOQApKNCVVvF35DhVBDIP7QEeuGq6T3no04M00W/HGU6i6Mq8Vc9hhe+PzFiC7V7
NksYah12IG+20cnjIYhXkfTzKGCXBl7KlOzE19gHQawxuxUWUp9JEn6OOloLCP9Ok0NXIT1ge4Sh
agOfILtw2RlbYITImeTvN4pNsWyAcLD1CqF92FjjKjYyPQuk1LzbBsHGi0TBnfBTo8rdxN6QPw9T
R3vOwjhs1iH/oAjhYmS9D5ZddBepnNx2ixSkrXbL6sM++vgO72LoOsPGHMum3NpJ3X3JWUl1AQpC
3broppa0rsUwQmHZxArfWTsvyn0nd55nR2t4hRETTIHM+/ImIuWWOM0m769sH6TFZq49E59SZrnF
+uuZ/P/mHv75Gv7v/9HGAwx8/uTGLt+IBP2lPePrv93Yxid8mhZtFVMo16aD/9GMGZ/IYeC+RFfE
lQ1lGy3bTzc2/T6XvIu9e1GD/WjGuMyFhV2OH8SVR9z0X7qx/T9uF5hWucuzjrUd97Mp/nCHomnS
luCCdBWGyAmTPnWvxFiNq4mKejFyElHFvXEIO9e77xHo7kNVa/dhLc9rS4eHt+zjOkRDfE1aTD2l
3uCtRD8mD2PDzZLYwtuQOeNt4eSzox/hPujN8xzl/brXpuuQJ3TnWkW+GZUfB7NZZYfcmVVAxFG1
6iPRPDc4wlFtfZYDhXJZWWfTGN7rTowRu5tAZtfNmYEcIqCEvpeOoU6E6r3jC1rV1VwgAxZrnWnG
Yz31/aatJ/eI/KDb4btCD1QY7ibVEJR2xth9EZp+w69SXPTICYZqaDb+QNtTijFZNeykL6PZS7aF
Aaax5POGljDhEh6cfh1qFcnwQ3fWNYa2nSJVbgj7mbfd0EQbWVlvlZghfDE5WWWYl5UX93dpLm+s
SL6FmfYo+tDklU7sD200jt6YxHdh1og9p/Her6j52bzUgSxY6c69V37LBPxLn9p/Bx/1HxbYv3yw
d+/V6aV4b/+4Zfz/sAqniv6zT/VOTS8Lx+v9d3LV8g3fPtaa7XxiF0cBDqMKf8PXRIJvlbjmGERA
8LFC6WQi7SJr8ccH2/u05L9AkaApJ4+FYv3HB9v4xDeYC9OKjeLXceBfKsW/xjD8PmWh6COxxyDc
nmw2H1HgH9EttoA4g/CEXRZCL2OV0BeUQZuhXw6a0QFKVEbp/IzlWdzPknoAvpKfwqqb67hbDWPX
3w7JUgdMRmY9t7GXXOlmE8IQiEvtbspm622Y5ZKpEpXHmsXKDU57wCok7g6Ekmv1yADAKInHtvro
pgqBfLFYmrNrpTr73EAZV699yseHMUuwuElM4oiOcon90GUVg289M7AntHOk3w4RPt+VGabRU6ur
7pTESWKtibM2uq2Oa10C3MraJ5yvKFdEaRU1N6fuvjRCRde1JNVlFSsre49a1AWUNBFan2HMGrVJ
h84GWtS2L1jZYZJM2OsZtzitJ3ZaWbpntRkyAQUm00VrmRdwXDE8h9nGMCvPWDuDEX3u2khd9F2U
o/32fBiFCMen69goE7Fz4qE9FrqnqXWBXfuymRORb1u3w4Rl1j7lZeYCt2Jo6tv9urSwGi3vS2Ef
5KyboAwcV56GKBZUo0gYPiMzp70ihFFqa7K+/fgAIQvlh6LNsnntF4d7lPTgwduagdeu821/Lx03
sw/WYN+ivg9vNLomtRta5FArmXfGjYZDL1/XCM4vIEyIaD1gusDCbLnzfdSEzHQdPfYOOupDbZW6
NadYrIUYdTVB5RjwGtKvkBjuvzrNSDy5REf1aow2Cg6LhJx+b+qFfWt3yURiupb3d0OWM9QyRDtt
ZaQQp41x6gWmso9JmbGgHJIQeYrC599jR7XXSOB4jkfNNT48DRUwHhCXflLVRtvyauchRu3BJ2Rg
zk2BmDttnGnt9j3BvtWk6ZepEtObRa76ez87+sdYzfqlQ7p3vQsXdyCwx7AvAoAGsK2zLPfHlSm0
jresnpLX2EFPs2rMeQJ667X9cw8M7NktqzgKJvRzNS5GMe9zxyE5YbaHC6ZoWoLKqAQYyYnvdSzB
m+Y5HQDyrxxmZmZl9snWEFknNrXnOke763J/7U6hO8MvjIESFnUBY9IxK9m8TqhsTuGM0HqRFbcH
QupdXkjkjWIzLZuFnWv2NAu6o8x5bbb2mYHlKtxEUso7oReWBwA0Rp2Xmg5c2JH8Vz2YoqyYd1WT
YkFHiZceCLrxJyZquWUEKLS9V1nOhhM0grIXxS48kdOogdsA5LAoJQ3AeCvYTflbR0hfc9YAPjiX
Tk49LPRx1HeGI6dk01l4JUBd8F6gTqrkh16U8Xtm5uFTgvT3RSMcIA1MzXE+I4lZhPi6kJ/zWIOy
WUUpS12dHknDh0+zvwKdlBRIwuPxDtUXDPEho5nvZYx7JqLXe7bH1HoZMjHha0hjXP3FUGaX5Txr
L65iL7NGJ+m/dXIEHhE5Y3vn01p2B0RIADomxD23aZIP1zxjtD5Ta2Y6ZuS4Lze5NhJ/6NEoSKZh
TvLghTpUV0IjUm/V1Dr51AryA/bNypTqrBPSNzDVymE8sYgjA7cbXBCY4dir7uhUPi+HqJs6Dwrb
iGEgm1peBFo+N85dVccZojeEU45ur0WacsjRy1QjYQeGOmMqi37IRvrJHDlu9WTddxmivnSIwXcY
RaS/ailYvlWYx6GHJgN/ZzAnupGubcRe4yVG1yrd15bUs/PKbipoeI60r1SuTd11NbcgekVbJiFe
D0e4N8LQYvPYxFOlH7UaJfyxUQVQFwbVFFsmtR5Ul3Hl4iDTVj7FWgstV+n37jygQ5xwNMJuEO6g
Y8/ReL7jGJXFyfSiqXkgNrHL3zMiEbF8CscjIJj3VQZe7QGmziIktisC6ASw3cK7QrWFK943F5VG
MZrGa2RX2mvB5x5MVrhMSADaDDqhkUWHASFu53Uu6tLfpiz0x60mEmdct1McQ6PIhmNbhvMTirJQ
Bc7spxczOztjF3p9X4FF8LQ6GIZKfolIMPtio4m/rOosfcZA4J7FsWM8hnygvxhyiEHidD6zCQ4d
t1kjAXXf3GFQ9xbWCTA7Sb8MHsoQQbqiq8fBCOqmwaeE0HJFl+s9Wv3oV2dOo7lt0M1FN25qCEEb
Ey4YEI6aIwdfGj1uCH2u5gXARLxOp7kygt7XoVLCoUjPEzdRt6ZTimkPjGDxHg05TmisdPemzHn2
+iwHJtzWkehX1jAgRk46yzS3WdEA7K50jxewbuaoPhpJNGYrZ0bPvTV6E1RFFo/YMlRYK/gTKDhQ
igiBphhcCRqT2cMBpQYrvU/cAXnz5Po1sUxomjqui5S/NfXD7Hz2C/49nMewXW1i4RbCuvlsKsF8
uuJA6bn+s7zfpoVvPzsQbz7cCLV2UDFWbraastLPJcmOD6wzbGjJoe68dp7s7kDqmdygYkQwnpst
eDSmRO0X1JH+oceU8oZ/MbvyMfNwYIjeLNeN3frFRsZ2fg2CLa3GHbetX+pnTPvDB5WGrEBYHtSK
eEzN/8iqYvrogVJ9oCLROZ0KcUqs2anYCzXtpV1qxR7BX8VOZ+yeSq9Gy2sZXXWXtDZaV6wVer0C
a2seEmgz7t7TessOytBrzvPOimguMFd0G1dHpbM25qXJCl2LlQo0AyuIvUkrWRhY+psDg3RaQz0T
1X6yXcYJhPnlB33soZxbqWneeZYSd2WFN2prTikjyAGCCXRt7P/nxph6d0D5SlJI/ayxVq4sMdtZ
Q6E/6aXTP/l62VmbyGlwQZWtZZEQZCExMmzfUOtWqfaQOInHek5iwVWCHu5UFOlgrO20iO65UfQM
kE1mPLhubWLXGdsQ78GiFBo1vRPrCct2tLFcTDRbJhu0jmXZOPedxdhvN1M5PTVunLOCYsF3N6do
q2AGJfgndE1vyTeDZcWhDhUeD9dbobLojWp2es1VWj0T1oh1E5IFb52VzASzMFo1mdI6o9usDClb
PuZO2F2hB47v2zH3wiBSlGNoQiedGa+WZXdDqsJsvZjPP08qnc/KKLHrLXs03z8C3ML50wxhxxoy
CRlc6WlkPNRFT1atP1Xk3Mh8fGNGBEjcckx5ZoQKRHwjyoXBEqEsBsxeu4dOpQhsOyM1jsM8p/na
alOHVVFUzAF6eiy0LRMqli5dm3Fpmr1uLW6ScOcRqihpkSkPZt22oy0+CQA8EX6jJ2oEpl0K0ys8
m9pvH5lca2z0SbjNVjJqyAloO78g7D1JtHTvh22SMhYLTXddNrN/M5XzxIDPc4c7kdbxY2X5+Je0
ogwZnkO4eSR9bXiHS5QT95RROhFGais/yCoNPYkgFYdBLIphtLTuHQwzg3lXHkanpGEsuUKiy2rN
h4Nl4uQf+W5Pxv4J1SIWA1x2q9JS2pNVaq61B8wwg9yHJnXUBsyd7DEn+8DwWdxjIZccsM3ED6js
NrzsLZPfgfgbsPz9hJVlNVjAUgNfxWye/mu01X3lMS8W0n8821r96//Oo+TLL33w8h3f2mCaYIZb
zI7+JnX9vo0y6XOXZdSiQEC8QojijxbYNj4hAHCQSuHjXDKoGEl9FxoI/5OgDWXk9X1V9ZeEBotL
//cGmEaarBLWQ0iyPBui5R/XQ+RwjjlyWcoCewIswaYeyNijysVZ2DcdSJ/2/+LeXF6Gf/s3Eg7M
SADmF3jZX/dfBIZUA652HFM1434je0liEEsazrqQu9lX155UAP4H69FX9hfdam7SRL4CjWLOjpS/
UfZ7bNvkAZSBU7dPi6Fv0/YO8+LWO/30Jv6d7dkiHfr1lyU1kBEAsg542byJ9vLy/eSkVRO8Jz0M
zVUTIdRh7jWuWqfOThCbYk5M2yi3johhuXidedcwXr/OEnJO4mbYpfN8P1WlwzKt5JNnYZUSiIZx
N/oaTQsstdyKwXXA/UktIgXYdlnPnvKvG2FxNrJXtxRF5exdMvfvNnVmbdthBPnUudamV1F/D6TS
WttuMa2rMKF/9LHXhdH0OuIpAIYGya6YMahq8JLReZI3AE8uIoTkxmwIaFONVXOhID8mli06Z93l
rnXlIKJ1q+diJnihn3PkGbhGMQfT7K9jOzWua8Au1/Dzna1v4rSCgmrt1czOsJ5dRNdK3/had3IN
x9uGRR3Tr6eT9c78LntvK5FuVaSNGMO4h2ylbWj66Rjc5BZWKSaeouRMFv6BLvtpFvLWbjlZIwMF
KhTrYyaSdJcqPdu59TyfM/71D+kQPpDn2eOzoyOtR14g3Y+aNct0bacacmD0qm43Ua8d/b6+j6ZC
v5l7tgbFTMdiaL124U/6MU2z8tEXKsWraO14D/19XVXqMtI5XNkP2BdJQSpUnL4NiVZc5X6YnLOI
U8Z6Md/sEuqjFVyXbJfKZIcZEbFNh/noYPshrkbND8WZB0AEbc0c39ZmaW6qsMVxE6ebLtW4hwmn
D7qeveSki/skK3bplPkHfzZfSr9hRVkZczCVPhgNsyzwaFpXNiKYjeoI7Crbho4zbiqU43hc+6yq
N5WUM//L7tZxriTsiH4EqRN+pPiR36LRfmkn/P09/XHK9R93zD8KqMlhka4L7NHk//CUppjbGXk0
VhAZAgEGFPEtE/kvJQy7F9PTHsA3WpcWVqFztjLtzpSadRYb0Ys7V/lT7bT6bTY1GDN1FxlQZIft
GrumuGiUpW1MFzgVyKt4CEqKrCPdyclnRMYcO3T3KRp1hm0RcfOFmx20RJZrjSnbRjQJaYLSucQH
ZN11iZvy4tjs2prSDSRLtFMYdnLLgMJ+dZM532igoAJdjc1W4ISu7JwiEmLqigra33P+Rfe1Pt5U
UDD4kEb5tummfV6F+4RNIaypZlg3UJrXYSPZfUfxvmkgpHuASm9yQaiQraS9I/GgOmm6P3+eTHf4
rOZQXOcTAax0WMA3pj4Od2YiAdX5123ZqjPaoGZV2NNwISjpYHLE3joHqrrrYCYRwqOp1xyiumM0
JfupZqNjsULqM10kg3svJutNWEAjcQshsak8tbEB79IopV133RchMTma3FrAxne6w6qBeoNeg4wA
2s5EJOtMjfVbP2p+EDXC+RyG7UPBnng/xbDJokT6q9aWGCYjaKwPolQv1NgSQKIn9m7jPKaWmd7X
kdNeMx4LT0iDoguOoSSADmdssghLV4tW87Ls/CpoKnxqHvvcZyr0FOtPo65lLeW5TEpE6lDscJDG
7G8d2FpmkmXYXkn+MEP5kg5Fi1Wi6j7CGLo3tsbo0qa5WInEVcFgdtVTLePnqcApX6juBmafsYuR
v50Vdo92iaEW2+M7zRSPo60/EJFYACtHPXCR5XW8z0RjOoAxe+OmtfTxaOemcbC9FGgFh+S7MTLZ
pKwP93IpUmkEjMZdlbKA2txT1R4Kt+ZJ7BVxQV0cMkuDXb+3XMnnui0YaNBGWnvdKqddjQINWn2I
Ww8Ddy0vZW3r+I7HWq6rWqrPLiuRZJuHihFmHccKTkzY6XfVVI28sk35IaQq9nNnYjY14NCdu5Gx
69xw7YVJ/saWxlwntVedCTlU+9EXmE584hVebSOqtpbGnKJHf4eJNAesWHRWc8Q6TbwKdI51SD18
4VmpvA6bPLsUeT7to1Fohyi0qKojZX6ZMVAgdPJUiP2d9BFEfL1BPqgcTiGIsmM3t+U1offGhsf6
wPQozbDdsxJmmT9tNb1aaNiEqEeO1VebwnZtIKSztuli27+qwOAtr1gOW2HAjevbqwIG+WJMRwPA
7PQik374QXRvf9WEzuBvjZJEKj41W11pMySVdBiYRU7ZQuBVCBPMOffPVRh/DBrwRSiGROxyz790
vUvcjxID3DttViT/xJk8SeXI3ZCnxRoSXQHoBIPwpYTE94pljwmRNcz7UfS3Zl2Gx3hySQLEarSR
jPg20lfvDLTyUzsW1YbUdmPb5sMRpne2QdfeXbWm8Ld43B6bBurJ6FTkzGh+Fe+nhPkifmW5LiE/
XOS6Hq2nsnc4JpBLruzc168rzew2GckwxPR4mFUsWS/voTZ+tmHF5jZDKJVjVyzqS+Y4ySkbhu4A
H+Hc4wa6oDpgjDLaRG/gOD6kijtunTf5cCvdQm61Drjh2uuhHmK3v+kYDQR8IMJzrfOtR4vag4lk
WV7aBBbuGeHusTI1cZB2w0Tmk6bDMGNadw7rxjhkwgg/FDyKFanU1ZnWxs2eKUCzr8z0A8O2dUiA
yp/V6G8ekpaHlCObDUhMvzzVzVFPZT/egMHK7cCL9O4I/8DbTx2gcGRFmHbzshXbeY7T9Qzd+ELU
NFGm82HmjTBWcTX727wYrya7hUWRG6277vToookZuHi56a9bp++3WoGbU2R4+FNpC64kxz4NDciL
XGnyaWZmt6/nijRjMfwf9s5sO27k2rZfhBpoIwKvCWTLnpRISi8YIiWhC/Q9vv5OVNk+knyOfOrx
jnsfbA/bJSWZiQR2rL3WXNFVMkftdTzO2UsMcvbQ1aoJch5/V+1I7+qu8QeYWg3FmOVs1G+uTqOr
KRfdN2OOoi3jBCDILqrpZooXcXQwNz26YqIlckjCsoyfps4qIVupKVhd+FigNMegigpIUpNnhiD7
aIvm9rMfkFdCAHnZVWUZzp2aADCq3nGvkQG7S+kv/RE+8n0aWX6A2yPIXJV/89wmOnhGbp5kUp5y
5aSHYQCnFSOfB7hw+AJacAcHZ1qCaWzK05il0G9n/QJwK71O3OgR2J/8gLm9C7i9lBfkoK8snqoL
9i7i34XzXI8jBIQRQT/hZSuz/dpSdFatLR0MI+hcRA5GeDBZ0hjdfQqp8GGAQcaDbVXqlidp9jwO
PDw7J664OzbNVS8z+Hr0FpV+Jr5FTlffdHNrP6cpmHPVR+hoYFjpcpjUHNZZKe4Tu5zuJ2dBhxlj
2nNXIUF+kmUdScBn9ZXnZx3+ouxVtluEyZ4QERQsLdvR7a0FiWkfGzrj3l3dRxbsSVBegb3t4mYc
nEeHPYttLOlTXoubRncag3C776Whrx1nec063MuwHvQ5s4bxAEOkCnxzPHg10AVy80EhU2q/JU+y
Mcm+1+2wEp91vuaD+FJE/Yelqh9WzmM3OlfvtXC+sCFPPlSbR5oT+k2uig81g/aFCtJX7QKWxhYN
Sdy3crR+dErf0EyTBRffhLXrkDcjtMYUjpOHihNoDXEqjaihKpalCKvMxpPdzPXdWqxPiNmwUZIt
99bNFEzFFu+Xe88nqZF025tam/VjbYN2XwqeoO5QU9RWRV8Nkaa7ukNKHRk3F9XyskvS7T0zzgK0
WGuX9YsOYzC9u6Ts6g+CNOR1Dvn16In8ECMMsQcaz2bXFTfa0wUtYVho16EBetEVLsOosu/NlHQ9
cBH3gFUM7u3a43uX0yGrJwVppPAep7n+6uDvZL9FsC5zJOuQjCI8zycvKZzLSKL/lo5c3OnF6hCy
kJ9lbXQn8G7znVuQh5t0f4gzhXRVu3g3SqNNrhftheUERt7pWuJysNHjRVoPuuIeWQkiS67hXtNC
U9wnKRKq1W88yAzqbzfLQdGGhW+w77AUlul6nc+z+ur31cuqyzeacqYQXzrrKLxE826yzfEtzrfZ
Vzr6ySaKSshf2Vyos0f9e92q4QzawQ3QlIZw0cBN6BBxEIDge56Ghub1wTgtoEpQJ82hHHboizWX
HsfMNerJwZveHtQat+MUJE2w9h7PRIwkyOnmp6ajHWyez2OhFAFQEGHTNPp3c2L770a+riE+0SkA
iY+I3mlzZ1EDdphRd4/YVB47lrt00zkPbe6/wSh+0n0SX9yKb0MKmGHXL/IpZad0sqmkeoWckx6J
+N/OBQqmr6rd5KWfC90st+Z2p5O+1rski+aj78thXxSuohwQ6zZV6VZeXfuFdVZLDYfMlmXo29XX
jlqapzwGOt2Vnnl04/xO8+ULebIgd7Vefp6KgZxByk9GVe+Fn+mTWJ71Ei8HGDt3HNjtx1ZiyRYa
PmAxL48eANODymT3aQNpc4+IxRGFMzmaeDopv9mOmzMow94HjtyunJf4+caDifclqBRf2Lpus9BO
e8K4pNiLPXGBS13kxYELaC+SjOTqzAhsztcTWMZDx1mcVfwjBLT8BlmOR5Yfw/u0xcdK6pMbs1MF
JbheY6GrD0juIF25L67ENZ4cKgGembmH69ERy7koi+hdzpzZhQIgQ5NySDlO99Lmw0XCd9nVVbIE
EugR+PlVhYY31ZdMZDVgKlZbH4HZ1MeIVp2bFY0DWiwYb9mCm9GcZb+tzlK/r06bHdoMctDfVwr/
X7TT4ET7nY5YsTT8QtLz9K1dv8UVR52fNUX+9F+aIk521EHLwf9G2fDmS/+Xx937gxZwSQaUEh2B
DY4/80/HnPcHSTzSl9jApSn/zDz9U1VEjBSOLfHBoMzZW0nx3/C4w0r7WTjDVOOQpHNw8ZiYaMSv
PTkzIBaPQ1D2p+aFf3x2eSxEhVY3lrlyi0c36j5tEx6rH7LXEI7albpDkLozIU1SM7DqAIesoQt6
70tM5clHcO6gC6NlLb2gKgAB78EW4RPtR445+1n1uB08G1TrmRX7NIQ2G8OZ9tBiXJm8kVtuPXMu
I3BwC3X0YK40f1RE834YgcPuBOCQZ4MZklED2u8alF6GqyNCjL1Iu+eemuJVeqYjMX1pabihunfw
rZ2llfdEjwX26chjQt5V0LnPka6HaR95Eh5PFdvWyUpHOwtZtJoXtVCGc8OiQRH0sbEFqHFyjB2Y
ArGP5dBe4X7xn8zCt25giuqQCkf+WqdU4+00RNltuji6AZ8+oidgsS2KnRhwafS5ae/56fPXKI7b
Kw3oBke3wAUbpDkYkR3g3LTaVQ0+9h2FY0SwjKn/3iXcRK60y/seNgCHTAo2Uz8NnUm3at+Mne9A
cOrM6Dpn5TUS6TejvdWYDJORgALJudhP6XEwMatgifHv2EvBBm/6yfN3yajjGyPrxGejLfDhDrIc
36vclO+GW68LhRU5o5+Hux19JZUn8P7K31F5hiAwanZQNGHA+JpkOYOroajntmBvfdvZHXYHW20F
STKJuMoShftll1mWfS3yOvpstwPuGFDrkCypZzrn2bb6Zk3enqhy8NqAN59s1ArUC8h04aYfR53x
yON7UX/MZBG/lVhawMZHlaQ7rCjWl0K1PACKuKZ2SgJt214aKiL3yhIMhGWaQLLHlCrVqiaOjGIK
oO+AN9OOrgSmE73jdNHKvYqEdZUtC5ukuk0RBOoso9910+CextXlR2skjgEHuudZM61n53ppUIOy
YrqVYs3f0tlE3qWARUOXiK3rddI29WK4DZ56v41JVZUdeQD0X0QL3VpOwSA7TPZeQF6jr4ek2E1f
Gtz9e9m7XK719LmLCZYE69zhvXfLYrGClfaEJwMfwUpJ86LeU2wmoGH1wgw/ZPODXUXW/TCbsP/d
zB4Tns586Q6EzZZjmcicpkCJshI6fiQQLaLMWS9zLKxnr5H4w6hu6LGnbKUlrbssc9gupSRkVyTI
6sYiK4wYFALRyADRfouDzDNNxkx1X+G1g+nw8X/f55A2XtJZ0zQQFe031HAASmA5eeOWHJ1tml5x
jkyv2rTzR2dKnOWIt7+kBHdO6ulYjTldArYVKQqxCM/vYMd2VEPQ+QJUzYIGSlm0aqFIliZgIW1F
FL2AKXd2U7yagaRxonWG+sXo+vWdbSTrw8FM25yf08TEX7E4DhGixiM0Js7rPQWfl76rtc3ysXS/
TnXufur9uE729hJR+MR5UHo8mFs/ZEsfuYGf9MvHNqMlaZ8pKDghtJLFPaiFeoiwM6zyTS8FDo+c
QxDpkdkc97M7cHDvo1J1+5oqF3VF+4713A4MoayrtxE+4pj0XDgCv66IQOiFRDrFtaRYjy+avR2t
szWf3nlOGGXoIU+RuTTZ1Br+SqcHXwJ8+zbdAsne4JD60lWcw2hcobKR6Y/wH603c1pdZ4weXoDl
g3yHAbxMBtlKHcRtEbflu/JVZpMLnYYHyudQDiH0iUdbNoQpgdWZAVQJvDjYRnkarP1qYw3wV+gZ
oPvb/EJQAQinrEGXB1T24PoozRWFTVExsAQ+EhL39FgYp5GD5IjpeeuXKLhHPRPf1fKYwLBxTyWE
vydD562/K0StvYOhTPOWCwu6h4ALUj80aSSoCAYf2sJBia3vKDS2DhqOIdnTWq9aX9jyGsZHxHL+
cQI8LkwrowEnD0K4V1eQ12I672vLN/YDD+3P/iQxTVkTAiamRmhxWDYM+9akM+qxqvhMQ99IBgpZ
pJjfhrLUL2JwYYtWVSSvItfS8J7Sbnjvk3S6G41eNFdeKWMUSf8OTG857ltKG8nUEhPNw2hIks8/
zCP/3Urs357rIHwUbvut6Y19IdbcHxdiLr1o3MlTTrt91t0XtJaeeW7L0JB9vLezEh/i6JdXS4YA
+/cnxv+du/r/ttiE8/uZcNDxl19y7duf+GsOtNUfwnRcB/6exaT1A/HDtv9gX2mB9bBhX1D3Szzi
n3Og+4dt4eQj7AgTyXa2QMM/50AL4ocHNdgiDcbe2fL/zhyo7F/nQOZPcCQWPyMv5Jp/zok/LFBd
XKoMLXBppzjO8CJQR+EZHgAZ1VYmezx818HS9QoCzVDZhG61gnia01RthanZZS/0wwqLeK6X32Jt
i7oA4Tcrw5TScng+dr++Wq6ROgEmvQ4vTj7aHWg6OgWDfPZgKPb23PrnWkfN4wopj+RiGruo3qom
z5XgbHwYDE8aO2u2RbwD17pw0IZLiEPGj62vaJbxF6zG83NG7eN1H628LHpTziGzrqV5lp6GZJpH
32wLJQq/DRs4YoDJgbvvC8PZwZTene0UQFf7V2PFxjupG8NDGcnmnV904TTmhwh0vkdfrR3Pe0IO
+6SeT1FJGquzTvxzbGwyZ9yzETLPjWI0NWCo9/ezbzpvnv3c+mAACI3Z0OJbFpJpQIhqj2f21Jn1
l6aXt5GBsq6yK5i/H818flgUviwj62m5408OcqL0DGhhCUduhrw5U9rcVZz5+Ld9E0sKRhJlMmA5
C3+EoTxKjKDmvikH5zWW1WEpi3Ov/No6GA1OYYVinlJcboglsBvL+IbDEZzSXDynMSA90LmpqN7i
xpQ7UU+smXR53iRWgShUW6jI+Qd3bQ7p4CZUmicP3Woeeq2hyY4Pbs7TokleW/FMoRMe+k+xcg5Z
V13M1Q61MwV5L26MqOVNmncrdFuG3Sl+VU3UHryuo2M1Np8Sun2S5eOIA8tOk2NcQlRMh5piHkRm
NUBvZrgIRTkcKPXD5ZfvU6++4IBGsGjsq2rJCPe5927k7wmxBspN9xVBSYKdSI7iUZj6imVAkKUM
CxJsCJaiErkOOEilQgyA10536UiZ1RTkrdmzqfXBEjy+C8lvbX/EynTV9e4x9rXz2BufBaiyqkaT
yJv3Vk3IGIIiBI5VfGqp7Ki+a/fEBB6zufw+uO02yT27Ehhu1wELXsYQ3XKDTt2V9Kd2zE8ZSZo5
E2eXMrj9YjtnPd+mzKiEqR5VT4vSQGdi9BhNBoucEneA1Pc+A/jHZGqb3bzlGSN9Evl48orVQoaq
97ZpXESUNp/a5mYwmROJ0VLTmrfPBv+YbbDPXaLhroCMO2tC/Mr9oIvRDE2V4XAYj/Yq8D3GYQt3
+jS6JrZW3XS4vCdMDJZg4gFobKXpFaDWYBpY6kcUZwGTKENG7bOH2M0h64bFIeZWEr5mqm4njO5j
nN7kkXUya33hmIAA14t7Wc/ntodBaC4cn+hL3ZFv3JlNF/hTfguv+IxgdpqF9x1ecqiK6TByhdhG
cTansg9QkIEjN3c5y5J7By9DBVBiLC6zhSxo23Y4LslTTtcrOIj6gY3OFaINx4lsMk8GRUbEjL8J
QqtU+gQMz4B1lxAbQrWLjfzTYra4PHDCZi56aibMEkpBHgxLdEoc3lHNMMLRr2rTw5TXxzJm/Bmm
UPvu3QRuDWpCaINOmzUGlbSg57DjbCqpPcy2zpqe6y+yP4JbDUhPHXXEr67ii7SKU+Z1u9RoAEl0
VnrltOX9XMS3y7zeoDtdm8O8Z2Uclo0deMI/s14JOtc92eDRkpySwImipCLmxjAgmyX6+1zr0GDx
IFR/snpu7STWrOLBSzHttw2mQmTD10VPV2603NldcxFly8wLb8MycUvEIWt9cmXZOab32KQ36UQj
KLPi0lAf2y9hqc19TsR055gNGlnlva0tkmai+JV8kxSBaG8o1uA6Ty+YYG5Mq7kwXNNWlH9rc1G/
1E4ruHPHB7vrUAWc68jMPmPMD1Hdz4XnBY27Pplxf5O4hHYlrv02nrGCXjDpczmVTeBCxNMuZOGl
fTC1831V1QEnXhHyWJtPxOfvwO7v5k7tlTe/kO1mWVfhOEymazmIs2P2IdbojnizDPgE0qCjFCIy
5KWXw0PlNtfb7WiOEnKojX2e3W9G5OP1A07vyK9zB6+dhb0E9Y67FSxLSe4Al5SEdofVx1iN73N0
01Ob6q4QulV2TZL9T/zKefD42J35djKTw2gX+Zbt/2wTC85WqhkZeO8nDlyxi4hRrY8pnatNPQME
nE9u9aTgmkx+ekUrwE3TG1g0ooLMk28Vi7pIgpEb8ryCA5PSVlviN0VghuAXVV/7WfSvCVGYF7uV
Q3miFDheGYcd/8HRmGSh63Y8WkhhslHynfYZ+rN+Metes04aPe9+HmmHRvVglK6SAqVzKbw3fDFW
AeCvXVLcRl15DfSX9TrEar6Nhdl4dxHg5ed6Ine409NCCLhD7v5Iwf1oBUUhyYUQBOje/FYaT87Q
eTpkc2NeO9Ui/F0WtXa1T5oYhIcWQBsCHBIT7OM+m/akODA2Yd1neVTP7XU3uViJdTfwJowm2xfo
gnzDryvtFt+Itk3v0iFFdQu7TRifMQMkNp7Pfjw2JmWO+1wa9XBMqCZuNiU2UifZ4L0JSzo23JB/
Re3V3C3Oay96flsmJFbhTeSRQJtdVLSUNNscymksqmtdDIS1c1zL3bnqZY70VgKsKr01Z7ExtANT
UE7AhNOcgWGZ1MxEpJVOROqVDE471ytlWeJIyq3YAIakG4Kkx6Fzu3Y9Sc6iNemrn+MsiUJDuBF3
g37qfFzq48JurM1ZHyqFeQEkb03ZY7JGJvENSqKNfTbMS/GBz46AuoIOfpIjqdZLDssR6cOPtLoe
s2xKQXYXUuxHy6qm22lOKKmkSESQKVGE2I8SeGZ0R+VbK17xVmBowkup1h1OhYEcK8lYRBZo7tV9
7q1EwoqOY+pNTfyKuwidrtWOUsTytcHcTmo8JUQQcgW4PIdj2VGrMNJstV/TaijYzTM77jqzYsZh
Y4zS7vk+OgmQD289GdFKm9boI88FVrWxZIgLZGbI98ecDtPqr7jiHVHcTcqEOc2HD5Vh02+n84q5
aAhmHFEXQ44UHOApcD4CPOcgntdtXR5oZRM8ayf+ql2ZEzjZx27EN0Yo8NLnPkoZBJaSqOC2avGS
T7rwwJBGKfjxnVpmqFAGfHF40FVU3nPNrvUlsozFPHiRW116FA5jVzYUC+zZKvf1lYMX/wVRBpMc
hmunPXmr3b74ROOvo2ZCTKVcfbjgehAO91knc3ck7UbrsIydLmlm6serGp5FFkRM7txMzD4FIN8W
jXdGXqTMkjXThkATMxpYb+Tu5xa6XrzP4tHUoWkuCCC6nAt8+6O4GubaYG8ESvl64ouZhbD0I7hL
ABAooqYbNQ/XcXZn2NTgM3d4pJs+8EC28ihn7OV/KZyyDptZ9vPBURMJyylpVR26K2aUHfJm93kZ
JLRuv46miQkDRnqgsijH9e1mFq10tPKgp8FEQJhxEmiBIhIsS2WFNW4f67X6WnTN+DYgdaRBMww0
jDh05l2nQFK+kSUBDDTiAl6CtKSeK3TjJuws+4muGJd0dSLi0MwSrHKew6eUaF2csHWQw2od5iQ2
3tOLS3ee2tn9HK5Wl1Vhl032m1dXZsEYOIHxrycrvYx53F3pkZlvL0oapI9FRTfdEa+t8bAAX0wP
Y1zFnzz5HHOFUJfgDl9pIh29W0jdw0M+ttQm2bFmqlIi9t+Jn8IZE/Te3C2L0Rcg1Cf7OePmHO10
Jnk6G7CvaV50SvEka9d5d6q+Qh2aPHZYpTnV7wohCoBU01YO9HuP9OdkRojd0lLmOWnmbg2Kuehf
ia/VMmBQ4n4LM0yAKlLOdw8X8FdynLIPico6n21oEBgmAVUMuI/E6GLoSCbueqblFlQNKet7DBEC
rGk92svB97yccX2tiF7VPmrnToHXRTTPK/lYde5sbf2Y3fvcbSqwnAY+vr4RI4GcyuRDIqDAIwlb
bb93KF1NAswtcFG0fnTahsrqVoO1R1D3qyZI5ErpRSe3zuZmyfIhsIupAtdVzptxmQDxZaydBYMn
fR0iaFQ+HZZ6i7uJkW7UcHKq5iGJUqPHcZUlnxvR+l8to674LmQoXRhDVUtUKU7GdueIacwOMNDn
R2he5QPn5+EL2QOArjggSRQO87aP5xSYQNdIoupc0aUwsh22nTicc5vVoKc8di+yGDEidpAxtrxE
1SB/lhYWKnfxy7u6EiRcO+EAwQJFl26Vgx5Fq/9f1/krMyBwk//PmQF6378UX9qfQwPbH/nHgg9g
q+eRfWfNR8TPl/9a8Kk/TAkHw3cJm1r/gLz+Q9jx5B/Ss/n/bBtpzuU//iXseO4f/HXs49CI+DfL
/VuUTPSmH0z83KwUCQTBK7FIJOBooS39KANWZY6mm67IOhUZKb9hYYTrttkvNJOefnhX/hvFcVMU
/yuh8OdLKQtli40lMA+YAT+/FPSnaHUHHse2w8mJl7MPKUut61mO5TURFsx79O9+JPWijnU6Juff
v/wmrf3b67PMdLYlJgywX+EfxJMWrFlrH6RuHif3lp0ogvMqVQc0GQxnUBQFZKB4Gm6WzGq/xZZo
KLVOYutJOqN8j6k0vEeHo5eNlnXu2FnuNf5uxU3aUKxlFBYpi6woj9LKpu/N1OBoLkWC77xRvK0t
oVdsd2OFtJC0TclIX/GcK+xMcu4mb/UUs0qMWaM00Vssl/FlHD37o9kZ5Y0/ctveT6VOPv7+TfkT
ofbv74rLyhhGJp+K2N61H3S9pTYjPMwZlpvUZ9YeUP6+lKOHyWVh8cuTIRPuC6cv64vuYAGHLJ5T
OhWqmsyRAEn0dS0m1lYMj+juiY5FCCoQRLY1szrxWW1GgVdmSpKeiL3syCzrvCPRedaRZ1f/Ieqp
zya+rPWbNySNPhjQHOeT6uvqdR6UQz2eiPB2kBAHg6mSeWAFbJAj81Xbv2fDMn/octlB7uO3mLCD
DcntyIHKxuNG5BFyF/XUBxoqi+7MAQIEAZ0IBYYRv6b5fRZ23+7zyRe0+bX0tYa4vGdJmXzZf6Eu
o8gBCi9Wde4GhPwbToXSCLvOUZ8jizv/qZKwy/fcya2t4WiWkioSP2XeYCf5JDyXujaH2k6bCUol
X2TLuuJEHt7DtiLnYmQ7IZn7u472533eR4Tz6WHtaIsATMCjqE3NHM74lkJErPMEj8CRvRArZH+g
JnucqQihayh3rkfOk/KqwwCOARsw0mMq/NTcy9kordAeuKYJUuhWnlJr9u13fmHhXS0RjV3kaWVM
4W5EGu4moponOqzUnkFXZOunD5qrogg4e9j6HDmOZr875hQk9zUwnbvMYsUEPwz5NvSSSTs846z2
jmDuWoWOliC6JhbxGMaisYvehtVN0oPbOwT++JAItmVGI5pwnXw3CWXu09FuluyXQz/P2nrvDmwi
jTya04O5KHP8i98EoAWM4f/yhqQY0bE4AIc1vS0z9MOlT7XLko8QNgLYVT7wCo5nnegQgyyb4XiY
iCavo1EdoGhuBtQh+v77L9/PRL8/b4jQkKgTNH0oZ/9WvNpbRpxqpcegzuJyv2H9ruwOzjsEYutY
WX729wjaf72gB/YQForN08P7pU5QNInFscfFcl9ODEAuFrAW5tZV2lbqy9DM7SmyVzfsAQuESzOa
Z93Uzls15VQ9zwtSZZFF+rB6hEMcI4v/sRj6Hz8P6+cdw/bz4ZJVZNjMDebrOr8Qvu3C9OemoSG5
MSI+YH/xjuSg3f1k5qOGx58ixOIQPZVjITmfkooPoMOth6ow+mPHYe4/PLG2BNvPTyye14RLXTK/
W0zvl4djaXSlaTkDNUOFi1g2ZlOMVL5kxV+T0//8i2/ps19eiBnB5ZnkQwf1vF9uwlade5OpwOMl
1QS3TPdGt6eTwfhWuJ3EjMwoiPrlCRMsYsJAiAGEp7UrErwD1jBlS0hKdXptvNWxDkS/Gix5hsu5
wUDRCYdqcwD/3WsXaZqFkLQd3hjmkJ+/Owrrvxyj7Sce1/rNcqruSHNYcaAYKnlKV8M9/v71rO2z
/6+3iHzjVhUpbNPG9aT4yvzyZTVkTkEQ9RXBaGj3ucHNg1OxFfR4s0dxQtGQ8T8WLHnuCGXnz9PU
OpQOEdM9/P4H+fmaYHRheMFvhX/E8kxKUraP8oebRrJ6tVVbGZKhMqYHysztHeWwy4ffv8ovDbp/
vQw77G3bB0CPb8bPLwNcmwdjjnsGZgiB5abQCFzkOx/TQS/vg1tHhx6Tx0fAhMbV0mWxE8yw7YnU
ZCLPDwnZxmLPf08eJQH2x9//dD9PctsPx7aRyRGim6L22v/lPlKz8+9cojxBOxW0RHvK2BNISY74
Zz7GQ57tlYtjJGry5MpETHj6+6/OqVKZnhCmADH/81uTtnaHninAIK09frFeg1Kq8tRAPEnijtrG
yrhhezgRtqvNYd/C5vgPu/Ofv65//f6I/zDHHe7baOQ//wRUIyXMeFwDY0nVUdDXFNXv+qyZ7ysc
a7uIwt6TvXTj/ve/+C/3x+11tywxs7/HTRIV8JdrD/4juNV6qnHqOBXEYds0adNqmIwIvOX4s+j7
MrrKuqMEJ0MgnJNppm0qzTUSvF7rA4yVZA5//1P9/BT784eSPLx4jpJxdm3/l5s214jpaHJuwRrp
cSexvZ4Hcx6eXe2uVyMKzcvvX2+78n+8EfAmKMZDKf8c4/9cef/4BXTm1V7RmlhBlI4f5obh7WlA
0XCtVP9UcBLfWzhWDrTGiv/w/v/7V//HVwbq/vPHvlq61IqNdtBkTIqkIPN9JLGP/f73s7ab/a+/
IKckbnI+76v3553whzvMBOKW4jC6cnSdFKeYTMqN05Lzbwar/DBo2W6PurcBjvfBLTo8+qmMP/p9
bN64GKsuHe1H5wwQwxdv9NR/+O7h9vv3n44yZ3wFNJYI31S/XINDNdjd4oMH6urpPm4c9UCfHaW1
pUnDD9N3GwL03SBQ/cj8Rqqy2Pt5ATTDOKokn/NAEF+6wkCHHTDmlGjS3YbeT6AkEtj2dC/eC5CF
bFAS16jCOiYYECa5lbwKQmbZXndMzzTz6SMX/nrvkirJYjO+ljwyon1uKExEuLfkfUI0oQfyoIfv
Hk3vr64xI+nQ25iue9Or4egWHZDhQznXy7sBrII0FPV6Z9SjAnmu6McZWd2O2GMKxCoYPfUnt5nM
O6OGuUO0TYxgX0pe/Cof1br53a2R5DU67p1tTFmy62rLPiM0+92ZkRnnEow8sS3Fa4ymlT9FwUCd
pLVrIVPEQbksI+gnKYgzczhwWnprkZQvmOr6Q5FWhLeZntV31RgAiBWEpmeQRP5EiAmYW0gPOPRG
r2/ab0SQZRHAW/XWsNZGemGXwjAdA6TD1DP0H2bPqV51lHbfVOw0a7Bly9DBuzb7llicAM5cmy6r
qY4y8R253+mNqS0llMBA9MF042I+CPY57YkvPqnUzMR+dshwAeK+qKzlrhy09W1Q8/xGr2pyy9l4
dIBPifQllXLhBEB27GbA98apuLJRKdO0woTfztgrgsIYfMxtfUGCFK5dnxPHq6g0r2PuYbupXvnJ
eDI06lbXTvqaANC4lRPCQmCyT4EdQ1sg1oVoaCnrtsHRkycqibTWNaqvVS5rEFmecy5bDZ+ppbCR
v5Sz3NdlyNdnF/u8uRtx2Z6R+yx2b+BsrSCvlxE/J1TijfTRZc8Kd8mXDN6OG7CiMj/ZzKZfOUos
TThYxfpd5DJ+TfKkL8PcnK35vOjFo83LKJ0PrZE3nyoWCg/4ZPwHQ0+bWr442aUAZUP9c8kbH9j+
hOm5FOt8249r1QUGqiM8lWiQ75YiVojnhD3kzqY+4eLlSkRHzi2c4FFoh3Zv1148XkE/4ohokPm3
j93MLuiQZFMmd30zVXWYFXVyB08L1+vipRUnUPIu50wlOGz1Yjj8LgOlOxdH4BgO0zEnxkfMAafo
GiWcTy1RNV9EkYPhB8+D/wNpADbRjJxNWqqem++unpMvqnLwf3rzOgBLSnM17gtzoJs2xtkK7poF
Vr7PoQqqy9KCWA6aPDfO42KzP8wTDX6054n/Rp0563m5NqKmRQDC+u2weIRn82RhBBuITCDL1DO7
mj6yImT+1eEQj49IZ92Rlq5t9eV5tbm5StwuHCJzKQkxc7HscmMrRdZ25XOJ95X9ysl9ygKVRs5t
zneQdbFJVerJFiN7XgyFot5Hq0lhg1sqLmxY21iF4ty/rfigVMiB2qRhgK95zceY9teNUeVdGIsS
EFpDto+/sIjtV3AQOI0az68bDlWZeJ46bY+h6Ck4JSoZZa+uoyv2PYYajHPu+fJzXfUGGeClK77q
RTYPxtiw9xsw2oqjkRo+H/wSlVeArZJijw6DPC7alE2Nwk1EP5zjf7INR33vfT/CU1uuRDv0sL2v
8/YFdPzuA7wZm597rUl/W/gEPMp0SW4dOqkMiIwxgxcFmxBno8Rz7mMLA9eBB6JHVIhg+s0GqFR7
sfLW7L1as6SpKV09EB10H30P51MoWwWsrOKkl0AEG4ixspzFAERoZdm7C1wInBdeywWyjsU1ECmv
PoyqR8zO/Mq8wiSw3o9zqp9MLBwLUEcnogO7bz30HJ3E1QmdP2UNiF+OfL9XswXtNzIoITnrtq4y
Zz4gB8Una92u/JLZ+atnwXcK6I43LylXhB8W+K3dG2txOWD5feEPBH1GwzioXjBydRpiZ5x364Mx
2eU3c3WyF/4G93tnRBg4srkpP6minXxoYXnKdvf/cHceOZIrW5reykPN2aBRc1AFlGsPLTIzInJC
RCpqYdTkbnotvbH+GBeoCqd7uSN72HiTd+8Fwpyk2bEjfuGFYD98nWHWanAMBOCZFTFbClRUp4Dn
h08idK3xGoEXDT4nmm/3jlbU3jKXOj1DtXStpx6tp29R1rcADDSnf2mTvC+uQNw1cge1YojXZlua
LbRSOgCrqhiSZNcLVLRXaNfkDbP5bvxDDBV3buRRyssKMhIabYEfrlB3r8tFU6jWvumgwS1FKT3G
Y2qejM2mA2cEFg4AbKzdN0Ta7gZJuAqioVdZzLFyCyBElFTMUcoe6+wCav13VAhtwGeeSjcK6YDY
JSIIEOLbENCtfisgUEC5gBFrolNg2Mpa15j+LYfAxKTaaQvP2+Rq004cNREQN9CZuuLkWDqEcwu3
hdxsNuD0rG9SG5Qn1OHGGl+/NL7V+oo7MdAClWar3jTNVgH0lXS5csOosQh3hhfLaFmVT2CCuS4k
+qXLUVa3yAFUv7HLK16E7B7KluEf2c1V4adMwi6keMcFlAUsU1cFY1WhU6oeZpJJzvEMYXDDRY0n
Ldo6x6WwG0q8AkyzjH+GZgSHRoui8T7SGJ0ventKEbymYHDOluomhiQRE2uTiWk32kHzHTJugTu6
VAzQ3u6k11ipA7YLtGyS5kLOf6ISoRSffjrt3gm1OqvGZQ9wKemtfulKFSUcVAe2xYAOx6opRP0L
X4pnIzQZy6MWX+7pLqk/C9Pov4R6T9u4VTO9v/RKVf0oMaUfATAVNKyhTWXJ4TsFLQUnMGZe57pE
5asWFjonoMv1dxAatGDdInTBBWpK+M0GKAW2soylswTCHX1DZh5j+s4R7aOboSACMUClccpBtlCN
jenA3sP2C36bmhWkK0zPmd25gVMO1HoaBkAsOZD4ggj7BShtUu8JOiND41XjPPh6kfyQpesJdM9c
pCZCYKo75DLBwrRCYVDYtoP3DFC2zRnDDP4Xj+3+DlOn11eQSvU/tGsR4ht9pChQxobpGjMVzpcq
NFc0Hjt7MoKMuM8QW2LH7SBTAfuysFn+moQ9NILA08u3gFHSsy5ikCNp1krwpWOIq5TjYwet17Ut
ceiRqXKt5xHAUBiqeEJYFloMSJjFkP8jacEyJRdYdCQVaHXqBib2FcKEN5M41XenLcf3NhqiBA/Q
Eqsiu3JVZZX5JjSltFNajJSSLPJW5oC985IECIhVBlUUZE/u4RbcyJcGSU1/1Zh2oS/TmubsMkPh
8LuvND6xxMwRgdHMVmwddBn+AFXxjF3StMamJn0kFOEoDL+KtYtlGMEewp90qO/dkRbIggZRAlZR
wYZJqkVRMT0N/GhBQVvckqmaAmCTEiuLzg1yd3H+vB+XyBa+M5ZpG7x+kzL5cGuWvnAatfLw7CjB
lYkhLVbwaLgLYKYRLgGvnV/vuIKkKzFJgTFV1DRrss35XCKnpDlmV+IRUmmZee3WSviSdzWgSyMn
5p9f6ziUmUzUWIO2pWYf9WwxwnPDxMNfNhbAFXhSnHWj0acpYivXNLeztVYnKrjnSL2zslrbnF/+
+NVShzNWpfXAsNTQp6jwqVgWg5aoHm3OZRm4w90YeMVWGUpjZTWNurGsMLrQEj5R/uIegNC4ak9A
fXsWZYoey7S4Ir0ADgAWucBGNROTiAQJy1cwA3AF6YM8nn9IMYXTWUuAGGrRDdSgayA1d/iUDIjK
FgxNBawwLG6QbFZeokptrwbG+Iu+pELpvCqCANR4zE8z5icKChOBW5QXhNROPD468LDFGCJYuJBO
LZJPr1vJQod+BJCcKoeyU6W1hWtA1wLzNeEnByBJwXeq+/OPr5/YY2xn7aPDBNJsPqiJDbwYIBxW
Sz2p2l/wxdH9EG3JddMhJ1VvaqWOEXhkjOFtM6tH5Nxzg+E9qDUUlCTZYAadWiuzdV+P/kYKMzSX
XtI0tyifWWgT2CUFClYOXb2JC6G8qXpFiqwVyZdxKOKVH0SorI3xsI5zV79FuzxHLgwYCkhwsH3W
0qzaHGR45vTFYkiNBLiVlvmTHR2aWbgweNbKZ5pYbV0lrxjNqQrgZUydPRyrbU+/cCJPtKlsfTJm
tS14IcwTDr8RwwM7FWXcAYhMtT+qCOgNo7oJhO78ZznRiLPpwOLTyZAEu89ZlEEU14FbhaBwWAvY
hSS2lBQCjkeT54+42hCFyehLhDrK7tIzHh97iwMBrYW5gGPBbjl8xtF3NdPqQXBaWiC2rtl3YOlQ
VS+wtr9SIre7kPCcWM8Aj4GEIMmFaswnQWpb5qNRIm3s+e54x40uQ8bxvXdfc/gRCWFAo1x4vcef
kaEgoo6WzjjMsuYELbvJ+fdF/aGFUQLYdIAosJ/BBJ//jMeHi16OPeVOYsJ/wBM6ONKiyauqNAjg
9gBamDM/SftR+/miVF6blI6HSU6+p1nZrvVUiR7OL3/irjIxJub5TPIwSsTD5VVQgKPagspo+9rZ
NI3uPoim6Jepquav55c68RFNGtVMVbiw0K2YRVHVqfyECM2T2uPwjJGQ5sHptvO141L+mPgGffv7
BSHhTx+P0RWoncNn4ySqOJejeujEZrQB9pXuPBoJX2DODjfS6qIL62nT7XN4T1ggjTRmVMyMOH+z
I5lng1VZKnumTKmvoNegtLwgDGQrCWlxKyrhjtu4a4YvuBYoFbwM14DVgUQhGiZSjZbW5M+5cfGo
vwvo8iqIFsF8XgJ6b56iWsEyVy0Gmu0D9lbqqvMrcWnIcWI7Arhl6xMpbCQMZu8MA+lKDDo9JgCr
A+rrfXyPizMtAWmq5cI2ff+q7xQdjlME2UXrR/PCeTi+4ghqBogYzATwKFGnDfvpivNprTWZgdKQ
XSHlWDqpvu3VocBiC+KCXvs9/hBANM7vlBOHnUiqqTilGEw45zG7cO2hqUqEb3qNTTkyzrrSg2i8
/ftVQGAxueWsTwOG2aPloIy0hFWgIY2PJcnSEthI8Y/Bzv88zT5RiWE0bttMLuGXOh/CsZ/eIOfK
pr+Soomt6d/pL5fXRSXpjFN27MOilktdKPYDTWG66LUc8KQNtLsWwvkmVi0PS482KdULX/VofixU
gB4oR7kUd2CdTO3w2duxdGUY982y9hXv3jGyYuegGf6tFsWAWLbaWWun8FJMR6MwemMTTBoUMMHO
f4FThTNiHszwuJvB2NizyzmrfTDrbUqV2kiEXQtmrF+rOAVEjJAVXHO7wbpCRaQIl8O87387ZesO
D0kYiJ/k0Rq4ORTk/PX5X3ViyzsMmsU0VtR4R7N3U7WVk0JnBheieO8ZLpN7HbDoldr249oNqRI7
gBAX3sRx9jABUBgg0ctjlGfMEncnUZyk94MGmYIRZpCHJwseIe6CPrHEd7iHnxi16k3QttXPv35a
qLTcqzppPL9gFmH8nqAcuW5LrR2rDwEz13tFg9/h01JBaL6sf1Cm5u/nF9WO3zFSLjbyw+A7uOjm
Zy8PU3/ql3H2rLx0lorZIO5LYhMWq4oL1ltUcY3JXiBdxjjYbfTY9ajVKG4Qma1f7B55S2YYRpAt
BwiiaKD68LsBdTUoGdPp7iJam4W4A4s2PDaxY/wOapP4pQuPBo1v9tATpZEqSKxnlrUNulCD7OZX
w206etWFi/b4Tgf2wK2Ou5POWZ+3YpA0c4rcoY+oNK25RU05WZNZQSzywnx//r0eLfVRetokZ64N
FPbDF+pTrIm9KI2C3AF9rtVfRqn0W6/szCUmKebfbliucdpK0zybOQrG8ocBJHRSNBo6Wl5098NV
J6S3h0mSLVVFFIjTCG8l9aJ60rWs2px/xmMwCJvVERNEzNRRr/74758ekl6BbnoQrOBTJeozuG7I
EAO98RL27w6nHushyYAFYkQ6rhiq6HcVNNpHEYACb2rfRjRFVndVPoWP87/s6Nqy+GX00TnDEyLZ
ml0oqpvqOY8+4rxhebeB01jXgNH1q/OraB/17UFeQ4oPTnoCKtvMAoxZXoPgq5bKHIfMHp6nswmR
YUAcw0aCYw0pzXkFy5+/qr05QbXMvgSkmEUdA1Q99zsKEwgq+KwqaP+5AW2aRVkH5Xe3j50fiNL2
Yh1kCGxAOB29bN3FqvqsKLK9T52qxg8BPQxkO6NBwpbWotyjhaga+VJIxQr2Rie1ZkE/t55oygyF
wGOOerBGrEiWG9E2zq0bSWw9RpuO90KNA5qLgxFiYl3BmdMnvQwah2HcvFVCgAXV0hKMk2GnTQmh
ahh/N7JBwDcPkkC9LgM0JK58iYjboiubqqXOVdVqj2RlC03STaJhX7gKbN2EWK9AJoEDt2sYltpP
qTOU3mr02RB/dNmZX13Zt79wxxmzXYCxBfwtWy8AH5Yl1ELiT6FvqFwZnpUAlVGTb9v6h5dgx8tU
CXZYq/gpuWXT06M321Q+1GkNiYIP5YGAthX/t2n7w9SEliHDA0saP0NpaDnENNm8xVik/WEMrV2P
vQaEVCnjwl1jFYTVcDok2S3DIBFdjah5w9IBkQWuR/frZ4aAZkAO6tLe0BABggQJ6qXBDWpIUKnN
KsojO7RIXPvuwwHOKMpn5PZKdQsDoy1WZluDbe3qbPyG3636Na8NDL7cfoIgjGwGzBGtqZMK9FR6
q6bqinvf6Lufjpb16hoJ7+F7PXohIsCySL9iHGyZ6wDjcvRLrFiH6UVNly44LaoHNK5Dmq4D9hvs
7FHE8RZP+GynAksqd3QPnAS9x0LALosm4qut9C5QBxlMzJN4gHcIokX7Y4R1iX5niacONRIhbtGD
cii5BkS5yLKJIuZ2Wn4LVC91FxbZjSDljzsfXlA2jQ7Qjyr2si4K3I2Fg1ioETWNAfU/w0BeeL6t
b/Ff7X8UTH71G6za3Y3aWBC2sZ6X0Q3O6UiARKFRvpZEuYfcCpx8iXlYcwsMKXuJAql9aZjZ5+sK
Q7dm1ShT17jTSvfJTbXgS+T2LnLN9GN/wOwvflRj22n0pF3rNSVZgywuBVY5nDBAnkrYwd+WjsQI
DVUaiAL4qiirUtACBn6qaBgNMX7F4Ff+pAJo9mms63DTUPKLVwguuz/prsJVrlpZbzJjpPdcmwYv
pq0QKcPRxHbkJmAyzCcelDxZZrQWAao7YKQh5XEkF0Eq3V9mbsnXZKT1PZnRGOBbNIHJyVC7v4eu
9YkFVtByoCsrgHzeOLJZoAEXMGo2LNzqdHBS2ap2zFbdVD4Q7uuE7POO/B9Oc6nkGtRrJGW0C3fU
cTyeBh8aqFULiI794YLw6aII6zhN8N3EZRuBzollCpNCKcZL99FR7kbfBW6KS+vlH0fXw6sQEVcE
Ti2fgXHTMUIt2S7fEwG3LvAU54q9VD1oiQN70CiGbRLk8g3wAXsmT5wlIoVAxRAC2vUDMBpEPaIt
U+W3ApWzryig++WFO+rU7WnbGqYcrsN06KgKR/uyapn0qhDqDTvb+Fpmf80sh+FFxMjtmiFgNC5s
q++fCDzek2TUvM9kHD5iLxg31xMaysKfT5QvjESi5sLPO5HAUOWiHcKvEy73/OG7JAdNMpgiyFek
kf6jnkQ/ciNDwzIPLqSgxyUQn42EFzCzQwnIAPJwKRAVeaJ4VYfIWuevNA8kP1mnE/2mLWLdNwg4
bfNmcJZMjvzbIOzz65Zp74XqcEoJDq9ym/4ZrYkplRGMQA9/BFxHnUuT0SfNSWXbDVhyOLJ/083a
uGuZHl4obU4uxyiEwYRgx86fuW9pQzo2zdA2aPU7X03TH70xxnsYCnCe3NC7dDaOWjC8ZAYvFlh2
zF6AyR0+X9gm4KV7GlgW+jA7cLrFlxz/T2Q2oIcS4bG7crFF6LzReaoYTa0LcPeXehinnpoSl3RJ
09CWnLfpc/zmOqRDoFp5Zfuml6P9bkbRb8Dg5qs2euLlfIJ2vId5ZtIyGjaGBtJm9syOwEg9JhNc
Mm6q9klmK6DqUmtnI55xYaUTSwmhcb2b1G62Zk///VOE89xBCQzmr0vmW2GItZfr9YumNKy3rnOR
dLeDtnqj75D4WyMy6dJaahjeoIrKzc7BNp6KwG9ecIXSnmvFByAEC2Vstq1ZiK+WIhBx7UPzDkqU
96gydE8XUu2TBNOWLs9IsAv1x5jpBmRPgIfbhFbbV4Tug3cPT0TQWpTJ112bubdj2DrBRjNaVHmG
OkofHC9Cd8SCoWqvCiHHLTLHSbiKErTL1giQZ++IzAZo+it68QPDNi6+pO8M6jUDsEyN61+BpEeq
alitKwEmmLrf/qH33A0LrRpL5m0dmoG3LWAe+dimAaiADPl8gRFrmBYP57/Cie0l2FkW9azGZ5jX
IwwdasvUJaVQn7ylqaXd9CnPpbQdeCxgHtmFGHliPYIFLU0qPMZPH/OhTx/d0d1wBKBE5uIK+PYD
EqSgs+wCFQJC2qoPDPVSrDyxz2AFG3Sv+OvwZWZhChaXqQjOECDccbzruckWfqHnd8Blqve8DoDY
Y5exsi0xbGiGlYCOwZ7bsfVauOqwA7zmrNtI1VcRevXl+vz7P/njuOFRA6PMdpxZB0ORneNmBuWQ
FH34ogf44UV4ItC7sqzxQoF91Leg8sLSncyEfIJ4Nrs06ibtAkW3WctFnDuUUt4UzaheAzqV/GMe
bD3g1hceUDv1xSmxUXmY+vV4yh8ec8wLg1AxecI2cCFIYbppedcZKg7GpjC01iIz9/xwYyOZ+RJI
BTKl6+EnIlDHwCgnDNvhhrPI/TZEdLKQe0njn4Xj6Tivg9N/AadVP5s038ZlWRmy34ypdO75m4a9
piPXrFsziuW2QIbwD0hhpoON0tbOhWztuBlIRa8h0QsJzLBwz57SuU/7uuXI9h6tvaVjNeW3kFYU
4lEGqn9YSbtr3yuRuDF0Zem3k7F1AmcerCJqUl5vVTeldMvd+X11In3k96BE7FJsq+qc21KKwnPB
UgPVyoo4JH1lMrNgaORfKOihKM+TgA8ROSjOBA8w5rPTVcJGdYuq6xCtH8JdI9S8Xg9AZh8HO4Op
j34QF2iHRMs7AhNYHwkuU5RRmhQJtx4UwyLBTmKPkzaC6EZupU8qSYV9JQ3ybqrxSiCraw/9Iy2j
/iVMFBUlrbDDfsNAlQbXby1ARMRjvHiNuuJoYNVt5b8oeQVmvb2tLWjUZ08QevFnGdzgIUaJHl1h
BTvJjaOqQLZxq5IvYiwAb8U2YLYlWCLrD9p0ybgZUJjhaGiReWkk+NE5P0iegPYxhOReZ4aF85V+
uGH82kbPIizMJbhmHJ0sZAUmKTq9AxcztsAPbfFCV057chRU9FegZPsUCXPH+Baano4whJH5jx5S
CcbGY77W3Chen75nw2TdWMQ2HQqXX9+s7QothGfbjqS95i4Ny3+YiJPr/X9TL6sP3WkEHpjxYkMw
+8f/+P9TAtIhVv/PUgFfwt9l+V796z+bqi7fk98VCuH/mdX/53+XNaaD1b825Xv283f1XiEekAFS
/XAsnP7kP1ICtv2/qAoNGInMVmitOpyb7ndV//u/6aiI6y6aOAxyQb/BS/ovjUhFCBTByfgRLoZj
CKlM+y8tAQUPQnQJmEe4hCGSqb+QCj+8KGhPTnMV/pLpMJjHZ28WsqMQnkIO7hjiQVB9iXU7vq9H
Yb23quFtEh3E3Iiy9YWL4mNM8N8nglWFBWmUrJOWrM6NMV0kn0Io1BMv6Q03WiZxs5LNnTBvEvtH
6aJ59GRE2bItHyvtSdbROs0hnLhMGaIvMgOeGK9aDL5MuGO2iunYj1KTG+B4KBrvNG+P5jMuce3e
ah6zqt206AF1iIeF0Y3mfpHCWWcVXSs6gy4W7gaZ9tBk2xahnkKVSBdv6aLQoLxYy0637bnHnTVC
9RIKGK1wrAuendvwDjXdBTIoK2VDs+i+WOuPybcSSugSE/MLecCllWd5AF68CoBEVvaAVi30vrv3
yldfRGuZhX+a3twb1Z9PR+Phn6f6V9akD3mY1dW//9us63v8bWdpTm5afZrqLFnsq/VGrjf1igbb
ItmYW2+X76Ejby6UF0d7+HA3zQnIwwQjVKfdxOWyTu7R0N50F+rfk0uQuHG/klPBojrcsKJpEYrS
lGjZ2z9Hh/rEhEUll3n+LY3ezr/ASSTkeLd8Wmu2WxKztGWLI+fSv8uyRfHL2cqv5a6/zrfda3bn
//avtHswpcZ19oh0Zr3Qv/R4KL+c/xUz8NrHZ3RV+s2k8Ew90Rk5fGIDDbUSh5V4WYHyFivnGzqJ
CCq2w7qwFujOh5BALmGTDvPH4zVnuxX8EzAIDQZRpcfrNmy2WT0yBuvzFEeUi/2w49UofD96blQL
JE8E7M9BqHIUJVWSyQ0kV4ylryX9o+863mSrY62yXNd3DUD9TTYW6W3KpH/pDtbwFcesZoe1nLwu
0qq5h3Kn3StQQn6jkGj83a4jPIKwIYUnWJI9MCc7/IWCYob4B0bJQCFqyYjBwvgZsytdGSC6eAqq
L35pXggZh+kk2QlzTkOwLHW6ZusfRMdPsVkVqZsIDau+JkCQMnV8JiKqE+7O768pCnwKiRBAeSYa
6tR+083ozA5UQjs2Cp1q2FkOXjNLLbcadJ+szPxSqmpxT9loX5epGNRFXFpInquj5T2d/wnzLT5p
p6gk8nR8+H+c7FmkqqXWwRd3xU5rrHodGb12XbU45DWU4EunC8UGDG18DYQFYQUf5bI87qOnqkb0
7vwvmUUXU4UYToOPYmIalpnzVz7mbp35FCybGuNZmumjvI4KKfdG6fzWkavd1YETXbiDZ2UMyAFQ
HuyYCQeIrg6iRIebKwcxXisZuKF66NPnIgV5GzZu/NXGFHIXQO+kzRsMOID4pNwwQQcEOEO9Koel
M7YFM0oRZxdwqrNe5/SbmECzBSmtaIR/ODJ/PpItTLi8k2gPB8I2l2E6xNee3YIGpcW/UT3nV9wl
V2gKM8jzkdWtXWk9nv8UYkrGP21MUKhEA8S3aQWCFAaYdfhaECqUQikpLq3IFQH4UpQoF1bSog4b
4JT5lFmR1m2qvKW3EBqBby+twclvPMSB3m01zTHmzTq0dIMeQaALv22KSIe/TYe3js0CmAT+N5nO
fH49ht9VUMc03PRCHY74aLnjU5RBW6eBlz7ZZh3KhWq0Bb4P/tD/RK3VxNfU1ge0JzBseXAAlQlm
PLaSrycP36+hpkMk+stfyUkCOI/sg8HnnPQWDn8lohy1jWWItSMAeDfo4KavokOwGzVba6m0g9jE
uqgYXPoqYsB9tq8701pXTu2iQKcxZnA9+jRhEW97v24uFLFH2376daDeGYWQPeO6PSvG4kHHQ1MV
1i7zBiSaLYA5ixoo08ZMfYTE0Ue5yoWn7/KwbLeOU6YIIzpiiS8fmsb20G3Ov635J51+Dvue1ijt
biDas+1WSEgcha9au8iwJX4NvtzUTaUvtAzu4V8vRcOXNh+gC+Ad8/Jdrc0mhPNo79zR/62WI+K3
Oo4oKaINi/MrHR0i0A40R2gUMB7BLFqbX1yVlL00Y283lNHPwcU3uk5FsIIiFy+sOtO/drhsf49k
kiwt9MjhGZRwTSVQ4A6Cx9LuZH7hXM9Als4EwJjaNrQtaB+AKZvd9p1OGLMD0wPLWUe/+kQ3Ht3G
3Kt+osA4i/Mtvav8OkFidYMjnfZVDB0yl9FYb/ouTFeFpzTXFQP7ANsXV4dDWhXXoAYcrI5D+SS5
h9cCuNr+/Js83h78aoY/VHkUTIzvDs9Swr3laFXo7ZrWxpIsBN/WN1LdJRBhL2yP+XU4vSGHzYFA
DCGQcc+UGHy6+OvBq8MosNxdZebyJo0z29lYJZ53tuoW+MUjVvDddNLqN8QkfaNFAiWtYUQh1Wxp
cSzPP/jHk32OddOvcWhhEovpJBLzDn/NYCEtirmJt8uqTkKE8eJHozerxyLocfdOPANOXWgO6EDV
Zqv8yjha+CMaBUKKjqpUm3qM6q+5WZjOvsWIFq/1tskhSwFqXAR64sabtm71m6Yto3f8RMx8Z6em
Wmxz24Q2OXlaP59/oqPLbXoil+MgQFhS2M+L3jrIYC0iTcAODOxN2gz2Ui+DcQcWpF6baYKoAY01
/Bm0fFMjproi5Wi253/Eif1Eue3A8jLJ7I5042pviPuk4RRIZ6ih9yYj5W9jXOExlF/YT9MZn31A
cjsGDcQ3dsgH8+/Tdkok3KGIsccugv+4bnRMioRmxxunEcpaVsJYdLn6onpVdSH6nFwYWRPWheJo
fOzzTwvrVTG6ChJCOxUKNHZQqbYEzirWIp5MzNNMXafgKu4HTHQuSHXNKorpBE35Gyha4GYohM32
LCcZWnKPKrDR5PpVVyA+7jWD+oB/LuqzffN2/mPO08b5crOQ1tdBqjqx7+8xE3J2Ug1MNFysZDOQ
262QKUellRnfhc96YgeRqE76a4zQ4avNEvdUb7lC8NnY1z6aAHhuvthZZN6pdldcWOnk4zkAkskG
J9lM7TAC4D2t1U4ueDxKkpVpYKGm2uGbPbbelY5B0zMOzBckgo4/IOFPnWR6cG0BKzH7gLGBNxwC
SP4+0HCo4t1+0dPcRjDJMTaQduWFIDdd7odHhOWmYwiKnDpDm31AjDHg2NSRv+/HuHnniyXYWTTP
RTjihdaZerZ2Sg+fWWdEN0255CV0/H4RqkAHahKRBF/xkSl9Oif9mER4V/N+9cDJ9ooTJguEDPq7
0p4SyLDwVmo/ppfyr2lIMHtm+vCI901flVA4yw6jyEmEGBx/7/j0uaF8N2DmRsVEKqfJvf5Pljn+
V632nGGPNIm4SgYOM+2/zH/L++BSE0CfNtHs50wqSGDe4SRBjZ5lKsTpPhtj1yUgWvmqM6p0F5Qk
oSiAVktkDehFZKW50hLF3LtVNFwJt0w3SPu6W89WJSTgxHtE9GTCqYh8x5lvriQIFUBSDBCZZlXr
tNet69CLigf8SZu9Dd2ZaTumawkV2L4e/PRB9J5+W2MseIW2ACZqXSuvANoky9Cp7QspxfFnJygC
NprKK0BS8/FVZ4R5OUJY3MExXpXa3VhqgK1eM3mHR+KFUHxirSltIb2lGgCiPktf+ii3y7TM/H0Y
2sGtbNxXxlLqNRryHXrfyZdqxMfsfFA8cc1CJWeQjUAkFFNu28OwESa4D6HJ6u/9yPtVCN3fWXUA
vZVwdT+qE7LS9hg3uS7Wwmha3nj54F14xcdhhJ/AHUAPRTDrnae/eQh7cdQUfx87MAxBnbwDOfRX
Fhoda6uD9Hj+kY9DMv5TvFzIANABmO4fPnGWAW4ofKzAHGZCV0IJ5S34zPYmGeBRn1/qOGJNA4NJ
RYAsGlLGdLo/xYwBi7mhC7Jg3zvWlZ8DHcWt0V4ZRpVsK94mmbznPU+8jJVEjWVzfvUTKerUmSJq
AcinepvbmsLO0JV2VMJ9kecO2kuhs0ffPVhD8MSVRbfHXYVr9o+qTcQaI6vxPsuVlxAk5N9xw6dq
AkwDoZvKbSJSzylbdqQw1ImdcA9TolyJVBnfUD3Vb9u0CCPMIIr6wqMff+NpQQb5kFCA5s/F67wy
6iokkcK9CNE8UFyjukZX+FV2hbU7/5JPrYSjLRkbypTwPGYBGknZRsnk9Gid6641u9d3VCcSqS+1
vtDfPLGbpldIs4VGo0qIONxNbql3DIATDCPzqr1qPfNLghXftayKSfSux8swUHG2arDTafIuvLCX
j0+pweoMl6kKJxLj7NgUIm942CLaZ1UPwsCT+ebDyqPP9f3Y2tWF5WZckn/2DEkpzRHi7wQgOHxa
wgzmKT2OogpY81Vn2f0achyMVKUKdynWsXdN0UZXuCgN26oIlWXfDuaXoK7bhWyQPKtVrLWjJgx/
qA0aFjUy+rsBusiK7NZbIwRd7HOFdGEMpLPFlN3fKl7W33qj4iw9erDvZls/wkkov57fMCciLi+S
QMuscupPzUcFPjJvVYMiz57RJ1ptviVWbUNzJ/AyH9W74NrpGn2PkUmzQgAtXffhoF7IFT9C6uE9
zkwR9VligoNo1Bz5UyldIxx0qvY9Gs/rng73qtB63cEaCtNT04ruFTmwi4M+N3YoedQ3oN6cVyF4
2ZgZ51s7F+hod+m4rpA8W1SW1QGpNM2do+jujWJgJAnaFFU2QeFplxg2eO0kYaWg3ILzZfeu89fh
Y2XbyhrVC4XF8T3K0yFEAYmE9t9RKiynqBIEfbTvhIGDG0CT9SjxJVUSH8uICoMHBCmG9/Pf9VQg
gPU0CZlCrGTudbhfDREprUmzZC+txlzAa8NXaOz0lVua+YUb7MRRpA8PjRL6K2nCXCkh9KtGRHXJ
DlJyzHg91b9mAyUbTe/7bRx1l9Qap8Ay2y0aNzNbFjkEDv8sxrl5aTBxYceKSlgr3YDuHiDeeGFT
Tgf6aBUwj0Rupv7EmcMXqIx2AVoRnpzXWS32Xg7slxAgb5XYLac5c+8UrctXnB7vQpZ98vlo6duT
TjXT/el9f7qmaz9qi0hzon2FhsmtEEr+DenC8uH8Bjn11ZhKkcx/EKzmzanBbwIaHUq0j3pXrHNf
9W4nNcSdYivxI47fxYVs8vR6AAaoWWilzIVUQUejztXwPtswWptOlW80C3E7RmQGKNFLw8hTX49c
g9EnmRVzsFm4hqCg+67NanYl0uuga2IktjOsFWPgZ2K4tWT/6uOOvP5/eKnMwzjlIDOoRQ8/ncsI
qPRQmNkHGIxsowiXAl8g0ul7g3Jrh6p5oTF68qWiUTIthzLKfBBXy8zAhyuI92BpEwRAk+wG+lCB
ok6VbtscLfjzz3fizgdsTFeIYTqnYn5Z6FmSOyFigXsan8qyE02067HM2daoKuwVOFprfJ1ymq5u
sJtAsxdSjhNBjbQcVDmTCYsm3OyrRl5m4T5gxfuCZ6M7Y/Z3fVR+75kA7s4/6OmV2DogMFVy81nt
EzDDdmMZJHvRRt7aD8H9YTg+mUak8YXjfuoGhgFsGKTkVD1M0A43zRC1vcAVjE2j1sGPWB/lfhik
vZFjJPeh1RR7v4cr1+Ujvg6mUb2abXWx8JoWmYe7SVaZ3JGWrfHxIz8FnQITj8wTWHOqiuktVasa
tqTrHvIT7rgJ7FasEyROdux9H0/vIF/6FnBAgQblzk2Vdnv+9YP3Pfo98HWZ8OrUu3Sq5s0cQ0EP
XJOjsgsjKfC2s4P8T1ob4t7GAGLcAnAajF2NDfivpAQDuEWZqrvpIdm9VXXR0222xLOV9eVtDc8M
m7ym114iTMKuzK7Vvw0GnEPcNurkYXTo+U0sQSh4Wuu3eyd+a+vsSdPK5r4pUNDcMPNMf3th1vVo
fPbmW+/rlUMYwWddMxdY/oxPWiOSu6xOMNYkqXhKDaN4UJATIKPq0prRlKkO2CkZpKcr6VkQyEK/
EzF5eVav0L0D5MQ40sHLSNGrbFMysUXtsUqqbRPJgszHjFOQqFHlsChmbT9zfXS+ATTnxk37pvuB
LFJy66hJ8GIooxUsizRgDm11urdoGpshfYAkvbbyM4l2GKjT215qdYRNWJ++4h/Zv5al31tbJo/8
tqFHUhzMd1CtheO573LIq28pfR7MNswUgdqwqpXnmp+N4m7sYzc8hql4S9XMf8a8L3QWSo0cK0D+
OnxWzLxQtkzfkKkaGx8gqYjMm84pAF34r5HbgOhqi9qtcN3MxKtEOqhHypsx7B0t9+6HVJ1kHaso
By7oF0dihSmMvpveun2f9mEFzxR+AbpXigmRsSETo1tr2P+XsjPrjVzJ1ut/8TsvOA+A7QcymaNS
mZqleiEklcQhOAYZnH69V/ZtN9wGDPi+dfU5VaeUScaw97fX6mNL5subL0bx5WXmOMQu+82H3XgM
4gBRWj4ItrvekU64XW7UmHv37bpkn47Ik+AgiXUeNCmhFRbVqO5hlDKAGVQTs5GyIwW7q53G/86b
auZLLBsCP5qrknMwu/IpEZPBxCsxCAPrJ1MnYa5qTL9EkBZjo+XB+lTZOV1UlTQ+INYBgx/TfWP9
Ulnt3OwsgqR7O2uaxwnX5mHNHMpNuEzP8MDaR8/nxMvi19GC8MZxfGhRmRSEqgPQtMAjjWc9YU3Z
y1IVd6su9SuyPpBvOD1ETaJWE5gK3UnPMP7oKaOqnbVESbUof9NM3sV2ya7u8IQlI+P53dBtGlMv
4d85lf4XDyH4VATzun9TnLTvJqjRLzjIzLK2IAiLsJd6y2RR3vwEzIw8Wc6qPlcdBQpPM2w9e1ha
/hLpVFyKIUVy3y+O8+UMk9SjZIYSF5lEeyaew4wU4OzIJ9VxUw/9hEBiVCvH/ez7bKmihTXoUxRi
KmKNGZl3U3jFDqlSZYFGzBlTgPTKn1MWJT1pckI2N+LG+GpK4MO7oBfZA+2m1GT+8GbbE9xsNgGz
Kq85+MVjjYVsisrcUEnExMoILdm0awT0lFhvzkVHgeVb0jy2zNI6IpYlX6CMDm+v7ITlxDbb8ru3
VFkWAgTjVbJz+lWR0jOZblWtliVGFKfwGy8rAPe8cMsrIrj+CoyYQVhr9phbIq3x3fRz9abh4zhU
TWAWeKqJd4Y1ZpdDMM3W6yrq8e9EJZhIV56OeKJzgea7FwZytDXRNLJlWak+5KQHAAtJgPwB7l3L
0JxWhjJB5yXfU6GG12mB2weVS2d+PbVKM4HdqOAuZuROberJ9tIdeFOH177Oqvty6hjT8Ts5k++s
BuexgMfKGA+iOK67tZyvmT21zzm8cr5QxVO7VbIyfzK5On/1hNtPuLbpcpWFhDisjQXM5l6ODk95
3uZXVvB0jFbHWonCY7/+nCi7wZAW+UhXBHoygksxf41JnX15izHddBDkThCQ68G4scQaPC79RJ+3
b/waRS7b+3OpvJkxlgn9Szi5vW7EvHRzxjeAHpj2ffmA7HT4dtqCxnD+pq+OfRNZk+zhRqNS+yAg
lumbVps6cKhinTYJgbcpLMe5lQSM8ia7tpmtbyuj8+p9QzY8PfZahp+IHpb2oFbLLeK8WOVjn6vs
MfDH4At/RvWcVv1d5QRv3B2LAogeu000sLqTiq3VHWMiK7gWHuCPVt3kmCxXwbteptrKDdeEhVfV
VbLGPvP6uOtA3z7fBpw+hNFlr/zxEk24zaw1CNMlOa7pyORtrvGyhFR2mt8GDjqgWkS0LxXRyBfV
443mhwI0GhrLrLVg7bQatzvEEHah3kE7aa2W8+gvqtmVc2velR2wuEjN2s04rAYNe/ptLgrIMqzI
MM1osfNMDAEj37cZeuZ4RLzIuh3gH3HAWqueWee5y4YsUgSZGnibU8o4vD8HhwGzwsc4pv1uSqfR
Zyy9rYyoSTWk0LllZSHz8964QeHcthu3GWacV1Yz3A+KVxyxp9t8VF3XX1pOiFgFrWBmICyj8ByZ
mgA8M7UpeVCzG413Jrz8s0/38Z+t1P9S8P7S/tRPg/z5Gc6f7X+//dZ/ZfT/57//ksj+P//kzefw
+W+/iP8RT39QP3J5/OlVOfzv5Pjt3/z//Yf/DLk/L+3P//hv342qh9ufxuNZ/5/599uM3/87Uh9l
PxAQKEj8/Cswf/sN/3Tv+f/h/2c0kBozIye3WPx/BuYN8z+oS/K0kecFlUWC7V+Becf4D2pYBCXg
53GE5Trzr7y87ePewz3CZZgxc2oZ1n8lMU9p8t9Plrcp6tugKEimWzTzVpb5v47bqfA1bt11dFMw
PTV1cekxJe/dwHop0A8dugUp90L7O5R5QsZbeZ8s6k0I4/JN1noX5Z1FD0gLio30v3RbPOTMPKZz
FU3ylnW0A2ZeYAFzqGksDkL2eW2c+p6a+MmriMdLVmJTg4Tu9M1hJcZujxaTbv18KmW/bzOODmsQ
F04BBrs5y7Q5azU+8wzcgFP9cSv9mzzF3h4ksyfB2euBBrXeIyecrbLjrHzNgp9mPo3B67Dqeyc5
phMygvzO8F9Ed8OU6Avn0DLS4Xgnyy5gO+4s5ztov8TMyG56pogL1dZYY6YYrwNAfN0UsQ/VOO9e
YYseCCHEvtpaSXrqcRx5dMeL9Wktzya6gkEkU+ho34XQX1YG4ybQfX7Q8n5Xey14nipmekznUsiP
tQYZUzI/t3ThyvxVmh3JCp9Z0KSb7zz3Cz3Zol7TilQHG6UCuZCfZ+veHI6djgDGr1GGOj9aqj0P
AJE3C5B2Q+ufZfpJNRfIQpSWT8zJRaVZ7A0igYthwvZPrkjDYwfPuy915OTtftVTeLiB7Zybvtit
Yv4u5LyrRiKUI+j0ZcY3rk+XDNdnanEZEONfIbez+GxaYYUCVRvc77Amz2uaO/jvD0tt7INRiyzt
YkNrjFJuAAeyTcVDyn/2hoYE12KNV4kPltiLAuPZTtdyON4GTusRGbkCXV4i0DhwaL8bcQxEQksj
J5GPqEkiz7hSY4gzD/WblNfUHZ8kyz8LLqVnq3bAafErbak+5objNuC7h7TxTxaGYEAdflj761Yf
1gB7EaN9k/7YowFkfxDv1rwMkUmB0F6NX0P/sRnu25jNiJzxVaeiACUs6vFcyPGtJRV74P4VFY7Y
6JzDMLeC1WIymPhBOBHbqBYvXNbD7UjgDPUptzmkjn1zcZez5arfwpvvAQ1vbg1af2h2icpDR3xU
7KYjQHfwWKdc9aFdn5holt0ETm8AU/yJPeJFpsGeBmFYIpd29PHaF20bNv5dzyJPoSR2+zyqs78Z
ikDbKN8GUz1xfTuYnLXG1edoJe8ZEI7hZT/0HsjMtjyUtrafrOm8NPp3UDof2WLwHLwHNKXYBJNh
5fAvDzbwskaexnrTNDUttCKk3HsacWaEc0C4TLevC9VCXyQUmKvfLOWk2CEbJ4lqGDzfarOazr1a
x+HTM+V3IJtj9o9vg6R6Bmsvx6o8azb8law7wkr7yLTkLfB5Peix//aB/gMniQMjh4e4pOID3SnO
1uJkamWsZLopaEcHaxbrs/8wK63b4iNpoxWX4NaY5ifIgh+BI9YNPBvvoi2WyXy1f8gahjKXdFk2
i6+l2zkrL7PHPmiM8mXhRZIzq4Je7jlBQz/5WNs4d5x3Ia5iyvcdAkRWkKd8+DYSbtpDtW6Y9Ocw
mH0ZfnefeYxLTyMOc7XC0i499JKaxvqT2OuFNNP8yEo6bQxvuTNq3mmZ+S5nbLTynnkyS697ajLt
Lqend2Bht3fd8qJqEa2MpF671HtPjIpGfmM/Cc/EqZDnsT30nNJL2YXkk54WyE2Vu5gPNGkuxeyS
XSgntXXTdt0n0qvixtDc7ZrxTnpo3YAR5X+E2Z8aP4CqCrZubLRQE3d+Yy/P3IHeEJFeQSufkDjf
GzWYGPukKBRv2jH/GTLA+BPHHtwCPxJ2EYKDAjXAUmT7YDHR6pV+cZQ2tpvKma+jcrQPawiAsEB4
EdEC/o7peML0BNu6rdu5G2/hNbK15C6ZVnnPLPBMhJFDaWuD1naSjjzagg+mXerhfujs/JxX4B1E
oGIfcHh4a7nS2WmaUG+tFw+y/qEAH34gr+s+aTd/gyc5BTuafk6WJHkfaAVtXVolr3Jop62zZO0D
D0YR90Oa33mYOhGcBAgEervZuyUijNpHXctxlP4JK+uGsWHqZTPRCwgzZ08GlLEkX5rGa6eYeGG0
lvXs29EJaBoFnbDKscuTLQASpX7SxVJJP06ztjkw6klJs/nbDukTyPa91eGFXEyOz411l9gDOA3Z
4hpjvbqy8fLOjIFb30tAllsrG8avTAuGcC0xNB0WZveZqg0IQjpmjbvGXzfTOnYg5lcVL+6z5szt
YS48VsdFyWgG2HTb9VLzj13r+ibzzU0wWdVRtMMMwJ3+OHxzDIUJtRLKoYNX27GrVi5Mi/gY5kzH
+gJ9TQuytzKF3albd+ncqoO9eE+5WOqz7RXimzaCFnKlKI6J4MCPM9CHnTy3m8WoltDuAj9UeWns
SNS6Wz58TgOu+VWhQQvt1OCpdW/21qa/OrY2xk5dJpHdYq112gp/UXf70yzUHgl72aWuzU/LKOed
0zL602fZnvnr58kyL/R44UY2TnendM4H3qvJgPhuTRcrksW8osNbvsyiVSwRc37yHSRKeu8ve+Gu
NoPECmFed17mHZgtma+/6ZAb3Bq40JeufFvr+u/opg94e/UYRALrgFmeKTS+WHl/6NPlnFXGw6p5
W8uq96Scn02JRc5mP0nW79kTfxpGfXOt3Uk+9jwvd4RHdq6vwnzeJvbdPLsb42YMaZxj3ju7QADu
zRnON6ZNgwh36rPjWlFBaKTalcTAu6U7N444BnN1SZGMlNOl6519XWv3+Ip2ieXGcPNB33NU620j
plyShbbR3vPZc34Ah1UExxbgxkeT9ONpHdc0hXHGS5Dpo3EpNVg7fUX2mH6i3keikoEerdQrDzRi
/J1IzXkra0RXQ9ZoVjggLcjjoVv1arNOAdS+tafeZ/Wjs089rwax3eRF5Eg0Y5hBvRMnZfcLfc4c
ZXoCLka61PbSQd817Zo9AHhlX8zMptz2Y6VtmFTWd25aBluzsmcCT4MTW71pRD0+ywg1woovztYe
jSwodmpanb1C/HUHe7n4szDK8tg0fRNnGiKEsM/X5MlGYzqRiqFV7euFBYodptnFIRt66FpH3xfl
3L1Jm/a/Pd3EBfqYj9Gi1fW+BWP7XKyLcZaBo469PTi/5MqbqBmm4QFvwacz1eyoZE+He5JT1BPS
htNM1enafVGBf1B+nT/rWJwOFj96OGa699AojijFmDqH0vDaPUCdLm40zFH42geWvwxP5TQ79Cqm
6ihzkvmRR8Fry/rBjJjVWvu5dNPjGOSUQfvZ3hqD7rwZpUn9ZCT1zrxBcQ3cGbxWUPWWul0fs7AA
bPDijio42Bi++FK5tqYy4ZCy1FNkoIiDnAAnZC0C680qKijdVl8eLWuaqFFWKwfFdvE+V6ghoUaK
77Y49Wo3waA7z7VWvMug9A+z4TA/j1Ux4HxZtuPftWzt/Twy8KZlwx/HHXQWRAtisKbss9n4j3ng
7Jy5GcKUyRDp+ttOYrfRtWOXjnXk5HO145PUQivVzugs7vE+v9qCqjMeZ5PmOo/SOM8nTu39phvx
LBYLjkeSFn8Y9t+WNPFv4Mu7XDfuoL1fBSm3A2KpZ3+qXizm8IsBnbI9szw1z2yuR+rksV6Pw2aW
pDSctPjQFNV8qC/bGZhI3OnNGk8F7CpVptj2GOdzwOsHrJdhUSRnBFFnZDSE9z55BsFZCdzPgZu+
MswV4rm+9J1mcvwDyAe8KTsWPjhTYUK5Bd9CczG139ZJN2M1mnz4noyE6X9Rox3ZBzLqkEueH4vF
bp9NswNlMa/281rmKnLoc4fuxPXPLgxz22BY3rSFfFlLaktCUGit09WPhtI9osXdKHSA2yQpmwvz
heiRBA++nzI1o9MfiedWO6aevTVb6lLGH8qHkdXeCH5yl+h1xI4Se1V/4yQy76zFbUq8weNDKjhV
BmZLSmHeAUWLmNb5JTUVdwENaKBfcKM3uizOnfEG3qb7GxjjX9UDrPA5b2+yUpeopHn0DUfXJt6y
HEiMywfAjWASJ31V42Yem3Sje8xxKw6l7BtadYKXe/QN8z7VSEPWuqKsNdHWp2iyKwPY1nlP5ViT
uOvsZNMXbrZSHernuByBXocIr2vGC1oPH6gjdquZ5nuHUs2bLlkiSGcg6zRE7+JR1J37cqjduKLm
dMmsfISVB5+nSlL/1IPtI8ifmNXWTMsCMVFp75kHyo5aXtYvs6YFMYMi2bU0y4L0puW9WaVadq4u
5W7AOQSyb52Dtw5T7ZXBj/GlAFf45DnKJFk+DtQjGZjAjhI4byb9lHM2dsW5rLXgqS4BXXZNaWMJ
pw3J5WbqDoaeV28T2IXntKyrz9krh6+R88ZxWJV21N3M6LeqM4aXYPRoG4m6OGqZX/5xUyL70SjG
cWcjlFjAFFbBfTC5w/vgmMmTkEX6aKicjQlbN4deM8mrZ2Ut1p/VteHcAcwwGBsxISNaQTvvUasn
kQlP7dmRnbn1azHfC6fVT6uRcyHzeFBdGnVPidlpG8agtPM/4MLUATukgLljRrbbsvRTJBxu5Eza
QWwC62m1be5wviPrN4h2CQ/NskSjLu0n2O7ZO5hEKTdWtvRvKnBQitiEFF+pI8wHmaKL9ivRxLDK
Dyvmk8Oc5nJA4iXNx9nABcWtVhHDrRfBRzOyUft9EJl+nr2WhW3HnVun18Acs19lj4ER4poVIkya
VfFoeVmyW51uhKtlGttVedwTPa1dTiJI2SMC4R/7eWRAranjuust8rf1XcZTmwfzwZgLPAxrSE+5
34iZ2oQ9uM+VJq/su304jZwWEucWzLKf9CrjMiOAjSZca+Ag4nPsYEJZ9Wr8pcvuorkBOCusPBrn
ovpZVD7cj+Tf8qQa45rreqwcg1Y/GCKax+9NYpY708u2mNbjwmIN9wDcFYCmQmBwHMPER93MDhd1
811W1X3rdDXvup4++zZAAR2UcDjWEtqAZ04RTZ7xVE7cMbPflZIJ81vhqPQ3lSUU5st4sg0Vmv0I
GtBcj76eJJuB3sQMVS/Mp5XfV053jVluRwrZYcBVzGqrDVfT22XygTiky/+JVcRNVLBZxgd3fSmw
ES0ltQfKSr59Qy5mz3oOK3u1mgZP53rQvWbvSGkQvTJSrn60Fc32ZzAva8PJC0NEWBYVV+3Wiwzh
OlE2602kTdQ1vA49kM9A9CnvGNTtyE67OWQwPf2h1r0tKu+nxTf3UlfauZ8nGXsd9tCAwYG9QWQK
pDKXLFG0F65XhB/EXwx7ZmipRItTxr5FOn+6pntlkWPNH0BdWu3fBTGO3r4n2rpELsWTIhmniFHx
FIPX7aZWjD4LgnB2RMD46xvqH92y1yHtY9Cy3E6D9qTkqk66cI1tl2W7PnGDWPpgyFZRAX+sqBwy
BxDqtHls/84qt2lRfHSucUlF+61lODJyxR6aamKJ4AL6m6pu7B27kB/KshZYnCq1haMsOEi0FvyM
qtt3vEKglpv+IV1J6CGRY2mp4BVB/Gjmu0ShVxKieZVptwla/5OcwRgNdZ3vDF2cR7EPlPdEXX7G
/LeeDUm0r6qirAjOaaJbESZFse+KLo3apHfi3mopvgQL3Fn9TgWJe8+ajemj7k80sWikyyaAyUov
ivJvVDrZnU5VKHZRgXySluIhdLvmbW3mX2MaAGDfbqNowYo49c176JjHIA02VDY+yzzX7+zUvVO9
VlNGM4yLqt3gPE/WfBG99HZgBDcMMZ+aNolVrkx2JedXd8EqlF5wdnkOiGM8BRjcXq0Jqp8NQB6c
+oCKpy2ncB4LScOsZUIUBSIhwK54AtU4Rmk3keXqh3sp1p2bpw8V1ubQGs3XhQt43K3BvWWmfF51
terUZ3rGCOx6W2HTqpv0RTQWHcQa7rKLGwQdbXbo12brJzylMpuvRlk5zxXFxty3tG1arSAtyszb
NQ2ZDrNZil1RM7vKud5/0DLx3U3p1VztI3+TV/bEM2ZMXnn/MyhrqlwLRAVIsOjN0vzg5HZkGqDw
Zji6saM11y5hAp7p9BTFbQ4BhW4nxqcuXmz/FHAC6up5+cNmZXDWz+ORutCdIvHJuYKx+Elf5HXM
jfbC0eBsDP3pxoSG0WJbG38qHkSgeUegXz8GEaN4dNdv1wHD6xqp/zSXsEeVaB4oprFIylltQVo2
D67ogMKWjSrDxhj9bS9W89gyyXe3lEF6aTQz36PEwE45KQo0C061zqbhRVGzdJEj5K37aikBpdIf
NqbXtlc2nl3dMfJgrL5zGRwyBzVrsOcUFzJlT77TsV5Zf8d2/ceuxDeSoITlERWATz2xqYvuxfFm
sU/xp0MG3EIsBWtrbgbVvVrun5xY6gVCvXXJFFD8ZuOZD2NWxqX+yYS9/uQ3AGuAmHRHQ644S6Rh
Py3mInb+sI7PddI3IRkSdSlqSwNJJw4SJvXZydRCu8//gFPLQTGXrx3FMartLLyqrqfQmko8b0Eb
tWRB+Unn9q7QZ7EJEv6hMjNxyhjiqfXLaDrzsdCIUUsiFb43xuaI4012se42diwyXojCtQKOvAt5
JZ0SreoOAqWwbmhnGp6YypuwxfFo5i83wCOAHnPfSY0YngM5YeWCTBH2DSxwf876zAntivn9vlNG
KPpxJ1lzRWG0YWL7XWRy+7eqvQS+PcMSSft30QH2dbrGOdVNrzZJruw9/e+MCgLHrmbo+zPbpRP6
48I+WLS/GSNBcyO6OPcRRop2LbauqXpufpnmHHVBgyJxPCC+Q/VtpvDCuvqOup11EEq8y4URlFG5
8ijEdKiqtN0XeuURpVhBz1UtHHJjhQCteuOHOMywm0x1V94+dq3iLbH67jjm5RAb9OBH0+KzlF+B
kRT0d5I5iWpnIprCQ54nHtKTQm5JQ9BTlmZ6rIz+Gxd4/1wk7k+GvXlM7aOinsxMhbYdVcaOlAZT
pGio84wOuoHwruq/Ot/5FG0XRCIYrefWn555DK6qcvNNa6U/nH7MOzrnR2tyndPsaKd0LCowbdSD
g2XK49t8CEeOJNZLoTNMZYeZ0qZD2lroDlculE1lnUUxX7k1XNw0fdPUQgnCrnbOmha7rjCPVUo/
SnacBcoquytt/RhYZFk1k5FkdMNVSPmTSjVZc2udY9DknKlQ8lnWOVNHr9p74rkW56EFeLR4GwaR
t8zfu+z9DCx6HWY2IC8gSEn8yMbc3Jq4FBK3fivPto7v2DYegPmVYYZ2mOFYlNtOcLFIZIfrNM+4
b340BNMVD36jN1rUzJWImrzfW/pwBR745AxVenDUdDFkd5T4GiPbXO4VEa620/8mKOconefOrssH
0mn8CxfvxpYW7oCo08HCVVoLKIU/hGF+OWrvsfvWNIzUVlv8pwDgNteqC5rnv7WdW3d+bwchyZ42
NlNnuixaepILN7rWW9+G1NEJjDds3PfwZx4CED6UDqN8DY6atezrwS42a9Dv3Dk4ksIMNnz8eWRM
ddh3y8Po65eWPW/SXzqPF7NGmFpNu0qgMHbKNK5k/8TXStCdtlIyckjqk+C63NqPLXmGkfBHWklx
sZv1pBZz4/FtpikFsnpl1/CS7K+ZpWecnEFo6iZV4bI5pGQLPLZN5sSofEp946dX91apN7Q35eRu
PJvZBdLIsvEtXn5VNOslN3ilJgvyvlAeg6mD9x4w1d+M/Cwzffla0ZpKd+TzWv6u2o78wofFH6l4
picLSteg/o4Z+3Onb6SzLd37IKi2qZttQaafu6SL3C7bltwaW8V7b3yUpoF/yv3K1uqkPIY3dyuZ
4KXU4qHhU1jk2a21sz2rI43iiBnx20z9JQen0yR+x3ZcFBwDsYLpJDsk9bcnt+HltxvTB+/eUZJz
Vx4DfX0K6Pg+d/3sPLUeIB7NSo1nq7m545Ok1mgQGZAEuDAfsSmjaAqS6oaK/IOR14lUSWNusZ2J
1LnxUHAZoYaN2drsBjTsq3ZIGy3dgyr7ASPCHYqGLhBzhsHLBud1MS5TWHQS4xMhBtNe6BADTahv
N6JW1eWhq4pNMKqLyMHRGzpQdnyqmEka7UEoeWRe4EEWGRV3+5JppTjKrNppQh9COxhO4DKyY2Br
03b20zeBZnyR5HRTzAxtOXsxtT0vTKkyRUUP3rPS51NFgfGlaLpfpitxNnhcQouV/4A2BU8ey+Em
h7q66evS3mmW3Z40c4B0URLBWR8rE4g015aHsbeLB8Ib9NYCjZ+pJRt4bwbaXZv1W0Tll7Uzwwyl
OGSc3bB8D0l30Z3HugGLUI0Ro/Nc6iRd4pKAXG/u7KV+9GUbmgN5O/G3H7ItZ/z94AuWGdaxQ14U
21qNO+YWtwwmhpAf6XxDbiksjhzw+W+WLOeuMEbYUKehbjeZ/eyK/mKxtqcZk5ImqoKB65g1tbdv
zf4IyF7Fqhd2NChhvhJeTCPLTbnYTFOSeNGq+On0wNzm7nOWLpGQr3a5bBNH3Gd2uk3loRg35XxH
oGVnp98Bd3JM6RGecG53Pc0cM3TKX7O9bb0zP1UQkzJ8d4d5aw3f8FV1q30vC/lJSvyqT7f0gbVJ
4Y+uqGdaUcVyuCuFGen5Z52VRDt/loI1Gdp+4fbxULDvUaEpXbjAJWvHmG843SNAy4+ew7fv4brv
nDx5bjuk1IlBWU/AlY5cHufD6nPvDpPW1R+L0kufZNp317qiWtiu3XjopRbsTDswCc9IZpeCxN7V
iidaUyxKkewnI6Z73wgiPnZKZzLX/ZPwE/uWL+BHXbLl3LaqPyZWPe0GmM9xU9X2a02gjjt2z7pf
mBQbA4w18Zy1FwCCxofj8So7LfNRh7JMf3vs7gddsF4Xtt68KWMYFw6v2RzLwm8fZzjfkTWKF4sm
/BgWNj7C2SvQG5j9VXAseJ453EdpXW4so6fL57x3QbL3quapkNqLN+C/osT6kSxt3GLA3ngli2lj
qoceqDqb1itt9GbXYCbH9lsnYcV1oWbEi7k0pAs8yUdQKt1GJOW3WbhXOnmv5mgfzCz7nRzBVQNF
7iBLyoXc6JX7OPj+MUio97azcwk8arx6Yl30nBelD4I0bmmLtck7q32+EY2iVoyCm3vM6NAj9JJp
DjudF2XK9i3dDQQfU6hZw8MyEdrym+oqp2G/BtZ9WtqXzvH+IPB9tCbtiHL8bi3lrnAmEoD9JPgW
SVinoriWjetxPkyfZr04VtbwjktyYdld2cntzNm3pbalbsrgr509dbN1rfRs42tUq0GtwX2hGalo
3xjijKhAp1qovhzxKw2lRTqH/IjbKsESSr+WmJESKe+XieubPJnFnbwhmYZ24wf8j2XmkFoSMc60
7N621IM/gJ9GE7OzZvEHxBX23rT9UUn2ZekNx2w3P8rZrHd8+fskdQYCj/O+1oydZXdbb02PgUs7
CJExbe70VCTBKwfEe8sgsVvI/DrrjBNnyz3DHOGSOFCyququsNhWG8vnxQPz7Xq35dioNm6SbZJp
WUKoJuO+6fhBRSLeCSLv/Gw8GvZ8azQmTHMFG71py13rcHVJhj9LW12KpOcM4GdPiOi1qOsIs43J
o7LWSC/NP7W9HOxBXYa62KbULJKs/TVtTUedEDznDYmKHraQ5sUSXe3GVt3Ox7i995Z62Q7MqGPu
MgM4RzbbdmkDz4ZOXlnXseoPblEhyunTTyOroCC52h9DLTblRuO3MJYgqgv/SEucwJ6vrtlsXJJg
vjf19KJNycbth3dT6y/1KLeatzx6wVegtnmp39NGbCNvELHjWvltIntTIoEauAMJfdwT5PwBX9UZ
TdgRcy90sqlkZw3NOJd0r23y835lHgqKbLNRPi7qyfcOS27u/bp6gGhmCm0zDO4tHOCktM8cieUW
9cySiEMazCfCzyLOJuL3c+bQj6nzk7ciQ+6M5FIQdqP/R/VqXRvaS9xwqSxzyNWHft62nbcrvECC
JXNPmdZm/4u781hyHMnW9LvM3tugxWI2JEAZZGiRuYFFZkTCoZXDIZ7+fqw2m+lb12ba7izHapUl
ohgg4Djnl9t5aBHpVN6XWKs7NCHPRC3FYqXHpRk1DTegdmpAa4h6eydn8HPN64wMM/VRtsup9J2v
tFenWjpP8OzR1HkXsI4Ta+tCZRR8J3vmpvF6LBO68vd2t0R+3eyX1t2jUgzgiHpqz9Vo7WvTAmgX
uuWWg5lkHMMy0Oi7MTC+KJDZkAzz2rXVr8Svzkuov+nL+RIi2WMtvfnTeXNbY/9bBfmjcB0wqbF/
Clymbu3RATghvErvwnyAniq3M86dUf4xhNKx439TSfHaz8XVRWuxVcVsXc3GOs9k+clpNbZVr5E3
hNU2bDhHx7U5NxIospnRhbd5+cGwezQ60ndH+TENib1ngzzPk/m26O4PIlTSJgHygMHFi8GjbQJE
8Tj/0es6boqGUzK1gu0YeJ/AyLcyIWeMM9k98Bo+WcHyEOC9Y7bY3yQbfmnuIPunyKnkwq9YrOiQ
/b27WHd5Xd0D3flbWciGgp72TlTomWRBD4o0lz8ZXW8c+LTTTMEYlYTGynJoI2xgd/3Q+lENcrYZ
LNwaIfM15704Bp0mPw7FDHfxfMrSqtlqB/AWoYq5a73w3qSj4S4ppNxyearXgWrjxhK/VqVQSMmX
UdAASvcgQv1cxnYRyHN2M5o0LURZatkEV/nmmWp49Ptd2mxV3wJ585jyZhD7Fq3Pvve0s02s7I+b
h8+LM4JP5xbQXbUPU/1Tedhynbu6hYVZeq6xzLPI1/1PRNh3DquC3LXOkmycFqmG576FKovgTV2A
jkHH+P3QRNfyk3a+V3d25LmeQysqrNL9ZQvjD6HgHKfmTX9tsFu3Pyx8KoQOlxAS6Y2Y+qUG60eD
JtKFTM2ViwkixKDRdRxuHytFWdFUMjrZVnWHuh9tQ3YkEuuBb+osQrRpsEoPeelErcGNZEFLlMgg
yoSBXxINfwnlFbkQLaB5rDzvmFvtKV37Q9fpp6As26PR8lS5ZvLiKg+9xIg4ZjGRN4bTybPnDzfv
vKsxW7hWlPG8tgthxNXZnPVVZf5LZ3EJbWvnS5r9AMU2U+WJvRLMNqn9I2ke8YBEcHbrTtiJATkJ
pVXJpw54GlRu48jw0UThSDvpe+qVP7tV2ns15c+DKH5rFIiJ/20zMWCPO5EGAwXiniy1x5PQFsfF
bREwQMQW5eX2ROTNrpTrNs1fR2vcheNTBiQwxYUTLT2rrQHP0eYkuBo7e0F7uAAbkQ9onWrq1060
o9/h0NqIwIhfZbg1790b6V7VoM6PnfTkS9bJ5KnHfcDNMBgna1HZt19gh6xGW3wXflngR9D184oe
8g+BMrxcLLUzC15C1ZTJa1a50xLht3RgXxf1XqDYuqKurfZ1QJSZWMf8vAgVHJe1s3eBrIc7mm8k
svZC/kKl3/M2Z3W16fhgYZoRySfUcQmS/jYTNOkHLZCf1D9csD19YiJxYgu7DXSLgusRvhWjD2zv
tFz7S5nL4urblXE0B40ZgctoJAChsS3qN78tXPhya7RPZhmkcJrFV5/2W47bWKZit5pOhFcwkrV5
3wzyfQk0ojbvbSAKMjKzurutTg9+bVmRqDnabPj2ly73UO+HYJ/2Jz063bbN/E0xGpe8LR66wt2k
Y3IQYBAHoCSxh2Su4s5Z7QOWj4cu858QtGVPk9dG+PHQUVFqduoRUEdzOaBfL8dr45kfWabOjfU7
p00v0+wdkDMKAlpB0efFvkB1P0NT0VH5ERiXiQgUPd2ZXrrzoV1S76Hx9QGefNMx0/nmt5igF+Ut
vEtEi939tPNfaxgCI7/x3G6BhEP0Q+tPpuVlNwoAv3QQiEYGVDXBsn7afnJWBquu69G0jpupZVD0
T5QFxIAl1zRvjxThoGpKERBa2Xsf0rDFztJxqqTRmg+xQ6gxqT8otMRDQ3VZz8FnZZFjHZuqeuh8
R++CbIzt0kg+CvSOO5pseMEifpxKGc1r8y6J9m6zc5Mtj/kNT5q4JWKi3/rTgtEJYo92gF4/l2N4
h5U/3BAaQ+N8kM1Ha81TzIr9j77yPzk7EAD3xa/EEPjl2lLubALGUMLJYhtOxk7XNzIARVvRUqul
HVJQSLQjbuw2sPTUAHYB71XsEP6mpEGpd+WF+oIdls33VfXnQSHXrd09biCEy3n4FVockmAs4odv
zuZ2kW56yb0OfF6sZ9FMe10u+0L8lRRbYAzLZ82QZVGEts7Jxg+TL2lBAyqkryLUpO7IO199Z4OB
WsdhPnLcZcVsUX7yvuXhmZDENfNHvTZxU6N6DXifw5cXOICbdqM7prLK/O3nv/uWXErwvsvkM/yP
/MFFRLpxmbDLtlfb1sBIl5RlzlEyBXFmt/KKvG7D6RxCR/jAoyTwpWH6sihs0/iR/e+qJ5ONrkEV
pWZ7QgNw6TPjDZobJ4dTToiw3WqJi3Ko+BRwtX95Dv7/9lWQDfF/9lXssrr8rL/+5qzgP/mns8I2
/+FC95P4S0IGUXW3Dpp/Oiss4x900oDxEw7qoIJw8TzUDZWa//N/+AamC8skKZuuM98lwPB/OSvc
8B8kHNH14hlkVZtkOv93nBV/i/e5VVygq+fZsBzi0AieuHnH/8VBPKIfkFKFIoLect+yOoWz9wZn
IBka8RVz7tyvr8uSQVEZuBQZgjJTs/qurPT0AFOl8y/X7uGf3uX/lGXPb/Yvlua/PhBxJnjVTS4V
/VM3I8i/fKDbUGnh8BSR2WkExyt711Oa2mrGjtdNn6TVznqbq8AhYaW92QnIpWreEyMpPiuSzPX/
w+ehVYfRPSTMiNjmv+U6tMOMUtddRITFWv0yBZNDlOkJwQ4Foka+Y5xff/qtFcCL2QKauBaz+Vh1
CDaitLFy579l5uf64MO5xTWTKWnipv97eprRizrByezyPiSrO+qaFXuZhWV43Xijp0GU6nludreQ
3X5TFg3Aapik6t9YvW+e/f9tPL99ClJdMZ6TaM0NSjLhf/6W4AnyJeR9SZPXnNLp0LmTs3UCpHoR
HYcWwhwsGVtMxIi6ZQkJ+29yPszbbfCvH8DycJiT4Gvfoin462+hAmjdePkY/hoXpuF8BrlPAxir
MNUVYa+mj4BasXVbE27Muuu5eDyT0W9f9DqpbkOR1fBDZ4bz7yoK/8vTxKe6RZxwy3F1yBzlFPjX
mxfhH0BPSP/pJAvrozCanhqyVnk2mL9h18zYS/cLjT27N9VUfEGjVZYXmNUBH7U/9v+u3u6/fk2E
83ABTLIBIDv9vyVbDL012EEb2Gzlunt3rDkcQK77AFWwv1ghvr4pffYEUfe7sp784vB/f5hhJ/7+
CWzu1tsNSxBwyA3j/y2SYe0hp4HSgqivhc/0jIvd2IYIydEpGBMiFs6B1IymwE4fZ2OpnqtlZnCe
PVHb26At0182AUGQADwW5cZtde1suqpwze28ZsNPiVuQUbvphPnM6eSoWKNBW0/pkuO98UZlvgXD
kiZRnuO0pJ49kFPklT6UwQhdq6PKyrwOzXMofsxTVfxBDdygR+gCMBjJ4ettVrclqHVYHAfPv0Aj
hPjGa7EfC0q13r0qZYTJmbBI1vAbhetmZAOOYZ5dIsBnp2RGYxt38P/idzlMxKlrkvHwBEQeo4zY
pJ09wb5l6D2qsA8CdAeLO2/VqhCS12jK2MMT9I1brVRSxYGbfOVhEj5S+ARvZpeynjc0FLXi3RQQ
0ii0pvyPUY6JFzlDZqYYLwM+unI8le4YkJaHsk2a53G2G1zinjHePr41qKhqdDLzzMAXkQoegiRm
qx7qfTWiPt2NioTIzYC9GhtXtmKgn9yyR2SRTr26oRZ+dgiz2fic6TIP91CKdb4NuSsLZlE9kiq/
OCDrk/SaIdL0IIGz2EPwQKIB4h2a0xZrBxCCQ3lA9zlG0rORyCQ0A6ZbRmdQfrQLzkumsyxjPJZq
juZKBM0GZTvbq66KsYvT3sqwWZl1te282fkmYimErVzVtu/xVQh6Un4jgXNOdqf8/MsQ/almCRAP
BJwCIxOCoyNCwRXSAadl9Q0JN8iOaYUugS8k7cmTrBZKzXOgTZbJVjH1LTlLE0I2B0+gNbAzCqfn
hsHxPB3HsTWXuzRbf6/88B+UASEAWJbb4J6AMEASocPP7OUpIThr3njwwMN2tmZLPUP3ljuElleU
QnGzivzHilBsRo6W9hsdutzAPaqkJ0nQslSbBoD8M80STh11g49cNFmFt9RRn9pMtks338+BWhDp
T0UwRKUZGCkYrq3RYacWEeENBscwrQ4aAyBQ7/DSoncEoyv9JM6cGvcABZ0WODB24K7DmYeDafaQ
Xtm7Sc22fZRLo+tNyJv00PTJ7T2U23sfxziEXlsRUeAXAAGqFBdOa7ImjBsP5urXUlI6PAQAA62b
Kb7+UJsw2ladXidTWcQZFE9k75nvlZGv7skVzlzsZ1xHyOtK68BjsDcmzBGacD4wIHNbjsZbasrL
4lfrJ4ds9Th1Yvg0Mlo2b5BW9TRMebtGJe6xJz079rJ308DDXSc+8DYuBzrkx/1STetJ9DLb8G9c
moKSYvRbFWP2BmDTJbHAKErOhTpb44QyabYgM+cnlc3tbB9EitL5tg9MZBP73fKRhAonTGGhUjsM
k7yQP4sXYa7j7tZtkM/OJiyrQ2cte1zw6lA5wwE4+QwMutHJsUvYMctaTgdHl11/TAZL8H659Qcn
Mjhn2FlIGiGupN4a2t8ow5qiCVBcXArQuWG7enn22hIDzaXGOxSvoquekWMTa0KhtmhrEH9Z6WtC
nDZOvGJ4dAp/OKSZldw1jq9/klZgf/qp5b3qsZqPZec9hKNzDEv/SDLGA6fDnUFRsEqdF5TWdbxQ
NP3elW6wSW9nhSzBo8J5L3NOPMNljZuMbJcmMo9SiSShmrFTEgm2Vv51ENXvUFh7Q0uiKmS+XtGy
rlOMrNXh13WMjZ5fNbpa8LYkUPDKw/gA9BpwiwYk8IVtlC0y3zhuRiB0QiJ+YganBoXfMIECAJ8f
gxCEcTKSjZ25dh6TftRYd0MTusl75Wn3ISzTDnfXaC30rgf0rD8aunlvEgxrXlv264vZtv51nur6
NxTNZ53M6X3XcRi4uWVlF2jPafxCKmjW51tLJ4AY5ajWR4mVwCdjvOEdGOi2AEEWlnhqW9mWW3q7
4UMzQoxKaMyZPAFnKfJsP2Dt/eY6j3cmN0EbE40yXztTYx3GBIawoxGmfg/9pqv2PhccISP2mRgf
hE+5bLHyAtTyNfVCedYkc48RMmsWSROcYm/LhMRQt4D+jXJnWg+2ksZBmplhXyavqv5UyUjGBvWc
UyRaT3VbZ1jaT6PGcsfvPAW7NEvdOK+CdteKWSUnHHpGGLVeFjx1ga6fXGHP9mZeZBZEvqxw5hLU
/ccbKavAxSiXV0QH+FMNqScMQtx+D1Jls7ezSzzVGyDs9mr2slyxOinGqlttYK+B/iklN1scIGRY
HNtgHT/G1TSnzUp4DaiuP+X4UBPSadCVop4eA8C+7ZoOw9mGK0g/5yVF7aNcOT31tbvigDPs4AJR
JY9NABWImFJl4S5QN/YcL4Lu4PaaroCSITOBIZ/q8wDnqGqba2ObyceaBNLazp1OvY1WDJiRq1wT
V5OqS+xZhZdg0wQRaTqn/8qpYlCboh/fm2yC0laF/dg75KPINcOCk5tdf1amJYBo2x4nGS/BLEqL
IkpQ3hFc4615jDNAEDCTEIiA6UNO4mEo+mXYARUaKVL/qYi73su/c5ja7SC7MTLAUBB5jGu9g6Pl
FTgd1sljxkJ7F4LmVKXn0qWLAs9CE+TazvEW98GdT7yqMZjNsS+rB7QIvJQ9TNOhXv1wZ7Z1cQOx
4LrFPJrbXGSt9ndNoslzIvSxJYbq9n4SbRFG9A+J3Zzm3pWWgDur+1mOcID5IKtXVVfWWVoidgpn
vDX4JnHj6TM6jR3RMlBhpf9S6/QzRKXP7RRup8rcWZ53sM3mvjSR/ZQTnMvsxlNYF7t5XZ+8VaZR
JrVxREoBNZ+O1lOxpnaE73oP3vTp2bnuI2IFRHnmAbOulp0b715KhBfEzEwOKs6d1DwaA3V82h0M
eaIfz0elaiFuUBjoVp/i2xxCiAl1CmSRpZesnIgAkiQZTA9GbVSASy7KnpSYcTmHf0wGNuO+LE1D
v5uJSGWcl/TfYN+dOtfeeahXg10/eBPW4FV4fWzj7oVhVilJ7Dt+6aX7MFJGmttYKe1iJwahx/la
O10HVZ/nBY9G6pT5Nx6+Bov8mCzqqV8mggm60i97iJrM8jZgaqj4hCyfqHL94PU2IDIInbcwl+l7
M88YV5RX3nl5auzGzhruXdJcXtrBZ6pOFGpCL5s3QUZtzNI6qEFLD1vmNLdfyTTlWyTVvzplVV9z
i8t+aNGMOQ6J5572w0eHVeESKvqMfN1qiANkVvZMWHPZ0DKvZDLHeYNeWoXOiF6f4lyVz3B7jjOS
Ke3O6t2R5NMzMzTPIYHm23W1rllOJiiQtgkz4ro8n+lwmCwLgtScEEgYE8aH1slC+LNJxzPS0j0r
a3nWlZruS2JT42qCqXTrOXvOUgf3Zp3q3WoYd3TfIv+SrfvoMlVERP4XHyEu7ftx9NC+4dzFskHw
6aPnCvpOw/5N3TA9Rk0dD4PX4lyZKWYdjIYcclud87ofopEI6/uezHGMVvahLdJszxElfvT+dOU4
wGBruJB+RsZSEhGJztaTVK1853Q9z6rzEMli4A6clp4UfoVf42yG0QBIkvt1jUyyDXbSQtdedxAU
7VJ8tnX72ua5c+adde1uQjIApmljpG7wlAd1uhO3L8RrG3hWZ3Vu0qvsPemSBxOja0ydYU1Bh3yy
vcmPF4vUYH+UO9+y0sd2bm8yPR+dte0Mn4it5jiZJPIuoyu+gsKpT1JabN0IhzZEURkcAyuvhKk9
OV1Qn8tSiYgftGzISeu/mwlVVivH6rXP9AzZOj4UzWReAxTtn3M9pdtRN+b9AKr8i7nrz5hbceNk
HG/BerbnMACi18OZeNyjW2b+PnOc5kfayFfXVJgqRvxCaW0RnjM4z1VgJiyPSxovrGLNFpcioW9j
EJwlS/qdcxOn5g1uVyMfwUWt8byuetpZITun05rbzPdire31Duz2l5k7UYMzbMqM6qWvx5c+6JqH
MGjUC/0p/H03uUXZ2p+WM0UjNomLLbN73bY4SynFveMsLA/MOdgk/HHdDwjTFtt4Y1+k0hhrgiAD
Czovv30zEZryDyys1mYhAEVm69a1mosHG/OO7uuAHMWKEsdt7jrT+dHNyH6DnNLzOpUl3vSZyasd
3nl+iFcjwGVTJYxfRo8A267VePM0ERbX+AgraYDo7fYdt2hUZvC5HZRvMGGyIu/9pnBnU3LJ4AGQ
Kx/Twc7iGQ90ZLfO2SM4pKlRE4aLU+7C1kgePJMxGF/nsaqT7tkqkzeLxMuDq4kqyoLZIk2CjLSl
o5MhGJcS6YGwdhoWfxPSCRHrHl1afZOPVMpAQ4uGyzec7rz2f2x+e2LQfmJR/CpCrFgYsJHABCcy
3gSirNwkr4rYi1kT22zpRf8EL89iqLGvlqiFOkyuc1r3xzBYp00fODXZYl1ENxoDa31aF+jabiUc
ojlQpxSNpXvMgu7s4ktDQN/bLJ722J6LnBr5cCoODtFGaKsGaOi/FLRYl+qHkC7yLYEW3muPa3tb
Q3DsddKdgzDt4oF3qbtrqoaljGKj8rLqct87IPhuOtxgfNT6flclf8jjqw6ljdVokf2x6XR7dnq8
M3bWhecgWx8BhOpjOWT4emB24eLSB8sLt6NCzGcWCw9FCO9r8c+zwt3OBlTm0tyv43zvp+qxAzzY
BEHWn+aKopqskISeLB0ZUZL70eqIHQnn9dFr1p9r471NiY/fuX5ZpL73DMUhVS+EQZjqYPcdPIW3
BvcIWGIX2Yq1Yj1tl3gQ6oh8EU36Ou7nWz7gPBxZKrBP2gwaRiYfAwurs+5OhYcR0nGtx7LHKFNe
1Xwou/IV7uQiuz6eVA41+m0v4pMCH3a+gdlaXDr2kB7tjks0dT+jkhZV7E+C48WMw9Gi2LLWMdnm
+6Q2UPPO6muVwY+KPgnCtVghWXC1O8WrfRb5eiHk0HzjoBJPyLc86mL9VadXskVT+RWu2k7uSY9z
xQvgSYFiStgllt0yWFBs5BVG4WwsgnxX4hlb7toA++VxcKRtHYBps/nAhVHtPqVlHcPIBNRa40il
AzTfzH0Vei9du3jov9eKynVWNxuEYOOuSxteOgep7KXNpQPd2rRTCKnnrzhIkLr6ovtwF7dr33Fs
kYaRTm1vfSTJ7FevBtQtb0XhFtyxerLQio3WrNTBTLzqShunlUZ+V0h1VNVfUjmo3LpliUhF9p0l
rHzKH386aQfd2g1vjjt+cRdsbzP0vE6vOhNqk9hJFZFEbn/OoeAauNVUHQFlTGZHJopoxiX7iSb9
ZBhTuwckgbFK9BhXrkr+APgOUVIlNXqjHL5wkCMDRdU/ohbwdksC64b4D2wbBosa8fDi2HK658m2
DgQClvctsOtGeyI2pFF/lmZav4SEhdboGIo+AhBLozAVr44InJ8Wo09u/FozOXO0y+d+sp047WYZ
l0XHYxdk6qeX5k/kKBC+xDvvp9kOp34I4ctN79GpPfeV1kpskT4RycCMghQ5lTloZ4r8s50GP6qQ
Fe0WA7goLIgAWu2uRDfU/gnb4jIxGj6RQwjzp5zBeum98DjWaBfqm914CZDNqWntDo1vY8auMqwp
2AtyZ0xPKaZqsg+d4pAFuHY8T4HKCNBuK6BTa5MrFPmz8k+lwulKTAsjVvpbcJNBLbAyI3jMVvIB
tklP3atnsAp3YgzJHg0+jPEmdRh73iDTITfNH4qcD7jaDBWsvebFOfMIeyD58GFw2/bID4QFyheM
XWoYzxRcEn1iBg+uZWeEuQpkJ6J6T0dmHXvJCOYrAExHlIm6Vg+tKJOro8furiD9Uef1gWM9fEiR
tXCmgl1ASIvx1JTDGoUsiYCRAsLa6/UGG2iyoxcj23YIbT4ILDEOVqBenB4Nei/n8bgKtVzMyT6w
6s57swW5JVe7R0S0+A8EigLA9comTCIM++sipPgkMUTGvU12ULowmuaNtuPSgc7dFrlr7qmD554L
ecmHhYtiZcnec42FUNeuP21Xf8SZoqyfjY95wXHZlrtlOK6++1Taucfi5ooorCz/xb6F93PBWeGV
U7+WAcHLPFqcyat+ElJz+mVetpUYOA+GCiIi2sF4cUqfW0auKCSKB5l63W6QTE0XEi3cneveokjk
Dzutgjsss80BwJM6HbYOdJia+Z0g0ZOX62Y/LIjPg45gid5d8ReDSZKFUIo77kOTcbl0EEFb6fza
E3uiQpPckdBzmHjW8jMbrEcV4q+BIsRGPpEhaExVQMGLHA/W7BBvkH9PBiJjhzy3cxmW+fug0Bt2
OrsmdTudRC4AP33nUMLd3wmjEj/ofix3poGfwJf3dmrHRCjeS+A4ogVdPLeeg7OczYW5vEFeVT27
k2Vf20rU29HnqpkOqWiqZq5f8kZGcAFoVG/JYvNS/vCnyj1phN2bPmxKfMNAONqLggrsMFtZZ+D5
AYV0kh7ccLiuRv3dWWi8/0q+zTyUrjZ3R1ZUv4Lckcck4/xhFb/zHNfhT0i3y4BlBGyoON8A+u3S
ep8uKbxoP/xznWXXpckPuP8xpgwpeYpFSJkeKjTjbiWRjKCDO+DJFHdxfaF1qt9pZ9K7uqpN9iFW
2mUN37ulv5/68A2XpzejY0+yc1IXVLISY7Lv5Nij7PL9fZ07n7xyutck1O/LDE2L5QJpuT89hMxm
IJRLmR4cMkq3ZZLquBK+jaXA+61r9O7oEctfRi+N7UgeYORZdI31C7FgLAU3KiYx49HodmTJ5ntn
6OXBA1C9VCOxdwjo4IhL74wAxtmXtT4qLyfCMsMar6dFHvSkwjhpp1fH6n7IwH+xGuyDwpds+vn6
uOg+1k5t73lgGYAGc9ob3tSdKs8/0CXgfrSFyB9U06ioncp9N64/m6YK4woLMf3F5FYsy352zGon
6pAXAtpQIPImIRpB7sHSjGtHYPhmBsWIeq/xP8zeFDtoceT0pm/Gre1vF8SEeIhF+BayW0XWSsCD
XTvGQ1EnRGvU9zPi0q2ltLetcNjvwoBIuKoMT9IUP/LUxMxdEQElkuRtrIaJUFkqFV4b7d4PQEtx
N2bT3rST7pUg4PzUUYqBKzGl6bngidt1bjntC83R7AZ5ENdi4WtIejtuJBpxVVn1FoPwd699PKF5
lm1Hm5ikDsEhud5l95KT4ckwYf0pOi+PLIUc0sfT5Pe2ZkyqjXPVZ68Nbkgt9MOYJHdtM9nQKIG4
Igr47lKnP7eO/2pJ/OFVf+I7iNykVcdqKvznoVR/bDM7YIISLCujEw0tJSh5GLgMC3hCN8WMMAkU
EEFMOm5ceG/E2+68adQiL1aqB0RaSXXCK1cfAz361ymZtkWXPS2zxAwxhnMLGpAdEq9juIQ5Ils9
SsHO4KDmfVsP4cknreYQpmhzfcVVmOyRu6dTA8JcmoF5NeUtelrLfhWpsh8Yg503Z0SsNQNcnJiR
sf8w1Zz7nKrhyHGJonCJgHuE4unO1oxiPOffZgSRd4XBsWDeIutyQl83ZcoAG3BStsH0ZM6ofQE1
iWZtqEOelUnlWJNZKh5TnL9ARSc2k2K3zhoQky809myj2GdWQKT3TLDGRgfe1WpZlUj5jofZMLbu
iJeUCNZ8Z2H0g8A2inOJe+vo9rwYDYaSKHTzE9Ve5QEfMbGSqfGcUOv1rXvdbVOhmZIRpm2hUusv
Kj79s78Mr0ED70XKEng5VsqtfxNLGANwH90U1wIsOWIiA0ArjfKexyZ9snN7p4VBxQ3/y9Mkir1R
DOmD5zQaFpuNxuFeQRRrSyMyxHwx0ZCeZqBUZjGXrNwRy5RwHrHyMMoweG4ZFE6qwuqo8k9lLvem
P8NceBVHY88Ezyo96+wL/pPi6VKeHQNtWjTVNjsY/ASZUeFvX1nE1I7ljrxHxe5aYHjIyfdL01Ad
/Z6ObpR+E7dADYNSDCty5tRN9tr2Lk3QXlK0cAcWnOaVYK2Z1bn8XVqkbq3BOLKpT8VlCXEu3RJd
6ql8rNPqpvXNCM+fhXUkXT0yCzONwPY/SHXII9ap5djURfcIQN1fm3AZ9guG6k0pkIg4nfIvHGQ8
OyKT0ZijvGx9ZGRjIdhA7fQmRpjHK6VhzZVYv4PPpz7qJPeOrcNc6NjBn8Qid0HXZJQVFlmSBDGi
ES3VtJdu1h3XxJWRLQJiDiHsJanqi9xVa3JotFHcN06VA8XZw4s1MrFJnb8ymeD00EF7b+Y5gJaC
q8wbbC2gdsRUhTMj4MjpNrroBTn4cSUVIRpsx1+PPacQFgqexHH1633typs+UnTkCQ62eTfkFZVf
aTPe6XUokOR61QArTRVb1GungCwjkqOJQq8EKmgGd/puAHI4HaxsvisG1uNNU9rjM7KZkQGSZGb8
jyhLzFNlLETqDIsKH9bcS3Hx5wpWCwhNPysS1Z5znbclc+MN4XR7rwIQEaWHxVeyfeU24QTboUxT
Y2s6KXhXUhFow0YJd3Z7mzcfa9dnvw3iaH4i5eneA4/JZMMPCwMCHgSWO6hMxikQh5CV1rDfmNrn
j2FBeUNk+IiyXeRFNzBSGIm+KF2zT5NS4wcRAF1ffg3gFRMpF375RUwL55SauppMkcAvjfPQFzUs
cW4zfmcLYBYgUQKfSDxW/YjH4Ra9WVnuwV3yzNh1tRsCSg2kTWzJDit+gOZocB+y72g9W8R0rhIY
YIQ4E0mufr30bzMhNCpqXCnTc0kwBwpT2JQmtogEute2P/8kFZOsL3oYW33TWWGMwF5n2jsxgbGf
PXKLfmAjHZoDOczBr7r0yAgy1rR5H7VG/T8AHn+1yGl/pw1xW3GtyA/mIfEwsIW135/6pWfRX4b1
y4H44n4pqu67NjP7P5g7sx25kS3L/kqhnosJkkaj0YCqfvDZPeZBCkkvREQoxHk0zv/UX9E/1ouZ
t1EpFTqzLtAPDSQEJKQId6eTZsfO2XvtBwZn+TdYPdyVSuXo8TGrF+lZtAv25yZrXLGj3qvfiSFn
4SqiFtKzTFoXgP8YZNU2jLJVCkY0UsKcK0t/DNao8ovfdAO2m6ULTjYHBM84kFnADGD/OmaxKoDb
mHVprbPuHjcF6EqE3/mrg80Tn5LTC7rULbB8bEo0g/dLSS/1KlfZJFcS6/IliVPIU32N9e0cM8ZT
QNm86dMYj3o+MawIKRjjEEGRQ4zmSOCHGpge1T33C9e0eZKN10FdgxoHKGcOmv6sy5x4jiVHvVTH
KEO29D3HgF6tQudr6EhM+84vc6AHLdqKnYe945MtHLr2TltigSTSZSzPPRlUGHZbrA+YHYow3CZk
G4Tb3BChSurTNyQKhE+EsR6QreoCTUOUjuYNtSmYnqSEL7NxjEdrImrQ46Z8Z2Y7uw5WT+xC7S5K
4HNvXZiA3XaZpiZ9RFKW8WZtv70d9OIFZ8ulzSvcFBn/1NcTDHzyECBz4PTI93Gc+Y/a9Xi87Hw0
t8EsW2ubjE76NRsB0saKoThaenAucYSslkmVXLGsgPOwbntxjKGGTfTi2ZGT7QHDITEIew71u0XF
uCpHRNmf66ZxvpYJZxhow1UTHZYmq37UdYKnGffb8lUKRI48/4V4KALBusM/VttxqdrntmASuAVJ
mgccAhyMu2kHEow6RtFRIaojeZmW0ukOeds12QGCvXx2pna4UjFBE/hVpEA4HTfVSnBqfM7f2HP1
NTPvhEEMcsIFyTkUfaQwCcIKaVrniXCR4DbTngvCqNDBSmyqtLVPyyr47nREy21F1OPUqbsUkJAc
+99nl1ZiEMLExoMMO9vnAQ92ROBaNDNdT7Sp2D2k89b26Tju4eNAUqdZ6w7HKUv7ntP/GKccBzvq
YHjZA3eqXRlc0iH3+2YK+/EdpJBx93VL2NhumQpHbUJ3YZxs+Rn4fAE1ddpp46CwoKLEDE67KmB8
g+0P0z5xBpqVt3SfaZpYiqrUF3eY7VjTZy8rMfgpBziLmQaGT8OUNeF2aYz3veQUcUmBaO0GSLNy
wxsU/rarc+eScbpSZKiMTJr4baAmCqTO4WYUxhcr6qr5nAyDY3Nq1rkGVq0QWRtHuV9J+uiT3WRs
KH+eqvtHz0vTN9Oo6aWhZWE2MglInYt85OdbtVCkMl/M+36/OBV+gcw2QObDLt37dpWj4upqS7IK
ZdjrRZTTIc086Qc8cKn/NY4oyQ4mSm0eglbzM0HPvDIuM+cLDVzwmprTuL9PY4yhcAACZisMibHw
lKqf2XOR8vPkVI1fbC0yJ79hV4HzVKUu3z3qEu5FwWJ9F5vZ52t0gvZ5NgkZ0zYa8S+t75CEEJia
TmaVDM4DZG1VXMIyDGCMxuQTIf6vPOLzgLg756WhK7dRUbKC2HCekLKR6dZiSujS3ZdujBMxD0K5
MELPYAlDNiy+OY2OfArMxhIEY+Bz5F1AVtsAZMshNhZGhxtmn7Qjcr51s6uDjoUwJO/9LeiDkCEv
HvoNEqEZrTpyHHmB8k4HPHdLJv+6k6I98enmbO/XKpUndPbRg59Ka9lZmnPTnjmpKk4T3yfWX9Ki
dwHEIoygTZmLzb81kTvXZtYzY68s/IwTHZ1bp7wpPlAj4cyqQ3v4agdFFR/AD4UeV84R72Mw8WGV
Iyy+fHJC6KENYJQOf62A/CUmSrEiOw552spFac1MT/+iCB3LegZnrlB9le6MoMHSsHNE7vkUpAQb
MFGxHOoIkiX5tlW7HjdspXCR1Cr+9Nfv5ecYsN/fCu8CtbfnasKZgjU960/KaplRfTBRbvchGgm9
tUWXkVZUNLBl7LJZBYbt4uhNKdsOvtlSwa0Z3Ej8Q1H9/84B8FPOwk3y3gIr/dH9HLjw/2X+whoc
9xc+gfa1fP/ZJbD+wB8uAY0VQGtCFjyk/b6tV1n3Hy4BS/6G8DzgzglsqQLfET8HMAR8pdqWDlJw
X6GSNrBTcRB4zm+CZAYfhapw6MD6/j9jE/g5sU56iuk8N5DvMg7k/35VW2ekgrQh9KqVcA6TCaXb
AoFU6kvZkoOSUQnafyNz/y+vKD3hOkK6rkLZi3ni55uVtmBNjAhbdV625VbEUgFsGkeEU9XUtvWB
Q8Ty8Kev4/4P8fhP1oNVDf2fmnI+F6KMAFk5X8X6369a5QrcQhXaUPgnfynosw9zgeJ1CkFULO6i
4EvXau8rP0z3eZJHX3qvsjz8VN6PiYHc21i7A3ZhIaYXIgXRRv3121s/8c/vDrUs5ktXeviZxK+S
e1H1CC8iGg9ZNdOzH0rjz7twMf6ddCq2kyUfgx35Vgwr//qFnVWj/dMr+67HPeSA1NLEhfrrdfvT
wgH8TqVxi8JxHjDtbSs7EMcoFwsJqFXc2+cE/AJ9fd9t70iXap2rJuk167tnOPUCuIPCM7OO54/S
yRju/827W5etX94dQXOktKIyx6Pxq2HEm7yqGH1Y6Qi0JtD4wvHvW8/Qe2qRz8FPKhJ1stoVHiR9
kEBH6I5E6ASk6cF5tsy3XnbJQwGe3gKklUSY75hd/12QJhadX6Twru0LBPKAnpWD2wcfx8+XEZy1
ryfJxUhlyAA5ChH3UDdfZVlun5hLfMdpuOwB9LWf42j03poyRerr5aq7a4Myv57TSH4lWH3teJeD
ebAmDlEkzmVE4gZt458Rn8kvIrE4DdYJ3umdGaTz2reYP7fpuO612ZzFxybSq10vsLrlfpx1Tu6e
Tpy3Jax871S7IX3gTU36ccbhGxUujjZoEQ8IQIlSFwxMgFIVVZAyb0ziCo1JF7XTAGbYWdL72Kda
OzISJvyEoxpDAhLKgwjqJZ6e7km1snb4oqbgDfoxhJM2QZp7ZhrUHYYZlhSwkRoKfQg0QW60o2rO
UlDUttZCgsO55QDm3kGEDOczydwKVG/VWSQftRyGsd8PxBiV3Ti9Riqmy7SUmocByquXXM+JZLQv
yMvYs+DwG5d6HYMM9uDBSCPs6aHFJ7CjVSGLbapMcuOhLG5vysQAjHDtiT8tNJzR1soIQttGFTLX
DZJULmVHxmNzbPTE4KlaXBq7BZq56Thbtv2GNrK/Ybzw1qVulG4jCUwdF/TvhX3UXOqQ+vHQLSBi
ngcDzC+gd2xtxixO57uecB2m9lWTf8bhAW0KDGPwPZ8XheyiFfG2cHr0T4Ve1BugBYOUEDZRvkH/
NdG261iq0dvIK2vomINz6nYJFQ4Mq1pdBfZ70MYZRxqtw5sAj8DBn2t6eUU0MAQlli/YoYhdwOiM
2BPp8sHBX3Ddo3dHi8xEjbiIMO3jhyUQwfekGhmxz4m/YaCIttMUjvOAYbZrLyE5Ix1zPKmnZ1Cx
SBxaUcX6UMSBs4102dxLojJbjitd+WKxuAynUMT+Uy3rajpLa2AKmBbR+ICWKAG/NJF+vaFZlMg9
rsXqvJb0EJU65yLygAGIVaCkt6rsdek8y32v/bA9GDtLv8+plM16nGG1asU8OXvZlwDtirK/mhf/
CqfO8t1BPr5p+s4cReIO72sr+wZes/2sOrvgZKYB4pJHMnWnbmzFbRfKgnlkb15o1oqdWLE0eCSK
XYUxfxuTEHqQHeMPEgdc6KEYnEGdxggq4BsMB/SmyLZLifN26yE0OExFB+7QMAPYlaNx3pcITxVS
jdB9oY+DLMfJylFAx0iJNkV/Qp3NVsHwTH1g70ifrdTTPxqrIZ2m4+f11pi8eK5q6tSNCFQCDXGy
tjOl4I55S72Xi6mfUg8GIa30Mn3JKjvbJW0wRGhtXWBnMP9hRqEgi+y9HRHFUBjDEraQgXdRcy+f
vCWVb8k0l3cAXSYIYXQuI4ITzzhMq+uqQl25qW1ZXdWQk8FLNr4YaAhnaXfwU2rNQ9579WFuHOuD
8I72hkPasu9pE2FFqcL4MnpzLADk9NmPyixrPp7IUhy6Fj7YjB71Pa37QB8nVcmdSdrl0UbNjPYi
8K6yyKyAWPLcbuZunW7njZVtnSF3ME90mBeMa7f7ekzgGpc2m5dtL3crPpONrcNExliImxWRmbhx
TawOpm+i+4A21jHNMjqlqDYMutDOfcjoPO24MrBdTIARrq/k50bXVUKDLyEtKK6s5aBbF3te4roV
ikrgWCgtEc31o5dcZnIhjzZy+e66gv9zFqU9HwmPgiMO3cxsaWv2T2z++VvgJ+ImddrhUBRTGD50
zkIbWOiAiXizuM0jPjNib1FC9g+z8Jnm2UnoX8lBB9nVAPZ0P8zTcm+VdA+lPSI3hrfIchYb6G69
Wb6JyHB6oxdKUIVW6wYUVV4AyqwqrIeCO70+J7jv9Ik92QrP9AOnYjcaTlsNdyzPdubdGoWIGPvI
uEdCNe6gjVtbJLP9ziJ76jLl8n4IxjPd7mc4cO51NszzAQTs0c3cY6Ocd6RHj8jIP4xTPzqQa+Gf
v81RdNcuIwjr5B6NicdwxDR3nmgZcOerB1706+Qpdp7y2r/pOKAeDAP+wJ3kVarjil9M15W8WbAy
PMifVp/eoXGlfyhrnZ6GmYkX4hdxZp9TwCSS9CNE18wxOQLbU/Vqn/kj+HCvIaaL367YezjW059E
sR2I5nOVMvHbdUDu4nmZzMFuA9z2UnRlcmnlTHuzBRx61acOqsLWzuttC60q33hZ/5o2y4FurJ3c
+PiYRiKxyCJhsNbSj+JahtErTQImFkEYWE91EkUHluY4gqrmCwotUeTyFIaRHdzQJJXBHsOEea5s
1lOg7g4XFxwZQpI+fCwbsey8SIRA7WLmETYYzehSlAaN8dTJ64EAj4NCgm+OFBrjVreTjMmgHAGW
0+MZN4Hux/ZazPW0TwYb8RzzLThquhkas7cdbzjRopC3jb/292fhMc1gVku27TwpxglEWC2PRELX
PL2kIzlbLy7kVzAdsd67RG/SFbJh1KZ5hDhCUUV94nFtrtPZnsE+W4FCtTCU/i6di/p+Ye05pJzg
y/1govx7wORvvUZIVFvsxegQZ4ldkCiOZ0Vlr2nDI1zYzqLw3WMwMqtSVkKzNNXZj9pBFNT0NYAD
sg9LoPdRFO0Z5YGiVojedZS5n5CrBV9i1yv6S1PBA0X3mHjVuUtgjWzoozOlsasG/R9ZU8zf9a5M
mvYOekIZn9hI8ruAictXNGj1o5dKqAiFHTwM/PUNvbuXIUjNRWWeewOsOPrszmOx6WO3c75JDoFX
2LdBC4c5BCgj1CcaMQb0dNi/c2Xl184J7Su+OO4YPl7Y7orWtTrmarJ9Ae4MzsmfFrGHn5nv5rJ9
m9wKGxAnOXLN+vpkXNwDG0Q4EIhIAfSQvVhiPPVRTg85A+YVMAu5OE2lapiwvM9sFGV5yLyh45Fn
lLRUMRwXMU0XxkDDsV+hFmNdgUAea2Qyirpvqf3gYhdR42xVPfFN9nrN9LAkuWeTk43Xgy+ukigd
LsXKHAkXnz/sUb3NNu0e+J3+vg/7cyjS6OgFyyyJHDLjbeWIK5JQq0d0meMaiSWGM4DSaN9YdXA/
ys55zmJZXhWd09zOqp7vIXt5a8hQqQ/ZCIE+dFDnLPZ0tuYh+8bBlGaxHpkNs2EcAzvAjKAKgq9i
5LFEMqXE3EjBeYgTY/O9dL3wunAG56ptLfNJcFI/kU6BeoFo2ht3rKL7hoFulJo7tYTldU1QHJjp
iIw/ZZ3LtM2++GE1vmI6qz711DnHPPcf4Fcdqd9mWNiVOcIUQ0Cthvy67aUB+1CYDf1E9+A0Tn+z
WIXaycVN2cvy8VCBsqZdraEEY3DcZE1RP4uRE3oVwMCGPbaKxBgDJkmGzH2ur1Veo4xk4nKrM7Jr
MP7A/cAqsO2aINg4YoLCmGXhefRpTwk00leIJbpLPYwWVH5ypFtZWmgJY4D1NDtrvveGWSmsdQUJ
x3M/z7ipjoGol1V9PhL8Kd/impxadLINfo0CKQopsccsFB+NB6r8ACCq2KOICq8aa0k3cQx+v4xn
9w42VPXsxAatTGmvroIoURAIBYX0THsZstR4CBRj/rlW/nayZgKPlCV3tYV4qvBK8xwv2Q+kuOZ7
MeoMafCkKyAqEfkaq7In6cfwWEdpfszRH1Hsx1Dh/LK6LuLiO5288EDZXV55PrJJ5TLXpF0vvmUi
nLdRXaMjb425VWCgGG1WhntqlXGJtN34JUVHuHBOH/yUrzjJjob8rIc+6Nxn5cXpCe9QeSCjF+5O
XTb6pk+JQCiBbG5N2nAfCPQBNuvuu6Yo/FAt2pp+IMCC0AD3XJgQ0GrgZ7gHveCT9hDbbLsuH6+s
nLiteMg/B0vEmiuZcYWYWiFfue2Lg6LG6sL00lWaXv4ofA5WzsCunzd2QaTLGF1b7SDXgtjeJ820
XAOddA4j6V58J9MGJ7tguhSSo6HHz3SOy+0Maeo8zfa98YijFBb7M5bq+QBM5BjPSbkXuDzrbVNz
iwx+Ne9s12F5KWZUTyOhSVnGCQZzrP2M01ecLKqoM4HAXMyyFO/4wHEq9eOj6GokeO2g4xcbA2+O
yfZgucGHb0v3wrfNaJqt5ayThLRMqN5t093O+TResRZwcBut4olSbTllXpdvY9dlL52Sa5dcx3lT
Fl4AyVernu455JfBqnDVabb3iMf7ROMrPFAXfy3UGB81GaQvRQrcvpkHiqoq9rGRLP1BjegGTabf
jA6e3AG/QB2m7baunX7rOIBTfXc+WTxApM174npCJ/y9BFfzwniISwBXYToHI932eSnvicSG/z8q
1DgQL2tk8fTmNz7h7TBh4vCE/vZLgk3yYMAvcg5DU0KcEMoVFOI430Tg9+dgwhNNr7/viOvtBr5C
8FfVxlMcmFA4U+0HzJ1oj5dvYVe95NMUfG/mLr3iB4s7ZfrYP4dNL2+8qMYPEret94UMJSD4QzXc
WrmcX9E5tPejU4OLhLnY4H2Rr15t+x3Yzba+GXzfe8XZXN/7RLVeGs/yblq3FPeeKYCPVpwsRsyH
D5wl5SUMshLpT19fhIODmPyF2DmXbd5frDIYb6CzTw9VnLe3TaL534KcQ4Yp4gmyokVjwxu/td7g
vBVjVyBX6fr2KMuRpnZmsvmkszITCBttfYZaYPiDQ4DBE7dvKOs+QY0GUW15y173wfwdnyRhxjLA
qqHQMKBJdnLm7uQISquvj1PO+WevwwxpBK1Up9vZ2KBBI01TAgDeFOKTcsXY78NKUnTi7H+piDcH
h4/N52PAU9ih9mqaB9Q56Wex8Eq7tB76h1BZUFFbMGF5lrXvYTPpU+Y44gtKiuoSlfL7Gqxz8Wa4
DpYv1DMV+xMDueS6STnMbnyxPIBWsF8wTMX7uJ76k23b8VvmBdlHzdCZlgAZdXR1juiEzGUoFn3d
tSU1UpfVz8HQBA+2ass9I8TupNMVDZcSqjXV6UCue+fC24usR3csH6a5jpFV9Q995TrvQKJhEyCC
IFBo/ArohklN7NidDX7Qqt+07Q32kRWp3VZZFXU7DkgAIbE7hdDNrPrL1BIQMFYZWHU/JbiJCw65
zo5u0JArAA5W2aAcTP2LKIme2ExFQRuHKtY7MPjifu+mnuAR4YEgRooQPtb5nGWnAdEcQLF2QlLm
zv6HGv0F+OSY3tRR9VSIcKreAQusMhH4/aXzEBWK0VVFR+NuyHIZ7kfZjKAnWtu5OH2LAgSrjgtx
lIUFwbJD6tznht4TQ3W/tt8cXfsAh/Ox/6YpvLLDgCviGCLJ5i5Ui3sFWMV7IM6G5lIwE9N4hDJh
MXeOatdD6Q/qOkuwUqgI7ciwOvawIvvBlWwG5HMAsubgpEuc5edyoddyzTSYRlplhQhEnEa6ZB07
DmifLuCAhcwwOrLzER5TjbiqWE7L7BXWQUKTO4PGDmVUafllJC7IuY2zIfd/0H/LalQl89AxvErS
jsUTNRI8w4MoKLmBtbe1c+f5OZkaRT+Y9JBStXwfHFE8uxwItNR5/4iedAqvlDfmn7uizT9zesJe
HdqF921pM78/JmUgl1s81jA6EkSbeylH77bnKVtJpy6aJzT5SbEHrL/cRNWMY6Sgk4gEuwvNfesC
AUcf2MN2qZDi7CyvLK7JXrOAQgbxWm5W+YSAKYgTSs0heohlSJgHSwIKexMnoODLss5/aEbq7c5x
JLJ+R6suP5LFxJoeO2Ba9pFb0zd0A4ekDjPCmCa7wRPVrWNPTA8z1TLfXWhLZoRe+swPWhfdNoz3
he/VFJrpyWKa6X5YIALv/Mj3hscY4aB7NxnDP1eUnfiO6OI9hzW358EZbGx6mAiIKMmWzkGBEcUI
rlXY0sGL4dbRGQpXG/wYNt6hQi/PUNRFmOenRsEldFT/wrhjPA1ZnMtHv8L9n8Pda7YQDrCwcUjk
uCxLnM9U5SDSIsYPW9FPRUwIFYOnreGGgG1H9clEP8pGQMa9R0iiE2SxvWESTg8dhCZ05cXJFvCc
U5cAOaQC22mszephEYmnSCsIE/8sBvhkgL7FiL4/srgyJeyBwl/wzfhpZxuWFYXDhr1lesbXoqiS
UTJFDGZnNpDBwxd+XkC0o8F3C9aMqaq/x17rFNueA/fXsQ3je0Mg5fdO5f1n3x2xRA61ufOMzYzV
rRRaH7kC2yBZTuOxF4jBT9IPHYOmx5+Cc9W2tHNj1DQjumVprk3D+D+mrLp3XQEbvAcy8Tk3FmL0
mHZ1s6sbCP9sppX8JO2ZFI9Ww/GBHBCTE9iM+oAOsGKHnso1H7dWQ/GSrOIJ6h2jkh+DHmjWO7Hq
s5MZPcp9Os9lcaD7YvR1xF571LJFP5YE4TwdeNfidQD+0W0EOUTc7bNM9v2kuPNE5o4XhALJFyw9
7TPq5A7nfBYd6TFwu5ATgjqto3aMTl0nl+xqmTObgLk6wplPnFKR7/Ct8BinSyHcYzHZFFWW5bj3
slGFuJrzkk/d+dLNkfwkZY+jroHqb4fRFKK/JMdkGzuFvppKQ5M+mC0WtS4z2GZm3OZ90hHEavtU
iHvOadzYY0qtv/NhYX5L5FpyJnYxPnldDPgnrnqeCIKqSE3DN4oT0gws82OuKCfmcAVmJ7HmTulI
QsAYit1NhzimTktbZLcm6LR7J+zAdmlGOJRVuKjA51rK4yO0PJEwzmqLI6D7+71uB1H8gUzG9VHy
iPLW5UOKXT0w3wzwvUdwd9vqGwJGQWby6ENHDk2XP9HGDV6Tpsu+zS567mNaixxHY8ITsESZ+Az0
p6TRWKJngtlfoGfqCN2E3+MTQF2iRUGvgCrZaBorZxs1F4fq328tVbiZv4/xd8EYjUKY6K6I7FsP
UsFbONBvLrqGh7Mns5WchBWqeFSjRNibDJTcvKImQ1R4cHD2kK/qQxZUVK5pYxXXTC/RnGjP8249
hCGYaXPbPo5dC6TaDy1/b5O5K3ZJUxOnx/Ei7M626xrYuShjCIuVCwIcxP/MVYZy8HJ8dDlWt2Ko
xwrPFMsi6UBLrvZ94TZ3qIpZ79iA+x09jik8cLgpyutVonRtvAVhWoOWe/nie0X1PislDTJGQkKu
sMll04OJ0eOSnDy6DfL8ZR5x7lfNp7FTaIubomK8MVtpMDz+Pr+aC6cozvaSeGBbGX+9VWbUt0Ma
tPPBAIBGwcj+yLxW19FTlg6uexosx9/7PGxYveJef84I+k04iwbdo07omZyDFlD8Hq/fh9GEaIgK
bhM6G0+f44FWEcqgoPssZbhMO1R6INiqrJC0txu2ObzX3ngdNq6GjWFKfZRWQG+/o7lfnlBasSvE
fg5OF4Xqdei42AyyQAO07pUhpTPVXRPdtn7HwwseZemu7WmAHtnRJHGvTKbSBdEvRrj17Czys9Rd
CMYCUrLhCyraHy2pFjAKFiv7XIvGnq/GKXPDry58H6yZ7hTmZ2Gctnu1ExtKiBuulUHgjHA0ZTZo
hbQXH+GTFyIxZgfM9rXTwbf24WN4O7o/yQ6xDz0fPKzsF8xOEtTKXCWOlmPdk/tQKHaJN29BTk2w
+NgW/T3N+NQ8FE3ifloAUqu9abSYDijRIrmFmNXLu56YcSo5klCDwb7KoGs/oqzPDi1twReYt8t7
lNjhjVzQjgKRlVdtEi0veJ0TqmtjHmGrVqd6DiTuCp8hTucHp4xS6a5xk3bn1o5d78pwUdcUcryS
WxMdwDxWPXnC796ReEXcPhrjuB0Ds2aCnX84dTv8MAs5yjxVc7hb8qF5TNI61VdjXwRXft34cCSy
cUzWcB7YFFE4v4B8SU4mrfedC0tkl8WL+jZ5OvxqbKU/WZS9O9VxK6gsbuDARPKjSFCH4XVW7g2S
XOTtA0FSMbI+dYpRLbiXMZyJj8+rGh9jlXYnFgN54khF8AZtkuoNSgF+2rQfrQnLIYk0ft/Er2Lx
0pOVT5z+g1Ff+cKbLhLdBt4XS1/mGLtsNGXqNta1u/fnrgu2E5LybOdN0sOrxQZ5LAAdP8UJfEPG
VyU0M+Dp8U2weDhy6Q6+up1BmKp0dscTVJNtG+cUlAqf2/tIiCI9QyZQjLuH9LrzsNGSZcFtyEA6
KXEWcso9DLrR2b4iG+duodeKI7w2DFVlhHXRc2rMTKRpFk+LzOMfTLFZ7JyB01pc2Ha6pZ1ck3td
gGCJhxhTOppDor0TzNtjVwticbNkVUH3FV+rk23TIQnPeP7zTRoE/Vd/cfJd3/Tttbss0RnPBDMx
J3xBQ1Wy98iQ2AEFI0gC7B/bl3l0fgSJl97W/fBJSQcBGVkaKLxwazA2ne+AB6z0Q69NHolJlthw
VvQLHU+A4aGRl47AY/rmVv8cY9h9nUGGXDuIKyAdrDf+glj8YEtCfyYJJi7VYJiwE6F4We0cGv9q
5YbnHPO7IG6I7Bjl1z5C+8Ju4jcii4k2lRW62baGm5Im7RGqAEBPixfcwUFPySXgZIzFXT4RLVdc
oyEh8sS2A4WsPPVOLteMITWH/Huvn4m/wYVX3Sxhrc8cjvPPTBsIocx6eDdkrTGhD0mt33ojuZD4
kKpvUzKwz+L7qj6NdaBukyWdv+q6cfca9SNW0dZ5KeFK0M3t2FKTqqVZITKc34d+pIm1aYv8Slrs
5IjmwCVHttvuRqv+gRV5OMmy7vLdKg7a/huC9pmvOoSybWl6or3XuXsuu5q3iMap10iGu6QJDSnj
kquXB2O5/2v5yc+qHGR9gQD6qJFSK1cKX6w6pj9pY1rWSxuOO2tuij0ftKSQV0vYD++jdBmz2YDP
0tGlqvzrl/1ZHvX7y0qUJIi+ENn6gBV/ftmyJyJ4mTvm2GAVARHlM7G+Of1ultQi4GCgyiH4m9d0
7J+FQLyqhoS6shyZ6ZDYpFco558/rPF1V6CTZRPy1k5mWtnMoGwWrw3aoa7FNTP2z1PYMbt1qKeR
QQTpiVk/p72B4PluH8++/TbnMN44PCU2B1dlpvpFup20zr5Ft5xzIRE33asPjqx8r6WX/iiyHIdC
hXGKct1GR3k1p073rnTF+KeHUuqwM+sSkkRelQ8pLQ2iOvJF3A5O3X8KOOGO24I4UfFQoZdFAGT3
dXcCMYLlvEuJBtlnWNibHcAERnPgiJzmDWrFqh0BW8QqykNHm0zbzrNOeganZJ1bZzucM4uJ0tis
rp5hOUtR+o+TSMlpyjgnvI3TyF4XTwH9V0qrg7AoLpGae8KDuWctlIUW3g36bz5+SxQudvEym3I+
+7nNSW2Skp4Hwp764mQ+6nrKMfFSdklT7mpZWR9FCadhA+0V6ydzquSrn5euPCbpEHR7jL/zex5M
ib21iHlsNtmAfnafDhNKAKAw/g7eCwkJ1G0TDz89MQhwOGeac150kDJaTSreRqu2vdL4VHkjCwgh
VEOruzpS1YyHtcarsoutpDxGhUEkV/lCFPixuh5nzxgTAJ06mWbhRiojN3NOGpbn5LY+NNMMtYu8
8On4+2PxT2lLnysEDcWvctH/nqj0p391/KhuX4sP8+uvWt/Ne1XPFBZxZ/5QokYf1e61e/3pf5Aa
Jd380H+08+MHBuXuf/w7P/mPf/nf/ct/+fj9tzzP9cd//Ot71Zfd+tsiwlCQjv7+V+fv//GvjmIB
+L9LT+9f/9f/NB/mXzavgJP+y8/9oUBVvyG11ALxqVTMRmnJ/B8FqvgN4adkxIh6zVGBlijw/sGp
luI3uf4NP+gR7ihWTK/5Q4Aq7d8UBr1VkscRSyDR+2cEqO66tPynyg/gMGcSALZM4AEO07H8hVPt
BAsg5gw3gakbCwW8dFmFOhvzA80Ps1MZZhlk+abbG4whMIzstNij5Jg2q1l8FXDxFLISXwIoOV9B
V5ZAbSaUD7KzkMqjv8pI6at1+Ez/HBBMbdPgnNV8+NN1v//jDf9ZY/qrBpuPIbkYEjUvD4Pr/qIB
tD28PyJog00AA+lQi6EjCiHymNlGHbnsedE8rsKh02iBywey/XeyWrG+wC/XUQYcfH3qReSI9i9a
TuaSVdGOc0BEIdR4dE0ERI4JffcOtBlherhqNyYawkudBdaJvsS8I4ThKfcjc0bLvh+WViGCWk68
S3MHIKm5czVigXHtbNaBac+CBri3rwwKwLisrU/aFjh+PF9/xWC7eDc0bFIf/jA8fjlCDPzjUhec
yf/6Uju/bM3rLeNrLC4CXa/wXO8XvXsZKVCYGE02fZLVj5lJ9S12W2kOy1Jr//C/2TuT5biRNUu/
S68baXCMjkWXWcfMCDFIBiWS0gYmikzM84yn7w9U3boMUMWwXJZZL+6UeZVAAO4O9/8/5zt+NvbH
Tjpsh6JeSlymeU/yZGS4OhsF2kpO28U/7XKqlKk9RD80W14XU5zlmKJQBw8ZcRduWT0Xs07D3JJ8
ryzHlBrzcP5dBz+C3KGmp1M3RXwUon+lDj+uqTMaa7Jx2wMldXdfO/09sAVydZKOIotXm89D0iZ4
+6hErrI0A/PaQ+ByS1q7sAuc5mBgM//GUUz+8ioi2iDKlsGwJHym+GaMqYJ1g/iVIdCbjW6l6q0c
sg0qDWPLayw2SlJbqzSv9G0fRMVzhAXxWjh6+RhRFfs70x3gOCKJ93ZAzJTr5toxB0u3NDJcnDZm
nyWFqOpAU8imLpTKddZ06b2NJuklc8dvZSTHh6wp0seMVNwHxY6tVSPwblke1uzAq0AHNMVwSzkg
HpYBS2O1iJJ+n+ANPeZ4P64zatk3JUUYttet/kjuq/vFFKD5HCc62bhTj26N13fF6YJqSBl397qO
gZNvF2TVHtkpgB3azNT6u2vbVr5IzaivPNRmRw6sN23sbOhHjEuHWqTTqN+1vPC16eRQr8JeIQgu
hRK5JshavRPBAM2uT1tr2/eY45NehtceQpuVBXCclmLG3Lb4uCwAJEfEP+ePVMqcTWu15I7YVUQO
F9qSqBDAPWFeXRhf8+VHqMwGDngSPb9gesyWn9zygj4zB29ZyZbOotXnwKBQ2RdbLc/Lv5teU3dD
TcuAY8Nw06lReT1Y9iMUTCVZlVGLRAQbkCVW6HxgJOqk88FLCnZvfQ3NTqrV4Njiy4W7nkcCcNds
rA1TwArHgKBPE/3dtjOVeFbx+NP9yBWVxpguaUyPJKMTtrnrGUFYgttXQTD8NvaEjk5xIJswDtzv
n9/IfEGZ7gNrkjQFHg2BLeH8PnokHxziEYe0VGLYCvJ+Q7sgt5Fu80ZDgf0VKFx96Z19vCofC5u2
IeIpDhnaDLWvEhijKRzpFwnpPC2t/K54MuzS+0WWI61eK/FSGCnhmH4jT57ukmomUY4Vs3G/twWR
cXh9YMA1VfVFwY64yLGQHdhOriIVo9mFBcyyPrwrPBvT540SKZEXHFHOn1FJ+YiQRdQ7gUMaJZbo
G27+2R9ynTK5Zrtbx5crAoEh8ueBmaH3tg4t+ots2ceSdjnE8qWSaj9zsH23ZkB3N9IGapMlnSHF
hK/WGW75TGj3LlCyYN+2sO1iM30EUqYuDeQwyyCt3HvL0pIrq0jUrR0b30rF6wQ5My6t/Eml6zu1
c0+3wFllnUc3l6DfdOnXNs58lf+xBPBHA60ivMzx4i89EqwFcTc2/BQ5gJhtm8dKA6zhGr5zawpA
2mVDAMXCcy25GdXR/xE49rDPLCm3IbLAdeV47ibyIrQcnszMjULc3H01ZOoOrb67JW4aqhewhDVo
Ib7MhW98h0yL7g57sEfUnLCeehSkU65cCNd4QCqVKoqhcO6ARtVp5a1pFtUd6KX2BUWM2LCcRcep
3OkCcWrHfeLDnliEOaFahN32K7sv9GsfsFqGFZpeqJ6jQSowr5DFeDSrJrjFnq7tPXyEa5QN+lUf
xu66z2iM9hm0cA2T4r6yynFfxhZQJp2Q+CRv8ZxaqkerHsejionANrOdhZjsuSossa49cHDwZwH8
mKHeooLV82A79YNA7pFHiee/2vWVHNYyiAJS1NMy/ym8LMdDMFGex/CKJNnmOAQd/J7A7b/Q2LxC
EFuTTGU+acRxHvTCfwDYpSywYqJobINrObBTLBJtRPORVseYTArAjlW9jczReQaBE29Tq4Aj38YZ
dQU8PtlKhxcE9z+TkJzLb+MQu9dVVssb2Y4OeXhpfE1pDpeCyM1tZau3aqX8wDrSn96iNxXsrNRM
2lYjxDimP4HqgyGvbUMx5kCT3Ce6AxkaB0vexNZQYI2N0KMWg3hgG03YkhfqBzBtV7o+yq0YfFjV
Mhq+JkWsLL04z0/10Ef0WXAO56H1mCpdvLQUo7stLcRtraMEk0LC2I0J29k4k1s3boGlN/TlVq1s
IJO3DYQyv5XI9mJQxWGAKstD//mDd9jdI0P+4eZxsHfqXrtt28D8YiZVtuczZz8BuzPIaLWQr1iJ
C95MCVd6E78OADC2SUYzaun0OrQGuDTanlIzecI+Ge1W6E5mHP81o0ZD0mNiB5s+wvqat+KrS5T3
kjpucd2AOxk2pUZ6cs2EuevEGD2nGfHY0ujXJeqwX+zFyFWidcYIkigKdSPRTsSd4kWVZfOQFto9
KBhjn2gVqjnEsWB7TAbySM3UpODrI9VG5rOLeQHHVPGNn4JF/1Gh1L7LWHu+yXjMb/JKy57YqkLS
1sPhS6V7ETvjSLHDLfQ6msdI7dI1pFe/29AhC71FHQoNuZ3ju08KwXcEIBOnWYLgoVjmI/EMKgXR
XWZ0V4hbtS1jrHhW+uKXXaRANUvImmR14hHwHWsrIm842J5XH4I4GG8qrTQP9uSMl8SZ64H1d8aM
n4KEt3wanalClqB5D2+1uEnwg/TOCp2otW1IHvrZBtYuc2Jcnnlf7tjNRPYD6pSCAo6TOmzQxqB7
oHte6KveIXrYNFDcbgIcFTcdLaJfA97UtW6gZ8lJn0UombbjtiEoaFGalbt28tpFGgLhe9oKHH3f
IsO8Qpp/7FC03QPQVFgW8irYxuwd2F+r3s4dG4LayDhdtKLGTySH/nloPHmAGpNeKwFEcpIFgLvU
bR+/ELdBzkQ5Jo+AanuKl5bxDNa4ufcbhYV/MNYuXIafDuSsKbWr3DGhBQb73Fl3tsObaU1bsVaV
zFNr3/aoW7zIRlGKfsYi9dboS5cGWkzNme9/9n0oBr4Rg9WVe8E6Fi5VQ1OYAdPczyf3uBZDblSR
L9zgw55Ul4QZOuvW1bVhHfSp1n8LLFjOuZrSpe5pcJLmQR3vpaPlAYAjrEADvF0ppBZ7jWGQrpQ7
TYNBSrTYxaAS6E6aSU79ZehwJgWWlb00jktMJXd8bDNXh2JpkLhLjJyKJo8gWhgtBSSuClycOsJE
WYB7CSb5VH/bwYiQy8LKMC70ozjaRMKswOXpV6HJ4tsk1iQt60V/m9oZ3PnBLX1zjZwRn2VVEn+A
+ITsJYRh7FEId2tixmsNf4sNYrDtgjTY9kjWyPrTnAcuHheYMHwc98QbeGi7rEJrlgabkYhdsMjj
Df58tUKfIAE/Zn5Sv7Q5LGJ0w1A7qFfv3m6VypFxRchZsB20TnxF81pS+43FMWkYxqL0xBEtE9nG
go8xh7dSrgDG6FcuX5kvAi2QhRiEXx/0HaQweusnjHAGe24NGlA2TlJM4AlsgfSs7W8p/bHBqCnk
ncAVon8ZM7pDbCcNxPkZQ0P0g02ZUzFdsQk5UJLsEMEQrd40nSq98V3Vl84X06xgU+h6/D13He6j
jfAHYO7LvztNCRGwhEp00nLHLiD4ebRanMnKk2a+cdUEDT+kSkfeRpWHdr2Cw251/PecynIYQnRE
fNLfkk/v0ENXOuSmfocPqNLMm4x9YrqMhUMvLk2d7BD36iBWNpyrBzI7eXQ0uCn3kQj0YmS28zCM
g1+Q6SWFxY6iN3/GrlAfhdNWCJ5E39O0zIz2NqQk8vcolfDacDK5McFbQBvFB9T4/UpqyT4v3aJc
Nr7p3EKuVNYAh8xVh9YnwzBRQ/4NFH9dTQ4PcJx3ajkiADSFdm0O5VWn0KKuUFfdOeh79tREu6Pf
wD9EtwFsLe5t96seR+RVoJb/lfm1QAPAaQqjV4yEr4yjG5ix+V0Ta8Y1waVAb+KUP1fr5b5DX4e2
2JlOauRzrwx2EkiDXftZoOpg9aHyuSuqOD+IetBWNrCJl8pm11FoEGNUJ8TjINmp5E2yw+Kf/g2z
qb9O3Fr9moMliWD1o65bWHUpgk1a5M33sY6nrUqO4LXLBF8QNwJoESSFAJesp8O2LPQdVRX8m5qd
VyX+pjHeYeh0B76genDQIGIBN6PvPOX3UXfORcnTJvaB7YQl3B1CI/uARqB/NWRYrYxYE1elrvZ7
AbrkFBqlhqeJk/8uM0bvGmNJAii8HR5I0Xlkj3lv+95d6dPIVoq8PMCBFFs4YyfsxiCHkOJT/Cmf
vQx6Y42dComL7d3kPRsptC7KndIN7NKpOW+HUbkjPgPYj89ZUrFMYD+6S8uo5UNfa2Z/49Vtc8iy
MLupkrHfUUWQP3Q/1W6T2oGz3UX6TejJlF4NDClh0jTuBgDVVRy5RwhZ1V3qF+G3VtEf80w1djqs
6qOeNj+V1s0eMJES8aj4eEgCWHgrBCbBjmj2Bw932XfyGVByGl75UgYGzbRRVoyDuiwWo9VJNobS
2GrkEhA7afDNrOs7JCcqnZRsKtQL3d5mjWbw9vWXIDW/OdpwPdbIZLO4XP/vgFD5Dm8Z3eVKHjm8
eCggkEGwE/2Wsu0MBvVGpdROWZ4Tmy7K58qqT7Ixf2kRTS8STRaFmp/gk9yDNPzqk4LkRbRPffXb
21n1/1fCL1TCp57Uf18I31KMT6vX4X0NfPoTv0vgivaXMJ3pdC9UKaiU2NRPuteq/j//i79l4e3h
g6IKgTqGdMb/KoIbJDJiKgeS4EzwANXG+P2fRXD+ljHJjPhTDmYmzfwnNfBZuhx8AnjfZMELtJ/I
tcScwkAaZN1DLO0XovTp4ytu9KAUTUjasuIfGj0h5i0wbRBZeX3tqBVHQ5M+W2YG9oUqtphO8f+u
Iv++E6SpNt5SngQt0PNTPphTJrRG8FhYRBGinVKPtnkyms8NPNOHBqeao7SSFcj36kVDgXZbmp33
va44wi889GB3HMGMHWy7hLQkSwQnJR/Gm3ev9g+19vPCydtN4rOfeAUayEMM0uc32VqsSZ3O4+LA
Hm7gzuqswHvbJU8MSOoykW5++PyK4rx8+/uSFrRkTYfQQLdkqr+9q1QBLZQti22HRmjZJKOPrT/z
7xUxhR5ZlFQ9a9BXZLI+BZjIV5mG1kQnPAvDbwBdUQ5onLtpSxWZ5e/m7T9aD27y1/S+Ll9f6+uf
+f+ErtaEOvnvJ/MhKIPnn3XwfjLDf/iv2SxoQdGZt6e5TEAke6N/zWbq63+R00iNinKaZePQ+Pdk
/sti+tPSkmA2iNicJtl/TmZFiL9oQk1/2aYkB3LlHzFVZhGWXIJOlk7Jf+qPkfNqzCYRPClqnXwo
b7EqaGtvMj/ghH1p46B7KYrIvhJFbZLQh3A4UiEphAJeFzAwg41CIy6UGWcNtuluWN+AxZiqMTFm
JjTN+6ErCKRIfHeMbrsYZlKpkMZNoNcD7k+YGkpa7hIi1+BfAtklXb1eE88UQFN3sBqnRFV31qRs
S1bMgOprT+IzlTYDXmWGEMzvB+NQ6DFcstZ56ikP/h7cv7ulf5jps1bP75t3dNOSEHIwE0wdyvc3
34do6qE/hLdqXl3FqbpN0zpkN1wBKnWMiL5/613JUdZ7cKJsVKXwNq4WxdsOacuhqbzyF2qA6iGH
Rm7SWRDi9d3I/MMdstKfrZjT4zUxu5D2ReA6S+asht1msUFuHXeY0AE/GRTL/g44tpHsYZlrx8be
SX5JjmGMjCkBv3JFtlC0wbWxMKUTr/xqMjsnRgeiNMNhRnT0NnICtsMcAxalmqSbSXWzy6Sn3hR1
431x2P+v2fBYK7N33AsL3RRN/P4DQKeXBXVqFmt81NC/zBY6YlTsMlLy8ibSLVyqrVrqKCsb09hI
SVXIA6hPa9UfT5VJCtqhrdXngqLITYClG1NqOyCerL2Y6mxOApxS1UezjrDTEYhYLosxV34lIXLJ
ZWI5jPlY2Sq9md7C/GteOcxCFx7rMb6TJAKiEysV5HBdtStADmzH0Ujw4rItr5fQ9knsyuPs0BOl
gugahe6jZRMOvnDb4qhgyniCTpHfx0XF6SmjKTQ1mP30B06/cSW0+pVXVpBlWKv6dOSRztHmiaSQ
94P8CcBGtwak7TZ7kA/lhSEzTbh331iITbbUqVMj41J1nSjk8zGtRpR0vSrI7kcxCHiEwtrUMjeO
nw/M+Sr04TKsn++njqEntSkzP7uvxwCMRjj623gsKfZUmeeivJPXHGh+MAj9ZRZ6yUMKK/erozdf
Ex7e5/fy1sg5+8m2obG74siJzh+B0azVYdhdH+qDlZ+oX0Mb163+mI0mfh+ZyS+NQOjPYl5uux6e
gNmiwiOlVPmSsHQdqK3jlrSlQaiQYy1Ne3pmQG+IAoSfE4dkMnHq0V96avtbvtA7jLZMl9KqDiKJ
xA5aCmUhner8Ii3HXTzW0aOvtv21h7EJ/o4kedMPs52ZVyrxgJ048S+E2UVYPKDWkLvPH8V8r2fz
QUAooJqOQG+FZXjWR+kHS3dr6qanXNeQ+UOR5DlUIdYmjl0UwPdW3i49AlCCLrsvOOdduP6H0Te1
CHX2MapEcWers/Uq14LaIl3COLkjVmYUkDZPt9tboGAXxEfFhOK5wX1Ax2GNfEBCMcBaCOwgXPHX
y2Unohgu2NBd2NP98bZsVaBfYA/MHut8tAY1ug+96vVTJoZHq9bE0QwonXz+42drNc+e384HGaUC
6gE2DucXGfzIdQN91E9YI/QtPhKAYNCHqN9cmHyzbTQXMlGBOERpa+xOhJhdSFNDiV0zyk4jfJul
kmXoCIsy8kkVHfqHJNP6Cx/K6R94NsE4NjgI9vl5FqnZYnq87/anJcxt4Kl6fUJyslZblKqVWJLz
8tIGESymBAIGcY+fP80/DGULycnblklDXOTM3lmYq+jazTY/9U686Mby3h/kciwbPCbVsx3SmENs
PlWf1dD/W9OS7efX//ibJYppG6obbjoNdtr5bw6sxKh8o+tPnUIeIOyI4S4KGrifLclvVa09c0va
3pBNu/v8wm9P893Tns597O9QQBm2yWB9+4i+e9q42yuE8Hp5Y3Qp7jawNIkisn2HkhSqE3S5BTlN
4xpuWbYZo8Ql147MOXOIil3RyOYnn6PsNsRBcOGJvB1Dzm7MRBbD2GMjIrhLfbbORm3AzGZnfGPV
IwI22ZpUnTuNlB1ap2iFF1aPzaN2I30T584BiSb6wb57kcRHL+CoBKTolZOCBpnxqNrdKqFtuixM
i89Dno+XTpvnmiVTMj0cdqTcra5O/ffZNFE0INZKNCo3KSD6Clm70hKGal5Dj1hpKaeqWgMfg1I9
Hi+8wtnYAe0ALJNjrsmhTiAjmq2CLtaMsOzq4Qao6ELWg7XTKlb9GIE9CYqCxC6yIncULy8sv7MV
6O26ukWlgWMkm4A3lNy7kSPiUMO97o83ekd9q0LrjJatwn3nyPrC051+wvuxQJueDQaLgWbo+qQP
OZ8eDWL22kYAdjugOj3anfIlHRVlzcB2lsBFKAIa/fcLE+P856EhRuLEZljwhSFSC93s+TUTjl4B
TQZYTbZD/T3JQLXA7k+QqJdiZ8fAH7zWS670orGxflm/XJUAvMwGDa+OpcBMorQbNwnlFoE1PoPP
b2+WWf92e2zSp6INoGsqLrNV0uzpWfH9Gk5JWn+DnAIpuCkJaJSD86VpdRPGM1YZtVH9J2QyeHy8
oDoGDYlJUQBxAZthBlmF+I2gy621tIiysyqoOOjhKv+7QZv8ShtTQpgCijU0t46JRtAY4CRYer3x
1MgRLDo2zD2o6vDSajzd/L/f9+8fZ3HAnb5v/JucbSsD+tW66rXjCaKAhUU6aA56R1hsPvaQ3ZEe
KJAaRLUP5XODM8TANI6MqknuGETftMGtcOclY/Pr82d+PtG4q+kcjOaUYaghT5pLfHQczREtPYrY
ZOG+mLJJd36K6bRIqnSN76T/Dr+33MC4ubTT+fA8uDKaO7ZZDkoECnnnY1G14UeaaSZOAZbgTekD
/egHR1z40n8Y8awh8NVI9aHCyLZqvpCgfehEIcsTS1y7LXXzsQBHvaKseImHeT6fpydpo8RVsSLY
7HZtbTZ4datEfqln5cmsQ+/JzESzNlPnAGODiNoet4XvkD31+dubfemmi0pGlEHVBDcEcvXZcVAW
ed/yNWhOIWeJjQVV4NYqkOnRxq/viYlxEP4P3UOjOVDkqhY1x8SKqfD9rXAjeTv0B+GKuITq0koz
XfhstL/d2DSHJ8cCGoHztzt2fapXuducNNVgAxJo4kegGc0Boet4lQ25e3BJcZ++aVjB1Dzd82kJ
qR5EGiax/ovPKWxDHpa3NWFh7uOqfs6Arxi0tJd1CrHk8+donH/pfj/HqZzqGNRV+Y/ZMNFSqtOK
npenUuvMDQZisI0ZkpqtXbQbABrErdA53xp2aWwc2fSntpVY2Enx838AWZNL/pnVFSRO/4urV96R
U1b9bOJG3JpO4B4SxC2vWhoke69sdfJ3vOCA/BZVL5qMZZSbzhcfo+TaaIL8CJTghxpFxQMLQ2ks
qI7ZR8KL+dyNXXn0O9c5tfWUMxtCo20EYLe8MIoVHgdrGTSJf/X5s3nbDM9eJcuDRITO2swQm01U
SVuIbHa/OOkQ+UgVzdydOxTGvsskvLssr2+IblB2bdfcmrR3H91EOt/doX2KZJlsWHlrGpImPX6z
RPgKCpXIN8Pfg09Onz+/1fNt/dtbRHjscJdYZfiOTIvBu6932KSkYvlKfsKVAzVjAPUGS5LIBsh3
q3o0x/Xn1/s45dnNIw3i4bCz1+ceJLJXTYvQm/zEMUN9aqCsZQ6FjzJwqMQMtXWFh1y7MOU/LmiS
wqpuGyYyP0wBs20D3k7qNbB9kavTQEadh9ipNoYl01ldff7z/vA4bYEyWgOPzQD4UNxT2tYyKi4l
E2RaShh6xwyk6DKAOb+PG4yK//R6YLh1xItgemkeTJ2e96/PBlbnswfJTrJylK9d3jno4mjUDWre
roUS5tefX+/Dt4+jvj3Bvw2OSfgbZsMFyUZdBm1A1QNly24Uk9km8NuNFSBhgF5K7z9PSF9X2+bC
NnMqjp8vj1OVAT2+9XYk/KCs7a3GQkHGTw0cpfveF0H/nIt8fKhT86gVpr7tWFY3UaBqR6UIzE1k
5uZV7JcdZmAFlEaqZauY+tRjHO7GLACwB8cLkUTXL5xga/FPXvX9D4WEV8j/FToHAy9AYTTlYxO3
3mNjD/C9nXDJbA42OgTSAA/70CHNqmkfj9kFJfGHQTv9XJu6/7TZMOnRnL9ZpApD0rWMJHKQSc8u
3GCTsIKyx0VO8PlL/TAnZ5eaXvq7NcBthnR0BWuAzJH/KHH1lKfEOsSd81j7xZOGyvrCsNX+cEkO
KhzvqSQY0OKnefTukrCOwswaZHxitKr73pDKRBp2sicrK9DNNng0ddtP1whGb4tybFdW0A3XpZre
dBV+mWUC+ILQVEaDE47BJu9065SBVKV036dIAFwbl2X9Oh0l1hZIrCmmZczRg2VjeCgk5vNeZlPe
16VfNgtR4JdIei2s+KxwlM4/li1Aa1Sq00bs0bDsjmipNk5Tgx1AkEZUIoJWpzfu/VafwFZlund7
58JM+bAGTXeAncThPvj8zIsIcddSk4/KCHGQ62NsUSxyh0M92vQgF74Caoy2n4+fWdXk92+WdC7p
xtAl4vx7/jbVlO5PSMTNiWRna09bcaNzvDUzPsVpJ8qdp2TGMW1JKMuNEbl1YZAu4/eXamEft3b8
cuethYbknYP4bHWCHm5TH/HiUxkOAYJCx99Ghp2REu26sCaqV+A7/o64ULl2CQ6nEm9SQm/bNeUD
8651S/nTD/uHz5/Ox4lMC49zK50qyipSzh5OU2lpJUFUn0Rgykf6+DGmaYukKPhjd59f6k1ff7bv
kIISPKdBDskUTebVByyxFLA4JJxQhJJjRtKJB0MCKaaH1Ius0iDx9o1upBuii5xNoA3JrZA+/5/O
l+S9E9iOi16nfJCG0VYID69XnGFKqjTo15pWb1BMAnEVaT8xXDGIXPhST1vc2f3jOJvKb6jWdUpx
5wPJgNJLkBJFRph2FrqUNNhQ3LxoDv74KcGWNx3mNVtjEZpbS1gOsDR1bXZqFe81aO1dF8jHrNAn
J7bp7bBM1Wj9AvdOV2Bo0AMXW+zNw7eIys4yxuF94Wf/aQJJVnkkExa7FA4957/bHWmFBaStnJSU
czYeYmcdDVq4D3LrK5u+8TodbqBRKAe7GL9qSdfs2kunj9l2nsoNwxTrClsXxqg2b+F4img0pc66
O0GxYN3UEJKMSP07Me1wndhVufUQk2z0dIq+pn6VJO2Fcvns+MMNSB1uBcMX3zldpNkzAJQa0cVT
y1OOVGmZjx3Alip8SEP1JzYwQvLALIFnLqjH6uKSAW828H5fHNsmB19GBQW08xeggq8JLYS/J8AZ
L5oyGF+ogCdfP5+e5odnPG14p2fMj7RNZuP5VSyzbMccMumJeqrc6kZH/Bct6QWvAxD/oGvAhKEj
HMjGzDYwSvwFWONurfi++9XKx+gUZXL8aYVZdEwl0H5dRO7TxIj57lVqsCUYw99opElvUn1oNhJ2
0sZvtHETJJMhkCoNHHgOIBBLblyY0gcbCtqh9+1oawv/qbXiZKv3trNWB788WhHOpNTtlPUQDg6R
43127fe4423PDr+2BDos1EqLN74G8NQtWgP0afajKDbZcGgJz962tlF88TafP8P5zoF5a6gMeWRr
DBgKB9MwerdzSFoRVXqvj6fCCX4he5wcMIq6jxM8TouM3IfpIA9AJwSRunWJxv4BePd71FAkRoMZ
POdZUl+3eZnfSb92ofL61UYhcRBCgLQOaJDlysS4eGP6A5rB1iSJQ3PJMGiyQbvWUcysqtKLd2Mx
qhd+2ocxSIwHxVtO/4Qv0cuZjQ4df0fSSV89vWUQVNj17mADubf//AHSV7Ho1tGw5aQye4BWoEIT
d0sBgriH/B+sPTxLOE2Wll+SFF/fwxDbKb2xDVj2IhyCbZreimSbeg9edZOmqKD04VpCliSLc+3V
O9LmvkYBtG2QMgNAMSbbAqPMg8kX/8JC+Ye3TylWQHtwBMuVas92xd3QeSNgB3lqbIyjNmLnJZyl
FOyKBjhj1IE/l0CekEC3ZEouNHqDi9ILs2ujqIyFBQF62Q54t+Aij0skrHvCC38BEMq3GGWdfUEP
+65V6SpIRY1fyBvzN3yFWkj4rbcyPZPepqZ1uyx04gvf7nnNgIE97dc4OGI/l5jXZ5sXEYIc9Alo
PvUR8lZXB3cbDN5tPKL4hgKWX5eK7zxUQG9W4DltnDiDOdkWxiXBkUsP/egG0hYWHdD6aLVYUkJa
Rr21imQQrz4fRLM9DfdqqTYf6qk1Qw1vrh2zo8wGWNVopwzqGtXlzLkqcwIPIsyXFw4nf7wURcI3
IzgIkdkJ1xu6McY4oJ20JHQ5cUFndlBArCOG1+nzXzXfP/7+WfwujRM12+c3psi7taUHv90RoKeT
Ljw20HY9sSJysaVOpB449EKRhe8bS0B1g3AeamfQdoSqFkgZvXGlCWaHGmYXto8W69m7LdHbPUkC
zCnFIhBjXThf74zMoWM3lvoJ887f7KXzFDuO5d7FemdfeKt/vBQfYV4o1SD6WOeXikzVR4Nf6Kde
JN8UR4WxngakqysY+0iXaPcXHve0m5v9NNKaqDJPtRmd9v359TwDIJtP8M3JafTsmSAjZyk8GQGi
x1kOdZBUwr7T7GoV+CnhMFJ5kWYrpyjQfsSmw5HjlhCYtYGOiywW270a4dldCSqe9NqycLgwQ2dn
Vt4EBQ9aSdLUps70vODZtX1CEXEM70fU4TBQtO6XLnJ9hzYIg2isNVdlGpgXdkXzreF0VYutIZ1F
h109zeHzh9Tm+PhEmxT3VaNZV2FGvylJLVJIEmW4KWukHxhH9J8sy/kKT215M5JMsDaQvf1+Xf9I
lfnfJty9x4z8x/807Sa4j0+km/83fk1+pudheNOf+K3DFuZfU+Oc0z7iC0R9U0Hztwzb/Esi/ECi
g/JD5cs+WbD/hSLhD3EcZDBhRaNxN/Ug/qXChm1CUwS5CLmSbAf+mQz7fMiiPWEvi/aZi8BdQmDM
LbzfLI22m+Q6YqmlSxw0liCUY0jwasNVafgZvVleQ3fofxHnUV29e0a3v2fxe3jI+dx+uzJPRaOy
ZLKnAWlxfmW7qyJQS36ASzrBEWT7Kqo6q3bttaeTKrAicQUUMET56LUiuDO7sFGYlWGm69PdYY8I
1WXqZM3Xltqo8ipnp7xEdEv1Z8SlQtyGVWXbrOqdbyCC41dDg9kFCw/7TlDnAoN3pRrbz5/D+efr
7T5Q2bGAT2oAhsfsREtablwUkMqWYTiim9Qj/8kglmCPJQlT1+fXOl+/364FcoDETMOCIkKd9PyZ
55R/RwDdYOkTnNRfsZCzlwU4plzX2P2gYEL0vrCb/DjA0KuQ8sepEYEwDejzS1Z919eNSgoaEscu
WORVb0ZXcQ1nlyAopd+WQJ3yoz1W6vPnv/VPz9WYlA4qZUQqTtPff/eprlLLHrQcPJ6Skr+BDyck
GUDvJ9qt4uHt/vxqH0cz/UKThtSkRaIZPX+LQ4CRDxjHMopj81Al1UtoNHWzGSk26pxINsowEsKI
yza9MI/+8IBZQZi5eAKmkt7syhihdTlEWCij3jIPbdhHyA2Euoq98CUphXOFU868oJidXtq/v8tv
4whIHJoag6YCJo7Zd7kf1caK9SJZ5qqpPv9ObAxZqS5c5uMrREzG2knjgj9s2bMzN81Otpd5TzC2
yfIA1wtFmZs24wuAI5Ckn7/BmXZ0+lE8Pi6Dtoq1FzHH+YCxFdLICk3Llm1ohA92m1jeMqHWQZkr
aKp1n1tGtKrZgUNVa4jpWXT1RJcc7F4Bs5+aEND8tCsu3NbHZ4DoilWSOjjaegSl53cVSdXLahev
WuNTfjqobjIs0xrK7nVA8/sfr0UT9ooVUeWLgGJ1drFxUA2/92LWxLwzD3B5g63p6VQZKqPLv3/+
vD+OoenjJnAUsTKA/eQL935+YrcnxppssWVHvuYWzT2rXYJNN19+fp2PMxPFKVWV6TyIPsyc/aba
FX0WoDNfQr9tr8NBibdjB8YyHgswlpyCvV+q0idfE1dpwwvX/rjeIiznklOjb2K+zNYgZLpe3ef8
Rh8c4TOpoeOwAFkbeEtLC7Xousk1Pj2f/94/PFd0EpSPWBU4MM4nTSGkZ6Uu+du+Nva3cDbih7cw
1c+v8mHVoQyHCpIvCcseBcHp779bXRuAvSE480lfLJRbaYTutVugV0aM6C7p1uT3GJnlpa3udL44
W3feTvTTdpeJylWn5/3uqlmpYKJse6LDYgfTmKt7chcnfU4Khj9KsLDj4G1bIlem0PiGAUXAgIfx
MUl3lco2+SpU7QjbKrFl44VXPTsasnzwoi38WUjcsLR92M/oWeTUQws3fCTpcUvnP2y3IS16AmM0
unJ2aocHYib9WzfxnOUA4uaqCluPaTxGr4HtFO3ShJCaraXeBJfm9YdJQHsbvx+MtmmNo/dz/uDa
PoBPrZP4WJMl+FjWbfJjdFCuQ8iNg7sRqoF6HcQKA5N9IttAMZJ/uB5GDaE0G8RH0+7SnYYrxSa1
s9X2pJVSdjTKxvbgvJX9sMrHnCU54mQE2CJs2oLiT2eQIMPD6ldDnkYvdHtAwLWAv8bN0EOy3HRp
ouVL4OVsAI18qCrwcb163Vm9fG2x6OC1hS8ebgiUJwoq13BjLLQBpclaU6N47w1OE2y8aW6VauiF
i9zvuQm6aaceI/OtqrvpRksCWBdq18e/bAFyS+066Ony/5F3Js1xI1m6/UVowzxsAcQcJIOjRG1g
IiVhhgOOyYFf3weqanuZetaV9tZvU4tSkhGMABzu9373HLQAaWTzmVAy0CigCCKZ5AOV5V/gancU
tdqJHRGgTb98L4Bk3Oe6pf6Jh/Tn98Kqzj6ebobPTCXjWX88c1RVKsigCMe0+woJIm7oamczJTX+
w6LAieGPO5bMEL9/a2cQb+BA/WcOsFAkvqlWMTNs5272nTpMIDcOAORZU88nOp+yzyjlMWi+6vhW
EG1YN9LvOCN1emFhP0jr6iqQOm6Ttk2cukF2W/t1X5XZ1VKmRoXN3ZQ3c2FHPNOSJ1LAaxcTEVux
tdQrxoemrg7mXJuhR7tN7uch/7aa09YsgMcb9WTvdwLrF9yJVv8+98tRqK74qgP+l3ToyvmZcz8O
XzY8MAf5NHFJtuYU9gu23tjtusdtSaTKJRKb7pPX3qh0+dMVN1gRtb5w5aEY9ESFg5+x9qdjYmGo
s7w4a2zYionHJFKEzGrW8bz53uPcSueurLLILDXd3Y+Zpss4CZg3P2hl6x4YeFZ7iiVShMZogDJJ
81Nrt9b6nS8dGWDPzB7iMFX1B412hh32PHnkXqvq6YX1hKL4OvZR36LxGYeleDSm1oKpzrtYdkbn
ai7pJB/+cU3yoHCq/jHRl/aps73y2TSz+qfdj5TtgZ/0XmhUDqllKMfqkIzpwwihmAnRipgVRfg+
+CVbQwpuNc35mkyNWiJh0FMKc8r58Dx62FvSU+MNv2b3aDhTdaIwk1+bLnHO2mDtXRn4e0lZ/cKH
r983i437ydaKQ+6PhCg1A2DuLgUSPxwp5/yEAvBNK5inB/03B18lV9RTpjmkhsaxo+/InAfpAcN6
H/TOOM4BNZumSigI081HR4MQfDV/GEWKqyf3fSrHqwbJSizTgngUNF2YEha8W2q3uNS14zy1gQEB
bh1TFwsynWx62o78BeRC+JHQ2JoeQAUZ5X2VtJ8YbZ7zovfDkVwaDC1Vr6g01woilW8Zb0himpS+
gGnuW9L+j2YBKK/QHYVGs7VCzFyfks5gNDowmGEygaGgcfLE7NeAMyCAU4hzs4w5vomDLQo/crkQ
h5hVq3eikkrMpdBQE/SaNpwNEtD1rkkY0QAFKL0XA+ttZmJGP3NoqU4lWJMsrtE2HwDvO8VuHZbq
C2gjhutE6VSsGGnKY0SzK4hjYrzVq6ZDppl1mIM2cpnRVWeO2S43d/4+UZUKIXg9J1Y1hOjUwm60
AFmsb7Jw3gpOjtB7kSpLrTktKlE78NVtOLNwhWaGCM8FYr2vmNaEHI6244dZBFDPazHAGyfIrh5a
4HvIU7IUsF5p5eih53WXA8oJ11JJcnmp/Zh1mfvqZ76IEorQ0eRkrw0V/ZMXpM9tN3SPgITyH9nk
1qdGVECx+n+x6dwa8pV0vrdq/V7ii0N105TTN3Y6PwKbB5vSpg+pOvtrgVCaa9m2T2pF3MpQNqMa
6YO2iOai4+j6UiTrg6O8OSrT/N1Yf1CTe/XT4Af4bQV0aTkvmJlYoChpjtPOw53crUYXB2RAd6q3
3xHLTFDazAdD6/NocNp90ayvlgcnutYViid11yC25EkqXmmaWgdmIH6NC9o+33wPnPZDz/LXwJmd
EBCOG9UjDcs+Vd+p7Y0F0srlk70d6OX1xddLfa/11D5MRgZCp8XRKZq6gwGSXluurypLwolGTZek
fpTx0L2K2golU4mhOaEElgy5xZlrPFT2wrdDoyDKivTK1hMwdSUo8bSuiZlq0e7rgUHvsSaRsgXd
eQXdOSs302PTn7Eh1YLuXUPcKcUR1BgBfMkOLhiAEPoMg3XUEM6HjVW8pLN72GzabA6cbqe4R8a8
wq6DpsK0uH/8RjyUix4F2EvZBec/kTfaJ3ZuaIRkZwKPLQznR8mmow0LwjA/yAMOX6m7E4ThHrva
AkurjULBaEnpzeAxkOpND2VvaNGkmerZ1uQQQcx51ZfpsoJ83slgO2Ck+Qg5q0PLA63Z9O/WHjx2
0FGqW402JsqEJdSsL5PRf23K5NzLKjnAP2I+wwasbVMooswHYNJRVpzKPNu1kw+BzatePUbmanB9
Ol9M7b100Hgwf4yvBQpszUkfK/ZeiBAsFaL0fCwLqKXuMkWsr/gIO4fpYy377E1Y+ZPJatg0BMlA
ItYYYnsnBpSa3hVt+2lm8txlpQ/IzIK/XzW/yERtDK46/8XRMIvsKtF3sE6zH8gzmosEbL/37aB6
tp2hesXqzpdiIpqZWm3dEQ9uWZyNLAblx8AOU8ZiPLSzuZDSM3+aaNi56ihojP2S32EV92ngLE+Z
YR+NeXqum/Y6jO1T06viq1LdY57mDhQTWPVm638aSwVLJKus0zoxjzRmS4HAIClDo5O7pFJMDwz5
/crK/CS76QnCP7LNmX41ByRtVQ9W1zEr3NqvouRg4Qcp+bb0VpTZudOc66qmRzPrWOTG6d60y/vS
a1+SdfMVUrE4lvP0S6ykpyCTXrPUYN1ASjKZo7PxdmCfa/ovjERgS7dw+yW3GsE2FZeiIKIoatOM
zGq++n16QMvShOwwvFPSq0er4erfG3yQWCv4wuvh3UsncM20QrHxMPCAQABSYcoMMa7f0Aya5hXG
/CenGhr1sgeiUppijCVFP67FFX1A6i33Xb+cBxmglxyDdxZvJ2rz9Vsy5XkfGikPcNhi7FGw1Ru5
qd/ZCgOFWTmR03S/UszrrHG/6gwG01xzgVLCqMOFgY+QfIoImykBbbYOGla6JYmapNhPQb5D4nrI
aHNa9sJ/M+RPpRnIyGrSX4FJFg1isxeVa/MDGyWSWNCQe38k9WM3WVjbmQRGaD007KcjzGEvbtNd
3aqgOANJL6yD9juEygvGYPVQJuV4dFLbiIusnWPL5DbWu4epdfO7ql48UFfJvRB1sjMoNlQ1nGiM
YR5QtXmJl6mld2Nccj27Y151p/uSJ3ODrWlONMaiMRTGQ0Jqqep+5FP26Xr5CesXghd3fXF0Sc5v
tb3T7EiIa7XkJ2pKctIEvFlmrU8f1D20GaSsGbq7I82bv02o68+dYyd71fUH19LeEk5wczFGeKRu
xpyd6xaEsl22MdWNH2Y1nekIX1ZdO0jdRJI4lgxdO9o+LZf95Pk3Ksyvep38KBp77wyAyFx7S6Tv
hPCeZ6d+WHsgImtdvnuSzKE1vwofyerI07YXxs6ebHs/IHzZW351o5Za7dU4CeTS1hwBIUAp3GC8
M5hgC0nbQ0su+vuiwFI+uD2SWdZ7sCFH2vmCpph1yBwMgOksnzt0dlIDHORTW+OW403UIv2iD0BV
PaVfK01/go51b6OojVylXZCrFrtKL4cz1I+Ky8rOgAilFwBQzUE4KxZQiJ0MPbnBt5zKzy4pF7QZ
g+XEKkBSvBSX1W+upaum+6kRn/SmIX7Cnb4KQv8RO+svft3dPKQWD+PqZkeHxjwzPzzKawgOpoY6
cEm015wTykvqBx/u2FI68k6TTpba1V6Y6o2GnmKhcu1fuedPHEmZrps87xv8K4RcLijP2WP+fbTW
uxzgS4SIisF9b3qn1P59A0qGMKbbndv4Lwy4mJspby+aaj2oVRVnv7ZeytR/zjLNo8TRPdLLeQRg
I+6Ja4BrFOs3e9bOcmjxtuBMi6XlPZG/+eX1SbJjWuGmMVEV9Qm8xcL1TuzXDksBwTuAx0z/A1gh
9fOHPJm8qBdut6fz8ii64qOUo4vLJHsQbcXWa0DQGfp99wv9wCOUOZ4FlJRAsrRv/UZO7Jb2h7CI
abUByDl/sV41Y2C4ex6cqCLvEo1Gr87TvD4MnoMx19zGNNMCpVe3gIVFMfi9qMerWbV3Oc+zc7dq
SWxxAIp5fOUQulk77rjs1guQhvehYfCqqReWPXYnKyvq1QtyAUsThNsxycSnNpTqPAzBEHlZDs4h
eYAzeSaDOoZtXQSHVgw8hBZPAwyOk4/E+BySOTSRaRpoHM1V7grLTeJClkYYFPVbt/ZHz1esaCwu
od55O1qdzbUCGxxSAonXsXkVtfZzdTr/pqd9dqf7HQRbrzP3dc63rISh7Sp3TonrdHsdGXQ2m4cN
7f4+NbwwRs5DQKQtxMyaHJpKuxV+s/f75S2dhjcR5CyQS3ryPHmAExrrQ5CHvbKuYugfwW1tHqbu
aq3QJJ1liMqlAbDVsueBM/sExPJFFMqOaNnfOt35ujTBA+3t41jr8M98PiaN+fy4GuddkfbwzLVX
I+90MslQVv30qTPEUz0ysleu+bsO7BpzeQ3f1b7CfFWR6M2NlHQmjbVjkulOAanjEWbueXLv0YGy
RAlvT2gd8IDaUdI4QQcweM70zb3vYDuNXL9ZrqZ0pl03Bae8Th5pmKfR5IE+1+cEm0CNL3NGnFP7
MUb1nTI436qSyCwQg6FV263bQmSFp7zzKg+wWWXQY9ukPzrHVzGBvDYqsxRxV8yzC0BYyjEqnTl4
5ew4PJOYyKqo07WyjjXsQywqRQHCFQKZvt47+PbKJzeXPLVBJFb9EcFXdteRaH5UMNN+9WJi7dNk
zw6ys3Lr3qwkbjgjH2yNMDXlnygVjvmDoo7zpk21Omp6Nt8PlpsOB6L66q1jFPihzX09iXQj10A8
OqN5S1pynrE0psQ9obSvdozvl37MLeV3sd4jxG1H4wWy92hcR2fwCOQN2c2kwByP6fKwmslL4C+P
6Cr0D6WUHSPcY7lro2L5sOT6MHvSIvlMqNNNkcqEBtDJak+Sd3hXfEBcYb2FGFBgdrCz6dExa6zM
lLa0nrNDkd0lWvqibMT0De8bG8QTKsiwWsebmQaP1ISRWcuZ51jgPKisogqyiOLOVFqZMBHSJx9O
VpQPGYovUXhIpQSA97UAQ9nZH51ExVObCbBX+sUs7WDi+KHViXC7jFbkSB4yck7P0GXTXeMq8SAa
eZnG6UuZ9yLsO318kZ753vjtm+dhrzIWVJFKrw+4iKmRNKI8FojGOYskAErSYr3kwcAJwMu+ZLBD
qEgyMXKsWVQYM3feKiYDnus2/UrU1eTia8lpl/xxtias2AOZGLIb7FYILM3gU0zATpymXQYse5IM
eKeIyvrppFndUz5aDwPTHgg4zeRCy/1DlIU4pPminrNWq6frqMbmO+e19KNrpH+r2rIDT+MzmdCa
VHtzFeXLoDn0F+YnipbxkvrnDBfvTU29wFeTLjD4XBa2wuCEVWTFVW9S55k7/Ts80lvOLv+hCWQh
Qj9AvIUvVHsV1UAVNqHZ87wMcj3xeMT1yAP2pQV9eK3Wtbh53ricvTX4suqNdib3fUut4gvGXYZN
bER/GePIb5oLGxl3Y9ZDU/X110pwyh+zMtvN2VC/BitFBTevnWcjRVonQfSsId3Nkxq6IFaOO9/a
Ncg+ISK4n87kTG/oLi0IMvZbB3bugsa2gn2IMsl3VHFX+cnEloLOOixDHZ6aYnTGo6s912OkWsch
AgiqITNo7PfqkxFJNK0dXbVZfqfbXcXSaR/B9M7f24yKFLfOvt7sYmZpZxdaJox7dG19mpphPPmi
qo/5lLRH0TrTq6WWBCFZ4H41DbRZHZvriC2VsfeXiW2iqfDNCxE8UlPyI30cfVARRVI+txwsDviU
P30B0iDZAESFJtC0euVrm2lxua7erlNtyvQuW7c8s6y4EktfHPi9rnhOwRVpcW268o7oD6Uqy5r0
V9tJeAqYLZGwNCjeqY5AQ5tdhmfozBsXM1f6gYA+hTNtGYG1j7fFYuvM6Ft1msqkiQcm1SCkSzXt
J73tj0sLMUXVzEqwmFca055ucS9rtz3nKRNKhNEBsqEsSqPFT9Nnj1HPu6YYr1pt1jGcrOq9Ii78
3vQFkGqjnxd6bZ4OqrGUzF4G1k9Sz3wihqWQfKa5/O6XHecweudVFhayNz7brbrMOakrYibp2ZFw
b6R2pMys4IJbCDOHC3s+toUwZlyAweuIOjH2QYBWrF225j0KPYfmGo42F9xxkZIKhUalmvt3dsaN
/xJ8X3X0uJQW1yxgZ+2nbXI2slyK05QAtqQyTT33bAxGbv8chnni7hxGmUDbXRv5DRebnL9agWTR
N8rBSj8C5kPVVV8HNz9xDfbpTqeV8NbXw+9OBI6e3dhz+8AAZ7QJ8x3bNNDtJQUUYwQo2nWJ5ZwM
5bmC4w7CiWe9tt2PtE7dW8dBPz16v1sIssPIAr2dXDg7h6Y/jnre+o8VZr7pbAeTZ+2TAYz0UQz1
8EW4lZFFTenyf6gJydYQLsCqtwKIpxXnzFSLjLCSWhYOAVNhOJzlUtX3VmcDzF3GQgI31a1jxixh
EEknSzhHUWukhi3rRf+ou5oBqFr3xc/B1Hr7YWHmEJeVU9sO7TFHT+MundEqSoWpBH61rKdIgbrW
djQsa3yavq5tBpE2KM9Wngw+3HywBlIzY47ZBwNiKiAFqrB+91Ej7LJIUgdz+6SgCH8VBSXnwPjU
5oLiYP8gy3Y/yZ4x16FlOQmM7jhRVn5cKbHGPn6yC9/2e8b2FQ3pT3/Q113pzet7X+UxkwhtuMBL
ZbdDzY6TFXUGxNmccMBVufFSUGjZDu/Z3hatx5Hym8xmmUY6QMnQTHtUFhMZp3Cy1jKCopoH/nHS
5m9GOrj3wp2g0QVqD5+he+BH7GfK5OWLFYzOm86wC4Me6sMfbJ7R2eodO7bVOIOqbAyrzvTOgvca
FqXn8xVTntz10trw4PhGg+pg64NwH+eqglNfBBMLgZLucujtyc/wRi+KWwSng3Udce59pET9u6gs
kN6SMZ5rixrD1mLdG7NZzEco2xzebaeEC91kAwcA4VkcQzgfjiNVnSo4COEzlJB3xSJ2XUtaFBpb
mzc7Cz2Dd0Fj0VchPnF8zFwwfr+3pknpFywnmvOA4s+DBiJyxLk2IWIO2atT3hlTqruXudUtceLr
zdejMZnmGidq4H17XsdiSU6EzisJjnTeY4o1y0e2xip9Gaqlsq6lIqq/Z76O/4VrS/dJ10VAPrnt
NxdEk1wlEtFhr5qgz/aZY7c6q4uf+qGQpbCutbEu1nNpzdK4BIPTV0c9r9b56NdA1bvwX8vE5Bdj
/W1y3S6/2b1V1HdlRysn1ucR8nRotchvwsCtde0ucMl7H/nNmOrgglfgknGrQljuHlJbcpQyvXI5
O6LmkWeX/QPX8DrsJbN4QEQIJzD1v1HmLalAvgVa1h9rjeNeVVHGuJV6u3Gzg3nr87x1Q2/4kND7
IJYzHcuUDeb9mjb5if7bL+bQvvDI5DTFTvvSSWt5YN0GkG+7F2SH1bHewPlEFLa0x0zdxnKGQ22K
dQdrQES9JsH9dgF7n8aeT9kG45dbw31R9LIixx2tH6NfQL/YAP5JY/bGVk7Lvta/Ef/9b9x/xaai
OFJ6ZhM5yWG5oqjI2L3lXAtOb3WXyrMo+mATD+5rtaijmfs9p6sA8cC6OQgSUS4FKiWsqyFoi/5l
a6XsmarD8CFRB1AQ9pvPTiuX3Sida5qU5YdKjeVRg47zOPU5yPHZL2XkaYhKV11/Hk34kJqj53si
GeDsu8qDL131SbRs7gUtHc1zzhIBOmAzNGAD/1ltzoYySLpnUwLIjCjE2fwlywroSshvzL7Mz9lm
g8DOulHfMUQMjQ1d3EPAEupC4zNd8pZt60Ipa5UAmtfeyhl2S9TN20QUHtddBM7ni92s4Kbpzpof
FdUCmmXeYMZ0NRj8orn6lm0mjNLwvhK/b2OIav6uVlPymCTYuHalv9y0TbJhSeJwntm0d77EPyY3
GQdWqzmhbMf3pC8VMqemL6eTDIbqgLA9+Jgx8h3aaVOrbuIPK9HH0KMyyTHbMUNoCax22EKMTRvi
teOHLM1qR7zv5G1qkUV1WKh0JOrB4FlnIkUtXSWEJN5vN4nRwfpn1HSrjf52mdBBtHaVw0hx7MAZ
+RiBTaFID5oOwnlZc4WVs7t877yymMMi0UzO90V+C2jWfc3sZfg6Vz6PCUt/3AQpd8ynuQ+jRTeI
vUWznnW6xUG8bFqXmV3Ivv+teoEQ+NisWX/T5HguGH/QaKHM3pHKAa05R1oUhIzCsbOoFKv1nnX4
VwYMdDtLLM09jGz9KD16/6FPoBK57MiEYl3o1c4lnJOy8ICVyDapjZYJ/DYDvWzarm3LuuqPhLda
RX042+w4pXlZAaIfDGYQqYfU5hyB1tQ1bE22TSQgC55HOWJVIEB5oP8Y0MPLEvOQVSbnck+r9Cid
m3W/2np3l2qT/PCWwrovyunnqDdBx3loPXFcSSOc8NiUGezRTw0K8FPnUjRzysC5GPlmnll152B3
c46ac03sR2V683vbtyZGDAwEdxBInKcmndl0yLbarWvj31Ok8cMSnsTkrEfOaPm+10d07bp6IgKC
bdBthkdJI4xNay72XPqkIQK92HdVbn3pwZeTlkgc65Q6XIShUsJ7SnIa/r4oqlMgp+DYFmNyBJpJ
ES4P4sLXxZm79VQ22fpOeI5Cdkp5US9c+ajZSY84RkBUTfuifB6t2fg6A96/d7bh+skyM2o1rvlg
KozlTHFwNKzr4jA6AFl1QZSA9F2GWjmoObb15hEDgXVIsnK8re1YscOoQArQ1fhpzUn/oy6bn1XR
zJHsxvH7VJjefSeY7AnbkcCp14+8Dm08etsq0umAR/5sZuxpiuq8eP3er4wJNoiztzsNF1cznWBR
YDxQztk0546J87yNArG8A+0sduRGXuu6/HQGUiVCqznUtmADG/0qnKCz2SkQD0ygs1OjcgGbGGY9
YJ/btjZoweNmadqI2om6lpy4+3BV2RPV7uai9OoJxGo4+TXDFQytI8Qe6UBapGzPQulcp87CaTit
tSW79LLL98E0pRdiHQNfBMthMAc8e2vqVNW0Pq/6LOKS9XM3zSlCgbknOaUHcKDsF08vPupqxoUA
RTamB7hj22W8DkaJ6ygvznWwfGt7o9/5fDY/NXx9UW7NsOZda3ld/ZYhrzafSQjWKO3rMFd+dtZQ
9QAsSZgD070l5yeMgmVyQqsa+wlngnHegDkdOupLhZ4iFtOsvai+Hc7mOC+XlCdzKLESHAMqZtTZ
Vf/Qdz5FI6+SEZ3h7OKXHo4rcpn3ftVSJqeyvEChOVA35PzBYStqfIugXzDpUdHV7Uuua6STWE93
TVVDOuMBuLdXdCeLVntxS33lLmXmZS90xMtNbvSR0XvBZWgkD0DGup70xFuu6zJ2r07C+bSmGvlV
c/FpL9pZLKNuxlMhxJVCdaQP8ls+OvVtZGLsghcmP4PmMo7o7PvXxLeNi+x0/yrSrvuhKrzwudal
F8NgiiyBYEU8udAfCHRpyY6ljMYCnbHHmaJFBAWpRgdPZjDwt+2iAMKglIWtG/DE3jQ1Z6A14Qy3
0W20ex+74CXlTP/Saq1/w4jBom5Q7zJTKDiMuVXiSTfb777VN9e+4km475dJHL1WuLvcxlI8qGX4
CAaa+hUZ6pBzHStzbV5cxanrbqGU/ZTOGc3gtU6RlU2Uc2EOUU7cdotfplagFeuMMk50Tx0ohxhn
zDRamCX8BY0kb1XMVC/3ZQXe3VUqaEO5LP4ZzDI6H7Zj3xZWGnXkrsZwJsoqjYq2VnHm9Xg9hlET
x0UZrAF5NewW0mnH2sMGSRSBuy13pPySSHaXlDX8QMaTPpV9SHVOvyip2eeUcokZIQn2Xu3U1H9l
PgK+QbIdm5bM1l9bx+0fZ9vWXpt8NO9k48kzoN4vRefXd4rT1aNVOPJcJy5T2fVSYxRKa+vkeh3s
NPIBK6xfemAxE9Gc53W13FG+r3aoWRI9nCjVi1PlNqzy7pQa1KihGNmxNqQyct1BHyPhtM3nYjXZ
uAvMNXnNuqH8ZZVJQNtE41ngM7UXDYPOZYOBuuCSz4UehK3IixezXRBbEYIzfRgGncP21+gvQ9+X
BxY0tmuVsxL54sg4k/D1jH0/rIyw0lt/JragqFmP4qZlHBRe6pnVj5lC/pxEs/yHrs08tG2QXYw3
mxgF+6bCTc9+0yQRh3HXOpoN5QW9rfMhVHC0qthWkyMwdLXI5Q17TH/qQzFtAj1SWcjlz6bVGB9W
P3e4QFfWB8dSdCqs9doyuBum1dTciVlLvuCz/8gwhdGEp91dOqxjEAUhs3rq3lJ6ufdabWYIz90O
yLb4gR7+NOhtEnZBcSe88T3nIqdQCDkrykWGTSB3fIo7qKPjpG0x1RCyah4cAlLpjswZqx4b7aOR
aB3znTk5mNEqOjgHiTgYaY1zyl1qwd/kApQFWGWHk+t9UqHL97JrDr3jzLtsbPq7qphkxHCxToeK
iQQS2G4Ir4/rX0JZyBCXnkzOC5Gl/M/AS8k1kJ084FoZvhSakZ4CkaR9XA2dPI6m2XEDbYSiWWrh
0qn0xudNbIj43aVUBWjfZhbTfmXuZl9mCwXilS9Jy4Y2XulUaJdAX+uXSXDsjF3miQ3+sblbbWO9
+QFMaRpIuGvOrKu0YT2axGyeKHXRArVp+IQ1F5+/U/lQnPq0YXvOv+m7nkWaPnGNt7AaSaVwFkmP
k2tZMnb0edqlZEn2VPaguDSz/TTTSdwzMUEPyLPJXCnnGyhCR+Phv1192GSPHK6Gr2uTz0fDais2
Dn4zh02vtV+t0aFd2Qrb+yodjWigJ5f6bkic4jLrivfBfi+hr8VROR31KdYm/canzeLci4LvEFPN
Kae2+o8ZS0K0f0knk7AkmOPqG8nX59jr/5H2FmIc7EmKf6fn0bctipa86xYhxXdyPDZbBNas7cA5
MIu4zP7wnZ68R6936CXzMAEH4OOcJEyid8imim01VDfc5T67MSTPZbgO1mjGbTVkGNMHGAFxOYp6
/ldc+P9pkO//S/G4Tj73f1c0cBL7/vn3MT9j+4l/z/lhRyEe5wbQtsiBk3X9nzk/w/qvbQKAYy8j
ewZkLOZY/j3nZ7v/5SBh4HIxHGokGFH/z5yfiW0FMj2TecDJjO2f/ke5fvvXVYet/X+VCvw5FWBa
zD7wi+AhIPL4v4j9o2OzIQYWEDWmmjjCauznG/lPgILfzKm/3AIAV5lkY86Lj2Ajvv9J/6qwk+Nz
sznY5Mb45Jq9/sbqwCKe25186hRBkwx+xR2dedzTzdAgF1pAMBT0Cqz6UPhqQa+9evqXrF/SMlyo
hejsqyXFcZe698Vp3PolK6mGXkrH5V4PwI7fB/MExwifGpF/pI2F2FnmRC2eTLT2XieG8TxXefE2
laWi504IoIgRtQXPuWACM7RTR8cw2MB9Ko0S03NfYsccqQL+w4zAn+MgfDogp5mbsnVGLgEvsYD8
ZXyB8njjVIINy5qskWzA76/+s928ps73v1yX//72/zpbuc3O/PE1/O2F/liJ1qwsjbnnhbp0/LK0
4r6r/NC1yArP1g6/SOgrWvKEu/7zy/4RMefvImPicqVzWGCJ/pPGmub5OFl0HwlkE2WfRDDv0qIS
uzHxkj37f2JL9EX/Ydn9Y/6Zy5lXNWHi+B5AIA/y3N8/1U537YQdMsFT8lORCKZ8V1YcD+alNm9d
SWEq7D233M8lpUs2UeKAwYPEH5fyP8yr2Vtc/y+fO7t4i+EP5qeM7QEAb/nvb6WvG9qEteK07rJ7
iydEcncMDZpqy1l3dHeFPhFK6u3gnmrfrGK7r+q7Li+c/Jjisqz3OsOS0KCNIQmtRC5fUEEknArL
kUqKCJZzKw2C0FOZAl2yKYEtB7sYl3bfSRcf3+BrVROOczVR/BXOm9KsaQ5rqyAWbXSe87EtN/pe
rw3OuZa03WVHRHR5apkYbGjlwEcLu9nRzl2KKlQIB3CLN1W6IsnQF99wHupd/J+vmT/m235/ZNsU
NDzZTRGwaW3+ek8wwJSunJ8YAWj9EVag270R81k+WkVz9T+/1B9iFa4Uvh6PQXng2wxK0tD6+2vV
Q0sXoqCYMrok11ooIW7k9+NwtbQ2vzEaMER0egAJMVFyr5Vau6urTj46zNQfJVMaVaTN2nh1rEwQ
EpbFTlhFEavSHv6J2vzHSvH7nYKf8olnMmTFgPLf36nvlapkMoNuHj5cqlhBCSscyWMsWiIUlY3u
b/cPH84foyjbS9rM6W5cMMYfmX/84yXnpio7eyLTXujJg1N5/s/ErJvp29LKtAkxmJDj7vSM0vQC
hYluZpn4u9zpQbtjzHodKsshJaIly6lb85KsVVOWVNScenrNPRNGPbNbHF//89v+47n2+12z0/pv
9s5jyW0u3bKv0lHjRgVw4Ac1aBI06ZVOKWmCSDl4787B09+FrOrbIpOdDE07Ov74RwqJJHDs9+29
NscuzpIsPkcGGr1h9M8Wr3Sq00fEThkbAPj/c2e7dysbjX8IqB5nUIxvAGYOHw634sxBxhvyc8rk
K1osbesb7Wtf1eW9akEMeW561u12YjVhYngsbO7ikiSg6XBqRLR4xFCQtkX4JRL+UM3pjsoSJJ60
GuqvOKaWmJA2n6agW0zrqBo5Cq+N0VWPf/2Y4TDjxuU0YkMqOPoqlkJCQZlPY42FHOP05rxFTx2e
G4Mn3ibIGGzMNicJOMxH62dhQyf27BqZ7Dzq3I4zYjepk8aLitHNVrS6rW8jIsiLUNR4yzJPFqyF
NGtqmve3FeCVdDV4SFsiNxZnoNcnvxuHOBxEhsEh/2hPVRXhBzF9IHoSZC7bg65dcNqJ/v5TnIXJ
QKAXR0W2tMN3TkqtVjU+F7soNfpPboWUWNS0Hj5+nSfmOlNcLJcV5gx6/sNPAXfrGLPkOcMDK7aa
Q1mg6Y1iHzbmfCudLNqb1iDWc8E15eNPXt7g0Q7JERS41EIrwSp5NF8RPox22jOQLBw4HhtizIxl
vGn3qaV8yh8wxCDua19cNYELmOoovf/4GxzF2r3tAiC0BAFW+IEpCh4NMti7+kDFnx1nAiJK6Auy
kxTZAhc2+67oc2fJ6Y123WCOFyHnjsuwDeuLzMDGOOcupp0c0Kgd0Y/tvW4ezxxnTqz8zLBlpyLj
1iWC8fDVDAaJxGXiEaDitsZd5jjDfdRxmFjn/jxeU4St2+3HD+TUYGAzXBY2jlLv9hpZShTwphGt
WWeJw6GQe4WOtfpeRj4mFsOErkOwA9U+T335+JNPrKqQPzhzCIP7N8vL4W/1uZ0XdoVmhSIcB7LW
ZEDWpByRldyib+yccFN3Tfj015/KAMTcqsOU55h6NPiloNCWS5ovmdb89qas/0bjLwTxWemLloCi
crKW43wuueWNqno09KntUkSGvQG98hhIQW9jRMPZRGuSdRlLCL66fac1AnQkAvrLqKxCewPIqtY2
Peexy3qgF3dpFoP2W/UKk+RUEIS7b0Zd/52IMI2oi0bImKIMjc96QMJbB4mv5u9JYc5wp4amC1d2
NNbF2s2tJt9wM5unrZF73pMXWQVlQ8npZ09FzlYXnSgUFcOC/GJSSZy2uurA+9lbWMbF3ow4ewaN
7TnPwpMmRhqNzko6DZbaiZbSMUWVFNNq7w4l3i8/j2uaJsDRVuTLOumZPd84MUe4EgNLYRpbmK6P
diPT1/LB1mdmMGaFqzBarMjS0ExOvlG4pcU4rJEz6wEZcuRZZFJdW24ibnw/tfbk0VQXnhrqizQ2
/dum18XdaE7cMj8eZSe2C1Zv14WaybQSxwu5EjaK2hGPsdBL52fKarZWWjN++/hTTiynHgUyVjEe
BwlMR+cSy2+l4sVz7opr7hsFzcpATE5EOlyvJ3RbKnVNWITpBF7vIVTMXH398Tc4+TsXlLFhg43Q
veXP/7jT9lM2JEoR/OBQqfxiCNWtU19EZ1jXp1459yniaAlVY6myj34ot7hC5/Icre20NK8xR2lr
P7SKrbKHMV6povYvUDaKnS3aZOs1MvkkOvz+dZKBuS1UW36Osb/h45yxnhkxlk6V5saZZ/F+JWV+
w5xZ6jgsLAvP6c9noXwS5PuMbbUoXXaH0kRNUevpS11N0e1MDseFitIX2evOmV31mF3CMdjigLqc
2/lk0reO1rTYMtEc2Rwb0HTYu1xEZKg707Tzai3agx4H8hyN7m/KPnj5oqijX69X1w6J4ihUHOIi
/nZQ8HUWhAhPg4P529f9Y1DYrqGSpGw4K2n4MIBlYtQue3nmU46Sn5ad3GLU2yBZeegWK+vh8447
UU/uhKtK0rbfmNnUBQ1FV/w/aPp2WmcYF5qaHiYu/V9npBH1uk2ndBXVhQq6RK+sba6bBEQYOrmM
KCOLaS3T+LtwZ3dXNomFH9LyzszYZf8+3AX4zm+3zyUag3l7+J0JxMUw21MimKbqO67CrkaO2Tuc
qRXSy49fw/v9lcglQXCXw92Fju7R84kKq9IMxfOZQ24nw9zmyTrNzedG6c4zvkEOFbZyvn/8oSfH
ImRzkGZEwQoYX4e/sCsovbVS1xZBin6JlGCENZnpZJQB2P8S4UCfsaZVFhz52ctwmVkgkjpvpKMj
ge4nNqLWj7/S+/1iqckIyp6UGJgiR2eq0qzkMHGZQhDUYaidyNCkJGRlawvtDSluiQzPnKnE+7sb
CBaOl+AYzSVE5mhCmrFDgcDn0YtSMx+GSSIMmYdZuZdFN1X9bqxlLCHuWgl0TqGZWQBpxZ/2URLa
JdrNknDEOPf6dq2TQJ8HQHSSnevMsfzi51FNY59mf3rnN6WfbOnNFZBVbSc2zmy1J1Y02kaUZSiY
wHp5w4n/MZELLTLcbOBnuKMx3Y9pmhLKqnycX2O7g+eR34hwSDF6L8bdj1/a+7resoJQ+3irpvMQ
j5Z8jHNEwmILIohxiB8SjHK/kq6gfUYTnDxcXRsT7X4xgFy3aWTbv3Rzmp8QSAIBjWyz2Zz5Oqfe
KLV9yrYUN4EjHU0mBSdN1qNB8cgqk6epSe2AUq8P+3zWxi913uDWzAyVPjdTJ9ep7XNAC+tYP5Ov
ccytWxY9cKowsBHlUFC2j0ZWomodqE1EnSYy5q/D1KfOtsO3c5NAdpt3HIPCEhFfZl3lHQrHXeZN
UUJLXcjyzHb3fuu3eK9LORsSD7zLo2mltLDzOxdmDNKkZsUAKQOponPXkxMLpiO4rBJ1AfedYXi4
nJSeUr1XsZxMIALqld2kZLeK1MUVVDl/F1X3tqNAxeMow0nDXzISjj6MhN4e5pnGxZT2eNKm3mtf
Fl8mIY3PH4+nEw+PoidPzdTfyGNHrzFzs8Q2omVmlWFzEZegBjI9T85UpE9tkaDThA37hY4D97TD
H0R626gsaGUcyvEIguCdPs89EtqLiN7TK1CFWFy4eH8DlUNxmCMjRaisRT/FNAztauzzV2/AAkVL
1f1dJBFwb93BSM8/tnSFq0UOqVw9f/z7h0P5w+R26MIjOyZQU2m08S2OHGck7ekEju6SV2OdWdxO
bAsUDS0KnpDsKAgcHdfyoqEKEvEpWjk4644VdZcglH02q9i95lzbndsUlhXraO93qKHxGmiOIUM9
2vsx78Ne9MUyuioWf8A4X+G4IOyau2EXtegRcdthV3D0jIpX31/ERuxssE/OyFkmnI016reLgRok
GkGv2DsYJLbksImVz5X5otLMa8sHOrZQM9ozJ/BT4xWAmWAQ6ZAojsnHYiYaqXZDbVVxg+Ka2iZ7
TRG29fcvfol5Y8LTQzX15UTzx34T94iC7Jy7bsVyf9nOELpdoz1HXTq1pNjQVQnboJ77bleboyyx
ppAzWFeFqLOlA5ei9s00QB2FU+zjn3TqwzxOpwwyen8oCw9/kpxtvYA4rgGnKuJrJM/tRdVRX7Kq
yD9zDTj1jpjnyA9YVdgjjiZ7Z2bNBMKQ857t9avSaImP7wvr/uMfdOJU6QBXMihKU8Gja3P4g5CU
uC2mFW01In9ecwlot9AW6Cx3D7Irg3RMzu29738XTRvmjLfgbrn+HY0Km7ZUbQ5c/iJuuavMkvWd
3WvyzAh//6JsENqejWj27SZ7dG5Ff2dQ8WA7Gwcd36XmhqgaZ8PdGG4c7T5+hqd+EQlZ9IF1FgMu
SYfPEP5cG2stn8UNR8cIisAIyey5wNcTp1CqeksOJJESJAYc8wczFSus2Jh3AXhpP9rckStpkPAy
O82EgNfCtpzm7YOeRemt1mG1yWlRr3179oPabgHSpWrYp67WbzNyNQKjHX7A+/cfZVKVN5aYUxzn
ZeifOfmdeBGOANnKzdFa2h9HB798rMyk8BlgHTIXrpAVfRe3n3xatqH4+vGLeD+YKSZAxbNQYXBx
Pl6S8elRMgE0te50F9BGSTNQ4ZnEb4HFg52wjR4Tb+rtMz/xmBbIEePwc49+o9+Hg6zgJ6y1iCqn
3ZqvIF7gORnpHPRLFmw56c8jsFxjhaTRuSMv6rXI/BnPs5ZV27HHrq+yqXr9+HH8uwp5uEfxxeh2
UVyjk01T53BkFg5RtsoHCO3ocVPfd4r83Ge9BiN5SdXFhm1ejiInNDYyfnsdM5NkPhh9gdv2aX1v
12OJI63VQIQ5yB23aTw0XBcANT7SBHSsPS8+53Y9WfrnZeGtVhPZjuMa/bKjcV727Y1fp2jqKn2G
wICCNYYZVIMoXnteBs8i7fw2uxz9ebYDvZ8Rw7meKQG4zLORBj3cKX1NBUz/lc+d80DRnDvvPE3D
PTWsFMlJ1JY/xspIUEMONiYe2k1WtgqlKe0131LZa3Iqk+o6d6mFsusuvd2+QtII8ChVL6BY8njj
t4aLozicK8SaSGivKC02kG98D11NNmfTDyka5rSHGAV5WuPb126YRXZQYIlNVprrx9ig64T5NzQY
VZzQNz43AEq9K3uqEWpzZqPrlehSJ5EevRr6/cEwvvca8Y4+xcuS81qsW9uMZzIHuow1RA+aZj3R
KI44y5CktTG8ybWxe0t0hh1HZxr6pTC/uk1p/ew6cPT4e3GbReGI3TW3x3FX1qUWSEOH6UT1EGhK
1Lmw6ULEoT8ac6hfHAoV1swTnsISG3CcNIRhCM6uq3YyOx/skukWW7tMUZiKtO0ttAcYvFaGEXqU
YWgKrVoZ1xPUuNga1xoBNjBJ2iR/KKZUfunQcXyRqrgnKjm9aBOnNTZeWLS/mk4YPzJ8vC/Q9+ZP
c07ADQjN3v7pQTHARUuZq/pk6WWNl8gy6xRLRQwSpVEwataNhYwu6DTTpomOyerJGAe3X+VuZ3ym
MmLOlylCV7TRbjqS50DaDRJUkBY7aP/IxKeY8KtAjL3dr4uxFp9c5u693sJBWSWGp730ifJ+pHVL
ZlnpRfGjyd811kp27bzWw8lasorq6VtnUC+HWqbhwm4wqdm9A1qwEBLSZtYaZnE5WO7AOPMiFNQM
88hZjbYTPqopF2JFxKBxPYEMgx4i9f52VEn+PUuL6Ta33B5ICHb+C3cy0osm50Q4lxIfLQXD7rFK
09jAS5yQf0OtFihfZkrjSlVV626wigGsqM2qjreOgV1vo5tzlG58cPRIisOQcHAwm5DjrB4OTzA1
dfhqyRnDWVFYaFFmFTrxWl+A3nFRxzsJCsLBFjjbj/aoRT3lYKfGaQMnMEIJ7LX5TnqR/FkSCP8N
DA3y8LnWhxYg4ZIcI7O+/pwXaUkWY9ONMJXoYX4f3Iwo47pMAEXUkeXN664wLWcnaRIVq3ryy3Yj
nUQVsIIaFpXGN+Zir412tkxCZb5kbVfBFzaUecX3FaihQPf8xqtVPhkDd8/VIGz4AdDepkvos64b
zDDvsD5PRfKrgi5IqpGuhV9gX1bXpfLwPfmExn7Tq3L8YlUQZ1fuTDF8RelrclcU3pqM+QvPYq37
Q3EH83GpeFGnfCLZav6CD2Z+GtDmo0jHrA8Qthd5TOro3H/WG1TxqzG2u7vZsBWugNkWX92RpJ+E
JRu/eJcMD5QI5ntfRQh+SmQkCnTEbKod6gVoCaGprPGy8Sy8I4lqDSTDBpyRsqvyH0iQ4zHA2Dht
7Dq1nCBKtOkeQKD9vRnz7g63CP6L2hr171Mz5G6g+VOGmV9v9JQqaV2vvTaBaNfa+otKF8dORqDp
PXKvBI4PghBnzTy2ecS1hz+2quAEB0Qw5Q+TZ1JzNLA8Q7tPOvcSFlvfBlZjDTf50IdOYFtjM12F
2oDKX0+T/CnCvurtqHhZT4boe3z5TZY+wHOJcTk7VNnD0PJeMdpnL4ka+kdLjHLeQxUX+O1dZvcK
yVX/osdl+LYAYVGZ0ua2dZ0hWUWwDxkfphb+rqStXmAumNmjY875F1Zu37vWLa7NsOvq6kfvhFm8
dwetkatxImITjVf+jD9jLrYN3jJj5Y3J+AiwsRg2XF5puTRqiLQrrUHiuyFCF5gNKL2cjIVxaCVT
s1Kw1nIJnzTsp2uzD+MbrQn1V+w2EjLYlKufKpPYPtKakvSFb6cJgFirdEA0gD/+lulZ0ZBmNLVX
MZt2fmmTArLO/NRwAlGa4rbPW/at3jY7Yy+UA5IgNcPsjs522AYIj9CQ+dijcLhQwUzRGrGWBqlQ
2IUqwFkctTUlqhXeZsiwKnH9Vz4gNPnl8Ja3sdcb1QZoSfw8eXMrdpA8dm2KszY3o/gymphwSmtp
eJIwgKtm8JJa0FYnECioGIJqH3mzdtvBkcXmblvRj9lSBQZTaxK3BvlT+Hr8tgIBjFVspcFW/2HN
ljlRZTMLkNpErdLw1NslqzHCp7lOvNYpcUVaEM+scPC+O8ASP+dO7bfXfoTNE0dUjiepKeIv5CXh
6h4cS9KJLSz9XhQzdeo5msx41/cmrUsWh8i5sBCsfEtMH8OS5rBxrJSh3E/SMGjTSj3k39PKJhar
KnT16xYooxbUulbdRcryk3VCYpC+E4BXov1gjP6XJvIihBUJhpdBOQ4LTNPKG5ZmvV2FFIPD27w0
sLoJbPhBkQuCqjq7tO4kkEZ7Qauh54uQy8GPq3WSMrNsJo8sBPhbQJrom3CLsy/Bux/L0dhEnZcP
1yFv7qfdYh2kqmnldL5C9xHkajqu8pbYixW0veKVMyGS3GLyOwb4aOnjyrAn81VJaLXrmDOftkba
qON5wA5HDJ3msfKGgy+Qr/upuHW6wb/T0r5/qMM4vnXmJrojrcpVl2XH7BU4WWCMmYZ8aMsWoJ/E
KZitvRHdIwScTn3j8McNpLYzkWIYwsSPRSLJxlXdSNhJnFW6e7g44msGf4pFa1aZhfrdcW/zLubS
Yg1wzgaAlUPd+L/TzgHpJWh/6rOKbbSSoIBQRkVGuAK/AhY6mfRxa5rK2Nu4YPpNLDRkMEv289al
g908ZEY4Tuu6BtR3z/yIMev1UVitK+Zhvsoizfs6qSzOL+s0LfOr3LLGkazjAdKZS/osipZcz9ug
i/M0u8hs3bohSrsy1rXbDKASibBvVgIdQntjDw0ZUXlTZMWmsXPfDJqhKfsdMYODt8MpnNSX0ksz
zgl62kZbLdTtdOePJNxm2aB6nOiDfM5bLX2sEuED4KbrkK/yTrMAi0Vl+6xXJuYTa7ZHgzNLVqSr
pvejbCPtNFPBMPrZC9opS6yI7NQ/24UbPdmVLMSlcGWM59A1ZoJCAD/1mY/lu2eofGqBD7WoVD1C
1A1zApA2DtPNYjXnHgkfDc9uZQ5lQOQITqBRujmEBKdzTSwfjT9ig5/lvsw8twhMXzKuIcK5CzHA
KMBGdYV7nVcmVBHOVQPHl1jzI2iDnf9gFC6GRWDA4c9x7COXkI08yvHX2GKBlNvonkuSTX+PLpEf
e5/Dyk1eAi22QwHp113kDphnPPGD3VN+ZjLZcm0iKb8H70AgdF8Xn2qDRMWLWoTtV732yzu03BkM
N31qdtU0ZqgbxMKj7WoDpGqk9c4mqts04Safx7cWyR/cnWtdFdftPGgR2JLQaDc1WQB7SCJpF1hk
oxU4vXGJbfNusZ62TpGJoEK9BhfWHUDiWRnoyiAt8MBt6rCU65banIN9acjLZmXhofyMwL65Nbju
yA0nFIr9um9V+iZDMkYzYoqzeuPpeTgGkTE2zSo0mqJYoXuw1N42Ff/K/4zmNjOjAfVPRdws7Js0
xuDUjxrQHQ4n4kwJ9NTVnsa4S36du4g2j2pHCu1V2RbwOXhX8a7Wsu6Xm2EcS0oLzOKZuyw31Xc3
WW+Jf0F1b1NVPLzJ4gHiVGv2bD9NtbjPMP5PXdr9LjUYx0IvxJm78wlhme1gfnBoub4paY/KVGaD
1qAG6grjJwOa2YMpImN69hdHuvwZxsX05Ng4gYRRNCTFevVdo6DODjYI81Zjgq8m2Swx15qUu2x2
aUB//EROFTsc9OYUV1GM4F4/fCKIKPXK6UAZqYhvKcc4h4shcQ7Oo6d9Al+krzFHqTPv/H0PkS3S
QWmlk0RPCfSoruZG7EqMZD7VrIYrTRqLPx3WT0CDb952kENWiWcOpC1WMjtT4n//2VTXFiWpq9sk
Qh5XRCGfhZlX8tntnEIAzCZv3+FDxr9dvnIaDT/Jggv6Ysc+U/U90QXnk0npWlw3CL7co8FADJCv
RjEx+pRdI9Lvfw6xRVlD4dE2PCNk2nv2RRhF1XcUrNllrI8dnjsZ/nIcGZ8pbb5/8e4iDjJpodEF
p314+OJlovlmNdkYM7RpuOQSVFyaxBJuZgqiUDpU/oXueXrmvS+j6XD+IZVFskPrFiErlPDDD9XI
HoJThtTTjFLzEusL14WZ01AFYeCaP8h3H4/uE/OP5+3zwE0oUCZ1l6MP1JNBQr6hlqdVwLD6NN9E
FiDuWXLmZGdzQmNh9bJf0ralaplpAxsL0s/4wdebEsfkoF8ackDMZCV+vJ6Exdn44y954qGwGTIw
kKzQETgWAU7p6NXwncARjrWzmiCZgyW7jlNzqzfGz48/60SrGL22tcw7FDKoipcq9B/dlImE0kKW
Lm6sEWu6LYWOP0aC01hj4R+9tUmao1j3vhW9DLPUop0Z6362Ikqk9DZnvsvytg9HAy+G+j3hE8j1
sekcfhc0eaAUFi1K4kd2f13imIaLWM/idsoxbQRAptytlzkIlEq2HytQ8D7yFcYM76em6f7Z/Lf3
JXhPX8RSOtmSiKDF8qb+eDiJ6Wk1gS2U+9MWXlw+W4jbOW6QouzdF3FFubuI6x1ESY9D+qwgcprN
thnCcd+m6fh1pDK4GWpC4j9+Uu9HyPK9aEshocIOc6zNboX0TdUzQtK8yAM5dzpmOoWTKvK0PaFF
54SK75dIpLD0IrCbIIul63r4HHrcsQ0DkqZ6OXkvihbWKulhlWFHXS4IkeKsnWYDGp0lEv3MdDjx
EtAI4ShgSDi0F49eAitP1ZX+DFyvqfKgH3N3M3HnOzP4TjxShh5zAUeN5XjvdHlYcGdj0SjGXCCf
MqTXn1oBGrAr5+7Cyx11zr7z/pjDPkeTjJmCspk2z+EzhVfVIHNiox2aNrqzYQUEZVqC6+qRqH08
XE58FNm3JibRxQGnm0dL+1iI1sB2HKEWGmYM3l26kahqVnMTynML7PJvHc1hnKgkabHw0fx7W4D/
mDKRi1NtjHWODjIurpyhrF9iq4BGDg3Ku4nHSE4rCIrddYFvfz/N4rcYE9iLbaKv6556MpnM1aXV
IslsBhj01G/CrTNY2D/x8E+XOYLZM9/55OMRpotUGIUqLdjDNzH6EtEoPLI1laz0F2jNCcbFYN8n
+jxffPwm3vd0aFjzrgFaUsh2Od8efRYOuyz3ypgDnKYXd+2QdV7QV438mcYtKB3PGfOvpWOk7WUq
rYj+kkji8bUBwthv2rklTw/GdOwEJs0McV/HfuSfOQ+9KScOXiF6ClLB/KXDg6zx2KFo9noX5pCQ
1jMtQ/USJfC41hO2D38NIJIyObgile8co4wnchyEr57RG3VoizM3DKRrg7BELdGiA2GN3zZ1U2ER
rBvq1h5zOQRM3Wm3TtrQrpOQ4Ko1nCkBoQcjU72SQ1hOl4VttjcDdJps0+eRhDmox/JCG0IgKuBo
pbrt6FmIMxPlbbc7+umYipa+OE+AVJ6jtQbDP5dXQArrlsPmbtIaDcqy7mXfqESYVTB7Q5FuqCa6
GTRqK6+3bK1UwpATqhsMQajIm6TSgEZMjvvYkYBmfstpPzyaSap+uASiEf/gWzO49J5Xv+IUNnxL
i4ofr4+WyjepTGLSfvQk/lu1DNVMHLc+c5L/6G8cjruGsJGMU3AMRJ0Ln9/a7rpu1XRGRPn+eIWu
gFubSYSXx2nSORrePCkvMcBVrWGy1Ncgwn2560rVxUFeWO2OhDFtflZtWFL4JnJtjxKvG9bJUFcB
JJgKPWNp+1oQyR4fN3WPUGxGT0L6/XgavttS0CV4SGvpYAofxsXy538sUg6FbxL/kHG4BllI0dAB
BefaeWZLOfUpRJrCn2TzYiYdDSYqJHbKZKWkFBOBpiEEJNlsTolY/vjXvFtyUfcLF4czK5i7XKMO
f422uKy7wkkAkNVxYCeOsQqpm0A878tql4LVuBqX3tEawmp32dpJZm8//gbvzgd8A54nhm5UUvo7
4c8EX8ZsAMyvLVFp287Sq5WLQ+26d2UEDcTsJchIw98J2oafPv7od/s2H+2jl+L2hoqW7vzhj5c0
4QcCKOi0TgDdJtwqN3QcwwcWHeNehllx5tJ24qUud2N3sV1BSfCOHjaAJB3dLaWXvs70C5lbPxUO
/TNv9C3x9nAdWizf3IgWT+dyMD/8VSH3c+CYZE0mTmG/ZBSts23sE6Owbjk1xJu0I5GFdiXBcKtE
H8pxM6u7XtWYcCcqTc0VZbXxrkq64YdGBADEJ0Xf2AUAO+zHssxfTNeR30MtHlgHqo5qeyem+QGh
myCuxu3drSA3YSA1oDIJ2uKbfpO14WubIcsgEC3cGIfJo4H6avSu4Ipku9VwV6kahFaOcpLuf6lp
jwliwfCXRw7suMdu48BqnqTpb2jThsVqQk6cB5mGXACsWNHPG8rQhRVAM4msLRu95BrGTvUiQkzZ
QUud9R529VQ9VdyO1ZUUGUE/dEd6UoRg83FPIdzBgJzaFyWI1aj7QthAagRxVJPNlcZxNfJEh0rs
+mwGSZXNZnWnaaHbB6PqaGMBunTuI8RYWCBkHj6lWju+drVTIyTQ06n7WtOOvrDdGvgUd0JiB95G
819RVf7fjEdfLp7/d2zK42tRvf6P/1X8apMfryVFtV/kyfTq4ue//rH8xX/TUzQOsP+kPrM4IihR
LIfn/41P0QzX+CcKdIxOKOlZ8JZay3/4KZrBH3Gb5oqL94jd3eWv0Znu43/9QzMs4CoUX8icQN1j
w1/5G4LK4WJk4+Ti23HQRlG1tA/f0Cd/7CvwPZvRskf3kZuDCKLFkW1P0MayvNQvQhSXZ46Tb1bY
/7NO8DspJiKvdnEQOBYi+KNtHVOA35D8Nz65voJnlCDGRcFrxN7l7HdD4E2WuLabLKJyYJn7ilv8
rlMarDGDWuplGo7gt4bEBoDrjdYFQQjqV1kPXwvPjmhWY2R6aDmWfDNVBF6cxD+0FY3MN2ZXJBcq
HdNXuFgRbik/lZelXZoupRKv2+lkKm5q2RRf/xgUn/79w/5klhwuvv/+uTa9fIu7KCWLY4u9ISAG
qmLsAVnhehCaTHa419xzqy+L6+FDRX6LWJkVnmsTwJ7DxdfvacmYPQwZyFX9bZJHJM81sRGwTCxU
s6iurjARnit7H1Vilh9H6Y0SNFVIoD5UqQ4/lgjliuhXUobbxgRJnQwuNC+YdBa5XStUt1lQRWSf
OH18Xbryh3I6+fTx4xVL9ev4lyN3NnRuwKidj3X0uh6p1hJF8WQ2pbiNkIOgw+j9VWsXtxXMsS29
72lTa0iKaYvf63E3AH1m4OlZlm2yzhYokYFROHmbfc2sihj1Wmi7BJ/6pRh/W21Rb8k4b2/yVon9
x1/+8BbHzV1w/PGpWZtvJwLzaMuM5sE0c9Blj6n+4gh6FdqlyOwzQ+N4gi8fwmGOIwfMeXC+R0OD
HaUhADfTHp242DnJr76od8z6nUw/v/2a/78R/AMwwh8vNnjtX/+z2N++Fr/+9Y+LLn8tfx4RtP7c
AwBlWQRls+YhU1mKNf+9BwjWcq44+Mo4i/5nnf/PHuA4/3Teor15c5hRUCT/9xbgmP9k6cfSjs6b
Yc+fHCGzPkRoHc0g/BMGJjo+C2Ek89nh2/15sxhHJ26HxIo3Qx5SDoTruS5qFID97E9rSJN06Dra
N0Li4NJ72ZFtAps29lDI9EW0gKfUFBjKJ/JcT3v4SFO96QDAEVmZug+Zj/huyuhS+YUGs1Khihis
Hly0BlpT1W5OXS4f4S+TDKLXNSR6MlmD0i7Qb5SCPMzGQqtB1lyQg6e9TulFrmHiIx+hchf4hOYF
kAHjFyDW89afM8H5C73cHy/0xCp+JDnGsoUuHBUBNd7F/8nKd/iQbJhc0i35KbSZm9sEbc2AAgpy
cI7s4Hka3Ok586zmomdzuR29ofrZjWiLV6z8MKNcg6Iv/UehfZqL1HqOorB+1jvT+wQQWnutaN58
0zpiQGVWnvMeHOGBlq/uY63ArI1dG5/XsWvVmKspQXqrBZ0iBbrq6xT2eJ9WVx7Y6Sef2LAHNZfp
C9pHxC74YO6mWdoD/sGs/bwsi7vEbOyb2XCGfSbrdheRK3anExZxrmzKgzxczRdzIQwN2oz87wpK
t4eP2UkdcuIGEhAcKyoZHr1haoQa4DH46TrwKj6h0a+aGzHQ6bpdWvKCIAT6ARd5PbX6pk8Q5m4k
1VL/Ux/mOdIXDURVG8wDgPhvQJUL4zZ2NZE9l5rfFcEIA/eaI8ngrRvkaMmFKanl7dNxsponGZLs
BMB2bMugUInjgY2mz6iRMhGP5SXCgdnjSEGLnHE8DmFQl15qXyNLQnkaJ+RjveShi+7EHPB6pC75
ts8oHzrUBQBEH0Vc6Q9FqdfP6RTr4abSpvlimjn/PVLu8QwIBrBbN5TU0nkPyqoiNCv1Hy2iA9C7
p+38NSm16lfU1ePjnIqe2GsP2n02x8M2ypt9QfJPEHZpOJBd2zB/MqDQ9xhwpu+V0QwCyGbrv7QW
5zzfdOBNoouxaJeGw2vRdXBqQk//Bcik4mIRRwVyXqdpu6uBYPQb8qqbLwnyz33b2ySCjVPsPGe9
F10nDge4PWHP6j7XE+9B9q72YPdVAfRyaL84jd1f5Uir96U04x9jJKpp7ZrZ/GWuC+tWmUm+qagJ
fdN9KUuiqNvoUpNokFhbnC1agJigurG+n2cHv62D/28fl1V/V5N6A47YI2CpbuM7e+oEIQQR2gMq
WHm1tvVQ3eaakW8HZaQ3LsfBGz0xjdsCny6+I25OhBu7RftswUS/4uAgb9PQaQPdBeZpj055hf7J
v07DxLKDWBPdpeul89eqrMWDg3Z5CHx6QVccgeQNRmzRw84mNdmb0kQh2C2GnZ/21s5hub2s43go
iPYt688heRBoXsKiARKGxlNupGlrLYq5ipiNxI6dFzcZzT1nkumKXhOhhr3uvU5tNd2h9/Y+ucjw
ui1WKpjZYW/p6iFvu+Qxph29qdveu0nRZDxObqd/gU5LhCvRIvEFIfRjuWu1SOyl29YXLvq1YRWS
+Pp5ZjH4XBFE5q5q6YlfJE75foCzedgRx4V8O8qoxuPz9nQ850VC0lzsha/yv9g7kyW5kSzL/lCi
BPOwtQE2+WQ+0OncQOhkEKMCqlDF+PV1LCq7OoPVnSG9701ICEl3MwNgqk/fu/fcTrnnrrIqaj7t
NJcRV9WhM45K5eJNhkCMzDy3fjb7G4NsLE30Uh9LCKJ37A0q22J5F9M+GXWcHDXuWf/USgvJGFzc
5g7GW//O0rbsTN93J+opxJKZDXGaQG201ER6HrnO7D7Gi0W4y7wpJNclFhFlKAzp5FnJpCA4Ox88
9Co6Q061whV4zJhmE5xAI+a+m738uRuC8bKss+vs3HXO91bmVL+YnyLsyrpcEM3tBjt4w+517KPl
W0Eb8LPjPhwqXYgfytLuvo1ah81oRgXp1XV2s0R7uGmtuf9hkqj+VN6cX50ymf104RKeEZ95DzSZ
cCNmdiOPwpTZo6ni7l4rSbzxAtpfKb+9y4u++uYEplQolyUkmRkNwpmqeDwMoSM/obPwlQgKqLlp
MM3r1wwzyhHBUvPqza3dbsKmIeKyZ6JOiCpZyddYBd5rQFri21rSGPZ7XAV7IMHjpZ8qefRckiM6
BRgIPVtmndsiNI8uGr+rIczkYQkyor5KkN/NGOifSebII2tehtl7bQjLDK2LKUaaKywu4psa5aDI
SSC35jBVbTIeG3ib/s53TKFgcxPQZpGaE2AduIV8hRIpe+yt5VOoC9jQDRLyUwbX2D6y709vUItb
kgedUXCBOwqQEEfQWTZO8D10lP02TcYMWPXt4E5Bpkb7GKgzDPHy8mcWArFLctmCalfEIjp0zglr
8IAH+iiFT3Y4qxfuUJxsQoKOSLxi/tRwChiz52bN9IXmodippkVcMhTdq0O0Lzm8uXVtm5jQKnBw
MWJf0ou6bhw+b+FQcjcjDzjPIBg2LvTsPUu+Y6gI8uGU5431yCqkzWVdRQN5r5jzj7x3/ZQI9Fug
d1f6ZxK8ZNq6PedVmdfBqfJNS64RNMAHaVVLyvFu+pIY7R1cBPqImTNyIO0+JyGDAej4iCqxPePN
qvrDLYcp32nSpl/mQPgMiGkWHQYvF8zRTeiehN3kfHblyC+W33nR1kOgOj86bJ8vgk+cbcll1IQY
l+KqPPj2K0LK6BWpfsS2SFTgwfEQpnWuyF4XpdiOZA8Va7GD+k6T0vawqk6+B2QYg7WzpvathI1f
bgOnG4+RmazrSGLIaeAeUy+hXX8PfdqxRQgyGjEeEetNTHa70+fXcgmBBQ+ojo4zYc57pQLnNBMH
9GwWFySlPTQkIE76pRkJA8OVj4g5aGrJTMFa/kisrAXROo/YZjDexGnvWxjIsrZ4KtbGSbE9JGcH
qeBysQsPxLZh8d01a5RD1ZfW3Wp5+G2STD83pBX2O5rNBcy6sB7ujMNEfZtp5bR7XRBDkUUJwb3F
PFvhvpZB+VB5pjnAJhzuETj6eyvoywfVk+beoQK582qs79j9SW0m0cq8eoUTrhdofdn9qhrnXANi
eAUJlPm7ruzz18hboZM3cNafdTTq/eSRiMvpc/ppoF53dzKYQnR8WZuQUAByJhXN2j/JCZZIO1A1
7VRN4rAOHEecZOX5/T6cGGud9SyQdiFj1EdLWKgoTCaJUOT7zzK0tkn92hMXk0Zh6V+WeHa/kElZ
XbzG7Y4ZDY93K2IQf8LDXzKJEjVhqaztzbYEYPpq+9o6zZU95unoYLrjf4d7yYaYxiZ3blFf1fDu
xet4ARzWnUguy9C1eAMb8gz0id3C6pp7gjz8F1cE5TnzKnmpVyZzRLaRFEcAnSgv4aiXfUSVdFpE
4B+KsF5PIml9Zhz0j38A7ndea/CT3zI7z/+g/EzikxXRMygoqRnwxn53ZseYj7JJrImkvmIlyowF
GN3k7D3D3MoQw8tgPykSNkoZ5E8dgswjl5WpGr5l5131of8keXd7k7l1sVuGMMwAgeXRXcnu+sTA
3jpYpWOdPD8h051khpQWNYnCemle5ODPcyoYQ/1K0KOmSFHUC2b+LoWd6t+R0Vbe12M2fKtz7d0Z
0bSPPjv0QzdSH9PN0CMvAML14E7u+LPsHXnpkgJ+jscwjTQcI0i+zLInxWD1orJqTpPSIXR5bOvS
2fql3+4zGB+PtD/zT6c1IEadtkt9WVv3DuEoJ0FaDT0fJ+50yjGuDBiGxeXXKLa6J7esrTQD5zKR
k1ra3+fM4UwXQM6Fux6yFOBOjY6y1uqyeqa+F5nyjy2hZ6cy8frLsrj1Dytcon02Zt3ZCn265MTq
uK8608SQOMi47RckEu2D3bFlEioZfgN4s360kxzDS0XooyQBrKCOtsb8F/Eb+tEtxLorq6G5L4xX
fgmrOb/z4kK++TCMzr62l+OIuYMIZtbgQ5RH/Skyub74Rqwn9No2WscxE9e67IhIRZE93kOAz/bE
zhXRhdCVsudLPC+HQd7SaeI2+qx0FVVpZU/NZ1CU8nFYLGffURpgn6IxNvczaXNBJy+Q/JlErV2X
0ZYa4daaviy+YxchmySuyHSuraq/G2rlpSNypGWbx4P6sDNdX2wyyKKtEkl9mjvfv9hWTFBWYfzH
phdK7da2GTBVNfTjgpvgu558UTysdKCe7GKsxx1ZDx5Q9y7nu+tG5n7IOUinUFHVl2KJ6+Mt2f0h
xqUFF7+1KyLeAgj/CpXzS1jF1TuKclYXWWj704qc+hQU6g/h8ekJ+bGfy3xIHibyBLHwRW55LrVv
SKMS+ppJVe7gKq0vzSqtT017eNwnmczjXTg0s3fGd2N/AJlL2mPXKVW+wCNZNnopym+hPag7d8Az
wrhuFlfG1870GsvBfvTHDBxuL0TPCFnH1Q9rUVrer51IfpC7MFFw11508YkD6x46vDd3FaWcDdcp
iIn2LIvD4BcYmdoJJGrQLHO2h9o2ngZbmV+Zjobv1S1zRsN+/CBahRtqjVFoH4tlnFNjOFZxBJ1f
uohHF5NFLD6Bf09nt8v7J6dwxGvnO+0voobMRUy9eB4lISYs4cq5Akgwl3jiVuwt34oBDVmxOU3L
IvyDHAKP1cANX+ZoAYaG43X+puwORkqwCBK4wiw/TRxNu4fKpUDd5Vg4cJ31omgRt3DI3ejYHYm4
bBMO9FqROZEz+j5PnVoD8knc5o7ASfJUKtcav7Vh1v4g+hGrXQhj7xtwUnlwZNL9Ecm1/VpaS/cw
uPCY0zxxu8cSMVWa8NNfspCNh45OqL2toD99NmgcUWVOrdg7dayubiiq6LAOJaFLTLKC7aKj9tOD
8Pzk91A6vALLJGbS+SfuCvlazdp9u0Ej1DbL7VuYOEYkfYirxPlV5l7xRNiuazb52ow/rDbyDfGn
lvfdjXKfp8a3g30U9zc3pHafcfJ03cHOsNZsXT0FaU5U5IUjjvWwhiRe6SGQx5rsim5v6zX+PtCD
qom2Jth5I0dt2g1GPn2fmcp/Vg1BRWQsSoJFNH4gajiE2JaheN4waSc9PF+IUQGOERB7GDvWo6/6
Pt7WuiUtt028cafIVQ+3IkdRvBVLE3PGHl2aMmCUyM0NG/kC2hEtZahUxa4bzVmTdv2NHIBTd1B7
wLWkOXvFXNx3Nbvq5gZowds50W1D+VINZzYt/YWtPLn3sahi+vN8K1V5rS6Dq5zvimCo77PrLV/c
YYleQ3LjHiIHLC0s2nL5g/ZU8MRCZNI89Mo7uy9qXnrEFpHPjXxuncl/zqaiuZA8ad1LKM9PTljX
5V5NQ0e6hW0CjUQ4CC/2MhKl1lQc7GAtJvdgJNYvkGebI2r2/mnoy+jHSHDIm9Kdlezhf6y4B1yH
REYvzgn/Sqp3eKb1exEu62XK6/GoMf6dSbYLv/b4A0js9bPsxXO7+mtslDxK0w56Z/eiuzKlsU4S
geMpEE3s74XS9IzaYmRxJKkqe8Bio77UDZEhbA/+zY3g+hHZSQTAXWdEE+VuChL6E0aJr6E1Mdnw
PcwecebfrDREB1EQjp+OSEzNAzIwlmXfZJOZ2xPEJ76llP5fg3YV7w1+lHQxiZVGedmnbT23L8PU
3eYnxcpBpch7lRa0AIIdxvj5In3dmY1cppuOdQ49CKpejk26lHeTiXhMgDDaHnG5tHDOWUVlAQBv
iciWwj0l0o6Zdr+vfTVZO8Py9RkZbl6JjO3RsTRHthIjao0zSglvV1pGWQ/FYMgpzzunvuQVnOiN
ipr6ye3jGVLLREnljI3rPVpuy5Ma6ym5FBZnKlxSDUldg4Vt/o9c4bh/NmOYB3BhqGo64ulpUZzc
XqzuRQQyqZ+GqfaWx6USWU+yEDi87Bha/NMfTUVo602yjHUkJ9/3GJWrdR8UjvMVHw1nls0/Old2
NwWm3K/K6bNDMkv5rqDbtrt/QJOK7GIgv3Tpw/k+Eip6unnJo+1UBsHzP0QfDJlY2Y60E1h7MPX5
U68rdktOKy+hP+gX7TkuXmHr/4/M/3vyfVMi/t9n5ifzvfl9TsIP/DNpJP4PWuvw4JDr+tENnv+/
xiS3SQitLehk0JX/zBP570m5H/2HnQQu0mKm7LdpCCPIfw7KvYB8EpDtzNCZMnt07v9fxiS3zvP/
njPe9KFICxGd3xSiAdKl32Z1XSDUyg7m0tg106UiZDpMJlLnjOsdCVyDBBmQdvUvF+f/MHWgN//7
y3IkjZjdIdxBXOO47m9zB9cXNf4oY28kQcvrm5ziqj0JTDbRLsmqZNiNo67Cuy5bpHyo6BpFj+uE
b3JT+yxgl6rlXHmGL9IQHTX20AAoXJx5O9oryCU/m7BvcW1/OrnrZLuKcCiGK32RdGnVUF18IH4k
kBmnqZJnW8N4JMSqku0+UuO8Y4BKLKcEYlpu8PLK9zwflp8WskO1Rd9d7vLaJhWS/uT4dayrYkwn
zHHu1k3IeHqqFltSN1Z1thspV8Izxh6+74SSZt6pWRP/a2ANa37AkFksvLV5Giry4aDC0PWgIti2
VQlKQ9UhmiMoohaWjwR2SLUlY6Bcdg7W7+hyy5LukWATsVdv3L4nVdZkYhbPOikztpZ8TA7CGYYr
LAHnEfxHjOmfNeqDnOlHTNGF3hHiOt3LUrdp0YcjSEtvir6KVmhCETvtd0/ZFHUibZputlgyvMXb
mwmuDxZNpJ/IY6u5OlDw1R+T04bvICSzPY2ckDxbKeRHLOP+0W7j6XPQPrC9AAYWfXvSYrw9k5sE
Z3m0uOLT7jQNUp8GB9AEJu/Yri0a3ltDFrpztGuLP8e0nLD2CgkRATtptFmXHK9O5novY1ZHQYpZ
1ZNbSjODs883+5VQDQ8YQZ2o4QmIwji+aEFcFv9EcKwIumIbqmXBn609eCI5DaxzVZruoda4MM9x
J8rXyEeWmFa5nto92XnVD1sYzAVzqYIbvaNx4Rl4hiEJweK+Te61aOseoeogiHVTuSuza19Z4/Qz
Bk7jeOckUVWLFzxfbUkexSC61PiahvmATls/CbuTHzbMRs1y7nPvR4z2OoX+5paw2yIgZI+89KKq
tM9Qbe7BkmT9U60dr35SHtvaAUHGTF0GOrCo6AxSaO6cQNj6OpNlCIyvW7p2mHYTFMzpyVZAoN+E
dIsGXco48xSG9e1fY8HHcm5v/vmH8eqU4xGROh1w/Cb85mydI1S3fR3fauCG8wy5Bs4EOZT6IiHE
6wR8MQq/+ZDplt2Si1CnEkeu9U6TgatGV42n2WPM8oEHP/T2lpoEvY1p4FO3nuYvcynjK3yTstgM
o1b6Ywlmv91ldEN3fFO6YDfFEb2zYcmTdtuOPj9vMY3CrhTNTv02Nj1fFVvOpCL6Q9dUXyJT9PXT
xJ4qXk3ZCb3vBT62vdHkg+0ZBZTlDva1fiX6yCpPaqkqENpMFqMfLobpaOf0TW9jmu/Cn0Zb5a8G
w9SzcTsZfBRtTLD40DkmpdF0Js2nT618jb94dCeTdAq0/5qrMnroBse+V0tzZO5Eu4pWt00jrFB9
BbBk8TdMTQ+AFk6NC3qkzTPofkwn0zUP3ryFmjDIuVekMG08RZFs4KI84ZRvnlRgW9tBxKW9Cddy
vniYob+MSKQpjlyrjK6h2762nviF1m8y5OjNwcFujHMaVgBABGhyLFlK76FgNSZQLvGnlxar7K4p
3e4n3U6HED47vDadYFJKXRflwTsNnnLTtoXPyIFIOMLrBTf6PlJG7QrfOVrzpA8L+JFT1A6frRGP
yPHjvWugs9iZ9WJVqP4mHS275HZnkkXRhozVGZzRDq3321SagzR2keqCHKy4nKL7UWeG54G5QM/J
cykdsCe0WlERPjDDZmWN40jONOPLh6QqvsTCIxdzXbdNDm84unGpSGyXX53c8bZ1/aX1l8sNtr21
nfw8rPHhxlA6G4ZjaDz905KotOmzuxWNw8b32QwQol/yjpY5KE9xwKvGE+KZCw1PFrChemb3mnZ9
x9c198WZGu4pq9Y4ZZkK3tdoefWaMN4MyJt/MZc6BtEycHpa76DZf5MrjIC+DfINMxGkloBjNk49
xei5+n7DeOcwlGSKoCDAlbnLXe8nU+YTc79jW7rg8LRYPrK6h+uWFdyWYrIJraShIx3rzq3yVw+/
IHv9uukxhG/WuTfLJouFwrhFl7TeTrfpqj168VXZCR1hz6h7Pw/POVmeD0MWXG1QBls8sQZn3vA+
jtGVqRl0VV3emSQ4jjGOCcSiD24Jo2+YITTnfnXI5VJBenaXE4f4ryyd05ZmedqbVs3XQLMpWTUR
65ZMPqtR40eBWlO1W38MQZHYrIWkq67TNYlnh5I/XvfB1FydfqUUzyn4N73ReLfneMEfalaWIUtG
AqTDPDb7cg1uCA01qr0EDHQgMyk4Tm1YvS1gfgRvMo+5yD2ZlBs/zL/C4gczDriWSFdnQBpe0H85
92BkX1sTOd+R9+XfEkvKcBtGfVLvyQ++Y5VYHnsN4alrgpjeYOuc/bVuvxeZ7p1UFMu6w6iAYwQ9
7ga8VL7Lo6A+5sTxiE1feRJXmnLjVy0HC+w38xMJQMZnBDIl3T5jb7gv8rphHczXfGfPo/6YC+Mc
e7uIvsnQVeQ+NeW1plJkS6jHMQ3nJXwcnOS7HZAiEMPa8DZYIZr64Dh5F36SV22cu8TwY5t4yHOy
tCkMbLrqozzIEGbGZDi25zCDHpWTz78SRXxl0nW14rBrle9BLNdtTaRBuKWxX+MLdAJtb+pMueXe
z7xwpHkIVGLj2s3CDad8e7erxjxAJAXa07qFHaetXdvXXJh52ll2y4emr4DboMKOItYChUkm++gw
jBgM9cjkW1iOPmTuFH0m9lgfV3uyzzE2pC0BnN6+18bsmrwAwxzOArQXwZpgDcrmloEUKqqJJLhG
MiBcbBlWbxdqq1b3gIPLbVOMkdp0tZZp0NfqRallPQL3gRQAj9852eUMydPRUASWPB9/4FZZDp6u
nK9KOl7D6tc067b150Jt6EQWx5wY7K96CCHEisEg1BuRZGyEKu0v0ZQcoIuBBxXKMEigzWjTbSc5
0mJ5wY8TbFF7+vdOpaJz7oruJZ6j95KNZ6f16ODiGfWxhif2UKK+A1kfHmD6OmTCuigCeo+Wf68x
arCdtgg/CKxe1TwdUG9617Lxy6PPWnk0yq1Opdc1DG+igJWvDDaSre8SKas/tIOHiM5rxhO+GGyE
ZR1eR+rqKxnq9DwYvF1MEPwi17o5yea23iqmqMOmGTACViLCYJRwLr/HhGifoYysDwUiIYHpoirt
fZ4J5sm4jgTC+bE9xcnYPqxzkg4d59yIVHtYqqha+GrTNo+ejdXjfsrDKgOVvJpbqrn1uYAQ+Wr3
uudwksjmFDlekh2j0cHEJInOSyyBjZgQwouOBCwSORV/sH1qoD/GTIdomvszlJH+jKY3wVw7AT5b
gunK0gNmiP0mOBS2XG5h8v1wXOkIHEYLcMtWAtDbGab0DDnK+YyRx0orpqhvxvOscVtX1nKstF1d
TF6ZlCB67yPhUNP94XdZCOjOhMlwGcPVPNY6mb7IW+5gKskcRanvW3LcLFFmXuJRxfdeDwrNH5rx
mdMj/cWViSmdvZEDWTznANGbgWV6wcDUkiKA/nSynRvQZICkEQqbRxoUhfuNsOBgq/swr7f2knhb
5fdySgerwXEzTnZykC2d9k04x/FuhGiyVQzYPuXkSgYydQHlvQ/d+TGc6NaeyS8p+2MITmRCqJN3
0UWvwbUxK+Nt4kO6/tAjHzgXjodsFYEoJkcBOAd82bllALzRXVzdsG0/pDIEpK/GGe+CLrEIh6gL
dbVm2shV0II56r1m75b0I2mA53CF88lJV19n9dYbWdTBdTkddjza5VvmkTnh7VQ2AGy4/TkpRGEM
bo4j+QZsRb3xfCXKgztE7g6xg3PEYPxdj93yXIamIWhwqnSwo+yCjmpkcw8szzoZVuq74SYLGcaS
nm9RXljVnUss1uCB+YWz6Vk1D0ms3HQcguzeZxVHntNGezcuGQ25efkWTAqNnFpB+S1ucT9ynN5p
hpA/4mFlThza+m7um/EKIKY+wEB5q7xGnezFq++CQLRv/ax0usq53Bs71wcL8hgTDBekDGuQ3NXt
ALVF2HSMJO3p+5re7LYg1qLbd+QsB4oe9AYFH4uTmp/XcQ4PpN1TYpSdKvpd0WR6uJDA0e+LRY27
m8YO/Bib/QEc4ni6OYnMnV1kVnrrbBAZHRoIQCHgRyWmLvX6dkbKwMvzoiXFoEwIs956A0mGoI79
bdZyxq5yvrVDYFw28VXfTpAO/EbyhA+1cfKnbA7DVMD6vG9UG33JCU37VSWEKW0MlK5HYfePHBZh
FSre7T5p6O/bY4OioVZWDeHHGpJLVlEWWiGBQBeGUqDmq9jnbskS1mW/Ppse9rtpqeIPzWTVT2HU
jcnG8nOcQ7aRLGB5kBCThhWzOA/NRKJxH83r3lXobiaQUT9Vty57gfE1ZTTj9+kkrMKkrQo9slkD
9/ZAcqS8TNEUwQ3mGHlnmTY6LVqQDByS7igh7j4ydfU/Q9ysEAIXAps1A/WNPWDCHMvBX/b2UmEE
zjlMlJuij8d8X3V2vaN9nb97tLQ/sMaCCe5979nx6I4HS56dsAOVZ1JLPB5IwilfB3JEk23Ywk3Y
rnWX/ApYil6xSPwhGF5i5MmpdwtXj96WO58gS6Fd8L7kMOJAQErvR2+baOcZNjjKgIazJqoNzqLk
pFyK1a1Pui/H1OoLJTa4Z3OUCRiMQViVgK606VJemWSI8tYIN1m+YeLh7axg0O9sbuKkp957AF5g
jj1KsFvseCLd7UyY4QsA/voeIU/5CtS0fvAX8gtHaVauPnYpbgv9375OlUeG/D5Di6A56/QUCr1d
Vz8b3eh0bIbS+7EMXv29ERZDp3yJPvG2zGcZSHmo2haNVZ+UjEySvgLaSC8fEB+Cz6vpMxD1TREJ
+sCjE7yQr+6OyNNM+25Gbvr2FigHZtwms5aTc8mBj2LqUi8K+vCKOwDpVV3WB1cVinAHU5dX0GxK
MoN2w2+NkzfDlv6MYHyxSp1XYL1Mc4ywTTlpY3T0Ocl4Und1MK3RNkaq5Z0KQFnfQSGp77Yl1rfZ
HgCLQixLer5G1KVcPajE95PfLmAR6lr4l7pephRRbMEggYwDyvjaJgyTivMXxZnmQSVpr0M8apX3
rrbzAfMyX7HZE84HnSg7Bz835Zeo9LJ3JZiY6AG4uT3p7idaYLvYyjZRAU/Wor/XqPLPU9Fy9M7+
7GUFzcj/C1u2P9gXxuI0WVZ0xas4SqBtYf9W1kNFt4ppbLFVtFeO6DdXBNmlHM9WvCqkCfb0Whor
2pMTTjOAkPA8uRtk3JyJ/xHOtucPvhvZ0UUI0LBxSMpG0h3f50l6zekWOv4+hogm0mJ1aKVZBhYD
9mCERwxntQa9ZTy4jXMJ+GmnWNXpSRS4kbYGkvi32Uctue2HjrZDkbQ0nmIB/WPr9oEjWf/qXG1V
G1if/DRVfzBSazh1Iz8AH2cXuGnZxNmhqmXNhIf5NnQ09qidlSvYZY2MfEp7JoJ7Xwv/LXY0YA9f
8c/4Uno8vcm48iXyRCVuWxZ/Xv3ZZApujRKXlLBTHOfnPG/zZZNUADFJRQdWDttsYkJE9yYTgy23
gibDekRTPtfllj6g7B4F6YR8CmDFNgq5NVzFpUnGKXJvkxd6TF4krTWNRFdDcp9Frp/CNeHyL8wd
Plo/4FpJ/PrEo8cZ/3UqEsyIpWejefPclux4zrte89Y7C/e/NzI2R1MMbENW1Sy8wRnHen2vSaRS
n2Qt0W8RGe3Uf/ZtaFZxkVBu0/cZRF828FXgUu5aFWXdPhFoQ472ZOFkD4OhmnGSKvlhBR6/wIXt
VrAT3xo5nqRgvuDIDHQ6aZt7AMeUDxd6GLkpSSdVowPKnfCwMPCkvzX1UEePAyzXeYu+jN9vuE+0
WaVssSI6ZOBt6Ko54qLw+uuPBhMW67MEI/xmuwzwr6yXeXXQULzqewtOQngoOKkj9lhmv2LuG1dD
/eCw9oi7caiHdyp/bb604Zz1b462V5lOXQRnFKVQZg4Dzjm17WMAx/ek+vFG+6kLmgfgALwreCBD
iIAnAfXVkiW/ZU/X7UPVa5YUtBvJfIlRX4NpCj16dHiKMn87WbId9mXY8RHxx/L2MfZPMxVSnx/K
IejYNHxxhxDFbPp+9r+UKGM5psKIE4GT1m20ilf4jFO4+QfkULxOdPQ3HV/LiOnnkq3sdpWWj/7U
OsS0dTr4G5fZX00++EpwkPgwxUHduHDX/d88HBXergQ5803X6alHpNWlgzljBIyOEZnoMM8ZhPk7
T8T/eFF+FuZGGEBgYgTzu4mbahrHItXTJows+UGrbrS3iHLdP3rOdzsXqcHZX7QCRTpaLSzmAXtt
utBl2UCUVddmEjC6kpHJfAVsedPONsFnngq+qSk20w4tHWdjtUp2+8V4bcvJxcRvPnqbl0g5BVG1
yjkTuulA/Qyr/u/CcW+jlX+Z+HApAUngUYwBnkBY+P2arpYrHfaP20qQF5cWScYpL2oEP14wP/WT
P9170YQNpcvV67+f+/zPC+t4Ht5w8hVsGPe/Ix0UX7WxbJd1M1YulWVNdict4uKPIpCcIBLGTdXf
3Ms/k9T++mGpWvFbYFUEloNN6a/Gi74t9TAK+kg9JomH9abv3wRWcgZkEMiNyqDGilpFj1YwynMb
9wk52zNBzjZ+Biu1TDc5G6jX7t9ly//VEMKDncD3InGQJw0GFpanv76vVkFVUezoIPzd+SkWYn6C
OkK92NsVxcG/v+63b8lfL0JMhj3oAS9m0sb36a8vloBQ7hCvDxuoz5yuikZ6ZMLMZJD8+9f5/UMx
5mOohunn9mTd8D1/fR1Sh6uK7xS2JluzIts0i5p93xUjLivRsTf8+5f7/UHm5VyeI9djHErT/3dT
Tbs4Zct61G3knxtPOZcMGuBl35a/rGbRB9V460KxMdBFRuv8d+5Ught/u7IOzxQTXGItmZ+G//X3
/+IyLicScmuGQASgGDW8F7pZrX3l+yZk3Gjlj9Qc/ri3dC4ZDRS6/sgwbVg0edRARy/qbbqDNmmd
G8ME8UHnaJA3WRvFKCpdLPqIQyoozZnx/G7rz9lIl82wfmxVPpUcMrCGHWevmiJOxMWCgJglGmCs
3bk2zhppgaAYDGv/f81gghFkzI6hwa0I9T3mSWBrEZW2lLfVVliz/hbDwS0vLZWs+8DUIZQ7C97S
cuwbY5unZpq5iRBnne6NwwUbKmMaRoGqmtl0zWjzi+MWYgpi96wVKfjZ29Y7Zfy3G60OXyqhqRcV
edE1Txb+VKHSDzb95AE4uKXfOYfJvjFrTFVQDbij4M13vSkPxjPcSta1/HsuZ5mlGFnjs8DBV+18
Ew13VVwnv2yvYKvkGpfUAHgg1HkABJ29t0nWUJkURfFl7c16jazFsJkS0nbzUWSMoFxa780dwSVs
6E00UoSY2AJNXQTLMvxB0DVlNOrSwXqZgTKb09KNbPfoqRK6E0hgYSSvcYkiBTlPc+eVtJL27qqI
V/UTSqrtQrZXsavxOuuURk15sOaKa5kxuVmPmc4tczJiZoMm/LJkePdnPYJdPCnPiB6tOS09Qy9V
w3y2j8aZbHGZo0mEG2wT9K+HZJFqP/75G/A88iIDw5gKy8qkos2cl+V/knZeW3LjyLp+Is6iN2ud
q3Qsr5JpqaUbLpkWvfd8+vOhes6eSiR38lTPvpg9bUZIgEAgEPEb74ZG3ssiOEzaoeeN26tS8mMX
kvxkP+ZD1D53k1d9bZeko1GDuCGl5tE7xaiBfdGNhl2TqDQ2ZmWsnwKQgABsqzSgha+43/FtfWyT
graCXSTzE3RMXpBZm8xwf1+ytGkEbsOHHcwdxqr5waS0+VsD2/Z+DlPN3IUICqArlxdLdse7qdi6
9iTEAQQ8QgUplEfYtfD8FHTRV0fVA7hVGVqBSUUbk9OHNBDfM0fiFMgqRd1rdfSU4J6lb0QpOfgi
UIL7G7IosLhJJ+RsQh95IAbuSHM784jvoSKE40uetxvqKyK4vg7ywAioaGmCDo1WCfCK8/lRWDUH
2I/NzjQU53PkaflfiWo09U2UeBb+DoXDyzVb0GW4Dxat/LPjUPy+HpAvltjzTFvwd03D41J7uYxf
LfHizbpS5Oidq6M7PZczaTy1Jue9pmsgIAxr/pWDGQw2FljOKpixkKblP5FVQ1JSmjhNtwiuOCWg
wnSB6Gu8b4haoredFc3XIYxxibg+z4t7jnkClvBUhH5Ar8iONxAXkilP6fkuUey9m+ZgrICGG395
ILKM4/Wx5O0jNAh4aqBQBkRMAy50/lkLECpeNwGPDD2eIki/A09/XyL+Wvy4PtDax7NYSUj1gE00
2XougnRhNqazCKGZ9IdlBRAhzCjjb3hDiYIyCLlff6M3ro/LyZd2ro5uho0uF6Jv5KamzOTn0ivs
NtBA0qtd9k5VEVufTbUpd4g8F9VRN2m5A+Sbfltxqf2yFHQH93ritt/byIg76FVz/UsvhSwkwBTr
PqWFOB+qwMveO/lg/FEVTv7gTZQ3dzG4is8ejefveayr3QG6h8szm/IeV+0wU8mM42o86OEwAPhy
BT4HQtsd3HcLXbzRm78b4OTrvZIodfJAdKbHVNvlj7ELlNpHaGS6BYhRuAjOO1xXMwyW+M/Sc/Ou
20dm7XrGzlac3PCdl/c11vFReOjcCi6WOuROcNtRFOv/8vSOMNQG7iLQy4uJGI5dDMoN6BqidoQ6
bb9reiUuaUuLOoHXVPz94qW6pBi8Kx6FMZH7bA4zf0KYVTE0ArhtH+Cia3Rwl7FTsS+xsZk9tm5X
ARXq85w3r97m/JlFVOpcnN7yDPECJU32C8iUBb2dXUaD8bEemtw9xYtJICvGRHkHJRyTqZdKEADP
Bax3uPxKukKU2GJPfddaecdEwORQdAaNf/ASd/ItEKn13sDk5iOszd+Q+DDKs5EK4uKHQYj2Gl6j
6kNrJZSsrdTsDlUDZ+SmrIqZEqdiBV/iqCicEyRU72ZaQuPPtorHz3gRxuQhim1Vd0ppWPdFE5rI
GUeJGx8Lz21xPRCRqQN6d0On2rX3cOy4Ame4Z7ARpnFocFNfQKJVo3X/950As4MlVulRpg9/F4Ww
4yoQIYpG8ak8l5ygCmPysb//fVpBbnivxjDuH+KucU0chez0zwkxqAPyIyiLd/Pi2YcU1fevUOTt
TyaYGqpHphos38DApLzMlDKnBKrUlM1Jc31r9qzTOHtjd8q8Kcj36tL3wWNSUIE+NXnX1kcQH3n+
GI/tPCDGZJvawQLNo4DntdjMf2NdlmbmJxdFF1a+nbuUrLOZq5P6N/anu4YzktOCEx83aWJj2Vd2
U3r35YzK9cvJf5OwxqcSPkD+f8T/5mdZkduEUfci+vCfv/pfRZjO/kdIQ/x7YKFjcfYXxxcBo/f9
X8384a+2z/4eAM6T+Df/f//hv5UxPs0Vyhg/y77oxJ8Gcbh4rZAkwvP/DhPd9z/O9JTEv/1vPSXH
/BdvCTzziIBUOwDg/j+QqOKa//IAvyHoxiVAnBRy0P/W0tARzHDQwvXQ+OTv8/b6H5So5v0LroSp
Q3F3VBStjbeARM8jNPo+/EkuWjhkFwit8aedX0Jl3XUpHfbBb1t3PjWGFh7iSF8OrxZjBRZ6fq3+
PYoQfzL4DyEEIF11SQIdxtHywefq/Wl1dHMDIOj7sEnVDXHErZGklKFSSqcaacz49FyN3VRDgtC1
KAEijiDa9Umdp2Uvk0KDEV1teizkySbf9XXa6boj1CSqbn5ZKuFBKy3lIYd1WPOQQ64YG/jKz1u1
Fey39utI45Md9D87bGVRVz6dBQ1NrCptcF32FNT0hosQGXEf4yh7B9Ufs5EA/cy3jyKULcjFABFT
azmfpTYKGp9a9H7aGu4pSfroGETcdtdHWfls1utRpM/WQsHSApil8HQU5Z7+S3QXBDOGrBpqxNeH
Wlk220bF0OTVgEaeK37Kq1S2wD6NBwlVWV0NvHcZT8yPqKC9zZL5ZXNgRUL5wKMdfpmz05uNIahD
6aFkDs+0nIL3M8/rjSLYeZHi36OA5LCID6qFstr5XMpOd8dy1Ds/1IvmttbAl1W16t5mXQbKBCE3
hH7B1+Yxnby3ryKqibYt8jodm+bzkVVo3ghfdtS2+7nfKyWEhjG2t5RgLreFw+IROsWrAy1uRI1e
fytnUcu4zvXKLwINvxdMGR40akG86Jbm3fUJrQ2lEQzRBgN1ob4Ih73aFoFnzWpL/cGvcTW5W8AU
3Oal3Twh5FDcXh/qcgdSGqS8xX1g8s1elHteDTUMSl9VjVL6OfF4h3C89hiX4ZbjwtYoEvzfwKwH
+mdW+dDRUaVDSeB+CvOtuawt2+u5SEEQxCpS3nnMKDyUD0ULI6ZU9OSkLLqyseVWhxJFOfjWkAxk
S2IUgea8DkltnCXENiWCoAueEWyvmsdvjhF8oVdDiXP3+gsFUScqNyW4a8e9BRO7+Has/3V9G2zN
Rzq8dm9gkLd4pV+hvoBEVe/solGIhLbD28wORJxgPuIdjegyT1tDmg/bPYBf7qJT21qoIXW5dROr
sKxiN/9JNMxurs9sdethG4sxDQWDi2dfBI2SOpNTUm8DMKN0uEKlENTf/JGQqIQNzUOdGi3NpPOP
VA+KU+S5U/hp1H3up4GaJfDm0/WpXHwkA+I49wXKZZxDcqTzQfCuAPYKF9Tv3GHY27RUfhlRV5/A
MOK6dX2si2V7GYv2ge5QZjcN43ysaElDwyu1zK95UHwN8APdqYGVZBvDyPJaGIEgwK6iD0biaZOS
SVd6SZkAZi1aDihJR0+K7cUPqEePxxGSwMPSFP07zY6mR8UAtVBnqf4uxdbnS98XS7LXwLztWiNa
HnHgo9oYTMk9N0D7sTDmakNAWvyO/9S92LXid7Lo6EfTWCJYnq9HoCOaGcOS8HuI2N8aepMUH8va
V0LezWoy2BsBZmX9UWVDx8sGr44ftPStTT0eCniIma9ryudZHQ1UyZ3prbsWJiuVLDhe6LLRWpAG
QfcHFz21zvyUwjWd+Xo4Qq/oN5ZOVn8TayeuTBXTZho3ulzzyWp4HkqvpBSyleh7lUXGfLAVnuSi
lgaqrE0qwEtjo+4hd05/GtBw/Brc2ieuJhhjelt9dKFYPYxz7TzkBguxq2G8pMjDtcsRZb7yNFYl
UD1wy9X7t54DnWaWkAa1VdqJL5Jrr6IvpN4Fo08THFk2uzuQtiWYotndONkiPJzvLsgwPLCQJfQo
jcrXiRJ6dALrHm5NUwVf5yrR9iU6+ad5sGNUmprmIRjnv5wl6j5en56k3y72NSOjrMpJFzw/V7oz
DaQAoYh1iU8lKUEYjb7DR2uZre9l1cwIjPeOA9wTdMN7XD3T8lBXMx6mFWrUy0Plehw7mHW4Tk5u
/S2EVjztU1Dab7Tt+vtn8gU8wD5CCFKWme+tXBvpL6T+YmfGYcySb1b0YgoDChumd78Rlta+hyUe
NNzw9JJlN3vIrKVH1yzx0z6Af19Y3dESjwK0WFFDstPK/IYutu0jL1X8cf2LXB58MAEeqRiat/T6
ZKeXSG/wPYz6xJ9opx67iB4fPPj076II9Q0KDivvtZc+hLTjeHY4FLIJ8MjPSo+cIi7tMW6yxK+T
BmWdTEXVyqaz86FFM/7OiRvjbp616I8Fy7t9udDEHesBuRzsy6ZbSlpbHhQr0+bZSF3CErECofXz
+ApBRdPKyo79NgcKJgQmgFXSvXzz4hp8T5J3Gy4q/+V8lGaZp6XPrNjvI2U6guSpjloCJe2/G0W6
O7U4mPuK68IfZyc/ptzn9EXAcF8fZe3ocnKBrtAJp1Ugu5gEJaXefjYjfx7ydzREjY9RjBIDGmYw
MhCJtwf9EM0FAoQaHMf3eqArf9aG4xUnN7FRFfJwQuW/evovHK2N39XkxO6bLxiCi2tSVyKA0j2X
1rsrY0ULAzfyk36cb/LFXZ7NzEiO11fiMi+CPoUdgWiQiwKVlLym9aKFSbzEfpzm453lgZlRMP08
krkPG59WHAv52KA2i6Qt0ArQB9KEohHEW+p2kU915feUOO/a2KQB2Tl/VHSLE1f/cX1qmtj35wMa
Oum/kCsXYBpbOheRqw1LA9PSR1YgpYAe00OIg7CDNOi17zRtGX2lsbt71J8QvrHwMK1K1Dz4lNaX
6z/lcpVFJFTpbr4QzF9+6aubUNNLoP3gHXz6CMsn2xUq+y56/WhH5Bs5+2WydT6UtMolWkZRMjCU
Tlp9crwc9Rytn/0Jm7AHGzmR/3I8+cCaLXZXwAd8dS7Sk11Wxq84Tac97blpZ3u6sXF0xYaUPiqa
9uR2tMHEBSONl5DrdMAaI7SqAu2mRnSE8+pQtN4H86A9KgWuSKMD2yvAAO1rlgTa7+vfcm1bscSA
s7hrwNLLJnCRkVLvRzvQD2u9ft8gNPLZob4NzQFO+shXPtZOjsDabKZ3XlgHRwgfiGdUw0b5YW1T
GWj0a+5LfUruO0bIj3lh1mAQP2rKruHYwYSAJhramboRi1aHopVKykOhlOfneewPpqGBmBZGfoMC
yn6Z45TO3+zuM72aN6LE2v4VegekVpwXbtnzoboymVw80kO/VqPoDmWZ8YheRnBMZmQqZwRcNvbT
5eVpcBPQuQUNBQ5NTuLSoVFgzxkh/qBRSSNq0H6rUFU3qlKXsY9RmA1VZsSQNVeaVY0nKM0fNfTV
Mhi+VJkCcDUUwvWY0KMaAGkUt9s3l3w5HRY7VNSUBbJBGjSk9kKqWYR+ZiB4sNDdQ97JGDcCwEo6
ZOANSX5P0c21kQg8/2KK4k4Tyiuhv2Qm0mQgz3+GGt45MzCcJ8AVzh1+vNHRLPSKmhLc0QGU6rOD
XOrOKaHbbxxPMZwcINg4ps75xK3CEB/8VawFr07ROMlZah7h71IyuM9FtCjcoLSFvSQ1PqhuYaE5
DODzrxI03FHNZ/MGS/XkERWf8NYoYFVt/Kq1XWYbLk91jQcwNevzH5Wr2giivw79pkINElecYZ/b
w7hZEhAH8WLyCJhYHskg6aA0zjwac4vnQej3dKV+IFLjHbOmqe49SFH3VW+XcKab6NYLW+WIBARq
xtM8bWWKsjkDUYId4bITgJjQD5JRJuwFrw8cILfGnCx/FmNjglUt+kMXZS2+cajnYZqZHjrAiE9L
7BS7PPbKP6/vg5UVp+SgAWLF5kC4lpyv+OAQsioTHTqYdul7xQXr63pps7H5xZ8irTcNPEKrA5aS
DSelGOLYRXYxKic4VJ8VJOof4yiHd2RNxC/v4/UprQ1mYKdEZBRXoBxEjLgylnTolNMEcxPGl+cc
ySesZ3SG3Xuifvrh+nhrSyhIgIQr5GccOeOPwABYPSTGE+Ws5TBCdodG5KQbUjOro9A5xc2DNQSk
ff6h+mIkceob9KhQgRAsV3LBYNoq17grHwohHp6//B/Xi3SDhdnc9N0iyKDdYj521djd193s+UNb
mj8cYwxuWtcd/KAKnNP1VVwJ/fTu/zOytEVor+B8hLrHaWis5Dmc3VxoIhB1IAzu+7Ie75uyjd++
qKKZZFNRBbFjWdKgMRKvOHOHykmL8slXB6J+oqD2cH1qK2kBm5HGhxBAIt6Kf/4q1MI71kargRqs
5Xa2nxpsRyGL6qhX4Bj/9qG4x6jmIYik84Y4H2oIGsSgo8Y7ocHu/gEPS2iwmcsdwn7z4fpQL+bN
0qEmybFI2AnXHDRpWjo0xWZpMu9kN8Z0muwyQjcwSEpguJP6E5VHnI0TNf6F9CS88skawp+l2WtP
+gJn0gEfc5i5eJ+RaMH/XVscqKgV0XDfDkv1iGefiwxrP244Ur/03uVfDSFCt0Cr85x7Map89TFU
XjZom8beCdRO9WQiEBmAdzIauIquAA+xAfoIZV4HofYYc14UYtUo/pkC+v2A90vwHM2IY+46TV3g
OvPdq52NBHOxn8ewD5+vr/HKzsHJlYcnqHCw6HIjo0eTIPHocJ56tWn6g6MraEECdvWekLywj/9g
MFqC1L9oMKDjdb531NEL7aaDW+lCCX/HbdHe6vo0PtbTEmx8hdV5vRpKunXAm/U20hTuCdsotE8q
OLdYNGdHp0EE6r+blZTdzcMYBE7ZuacoddtPCBupNw7dmoc6QgTg+lArIRpbRhrTdFWF17Z0+BTK
PgPK3e6ps7C6ViJUPrwR2OE/GUWAKLm4YV1Ia5cx/Jw0rB3l+37nFS1MXRBrG4Fk5f3IXP4zirRs
qWst6CLU7skY6vpzPdW0vgPFfBDclN3UGRUKJU1s7dXezmHd2226cR+sLiZJILpq2LJRnDjfjaOT
aYEJ+wKKbq7swJYi8zKP1sY0V0ch9bJpIJgWWnTnoywLWNQ4rdjzWqz5/BUYxCIPN9Kf9VEouJL2
0wNXpeqRC7s/GPLCPcGSDXcJWPOTVtTDRhNk9VDx1BY9EPFUE7/iVWTrKePw4iRYxHVvPkWRkn1G
7MDyYXNuFd22hpJCRQlssgltDlWddvk9jjGe35njskerJD9c3+4reQHpDvw5wfuhhyQNZTpBYzs9
hwpjDvjJTlYj95BX+9loBx+uY7WHrZG//cZ2QaKJO5sXG03X86XU7SESWCP3NMBpuZm7pL2b5iI+
gFh0jv9gfib+ggCVaWDJmI8AV4G0GBK+2jhYd/Ucx3fwGzUETjRjF+tucz8gKvPl+qAiRsiXoCd6
oWx8QJq2FEOGXkOiO7WdU4Ky31G0xI4TMvTWDk3ZCd2pFBHZfzKiA4YPOy1wfNKKVo3nDIgbuacq
Se2nfByNk+4q1dHKeufRiYzs7eHD47uR1Im+kyUnskNqLRWaCMTiEnOgHikDAKRjvRGLV9aRLakB
bKeACipOyh9NguGsDoyiqelwHEP81o0JF9Pe0ZRPtYcb8/VVXCsiMCBnAZYyDyk5YU3KvGoGFvnE
5Qq7ugbo/B6BDtTecUV3v/aoBezMyigAPFf2qYpFa22E7nUP5Vu/hVrlbPyilUgg1D0pdgl4GQiF
85NiqAg+zLrhnHC4jjFh6pu9qgb1CZn8f/JJSdGpVUC+ZPfq50OZoDWbFJmIU5U28fthtCIkCAd3
o1y4Eqt5CLhk6iqZl/GCJngVRW2lHPH9QlUYW6Tq2KtJfoj7Nnr7vYO1MvUmqoWiNiktW9gv2D4l
jFJhw3lKkCpfGvx+ru+WtakgrYqjHdX9S8RI6gxqleWac4rbZDka6FbvGsvcwimtjgLzQcBfeEzL
7nQubNc4y0bnZCDwtkdi3N2NbtRvfJa1fQYshe4xxCd6UVL8MDQla+yodU5tO7s3oxJqdzgN5++5
0puNG2dtKCBXoIREG8+U3/NLiATnOEfOqXEKfM5COz4qvERORaSaG19obSh6PLw9wbWCXJCSnDTS
BgcXI+cEdKE6IL6R31Sag6qzMm4ldGv1ePpJpHTUuwDcGFISomkJbHDwHietsW4xfUC/olSOVKv/
dDAlQZ7O+QNOQY8uhErMaPVvY1f/uL4hV6cL3ISNIoSCZQhTMMYBQiWeTfTqC1T8XMp7Ke4VTe2N
Gx9RzEa64UQqJFSJic7cO+fBwsJiNM3V2T61GHOhdWghfQZ7Fl8UDduWGOsZtFrqIzqDAy5LbfgP
rh/6DaAdaX5Tr3HOh0fTG13VXMMQzc3MnWMW2C4SKzeC72UFEfqW6N1R5BKevTK4FwWVYo6H2j7x
JDR3iHk4qOngxPSoBVx4VRvYsJaT8o9+NIdTjM76s5ks+rTxMy4iAL+CeAlcBgQTRTfpbC41dKF0
6u1T58LmNO04u7MH9Y0pi0njAeiKRqvDYQ/LmXoIW6RyayQzHbcuH1vy6T3EzfpLqOnhh4LS2FaR
WN6sLwNSHvfg4oEnlN9ZlRWm9LShCtgNvJUkzcKDDTMY3aK2PV4/F2I3vN6sVO5IwjCYBjXKsZB7
2F6E1odeLAM9bHP+Te3wF8q61SHHHOomtd0QTlA7fb8+pjy9lzFdrmESFwaWz2LkzEWjD6ynmTX6
YQnR7lOj0t0DAZs3Ljs5S6JARPLuIRkO/4/xpCzJchMlNAq79uEnO6dMY2p9qZoHnq1C7qrwNkgR
8tkX41FuBuECqJD/Lx0+PS7xcx762p/Q4PXLSV9u4WLV5LVxOh01CNloH3v27cSVggNaEpkbE5YP
xMsPoAagcxo4lfKVWGM76gZ2Vvtz1zrpziL2oiY05fHGwbvcN45pUzx3uRjpssqep3B8hfQ6xAvP
jcMCSSN9+DnZ+CfsqhIxUldDsioH6+i/deswLGQcwdjhRpGBPWaggzKjbeCnQ/Ytc91k31T1p0Vz
tng0K+tINQNSEG0SQGtyem0gJIU+3lz6E9nebQ5BEeVKlAnfPB24BEAu6ZPzFJJbqYiHq3Y1NCVS
M+r4BedpXJ50pziohYJA98ZY+sVRB3pHrBQfDOMXudlY1IHhQZbMkSuEP7Af5yqu35s9JUcUJd2g
3RcjqjTHNJpc9P+Gqq13Gt/1nejXUQcPxuUHBxclNqRf5/wQjRggVZVRQUhHlwkJ+BQ70zQqqx8W
5tq/0gjUIhXDPMC7Dno8GsXLi5UJHb1flHHiTyhsTogA5PNxUPXmXZogbIZsrNGapyhritwfHSEn
i+3nUN4o1WJ8Vrt2LP3WmhtM2mzvMAea8a02eMICejbyY2XX6vc4GLO/FNiv8wHDuMnYo0ii/ohq
ZdaOXdYHN6aCeNERaWGkfAfonD9L3UQN0iwaJ94Ir5fbiDVHNpZNBL+Czvz5ZbxoaeMFc4JZqYL9
i+m02g6U5BbR5jLKubQsHUxxiaimLsNp1RKvHyCquV+HfXLwNBiYdN380dTCfasEW4bHa5Pi4UAV
kJY81Wyx0V69U7CXrdKCl5+vIAK4pxMQnrJ02sIIr0yKx4nlsHyEM95x56OwdMmSR1A2ezv9YueL
sU9SE0eXHFE9RR8O10/Hypw4WVSuKPeQEcugFTwsHItMrfSbSV3eG105n0ZPfSveVjy4DAGDJTNk
QzjiV7xaOTQSrAFhotKvq8x8GDNt+myUar1xB1zer4zCW13VuNVBv0qXXjYXM1ojJhyERQ1OUKMo
cWuD6U+50W4ElbVlo/sIMs3zaPzI+VeiIq+R4krmD1XTI8SIXqSX9MsbU1qxbOxuoBKUY4XuxPmy
KRS3rWzK4G+M2Gro1dLBRFC22oBrG45uByhcgbLDavp8FG8qCb2VV/gIULl/RnOrIY3v4cjoDQja
OXWw8a5cWzvKi564qumCq9JmyHoN1SR9Kfw+oZMFhzja52gRbmyGlVHYCFQTYC8Kqo0UgaYeHdpi
zAq/BHR0LNoMQL+NF9z147Oy5UTfhjyLOESVSPpCQHDDRkMO2Y/GIb/h0ZEfYeenIFE7b2Ooi5cH
u4GHJN0H6pDU1+Q2WpV1cY6raelTQ8UHFv691Rpf6Bz/QB/md54N91FffCxn776Kmzd2bV/GhggD
aQQhCVtOr1CMzEaKDaXv9eG8T1Bl3EVOsTXFtdWkMgZNmUYItRopwOqExTYwcSHz0J7ZNwjXnpI2
e48j2VbYu8xXXdI4Kg0GJAB40eKfvwpI3lLbCiyJ0gcQE52Curd2bmv0foDqzJOxhPq+BPhxAx40
xMzMbDfyn7XNSbOfvByqFDUPadtYXFpV3cel75TYFTaKbp1okG6J0a0cbHYkVzAgXezBZXg9DMRc
tQboS1Fntc/JooD+Rnmh5h1O0rArUnXY2KOX2THgD6rNOk9jakaWcb6siIwUykAc9lHPqu/tsp8w
5i3NxwZJCWSooRGjFwDkYCMarx4NqrMeYd+CkSLnk9YUtoWCgJWPxTNNK1xG/whRA79zG938iQYS
Ikd9ZDx3cdHc6aTnn3vgPxs/YmXuANxJmnkccFLlx2ts5qPWq17ua1iY3eFvkz2aKuXvFqP3fZno
wyNQgS3wwcpGArwnbgfVczg20omBCY9xOLYFfgOk7GZOI2/nKGH39u1qEa0pI/GYhDkjxdKYaO1a
6Hb6aj2H75eo6g4K5Ybj9Vgq7pnzJ7lLOR92FHuV7yhv18jB66NAANEP6i5+Vy6V/g7yZ3GY2i46
BBVkzKTGNaKs+/BwfeSVuIMTFu8DNhBUY10cpFfRoMt7PUHtKPdxtKmxjojw+DPm8rTo6rjxUH5B
mF3Mkgccpx9KkCf3gfi7oIrGKvcV2/7JO+MBTZrHLkZ7M2ue9W64scfcI6NwsZGpDzibHmsjvGmq
8sv1Oa/sHMrUlEApTAp4mFQO14s6LDouLejVDREQ76Zdl6bL23cO3F1KLOL5al9UQPHFaqniLBAO
TfyQstTAVtJut0DAK4GOxeTFIcDPFHakaK5OTa21Ochm7HoW1Eky5VYBjBYFCLrjuPvWPjmXoaDX
sVPJLriHpaUzgknrOxwdfSTfsL6uUYoyh3F5uv6BVuKJeEHB5OLGRclUuiNyB5k+9M5T3/LS6Vs0
6e0Rt3WE16bEu8vqQbtLhhBVp+ujvrSspf1J5BZwWQQZgAVLk4sWLyki2Bw+QFV8KpU+zfwcHs+N
k9mdnyTheAwwB3i/IKl8gKlAG1ppstPYmvZesdwM+6XF8K2gdjZSkItGHMvOVYY+hKh1kApIX3lW
Mm5sTHn90igH9I0Dh1c3GqrAax5cM3kKgjg+6SrCiVH+kBTjU15jTYdJ4q/rS7RycjC9oDRKdknW
LLfHk6YwB6uGtYZsvHbXt1j9oPM3bETD1VGQP6DPJypqMrKlGrqptwol8c0adFxm2M1d0Fk/r09l
JfBR3hWfGoy0qCSfB762yFAMnm1hy4XO9hRFy95D0A9JwH5jpJUjSn+HjUzLksMjZzwG2sDuksyJ
b09Lug9j4lvrIEe9I/NfvixI1O+vT+2i+cJ2gUSlActwaS3x0JDnNqYZWozoeS5xeGcZU1Hu8lCJ
P45daPmVN2UHBT+qQ5u53m6a5+i+mctkv9hxvrFz1z4lWjqCZYwsMEW1818iMqVJC3IM79ShOeK1
rCAuXo0bQP61b2kC9QUTSwOei/R8FNeJwiwqVTSl+zJEwnGoDx4wm8NsFupGaLqcECRGsixxU/MA
NqQYoc6ROTqYsfgwsxQcE6cf7WiqtxsfUPwp55GIUXgHsDXBcIJ4PJ/QrNZJ0ukGPOakWr4MjWd/
rRNL2WMX3Lyv8kh71HLT5T5p9DunUIOD5qZv7RaSVvEbKGIhYkVmJx8Q3kOZPicWIdBewtOkD0jc
VVaL5KqzlTuvLapDxQwlbQZkp5xPtx/xvGk9dAB0tOUx/QjSA2nm218eANhIdV6U+rhZpBPvVQil
1V6T+RE+lTdWPg5PGQSwjb24NheSG9jPoPKgekhnD3sMlnQZoRpV5Sd1APUfBLmykUpdbnjkTV4N
Ii7QV1lbpCPVhmUB+wPB1F2LiKtfxTamK0q6RcVZHYpXDT0jSo223DQu8CwuHfym/SFUW2hMdXAK
ADnu+mnuNmZ1GSiZFVASMgsRLuRgsQAlmVU74wM1VXHXVp2e7aISJyI8kipE9Ippq+t2mWgwIncM
1QXye9By5+uYBE2MowUjWnVrPDrU/ffWPDqHxi31vZAQOeFe+vbCCYMK9J+onlF7lEJImuKaiCFk
5ttDPN4NpRGjIRdXXArzVstmZTNCg2DDExMhHcl2sUKTb8HhL/XnOB8fs1y3v6Parby9JAinQ7TB
aF+S1suaOw7yh6raGAxj6eOT3pbt164I842ouPKxOFHcaiS7Nu9NadOT5XLBQHjwkxIXx6iqtVvM
wVA6hvyrPY5DbB+GBt3A67F4dVSUKinLCKEuWfYd7l5vz/Wc+iEcqlNtYmarISz6ZAepipG2mXzG
9MHyrw+69t2YIy0g06HGJlf3hQyvqJKkfldpw03sdRjiOPFbZbSI8Iipc5sJ4BFptrT7WUpTw0c8
9celDh9Qh87yXWkN5UZEFLevdJmdDSMizKtgNXeRbU6o0flW5ya3NnkX0soddmZZmp68uLX9DOsi
ZY/CpXtndIG5kdevfEFuL8cQsF4eY3LvuS30OYjqIPGXwuyeBqSo9pOJJck09DoWEGZzq+R5+Pn6
F1xJ2ekjYk5NeQLNK2iT57OO2xk7g7pGccEa4vrIReM9xVXj8DRrjd+j6zY/h0Z17mnPDTj+JdNN
pCi6b8PFe1TzNNjYUSthnI7UCxbSJDuUYUY5sVOflCrxIWCPe5iB2REhePVQR0a0cU5XNi9CE0J/
g83La0UUO15979wNZj2beCSwsbtdEqF3XiT9VpttbUKOKJaYQAG9F3fw16OYsdqoAfxAP0gjeMcL
riAFDlaPhjVutaVWJyRatvA3eDLIoFmnVAOtthgqqr1voe0Wd2i1b5GD1nYp0AiaN9yBGqnf+ar1
UwRRwtUT33CDGGhzPR0RbA0fzGhW9lFo27fgEbdeCmszo2SJgg01YYoHUp6ZBLjeeCwbFPhg3FFj
Gz9MQ1n/cf0srNzr9Ka4ZAW+HqCLFGcQ4ApMPecB5Fjx+C4Nw+a5SAJUOPrC6zArMqyNiLM2LbYE
Qg3ke1ReRER6tQMTdNC7IWx4yGuli+MRdjbKrG7p562UXsXLxjBpTwk2l6xRmSlqPpjpkPj4q413
ajROtyN+SA9G1afPGISGIpHJbsuui7+3WDudwihfyo3H3so5YGlRAkPH6UUR7HyuEMqA4i7I7yOs
bX72lASfLYxB/SYYtiD/K8vKYbM4AUxaZGnnQ/UjHjhuPsd47qnFdy822Z2tVxyu75a1UcjG6OQY
MLPJOc9HSfQRgPGcImmiaN/qHNSgUcOnvz7I2qoB9uBpzN6H8SEPgq4eFr1R7E/4JO4pMw37QrPn
Xa4b3cZ8Voci30NmnsfpBfQpX/DObRBbx/Nd+VqHU3DA/uJZUZLgH+wEVHYE5h05NVcuInP7VcPs
IJ9SOnaI5WyrHl88nEDnbdEIVr8RD21KQQKJJ1cdTXRBoP/rKLWYNfUoDE9PphK6x+sfaSVxQCIJ
UCwWLB4hUfyK18e4sYZcx9bPpymFuAGo/iA+OVVqt0fIBtNxnG1nxmLI8ZbdmME8AM+hWBs8l4vg
xduHdpxoMwDSRTn7/Eegi+x0IcZzPnqPOMkPSQsjJA52YKCdQ44vzFvLxmI84Oai1AdfQpdCMh7D
DcJMReIPjpOfPHXsd67ZhRv7/+IDkkCSVqL+KeS5UE06n5WJzzCPkCz2NW/8WSv9cFA1zMGvf7+X
33qW+YlR4A9QhqLuxe11PgrFaUqacY1rB7UEfIDjFoACLhbHLGqND27spU/2mAS4qjSK7yS4R+/y
Rs8fHR0xvLBt03zvaQNG7m3YohiPNmljjJBHgBOeMktRDpjFWfjA94uyd4x6fsbc3N5I5C6Or5gD
0ABuLt5rvADO55Cjf9joHStlRl3bHuq6MMmSXRsX6ImEdiNYvLzIzpfMoGD3ggTn7vLkR44Zm2kC
Hhv9EF1HiSCc6+ToBpTs7lRqJ8Fd64ylucuaCdx7MNW/GjT4n3BpK9FXmUtlh9Ocewe1uPgV2Ybi
Y6A65bs2tMrHuHCGpyg1wyPq5/FjuWB/Uwir4gHe6r4wFvO26xLXLwa1uclH07itA+U7kN8t1vfl
3mOKAkVMdvwin3e+orGmFhpteiSH8P5+mlMMT1KzijfO0cuHkVcS9WbyDVTPWFNpi9uJEWoZisq4
X8ferl/0k1rpH6K6A5XtfW57/R621zN6cdnOzM0Tr+Jbz8wGfITwRy7m56kYPgUDlfZRHdF3H5tT
nfUG1mPYAxrTRunjck0Qz6FiZAFHImWWCUvQkz0k7KFZmsUwD7uiNPMay+1e2dhfl9GMccQDADQD
FES5gB+mCDtAdndPebAYH2MnKX6UlKFzGsdZ/mEBDbgx4NrEBOeAThvQJFcufqetM2G5ELqnwBuU
Wy/h3WVMUfbWhI/kS7Te8XIRHQNbJNevbgrLi90B1Bp8jaoZb82+iw9CD+6fzAXgAgm6qAbI7wDb
KLulyplL0s3RY6jW467K03jj+XQZcHjVwHGiykG2xTmR5tJ2OI6DpT+FGnyqQ6Vj+ruL2tFId13R
bAEl1kZDIoYTAmSI4pvYMK9WLnL1ckhHSBJdXdUHu8ZVE9/tAmzGxuKt7DyRO1LWQ/hL9NPPB+qM
sCv/L3Nnsly3kp3rV3GcsXGMvolw1QDYe7MVRUpUQ00QlESiBxKJRCKBp7/fVh3fKpKyaHnkgR1x
ihIhIIHMtf71N+UUh4e+KNaLZWxp+L2ITkcHy4dxDV/bZX5+PYZUR+rdUS339HqEOalupKY7dAhd
viwz5pNhhzGSwoxyvwxO8PHXh91PXvSjJg0uJlUCNOJn2w0p18rB6yo8xK5yL/IyqPcgVObw66v8
dLkovKBIxkeX9WcnKvLyBEuv4115EGdK6BinE8m+abCGrwn0f/YAOfnYpo8kL+wdnj5Ab42x4/M2
1B5gzefbNnpvtYGgu10GshavvPQvn97RUg8nNubKRzbes9VSVTAMXl55B+muITHOxCyqxXotFOjl
0zsOoVDqAL0ChTwnxg11sBku4x7iMfm6hY2TBbA+DtKe21dQw5/dz9GPjFqcYxwa49OHp0bdsv+4
7kEmVgsxP5h3XdHmv73tcT/wPinDWSZ4HE+vsnqFvRSF5zKEreuUmGDngzU58+3vvnPHvQ4TGJBI
QN7nbvQJtozk6y3uQaxYAuKSUh1qEdjvJzfIX7nUTx4brAJcsZhbcgw+pxdsPgbBQ2xcqvzxbNJ+
cDF30WvmeD+9CIsD+d45ViDPdiIz5ja2vVwkJCSa2UIUn1eL9dpM6yUAeKw7juNegEdGW8+x9163
+J52nXPY4l7eylLByOBoUeWN5dNGXDv5Mk1pQ+Iukq2cLPJUoDAuzmTRthW45FIOTGQD/drG+PL2
eR+p+4+HC2jo843RLjq1VGg5Dn4RNg8tfEOm3/b4ypz05e4BSE/JD+4DjP1CFZN0aze1QW/zkJnm
xfGK9TqhebocRRZ0rdz/+h396eVQNjKXPfp7P+dy2wSjlrA27AMfzHbWC989VCF+RYXuypQg2de8
Sl88RJ7csdygkuI5gtc9/fJ0TvajT8Tzwdch2aeR0+/tzf9tcg9XwSkC5QtiNzqQZ1cR9oYp2xwH
h2mtvvtaRZmcVh8FvfpmWUH3Sqf7s3sCEkE8RcbsMcDj6T2ZYybxKO3gYIRPUliVi32REA/+myvF
PTEhwggA1vARjn96lRHlXiUs3z8kZVicmISZg6+35WwSEYxJv3zNmvLHQ3rSBxw1qJQ2RyU7WUHx
s4N5EcbyNAjkwYeUue63cXZGQqw70iFsPZtD3Dvrd6YgVkkq+zAibFxr53yMibJKu9YUYAt+5Zid
WgZcm7SyE32ig6l/HJaoIX7XREjjZS70BcfI2KTL6jT6vZGu/SGaMOHca+fYsvWBo3tSzu3mlQf6
wxb3xQ1S5fAaHpOG7Gf7WTUzBZsxST3UY85gVmxa5YSGTK3MttFHoOP7QhDbXrqYuk9b6wbpKIvl
IwkcQb0rCVL6oDsRfWihNDlpXC7K2beDY3mcjuOg0nlRkK7bRayvzQ1fYN4sDb0gXHUEH+iTnp36
c83K1c7oH9jzzKceXsV+7a1w5wn0gXglxZcGMc8rqMTLjfl4VWz/IKXQaEGzePoGzibe7Kig5Su2
sr0aVp1cJNhtXMRtrE/LkdyItAkHAqdJgu15BmF8AFsdrvyhzr9qL5xf6VR/8t2BFUE5Q1LHcOG5
00CBpYP2a4T5SV/6VyvWS6ndrtPv1grcNb8cmxGg6pd0DhBIRa6MwghD+eulv4gwdfLI/f09hNEF
Nt84ElF0P5d9J23id/Ha+od58+rdSgRHFtrVa+ryF7s993KkWXOCw8mFbP10BYmhG20i172DmaYi
zrBTs2DOWvZ7ZVbvcmli/92vN62fLBFrg4AKv04EUM8JKqaJVqf1KE8tprIE1w581SqRrzy8n3wO
BE1DGD1KADg4n23AS+/P9jjb7sE/mnknDtfZ46/m7PKFciWt2PMJjg/Vx1/f3HEDfLZ/4HPAu2Ej
PaZXf/Y0Q5YLi82VesgxRTqvpr2tFxPtHbHG4IP5vB/i3L7J4/Xx1xc+/uKXFz5OntB18GyfdRij
E2FV7mmKZHcmq0938xUhlPnZOofOK9/YSygS4J3SNQYeZ6ukE336ylQi6bj7zTkcRUepXHMlMvzW
Ju7aCKvZ5eCX34iIDHZwseM9E/95H9ZR7Wf+Nqg9BnLyHCLMtlOyW6Gcj/K8LUqSXiKFua/F9DGZ
h+pi5NNIy9UlqGdtpf3K1vWT15ATE/YtuwVMiOdasgQrLpulcQ5JIMNTyzSENjOA2v16WX56FbxC
EBUeGT/PTVamzrdBo5RzsEL5Vk55dK3y2nnlpTu+y8/WHkUcmy+Cdw6A5wyHYQIYNvbsHCprY6ut
9NdEdC7eYvpsnUAh/he3RLUbMV0F53jO+O4rr5zzSTgHRexJaisvOms24qh+fZUfctrnN0WhQafE
BniMUnr6kvUkAcnWCPtg90EfZGjN5R0xYsCroErxV6vpyo9D6dZVZjxM28BlzTIdWg3gmxb1bKN3
jJ3pcfRMLlKJyeeDF03b/ZJL3aQmbip/j85BVpkl/aDNJPzp6gR3O06s1p83gb12Et4HnUiSne+t
mJjx/5AxDx7R2bQXudenVe33X7olj78nTEgfHLr7W+3HywejrMqH/uT5dwQ1NCZFLx988osJXQDa
FuWkNlI8WKtuDBWw9QvyxjuMbd/FjbbjjAATxkyINof3bbU0d4UcTZF5fudqPLOGTWaOiE1/VMK0
KuUfvgb7f4+HKCrjqXcOOm/rMA0LyL+pPcSvpfS+3GrgxLK3svSwYplDP12ZJG7FBonMPjj0D3vX
tCI1ViWIgzKvuTS9lDnwlmEfgSCGTzR+sdXYwSybaRu3Q0mbN2Z0tNsZgETPgdt1lTwzstZW1nhl
Pe/auQg/EjUivrrD0l3MVZ/P2douoM1+0w/fXnlBX3x0eA3RSxxxFpxBnz8FY0ZRD+iRkE6Pbpag
dNwxiHVSV4yvDTJ+8sCPfd9xNo5m7kUz4YipSGRQbgdJQvEeb1z/YNnxAvdSv/bAXx6b3NURmuAQ
O9Z0z7662VaWiodgxWMzp6N2xlzcOJu/HmN+C+sacy5Cd4rVw6zq14/z5UZJFYJhG0NXim8mr09f
qkAFbZn7Zj2sS7KdN0P+mASL/UpR8PJBYmfBvISQAuSPhPU9vUhIIpCO3ZaLADhTmaoZC9AhnoA0
g9dEiC9v6EdpfDyPjzZmz29oBhdZnFqsh2rQMitmP3lbLmX7/XcfG4VhhPszk0cYSc/LHKfS6+Ct
vTlI7b/BbSJs0mRiF/jt1cG6haaPxBsSDXDKfPrg6nW2tHDs5WDDt2Q6Bi2ot9fXPNJenmMMT2H5
wi+j8CWB9ulV4k1NJLINyyFBh/+mq8vuWnZJe+7kgXcYh9h7hVD/k+7lOA1nWHQku/NtPXvbt2r0
tiAolsPi49Ue6PKik7pLHc98tBCrpHE/+tmIDU8abNH7oqtv6lBdzvJ3fexJYGZOwdjAO1YkL/4d
UumNLtJVKMXq5XQRmO72uEn89iJyFeRNzPG4Y7rbp4+3cSGdFB7JzZAY4RzLaNq1BRagv34jX3xj
7NQUIgAEdF+gjs8ggiEyLRmRGpOofNFv6hYfUPaM4ESZqs1+fakXnxje98w/OO+PPgpMXp7ekDJK
FJtuu8OooimTZV9dT6ZaXvnE/jFXe1qKsDfh1oIHOvJFpvBPr0POvZLGSaZDPixNcjomarX2ne9s
zd7LV/PFD0ZMQOyh8IY0VEn4UVdxbbN5LiHuGeOU57tyMK2z00FXk9Q9+JafVsobq9RxFqfcm0QE
7p5mwfj7MjDjrUm2ocyWvDI1RiPY4pySLgqEP3aJGQ9FO+FMEWBVvu/bfPVOt6UUTWYmpk8pVWIr
U8ZhdZFVOXOAK9F1ZCWtWxvVWRe4xedx1bGViViX8S7pRXwJB7jwT8NihMofkbSdimZxb+15HosU
y06LriWvC73XoeyafV501U2ICwjJ4FERq+xH9sMun+3CTj2XXjLFf0k+COnk7c5z1lCkTe52n8dQ
trfodtobHRfh9zGfrfcwghnJjZZw3kej43yavTlGnCl6r8uI+hv7dJyGIESU4S5v/NZxUWsEJnnb
8xXmadJEdZCtK2/dYSrHFtPxyNqGyw4LMTgt24CwTVfWXMB4iEFvRhEn1RVgTWfjRRjp9xx1rpOS
jGF/GHXcVlkjPN1gOrR1XbpVQZenlYfR0ckYirJDzunm9Q4uhvPOX0gm3y+tO4nTrpTzR+LNvXuQ
M4U90tG0pZKhvgotq2zTuCBG4ENeiemiKjd3249+spRHhejgnShuts9iuwl3RNJ3ceoHhf+YyDwM
ANWCFV6vXxYeOYKr81YvlGVpUy32Rx/bFXmgbymSPW+KvGkHSw+kbjgErDmbq0CJwzJRabTW1uk0
wv5IMX21cirDbb1rpmbkocUWZ3s5Wyt5e2ICuNGJ4NyvKkb57RCUIiNle2DAU2xfdTGuJXhXTGe3
bM10CUq8eQcxae9W66Sd6dbsUlEfFEuSha5xQwL45vKx9wb/0g2W6hq2BkYuVhtX1y0967u4GNs2
a5Oo1zs1xkwu7doR3+S2kG82Ry2b4GxN+ZBxzi5EDsyePh/KJvjaQMSCTsAAhPvpks3fF3WxPgrZ
BO/dRYcRkQsu4OSqwnXZLRFwQEaYMpMXorFKypkhnrdTmI1Tl+WqsK91aGFTEUKSytyuBLQ1S5mb
tItjA9mwrsSjOwT5F/TG410fozBOpyX2biamfl7mJkBN2PA48s0Uvo10cTlWIr9dxGg9xq2ZmmzU
89RnuDFHD4tv5B351K5zIpPWXw+u9rruog19pdKlquU3BIpBT4JlGZcHdy6bKpWxrq96RA11Fvlr
fC/GUT9UwMw3PJ0ckx9eHZPZeCI/DEk5Rxl2E1afLmTr3hNKMd+u62KLkwETdf7XKNFq53WON2Qz
7u55uommvmWGwhZtQylw0h5jja9TAh66XwmwDXbzmvNeNG2Qf+avVVBp5yVMm2Kpy6wKxmgP1zqk
ew+s6J3C63w+C+omTj1nUtetJzDsI0M44mWcymOqQ5WwBlMflSL1UABcJIubj2c5aQH6wIeUvA0L
PyY+0KzQkXxnkEU6hS48jgozzChlPrDc0jVh5M4SLjWtluNdxEO4vvO62s6W2kOYv9irfz5uicNL
65Txcj65i0DZDlCiMvyWiy7lBhdSJKNwurCCsLrJQ2X6XdO3AUlL2vbf52Xe3YTlOIUs4eAQ8hcq
5zRg8nk9JCHiv4hpMZ0YfmHjfvIJIbES1cM5nqvLDZvi25G0nO0QRiIYz3tyKMdsqjT22+uUbElW
6aa8POY68W74S2gOg+gifdiMGvoTPdeiB9Hv4/60wT0Wpl7VQbM3w/S5ZZQ5ZSVEjpM4L3z2WdET
t9BNS3AZzxJLhtYdnSsbYmmYLV2NseA4YfTXkYh6QsYtm2dP1GZ1Tox5oUggKhfnJAg1W+WIv9Ot
bOr2W+laS3ESVLEpDkrXfXXSLpsNZEIL7J1UwZLQzoqSHakuKvGFCxhmNyWdDPLzxHlPNE6jUxZI
fx+DUX7xF0/q1PjW2mRlG7WfvVCF1omcdWSfEgHtlmnASjYsTiXczCSdCVJvzuMhReKsPndxZWNX
UtvYWvWRv30mv54IxK1T7k3sNu2ZN8OzSqtlHEzqebhw7OuoqKbTnH3Y3rnFHFkpukZqOZIBoDia
0LrDAaUTZ1EkLJvsAL9tU7fu24e2mqUPUFAVdxCN5MWAl3MOxdWRzHNERNu+bmK9zpPN0mRF9R3b
t8wDk0Z1jX1Cbfk9S43Z/1lr8iAdAA9O5jGys62ghJzL6VovVmAfNlq/OnVJA5wolITmEeD6Qihg
cQywhYszX/uVKeoUkm1xNwVWN2eB1OiOmM3X5/YciO8DMDx4TzAHdVr7Ng05bbMldm3d0zTn6zo6
aSHCodqta2Rdzh2Wv8CvQXnn+Sp8s63jUp2wW3pmJyyXo6x0ah6U9rswU3J0mrN8rM11MNfTXTfk
7ZB5Q1StbKgBruggGSLfbdDjmnRYlkDv+GjaZF90Wt1vzGFPsJtfYyZCVXM6Ss6PXR3R0943QRNu
+6pZCues7K3yS2RrX+y8MnDrnXKKMBWmc46V43CYKoF1mu81o5P1q+gueZY1sE01TENWbVYhMlfF
9tXWojr/6q9mENncqPBWyMB7KJMQoXs4tYu9b1VMVkTPzc5p7XBSp3Ys2SLUEE5vGynHBzVy2p1g
MApR1pvyFSyIrXd6KJY55miymd30ub1+ok/oHvTmuBQGo1z920Zbyzclv5ftwam77Tsp7fGdabee
Wk4wJTK5ghTnwt6KU0tH4bhj3QJ4IKTG3oxzrL6pudWfBszn2nREuv+xMpH+DpxBYSdCRyzp6k4U
dj7Ooe37Y2VyU86rVZ7otsQWNiEaT6cIqZDByUDNS4YRjimzzWxIG+2k0rdSutEnEQfqcxNX03yF
zUf/DQOAJsziyYlk2uWWvIrMVD0Gqnc/u54vaF/9PH9kc+N8nlwflJaI5a5I+T39u9nvnQ+N3UXv
9bja8A87q5wzKFDtuDNsddaOr7FNziigQrNvBsechRuvE+KF49vToM7CcahEOB4XKrohWq9pU1OK
EhE17oQ39tB6xW6xVH8n8iZ4aLDTo3yudfLBCtzSw8kj6B6mPLHe9nLt39SLY/aVdpp13zuyO4aa
VPN91w3jt3VUKGG7PBfb7YIQ2DmPzCI+1ZTVp4M31Xcm8fzLqGiciFhTDP9SnTOo5GaaFYOAfmg+
8OQafa6xSfpYDlbVIigbLHFF/+ZYO20z09hFbP4iBermdKqbKohOhOMw6sBkpQhouZRbAXBMXf3W
XsJ1+DBV7B7ZJD1/2zXGhmrOlqBuSjNKkfVJtKq045296qW0b9bWCsmfsRf2Oeqwfk0FwxN61pIk
5TSe62RNmwQD1BRaQlCcugnhj4RCGlmlUFzEvG9UXHwkVjr5PjB1h7UcmXJLFdzj980YkpWlQtv6
0pFTtFFNt+W7xeVITasKBNtIP99St2TykZqhGIbUyllXvsu+6M8D5ZiSIBntXXXMD9yTKZyrR6P6
GUTObfJdUpsuQmJrju1H7TkqI0ZGzJnEcNc6X0ipq3BoicvbOmq1z0a4WuYjOd+rPk1AB9Z9B3pE
aKodjlB0SCLmzElcK2DoEc7iEOZb1Z+O6KkuXanUumu8mgnT1ibNIa/cYcLK0wsej1nsFKZLHwdn
wzyY7xDdI3He+V4h08mKciBdt+iyBpnXZ88b+KQaFXGiDHI201uXZO/utJBzm2RyCapm55jNfOw9
Nd/nUMCLrJl1OWXuosR9lVSyyGCIR9/6eiMcee77LcTvl/XLKsLug9S3lPykbOgCUFW7+L4dZgxP
sYMEp+66oLgkmmG09rYKnXrvTaIk/pFj2ksNspxi14a1XeysrdA8nq06OqQWzdadaLdDMeZGuq5I
L8LX5yQkgYG9JpwZ1BT14C1XmMj0y7WeovCDFeEjlblrt8md8Bf3Hg7e4t1GAtSPx22s09Fd1S3I
f+FnduW172Nr4ewFew6ZseYxoDj+0ziLIuNbofUDs2dBoUf7dJxaz71rCR2ar6xpEnGGtVn/plyL
cThLmrW86qgtQrILer9P6VjVHVZd6lo6URGkZhuCOkssCtiMnQBV8Ra4c571ocIQqXVh4KTxuNaU
+nXbvMelrfXSWfcJCbvTPC1piFl7n3VxMi0nirciPqkS8nKyuCgBfNzeS9YLqikSWSLhxGftKGxI
wz2+zFlbR/J96zTzY9+wg+6WZh3fLbYf3HRzQ6NQF3SSF3U+tew1iL/I+xODKi8tYUkD90EKTdhs
1+CsXxk+TFMug0xx7PLvcZCYyl0TBuLaGLKKTi3KhpOmgcGyH7Sdf1kbFmQnKQebLFajfSPmkULT
W+yh3utZW/L4aKL5hvHWkOxUM6spjbdk9NK693hwynMLQQ1qDzM1j+F9A0KGPwRHOXAumor96bzU
Ug1ULIX4FFm2qs4a9JV3sY05yW7bCrntuqTPNfyBFUNaKi51omaGK5iP5yT1qjUyDx0WJ+eTDuhz
9UYAX4qEF8MuW4xdzq4Wd5oR4VC8mZDWX8elCG9cK2aLd8ais/drPOZuqkMqbqY0dRMBqVRlwrXm
RmRJGScidbfF/hZriSWjK4z6PtZocU8R8uaHwWxJvgv7qf82T560d//ulXoQZBEuh+bYOw+NS7E5
WsZ+LYDm5aiXiTluaFjZAQ05z6XngFp+N4HXAdq1zHA0J09YfzO5pvO37lDpwYl/jYj/AlzDnMuO
jwpDlFbMX5/hsO1MkqOyAyC8vm4yp6utXQSrL8ME+7fljNHxMowsMNCDi/v89txtCrY8UOvBJ4Um
raicTjboOq+ghS8gvB9XQR6DqIW59Q+E9l8o023d9cvsj8wbhLXtOc63dHOG3zbmOl6F/zvGpkNX
ec4gLbpoiRzVr4xNTJgGNNaHSpHeuE3WX47Z//EkPH36+3/y398GsUpyd9Wz//z7W/HQv1fy4UG9
uRf/efyr//+PPv2Lf39TfSP7bnhUz//Uk7/E7//r+rt7df/kP/bk7qr1Zn6Q67sH9FPqxwWIeT/+
yf/pD//t4cdvuV3Fw9/++IZSVB1/W1EN/R9//ejs+9/+gMz2L/Ds8ff/9cOr+46/d/lAS1rdv/gb
D/eT+tsfbvwnzS7DA97Eo/njkTm2PPz4if0n0YEeHFW0TT7kCfePf+sHiuu//RHEfx6TPHCtCuEH
EgbAj6Zh/vGj4M8QQTR/HiYCfGr8Lf7rzq//Ad3+Y1F+Hnjv/4Bw/wnx8u6BvwOJ8E+APcWVntEn
GoOpehTX0Y7JRP/YJSq56zu/2nZDMeOaZBUPRP0ARs6Fie/yrW3mfbzO5o09TlCuHGCcj6HcGoH/
siWjNK/Dot6vZG1hIitIfpNQm01GsRDZe2dwnSkd6DTJcE7G4S53wmDek0UZhueJmSMnoyN2QUyi
BlI/yXXrDJXEHg5OEOXuhaeacMmapWxueWqqYd/czDfjDwi/YOIBIm0inuy0GJjYZNayrG0Wo17s
0zKokEANY+UcmhJXwTQwuV1ledfWn7029ovUDzXfOK6LUuw9r/Rov7Xl3bcVGuq0N+Tlpdvgk8Tm
Lo11jn30mgbTsl3rJO8fp620zptq6Ha5Hs27qN3kDVBWVOzszZ3MkWff3ncNyNun1Zl7mqvZTt4o
5MxXgbsyTlpqf/24riYAEp8FKa5EineHSsbO3doHjNFC4evkMPb59lmWBUS8Bvz63jSTDLGds1za
CQKl1Y4ZapunJYeks49rFX2XnAhFtqnSp8oSVfAmmnHiSUdMOYsddo7zYxkU1cfC5zL7Fvl6k/VT
ZEVZvRQcbK29WG8ckKvtvF5l8WEVZNqkSbdsn/CGGkTaz+D2aaXpF44x2YnctWoqPkITY3BPE5KM
J1LH9shZG0pJLzcs6ryavFzBicFfFCC/pGZfG8cWWQ5V9WxZezVnhcbte54T79wTVodOzZFFk2nd
zFdTK0r3ZHS5HZbXC8A0UbEFBziL8/naubPIZD6DDTZ5tfgZXarOd2qKgmKH9EXIUz3MzudEwd9P
TSRpGY+20PNgrUe60tzZKYJUKgvbnebLWXtNjw6o59+go7FYTmf0ol89K+g/+wQ7887Eg/lqJfkI
MDIGrb+bfb+sdmr2TZ6pGWE6ZUCFDbVLCXwpbXw2d2U1jTe+FTWfameze+q7oPm+5BAksrKiKO26
Gg+jJq5twVIVdbPXC8EDC3zEz0o3tOd+0YY4qkfHpafL7IATk1mOezPM1id/HZvwVMMLeLTjZllP
OGuAaRZvqpq3xm7sKiXMsx93vRErhgQ4JmZOjlUU2LUsP+ZbAcRW+zjbnBRSJHFaK2/7SI41uvBq
dccqU7gcCxgkcimzsiMq92A1/txmDIcovud6UZdT3YJPApRKKw0ZHX0x8+h9ymMpc2Yjm19mQsh8
euNB/ahTJ6mhKzShtYqLoYt6/6wohlmeoVjv6kO1Fd1XAGdwlJhK+qqtVVW/JX9xtk854TYnQxrP
unPAuVPmy3yM6a2SDbSxwgdwJ0ekzidW3OZRBq/FADq602bOjVPmt0ge+ZrtbVjKXSUqwlVw7nHO
K8tvg1Mjjb+8h47TOF8mnBWcfVkpv8uYahmxG+U2fZa8DD4eQ4sGNZceKR9YXskxw0ljreOMfrKR
dSomFult1ZRBflMsblSlZW5NeucqmSyX84pX4Umne7+8akA7HxUNqU5LPKQTtp+2YH2rhmgIHW72
R0jzSbyPCpM8uAWt32HBl8HdtYGq5hMt27g5NeBwwDzoNc9DSniCtKTflod4JZz2/eZij7Vrlqmx
T/2wnptDy/jgcbAi/W0iiHi4oIc+DtlEoD71Xd6uvNTSR06j563dm2noBYAljlEZwxh1nAa6YXFD
E7WHACn6fTeN29cg78zKGI1DJDPhMs87YBPgOg8m1e0WQgrKZtuZh13L7GpMh1pj7+K2dn6uBqf3
Ui47fRr9dvrqLQ0BA3IYpyhVObBDmjv+0GeTsoYVwGeO411u8tnZk9k8VPBG7XJHn+rUZ5ZtRY9i
GrGZr+ocmkqt2bvPcgZE3j5YICsyLCzxtUYoTFIKcqVoHyfaY2sRooNRVRqSPoMyXNQpxoXx54pt
3zmxYCR/lbbIJVsG1kE76Vp6OqfPUNsp8JlMzqjG1bdJwhTHqGbcbi0nz28naJsAMXF89wOJRjNa
bydtWYTnWy6XrwHWcxczTAR6mWmm/wggPtGpD7fSj9WbZZq6x3lck/jERl16qqwSBiLuy843UQfi
0VDto3F27IgjZGm1mzkgTgZde90xA2wL84VNOwrp1sL6c6B8Z7m1aid+t4G7fIpHjHwyXZn5Gsa9
XPbNli+fmsrC1S9njMT2y1tyEnWsS1pWa3u2rRBmiXUo8XqVYxjiHXrEgNK8WV13ByuQvs0hjsaX
bfB+mOHB7zoNxYVZb2sPtM1WCOhs28mdxo8u2vtJXt4307zFDEJru023BmXJIc6xKsi0MJ6Pfr/e
HrkfLS9yi9Ctk7XWsX+Z4z8y7tYe3vkOpYx5W0rabJhkvUkyvUXuF6o8vHCrHniKflAn5qxc8vUv
l5ffqoL/29r2ST38y1r5/2QVTGn4H/9Va76sgitQnhdlMH/lrzI4/BOCC1p0BD04pf2w/fhnGUyw
McoDx4FShl3nP8vg8E/K0qOdOc0/VJF/LYO9P2MUuvHRUeH4g+B3quBnKm80fPRHPxQ40Nr4J/wQ
R/xLM+bnQcsOGwhou6jkd6Jnd0nt3nfvLaBZkINOr5+oOkCRjfnS2lOe2aTbN4et2lpnvzollJIG
reiFnupO7Lepi9iwByu29q4uVL+fq1En132BmuvCGMdad3IKzSt0WOhCEDKeVvPw5OApwSQiIByB
8VPCRjyRh7BZuL2Hy1Ymp1tBZDD+nRiVnI+L9HDzbdrqe+XK5CLq7PEBRnMcZsW4TGyDoiralCiT
41cWbGO5064oPqhOVtdh7ndetvEJXxhgF4YUplDv7ALJZYriL6zODIOO5jB6HYFlVhy3xakVhWY8
nVy1opSxbQKzKSmZ0K/j0H7O58U+XzoNOBtPjFJTT9YYmiTF0n30V8B/2Fw22pMSfHmkoFftN+DR
7hhYCc9mV7Yr1j8gQmGZykrBBqwNJDBGRWEd7Psl7loKFUaMGeQRhuH6aF6W+Y216gxcUlyXnlra
LCGPBOQz0rE4TEWO2XjDIl+aSMU3IaQIhm1TZ4McTy6Nhx6mqU1VFzrTaZhAtz3M8SIvezbk+Jzu
KRcnzuRywIE3iu9xFY3HGWxwUQMFZU1d9/KMQAom4FHNgK2qC3ypLWsE/oxLp48yfII2xkQzc7dt
Ude6VN58aI1b6R0Hhr6Kt4izxJ576hTX2iyg3DayGUZ0uSHaeCXLOw1zp37bVdqjWk367XuupARF
LxfvceRQwnZkaJdbpwVGy1rv/7F3HruRY22avpXG7FkgD/1iNiTDK2RCLqUNoVRm0nvPq5+HUfVP
KyOrUv33qgcYoBZVKITojvnO+70mFN8DUdHIDomnBNSS4mslbGNxU4y5uILFM2iol5A1eQN3nAET
y25pxjKUMXmYHxI1UIcTPjGwkKMmm5BSVHpzI2d4zTnKMJshpOFeqB6EH5qzDQorN/QLq/CW2PJg
rUBAfsoLYb1H56XYOC/LRhywRKM0Z7nmb4hX87yI4/XAgm4vazttJZZ56bzkz+flXzpvBeN5W6jO
O8R5s7DPG4d83kQYgmwo6Xlz0fohfBvOW4667D4T3Vj+nzbPNE3OG1RAy4neS6xr94INDL9+tjLp
vK3ROcFOhR4r2x11BluffN4Go2VHZOCxOQ7LPkn9xZaZnrfPdNlJOYOzqZJD3N3a560WsnP7DCve
OtFQm4cHlRbXl/i8QdN5Hl41BMAwqCWpRNTGUU24ep4b4Y7mANu8XZTlD2nZ+xGiUgbMS0WQlYVl
4TJopT9yfWqPnKSLB4Migl2VcqI/lxYps/cgL/VGtlQe+rkICaylM05h0p5LlDmc/IdpqVtITGHY
DUs1k5Zyae/sbmpmJvZS8Ihz8dOcCyE0D8rXqaPA2kgNSSh21/XtNjwXUPa5mLLPhRWEdXPVnsut
+Fx6KbpP86DDkFpdJefyDACZUg2IgbItUKjgQIAo5vqlrrP+LPEkE4VZcy795LqmDJTOJWEoC2jv
zblUnO2goWxcKkihJ82zTq9GddSlwoSnVyWb7Fx4dvSCC6+HCtYsFHvx0EoJs3g6l6wm7ejAbc1p
mOhVc/KD0FXkK39MVzFuiMEdtPgmWcExAK4ezoUxRfOUrvpzwRxLDBpvBtV/Jt63st1ERFpL6Q9h
ALtv+BerNqJEPshmlq0Isbf3Af/NER5ryOeIE860hmzR0/QYqwzlTpcGJ7hNce9idEPxqjRWnh/Q
85cVKAcaC0ercDgiLc73dbdQ1U44tTE2oQMIGSm3AZVzsA6zCExHVpSMFN6kjGcv7/olQJYEimgN
thJcR/VctVtODX7ldMCI1lUGKJE6eN8Ob4Jj4oNFOzJz8zQxvonO1saV3Kd9f2WwkmffDPheOKAU
gp4PRbHgYiowC8F9sJwl+och7TAjgzIm8unAgcjKvMGSx7fESpRjNLZ0x1iRtXddE4LjqmW1zuTb
rFVFhAE+DtutuLfRMS0uENNjOKnQqZKmye+AHS0szBNxJ/yx+bG4sH4d+nzkdIl9vkrXnva4C8mb
VnNjJ8JmhoGacLBojXqVLiA+O1UY3MSgp6lbDHquOQaji163HyhXVtk2bxzoQexpfTSFY8EmUcmT
K9vJjVqzfYw0MwZawKwtcpve1KetL0mzzJ+CdcMRrG9fq1CmQzcBIECBgOc0rvxBT95DXddHL+9p
ZzpV0UC5swBqHiKiwOjnZW1v7dsOxb6Ly61ya6jZKDt6IEF+robJmlxJtLjLUMrApggYYp45DE2L
PD1qiCzDWCOhQVjYtwNdwocxg7Pm0e3yb8kUIe8PNUHKkQE//r9MuP5/WQw4TA32z2XxqkmL/o3G
1gU+zI/+KozFH3gM0txANwcHGpObf+HDylIywySmq4ZzBkxfWgh/4cOa/YehLOJTXBdVGMeLz+Nf
+LBm/mGC4kLvhvPOb7AM/VfN/l/Ah/khf+qnkhKZP+gwQ4P8McyWLuViTTMldZqWvevX1HYvy4IN
kmjLxJdIPUxgtxQ1qG5AERjhrKWn36wY7G3uFM/su2I7RAmpe5PtK40rpcLazDTQXqc+yneQEqsX
8MDOiTKArYA65imLG+aSPD/oJcBepk+d14xl9kBVq28Gjm2L4QuOA20ZH/BNDL8MMJJOcR17uQX7
MLNmaStXZGaahFO/C2pJb8jH/qnsGyKKKl2688tWuipj0w4cC231WjeHbCvwZHenipAArc052D/1
C34YvBJPu0bs9D7E+a2d3IbaU4kT910x96TWqlm/m9k0jG7QvpWBmt1rrOA3g9xFnVcDjFzTWNW/
BlMvTp1ZzHdmHBpf9CnAtsaMB38jApstOx6MuzgNjJ3dG+0+lusUbMVq9zg5uFjSDOA/4LFyF1tb
KJxM9TI1EDvLxgq1YLWFeOR/sXuhXfsaHCHoJE02Dpsenvoav0zZwfNrvs7n+LGD6gXYWQVpvzLk
cLzCm3o4ZGKY1/j3tGA8QXjVwZwh9RQosNHflQTPkRaU5DY39fEIXTO/8hOhgAdIKUh+dGuppeK1
qjxijOXHd9DEnxD9hy6ubRa+Gw2PkJJzawRNsy/8Gp6V0uyNLCs9uda+cbwydlGt945l5A+SLulH
Oyxh2RTtiNGnkV+NosTrAU738zBDPR0MvXYrozEe40h/qeRAv5Voh7pSZapXBEOXG0IsADysifap
lTfaZsqrd3+hEw5Tpm7ZhKW9CDN/pdZq8dZlT0ZTTnDK4/rOkDpxHDgYuL3d/ihtMUmodDvlJlu8
5HOjaI8j97Wi5mrovM7yYR516HCF1qbwefMOM+AlxCwJYDAiFHOmKeB7wNZ/UlCOPI09L65PJvlZ
beZHXSZwjF0/OPR5U+1LNuC10KXBC2CZlSVIa1YJqLtDtRzHavYWaMXD3h8K1KZqqL2W6lBtmnCy
vRBN2nEOMXtV22je4L0qVqRS+DdxYVVHjnhx67QVHUdPiseXXIzTVucIcFNAJaR3PY0Q9NvpWeYn
MKaiINjBoMDwDWuarT+15jaNoN33lW7e1PZokNtJRf0EkjK5SU1dlOPnueLgE3rBKMx9Z0tEmZRz
uaqjyH/MyoARHTfTQdDbWSeSXb+3GmESA+AUZNxWedQCtd4RPyIrDq4u+b5OS2WnYAYOXSN5GRCd
O3mbQ+JPK2hsQXwabYwQ6LQP9jdGz5sdwwEDz+328AwKT20s/CSnvHHlQSvcBh3DJtRG/g2pwnqc
jdfZQje3kifJXlFicagScbgm8aE6wD2zd2zF7KtmldFRwuHHmzWTFShBOT2Ec3OTD2V9n0VRv5fN
InPDIolXnNL6g65o2cEXGpyMQbEfjHioDhyaJEfm+MlrWsjmhi+kXTcIiSzzUmyXLvBbmM/UNWo+
YwQR1G6qNOUaWkF1sEQp7qVIiFVA7qOYiyMMqegFR8ZTUyQvUCm6VUmn/9rUpPIqDINwJyXgu9M8
kWlq3IR5BpBp1rmTMqUpYEcKSUg0XootoqNXdIzqibhfCbor91PwBYshufIxnHflQDO/ask0PY6I
S2Qn08z7HJR0dmo5OGASoa/ibhgc/J2MK+RKGnOihVk8TKy+RdnLu8mQbwMl/hqJraZJxO+YYi11
2msgbQ0jCz1jqQ7VxMQrpPqKVYpWrDmpXsGhTrBQyJLYyaVIOgEwzzeqNZXOUKq7RBpW4Enlyu4X
j4M2aL0k6stViOhi3ZdDvauRJgAfDM9Sgn+WLGfwtGNkW76uw4miMRDElE6wrBRT8lSR9IdAEfmu
M/TQ6aD+be25udes6GZSDGz69F6sGjXJrrtE6m+HLgqeZYTfq05Ir8DcLbQj3brtshjfKSOHgOd/
yXVzV0GD2taTsPeDZm9p6O5lXbT35hyvlTDpNtJg7sy2WreBJB9Mm3/zp2AqV3JgRB6OjcU6GKT9
qNo/1Di+1UWSrOoKDcM0Bm+yHZQrCQXNdRxV5V7DHtMzM+rWurbmd+AQ6saGeRobJUyoEADFoPKT
ErkNHbHIKzK14etP5Y9aJC9h2QcrTcrEg5TXwRoakZu04/AdBvXoYIsWbnvNT7czfLOXyIisK6hY
0N5pg3HW0A59iWdrQeMzdTrWKpiP+r5gK9/FlolkZ04qSubuOE71tDdpNNWqcsckWytGOCQ4xCSh
Y87XZI/EN10KldOoONgVSAN2E663iUPNDQSMRoVIZY7Ua2h3CrSMIvxh937/qCtquU21YdiYsypf
F0P6WjRC3eCcbO6MZlB3Rlj/6MM0XVuhXSPZtQsIf6WvufDgZLepouAgWY20aRBTYecCC9LzCTc8
VbOuXQd2V97iPmA6wHjTZgKEOtF6ljf0zIx9N7f+EXDGWFdVV4KHp8UhhNy2g4ZD02NowF7qWHok
woPDOxzhxWSL3a6dow76baTNj3YQIbOzrLL5rlnTHDn2VAmvpp53TfYJzpu66ZhSq+1tDPXclB7h
Uzx33W3cR3Tj2mn4lpdqkTizpAUHQPMAAWFirQx6ifDPr0yRqmv4zFu9k+V1msrVTsa+bm2KztPi
8F4vC+1bQvzM2mDL3qWyml31atuvuoYjnY/NpkMDF+lBmuIOJ6uSfzPGk76tKLLwfREWfUYreG2k
mVLP2hFOD0Q4HQyMeBJNWhsVQnbSL9RSr9yEk3cSdbsqzre1HR861NZuNbN4Y9MWrkMi//RycCN0
tvuiLzWS1sfGU1PVw5YsvSos/FaqJt8k3biH/lTeTehd7jrfyNZjNnCUDaZ3Gj47H8BkbjjgjtPt
hCCpxTSriDZqGcNRDV5om9P7GYujHOXXVjDOhB1Ph1aXYrdgIG86vX5WkvlI9CNyGU7dhlw3zjRg
hYN1op+1b5D3hCvBet6IBgoq2gZTTreZpO3Sac49y8QT37bfQ6LlvTBmEDNH1lFGJ1mqOxv7fPxT
k+FrJb22JQbSzFFlPFpsZZ46w2mt7ek0TfrJ8mtO/7zJEcO0dRprV/TqHhNMPdah3dNsM6m4guKA
WUq5ifIbewpr+Lv6pgmm2CEhu3bjhhTfdpIzLw/6b7UiBg8lZOnKEi08NYU8qFpeYFJ/OzAWdgi2
3glnftKN/SS6Y0bZ7eQq/Etsyk8os7j//qBCQu1b3rGftioThkUmNNkbU4T9JaCiU9r+7E5QbLVA
eUBzsVXoTnkzZ4kbP2y/hcN4GMO295IpM1aDGT61GsiP3L2qeXEP1vutr4MfflKtBjnehnlSOWVf
Q6anWpmSCTxRR7DiD52Lk2Z2JclGuVZ7Ct+u766mqbU9kjv3WiDWYWdoDhh4tGoGauuUD+8YiW7d
Y3GOQFHv6c6qyTron0NoBs5CV37CC3fdh9F1oC9UUxG5Jka97M7pYw7/1QFoeQpMQUCl14+sp5Oe
tXfIFDxfCXY0/Yu9snC84aUOz2JZNjGFs8uvUqs+EKMiZU6IufvCsbQodEpsa6ex20K+fyj1SKyU
1soRcOlIC1N0Tzp5m5KS69spJCTEZdTZX0rO506TSeJHOsf6KyILGMm4+0/Znmp/aTu0qyoAl1AN
4WIkcZ0wDDlbjKEHOyFC/RKAmuuVWX/vQZzXQVeBclSMcoGhllqZ8wo2e0/xlkvXaP1KDwLuV55u
n0rSEWmD4aEa6m/kPrEeW8uAAQEMcW3i5U1RNFurSjJq+v5d5dVWrUOL75pnJSaQFvXVTaZg1xHO
ZDL3bSWhPQJSNmc7O1ZQUx8t6PRwRIxyIwqzWLXlaUKaoac2C53l6UrtNjEeNsIPoSS89S2grW3B
a6ATIxvTlTUA/U2ta2jiuvCR+ESIp50gj/YNBuBTH79M0D5v4laHSQ6bPcmXlYk+wRopxqodrOsI
a6xDo/XVOgQSOVKTQJsbBnRh6ogLXXGczO6V3FdjrY3zsbHJGRllXI77OG23zTzEu66ybtkChCPN
/qEdWtx3imp81nAwoIQevuddDEPWQDGqtf4eWsdiV411xxD0PSV/PW6KUD1CEDm1VRqvOUUaTOdS
Y55EX9KeBvicNYGTGbV/08ON/tJMNG98llPPJKNgFUrt1xTOOtSYgOdKVXNtG8G6oYespdlTLics
5bbxo1fse1EkJ3ZDD6EA6JZk7iwDBBxOufyYLoBil2nM43TCH51MAieiP+vMA/dZ2rCAhna+y4Yh
ccw8fRMBHDBBzISXxIh/E6uNVnI0i3e6VJucUzyEjdQdcn0j5/4+TwrS4xSWsMAqg1Wgl9kz/l4r
3GyVfaPrnp50iE8ki4U1Np+EEkRoJXXUA3iEpPZVKFCRQg4ad6WCb4k5s6jCwTr1E7QZlO3H1DJX
LGC+10ih4UypTnvDNyGcLVA2XedjjWRu1UfivRXdE4XRDbwf/9ac5zuhRwcgvxcRV5qX5lQ/aIcx
H/R9qpJY2YSK/KwlpkW/IKcut4S/quoh5yhUPBX23EF2DuWjatA9ouAlwmu2yu9WlE37RsXsN9I6
pAt6mnG217tvHfA/o3gscU1q7NTa4V0Wf1ngzqNuNt3GpGuPFnmmRRaXk/mWZ7PY1AbaOE5DSboX
ceZ/keaeIOupgZNmRNIhiuPBxVdo8OKgW4xbEPVMYWbv6nouH0XHHPOzRkU1YZBcwAJOgYkSD1pS
POEqY2f6cyalA/5bdvQljOF1d/h8U6bJwoDpLU/TtVGpE9V2nj8alfaKOiDbwazP9lUhdKTEkFH6
idKYNOMavrkIXBGaxRXeMNou71rTM9vCvBOyT5s1KeQdq170kOtGvOaEJ13b88Sua7Zm5ei+1lzD
6M5jx5IlXGyS9q5r7dxttVb/IWWc+ZJ5Uo52bI8PVRPkWzmAUS10fUZBzSQF9oyr56gfEdrJc7Jj
MvY3TCgBm9/AmJteST44INn+PX0ISXVKAOSVgXDzNNRF/No1hszJq9a3yEGJ/wkb6QSrbT5YHAVc
0XCmJ2hMX6mZNrK3+ATqyb68seJG8toiStemYsYY6pVzeGfDbkHzBMfOHpXikErN6DZqY3yl3WEe
lK4B/Y8LpK4hvRRXg1u+1eeGidirarrqqpltfMQ6PlqV1oRIR7LKkW8sxvVgq1iLd4N1QEZkyS7B
2w1VjRnNTjiaqJL0RLmBg16tegJdJWRcTX9II914MaZMPtZB27pTr6PqrJJqnwQ2tviZ0uxETis2
ixJ/bWkifoS084aIPrqDNvqmS6B/hWZKm8oO653uo9VObcDpIWS5SvC4Xz6htsIamMqv8Iyg82gQ
HzGY0L1IBqLz510BjadvZ6THHO+NeZ1kPTcbPpASRkZ7Enrl2Cnf9A5/VYp825NMfd5GUmVt0QyW
mzDvZNiSuvqSV50b5z463jxDaB2oVJVgadJt3ixZ8tqYhXtJbqJtLWn2eyEX5RbCnPS1hHq1bgvR
bYw6LMNVi6faYxJnxr3S0DCPYfbtMb2HBJoH6mmWQZJ64Bl3GOvgViJt3WW7lzwls2oUOGN/OyoD
3D6UkjAkRfps93r0EIS+eS3LI7EagtACvwtYBFJFArlEOL+bIyV9yivjmoaSxC2M+YAAYfCH+yTV
KOmgv0g29ZWgaaRHcXYN90x9Ri6sHLH9wZw0CjSOX3gVyDvUl8oNTJkBOk0wJVcJLDrYnBpJqCZM
t1scl4qTBmQDJqCn3Qu2kui/o0gPvuASB+qpsSbch/TRkbFYkqyAMamBWKm0eZGLxMafRPh/qzXw
/x4XBpLKP4P+V9H397D9njft9+iCSc7v/sT9QfChiJHiqAP8g+UbWLD8SYix/9BMKC2YzizepjQE
PuD+5h8kzcCKhVKBzTq2Nx9xf6gzFvCPcmbRaOa/g/svpJufUH/I51BhoJgv2dZ/Nhg+Orp38oBt
LZQupxRZ7XUGtJW51W5AuuAC+G23DvRUvQ51IJhWW4DHcYZCnk9kbsqd8WAmJOCwAHTHuQCDTeYe
kWrwFc/iL1YGwiXoOTPd9RvbSAYvoWMbt8lVT8a9BHfuOUFEDbnbErukhEhjsfPhHUpfcVWqui2c
KvIrWg5ZAXk5LT2t6LEfzlLfxfFifsTBhqIKeeWujDGGJZjFcPLAytfQUrSbqaLmtvqs8WI5JEEH
Bq8lIx5LlKFHOh1HmzbPQ5TexB8h/jVPWtVp3nk4/Ftj/qHI+OdS/vATRey/RiTbfC8WIUJz+af+
B3LIdPhI/zxtdk361vwHR+zko5Zi+c2fU0aC5f8Hkwa/oCXW9qOWQkIo8McyWokXhZt4bnv9q1km
WX8sycnE7LJyU7pirv9/Z40klD9QTmLXw2w7z0Lx70ybxUjoP+lX+pJMYYA3kQNNrKolLuU2tEj0
jrpcPTWSgBSfMNKx3DA3re74aIllE/huGPEome8/vKi/+nb/kXfZbRHlbfO//9eFmmi5sEnuh0lU
CbIl5ZLAlk1E1TdBrZ3U3C+8wkSHP5vzZ5l8C3vsp8dTbKQoAvAX5B9i/dIq/ECT0/M+7rKule9m
ST1KZvXdh2/NnBv3yfCN82m+p8+5+v2TXVhjLQvhT9dcnvzDNRcD4hIhr3zXhD48psCEY5VN61IO
bq3yMwPwCxO488WgG1LHyiQC4sl7cTEp8/sWk7i7MB9k0p87bUW+5ORFvTPfZ/IQrn//cJcZ28sF
dXYBRWeV1/ivi6fru0at8XMRd4gbToJS9wrq+i5Pkh30sgcY19IuEt2+og/TXWP2+Jml5dli/OKT
csxY+sVg5mwqy+v/+HpVlF421c8dl1KvOs7NyLrLTQU6vR0K1Nyl0diu3BfCM8K8vU/WPTIGqtk8
fo5o4Uq7tunbT+zJfvnmgrgunbdiyYun7KWBfwCvUSnTyLydNShthGBCPE8b/EtKc95aIz2gTz7D
z7sd85YLkndmCvwdCQ2+/O51T0PRqmbjNtftwJ2s6B5R+0HJympdxshvpVbMDyQHQ8aC76wja4BX
gYEmWQZUyHrtyVlxH3TmZyG/v6wn3JdpmMj3TGGatL5+/jqyGBNg5tm8LWQK91TfARm8YmlSreD/
cxLlZNLVc7ydUnw6/hvvBJWnbCAZMhGbXUz2Og04fsKcvjWD5ioz4x/21KuPSjBCDzLHZ9PubnA8
yjezXmsrDW7PDnMUUuOwAlP7abqyR1/8uW2y5/29Wu3vxgUEYpZ+ljrUdBe3JAnW16ASfCbcjm5l
C+lnG3TfE0l7ydFmfDIKL18+ptCMBnVZ6wQ20eaFRx7xbL42sAqeLLt7syuxq0tp3UvVwziK13Bu
H+l0eG0++5+NxsvFHNXfYvoJ9Rl1IPHwF199iMKyREaA05ZNuBJujVbgQb91gn2gX/fSVdUig24d
PfNS4Kc4ijy1f/nk618u9ed7wJYPuzy2VYbezyOvCBZThkEopx6U4Giqboi3iFh3xjX9d8bCD9NY
j9HWkNwgd8vCDXfYI8Sfhe7+sjxd3sbF8pTWcCoDNvFT8MPA4P1d6bbAFHXvSshacteHqVW56ZtR
e6ay1z7LuVIu94PLy18MgbaAkiLjk3YaUi9StoHY9pFHiyY3bwZpGzxq2DTXbj0/ImiMvuTpLTS7
8Psnn2KRNn9coi9v4mI4dPTtYY7KyqkzMlevXnrcZjqrdvrxPUcczwChXeAS6eD+/sLib58eLhEb
sMoh4JL508togKcoFScN5wmsLnDwwT0RUwcCDOaTH4A2qVu2BicZjjEec/XwisF9ru0nfCXTB/po
jqZue/U+JLem3EfaLkvcwDgKsf39nZ7rql9e0VnBykS1WbV+Hq2k+GGKl6jKKcEXDiSwd24wbLFG
twB3xHqr8NBq+SQI3/eNW733P5qdnq+kzUhdlq5LTO66a5yCoAJiKzJ4BIA8NYXXhW5nOpri2t1W
zH8ee/9xLbvQHLB+Mcs1RWaRoVpEx3CxmJWh5cNNhxmU5Jsh2U5vtbgKcE3IX4BMQAeBD80tsCww
ONJVQ/Hm4G7GYFlawYsej+Enq92iaf5lmH28n4tSBDwKtiYMmFMyuTEWhIFrXlv9MUhWc4SL1wp8
Mk6OTbBTGy9E0lo9xupWQbtqdTfBa8ZClN5l8kGXt6gLcSZJ5OdocOpiJaq9aa76WjtU2qaMNkbu
pXjw3KX+Ft80+ZTNn2wTf7d2fXySi7XLltu2k1rebDS/tvbWNtdptvGtt256UtXb3w+9Xyo45Cl0
f9kmOV8oS4fk56GnSSF5rbmmnAghNu7UdbYtNv7WPtqv5r76JH3hnFX60zi/uNjFk8HB1swQ+t+p
G7xS5R+nrVcR2TGZuTILiNyOne+TcKMlh753VWhR1E/jfIqGbTHt1fim765prtMkSq6qcIVFkH4n
X+HmOYKAWu5ABx97ivvoniRbbIKbL9q6wHTROMb0KMtCwoTjocF1sz+G8SrWvGy6wqGIH0fvRkEz
+CTyTyINf90Bzo9s6zJlIEe+yz2falPDUGxSTtPGBiyu3ExfK+/qF4x4cXPxow02hr3pReEVHjNI
RX7/ec/+vr+8cTZh7uKsUbpYfKUh1ewYru3JDjYxorzWtWd0MYmj547PprOali7dphhW8XrUtyHu
id9oGQ2W19IzKo4DjSR/jbch3mpPEorZ1CFdBQYhto8acy29mpsn7M6QGWyjxFUheXyvSk9kX+zi
RKiwUqyhb/jWw6wc5HIreYgn8uGzlX4R+f/6lJSMqGlxKlAu1s+mbBB4B7zkNNw0M/4/nnjDmL14
MnBqx05MOVbBWoz73HfL6w76ArSdGdvVdWx4crNpP9v3zV8Wo+WrU+L964YuNl6/7ZWsQSd1gtMc
VdCan+h9D4kX3tC37dNj1d700U0PASM+KMY+n70OPtW9Xjv4aCjYM0KDZ/0MvMb38pyji4f9xZA7
ARg4fC23+9o8me+lN53CO/0NU2DzntEFHL0m73ECSbWc+kTc5Bcsp9QnJYFA42g/2Fos2txP2fVC
07ixb7FarLL1ALgluSq/El65l779fggC3P3Nx8Fw/Uy+BYsDvfh4RFvQPkXGUvsk3ds3+nv8zSZT
52smDq22w5LQkNYdy/VVvde/1zMJAE51w7NnbxTiNt0bp3iTFC+7bk/qqnzKHqqd/qO+ZsjRBcq/
dJbbsum8RyeInQcIaNJdc9Xsis9OE5el+3mZJNNAUNcSM4drxc8PgX99O9o8BC8XJ8RepWPpZNdY
9dX1pkRElmz5bOZ3TB0QJuSb/LOZLH4p5xlSyyGPbC+Uccp5yH046Q6NLWVGGBLe+o1eUvMYYkMF
kcSztQ2p9aAy6bBO7TWLJmQx+YtwrEPzkJ/4oN0OtirNjFTjZHNsH2k9WjPN1s3vP/TZ8uVyFp65
4BT/0GTOwRAf7tDOzLo0LN5RjaKI9B5nfGD/1+9WRD00t+2j/ck++ekFLxa3Os06yVhGVo5rA26y
3/PSK3E/qCEFOvNRC2EeO3X+yWrz6WUvxkKe5JhDLmPBf4SsJpzhuvtuPSh38Vv/Zj+ln9TPf/vd
F4b9n2/10jlIMrK/rhY84UZJHpX1Jr7pIaJgN/rMAvzvB9mHiy0L7YdPGMytEWIfxDCfXXnEldMN
ppsC/7UcEeRYfAnNzBlhsVBPFek6Ij5vsaNeR+zA/kNnbgskkPO29K9xsHP0+knLjxrDjXSbTr/x
q/ti/Mx6/m8LmA+j7jIMNESh1KkRS20FgB96EyyXbVF7A655E/s6xpp5/NnAW+qU34z0yxjXfGhT
A2E9I4DvoMCTXkn2Om/uqTElmNl4snn5KcZgE57KLbLKTyba32134CoEIiy4r3z+ih++khQsIUlz
Jk7+D/ktmPb+i62s8q/lQYFx1t5E2Se19RnG++V5//OC6rLdfbigQG3W2LCyT1AchOWNdNZsuPkP
cOsmne4u0z1qN7k4mNRZmPytxWdG+3+3iXx45MuknB7pJx78PDIS5tzhWBTCjotgUz38/t3+Unsv
5QOHG0TZC6J5mZcQBvUwIs2V70lYJ2TGSXFkqdY9buJ4tjiR/fL7y13G1mGe9PP1LiYcdjC5WUdc
D9PL1Np2GQlQG/w3EfYjuEozr808Ud2lpkcMvP7Y38EKNHBe/eQLf/bYF3v0gIDGH3puw1L2lgVb
xs2avRK8RIv/3r+/ylw89MXRUY+L2cJpVr7HTdWK3Gr0MEnALUTWHRTctoZd/U12tAbXt1bBuJNf
EE6owRFajoZxkI8vjkPIJcoYqcD420U0okO6ZCUS699/njNI+NPAv7hT7eeBT5YK0uqCO007N4WP
CkddXc39JgYpvA6bHdzFMthM+AXPKMA3ORMClYSjT++Vdq3RakcUwAk489QSMKE+DtZ+rq4THMc7
b5IwSk5ZR69CSDdZsOnk0NXZuAx3lJCvwAfoJi+VtnhPu0tmR2XeZ/233z/hZU7PnwMQMZaGnS9Q
oX1ROusSQgL4aPJ9n9+8lvbgajBojF1tenAS1ASbx+0036ZYqf5lNfGPCMI5b+qXl/vh0suc/7Cq
2FZkyyFck/tQW5n2Jh54CW7XenboNkwF4Qr/s637l5Vz+Z4fLnlRMeR5NPz1PWHjyjsZxcseXyrZ
+GZitgvrCQpX88lybfzdRUlllRfjCF3WLiu3UJIjY8kAuAeFa6udJm+qyQlVwBlEEo6NRRi00CeU
TYnt4TAbJ2sz3OBrHA5roUFUZdfcZenG7xYUaOFRSa5PfFPsafiAnYYX+wjv2dfepdfpBeK9G/Cn
WywGHM7HGhaNJ3Qomr9BR2DD0cW21GsUCtalUF2sxawru1y64PinbNpgb9XukHGA+GQqnffEy6+9
aPFUekVLyPXFSpfacSeCVpLvofRwvbpxg6v+B3E089r0b2zYTKg97Q0+KeHXrtjMETYWTv2Mx5EL
QGA9SKeEgC8cqMMjBZ4WrmRrqzZYGGyjl+AhOWbMS2fUV5Hlpf0mnA5dsx4txygRkrrh+GhLq077
0Un7VMYE2x269YwVreWIDVDRzMt8DvHMDr77+c7ijAYqHH9yGP+lkmPwfXwDF4tsazd208WM90bc
tUSb9ZsIIcnurcKaS5F2v5/YOIj8H/bOJDluLduyc8k+wlAXXVRe093prDswkiJR1zWm9YeQE8vl
igz7EhUpZjTTLM1ehOk9iXIADlyce87ea3+pUb582pdFlkTTWSh0rjdNlk3zbvBVm7k31tSPZchK
5kDpFz6Aptey3RUrmaJ5yx6TfdV785JgR2Lxeku/6wD9u4O6LjUG2E0iu79cAlEzxBiak3RpEEG3
AOYd9iV/P/E/i5XriV9VKfz1fNDXjgu++EzKiX25oPhrkLFakAbs7kf2Fsp2AtFsdJcGPA+SinX4
+PfPlq/H/8dN/stnf3lfKNhdIjXns+PWVh+MR/HDJKgK1tTj8IhGI0+QssMwscNnuj2t5ISPAT2V
dcq1Rsf4Tfr0v3up/3ohvnTbQkvEsD2N0qXLIe075TnXHLF1wRp/N2r6c0v05Zp/eYsUCB6FvFmk
SzsXazOlmcfT6Io9yq89yvpQYOMCw/Mw998sK99+8peXSJrPEfgKTrKpXRpcwKLC0RtHp2WHIttA
6WvT1joXOeLfv+pvb7MvrxLcXYQLAuC66C/9Q/PMPaa/wn0C1y48CB+R6NS1C/2CyuSbD74+uH+7
x67LzC+vTQ3+uGmkXGtNuVUkVx3csF6JNxSQynF+VT/6aYXKCMDPN7fTz6z2Pz/4Om4XDY2h7pcV
3MqMThlGUWIe4iSNqygOcIcmWGlW584vOp7FPrpryqfCWGw1eY/Dy3y/VNtGeSYfyM6lE3apJWAW
yygQ8WcuQ+sjnDFuHMAhTFi8v1+of3/7//fhfllroqCSkOhL0iWgCaA6Fe+ZdhNID4wf+/q7Nu+/
fcdfm1vk4KDxVr7cDV2G3rhSK+lSYF4g/XSsJkdSmRUgNdhHWDOC2K+i7betT+V6f//xpfzywV/u
hlooMadpJWdJ2Q5wDDXY5NSpm8mg7BxRhagNs8xdHhmEpLLfCbi93RQ7cEsnGF+nh88dE2ZUuFG6
maedzDC8W6mJjykSb9KgXsLYT4bNMG411HDTKvguou7fvhb/+wx+DnZ+uZ9RTktCm9fcVqrT0Zlu
uD/ohs7Jczetl4h6J3X/fmf82ZK8LlfQtzQAa4aMSPH3RyiD3ohtn4osMjbKAt8y2bcSZkytcNVs
g7GsDX2jX9Wi06jrucWdxR5QUhx8WlnjZ8WDlh+y7EDTTe6IbT1ipTBlZ7i6Me2m2tTjwWDXZJSP
jfgc94d28JbsKVM3TYG/bJ2ZcJqWfQXjiagFr0jol8v0VKTbKNjH7eWbk/3jOaATrSBFAdcIu4yI
uN9Pdo61mPwGCgGrOpSUdqrZuz3EI8lc5Q9w/ozunAB2DC9EGYX5xkj8JWMse9Zau9JB4TlF5Yyx
a32gQlY+pdmLcjeVXRwL1yKM4uFGEDxifqKCfduuW1WZU/tw1QGWtNBQn+QdRFvakdSYGWy7899P
7+cU97cH4MvpfXkBEHkzd0PL6eH2s3p2iDginfLVdIQtDEO8UbVTRLhrz3SRDZkL74XGTtVoSPmk
cNFSqzg31TE1V5JJSHOs8RM4dyN78B57ZVXqTgKdU1gh1ubcc8iZa7W4NNhfsIO06w7SF15jvEk3
4LwlPE6YH7H6hE5OeFD6mvdehyt/IDzI7WWXiS3+OBgn9NPw+adcvhfCV6sXtq+N7BPQisHaUU2/
0R4ra//3a/XnO+t6rYi1VK/SWJE28u+3QgNAB6VNSGlEhq7sixGuyw6qW2V313iqVak6bX8K6+1y
rb2nrd59/P0I/litvhzA9d32y7PeDPLYEQEhXcxkbdb3FYQJ3SF/fQy+ecT/3Nd++aSvlVil4Usg
sfsiBl7H1nKenyT9jKa2JmOn3FrBOm12Ruxit2/L9d/P8mcg4x/35C/X+UvlJeZKPQXXe7KGMDA7
eubiU9OnrSisxmLfDhst8jXMqcE2blZSchM2iPcdq7Cxt+fftc7+3Gd/uRRfFoClIeclSCLpkhe7
zlibTCd6T72UP9Dt1cgH2u9qsj8qlC8f+OWRRNGjNritxQsCx2L+UQ+b3ATtpjziwSxmt27Pff7E
Vad0gXD0H298UCYQQYqQ2iB6Fw3Ql3uslbOpWNT0kmvVQPGNIVHtsJx01vIcGPi2FiLP2Vz2LyG+
j1163X61mjK6AJUyu4BgtJqbAOdgjoVlnj9NYLPEPQofTae/UPPNKyWf3yNMlpiKgGCnd0vbNN8U
W9fb87c7iJNQ2CxKpqkpuml9eVKvo3pDiaX00mB7xUaMRB1i77L65kb9o2xhOy7pdE7Rb8DG+dlc
/+V57IxJEZLQiC4k+D1PZb54Stwh8C07RkxpIHlIlfcWqxryNCanPUN1ZfjuXP9cln4eBfJRYJjI
8r8mFkwgrsIwmKOLPjHKTNsQapQO8QDr0kZt3NJENkVY3+ixQ8/LtSDAZpYvpE7e92O8fHP3Xp+G
X668KSJpwZyAIALVkCV+reRqOGVdRDLfZeJD3DrOLtEEthdQw+fYNN+lJ8tfnpXrx5FtQEuKiZ6G
WPRL4ZiahSYuVsm5D8pelwG8S2RBOXUn3wcZvLFKjdedrDReVeSvdcpOShFLYdeKy1OJ7whjMclo
qo4xKszydwagYd9jbh8UdpsTAYeE/ziSNqabSNeyb6rerxqg68FfpxCQUZEcK0QP/f6ozcR3ImTR
rFt5YvSx1LQPG6lQfSsgeKzDDC8Y0qYIp86uBXgZZpgLftgwQ6pwadmGXj7MZZ3asShv5MoMV4q5
068WzMQgPlXre2/QlO++35/Jyr9/wSTB0oFC1yLS6te+VMzjDFtdNkLxMunSTQQtfazVxB0J1dot
SXCHgUM4y/kSMnWfQMdE4KCLVhZXiTneaEnVwT+lWYi8dD9jitz0iuRUgXaI0XXb0KmjU8B5Oj0Q
YJe51XATif14Ewsi5vw8WZy/P8Ff2zx8BToCLEtHU6zrBv/8/hV0ep9YsSa2lyEBVZ9EXP1QaAEr
TIXhaU2MECt5MnSp9+WW2igIEdIYeYoK7hrN2BSQCICn0I1islykbQCRgxZcuOg+EE6HuIf63MkG
KA5pzv1uqCAbCwDQ5Ynd9d9P5essBKk0YlFL1Hn+LBiNV3PQr8WBOE7AwvPKuk2qptxBoLgHdOTm
unGjcSM5pV614Ch7LIX0SpVJG29yzJ2OAnpjS9aP149CslWyxGajWrrInRJXhhD1z8P8j7wv/3fG
lv/nXGHXevD/bG85lNmP1+ELCO76I/90tyjiPySwvSzgqqgxk2Sh+9+AZB3YG//RImuHvoF5beH8
iwNn/oMQEMtkqcX7wULC6vcvDpz2D6AkVwWzzsry0yvzn3Dg6FH8tq6zuPKsEznNgUiIoVFE/X53
1Uat9nGkxm5iNXvBBL3iqXjtz0lakwM5DlItANjAEimrJgG/SKNi4sAQyuvdMVXFPFkDbhRbv+lj
s8QfHnXymsdReezC0vL4C38oDQSbrktqX2yprC0ilt2wnbQHUZrAWjTVjiCk4CmhMbqCJ5fcLuDy
6UypB00XrFWWhu1WbNknNbnwKVfjdJD0+aK31Q+QTIPCuH0iR7CwOqBFEtp2yQ7qelG3UYxoJlLl
/n4p8/CGUV7rGiF5UyctLkF2SOFA1lkiBrLpmzV5fBAyYjG667EhR/4oKhoh1WQtlQgq7ohKfYlK
y5zo2CVAGKJwVHLXqoPZ8KXBEtcA7yeap7PQO3KoQQ6Jlxkojl7Oh0GuH7o5F5qVLM/BbVW24eIN
kxbQgBcMlTy/Kd5IEJTQaiR662lpDaWy7e7lPJIfzbBX95PeMt8lgpTfDOfQDpXCQtLX1oXTK4Rh
FylRBOPwiqtFIyqxFOG81MiZM4L9GtuYAt3DQBwc2yiv3kzoXmCfciLvKl1dA0gJjhBUo2HbhJZ2
r+XUAWCeCej2IiOY7iwcXOdWzcAydHTB3ukHJK4+8+UwNKnbbQDmwymaVE68jEQlw+77sX/VcoMR
Xito20ENVQEyBTKuzFITrzarASRmk26SnmzuuGmKF3A4TDMIKkS72LD5yXVB2w1dqu2ipBGOXVrp
/Wa0gmEH1g9nBkSB++B68L1+HU+0GBYhGtZewyp6O1snsvwQMlfFYLlppyUvctPycsLhASFLPqTD
RFCdUdUxJZMVrycI+E6CPdGZqZBJIp9iVyUB1Q4B2a0H02QeImI/r9sUCn4bW37XTLSy+3L227zf
TaX5GOqsrhm0Zt52JTL+YvQFwKA+Pgo6kfNBh3DCpFzVvdLgvVqN2soSSFJPyeK0O9NwCsClDVZ5
iuuI7Ep5dGpBh4cin/WJtyq3l6s0JAhkZITD8I8lplEFRbC4BK5WLM8Ab2QSTbgbooVqvFIVza1V
snd16g9NknV/CJacGDRNZWImxpsqTPYjsAorPY9ZoW3AHecUdExdlSuroQi6bmvWKrh9hflQR0IO
3jfrokVzs0ILVtuEe5JOYU3dWpuyBxIBHBVHjS0LlXFR9Kl3FAEJRBHyg/mkpJYTpiJNj1aijWWI
m0YxD1Kvb5PumlEZPeI/6f2glR38+Y5Mjo+pSfcQ1+u7OkbtO8bdbSaYnyp5oLtxBIU6006daeEr
pBI6ogS1pW1n+gPKMc1YWuQk/TDV8nnOYmgJdcVv51PsIbR1sjp8S3ImqkskizZMH21HtjvzxF7/
mElAIUme6AgzHNxoFJZjM1XqRoO0EkOM5xAl8UMDsuNPzah/1lr/klvyDSOF5YHceR0+kVZeCPkh
KS6sDI6DZJWW5+9TI88ADZ8uwY/qh0le5yHDCFdPk8IZtWxg08lQnPDzm2Xh2WeTrAWpHSUTLSX4
stk9Eb20AuW+RVtnwnY8FqaCJDXdgysN9iSDA4Nuc80jQHk1Kejy4QSfl0FYzsIimA70qo9+rMpt
FmnjWpBifZWJDMNIYdWrdRUa841EMtqrQoLTrgZCmVVZ5MhGZYJFI1ryEI/AuKCnx6CEKn3J3EQg
o7AziFNC4j6RVFikSuiD2K1tpVYlD0BzcubOkStaKvKzKs7mpuRuR5pcq+e8baEi5F1lbjsMgQ+V
kAWsnBFrrw8JkDCUvAJyaMoAjQjZi1qCfYjB8NhxTKtxYV9a8bD4AO6kDQwceAjLBIE4IlSW7J0S
0mjX6q/Q6QN/qTLVkyOYOwaB4khvQUEvpEazCwaRFnmtJvVXZUlZQAy28pU4sEvPhingTYjaekgN
+aaqrWoPm4Kcath1t+EgqHtoJYFniax61TCGe6B9jYtjk9AaDPjKbUyEQAmbL1Y1txuM+EWfF+NY
Tz3TdS1PDyFaCgeuvN3zXB7atHka5w2WMJZBvVkrUuFFpR4fYOeciNEsveYahhxkw7IjHSo7mkie
bArPhmEBIjI3I9sDjqaau2avywREJ3rnE9SJlpf0pLoTHosgFLaR2JanLJTQXCdzcFpaFrhYKTwM
TK7co/tV9HIf14jV8rw45gN6jEYl5qbHOQcdC2MSboqM9k0tCK6myaE3R4PiEU80ARmsE7/o4VOL
CS1HQeq25BSHtwGuAAxJl3gK32JzZgs2DMK6NaxmpV13ktKiDSCy5sTKPERFJ0vh1puj6gZv8AmF
RkUNq3abfhLUS5LVn20qAbuRyn0lDCXLQM+cXKrZYSQ3hgmRoS7JSmKHJ9/WAidtg7W4FAN0FLLI
o31IICaDDxkqoJ7ke+xt4qnQ82RralO/yTIuvJyH9TEp8uokZCLH3ubSm8QO3C5JkPRFsmJrK1EP
sWHdWcVcPstSHa11dhN+2csPjbAw7ikrXmhxAh+yVVGEKVGw7lNEMT1oxHPdN+EF2FP4MAO0JkQT
bN44ds5UjsFNXKVozCGLIEXuR6TZ+u0w0QZVWeDXMvPild7likcLId/I5OYSg5kkUDWEZlt3I2M2
tW0PhRbtlXw0nUisZkeJoleyS6s7Y9JaconHaqdLJT1XuVg2QDcpoqRkPCgaciuzrLttYxTNmm8J
Az5SfTJ/CGPYB2qFfVSctiWAmT2YY/LJkXNtdBAfm3Jesvd2RJ9RAkQlzme8r0rjIQkLJgTKuB0k
AsxazSpOxhCQakwMrddFhXE/jtZ4hK9oHqOsuJdMiOSGAmRNXYB+8KK/FeYA8lA4oGIUrXLXsK5c
TCBvu6VKWi8uQzigMugvKP2LET/Xikpju+Px0FbxHFek2AfFpSMk0SNFU0O/BUZrV0kxfcWuSUew
LwXIAV0vM2K8CVN3y8Z6XRqrfJJGMWaOsZjjpsuiwROUbHkdyQ9jqjm3rP1tqN3q08LT103lAxG3
6mnuSdfSI60lQMK4nztBWyu833fYEWo6yJF4tmoJ+EHVRhScUMCeRz0aPgdFz70+mUU3B9NC/9sS
0pulz+v1Yk7jZyUVw+1ApgTdOYAGgWAxdeC3f+QGoztgpNEnSRkfSX6Nkx11+GN9rvvQQrq9GI76
badoHVFKzF7nFougS7QfSVq1Qns/KwV5PasDLXiCbYVDw8MguHqmGXdJdv3Ck5FVUFSykrduoblD
a12lnXjlvU5rahZU8l43gWaCgOs0ZWu00c0U980aZ4vOdYIXBMBs8ashVW6WppbfU73SOCJwCkW3
tJ88JCShqSQB+HENUJlS01K3ejM9TqQ4AYJOPzqNxZnIXP2hq8kJ4v6rTqPZvSXGEG6mcAr2iVFC
oybQ2GUAyAwBzPF9ZSHJBfv5bOjm5MmS1UOdZDgcmfchL/NSFTeaLG41fTAdszSCVSS31aoae7dY
0n3ew7YNZxHNeB9eahJ69TI68MJjNyKrAC/R4wTZfjCG8zWjetR+TEvrQD0GSap7gRS8L0Gkr6ai
PRWm2IOSWV5LU7iJsxZTQyG3OJEF9MIUmuSeUPPUsuTB+6Lolg2vVQG5580qqpZ4U7TDoUmUamUa
feiZvEyYWRY/qrYl67DeBCRS3LMdCT0B5NeDABzQNjKhdnE6boVZwp41LtIxGMKAMEKRsBVjTh5L
mMn2HFutD+DQWsf6kLhEcsAWVKY3xRASJvUFEhkKW7rBGYeySO+TJYD+liwX6CVk1F7vVrS+HWUa
vVrUZl+k6ABIBokXXv+W7smnlFTbOgLBG7C5YD4OU5sImGAzj5IJuTNs3Dwdsm2XtqkNuN7a9uR0
+GlC2HoZAf9ZFqZtkwyrKzPGeK2Rri1M3OUKjJH1ABNqH5Yk0aiaRiSG2LxJ0azaEkQ2jXA1rwFx
4MoLBNy6V7BAGexkJnrvTPJmpsFzN76SmZAcckFQjizIj0VXN5ci0UB5dzIF1wyRy5jVNUEik8sf
4r2edbU7UDbvK665jdk+34YhqTeAOhnVTqe+NclgH9W7LJIl7msLMqbhlkjHVbhyeUAOT9Akk19D
1ibknoVc0PcSiYLszAbgdECm7SYM4QBrkUKpjCtnXASW0bJPXC0Cy1lZxZtQ6x1XWYhdYyrMvSSr
wdE052dTj/I1YKKtEYxwpBWPN78QRQdtbto1MY2dzy7KcOAGY2tTEdWCnvY0QVr8RhXrNVpfKH+y
1azhxd2rytI7OeyAtdV2vmlF0X0mpNmLFR5is5Ou6Y8IOI0AUnKRziNcQWp4JisEFFgBVh9l8Ele
3Esjf3HL7GGWcdKFfCUSJlP6tF4NT16TinutZiLVhdfUhbpelwYVm4ggbWoskvD4c7KUk12aoq5I
lYcsSSTmc7RwyTnqd0LfQdHu8G/pqcy7kUIDBbGTgiWfmN3KqRF5QHoLP8TjbedWdleEAvjLqnGD
PFg3QxvYatAlblugVZBCjK1j0rrCaGYkRjapW89y5iOqj1ZL0i/I/Tl4Vv6NTDKSAsaaIE0IvIMY
a+sF8rc9JYQgyVJxAuLZrNMFG0CUd+V6TtqAUltfNsQ3nHNGim5mUDEvHpSzeZNM6TXSLu5Q7iY/
pkg5AYyyo672lALr6iBRMkLPHMFDrdO2e2oqCZNSrrzUnKJLv488SBaJfWreGPH7yFaWjoXGoE+W
NlYCvxScMqX2U6oPKAjzlzSpShjAAP2zkSbPAEK00H+UXf4iGPLAj7BRlvP+PkXn7oxBdhNNaykc
+eb1R2Uy39RKaVzmNZE3dBYwqzmYnLHBjiVQlVzjbZYNMArVHpX46qdSYmbFS7ctWc1WQ1ajaSia
J3jplSsMQ3XNhCsRSDEnLhjL8Lws2rbJdd0tjHLexKLU2sbMNtWqx4tOE9pT5CsGmSTVHqsydMqL
2FiKLZl9DhGf5L0xOWiDeQajPrspQldejJHsCUmxwqzvLbrmpQyG14bUdWsiilQn1Wc6SFRsMvFN
66gs4XAZMyMFUR+eQl3flxbx5wzCqbJpkpN7QkVZKRBHTYP+DV9UMBQDXtt2l3UPpoWoZBja8STT
yGKpI45evTLiAg2FdgTdUaznZQPTVUBxmJfQKSZoaBESbrlt2KhUAvvmWRG084DvLS4nOKS1iT8x
bdxJqImTao95NR7DrGfXx2vTrK+xKjkq8cAYtxCVQtJCUHzSu9sNdIFzq0cpH7LuIkq9ixX5ENHA
sXUNO7cwjIK9zIxnu0gyvYg0NIDAsYVxaJpv4egds4Z38Gyto9as3io5aWy5nosD6fEJA6jksyvR
gye1mJCRBeXNwjRDZ5yzqdhgoeazrsnzNIOy4n2IRvYWCdeK5E1hK8F73QKwBuzaCu8SSB4HOcqC
XAQJfFHhrolLOV+VEojeWFsUonSk1ksUjKI9w7ljQJq3a43cDuwy0gN1+3ULqlz4zLNp9v6cBt0B
EKRA8yMcvECAdptPSUWjXL4zquAwZrywS+09qNuVlggYmHnE6i6+1caW5qOY3TZRp+zkbN7MeXg2
y0K0pRw6a9eAzQofmAn9EPMu9aWsVNxmKSG+D8OI2K4pPAVlDfs2/Qr9nNH1P+rxrPqQBxm3VK27
6PmpNue3DKakFsHOI7RGdLC1FeAhCT2VJN6hWruqSd0qpuWmzKd9KBnrViygyIyvZs4rYJnHAdXu
NHgRaB16GD2KFHUp/LxgFZDZ7drWIj0rklCsVFk4tZH5ks14HGUzudp9S0RZJywPk52gXXOWoqax
1M+fQ60UTqiGBczX8XXOgisFGgNlEyu2SSiR29fUQ/IULKu8nLEbmcq8jk3F8vshfM2UzB+jKbJl
td42jbKqEpnISRUjN2IAw+mvRMdcDM+E2PI6NIVnsNQvxOGdaECrbmNksTuEvZ9LgjsT2weNNHeE
pDvjBX+g24DYu6oaeypiNDzYj5ifgc+Q4QU72ZIGq3Qujt0Aedd4nMvyExAP9H8DW2cQ5SdLZ0UI
ZSM7EWQo+IqU1UQK0ERZ5NClG4z4aW5XZUVqs94CN2dtYOfAZjLCShcKzU6Mu0OfkeogpfXHJHcP
YYO+OpFf5zxtgbKbbIJUmXZgbKwbmiyuItAm5+1cuwTHLs4wm0fCqF8Y278Ric159MZtauGPHYzK
4AZdKheEbIdel4IxM+hTBpAanULu/JkkISBq2gbW/OQsEtbWFvNPJNahV15hzsTpXkinTZBQyKU3
z3qPDyoZ6GViopgkGsBktsC5DARUmll9L4ziS6omYEQnolwzpXpgM2a5FdHI8PyTm7oULuWivnRd
8W4UkxtKoFp0BYiiNMNSSumzOJUhw7BQjB+GaIy22VVwtKPEb8b8qM8onaYrB5/WdOzEUoH4CDJp
F8qBW6WY+bmbC22gFarP9OD4OKcoEtAN6hSS6jBLnkICGxV4ilZ9EULueIT7rRBw39TCDzUoDVuO
NcKrTJqPBtRpWy8TwvEKuiSRTFYXMj4pVNhvs+WRq/pTFUiS7iIi0pDaEXMcULiHorDuaZmyS2S5
s2RXDTF9L6bEQBNaADhzQq7b5Erinq2aTq7waaAEFGq6jcCzRV06BVOKVaR/Dc15dORFeYgNuXRU
JTrOCGEbIVr3E9TFlkdukerJETsE6CUv9mMKqXyNao3/ViQEvQw8w0YezX4EbMKz6EzhYy01DDFo
Jo0pvaUXQboB641abYjy1h+ivtmxt3pj0zyuYnE/TMj+reYES/J+SmfA/kN47RMH24mKuc3od8bv
hN1uI2146kO+rvo1lq1HsvxeCAjQH/KuKV3DWIytRGZiWKrBpqujBI4pCdfR3KerlJgyuwa9hVak
WEvmspo6/YGx/lvXSQ9p0kZrBkkuV8uEm02nsPwwKZwqvBihkqWu3MwvHcGZCMHlJ3aIwGgnWXOF
GuEwzavU7cKicbj33VFXtq1evVe88lxLTqetyfhqlUoyEKV6xHQaWNpal8bjSAPvlaz6xq3z5jz3
Ao347M4clbNZCU+aAui3SgUwFmLHRKKiVQpa9kckdvUhGAS+h/7FLMvBMYeeqB2TGHQjAjUSxXhT
GmEGk7OYtW0KaoPVKdlNmbWD4rYnSlhyYmN5Lhfgz3IJsa00eAfmDJdZ5oT6w1iw0sGNi4iV0I6q
ISMpCdLz1HcMYVQcKH14VwbqKe/V05SEJ0q6yRtaEWrnuKyLXDt2VEUIcuLabsVK5SWj4zMcuxzp
2IzTO2HMbcXSVWMtnYceX0mO5F8Zo8QlL8zVgpgAlcKaebNYWO9bdKWTTiKaaLbWbUQbwiGKsjzC
pnr9ORf9/yPi/wHS7K8j4v/5X8Xre/kr/vDnT/xzQmz8gxsDvA26Wx3CoXTVMv9zRMzviJbI8IGx
/89BMJqMf42IlX8YGpxRfFvgpEgFQ2PyrxExvyUjaMSsqbLI0vb5j9iH6u9iqOusWSYkDFXkVfej
Arb5fUJsRGzpg2EeqE/PNHRDt9+dNXd2Fj9yEndYw053e5F184Lgczt6hZuv4pVxXGasRK0zzvbu
ISSzOi+dlbICckWC0tPU2NveR8eQ+OPTvGZI6HXbMVwTUCBi6EJ6dvPQeq2dr0le8kx/afaE2dmV
4hF5IecPIgFbhE90NsUulYqdHwbttortgQObnckfXFPyJh8EQPiiub1z7jmKc+/Qq3ezVbTRvWgV
u6lNrsdZGR0g8/0uhj1uP/R2tBdv5HOGDY62kE1807ba6yt5Vbna805wM/4SwRUf1XWzzTz5LfYD
r18/gJPDU0S8OZ/AVtI4AmRX9oHPjidGJ3U7PMsHrIv2OXBaTzqS7afZD9vzw4NlH3bXf5mdZp9t
Wu9FdUCf282+2dNs26bQW+xdbuf2k393F9pvZG3tCfXy8luC1Oz0ocaRhY+DFvpOXNEv5uuIF4e9
WP8Q+QWdAf5uw36J7TuulZ1sOhffhz25xrtlCzY6U9N+a54VN73tXHJS97kd3sxW4sT3xOfcQpyP
Vwm0pT4cGcqzkJzr92Ulbqp1t0MglNLqVXyJD+Hn9to5PoVOtWrXvS0dO2T3Iej63JOPDGf6dss/
unkcjVPztPjInt14H264Dx4mD+yUq79kW+x3SkUN7TKtpxIYT/hFshOZKELrpOfqTR2ZrNj9R3WU
iKn/0Pz63K/6FR7Cd8qrJrV35AJotqJtXqaCrj/Bh+7Md02VsnwMB1gB6eoaw75CivBYsEnAYHtP
1gw5lMaBODzZa15oJ2ZuGm0mu4w2pyLaPDfkin/2VMa9rcNE8okV2Ikb3Fr75nl+GRlM0eJnfkuJ
Xa8jlSCNkLeWK42o5V1j34reMDwuBJJlN9Y5sQWXNt5jdYj28kG5NPtx1d/rxkl4s97KRXRF7L+D
ZVPl8Atxm95ErnDEguYkwmEcPfT3KZMmhPl+zv+bDr9uZIpFm4SFcW9sqM0WzZEiktcJT6dvclBa
gpDsWLf7TyC6lGgEg4yaX931r7BEtH13pPPWlJtx3iLwLqO14gbb6JRskj3qjf4zOPNXum9g1+3T
ab/l+GsHHa8rsASUk83oNXqiiqzumEjjgAHu0n7qL/oh30Urun4mAHhH8JRt6gvcYHRGYhrx7y0/
bbrSyqU3Q6azE5CORAifDbsEYIsAc/+Ju67W7PhROqWtoz27Au/Oi/ie+DaUQptQl7VKfp1DNLbp
aO+cGLAvP/J7/zSvZctm5LwDucHVUSlL3fBGOQb3gp+61ydYVO7nxyh1yR1t3zguqlf8jU8a64bh
DE+M/k7hbvqhk33xIbz1ZBaxK+etq/j1tNZWRfhYU0bOd2zKpPV8KHzV8WdvJn8Ab+HiHkn72r0J
NnMYUN675Ed6o2/RaOmviE/sFEsll0QcHfM5e2P736zl51N4sF6V2CGdJTnJt8optu4VAnLl52Xe
dI50Vg7ys7mvmo7wbJu84ndxI+GyOHqLY6zMp8AmymPPHN6u3uTTRrldIb6/iT6VG/MEOcqbL8r2
pt4g2vEZL4jhrZFumCeqD2rDCTU3VWvTVnJZlr3X12idoL7eiPYlWpenbeIpzqNX2ZF9M7uedmZo
+s6I0Q2d9oe851e26KpPxeuzwmJO950+gY+nyB396JVmuk0tZ0sOgl0vW2vO4o37G9mXnBsK4oc2
ctXjsuUUbNpE+abcQ3jzzGO5EfkjoKLtyh4cEkpCG1gP/8v0/0XdmSxHjlzp+l3uHjLMcCzuJkZO
wZlJMjduZJLE6HCMDgeevr8oyexKWlx1L1smycpMqqwYEO7n/OOmvo2u5h0viH+/3sDpb2qNYmeT
BoSlb6tT/F5dhvJq/KEfjL+sf96T41+v4nb8xRoHPHNsN/WvhBL3jaajA+b8pruh/Rtv8IbR1PyU
/tWww2QPxElfxiHesDad35O65C9vUvArjhmuqvHKIXHujlgCFDLecVoO046/BxT3WEcHB2m12Foe
T/cU/snY8droEOyz++j47pw83gMda4gZsIoceSp3ROHu9e4j+HgpN+XV0/bix6FcYedfx9fi8ELj
I8skEQCb6INKhsueezM5ebcVpM49jMBuOnS7bhccz/8Z985DgpPyN3csLz85svJlz80HoQlDehxu
eFHiDaridr6B1Y8pAdnkp7T7vRAx9sXynYyk+1NtcSf3D+kO3oi22uNCQlN2EdLUxn1Y85IdymkY
YsWhdS4Cc0FNz+huKcyJ03/Igv9HE+R/I2D7f1F0NqnE/7/J8Vb303fGnP3djHR+XX793//z19/x
D22h9zfyr9EJouWEYIkjRNt/nxzDvyHzhwWGtkDNS0ASVot/TI6J9zfaZRkYBalrqP/OyTD/mBzJ
4WaYPI+bzI//48nx3zyoiFUJl0T5yFjLkMqEyz/on4WrRUkf2QjFeuiWzoG5XqL4d+Tp+KFf3Pg+
6B3uIG8OuDGSeiEyJvcG544uMOjT2iMLgI1cJZt/+vju/65n/udE7b+k+/9P5nyO80Oa7Z6d0AHp
/JH4txflI2ZpMiCDLe0O6a8cvuq1mQRNYkqFpK+udeq1TG+F92XyBEGCHlLy83w1xFz++CS+/sPr
+Vdd/d9fT0oYMt8fak/aff/1Q4oihEytTxSsNyVnZS7KRbLt3dHFHc2G/JSXPXHNJIW2dDrqXv0J
TUYAC6WCCHHipdeICOsBdoycx3ihHibRHwV7L4FERav/Y8TPvy4DvFzaE/laXayuXojZ4t8+PuHp
3usFnW/5uq7m4DXa/JpGA9OGxq34nJQyaJMDemgY90xPUJIowo+4SAGDR+n3/+Hj85PkX32SvCJy
vbFJxgHB3uSA/bvS2/eGNSwD8EoqMwhcilbpMyEvbvEgaJFJtv0SEUEiI3eMMHgGmThSKeOCzRWS
EjBACzTdIlibH1Th3ATJfAbl5cTb3FSEPpmrrHXWaDOVWKf4v69esPeIEf+Y2iR97Pqqvs3GaE4Y
T12akCafSsILIcuMyJBpGOIdhXXRG3S5aU/FOCbU3LaNZFNJAGiYmahMf4pDy5cOPOK5B1PZpbrt
l5wSpMiDlzvAN2QfVjaepV5GxvlF7RpCK6qlXiHUsogzvT63OcN+tqN8isY+ogOF+vDv1AI7gjhS
JXXVuqGCYIv7dCfa1D4kSe3zh0RFAEPbVRPwVJiYLzEo/49CwMklmFQWRsOJ5YssWu9iQg6CYTel
4wHlXyiXnSc7qvTSqocxSwdiRq/iapov3BWIdOe5ZUllXhzMCOL6GEt2awpYmRBAWx2T8yOxDdxh
CU6dQwLEBr5wek6oPYOiAyG58kWfoxDp5vTbDXynR94a4oWwpKPQyOJRkLRJS74P4m3o1qyQLDXV
wequa9GidtnN6qfTA4SGuUf90zIHOh/DSDFVHbJAOum9zQX+X404QAbuRdsF112zfmkD5D5VOPRt
TyBqbHL6nGxFv2N/dHJb7Z156i78PkDM6TT64JZpedNBZl0mNr1K4j/pFNyJkIHPIxAyiCf3oqF4
6MoKEsh1aodjnwpEIem2a7zfPXrimRP+4Ld/tL/sK57XfLLLvmzOYssyLPDGzeZ6qabyMEZnhyzK
6eKcB5Tlu1Ib+1jxryMgVn2M48V8LnRnf8wdUbIzUaUwSr+VkFG9CW3Dt4E/jHNBV+KzkNF8MKXq
36NhuCvC1qFHtKWtBjD2ThdrgtQysIyYZRB9+lleZZdi9OUJgYX5GhWqrp3P8kTBqKGLZ3aK7J54
cGzD0eRSnRxLwlakJaXQrfGaqg42HpPENpksWivhP0dNVuy9Ur03bfwRzMEVDgb/vp6GV8KCbuRK
L+Ck6+Kge3PuX7JpcN2bMriuAHYtNOSnSTMQ5Sl195Xo518jDs59V04fDqzWPW4bGp+E0x5on6PY
DtM7onMV1vp3UeT6qm9y5OjGhUu/zfOpnI89b/S7Lj31O5wc+K94WKBLCllaeR0CrnVQPZFx6Tfy
kQ3kSeegZh2tQfIknJpZahzYTxabwY05C+ou+uNaitriUuM7QuwLeaBtPEW7dBHhlyfmnP6vNu/1
qQvR/5CXOJbNw9i5yU9mezax9lzO7DUjTdQ8Jt0bpEqPc17XVt14XZDYI41xmbie8tpDcr903J7b
lG658W4RNiiuJRWFdJhRJqm/kM856s1H/8mEr/OW6iCHbk61c1TZEf4fiyoZj3GERuGThrNBfGbI
k3z2GGn6RWAA5mR+zcbZZ0sxfRvdzNE6OU+yANW6EEvhuxeL51EqmGg0BgrdZRos4Iy5tKh9AZAw
68Dc6MC7p5EsNa/SqqF8c1pRtQuxI8jJX6BGwumXdqu4Oq4JCiJC3Hh+kKKsYv2iVs6wCdopbtEG
LFXmxQeoI6H3EeZEIgxEqk25LVfO7GPXzbPdjXby7C9PaBlvU097M0VMSd9fSFB1KPnJR17vhOVQ
ow6DEuLVhrQj6aQz82Mf6DmfDi1HOVxxHyJMRIdd+fOJr8gb+bUgaf6kwnAU9EBb7r3HUSPvuoWx
QEmJJBOUu0hXH/UMFRrSXowFD8m2qVShr4eGOpToLOZLG9CVblSXQ+rlb13Dq7mRbUPg2NC7U3Zb
zl0bXgT1ZEgz7TvtvojS6VPIp7Bvbs28FvT7zikqhYVi4eiKIysKX1OHshCgFrOA+GBCA55LusZp
fmu/Cs55IC39oJ9NJMr1jiJTRddX6Od8n9ZzATUwuA13YlUQS4QS4aY4xstUpHskPA2FxiuCfroD
lYkpUHfduUs1FJ2O1m5TByERC6Xb0OtMkiyUHml0mZjlxRhXY347Ki7C7zBgVjlNM5LmK5rZlXML
eL+gRhX8oFmwY9v7BDU4bVD+BFJQgbIzwVKMl3kqIOboOla3xrdQ9r2l8ovomNC01wIJEH67VNpE
vTjod/23uCOm7G6hkhsRmZesCyaWpp1TeiLLHOZg04YQ1rTMwbWfKq4zyv3otZQptlzuYwpse/qA
n2VcKKhzHlPqhrLamStkSpYK4aOt0tJe0IUZ+hdaREN4WWkbLTexq9Py0MYecuSwFvwUNLrBZtsY
WTVkoFSR8yyo95N3Tp5m+ZdIVpPdthgLQSo6nT0lU+z9oiDm5AbXa4IpWquNIJZsQ3T9Flnye6/n
L6UCgquC8ojRYW89guTRe+9Nk22xWOxNSrhawYIft+T9EHGzRMM+48J1O/kQZ59eSI5c1+9jGYUM
27eGT7UIb0cTeCSnV7fJGvmPETfCtjPT1pXlJfQLE/s6HUuO024mVbhf93Jx71MV/sDL7utQirvU
Rya32pxAacIe4ebDzZqbO513z1YmF6ka3tqqfRtTuz7I0X9c58S55DelNp1sg6tF1eCLnIFXsH1X
Lt1n8yrfKLC7wXnzuvg0vI7kMUewYHiFi00N62jX9TIOsaLk85sBh8rHkf16WCDKYAj9tNKXVeU9
JOOaYqpfxkM4hO21P6fHAvC4F4/lrH5RlKcuTOfLn14nX/WM3zRHkL6Bqj9mVTjUp1ZpRJB1QQ56
kmbdvsS8pGq/R2zMSJwWTfySU2izrZ2+uR8d8IEuW4lEQDsFeEQc/DB33m6OgvZ6btKOPHg3QJlg
hmvpxpdlRXkmAtdq8B5cqjW9VV/NOCyHqd85Jd2IdoDtrpXpL8sou+vWdsuv9W4sSKOmYW7+vRha
K7K5rba5gddVCC92USevpEEpX6cKtUf41c7J72TqaEH+EW5IkT2/5kOsWNn7oTuVpRnvZKAIKqrm
s+teBYfB9cndKyu1P+fxb0ph/SMilGwTpIO68OeMO5sQUyee7eVSem92deS9XEJ4fyqZyVOjUaEN
rxdPLbsMuw1KoeYhJmGd5/gsOqYvnFgt4QO6JEiVCXHtrdk5xfCqQzxRi5N+9QroMmxGWivmoMOa
YqnRDl1aiuNp3Ifu9CoWSyBLrlBrpW526pjfMN2G71KX7U3UKx+FHAZg3ZevKe++ACJf0+Cl8Uuf
Lzh8G6Glp4wknlmTtTjlh8G2lCAVwa+hzK+6yl95VFBiIQitL4ae9vNVGnsIc9AQW9QnPzY77QXn
2au8KiyKiaj3xmeHe+feGednbbLmmUkQNwj2G199oiBebzoS66LW2/qNBPLTPtF2/nQtEn4yjsY0
FK2GOZBXclNPguTizIXqyxGVbxcaGfd0vkv67sPwKfc73gfhK3/ZdHKdvxS+at+9pU2OxTBdLjUP
2VqVgDNivcY9Pe1MiQ4qzn7GPGCcMtq7g1POuATn+OPcUnc7CRRhrW+PjMzqJTSWuCrZD+CW1bKp
6hEfQCfITsh7Bl8f4TD2LQpVUfh5tIJTE54x96ZR9TW5GlmFN9o96qHxQyVJtR0FKY50ZOcPVnn5
ATThGT0Jn0ZXPno5l6bvzNRTd/Ieo8GrSYZoIhfJJMdSnf0JaqLRHmnUIyjHvOkstqMQr0A9DOH1
RInXthT1Si/tOYtyPFbCvSysm2+0CBATeWOznxrG7sLX90OvSlZWlwAffuM9ct74II2fv3YddbEb
Gu+s2sl2YbzjAl2Im5xvkyx23jMsQJd4G4N9OBfpRo9IQvy5wT01zsCGQzZd51boyzWyI2RC0eGS
UmY/4J4h3a/91VWCLHk+3wc0uM6O/h8kQlHd9XdrHlVvdGznAPEtQCuq6Dss1Dc6UQZ1tOMdw8YW
T/6A1ytivNv3TjDfeTZXfBnlcsQ6hKDU79KLwZf+r9w2+RNfIXdjKZoBeSKIaOZO3qYsQ/JiV/+W
ZnWiLIV+Ct3eVyh97fi6egOcSYv5Hp2+yY+51ea70APrS0GqVqUXkkJQ+OBgI4IdfQqo6fm70Xku
Tx1p0A+h4Nz1Wn+fFPk7yjG4Kb9uvuQ8fqYzXrwhzrqvto67O/xVEOyFrA5+TP5LJEe51UOS8Zrm
8lnmOUNtrKicF5g1KGyqOAun7NXHWxAO8UBOaCPfKn+sH0eFbSQuCp+OwzrB/Ngtc8npN3HqPy5N
A3cU4I4qv3OerxaxLaMi4U2OmextNufnyulsRWnLXtbMTN1NPbrJAf2xA8GCaq/fdwNsOUOnWsVh
LgYqcj3Tu+8cL90FzdQ4f9pusPVXF2lzEZrouucUPCD/L2GnuuFtpVihWZN6X8wJRbmD8chJN5M5
SDu9zhE6RdxUUFvphEsUn5BgrkPKE6sHJTXP9DDXD9pqxqA0uSY/U17yOGJaD2lU3wydtreIBNaC
U9EfEDpG9EHUgtpFpJZmAPdIxvBgBkPtgyCp/9C75zaAMSNZYAFVntriLTinEii3d1BW8jnOZUJh
xISufezm/pPAdX1jMXvRYkBvs7eAGG2ytJlOy1DfDn5xk5uz2KELKfRZhZ6PbbLYTZrHkD8hS03g
spzJLIdpjakrHQdKCnZuiM4r9rxojw9vvS/G7MYua08mULiccjve+E3O6NseS9vAU2LA4n8y49ah
pSPZGMwlFMJkApNmXM7Jcan9+Mlb2wyTDuJMr86CAz6X/kQHrsID1JThlT8YEPbSLd/LyP8IHRld
uXHSfSLW53c/DF8eDyWDP7KZTJJX6Jm526hIrJet26bPyCY5plLdROiSGOen5yD1o2knkkj3142c
kj0+pQ5FhpfzqDALTTjXYkCDODvjI3VE/ig7y5Gkq2w/R3/BMfadT8PbxkhlNmn6oZVAzr+QbKoM
30uVndYsstRXA1eVMBZ9yinT2z4nX3femAZHY1sVv6gT/fS0sxzFKiJmcn7CDfM9fyJyIuWhMikc
Eg+T9ArZ/U8wTScUAMWNDdP7NFneAs2rZmd4anOgnmy6z7v5Aoit2Lhei0IlSfqz8A+5VHRjwuy6
aNP3nmSZohn+ZE72HNl5PK4r52E/ZBcKQCAU57ALETPba83OX06HMBoZhBucw4TEbVK6drWq3p05
2KUKbnF275KJ2w7VJvmmfnZh3DQhoB8GUkz3a1wjN1M/c13eLAvJsBwyg0+HTjCg2IufPU99Z1l6
HMdzrCPL4Fb4RKYFZ4l+wDQTLPNlTu9TaOMrMkgQciKf0RLLg59eyUrdRwAuZ9EiVosfTM18IdnD
GDu3/mApyFouMojlwjMPOJ3vplqT6pfAQOnwUuONrqvv2pmes6X9iKanyaSPfSdOkSS8dhhzuCyS
GexkT1XfPfULmmPBfLQbIlIb0MrBlJaiU/j1VEaUfUDrzY/JIk6DfDRd85CX+GeOVNZQkxXEbWLR
bxZmoNW0i9sTu2ZzXXiLueuGgCeJaTdaN4tgB9lq0RPYPEad427p48STg8U1/U7XQXI1NgOV6yas
5R2ObM5qZPGg9njwW8wPg19ex+469K+uEd0voFYiJdU89A/u2i32EKWRPnfW+yCb0aoD+uKnseD7
WUk0sQb06Ri4nV8cg1DFzy5zL3Rs0gN1IbIiSGdu6b9lWE1A5lvpuA7iTUnREIJYW/522nOVK4VZ
8fuYjlWwK+TSAHuavPpkMRvOC+1kk31d2/Altrl99jrJgWedASva2lYZ/JyuojdRLAwOpgsrkIqA
HeUuNu58BaxNDqwsVN9egYKSaw1yYLZRYoZTnY/qYVglgzo7iFUbnp1kJkjfilsb8NARCxS53U08
dvVjBRKf72LT+P6tGMqkuxK676PLzlP4JfRSAqjisznvqgb5aZWZubmYM+rgkLep4SLn7nxKbcsp
W2SVObYrfmwkJHVsbtBsjbfAbc1bm8nwvO91JVHUgrFnkF5VncqsKNRLEzLimiVy2hO67ugnY0Md
98OYsaEUdZhQaZbiQ0QXwFfIJZs5ctObqngYMY+u12sU5XzszAyW8V2tD8KGoFbD4BTNFfJ27x38
UaofUeTpTaSCGQy0mjEBsro3FQ9nMyyHJsfxedGJOVYbvymccCu9RKqdxqz+EfDFIrDV4Ygy3maU
X/qzWGp+UnP1bUglhMWY2Jw3DYj/i6sTdAC405AAe7LP7kAOsi8vWJhIY+0wVM3uqjekT7RYF6TX
jdfEN8DSr1VlQiIDKpTRnMAFmW6RZn2TLFHnmmNirLzAhsMmsmlNgoqTJC9p2DvFIcSqGGzWfnbg
dvEV3jZVOH6kNKS6x7oMPSztedNh2R26goNT1Dgw9TlbhXTDHMZITcyqqsoFOuUi7z4wEyVn+3Mg
/wDAQxXTcmp5XqrkzW9M+Ah8g8MS9mHZLHzsLK6jgxd0caSPQmfozXfut/pBlM36kgFE4PlXs8Z1
sjjUOBSDVZ/duCK5aGZPNQdyMKCzIuDilyKxnKXGH7H4uAOwvN0MRZaHeiOWidiArEyQLq6TfpX4
9Iaj6Mv6s3MtToYUCe68LbM8+t31ei23owzOAQ461cUDzEbrHfwaruGqNjJGr+Oe03Js2pn3mXjl
aB8k+fzbRmHyJxxnmj5lMHPvTibkhMbztO7sWq7PDZhLuuUXl4GeSdHuqkCBUIZzG31VHE7dNlko
p8J1vnjXjqtas20DskS4nbpEfk8ZmnfQ2D5cN+kSRDVPju6vxjFPxm0IQ6LYKf3cRVhqsR9gxiZg
mvIsPGFBlpQYCdiNXjnnMtyxtRb3wPo9HsNMITlpwEZRTNbSQ2AW4nZsEmwpLavy46Q976Fzx/Ru
Fci0f1Zd9/ERm1T+ORYyw9mnAvfNK3Keo36oErUvvaKsd3O7rl+FzTh9ZjVGxXERqjM3URlz0iZp
UKIsa3Wh98oJiOcOBm9VgGI5cxCwixqZ4nj4G+x3H8oNCWrA80vqCOMsAqNq9tV9dk4h2Jpy4Ilz
xYxbCPTsIY86ZFVi8EpCpPy5PgX4Wl5V4QYFp8FIq4laVkw9jnbxdomqeUxVw5LfDNF9gCn4PWsq
/ZlYXSBHxWVwWFoDMHJec/+yxiPuYpVP282CD/c1xu/C58dGiZCFz5pvouO/y0IiNXKzokf8ksOb
xYXmhtC2fhDBSINL5gYdVgo3BKoqm9y81nUV0yZXZt7vap2751YGqNwKLLXjDvsuxIAfNjVrDI/t
L1NPfn8zjEv44tbx8ma89vwqUl9/q9W4X62/IpYaVr99GZwmfdd8D6eqint34ziDXLeek+IuaEWO
s2YqNF/dUBXFm+emFXtZJ7In0zrtN7YI+NdEiZVuoSpI7gci6R5ya8Jw26CIrxhAyzXftzOizk2b
+fUrxzP7aeS1MViQF/mfXtOBa0fCQDBX/gTTQC052NqEqf9pVlq/0HESf6VjsnzDUrAXQqY7CG06
gb1qJFCoORYxO81OKTFY3Je520MQyTWBz8gIBzP4ojA9t3N4lztD2B1br+3hX7o2uRNeWb7WxNod
+UfTBmNkHsA200760M522M0Drty9CJLxO6rWeN3qIO8GHA6LKHdl2OEBxuGZuhtLONgbl46Ijiwg
1V0tx+pn9Ra6hYrWTsw1Nu/6LaYvCe1kmhqUL51Q4IWBO+FUKeNbTijdgbmSAbZZC7d61CSdNdsl
MtGDU/j8Sb3U9ZskxOWl5HpnthGFgwlEAXHhkfDNR+F4fFclLcgPTmrEtyHtq9kRljWuO9gjUmxq
b2b4S6fEPMYRYAxFh2H0bAfsDkGqQQTUMouSJcyK+KCLkaPUE1lEqL6ZKTMq6+wZv9UEpDFNIR0F
4zQ0B38Ae9rlgNi8N28lZjoTZKKZ0CdMliuxyw9JkntQb82YTpje4+i9FS3mFVmaAnVQEJPFCLOJ
SSfrCohD4ZKqM69vKge8R8aUotSLqri+n6XGfK3rOhM0WkUmPjlLTqxq0bO2biXsIKHiFiLjUSRx
7t0MvT8P5BwP7sh5P+vbtsrLeCuCsiTwY7H6ru+w/+8toMQfuUakOazBsMaXo+8Ac2OUNXQGdEVc
XLRBn6+7OlSIIMKhrT4Im9DkoppUv4xrtZyUf84csQko4gYDML7RTqY58Z2iYD6lVqLDpdm32t0P
OizenXaiPMVxqwZ/CXL/Xxg7h58UCuxp9MLsqSFRAjPInImftFTVnZvE5rpiDykO+eQHCe4W4XyY
WrtvpA6oaQehI+/LkAXBH8qpQqK6rGieYOI2U1Q2n8D4ySPEekLUk1Wp2kRll1Wo5BucN0qSMbB2
LrWH/eS3zr1S8Zodz7+g5YJdw/8TlLNesXbW44iBJii+12Xyv+alG4dNMaWg+1Xahr95cJiXyrZi
F6RDp512gYrKz9AobXY0JoNtK5/1bQOlXjyXUyJIu8WnNFAc33M/OaGIbss8MIjx5nK5xafFBC7W
LKPUDiMdlnLCa99hGxJ8EYw2JSKyheKMlnzty0CW67too4ILws24pdNlPsOz7jiQUTyuAG8qJ8OG
XhWbcBkGE0oR0xr1MWPYAI+dpibYTSrxoeFrLF9HMhLjipBEWc4Yi2TwOC7W5XYtp+CNnIfp3BKo
gSbTNlU4jsIyg+z27dDcQ6zO2Y7NQP1kY4DMe9JZfMUoHD1AZy3rhe0k0RkWqwofgU9swCaPaCuH
Z0q7y3NyPKExtY7bvWsbdRrxGj2pkQCJDRl4vHlKObyAP9+Yb6wKZEQnnVifHA+Ulia3dWGRCavh
vabLCCUqt80HcQvFb4dPOLvGE8JRMUdRc0PM0ZRcD6nrDkAw1iOduSHegfTvbDy5xUJ918RS7+/H
wSPeU/sy+0pXC+i/elPxx29b/TLnMyMCjFTQ7r0QE+gGVlpcOm4upgsYoZ4IqHohu6YiuYTeQtHl
BDa4ZQ6NnwGp8ZO29JVxk8wvXn0+FIJICh+bD5bBbZBo8TTSGJZyrUKnbdq5pWZvGtaaoDWvmh8E
R8YbWV/FByOX3+5ofqifIgH3hqTToEy0xZxjn/IXUMl58QDnyjAgA8b10BRJPDSHXsjz7SYC0IGG
n6wHlFIoe3BGspf6tImudWu5IoNORr+nkIHuWMZDdzclc/Vc9Cons8G1RD1Do8M1xoVrXkrXMbuO
Xw6eXu2fR1SQ9hMpFDilk9lBDzk3pY/SgcPhSrQAUNvQ2pHApXXtviyhmTd5pqZqnwV2+hXa1afn
Ea/gF3BudE/YBM21eT4Xdxwd6a2aM83UkKr6YxCrdK4wfRrgM6auB5Op4XPy0JogT/Tlu1MPzO1J
FRG9EVM/eitNlOK4d7F7+qPtCZMBdeUycQPnishT8CFDVOJbtebhKW6S5t5vBhluSW45/w7i+b4N
x+WOu3QQm2Qt1FN05hB3KRldI5tG1/7BBkh46UR85l1cNKm7m6oeAGLsir45xHUSYYjmoIlPlU1x
UWblMEYXbi3Jrov7bvkNW9s/l0gz5CXQ0znSKzX1W8ZShuWYk/u+afhO0qVh3dPhZK+n6q9TJI8n
sMXS1x9LYjpS7ZuulLuCrIynsRQEXcoF9cFl5bVuvcfvX1H8sig8bmQHf7FFlQRvmyi+D9l5segF
Md8umqQ12iFjW72zjaied2WR0+3E5Ge/QniAfu+2Y1kelFOvb3G/qNMcx8iZGR/R8odBwhhYOUSt
nED6pke+X/i7hdLAZi+qsry3jo/wSMw+AR3dlOfvBOZRE5LWBYEpg2wJkYgUV3lNhUFPlXK9vhbK
8eWxkAmKM39qVsy1+IezfZYaPMIDO/NLpzLyOTPtWib5bEI6rJbQnoYR6QpG0an/yquJXW8lTwZr
Rshs0FRj+wwNnLebWUkfLXq6NgtWvpEGS46oOWTfRehw7Dkin5wgzd6K3IfSFUtWbxzD6bmpBE88
kSlO/YsjswKmQRv2M8IF3yyMAGbDzojlRGbnuXRVKDTOYKS99XQGHOMTKANzOQuXKYbeeIck1TQA
45yTQB44h2G00I7RdUoH1muE39PuODHaq0k1CltXVEzTlpMfc0bn9t28cfOBiuYybVV+Z3BvP8Zy
xH7vz92Cu5k+xVOBjVQSEKDK6NYNpKXyuRcdzo88cF5S4CKs1WHn+xd5laprLvz+o10yjHgDpQEc
OW7ZxvueOi2CpKaQiaVwMc1u1NCQTpwg4FvuUaTR9KpXffasRCzbrK958tUoyeca+3n2Bxe4PJbk
r/1kbTT/mrE39ZusISuTP4jLfr9KVG2X/Wj57AqS8Z7zYll+I4MI3oqozV6zGbCATh8JtBwgirmL
xTq+ll1UjWd0KzJAWhLNnIpydFGL1NacV4rxo6HjDhvjGM9cmm0DdFwTeIIEQLeTpI6ACBKELAlR
4Wd+hqtc+eNT7J2vSzNbHMIwexBLC7o8oCmCDt/E4uNkmNnUMEkEetFAhuOQsQyu65nyEP1Vrqzz
YfvAnkzZhMNFl5vihU+t+PAJULmV4UR2QmvKsd2HokRnwfVZPNfF0N+L1GDgrK1DJKeXlq9CMtAC
hDmaH1xlKveEA3TG0kEtY4bnt0kJlCM38ALp3IQ63JXNm2TK/alqtFSbzFsLRPayHd+dilexzZLE
a7icGJmPEalVEeqiogr26O2qtyTqUJxPdTCtV21WD6wWoii/+skJTj2KlS+vWYM3iCYEgqOr7e+x
QU+z0Uvev42NMz+qJclRXLjFizPMxkHkM4JNlkEYvusydR/aaCRJq8J/zJfEnvkkPReHd+WBG29s
3vQ09kZZ96vJZX4PANe8B6TCQF2xZFG06NJXIGXe13tVpvy+nLkriM3Eqh0yrBrne0BOdpsS7Qli
rsB3w0nOnIDgCru+9hiol8Dz/syZgy8Fyc7zEi9pjs4ik/FOmjH/ZMJENuAIPqO4TeOPAtbmvU4X
EIao511OQ81rLKusvhFNihDCjca2QQSmGMQquISKDJEpGnaeBUmckpTqxposAd6dY+O3cO7nlJjH
vHyRPoFgN5W7shUQfOReFUusD05SZ/q/qDuz3biRrFu/y7kWC8FgkEEC59xkMlOpeR6sG0KSLc7z
zKc/H12FbltVv426/NHoRne5ZTGZZMSOvdf6lu+CLyPeRCaCNUT2wOFGS5MiU6KapbDp7ehpsNis
wkl4RK1kBTISw815WFMv/ZoFKmVyqWzrHD83bEur1hxjF66aiAvPWL4MfRPcS7ecXxyvnepto2zn
rWFskZ/EI9sDeT8aWwYKWIAT0QiZo27rSOzmauI7NDtdn+TdGBkXnhFmj9XYp1dx6hgQBwdJt6Pu
TDzsRpLRAIXSNXfMvqYYM6zBZGySHDK3Mo+B62Vq7N/rQGQLL33v1vhmMuH6RRJQTszJgmCgn4Lp
oQ8grfq9tvUHLHBIfWm2jMiqRg4QiZOVj4tdkFXYT2b/1MQu66KFsElvktzucKhZcfg+GNK8ihbH
IfRCpfwVcobjg8cq1Yw8Zpu2EWPwkVcK5FpPzzpJrlLXbvQ+pQYqtiV4JNcHRDhhb+/XY5FRURqa
ihb5VnaUrzuAa07DV5CP1x2jpJhCgIbeYVrM7KJF+lZu6zz12rN4bpgaTtMszqMeXt5OoChtcWkP
BEYD33qy3G5ibcmm5GuMTu2hCwwOx5OaPQxRovruaJJMscfFi5Azxm22trYzAgZiqIsbuy9QjhuV
0wJdcUaPUFiGScO2aXqPDqiMsbsFaJ7GzcLZsdrSSe8+2Jim97mfmpjGdFc98wDCGki8ZnLgUI/T
PUdUuvuxN0XnVZZPVyWMCJJflUkSOnwcKjCDhZXmW0RFvAGB674MCyhNBJUgCTdLb4svpj2VWE5R
kejlosYDweueImTbDn0lvE3KlP68IX+939RU9ldqdDFtDbMFtqUVebavGRkPZz2kJ+Rsqo9aFDKZ
fVmY2fw1B3J1HHVT+qpiI39qseR6tC5LellyYgq/N+epcY+DcjTfHdrHiBWgZ/ZbVr/srbPnCj9Z
qJIbA8YVwaQiZvhUurGmjyHDtR3uLuNJr+taHKCqJM/WmDJPZVKAXg08Qg3XC3KKtamWyi591EXt
97k//Fu6VXC1DKqOcGEh84OW0uVSIOO7CM2k4ytZlD3sUHqm0Y7KDSkM+m3ChumGTM9h1nTxiZVP
sjxdMhIM/IjHJeKoZvceUOSRLienWe5FnwwM0mxj1DAPkCm9zIuBr71NmBZtEw9FyNasUnUljCzz
tgiue+/AO7U84wmA4BpxELgNK5BsyaLq52YZ0LV0Kl0AIAs79fYAXFmrFHiyO0sPiicS6CKT2XEw
L+ltoHOq0e09JjZehq0LPuTJbBiyZUHKkUzTR91wjkKukSEiKnZLosipIN8LzQ7cuyQ7E22KwjqA
8Udi/WBMI/cVmPY2GjvLOJ6TCp2GPXOq2wgZUTTFtGbeYhnWyynh2OBVRMO7xtk7N2FUMN1EN5rO
1td6cqP5gIQYamNVxMT92dnCtkSQmvJYew0Xlp0l5VUTOcsAvGPKv1ASE1ODqLlAwJCY403HnXah
ByGz2GImiFdyQNGn27St1LcgdGx1ThCI8wJU18TnOAzeR51QOLKbMuB/MNSM9yP1puRhUVV/A6SO
0S6nurRjiBnqj7SupLkJ7cJ6VZUFaSlr0dwiTiwcD4OCwWMfGfVTWnfZWxLQoofPUuZqGw/pyFkH
DL+9sQBTXowVB67DwuQD+LEXaLSeg+FgrGOAbW61KOWb7MtVkIiTi9TmIPHIyPLUOMHzZuVYZQML
jU2O0Pqx6XrxrXJgl8ErSforfC3jvZFb83AecdYHWNDkWNzQrBPkkyUpij4qi3mf9l54xZ7lWdtO
zu2ZciXty5nWN81NUdpyB7e8DLazNUcmTXr6veS/xgO+XbCitEHYKD1uz7hMuw62HWCGDvjzFi3u
3J/ihOkvkmzO89uEv/4a/cliIJefagp9D/Wsb6McIEQUpzrMMtXz4FSBm9F5M9wJnjRzEQJG+2Yg
eGNi5JdhVF1y2C9NNd+mY2g9QMdAzU/IO3sJ2vIs3KPtEDv2mfAkRbkVMTRf0Z6sIbQNlOFShi6l
5OZlZSLA8jRM762xz6NdPDDn29XrOY9ZvlWXUIMLTuqlMBr89mHaCT8dKp5ioBTuE1AqqU4K1LvB
FiOWdVuzWpVbE1PE6sgfHBbyoq5Bjs0a5YKIm/GBYVn9bvc2vQYyG1YZKxBTYzN1jfm4tipeGUwC
rUbPGFW+UjGFoac7uuMNe6N9vASJAhaJ0IK+2dDkDMGbDJyFjAbjtZIO2x8jaVb4JHT0aWKBw72s
hQEVpCXv4aUYZ/oRDZaEccNMKUXllwv32ilJxXmlXYkXKwN6txnkMDNSsHTC+0aXYPQnE3rKua1R
dICiY5neeDIBwFTjGInYnSC+bCz0PtG1Ny/RY0Ph3x7TCtNvdHKE8p3FGajy4h40t2uHaJx0Kqf8
EBMpw8MySOuN1gVnmdJsyIeN0rl9L0WPsoV3t6DO4jRKMCs7CWSBteUC30qg5x3WUYuf2zbhoa0G
CrOdwkHBu65TzO8tOHEkDAmHZz9uXQzrlrTrj7AxlLqAWOnCYpuLuUVFwnALm0MU1YilrDT3CVZR
p1ZrhxW6CDsk8HbiP28Y04GVgRLDNH/Q3KRQVQu7V2UNT/HogK5el0Ac716OeSftEjvaFfUEPmWy
6hA9ktnI6EzC+fJ4nvuJXbO1SbdozOZatyOynSQWXrTPmINxdCuXmIhvp16t5YtGHpkkqcXfNZtk
ytvDHH7A3+ZcZKZ2OPlJqphYNsNIdqEtmgUcipuZ4RmnApZSjBDkqM1qNt7nqTNNdDGSFmLQsuP5
jrYtPDx5oNlLvWU1yzBgplblCEVkHAE4DW262NF3pba7q6731sbJJM0vZTNNH2ZtJ98gAokXRjRE
B9N7y8+AhXsAksoJz3dV5Y9MXFt2DYG9aTeHoWDx6EoHqAw/txDpgyRiY0zob7YrZPibyel33lPA
8H70XRSyaQW1C3+Jfw6lVcmYF2mMaTgxB04Q+QdMhpNCS/N2zhvb2jVI+BIiZeGUbhGjQLpGB4WT
xI1DqWjIpLODyjPr8N0uanykFUPLxrWCWr6lzIbsswBcPEzRzvLMpwTxaX4IzYDBXivFEm0Bno7J
bVfXQf4tR6A0blE2of01Fsti8x06/ZEEaYtrrPEUzxxtwdMZmTBiiyxT97BItAYcUa0jCiRmIQW4
LcJdD0k88F3OBGQiehh7tkdDPCk3ahJ7nTBzZsdu6oR+O5OMsDvC1MCMdlq6LRpJPPLAmlYMuFvp
envEaJt4hr7iZBf2wRe3cVwIIvMyXwy0R26GIc2MzRHFiAOpMIGNmcPsC6lq3xwrd54Kp4nOjgwU
O9Ks1g03a4rWzwLJ+CWkVYa7cE6vj3Tiegb6MWubjSndB8/IWCYMnSDnj8cqe+ZMQiASmHHavEfZ
2Iph0RWbZQ3HkhQpxaGrg4T3TreEDhUa5opjez2YC2vFYMKTMiXhBkXjVJddVpsMurNo4fgbNa3l
H7U9TjyD9YjeXEdDWKQZwZqyRgrLuhN6Nzkj98wPUuK/fCPsR9MPbGMO/dKugOwmuTLfClmsDFaU
yK8BHCsXQGDrBP4RJPOMv79DjxeOS3IwU4k2Jh8btIuZPbdE8o3aOzuKgrZLETHNvsx5NVCjshNR
4GQ0warcdR+OmgC/gt30QJUNj0xLe/4addRE4K+motodDSNLe9AP6a6AWNthkGCaSQU6AzdDo5Pv
x7FBUntUksUxcmoLfNwL3kvrJpqVXqjkrfe65pWkHaRONSv49ojuTMxJSaUQUMK1mJoK9N4lyHgY
UFkPs0z2C0ff1NuZcCPPhVeHr+5Q944vm759yVpHPzvMbsyNU1iGubEKiwThYoRcRXb1lO3RFHMo
bSP0kMB7KxIlW2I/TsfM8t4Mj84mUun8qrGSEv9gIfNXpOxMwmn0c6CwQA6fRfxiEsAZMbUHh/6w
vc2xRxwKt40+6JJlX3JpRGovkY+eDB5BxjxAlWlWLoZHBFmAdTdhbdRfcHd4pyK1OZjVrt3v4z5m
JmIg8sghNNXW/REK0naNZex3Vgn2aiOGOgO9HvfPgPaiO1C0jFICMzSeu2hR5GI22TXj5PSBDIbh
48j0dEQB1s47PaOr39Izo3zQ7AKDfxSimkjrmZz2Qc7TBaxsGqsiCEweUmF1J6FRd6v6QKU+gCoh
uNKuPbMNWo1ktmi01/Y64QudchUEc1BJNkc18oXetSqk8MWI9k8zTW62qdWX344seOmLiUZpb9WY
rzjcEgUB11eH2eoVi2nYE0Nw19MYBKpTFeU9waJN4f/aPC3/5kZG3U0DWZsmUTq42j+jidKZBSCc
ZgSRVjNt06JlMY1yY5TbvhdGxXpi5oE/1lV2NiDauA0lXtPVkLRY2zwU6XtuZSLfCdSx50PaICbJ
ahFC0QxXJXOcivqZqsm+N1zh3Zkjh2OC5zN19+vPYf4cwoOH2cVu73q2dGzS1b5b8n90yldl18l8
pM0MQnX5rryTwIdU636L8ZmAV+DbnfEvWS6guqluriPwqx7NOuX9Jon87/54V5sO99LBHY+9yPvk
R+eo2lcsXZM/O2gD/aZemBz3EZoTRskKPB4Eu8DbRcOCiCuZksnbG0470lMvM0F8VkHls/3N7VlN
5T959rkmbRKPbinKAEd9CoMbJME74wgJRjjoupl55mzDVa7HG9Zh+a3XKr8bXPACu6YZq+gw9Kt5
kyJNXdAuRyqacWRyf5OjLP9mPCeKy7MVgAVhCYYCn6zwUR0sljEYo8+Qdpi+JrBH7ww6ol950Ppv
Y6c5Z/WcLSGZtB2OpRCRS7ZtOK7AetJz81ZUZLrpiPw0HSopIIa36NPyTIM0LVQquKfKpv/uReN6
wuji7Hqmv6qRn5mZy9mSmJcrtrbkdg7y7JwACBg+8ZI2ZDCY2Bli12wef/NVrF//p6/CFRpwhC20
tQ5s+PMfkhHzuAN7TgAL6UlusZx7Q7rQucunodyCrM9XK2RKCIPDASLdhthC8e+1GqFSTTcF67GF
xxuswdcIJuzTb67tHx4T7OSWaysAFg4Rez9fm1gMtAOGRcOnyQlniRvC5nZOJcqbKBWa135Ok2Aj
dJbQzyrUKDkqNmL2YVIkH0Zl6Htag3m++c1l/X2R8tb1CWEPdRrshE/BehYNw9ytl57Y8wnPp8wi
2HxhZEwDxAtzoelk2cwAAovajTl5k1MGICRDI9dSR1HCzX9e0b+iqPyvC2HzuK3/cwgb5I+y+JTB
tv7En5wUqf5gLCBY0QREEkyBLCDjt7YDpsKfSEWopWR5AVOyJq39xUmx1R9MvV2TlZnZ1Iow+Q8n
RXl/4IC1XFcIodzv8L1/E8L28+qvUWvB/ZCCEywnUQwVn94pgeAf2cYgqNzRB+6sJRHdHnEhtIWe
WAhjk+q2Qe/OwOg6CIgVaGJpT8cSvZv7mx11TeD97+v9/VIswZ2ylbCp8O2VVvLD6z2oekQ2LgS9
qGaGlaBB2zXNLdzd38Ua/u43fQpo1ODEZ3Yasc0n8ooIHoPVnjYJQ3IpfrNSf9pe//xUpvQsl9kt
mbHOei0/fKpMm7i3clNsQ4JKjulWjtBvFXqJGCMPQsPeh0+PIkDCOg/Ac+7Xg+OXH55HHr85LIsf
wTP/9Hl/vIZPd3ZBMps4gmuINJZBy6o9Kvp+uNX4y36z4vyMlPnr4ypoQDgXoNJ+z4D+4ePS+AQZ
X/E8uRSbmMYsunkY/A1JD97DjR/m09ge//rjrV/X5weHHpPN62C6QrqfPh7hOqmyIz5ewrcYgV43
xp00GJ61ZWtcGqmANRzFy+HXv1X+w6vDS+NpuJQOoKPPa+sc1nOR9jFeVzmUT67Z9+f4ipZk1w6j
E+xLi2V1C7eEsBPbBX2ivCATJ83cuAM9bwFLkqYKmq1cILbwy4KAZOwCiXHXdotxXTgirK6qJmUS
nxCAUN9aqmEc8OsP8U9PBsoc7VrKVfCaPm1bWQpDxwVGj6E1lfRx0yA9JFNE33WZgvT517+MGuXv
35QifRaqyHrHgDT9/DLQkfKmwnU9CD4dsiBUkRM0gSAqbtT3jgBxghVnO4UrZzuCfThn1CuHTVcx
XKe6CGBBh0YZjNtqWuMczairzk2D0Ep/1Iz7UN0VVnegd0deQd0wxAXJ0E33DH5p+XDfy4dhQpb+
sMQqRm4V9nm8TfACIaAJ1TAcggAus6SZTZ/BdAvoi3k6sUcXA7EzdNhnJrOQATa6Au50AHEBndhN
6qEiNiAu4uuG8F3mAZgPohUEw4nfADn/UpRTle1zlIL2ReP2DVIk6AZ3jT0oqEV0O8HAFKhbiHcG
eWlhGfIFmB76jIvhvpu4oeA41CaKkdat3VtzcofjRvc2KXhmi6CLf3e9j6u563dSjkbqYyFJnztR
e9eINQLKuEZVDzbQLn2Beq28IebRzo9nYtU0Rd+C+6Crwmlrx5m80k1bf+E2kcCFGqb/6pqWhiqn
EE/7+RKgvcYcaX8bVcR4fDSBCtAbydp3R80aSUzvPNPXZPyBzsI5rexuecfAs8wIZ0rr2U6L5bJJ
yIKDpT/eDGWjedbqIH1JLbd0/aZYAC/Dqe9uunRCfJWXlf04tx4z2aEkezNpCrBT1VKKO2qukDCa
oBzuIHm4t4sGto0xR3KUmhKXQxS542SV2GWGpZfhC0I04dKxnN22g8XQ6BqPg6dXmuEw6HdklEFy
vDB1++iwWhBLqoz0XJFM2G3GLGWsucxCD1d22MpThkGYDnIWqlv2TByVeFUlxWapPbU8wvgWw7Fj
IGU8jfB9qtPYHSR18YJ6MDnmAJQ8YLtGiOaGqu0ptdC90urQzUNLeWnRIfZUdVDEQwCX7nNm7npo
HVpr9MJQd8UJ3l9M26Q4ROjq2lhejphCMWKaLUd/1dgOPcC8nm5CIQq5bdlp1kgnqustkkpn8vOp
zN6tKI2n3dIkZbJBCspE05uH7qUiO7LeU9EuYtsN2p4Pc7sA/kuUTrxN0unuwWInm7dwVmh8Ld2A
T26h+oeWiy7uNauD0DyvFWgHgACMgIclAfI8eNK4DPMosA+SswnsAyd0xgtGdw0ZG7KS4zEhUMu0
d/MKcA7ZUDwKaJYgzTHi1V5xZiOfTB7KWnM+AXHQK79wiLg+ntPJnS8CmhPGBd2beX6aiAAYdlCC
7HpfFXRqvgVtlEwn2Gz510br0YGnKPWUvUleMlqiY9Ze0oHI+0eaXyAjZCfT6EpwAse4wotypsI5
anF/hT3qgtqwnsB6YVpdaLDD+BozYys6ns5oK/oqz316aigaEYM03SWPgPckqrkCtFDTM6P1SYYY
PrjAW06midHp2jHkCXYC4K/YV9QdbT8MkL0umGDqqrGuBzo4DG5oC9BDYm4LEqT2jP7ghPTidoMp
WEFYNEvbfLINK7rWVTi+oRBagInmVYwmEFt0UL+UjtPQMC2RQxTiArd2jfJWmjRhzgL6v/pQOiQx
wSAdOvyim6qpJb5LUZhaXeWp0c/oYAUWK2L5SMsh2SVgjjL4cRg79xnuowE/5UJKKOgxRfeAvWS8
kH2a58ejqngIe0nrxwdS1nOMNKfuviZpODrkiYkCCl0FvlraV7EFCG9Kn2abiFEQ/xXJBUZH4Cru
gj48xi6Z5hcKUbg8kBjclnco4pidAJpyHtPeGe7xwXnnhtnAlNQOQ90ppX2NDQvLKNzDaR+lDma5
0MLNLRCKRctQPbSlFdypiAMlfbXB9sfFJLYA6FHxGkRZsJ8gaNDXLObbNqrah1V1ej6guvGd0R0e
A4ORiBuGgR9o6mTZdrvRmPDw1dNlkmSvwOtBYdSB0+wK2mF+2zXQZtuM8TJQoj3afUBuNLB8OnvE
F4QcJO9bhBcCqYQpzmb0gdj2U2SOGMxGfDEJjXBlZa7gqN/ZB7xf8R48j/fMXJMoFR3eDBWTgkNu
ueep5wUXoun0rowMfDcRIFyE16dTLl6C0XPQPY/Ng4uEcoMgejy4RjK82kNCx101Azsuml6eAheF
oYqGdo8cIdqjHzkEun6qlzXFQFWT+9rmsDh1meWHHmLGSdoE2RcPWe1hLNVwnHcsUdNku8ceui0w
Gqt3oVLTe+GVT2kaZIemjHYz00fGcBxJUzcglwcIWnKB9braMOpuz5hlW8JPzOBFjcok9mMkyLd3
dfBmeuMJvdrgkBby3cXHxUAiN18YhxnbDonPRrdJegx/aaUxJAjWqgD32TQ6T0G7VPcW6xv5uwte
jnkB9j2U7cbS/UcSoS00vOisbev3SQcAgWps8KTWemGZHBM29EQP6RoJC7iKnP04Xe9VmmXdDnSL
9JeGSL51dIOTKiuGE6RhYg/L/xR17r2EWrQtSoZnqGTr/chI75Ao7OBzusqi4xqgsTFgKKAKwNuh
lHgOYovBOn7EGZeUtC4BK+Cqg7+PyZ+4UxSVAyjuIa1fFH6hu0IC4iccrKttvwkmNN46rK6xKTn7
rh6CE2rWe8vW5uUY2+wtsi6uXMc8bWLvkFeyIg64fItGecmY/lQ2C3K5xGwhsuFNKEMNv61k+tO3
5xgFUfZqz9jaxbqAQBmbE59C97waiuiDmtB9+56Bk3sEhUaOR86EoZazZHFaGFm9nLf4exlmadgL
Cgcc0vORnZeNkzE+CKoZws9O5ekJtKH5zh6tqz7R30TPz3TFLA92iyunFB+YAPeUY91VZYiOAA73
mBFru4VC9h64CRlIi0sQooU7iXST58lujRO1RDfpUlNTwnGjKyIJf2ssF4sUQbN7q9UNQTYMtl1a
1Lqtd70z2ZtitSKMrcTQ3jGgIVIutkeJIsoddoRW3pSqCfeRzl/CdnDv8LKdpi6TMgP/UR5pDAyB
e7Hy8TpdvSpv4JRitHfGACXdm7dtGD3j2ryfe8atQ03SQymkX0Xha56wgdFwwNtSB5d5ZuycuKp3
5H5FZxU2byOgrOk7872tGQPXI5wEjQnlOEqph60gczmOTIRRzwhbvFbyfx5CFRyHSQKgbyZR/Zkg
nc4n8+QD3FDsR8Xstz15MXHzVuUWXSRmYH7rxNuyQo4U6/lFiajfofreLYbXnVv0xcnBLfGDs6hh
j8U6lGHxe3CnOHZ23UwaedFYw7TqvkZkQTX8mnxqDOiHoddRhuKzXvyO4vA5tOEVYPKIZvQgNSKf
qZvDG+51Aj44bVjcegKGMYuEd3M8FU/R6EhgZQRUcNfyMPfocEVuuhlGKb5pkqWWTeL0q8mKR61G
M+YwhSOauoMPje/+pCuy0fYpQJzixIxaCeqYuUn/7BGeGB8TsFZ7J9Wiu8tkmAOFK1iV14T+VSTf
Bp4Fb6CNTiVbLEe5wMlIamzkdMJQDjLfhPiIMME+4clpEaVvlBdZsO4g5zCxztqYQCmr+eA2ZszJ
ukL4bTSDH5pdpDpN0KtxkyLwjzdLqEYGI3R5X7x+UsDfi9keTirpmZctzRxuoyGC+0TkAFKySEty
8GJ8G0yxkkvRzW0KfsFyX82xMJe7gGaT5KG2QcMo00nRjMQ28kgQZrXrk/SAZ21xA0pbibl+WSOF
zNYfvEo8cra9Iw0ldLeABbkwMdYZCdEADuHahxX/fVAD4mmkPdFHhRERbkarGNZXrVF1x2FZA1xz
8CecmNZQvoSotGFRQI3pPLuTCM2N9mn0dEPa2FxwlzSevGCDrZoxeeWGznmcWchSFjk0/GN0uTzp
g241h7eekbue40dEJDyohAnoe9Od2L3cLoXKFTnhABo7CJqXtmoT7tWco+4MjL7eVjNei2iuPbVj
bhyxJYQpwBGNnu9FM2Bz0MeY1QG/y9zjWlP1t0Dq+CUfi+HGc8RIdouqCdgDc8ezXdTWTmee/dQ1
AWVeVgC0S1uzJKkMqcy0rUZ6YhuJhZDUvaU334Yo9p4UA9NVAx4y/+9SI1x8CIzOQ1sZDpU6D+aw
IdtqvFW6Lr+mA0nJnGDBDqAeqImTKKn6t2ppBs4jPX38nee1qjg2SrP8hrBAvQjwGfcEvuJ3LqE5
IA4f7CrANuA1va97gwDMaCI8kFexGL+ipUN4QbJg1G46ZzBvVaa7mzCw8xhS4NDfZiM1wYbOjzEc
o5FO2SVHB6NJ1PYIkyx3eQtyu7yZjbDKt0Q7Z49BKev3IRPLVWopFG+8ZRUivT6s73HmIVToSLAF
v89QishJYyTsPcR9lNDGd5DFdssSAusAHvfiFMGqX8PN8Q4GVztstAGUWD5Qi8+IMTOhA5N101sQ
iTeq0y0m0wo5obtg1mB30aj/sWPMxXErq+xhomonELrIi69G3ytAQWFT3w6wYZnqLAX+QzBGsEez
rBBfYcYBgQVCN2IgkqGjdmNclguelpmSc1lGgsAWe57PY5SCo1/Zk/ElG1xMyOaC2XrbZPRUgYow
PNlPqQHzNE8zl5vczZyabDiOpP6MyF23XeZae462bBfRmIQEnsrMvrXyJXGxfNTyIZsZSmzM1kXH
sXRVZG48gKvdIXJEUe8M2VQnQ49oZj8jdB05xDkmpp45NFEOJ920X5wuAVY1SA/yV4bmBBe+TB6N
0oODrRMV3WjqUoQz9tiAvVzGtvLr2sWjUFo5ch2vWY8+RpMu31yr7UleIN+cIp4I51s3wta/QamH
ZVEGjU73doUezDEa9E/a42NSQRf1DS4A7JHxSMf0sE4tSUJnWH2D38JDGD61Itg13+0BXURs025I
11mxHluWc6Lqa85jwx4zC0rdsXLcpyCGgrTVJTsU4MRA9nuEfenrr5ta5t96Wp4l1iwcz6b7uDZ5
f+5pMbV28IYjss2KSdwiyExOcro+ZGV5JXEZFoGZHZ3CZMfJGDcs8oF9P2DXWYVZFy0ICnP/6yv6
WwuWCwJFKW2Pfh4jy08zn9izW7i8MHqlNX8ZkClTj5foKHqot9Rf4vpf/zrmj7R7paRJZ5qfGtz4
hxunnyDYAWcmTiuYTR80SnxwXOvDtT3rN83e9Xb+1Oz1LNrLwEw9qbQppPr5ditZMOIXdux3C7qT
17oMGvcxD4typ6LImF8k4sUMT2KWI4PsnH/fSaflQjVM/0RpZX+6t4XIS/qHTA5mFu+Ny/6xmTtH
HBtFMf5mHPK3r1Ez52QWzhMC+IcMpp8/KKJPclvXXzU187Kvcyv1LaxXBBw446EusnD36+/xH1rB
64eSAk2DdtC8/fz7NJ4RYa+de0l2LfqNaDrjhWcJNozpN9/h336VyyuDMR5tOxR3T3z6VZY16iaK
Mn5VSASyFlQzhc1xAGaQffb9U/2reeNF/N5AN/zo/u/6Y+8lB1hAI933sdl//9f/tqnkd8XJ/zyV
vC8BPb32P6Y3fP+JP6eSBpqGP1iuXAvOGmQw7dL5/3MsyR/JP0gdt52/ch0kX89fc0nD/cO2JEsK
4x2myQjueQH+CnAwvD8sG4+/R5HIWES48t9Ef7k/D/ttraWDq1yQ/CU821bWp/d8fW7mhQH6nTRv
rPqqCH2ch8XNLM9KeTaGJ5a4rcLzmS0GKkXuXFb5rk32yyla+eYJvPsCttI77YtjbImh0+4C5t4f
pY9T075v9mOJ1xBUybWGvEdcQOaHdLewK5hnnXM99BfeeBzOu8k6pwzcoHR2kOy7CeD7DUSgJHiI
mi8EpgPKqo9LqBiDe284lY+zdmsmp3ZBZtSLYX5xiqtJXHjLAdcynXXQRNAZqCCcCzN9hAS4QW5K
pv1hDs+z8C6maeDXV219aqMG/fXb/Wmb+ut+SgZyJHagUPA+rVyjAIzrRrm4a2P7Ge9D7E+h0hBY
9YtGU592HuZVYz8+GVNnX2i0834yov/+zWWsX9t/l+/1MjBxMR30TOUKR35eZYoCXRs5u8tdGslH
szfdWzsU8Vlpndlx8jy65atTqYdcTGsybINavpJbWJfzXQk+ZhnMh19fz8+7CZfDGsTD5bLArtej
Pg2kyhJXAyOd8a6R9GTgD3p7Ih04eIMhYHohyas94aRt7v79qvS/bb3B4fvDvfVfu9e/gmEuX/Nv
/+//XJe4LEjU/XHB+f4jfy04DsuNdLAEsrVwq7Ft/GfBsUiFQWLFeJzFRVHX/We9UXIVT7Ah2VQX
q/SHVeqv5cYSf7AzeqigMK1Iekfuv1lu1qf/h8fSsUyujiVLeqBNUHWus94fxtYc07JFkVK9DSEm
XUK5i28IZa/3Li/KaV7EADGqlQdcF2l8IXonuvvhXl3/+Zt+nNB/GiavGy/6DyE8B20Tl/F5bj5W
YYwAiNxprtTAltpx7uvhx1XQVk8wOzC8KWf6AKpr40s7NzSdEHq9u8UdOM6WjGrOJtupHvPZ+UJi
BkeferLGexnitjqGomcP+6bQu2Jyfjd9/6RwWC+dspdpP/eNGTxyo5/vXU0di8iELpXj4Ek6kH4C
Hb+NMcegepL6ea7xhu6BLDL+x80h4xNG42Z6Nk+yDX4zz/70PqOVAXjEgMwldNVby5ifrwUob5vh
0JhAdNs0EMMCAMOB3AIC2qoypUuaUj4mWzOMvREuruAM9usv0lzLsp+eJExCHtJFR7Gtop76VLbV
84xvLiLWsUyncdl5Q895TpFUK/YTgMU35pIAvE2VuIiy86Xck98xBIfGyztxPFV5HJ2WHFvmvTTs
YAYNR7LLLhtDplwqbuP2TIpxrH9Ta5qflmXuGzUmryUWZ3u9e7zqPz7/zOdSx+wArtR2BC8JhSUc
d9LgibW3stXqXYOUj05FoAZANWr22LsQtU4hDn0CN25TxgftrmNw78AjheKFr7aOu8ff3Nx/uEwe
N0fy7a5TZ2f98x9eU9cDCySCBSA8YKyJNprb34mmTPdVLxCACll3REpjHJOHZDFkdFmBWUyOpxC+
FKO4pZ527dLAcHGKGi9UDI5P/llwUjiG38p/eJO/635/egAcShcOCEBx1kSgVdX14zXymEuSkYhc
9ko7bK6y2qqaLQEz65BiHh1cX9Vc7vPBUxzHZtR56GMyxj+GK/UBxxU9G3wS7ulSBv1bi615z2Al
Hc9qG0tdnQCYJwqiuS3tjmx2x7IHw1/BRaSVG2Pw/5k7ry25cW3L/kr/AGsQNCD50g/hI9JbmReO
lJSitwDt1/ekqu69ypCOsuulR6tq1Kk6MsEgARDYe625MD+DZXWoT6dFf0PvMiRZj0NG+DR2anjy
KDe7ALSWIojsCpKf3nlAbw/Dy0oNgDVY8r94p3qWefaAvDm3yqnD2dlHKdnfzJUIPrJpcjwfzAKu
SBU2iLWHwUm3w2SZH2K/J8YSUiqyj4pSzroBiu69c1mIgc5mpcfKaoNstB3XRYx1fkjHGzFQu5/I
JIAu6h1FNTRH9OH4lwPKz+UXZJKUEL0wKbuLvNDHErNWuk0Hm66D9m+D0gyJWe/H4ejV+Uhv1Nip
tG2fO7MbHpG+f4RWYx9zqKEoR4pOxGsNMWir2na8DDQe5qQcV+hlypsEuTryWEuXJ6w8GjJpm25R
PpiPVV9+A2a/wHfypzya5fXUtoAmKMQDI4dERpV4gODVDFtkCOtKOPqh9gBKtvn0vW8krdW6/Dya
7cQxHNnExWC0KtwWtWMerDbONxzsiovWb7kSwzR3JeDGbM1wib9lrbHAbRuul6Hq+VtlYgdbGUnj
XgVTjjkEOgEHw647TeN4P7Nl35MB5hzmeqwfhIwe6J9hRmBEHPCDz1f4cBrMRtDad0XU1Pt6lP6L
0eCfTCM7vgqLRGCzCOVnltKTslvi/pAMHabKJIYXP8ppbGi+9ZEH6wK/1sK3dSPSvfLIcj80EqlK
5hkPc0rzQqW6PEIGjPZCm8WuSDxityeMsx4wyvu6sp6CsMluLDxBK5FQepuWjJ22IFMpKS+nyPA+
toAwPrfQhEm4MFP662aqZ/J3B5xBp4BcqdeRIJJvhaaoMwI3s1W2V/mY32KoHLdw8QpoxfpzYgXj
zuzKV9AyeDyDBkrDBv42LRNC52Yc+W36xWxxE62xLPUutd8w/b54mL411BxuA6eTH9ox9F/rdi71
mu4IHl0dk1CSymRfqyv2HZZTdEfpzeUBjCLeXLO8MF1FU4IaN8UunsPWcQgFndFQB2DHYgQ+Mkru
Bq2HYzS34dGuiqLaD9hSrnEQ+iCVZUu7IkCv0oPssJUvSTqty73Vy/jZnmgNwdO4ALM1UEcenFOU
xRBrhiJ39l0fl0esr/lhnghPpzqIxqpu+q99FhHAlrtl++ILt/1iDbbFAB2ceecnVvngauq6mhom
iG92NpzXqip+CUp6mjiIoato5E++qvUH2KgcAQyAkazggveOj2GzWlMfGcCQdHT4lkPPqoE/Qbcu
c7qUmYQbY5eN0muPsRqTfZc6aCmK5GNkuPaDTyl+a/RT84WFNTsMjtV8joleuG36BdZsUtQRU8r5
RyYNpmUkWRkL7GOTIkQdJ09SkwV6uDEhX7Qrw8qsJzfBJh23IEOlXNgwAWKDY0GOyeWUNfNVRMUe
bZqZra04ucpdjpBB7ASH0pXmhd0ToExAgLNvhu5Lbc7dk7AYsaRtWeNpSIA19D6dTTIC81MeDrco
iD7pzul3o+m3RzovhFlQr3K3syUGst/B6QbY6FC0ZOLOR6Z1T//ROFr9UGKsoM7dFh50/iFuH0dq
pmpTEGFDXq15y38lz+TnpIfM613CCnrDOyLFiB5zzxu/YNBOP+qJSuq6xBG/Kry6up5wquEM0/xj
BHlCo2pqv4kK8hRV47T8pLOpP0wGDWlu0nQIsbFg/M1DOmR22eZP2Tze2Xla3IyGnL4sBLR1M+kv
uA9eg6YBVFLbRnxht2b+UEAOvO6stP8+Jo3J3hdr1aXhgNoOUyM+KH8mXW22eXx2NvjDhs5+uQ55
zz0Vav7WJridHENX9/hyBriltn9KDJw78bzchJH7+LVIh/noFRQCMsTXAUA/UWzHlCp+5IYYHJzW
IY5FxBGkJrp9wjIIDJh7QlC2qtHls5X59k3mxvANvGLEFaHkQZhxdrLC+kWQZ3WHFIn6gKrHPdoV
bwffhsC9UZpb/E10McpWPYdlHV6ixrCOMC8npGS9vm1yld0ozafhA5LRtid7B7BTTKsfjLWHsGQf
KeSG7MCGD0lW6uusLXrQmPDJ3F2ImQ1fe5Y0Nz6yrxW2It2ucPZGrwAkwATVJus+pJlrqThIDFIH
W+hpB/432I1z/oquub8q/LLcJoVsb0E4FMS8+D4pCik83GZ6RmNVbtxKh6tKjRBkbH4nTSwaA1mD
7K0LwwFHuZnaKMonV3Cw6u+i1squ3D6O78VgkStThRkw0iKnKUA7PDkiQTSfGw5ml2FlyEu6hXDb
whh3GR9t7XO0htvWTbyDqEbja+uREBFU1hH/mX9ixw/3X0JJ4K3Oioa5bWg3UC1T9EKcA1rCmbYZ
EpwduA3rsSYpDExA53wzlB1cUigh3sLRXX9DNNxukY6k0COfVFGKvdub8rGGDrDTY90d56yyPntB
sVPgeLktehavLlyVlQfz/zaEVLVnEzp+wok6X9ME7a4TN0INGSXqKGuEQKumzkxI9PV4YSfzdKPb
qTn0ulnEbcJasQLYFwmtXLSr9Yd+DoITgF5EqIOH/KgOCaDBzk872U+yCyDb+EsYJ3s0luXJKe3+
gEHGwDmcY0NMLGvhJAyoDIZ85yxrCxoHQo2ATzxiDwM708IB2A+Ym3eF71QPzOz8YkZLq9ZtC7nN
Zwe+ckKbLBJjdrZT5RrPYEnM66TKvE+jXXgH+pAi2dphGKzxN9KUgv0wbxsa7o9mWLXPTWTaHw18
lBDuAfW9Cg6mt7KckXGooiPVb4EorJnNL1bvPBRwXmnJhvvR08FDmI3t566nWNbTjvg+zFRBo6CO
75Ilv0NqQx58hcQBZzegXEShvbWmqzQepQQ5k2D+0XKOyWMiS8MGGgaWJsDk3sbZlV6emeVExkR/
l3dVltTJIZX4lLOUKWJPZvMAHllxsnDYXeBKtsmDmOFC9COuXLtPojvLavH4F26WfEMFbV1YlqK7
WJeG+7U2E3rtdq+drYZ08jz0tXGHiiyG74YolCZ5MLkf0XVhAp2K7KG3XYRVVYItQBX+t9hyQQ4h
42YFcGirrsbSnG5dbKcctYsluQoh2A28GL67LmNaYEysfBMEzPpdN07xJRi46r5DDS/Q700YxVxA
E2MxtdYOtYT3yYqGxFuZ0Oi9Fds//8lBMGfSvQ1g9zFYATS5bap3RHCM44kmZOo/u6jWdyLvAt6Y
tDOY7QPtEzDEdVs4AChRndGao/sVrQhLa4K7Hs4S6ZWzlljlYALwOsdyXssDYonpltGRRZdBQprc
Lm2kDDaDOfXuzkKQWKwjUFCHTungScRd8c2ydX3oOex9jxrJZrUbCn01dnN0W8wiW/mARVH5IDzu
WHeCDsWRJ+kAww65ir2FwxKL4Ftpah8roQ05xIi85hNvXsBB9J0OZpICAkjHBNlaZy6Jo6bSvDfo
lst9aCQ1bzH8qZdpIBpwhSnE4Uyzv9nw5qk+FU1Ebhqo5PBJtr7qCI+ZicwqoYsOm34WEGo8QzYW
7Mg+/6YH23/KQQdej0PLH9wtihj+zMp4CXltgQdF5JxBo/Cix2x0whdz9r1xNZGVskdgh/+YdE7/
aUiyodzTx/E+lVmbqfVo2FrvRTAFLWwrohvWJtyjF5j8KLnzR3aE8rNEXYaO2dMmwtVKZdcGyD3c
2wbJhqsSBba/k3R870GmL3sSH9EAJt3YLDdDQ492VScWlfaqN657uB05iHSDf05DMgynLCz9J9HY
I/COLHChqHddbaxx6gfp5xKx/yVTuTROpml0es/2oJv36eRW1paCRUFaBFTH/AKvoU7XiOLBzUAE
M58TnREqV6E6hXUXGYxXq8ThwN6d2Ju1MF0CWx2yPUGbsG9JLmyz8J4RuOl0Y2AaTbYwckkg9Rqf
zXE5gKddh5UO2JWbuXfnkBp9PQ24c2SQ8rTynJzVFXTdaeWijbsyutH/BNHWGEnq9e1tKUt5X80j
XYZY3jZmaJ0gLBkvViwKOvnOzA1LgaQbS1PaIKGI6LoeRQm4zpZXQyFFtBJQzT7UizLIrwBebKuR
fKMOVvzLyOJ9XeV1/z2gFukwjYwK9TTAy7skbmH4pkXBmbND+FfvM6k7vZ7iGdXI7KPUXSJibag0
JBQCPgY9bqAgcwv1dzn7P9c8FpvIzzUPnLEehwqPqsfSCnbOmgsNTXnVh0KtvKZG/wfmaYs/GzEh
oV/1PoCAvyjADLheZZfKlz6dbZTlAz4vXtEW+cleriN9U4Wz4WyFD6tjZQvat6iBLMRuc6K7T501
5nJtZENxYUJ+9Bgd/YB8heHvrEDQamvdmw2ZjgAmjD1LSzBxUusgEZjxHJAAo5HLLfuFzF0TZIB+
+s+1D7pib++Bjy0vCOifiiVQ+4f35afaVBFVRlpFALkN1LXrZArMU1PEw1oHREH8+aN+Kdd5ksoS
nyHx7rm49pbn8dNnNSWhHVj4sRNUafTVMSHmr/tQVa/Eg0QQ7bthbdq1uMOPxNmCvQNEUDpYeq3d
TFwh/UxvRJ44TJDEGa/fubi3vijKh9TiA3oiDjU6PMrnF2c2/qDrhg2mKpr0KQoFZ8zWnAOsFUVT
9JfwtVNi3UYz2eo5dau9lze9WhtOwzHwz9eylHvfjEueCeamAKUA0gQ6X2/vU1RbFlo0VJximpCr
9O1FgWJuG0lb7wikc9+ZB78dAliAJU1LGkvm2WNxkPwPSQJMB3TcizbG+llLBcJey+Dlxxf7V23t
x6rg7z/2tP9j5/tNI1z97x9/CPXNpavz5j+2pU70dNe9ttP9q4L18V9e0+VX/t/+5D99oseppk/0
tUL4vfxpUVKVPzeLrGWU/+d+9sNL+b+uXtqkrH75TX93mARd66WjjTyDiSj9pQ/xj9HW+ssx8eDy
gxlDg4fn9k9D27H/CtiQ0HuxaD1ZPzy4/zSY+CkGDHZCOgkWjULH+TcNph8Vxv8ZioB3OC/Sq8KE
jUUcpNhZXwAYUmnJwXFXnjdx0qBMsA+WI4pLEXtTYXDaQ4vbMln6G4ODm2iSo5Pqemda2WNOWmJX
Dg9uUkKQJdfgEu7Xs10kcEQKmB6Gr/JtDMBk0wLcPEqqBEArw3yjmr7C6YBWlmyj19wCHWz1drqu
gTUREu1994hMSvqgOPhB+QGARk0qjs+5qRMPvTQPBkpxNvoW5ImCX+OqT3XUHcvmMwrDgdwqSYiz
Ez4WvfU3CuL/2fh+o/PYv1ZLj1KdT5X/HyfB0hj8wyToX/IvL+23N1Ng+S1/TwHbZgoIx8KxiU96
aYL99xQw/0KsRAf1v3QdDL9/poBv/gWRlB64dGnOLmXW/+6xes5fIA0QDZhEaC3d138l6XjbY8Xm
ztBn5AuatTSCucK3izEyItIElCm2E7CvGwFWntwZeKcAY8ci8AkWbyLA94RCYURNzJyc674Q3oef
bthv+jNnDbq/LwNiM01oh7PI3x7Vn96dpXSFCqCN0ylJEGSHI8lzx8rHk7CikBN+TiCiN6uUOv/H
rpHWyN6KE8k2lewAD13dhDfoVjznGEbYTNdOHKmTpH5O5M3ULJl+nlNGt+9c89I2+Z/FQwasTS6N
X7EgAXiOP9obP10zmS6BKGVlb306c2j/y2mhjuvrCs7qRU9NfKuzML5X6CG3BjusI2Q7zguNIy6i
XiqOQRi7Vl4c+u07u55fmC3LpXFt9OJZYFnklkv/6dKIV+Vmk4KydQdRXHiTHFcB6SrbMbb7HU7m
O3rp9rFUltrMhhCHZHbbDZDjJn/nSt62fv++R1Q5EaTTe0Igc9b6JfSkmUQTO1tnDtD0O2C9X6fW
yG9d/OA76GkJZ82ZNge9jPfazm/bS/98NjVWtj0wSK0fYqafbkIbJrNAIs/zkfZsrsicY6uedKm5
yxD3UsjGioTYp+m6zTsj4+3O+8cnS5dviz16EUGcCxfUciAi6IRjSBRhWTJIwYIeaflUQ1MPX8xQ
tEcC0YdVO3TO/dCBjAKfW9x5WRi82/teZvDbYep67LdMtkBwLWjDvx0LcvZbd7bIrSDORGNx8gzc
NqkA/reqzMpDwg2JOz21KfiF9SzH/KUWM+hUqI3R3xuk/3gk+WWaowJAy8jaxYud+SNZCn8elwO4
oBkCXbCFYAUHyulVs/Ow4F9FHeGNK+Tp4SeYQsE6Guqc6PFweurpdz32rrnLZYkxAQ5kTbTkaFyO
aeJupoAaczPr8J0F6ddx+2NdxA0P+wL13NmySJ/DjRIT3ja5Onh6eSu760aO9SVN0SsrD/Nrp3Oc
Bzaw0eHfDh62N/A2JPfJkcj2zrbHJG2GgPVVsvNn+oHCqqd4XeEdTFcDqYefkkJZHwSAue9ZEI+H
Ef3YxegQdQ21S7/DfrKWz3ozdriCRY0IgoqGEMeHt8+rSyPyB+Bp7RoKHj1V4xFu6wSQIL7Udj7f
l0VQTieLFfpmnugrHwPOP7Bg4aIGG+2L+Q7lh51c0AsX/QcRQrgrCcrckRK/wKMrMKo725zEJR0g
lH2VVYx6r8rKw9DoLaThbBrp/L1zh3+ZEYgkeccwOxFG23TS3n6rNLelm4iM9r4LgLnvhu4gyhK4
AREiuAgJSLAzm3QLosC/jnSVD74Y+/fW6LenINYILgIFFa15hE3Lv7y9CJZkvLnV2O0sWY8zZoeG
HkBvpuKKkK+ncunj/flr/+Zh8nKlHIAYx5EcB88+0e4I/BFT0FF5mIZPpl1VO+rIzqMFttTfwEPE
wU8P5LIhjOEyqF3zRFBofHIt7d1Bif9G54tQtZmWNgqi9LmuaHnQkbqIxUQbPC6IfnfNPCL02S0q
6MIGfQdpG97XP3+PBbNzNij5Hpy12VWxkPwiZ7AN25n8LOx3WnHC2LSOqbeygoLuGFFzUYnePWDU
oVuJseVQzxFGOQTiD3gj7ianrXdBjPyBfpm8d3jtbV38gQQQ2v5NSFDKBmbte0oHa7mzb6cRlQHW
vGXtk5JizNtn3eGcMyZN+I/ftMl3TCJEE2H1vnGnfLpbmicHiwlz7FyruPeM4WuAM/3SqlS6UZRR
E3jXk3HpY4h7rHypbyygWRvy8YBrjeE8fZgr0uGduRxv0lE/eZGRIU4LrwwI7R4NCV6x5O/012SS
Ze/sgX4dxMs0WgTLvGctHsjbL2ZpKpxpKUiq7szpUmVGRxOsr27YyU1HaNzpO2P418+DrcY+juKJ
LdG3nb0/wCsAzwrdcYearPwIPu0bm45EgRUZvpDspP9dqWKZpGxGlyMi7wEOo87Z57UkYlGc6YZd
olzniZ5u9mrMo3fhuvSg/aFx31lwz2pIPz4QvQ60VGn6KB/PixVelpZ+ZEbTruYwue5sL4JoXBUP
VJEb/A29dw170nloOqPfOoMHN4ykLhfXamWKW+D20aOtHap4epTvvJd+nXWLqFNymA/YyjGx3j5q
qkeBoZJw3AW5ne3DKRDPCyOGKB7ZXY/aD7aFlOJVawo7tlW+V8383ceDmGUnx26WuX+2eFVN4cSW
qqbdbGbjEyRH8Rmrzd5wCl9vtdL2ZjT0N1+59SlODe+dL//DL/N2BjMGqDbgJ1qIXOcDz/d1ic6e
+rSq2LMQ9RMgWHdqvKo4vLtNOqvHoKdjpiPvCKbYObYLk8SeXLiEqW/nNFsJMSYIMqek3pXR05/X
xF/ujoszgE4gglU2uvx4+3AIfkwGCu32TrIVOLROat2APKcFYDXNx8G18d0XzX3MrNqVuTIf/vzp
vx430MfyF+/URSzLFH378QkZ87MdKHuXJq1l3BuAOeCK28FwnZJJ4WzytpICPLGs9VZBCkhJaqra
gxBYkoDCKP2vt/5ckIeHgqq3RI98fqqNUCOaJM5DaR0Rta16jew0NCtaUZSqP9F0uOyM8r0C8G8e
Aio7bBhLcYrBsBQifzpvFLMTjoEtnF0WKdDVadCL79p15/1USA+IylB8BZciDtpP+f/IJHpXx78s
R29Gqct3pTZgBdgKMb+dDYNx8VnHPTgOonlxe6P/IKY3Q/5WHpH1Nae2MlOA23Bk4k3GL7mMjb4a
bm0tekVySlMugzcsqu2fx8eZjppVjeuiNI5lZBEi+u75+JAwuwXRorsQ3QFWaUrLZAd5VM/WGvJy
vPV9F8MGyoq53JSVLGz6Tgrybp9oeaSp2ou17i1/OpDDMBO8m02cHuzeML1NTfbSQ5IMQImNhAjj
vSL1NoOISQjEexvH5Qm+vb90Eah94JATPjy8s/vbVkUuaqGph2QqDVE4kFKNAaWh5BD3MS3UsIwI
Vo5tRW8sDGCmVlXpmWukPG5GDpSe9H5IInUjQG/TlUMNVuMhnkhL+fMd/3UoUtq0EXyyalF/PT//
e5XUixDD2xkUfzZZPrlH3ZkfGisPrqyEaG2/EdMXt672E4Sk3Z8//JeXNBscNmiw6/AAcLZeLu6n
eeDgIgvJyfV2wWAb92i7+1sZB+ZlJjg8mG3YvNPb+AX6a/OBrMu8Glz0BeCS3n4gBQYlCenzwDqU
iLUMG+IHZ96NkTrmZWgbTkVqgwsCrIW6AMOWZOQxq45WzkLkGbq4rmbCQN0oVhd24db7YkoaY1vm
VEOKaPY/xl4NM2lS7K+mRK//fLd+qLjfDiqLVz0p5tgcePGfv1hjCE/AJxKkn4zwaxtUzKMoIapU
kYiei5EzL4leS0hsMulL5AghQnnoNmg8UUGg1eh3pDxE75GUxTKW316Wze6HH0tDC+H88pR/eoot
JZOqnkneAGmS487mvYe8BMnUUyLhkX8YSRgmSmwSdbx2ECUSUd21khRN2zuRO4xQDVQV+AHVpS1y
VSsKd0NhTMPF0ATQc+w26d3L2hri94ovv7tw6HkstECLufizC2ckWJBOjImYbOAOqyaAAbDNOhnc
lp4MP5W60dM6hPlC+RCctSB8TQyfO1UCtudVbXfY3nu0wolCZ7ai2O4dunCs2Guby45bic69iz3H
MN+78F9X70VFjwkM6ih7v3MX1lBrL57gv+7Q0UE0iWyhX9zMpyloR3clUCZUu77x2WmVcRdZsXr0
qxx0P6mo16lmYr8zLn9zOcvRlK6h7dhE2JztuLTdc+pgz7+T3oBVG5UMlKgxOVXSVVew6OsCFIZ3
8qshOFWGHq9zssmv+JejZ03ROwL+XzdgLlhHZkcQwGbFknQ+x4lGsQo1ssNJqn1uE3G8Not6uDec
OFzKENaFHWUkXuvGvIxk2z2N4CE2nQMAfu4mBUe3nW8rwEzrQPX5O9v236xAnIB8wc1yectxJn07
WSyib7zWbOZdG/aGc1VRvl4FEsvPrTG2MUoQG4nHB2My9N61jMHc+QYJCZ+TIGIDlENJpiE0epW4
on5GLTnENCQ3fuibE731OS5Os1Xa1Qa1tKZj6oZxtctnsiCOCaeW9271bx48jYVlN0lxhAXg7MtA
w8lsklgE+fbkf5Fi2XIMlf5uTCMjXLWumq9si33E0EePBvfk1m5TebCDUO2znBf7n8fhYmw9X4hY
0nGtmegZ+Dpn41Dy9GJwGWIXy2I+IoQtr0vN09gIKGTIAW0BvAaSEGmGDobSSVNRUuatX4zlLm56
84CihhQ6eJseJ5MIgEgVo1xdZa2br0loJbeN0ELj0XNRrqgiTj83VrOrolR/Saox/ZQXnnz+83f6
zZrPEZYeOO8tpheE97fjpSVbyshaGewABhAtJzL7irz0dheUefYCLAX5ZtbUW4vYYRobYfCaRMMX
HkS9mdUU32sze4+++9tL4oDlssItlbHzGkVadaD16LfsIgpFl61U9WXCeCXvwpk3Vi+mPUgckDu8
la5ZF6bNyCZuZbRCbgGMy5vZBI7x59u0PNm3ryDKdD5NY043i9nw7Mn3ym5GEK9QWydXfpjSIkF8
6VZX7On7bWxUxpOjvOLw5w/9zXij5MtYoy9G5+AXinvmpj0mHM4OcRMh/04S6wB/yNunqhj3Ii6K
C/yCFSkAaXpRE/n+fbCzl9jFrUUmBcKJDCX7lZEHJOdYNnRES8lrA9n3KpsF4o4S6su+KnqxNVIj
P5IhGiKNt9JHXjSXCH1b7527KH4UDX6+jw6PdZnIQC4BLFKoeTvaCB+xllcigetJ0wZrolkwPGnL
9R7TgHCIDVqzBXpHRyLasAjXMA06KziOhVawQiaOnKs80828mgt7qJ9Lq4qijVWmE0wV1ZvW9WTa
BvQrs0cHSnD2uO1pR+zJx20Vdm7km5uslI9uFk8fQ+yUtF7K7LkaTYh+Xdyvm9oty43RCF1vSVBn
957aDWC5kGmCoI/9ccfezRluMwCq1J9jb0jWMnbGzy6pHPUKcb2gqgmpjuQdFQ3bvuoFqn9iOte+
RBK7ccRoBBsiQis2BNLJ82PomFD2rdxo15Nrh3fcOqCZadpmr22X2CkyyRGSZd5HUX/Rs8sJDxaY
aCR6llaKL2h02ZEdQnZHIaf9joZ3AGHKlyOJfJrzDe2BwV8Dm523yFOba4docoD+NTRD8iANQng6
knAggXkunvd0JLSyquzJuCCvsvkYhk4t14hV0fXOxoBCsgrNoFx3SCSvU+ShpPeVsmsPimCVo8pn
JNPQS0n8DCPP2Zp9a98EajLMk6josZEamsdyE0d+Y27ipjDDPc6TWuztTOX33DyWwxY7xYz7MSJn
wvUyvRGV9L4VTVkgJv/zFDszp9JOWdqlpoWxmD4ltqSzsmHdSLA0LOnbQiSCqJis3Bley3xBYHFl
z0VekfCa1zvBS/zkVHZ25Pwoju9cxVKxejMtWFKWYtvS+ObY7Jyd103Cd7AqzuGWeEB9zLMwOpWp
a25zP7mOuqE82pF88BUgrJ61+QIWmnuYIOkBZcPnEGnCmvwuUa9/vqzz0xNfm6tij+OTYwJr/uz0
VDes/s0cIYqbiuE1JzBuPXZee9t3Uf4RSFO1+/Pn/bJ3YYXjpMYL1kImx6eeFfbqDLeQbHsoscEY
XBL4mJ1AMeafMAOQyOk2zI3IKa/BnkRHNRcJRqy4X45ZAuODzATwoz6N52c5tcU9qp30wYVgBQ3a
k1cka7FGgHr0VmTr0dQxlTDfG03coV+eJIdNDKjsmnlV8M58u8AFpNDX2JnBo4kOGn7leK1/bPIG
2pWPQR4l4hTHpxAPodqbuT0/NIy/aOV1eOZ2gysGotd8NeyzYZyrDZp4SfszT6pPiUoHuFNecdRx
mUHpLZVJ2FrGvrsvE6ARsJbIgkvMWj+3pXNhhKgk96E3wJFslGrR+WVVPN7Fhb/AfqxOwoGqvfIj
aZEDC59WOLoo3oENjNCiY4MYIq22VTqG+RYyVDUfI7IH9W0Q4uBZp4XvnpbzdbCxsKy58A1JGjlm
c198qes0qXdpbmXzNuQk8cXr4NEcRpXCqJHwbusNAUK4HGUiZueUziECIuG30+VM6HK1ySKeF0U7
ss+bItePFGHaL3FbSp5kF8Ucp2IsOqdyLklEHHvaegD5bPcaBFbNRDATRBnY2ocXB2qbtXPGNC1Y
0qQY9p1cGkwoXQhApC2GT5AYMTQBOTI38nibIO9WtWWayYr77xI5nSf+cBB1kpcnKG3OdJW2BZCd
cpjr/WAO4ZVlsbRPZj0v99q6D6uADdGEZRG4XZg7X1mA/FvXJd9qrdOk2NhjaQT0G1NrV5iFfaAu
1jw4NrnTh7CaOUvYqZu5K5gW6mYwihrqjbtEw3UBMVYb8L7WJz8xglsF5CtFo15l5pZXEQr7sFTz
I/HV7bCdSQe/NSrdt2za+/6KbKslk97mO1aDLNViwnTTVVh5RrsNO0PiezbgQO/42SBYuTGF4RWm
uDl/wBOaXLPP9+LT6Ef93hNtVD4khoUMmRxh1TzCbujULcHAZb9vHF5MuD5i41uWcnY9RtDNmu00
K0duJUHqT0aE4HUXNGVprKvCatWOank+Yil3qJLpJGkvwEZO1ZZ8Velxns9iBBKVCvD3JTIYmluc
FPhE7WQqn4KU6tLl6HMTNl4IZxELbAo9k4M+7u3W8fW+TtOhvyTMTfCTWda1VPWiClaMkfjprprr
/L7kNdtv7DIhbgUXRHmrhJaLnL4DM2+OGCfxGTB0raHzoqsS+2S6DecxuS+xDDqrtPPJB7OUPdcP
pGRItHXMzeGYtNBFVhaQN2M/loTmrRyfOKCVA5o4vZwnL9RbJjieAYwCY76fLZi5eyH7fjNQ0C9e
M7eGEGkOZuycihq93ZrqqN8csAQAQxKJ0dlrK2kE5EUqnQ4yvzrr1gMF2fmGoUeMfTE4E3acOG93
pGxN+Mn8FiGVEn59IJmzYVHn1MIhbwg+D5YDZrUQ4biJ8che8iAVffasG49dZhikTxAB/IAXR3i3
LCj9tCm1GCPcCksrZqAL+pgvNq0883GPRxHRaete8N68qoWbFSsnYiu7E04bzpt5igErT3AqHfwd
qs7XuZULdNfOFDwUqnPEqSTN+gGYxfDNbTuoeg0xb8T92phrd9YARvdQhA5dNoPqo1o17dx+cuDz
YZrFMtBse1WLkhTHvCKXPYxQ/GszEMPRtFISFoehTZ4zLN+vA7K2ZycjixQPqavxLrjIAi6avIQR
2BWD726jqSzZMne9KtcOdheMLl6Rfgkrc9B4DCv1LGn3tnvEG/iYshGr9KaPSH7e55VHcqrII53d
xowYyNX4DvQdKRsOdQxdsmMcrSxR29Qbx4smyPKvqfANgpuDyk2ROrizc2fqWp8GJ2THlzuzGOi2
tUpexU4afzaKDBWP1SWsE4u9gmDyWrR627gSVrKKPLWKgG4zgWQxBJuo1/hh3dzXd2bT6adZAZ1c
K0B56VXQpKreauoFOKJt5Xzn7rrlRcEBywLWHTvPxuQYDWBBZ74cBqVebbtVlJvnnuRZ29PaPIIZ
IeV9xnkg7yM3MMINcYyDtR9Hpv5+ZEfcb9N8jJ66ti4wM9C1s48yCsejAQEbHDRpwA+KOoBY2ZLA
wKsxMVTHoHRltssNMfSrKJjByDUeiW0s9QD8ARvznoF2oDXmtFji7bBtjau59cd4Y7uVu8kyo4kO
iSZweQWe3Tc3TukzgGO15Ji2VlGeDHanEPmKlntfzsBHJwuH0grAlPWYeZVK/g9lZ7IjKbJ22ydC
ojeYAt5Hn11kTlB2hdEYPRjY09/lZ/RXnqMq3UFJpVJlhgcOxtfsvfYHPD28ypdGx+O1k4uZzy21
KRXbvHzs46a/sX4uXveaZ/Swh5XzUksVvq+z6LZTbdv78rhjffwAoVrKw6RIEn6GYqtD/GfCrZJ6
8jliJXYQWNQDLlD2eaUW2VyPktoPNzaSqMFGmVFhFL3KUCjNO7p0v8hluVtaTVziAyT4Ij90QTO/
6VUQjYs/jcBnVHjNyKG/OeLgbF4fvbI72DqII338W1YR1yVyB0aUzIf7KbGwYUPzlw5/SzB3/WVb
g+1m1pW8MJKHsfaOpuAtOFMRuOgaRzI9tSoZvsULs+9dI6nLaj1Ak6xAdHfHmf/knZvVX2NAkBXw
aLcdOjDnsvm899h7b5q5934ZI9Hsae0qrTJNaXot54ZaJ2p8YNp5aFB/WKT/AIP+D/aey/pUIy5E
vqw8l+KHEutGvBqt2lqJRWamwbuLlz90bl1oGVafxbRtD30fsZs1zbgc+xLcKUR6BsxXzIO8CFs2
IVQFJQMvbzLhG7KjeU3DoLHjj6qR2n5SrM3kbSmW8Afatbhn5e3Cw8SM1FbMIoqRiDRII98lseMS
OLvHT6PLN1+FhSX6sK4xMfZRZ6YA1LSe5tTzTIOrEDTrW7WHZj7ghdl+LZuwvwuneS14Wvhcw+Ls
WLYMA6YF6MophFizJHZne6/5btwlvU+5kfSxgXIerQoGYhIWNYEHrcW8XMQ4hfgZsa3O9Yo3GO1N
Zw0EsUETVgO0YlwJUXSdobta56ptuDa2o4pPoEl5kTCJW87an2QBk7JFcuAy1VKp03e4IqsZVcuF
mcx26brCnd8MMHYrEWbwfwvMhs6Rms+yX401ii7leSf+RnlyfsWDM985nRN3KiUF1VFryDJOpok8
bzp1Q1g22SU4Wk3vzxkyVdVmG0rY9dzarViPnBqw28ZmDYHFx3HppmR8zNE51wCH03zx/Ndh8PSY
8Pmt8xzoYUkxk7TJFmrNeL3piVrKgz7yL3jxnIJPMVosBKPZOi9jZObvDD7txw7fs5WAbbHJoYyI
wnsBG7zkJxsTGWtNx6vtZAochQ20L1vaamJMj2VnbeYUNeXMAGKaZHCCBhsqyAJhWF34BeHidEvl
XhCg5eZx0LuWzz7ZuiOyPseyT/XuOn8xdPL0lXwYolV9u7cOa+MrEO3zxoJSTXH72S/tGTIMVCXF
M1p632u6DkyN5DijfNsaMz5pi3w5cNx+MZz9qSaaKx8c0WU87B3Ef4yM5D2l3q6wjctQNt8LR4lP
TRxBrXTDJQSt4MNNgnMycaazRyMRIQRY/bUmlzV66fu2Go99XnMORX0l13M5LGHxbrMqg9ehW0ko
snKHGyc4cxgh3e1JRyqurx6ZD6jbWBGaVGxk3R9rUzhBEhdm0Q+Vz4P64BnGHM+698vmUipSWw8u
m4YXOQxUGLLHnp1AwO3Ya5eR1A8yXnx5IyBUw02R6JtO3bSEFBgTzPahwwGVlZ6n3rjlUbSUSGLR
XAEspgkrB787Ot3e3ByXRjNbgz0UB1/0+oEoDpoI3sGO81hoeyUAHm3K9xnIRnAA8Nv9qvKGoJgK
NPglbx28FrgyQv9sk7v6NniD252lj2DsQMOSO2dJdFCbsF4pzN2i5kG0nzWfZAMfoQktrMwPuyRp
Bnu3LK7oTTHBbX3FJbQGXtlaLREAEBROZD14rWUdSlbAB+3sJfXOXAy/C/9OaNgaSxMAYIXeOXeN
+uHBnAoPm8b4fMznriKGyFLD722kfrt0ZbN0p0C2ZEJvw7bi1gUM2x9ILiwUvl4o/UkLqqo7Rjj9
En8aJj9d63yy3lQ7m+Vam7suNlD++PH+NECLUgGGQ9J8+s/sK4cPZPoQmxOQYgUvrdo0+Vcq2uy0
KWjFSI8oqympHb8M0mry5tPcAYQ/zBJloHac4i8N0L2+DctQ4yT0PO86N0KFB9vv+/JqEXKpj2Su
B37mRyhAQk4uN4NE3aJYm63lpdBkSx1nZbffnWqqIaaUMN1unL3zK+EMIej5SgW/hnuQdAG+w7M/
4M1Tt3Iu2jNz7hZn6uB0LCA9G5dsYHC1b1TeJCSN25GoBx19jGe0fllkevYVE2kM7oGJPuzRcNvJ
5J0ADI+n0upJR4E3ZD6uBUCnCxul/AGk/BimlesAu5HIYKej4wz0s6SoNNEhrBaxJmVsRHUsC+6H
LI9a+X0R/RCkkTOSH7bhJkcu6vJLKxER4JFHrv+rBJ/+efHVSmJn0W8fmNvJt3Ho7J/cFTWoEiqk
NgEE1ZsLpfwsn4oe/2BG+FTza4Ikfia2idDsPbTupuRddnvmCz1tr6RtCTtzXayxaaGk6tLAGRz3
hOUBxnRNAScepGnd6AGENh8HExMx90BwmBmM4C/alOgXnIf4qMX0TKR23Ke8DqqVymN3gmxjbAdJ
HHhwZlYTcU6UhJxbCZkEuXqhCqofyHO2lgeJVfocU8e5jx5wqYXqWcXlC0m7M2kLq7VuCdlL+m2w
SV1IPL+Y9lPHq0V8YsvTjocYNSLGjIJsgoNXbIP33Nd7cNqqpffQK+ZxeeaJib966EAPOXJyXgIU
LeYSu3XABN214hC8P3yXTxKYURK7TdFTYipxlfE+4gwfSCVNx/0OqKa8drqrL8dSZCMKEo4nFnng
rDcTMRZmCkTq7+o/TR3Em7QqUSalXeUZffQnIkbsXdrfIftHVnoPkr2iPLI10KWu8VOGDuXDfSyF
YViXzg55yG3CNyKbnEPjhBq1Su9y6gein+ZbYOdrh+VyzNlIERnQZb509I1sGjMe/G5xmqNsm/vY
FxllKDC/rFDM+R/Jk0HvV0I2HuuI8PSG2TNw92of6gsx63FzC/rYZk4etwsT5zLPX+FMWdExlzq4
jFqMc1bl+fqNJGnCMwY2/nu2sAoYnmUXN93HeFis+AlvNrmLzKoFw3YE2LwmI/11jFveVhRZlA3w
5kXWSjIhaDebFdRcL/L2JbKomC8jUcDuRex+g3V0b3mnDPcstPNm7mem1QwdoXIxDfMlqpdglEmo
JvvzRi+7H2ZN6UNkUt+bY1/V4NCBseTfIRpwDm6KfoqdA8r7zIry6gMvmTA8s3t2lzO3lU2YKqGt
280KSs9+5iqLH9JqwzwN87yCLDX0G/baDccHcWnG+akcpvJpY+9mfc37vJSHNmi39lw1ZXASdedV
F7Ppe5M4zc218tsajjuLE4gbxtneSx0Tfb0RsMt7EGpIkZLJS4A8UR9xqlumB8SSoH/JSuGPX0wo
S+AiHr9ysk0DZ0NHdt54WlDWyuOISI53U7At89O8GFTvCGsI53Y7q3zcxAqGgndsNFzESDv83DZ2
/Xnr6uq7t9aBSibPt4srB66J4YYpj6UwFguqx7oKX+O839OW7ZBDjGBjPbv2MuRk3Tpj89a7s/7Q
W6aaDi6JhpdOcf5nIzSumkCtxsVfn/sQ3NuleSQqKufeirbmwVYjHXs+rL1/DfgTX2dWpWXSS+3/
iBn1FQdVQct59Ek1QYDXl8WeSjzgzI1NbRjTMZfcbnG8+ea1h0UBCb3FoJJOjOLftRLVeOOO1JzE
FoE1X71pVO/OLllFtjyc/nNpVWRq5fO+6ItTdN0j4CsVfR5n4hoIaJTjtWnr3qEcHECDxevEEDAk
WQI6B+rQ5jStPaaXbeqa36sIycQCGlL9RUfftae+r03+FGw7y9e2096PFXz8iKDdiZ5kzF+b8NHc
6ASyjM8Dz7qGYAg66hXtnz+emBnBMRAQyDPUB9p+dIwd7VnpFlTgnrC815YpD1QRXcS/UcEt7qHQ
qrLPYPnYCq6raF5kH+wTAwquJC2hXqh0zRLTOLXrbVSG6JZGgOk+LHucw/1w9kEnFr8RnKKuhnKV
D+jCEnbeU5c0pVC/kdiYS9QQYsFUEAFLk0eYzwhrzyw6rT2puql9301du/RLe5m/GNm7XyuIRvco
rgmFGpRCWDVLruaN1h5XB1WWNU1XaU9+mfXh9BdDbi1eY6/cxmMQaWt883gtkbeFMKQ9jkZgX3V0
7mF+ndjAX+3FuKDvwiXa0tiKlHz0Wr2NGfCBwsqskt6G3D1fX8gdiWUmOuAQh5WcKpNstOkfpp1J
xjWah01deznYj7PXlR+019OKTdFe0eh0xPXM4CZPoztGNTmRpARle9BYTA37dcszv6jpH+ln5EvR
C+UmPXSbMWGAIR6xDZfDlcV0OB2lZ7f6qY9HMT7ZYg+CpFl24lw2Z6jn77BbAEvtkR5PnUQj3vS2
9U2FPDdILTX4u53MI2Yhff+IKnWPLzmC1IpawQIEEa9V02VT04xE3wTz6t+nFSJKGeuZ4DQgtBbP
dlvjv5lNtxO7KLY9/ML0Eq724HWKIUuphuHMb1z1yY52EaQ2Dqv1OjRWYH2ocs8219l1lvJcNnUY
X0S1wlArwKkxfCinyHoop3Uk+kFrvSc5R5m5rSS2//b6YKXGxqM6UEOoxT1Ze3fPSrRiBTS7H6R9
oaKcmaMad3zW1EvOWSuXVIfeiam+Y4ae07dhQjPzpBtPN9cNMM67X1fiBzpgV6aynaV9CpvB+Zh7
Y/G6Eg0BImG0J5qFsa72G/bOmQSQwgvgHPE2Twa7R7a1D520U0e1y/4QUOd9MXbIS0kXXuVmU9BF
7JVDw284T9KvSWMbp6+xGaIvot3u4vic2VOmaAXhhjvTfqipg390tZI/bPIYvuVrNe1krQEESq1Q
lb8Y7i0XXy+OOI52DkyiiwdTJzKulg8YhQonodQj0EbzzTDsleQT3WkZoI4InJxSfwjGi1s54stQ
2+ZXXULWvEx9ACiwqEEbHnme+/BUlMzGWT7N3nYe6lqLWxff556MhLV8JDOc80lslUNPLIaqC7+x
q93zB7pFXyVx5SyEhrR1G731aJA8Gjuxrb9Ddych0y2LmIwC7SNUrbj/vBczUIOktUeSXUbxNvlH
oErN41Sv7PtYB9ffu1jyJgl22RJT7gvAXjoCz2O80UvuVpATl4AfMzg5Lb0LhIj6so8xJFT5Po1J
y1fSPEkR6u5Ipkv0bd1wUrzgDCLj1RJrLW6UjuSjDhy1o9+W1nFgrqYxzw95TgqvXNWv3p0CiZkd
jtmvvZsXBD1a7VVixoJIBORR9PF7q+4h9x1Yo0fJoOoVvGXYsxND35HGrD2++MNQ7g+gzpb4vFFa
ZbyYeA9oJmv+D8Vt+pl0maU/2F7VnOMKhPC1XGbW+V5ZuB6jXH9xs7oCdvfXFsDkTTVyzP4IWSkk
Jw2uiDQp83A/R5w06nPZsRzLNDL3X3TPFem0EOkAxZCfkvQWIKCsRJ1of2ihzJRPBlNfxaMb9+ey
9EX4QAYXEqVtYEAPgKXu4tRv7knNBH4NbxOJFntyR18PaSn7KDp0c+VClCxzAMqL3EjkBeXHjZtH
nlqAaXIBEidfNS5Y1NHiYKvBu1qqAAFV2iGB4hzTYxbspFydKmWjM7VRSYqs6lh3pzn+1epdj0a6
dJiFl39i39Y9ow6Zg0Qu41zflrUHG0OQEOyEZq7jZ2xiISVGEbrAdeZiJP0WvnVS4RL+GWFdiol1
3PxzDaHpix44rpJemRqkj7XlOW2Wy1HGLNnGj4eC462Q7JgTen/vYpEC1qUYRb0wXSaveCpnNVbH
dZ9mfeIq8ZLZc6eFPkruVchjFTGNA5/WT5d83VbIl8BmvXQKa3QteikXpL7+HoYZs0KrYi2EBJ6g
uLJbMhOOzOJWZxtUCp2mpLMYVfeKu9FRR88yq/i+OeH0ceDAe6dgWmCr7SSYsyCaPfI7g24C/7SZ
z7scIueK/lfWrBDAPKB89Wzr4PVCkte39FJlc19HzjkoTfeTsQLXCm7p/XGayZDKGrfs9UmpJjqR
SKmH1G7GJj7N6JZpn7qyIH15yrfPkxLdz3wKNPtTlpRkEeUiP2v0xGPa0tRBi47EWGWejvzbOvSG
zavFfAxQoAWrqBeTDE887Yt/ozjFVzetQfibzmcgSSHau4AGo9HRFcMVkpEc8j/wt3UkpVdVBdKX
zVmqA1uk6D4GdZ3nhmoR+niJjJkVIrTFkaHy+Gij1b5zFZ1CJk3c70ciPCEmbvwvr0o5K5FeXVPL
C+RP+WCLcpUPQRmPv7faB7e+roRQX6nXGsYU2O+PNefvcmyVjKqzWpnXMEljbZpJo3X7LIWNLqnj
9wxPAAdD/xgBiD2xMyjHB9aFzAXbPXf/qora4/OIZgs+NKOXl8c8BIRE16ogaJaQ1ObE8phXp6O1
53YW0qN6SblHDF5IivNooaAUHIZl44qrLciv09bbxWEaQvsbeBBCtJgzbuu/SdX+h+4BcMnd7UFc
CN7OuxT6/2i0i9qmRXOW+ACVujtNzFCyeQ2Wq22VK37BrvhV2PA2D8YR05FBh3PcupDuejGg6cIo
J7XKuNfFmPBcd2OTtussP/U8s5TtRfHVsZvg4E+ETSUKWuWnfxae/KnT5mWDqe6ec+Ii4LfDP0Qb
jdqbkASv7dhh90wa0h0vUoiYNc4KtHlqWJq04No6gkrrf5GMCO9PwYjwUYnQRjlsg/n3P342SykT
+XVnjmvgTs9LgCQtn33HTdomtptjyBsLWF/Ftrs6TXmk82wMieY8KaE974iZAWRD6apwOo99awco
2yNG+TTVSOL0VPscO5TW5Y0XXfE6aaU/VsLV5skpK4CKVKm6pnTvESxvTr7k7C9CVVDeMZI7+HDF
xqNc8yhKXJY9LFRYygQHUkJV/1Q0u/xSEpiLJ3sw5WWzVuTg+zDrTyVmbC9tzfzLQ75EAPTUfkH0
uryw2BgPdlRtBTKWlRTUYppF2CZISeee3oxLzZcUlq8UJmb4Lqs8jDJ7ZuuW4FqovpvNkCSQUGJb
7TtDZpzgkx9YcD+Drv6lTIse3dk9+2VZc2QurGur9U0WIyEHjo/MihM6774FW4TDeOq09Q2lCmpy
u5D+wujaB0Jq82AzwPbqHMTlOgxfqxCGxb8p7P9L8XX/2kPoIncgxN3G+PfnxWe2uytPYOdsrPnI
GRslNfaji8vlP3hz42RamPXHGNdf13Aof/u5Ese2MI/E7rBeVv76rEs+8z8/CP8lvcUJ7sIfwvTv
gxJBc//3jyUZkbiMCrcjopP+iZeZ/Tkm/u3kA2P5AJt9OpEIyz6RHMACwH/ufQ5CnaceIt0UlhaE
Z1cr71/kcX+Kb/lQPBpcozsx3gYl8vcPNbv9sNiY8o9W0xfXMe6We38wVBfJoZhoWs1LgMLm31wH
9yfvb6I8gAuYNlCj4X6NCK74+48NxUzh5LO8mnqG2OU4UXnW/viEdh75CP5mNmb0zB/AlpfXwV+/
8Ne0z03UmnMRCvs4Wk78EtT2dDBjTa30z1/V//p04DzuOEmM9PafN5CD+Llm6+kcOWGfNTxroPG1
Gh57t1nWfxG+/5erkmoPThtsLLJwuD3+JARIlsqSWG0ObWv2fyzT4BPo1+wkOqx2+cvdqdWGEixj
6ff7YwukPYuaXrCNzs3h//fXFmCKsHeikrQFWIq/fylkEPaaNNntCEp/fqtp2BM5lXEMotZUv/75
Z/33a4FEGpaJNrJMzMZ/Hs3MIhfUFNIcPdHTjgvkoCCvPXaAwH0jDp5avi8Rff5CMfAvP/u/tJco
8uP7FUcIiVNf/HE+TFuUs2Xinl/A8L1pxcA/clflJaC8poMTCOi4//zbuu6f9zveeSbYLhYrXA72
n49ZT+NiwV7PDxjykKpEAI0kh5LdHWZPUdN75bJeliK0V8R+9dClc+t0J8ZWNPa0RPaljXwqEs1I
b/lhWzWAUaDJzCNrCoF7ACS36yGnSszAUdPslf48TtfArAPQBNOxR/nnX8j58xoG96gxIUBOovHm
pvlDvzrXG3fRIGnbkTb/oN8xbUKOXPCR47+9DUWgvw7RgKpS7ZxpSsgWhVjMDGO8G2J5/QbJ4gFu
J87TflwWy/u2iaJ6+OdP+b8+5L3wwJ/IP2i7/7ih0YMrxVr7tHSdcI57Uy77J7uzRJna8+ZMV8xu
y/z9n3/ofz3QXBpuUXh26LbdCB/7338qciV7BL/dnfpuGS7Me3oqMz94o0bLD4YF+aMX5ut53FmW
JLq9N4xaeMWZ5fO/2fv+Y0b+v+csCYaAqzhf7jZR7D5/VECF5ZadzbrplDs2croONeCtmyb3MagL
Ix760FXlzdDz1U88EblzwnFXictI74R3WLC0SGJc8F6GczFeHxC4srNAMzY6t7Un3ivdwZujoxsn
jnGrnoIn9imNOYZeNJHy4XKcJV0hbXl2J8jqcYlgg1jviWFxT2rs+KgQNYhr7XPOXSundvOHwDBW
yybNVCcxvoaHUDKPc1kreGTh0ICajoKWHusBsf30HoCO2b8WprKr525sGeNu025u/VrG4c3zR997
cmeES+Qq2+FDwa3WpP4i8d911kJjjPw2/CTwdOeZjlWgX5CyyS1laIkTYsT4evqX2+PPoyDkdWvf
DRpY+CmJ/zxl92ZumTJuNhEP7KxgCsRwAJl2YisrbAHByhvw+hEGZBNlnoPyIhgOsjQ573m5NDfo
0BqNz2CP67+UAn++9TiHXVCyIdGlfC7ARH+/b7F12nf8834yzSyzeS56jKg1T2txd6b+i/2MF+kf
R+I9qCZglx3S2lB/iD9sP91eWWoK5+KEUk0Md8GX0z3n3VD/pTyr3w8eJgikWxVqsNcFuOfneInK
6LowFiye9xUDyqleisD+VkQL/fYWIC56Zeomn2KFjC4tYji0txoNkvO1s9pm+zjIcmgOA2Xyduj7
abQPQcRmIwu0Tbk/kdO9PkK778G5t/+54B3Qrydj58WaLlz96iA2XTSnvNaWW/DHALp+JmF928/T
5Dfmk3CQeyd6gJKZ+ABMnHNcx+3Jt7CwZfd16HvskDAydzlTlMIRgOsKpnL32G6C2Q9w2dQ3VxXO
yXbCPLwSrILqFlNWbqdgfocCYz0EE2p/b3pGsj0GrMuprU4swMjAJbF8CVk/Fct0WDxrzT9NLOlP
IdN24mt21f3cPHttj2iORqLVZT98jEf43+kwWMtffUfWcG9i3fzk3cHER8Xeot5ZzrgDuN/S+bhv
ZZWnlEPe+AUkc3EhQ3xTF38J1jev60MKkzzvyDgR+fbL42TliCf3K0i9elk+Rl4b6wup54GXsZWe
3u+vrDgZUJTKNKi0MyadL6MmCaPG+8tpXFCuXTnvv1tUkx+8ph7Fr7qOkJ9bciBC6h5rUFc4uXVR
ECblVKweuFkedgaSNRkZegsTEeElPSCvaQYEV/ly9IVqWaeOG3NFVj50MUh9lnvcYWlDS6tVTW6a
1w3kPIE38HiZcsXxq0RVcQppWE1qO0v7NdqY/iYC9CbzLBKIv/GCNN29bJNWdeo2ERzcCqnNuSC/
wv2MWRaHsUvszNV3RrIVVstEB3R8pMchwmWhL5eqj84NdCOVBTKafm/VyppROeB6YYCu2JIRvLFt
QKg2E0fFC0getwLKVmLR/3Zn5hKivcmlL24aVuJwZbIuMGCVQm5J58nyx1y1VY+1WMN8c5xSqbQe
nY6dxWpIdOfM5muQbeAjHSaP283YVhYvbonYnblO0NSZ5WlWiJYK9j71wkl9sJE2B6R1b+UtWmsf
u8AQBr9N5TLex4kS9SSw5/szGS7sdDuO1eiZyTjCl8JYL1snxu90/2F8n0zt3AFq+uHXhmQHyih6
HYHDPCX3j/T33SfPiX2wXEEcrU6cuq2ifNIyd4tDNXrlNXRqpwaZuyKvs1T7MQ6r/dIiG/iFhmS4
hMTOswV269o/9h58lEvr8Q0CLGnQWOKLifrMoo815MJ3e5SwH/QeSjeIeUuvLcLfOZh6lDn4YSm+
YSlcV2uQnxnHLuNjMffbm+00Aoal6p0HJJzWmO2zGNoHBpfwIYURIn/TrpHxrVqnKshQsnCTRqNx
v7aOzURtKjEMJgzUuNwtMkU8ZE5hb9lIGbsdwnrbWFlBphtZcef1i9U0cj/vG6MthGuVOyPqYtKB
ZQdfQtIE+czVCEyJsCguOIWIDoK5nvvTQ9uXO1FCnig9JtFW+4pKf3j3GZKJpDNB8FauWzimXlR0
N3N3yyc2JYKXiRqtSDJstf6i2f531yhaCclA+v+uls606b5brcnavirITKyi5h3ynk1UVGf8IjWs
YlSKIaqC4RTLA08FIwHdu7BknLb82tQYXM6xGsqvmBaxzORxoYeT25j+c1GhAwTSJjZOPnaILXdF
w73NXx99AvlcFqyB8uoLYSvY8pB1b83BoPQ5mmpTw0GoesBRR8ROfmxlVRrUlW61v86+IsIxb0L/
pe0LVhytL7u3KQ8DNxvt9i4HMWij0/sGh1gJIDQl83vX/9nX1O2HVRnRXxx/Nu86lJQh3sSdWkLv
Cr80CPCRlyBRqjJG+LgQ3ZnoOJDpLjDGvd8LAgo9ok1yRqGps8UBiS+1Rxx7LxDgSjsYfoaSoBKU
ByVgD0Ty4lXXG8dPK+f8m1JiFOkCkojjJ4oRNs46wFOyV+aTgeSlks0f3Q/UbW2VhiuTiAtksLt+
PcaflJpg7DJAxo3F+Mq1yFWyfatNpGuL5sauaftcbexIOce3TRIRO9W/Rm2c18buBnkOW4ibHFjW
QsTjljvBF4e9Crm6I1SgK7wFCx9lSAL6xE7ti1O3uPJX9HskvkAGyuydVU/ROFv/Zeylu2Zj1KJC
55hix+zDIITnQcKheRlauzhaMUKllNz0sjzvM6VSgnDbsY9W7ymaU7YARNGs2Pq0t0Xh8Y7mD49V
5xDsJye3+43DbUL/QjqVg9a1W3LUNaTTIEEUByxL132Et4CbcsEJRjjmdp9hd8PPiNWrzcjXJUqS
XM1AnNfQy/2P/RR5G/rqZXVeNtdE4ac85NZL8fryUgPdxGyL+KchEQFwpKyq8uLNrTDv4PheiYWh
epg4yLFmJTEiNq7IzOhT9PfgjGYd7ad4Qu+TcWmXb95eW3mT1IW1imPJKcGf0U4M866wmsMoNryg
9uaSnlTFA8lia2k15U0q3/nk6D1WF8b2+L0Y188/a3RZLV6LIbdfI1v5B7EA8snQHskRyZdTtYnT
D19m+Pz+QbaI146OkJ1i4Q34Cj1rfXd0xIrlWVMUbzWn8k+03lXJRQR2cdIkUv1ArtuWxPVsy2ch
7fxn4Jh4O+d8pQdZq/57TaNIlnqput+iiBD1jTyZKu0L9FZYFDq1ZANe4pbDqWYWpklEsdF48O7C
dxHMJl0xci6J1sN2E7Q87IAds+qzZY1geGZaYHpiAF5PbgOe5xN43pyNrbUN4jiTk/lhritVHEO/
4hxrQm/iz9tx80mYXZNLXcXmYe1IzjoC/2kvDVHKJK+Aaz2Ncwtve+iCkMAf2JGpHWFwOObGxyO5
lRHWvmhzkTpb1VyB4u3n3bxi3uuBDE6j32RrufkqG2u1s10n14IIVMCJv7axGKKEeCPXJ8umFiP3
+cRQ39gCLecccR/ERf/BUZVLIg9Cx09rvzeGijHwU+XeJ0SS56xMi71nCa6qebMOPqOzljy5YRuO
3Ck8QYVHy6dqs68PrHOG7wCtcBo4m70GzxZLZULXyt15MgjoOHqM029Z2zqlfCBUahmTsDH5NyKr
g98Dx0mQrITkdLd2X90XzG8seDA7z3V4s1qv3bKqH4jYigDJi6xWHNYPcDB64pLYfvYH3gelf3C1
4+dPPPQmQie3bod45tB6tNi8P273jB6AxWUQfvC7wsLgI4F3XqOWLym7t9KIR4itVKlnIyQ7EgIX
PFAlmz2La9tHfVN10btVbNLmcEL4kLSAYKKzJDYPx+9eGotyA/jPYbdQ87aJYF0TP8mcPiJzXMdE
6aZJjSNHLNy6JPJIGTlQVZOwRoGeT0smuwWfP6gHJ6tcNA0H9JG9la1bQ6FY2JhT3nuEI8GxWbvB
4bVlWV42uf78CELaUlfFQPO7sReXMfAylD/zkO86xU2zzA+dgyz2NiivCZ9BHIXrX1OQr+uhRra/
XtrK+K9WVfrBiYpq4tRH0EZ6+I7iQx0obeKvjvTb8yZLm0g+FGJ4miYgNy/lJCNWEKvb2gfB0EId
KsvCzeYH1Vw8lIS4VW9NqKV9DDm91ouOmkJ+FJgv7/bH3isOZV3Z6rk0qEge1bCFzRE3SKHfnbXo
accn8ttaNM+gfkQj8/XEEq8r3hpw2NgBhtVzFpY+4bT/P+rObEduJM3SrzKo62KCu5GDqb4gfffY
pVgUN0RESDLuNO5GPv18ntM9k1I2JDQwN31XVcgsD6eTxn855zs736+SHEWhJipppgvHZon00qLq
b9GmINw35jt4rB2DrTJv7uXQI1sX8O3m2JnZXV3JmXnps5u6zT1iR7zta4o0gPIyq17MhWjh/jeT
rr/PkKj0Ua9YgfCdEGrGj11xLUkMs+mp9gjUmhugD68Kwx4Afo3JXmX6dzDey+DsrxMbSCHsCeCG
BAA6IGz9NBkPab7LeVlGwniK6al3sizmTZA/zOkw7thWJGMc1vMLXJnxmnr3dz7x/+zjGQAAE2N0
xKTyp687Bj4T5o6thJnNiJbGxgBp0btu93iJvnoKrV5+L4cGvVST9VeGY3z/9Xjk58+/bGyYjyDe
5kIwn71MT/6y62R8SvAq5qg945omiHBsMYWhHjsiehq2UDva7Ro000WDh4ae2vJ3ccw/jyUuUxD2
MxQ7FlNp2/3pAiiqCROoOxn0hGrC7bDlicAp8znkq18F/jh98XgX/2by/jdUwuVTGQWBB/NZV1Lm
//i1JVY8IllT0PJG8cTGJjuRGDnENtLUbGPmmBpkHgTn3AKmUSLzfgAlUf1m/vO3Sw/1zvsTSwCy
+BKn8+PfEJCdpVAEuPuUMrQ5eT4Qt7M5j9McAzxs13MLKap+SFu3+1qF0rwFoTL0u1///n8Ojv96
/1NUATEBVcAe1mdI9tOVgMNSN5aFLFwoAtO3WeqKd7NTMyGSXjtPD6hWbBF3TFO8iyVu+G5TiGe7
EjbTcD3kBDFek8NnG3dFHTb993lQJZ7fzBfyLF1RrAcqgGWKpnAA+DKptdwmiSLQS5opciQ39Tlv
jY5gj6JFFRMbg1Wa51UHI/LyNm3mHZG+fnLIYVdVj7gt3OblEg9n3wT5iM+CCO9RHhgBKzgXPjSq
QynGmXwykmzH3dgQ3o1jHINhpA23Nmf8wV7zzN59sbbjaFdfcYqaA0mTaAZjBSfsM9N3i24HSEp5
LiqdeL8Zkv9tLyks9srwYjwHFI4nnJ+uuIlydhHFjJEMivNGI4zZJU1AVnZrk0iKDuTKKxt9Gpuq
iRqK61vg8d6+UJfV+bhkcWOq5vDru8D6223AHoz9WwDokkgjZgM/nQPDqmppgJ3bhX0A1mnGWGac
hhpd3NNARJ+Nv3XCCIl4so2lE671dhQURjcd4zIekRo06JMmkKI7ompbzD3iHauN3ImZx1es1P1T
gEteHpaEedF2ro32iyDVAYmn1t4LEWUBsXiLaJ+Nvivzk86R/ZZwcdudrMw1ORDIVZrR2NqAX7Vd
o80Ai4HgpUoWSkPJ1G9bZolCLDgWkzjjziARkuGH597PTq7VrnSByX4KBl+2R6rOwWSH06TuDl/7
bESDkQdXBbhDspl5RJ7tdu1K1L2t7piVj0n9RVmCNIxlcEcaXXgd3a7JmZ5EIc43OuSJyVNsDYOH
5MKyh/xuoU4VJ7of9t1wptd8SwB3N976dkesZl233YObo8zHtGBNy9GH++M/kaWdv0ojd9BOIc/w
HyU/FOmJjfPWG96ozr1m+rJNU/Bs6F7J79vVK9sVZNE9YtzUbtZ1V6Iuy27moZvpj/s1+OxO7uLF
hZLrQ8+DVccNzBB/k1MapLsqMRiqCY9gNdq5McQynONKQMvALow1YTjdeFMeNhuoDAzMwUF2W36F
NdlgKVyKXe8F45sqpUssB4SVk7YkStgxzfsdSYy5H1PE8RXSMfURMM3gOdEHEOUWJpVlbHso8tnt
lEO0OTVmxW1O9CxxgETxNPMHeFO0+kTdraCYgasOkHjYgxnOlexIlAc/1Bt8lvTLPaLVYLlTRW+S
fGmI/oWOjDoY5QtCuL6wU30r+7D1H6yxKU9omSzk4oFfprh0snGP5qmxdolVyHRfG9ryzhj/+NIZ
TLjsBn5B8oKzHeR5WARuB4EB+FTVWck3Nx2wP5XLjF5sBtJ4Iipb9KfF6FAyGX49P1VFP4qIQbA5
/uYl9nOlBM+Qste7ZN1cslKcn6QEAM6VmWarBKYFC0/qsLtfO0JdqGbWY82N9l9c414+jzLhwvDi
97DET+8ratFxnGw+z6kM5xO44g+wPchOEZy8p143v//6TPrbDpfPg4wdhICNkC2AXP3x/SiMUJUw
YTC/CQ+bjOj0bSrDXYft8UteAZKBYTWV5zGcmijMZteKhtDWe1btwRfbl2+FMGv6Y5+YylVAlAUV
TThUncxZsgkRysWUQ81Voab6KsUFjb00c59//R1+3rpfvgLfwLYDNi9WYP50qtKeJelYANmTGsoL
FgNrJ7BBbcg0Z+QqbfhnJlPAqxEvwv7XH21f1p5/fbEjxyGHgZAjFv8h6LWflrFNMyKLHBN/V2cY
bFAvFvBw+7nGMJaY3hje1PaEewi1MUrX3if3/GDM+fqih9YbN/YA9DumZgTk1NNi48tzRvtAj4mh
AdrW+uGXPveavzKXwNhJDxPj5gnTXeCNaJllaxnXKhMhlBzGT1P062/3t3ufHQDXFtEIRxDpcz+9
Q416SmTdTAoz8pJvfMY93yXR1RvLwleK/NzIN7/+QOeyjfvxcgIWhFmPCI2CkZL5x7tRghaENiTb
/byYDL0TSbpMMFZA6TBa8iJwuzk7C6YR1d6WnW9HOXWVs0kdrtvWHLJiid3GxFUCjCNkreN31VPd
l+6AACHDKUA7hu1YpKQN43JeIFRUo36UdpvJI0oiZvVZk8YlTbF5wLxX0bKSmXYskHB8KJrD7XxZ
HnP69k9/fvP/UjzZrfpWfxq6b9+G6zf13yJajDbuF9Fi47ePDJnBtz8T/45f//UPzrP/CBaz3T8s
pFJIc2gSOH0uKob5Wz/86x+W+Qf5CBTqHLnoSwif+L/BYn74h+nxrofWTjfCMpcbsoftmP7rH573
B+x4geILCZaDLuK/FCz2U+dCh2g7HPbCC4ldZHbwp1DkLw1bW7Fd0yWj/zz0WrK7GgfPo7YViwyV
eWQD+7DYP+wmJUrXV2FRwHkZiyd8A95vGaI/HjGXv8Xn7OWUAQrMsvrPSvcvf0vXZmWbSJVuJ+Z0
t0yuVrlh6JKmsWXmqX9TE+oQxJg/ZztGc4ktgEDZcqOwz91qHvCcLUYvLuvYLMjiMiXhmXjAGUEw
oz3fPqJjtZhma0t4kY11Q+5qEtM4syZSYlFiD81tRj01xWVudc5vhGI/tmd8OaQ2BGzxuwWXS/2z
hKjT1VQDc2elkK7m3ihz9tFpa4df5y433A01J9/K8THixpjPOoOmTQ2/q8sv04f/d+rwR/jowlBN
ccsFPs34T+9AhpiV7gfWhlYZluaxRVrBEkV57KEoIQPvhrmq7e50kk+vKyyk6gKqcD7Pra2co9M1
/fCbgze4vLJ+/IuYl7gWrcJFXcV//PEcRIXdNAkEhA2JOL75iVV2k8fYi71qB9tnusSuGp2P1tcm
HBjL2fJY9ww+TkPmDRJFZZh0vBdWyZLb6DHqLh3ml+u6DnxOvGUJwZcF0HsFQIP3uoObVCQIdzdJ
As6GjWdKSTmreRhRr7kB+/zRG9woTQPrESC/OR0Cc2CBHoAhMT7PJm5mRu1pXV9hyiMyoStN7Z3I
vR+wq6/yrRznhna1gPyw7bCDamCcDQLdxRfZvHGwTvs7czEaH1qT30v2Hk0JpFBoEBMeLyBx24Ix
b3fe1Bmf6FqksbWQOlVUjv48nr2K2Wm0poyhP/HKKJwdIUmDtRlwfJYfVMNF9WwjAsgOkg4KZAgI
VMGoqxtAuq99pbCjGPUXf3JrnAOqryZSzhm3b2BGyTLy3Hl5rkj1QOOD/iZnd9jZwHvFSu4vzUU1
b5Iam1nkYwUfIzFKuRxQJsl6N+G18g9lkK4YOMFBXGQUGbgvp8eR/5t3J/TdSy3617vGIgQRQTpt
GhJPk0rox7vGwEauq9mx4mTqi+GZIhOwBhyR1I/9UGsJm8dTy1FbIJpui2S0hyuFBB9kqtPOwQ54
jVE/KfLlxsMgm3CFdQGL7TDPVu3Fdj6J/ABRgo2s38L1OHnI++YNcwXcKTn8tyHG4WQIaErjbOz8
iV/opXMZO8UVmaP2thrFbMAMyTuMp2xJEAD3XmdxaLnuuBXSXdvt0EhYYNVoDMXeqrKq2Gdd0H4J
GO+DBrSdrH9YADUHG0mwqxuvrWrkYVZZyhiNIqW7KZJZdo8GRvEdd5pwWZmV6xyN5B+ksVO7eFAd
G6N5Fdm23T3XyHnwZboec3uQcx1TIctfUCr3UFc3kh0Ha8weJ+uJPmstmLMQD7YJW0c+KNAm5Q6n
iKgJRkB8GduGd3lYgtLzrqqcJR0KqNV6z50FfYvtM/u6t9RK4hNnPtgyA9S84oUyeKhHtGHZ2X6i
UcJBbmOD3NaygFEjpQ+vEv/T8AY0hD14N4oyf2AVA0yiRHh+mp25n7dFWBG5VOZYdyM7rbS61igD
31I8H96mT6aq2LJ3TJZjmfmIslh5k1nn2rT90QRYbowg1YA7kqNoBXIA+N2oSGZ+6yZp+uqz1jTJ
W8bvbfKs56m4wKZks/LYWyxbZIcfIMJD3qodksV02rbL6MJfxltHSESlwPV5itU19tgOk09lkPC4
0W49vIPwlP0mnKe+jI1k4hrQpeQ8wvNUvkCgHS5MugrDLF6kuYnatuRJY+fX6p2AK7iAggnKRy2N
AHlCxaIHn82UPmirbtsHq+7YqGaTBc9szUX2waKjKuIhm9DILbyxcborGvx4CWBwNS2GbuQTkNTi
wB1aEJMrU6o98DyQdz7cO+B+aQtzoy3CsYU6O45w0iyJYMXKl9rcucAU221BXEUZM6cpjCvDEM33
MJ8VHDKRshPH1JOWh3IgzXzjtNWybsIm9O9Y0DN6gV2rzDiEhWRuzcTNED4lpfEuQ8NONpYo2lfT
dCmJQTU05TbD44/FMsmRGrfBYs44fGY7APWS0gxbjSrVp0DgJ2PV6FrfADqzY+2DCa7gqEmy3kKM
VLzQtMw/GRCmOoQo2jLpkxyjPwxNB3ySbQZ5X0EFgnDHoMpQm0uYutwwRi1xLvbW8lplTG3jxi6D
F8G2NI0Hu8zeC1g29+ESZmI7m+jiuf6ImjYW/M9iU4aZfsaMFKxxIXRYxROuhzTuC5E8J9Km2sdq
hVfFlKrf+uWs6i2HOWnjpTcTQ5q4tV/HOOIHEXvOYN/ZPtRkJmZZ+OAMnc2MMdU4+FzuB1hBS5m4
G4UbHJcgwCB1ojGEf3s5e5inYOWz70AMd3KTaNkFcTXYZHoq3SGqQoBp3aSAt9hpkjzvx505w08F
RQUe1Vrm1YC0jQphl1eqZf84tS9huGhCjxsBIo3FL3XT5KA5O3n9YPhRkqB7w5lieStBsXZr35pF
egAtMA6RhySUAZnXyrshRWOz11XfEiM4AI7ZdJL38QGkblY/z/bUWmfaYV9egNIXC9q0rLTal6CD
O7OZgvRqCRm5Rnq8MKpzDHtDZEMnAI+RFs2+XXxchBNjxQMSVWPe9IZYHAA7BdTGThfDu6nmTm8m
j38VAblncC4a03wNnaHMdigB8ZBPJNOxDbaKXkQ5hlId6UUV2WaY/XwAGRKwOG+6tnrICZL/AGLg
fxvTxAn2bIDbKz9lYH6Ggtb5R9ioQx1XTaAvKAYuJe5VxiORkyOXQGgYsviEDrMimq1LXIQNg7zX
MlgEe0+wCnzwBD5/hV5nx1U1QmSt3Gz9znTScBG0WbyzDSiuDxrurbVvpsuDVZVl/XnBF8Dv6FmJ
E4/56EIzlEp/1SyIXKCEiz/ufUPWJtTrFeGuwhblwPo2su/VOmhgSaO34P/JbVUMCJS4ftDERMIK
Zxod8B1iUvleM1/jyBOhfO5KSEdRre3gwTGlA7Q1MV2+W5ajw7lsIJ2j6eP5R/+WDTnYLKOU10qr
EJJNk6NN9LQMHyk7FyamU9p8eBUU6GOK+RzSFWb94g7/Y5HF/WxwTAyGdt4NSwE1zfg5USsnxhsW
RmQgWTC2t2tlqq8WnXW3T9a28s96KpQdI7ULvXgNsV4djSIgnAiGj3lnK+qsaKjD8UthNM4re8Xw
K3JDIWLQ4EYRdV27kviGjgRNdj8WGvZLTaJKxTiVtbNMc/YMIyZI9Cg54uXSyoXA6rK616Qf+acw
B8i67aYWPYldhVTVuhwmElqWMVmQ4kCTRbFQsgd22fq+ODhoQfJq6LUmO+PPkzVdUI6DBQmG6aTF
g9z7kIiTzpE7nevpocwms+YAU+ljUiGYiiB5JfkuMGt4N+QerVNUJ6gYN2636PcUPPwQQQNy3jQu
TvIXxBLgb63oQqM+MLWDVg2p3wZ0hdmiLOi8YbdMzuJvgwagc2w6Y/aCenz2doMI84+sSZzinIk1
sLcuL9fPJprlZqv9sWM4jpispPSGghUbMuxURE5UAyNY5d20lzj+QQKkGs1lJTLzw8DjNRz8tS0/
qcaCOl+PDgughr7wjPvZV7tJu+qjH9CjHEeIEimDMN99Z8HhfbVVP310i8kKIgMYihUG6ys4UCTi
L44zQQPgnQpVEh1x/lS1eTdHogV3sqF2cd3TMEtAl3qU9mNPaW9EwWDwmhcrPzrfgxl4XDZO/TbX
/rLXDsc3ExVTZBcOwALHEOrUMz0PptVKXfb2ozY8P15JhuNfpDSFTsChxEi6nhDamyGDmgPUq+Te
RSD04vOPLLtlYZW6NdOuQWVjwXNkFJu9sZBIKsLAfEyrFCa4N1D4aXOL2bFarwwCE2/rbOwV+MJC
4ftN8plpTlDiIR7A/hixsFsPqqOkxgjkEoAr5DniTh0VdUhHR/h5AQ7FySTL4rvdaaEiGPHgsFr4
bW5Mk+C8FKadTBE8SP3Kuyk0QEimQsfKH4ZsI2yyUuMEGavYexNjwsjGT3/VLBOQW3dA58QeFfxv
CyMr2KL8JIytgr2cYnh2yoXxKeNX2k9fceC4pPfZfBpgXbPX3/uJoIS4EabqMVfBblsWSHhwHANe
1euyGo81pdgNJ2hGNMKadW8qSBFo9vhqF57eJD1ZhEaCB7e85bOXGpcoV7iEUT+JHkQL0lwePTHm
34FwDSkpFlYJ0wlxFwyHNFRJ5HBVzWgmA/h+XlkIwObT4xV6ZWsLpdG+ylGYsm7zUucA1q1BEd4P
4IBtdC2eYJxehOpqCk1gnN6M9Ahtzu16YSzSxIJSu7h8zYHhi50THKWnQN02XPA4m/JHZ0Sp0pVO
/3kGMMGqyCxugYkc0nxJd0UJN3TjGoH1gbw3pW3M2qOsMN6j7oBY7JTZEVMHSU/1Z4w8IjbX+qkK
jXHD8eAfA8gbx3pMD7gUmhuPZNJDnSKMlq5UMU+3sbfrRV1WY3Izu0jdgBGJa+5SY7OORROpcOmx
+KvuRtVFez8BFUIyjp29a+2XNENi3l+Kj2zWW9ApBeFZPMQwWnEhcWgPBVos1Nf46G2CM/sJpzzd
XCwtFkGL5chPIA+vYbZepzCE90GQ9m+TDgjxqYtSb0BEMFGR4UVNqJZb8BLlfhrLnRNwr4SD/Gq7
HMteZQRRM+PL2PhEHlv1Cicosebd4sGWRCTHybQeqfZuA710UQ6QZjNTRL+O2uRdn4t7BHcMHpi9
nnp3xYjTscIc7ZEsxwtupEXFTIyRI++autp7wLyPINLFEZzHrglDCbXNLG9XKqxD0JrkPPjtTQ9u
IgqCGup8T3mggsaMmI+jK1r6x76ugvPYzfUDz6B/SA2ye1ZrbeOkK9NvUMg+2fAroiVvyoNqyxNj
SPBQE+7sAS7JlerD4sxqB0q6AYWhzyFrGKNnxWuOlkuG2WUtfvBzM4Q2Z2M2F45Z7Nnx0bvpyd85
q1vsrL44TbIOKZUze9gyzKxgNQpvZynRRba2Lcry+cEP1vamkqiZMoJ9CSovH0tTyJjm4aoY+3Tr
IJqjGCzbM7YEfe95RrjtkVu3G/yCw9nr+nmzzEV+ajpKPSBG7pNMB+cOucMj600cCpQ0OuoGVKHa
GVMqtoHXn8flj2ey/kgTDpZ9yqs9yrh19uMYapjLOu23LE4fAiqJe+179XGY6vrkyKnfwT1Mr5M2
1JHbgBomdn2MsBRQmOnuC+GUNNHMIEAewvan6czW66KlfehkcbjoqDqAasckbZMvfgv944LjKpzg
3qcnPvur8W11AuNm8FpnMyXJ1YyaSwXtiVysR4R+5hnuw7QN0Bk7w8CgvkVg7bXEDDS12ZyXvFBX
BfrUjldZnOTphTLDOywVF77EmAZMaxnW8u7yqijvR/opxDlbUMLQnr1y3pfWjEteAgroUt1Qa6Wk
ljDQ5eRCkjzti14HW1c7t31iwp1GHHtTUfvibJQWTZdlfMFof0oCdBT1ZHa7fPEASVirt9WcV0Vg
nMUAzJnWGo0oS1D2UH3ytHiz2A8L4GFc1FtsRCK2O8vYTaYtXmazZ101pVaEY4K2Xmd7fBjJ1nUn
5gk8INeUrxX7LW/ZAxyLalV8xdoSblvDem3ncu/2JetktDjeCzKMQzF57SntrXnfKR5LDiWHaB/a
bKf8wJTPz0iaGCb7hZh6R6KxXh7neQiZwfjpAWDlGo1+LiKTEkNcZkhtMPrnwS8f63Hln8rEci3D
JT3oxAj3QJmaXcu0L4aJJODrQJOAAOYzdSjJY6mG6r1bLAwqbfhRGpzXkIWmrewDKCPZIA+tOw86
KqBtRIjp8H6Avclmb3waZ/9pAQLA3pmyJ5u6o1Gzn4nNzsrOrpp9HQO6fCqtEidTO2ITUsTXHCVE
ElItYHVtuI/Utu3FNlvSz4tH9rFgQFCEPDsS7PgCJu0p6Xjm0qK4MjJmQyB00iNmmXcEDtugcHGq
9+W7kVXZFaqEm4KN2KHwWzqe9fII+4Z9WlMUF8wFmdWOzaZBKnxdOeBDsoQe0Qcnu/Hqdtpy9i9g
ly4txWw7N61dffIzo9kjBU439iz1foD7H2P8vk2YgkcEn3yxoY7tOs80eOYUf6FwD/CZjcio1Xzq
puxmGPBEVGGZP3t+GJxlCKvNWqpvSSZeJ5GSDQ/d4TDkszvhHnL7jc6GHSaYe28t3wbWMl00sqVF
6yg+dbbUj/Zc4m2yQBjSH4/ML/yu3fceJ1jYcsYMjKAiBEPE2AF+AbIM0481fwrIDz//AqfocKH2
X7krzY2C6LJj3zBfI14mESkzjJhmxGbMPi6wdxgKFaPYWGhcDyaJLAhviBPSuLRzZh8Xd0J6AH//
iLmWuPu0J2Eireb+uXJyokhM4T0AyDzyiLTkteAvp9p6BertbFfPIPkDAM20WcLiOaGhAXTo1XHZ
wyYsBmnDzmlHULa5crZwrGBC4M7bZGDNt4tak7cqDDtgBg6I7BzsBOqIRdxhGu42tHq0aqrSe3t2
+LMH7OsEuB89toMR6RSfu7UzD11iZy8ZwLyYlioh/a2byHWou2NC/sxelT2xZLkxnvBUBEj+PU3u
EYrVO1woh0DiKp7G9qo1yuSmq6Y7+BJg0cN6QzZDH7latVs4is+C9jAK8V59Ikb8LCV3WuXzpuRo
FibuHqWOtqXuaLXYI1COndOs09FYrJRKhWV9QZx8WNkjI6cvjoUfvHRUXGfWJQnRaMwC89VYYUPm
/h3/j0NMyRt5ugPhNIzGCSvQiU0289yg8khgYooC88kHLMib7AIkKQ7zqBgPu6M8MW2gUKyyrRLO
gBgLZ+QaQFAFFkxObh2uu7o1jqPb25+FlyNA0aFXPySquC4G9R2Aecs+q4D8ZSZgTmRgw9sCtGbq
N8zuFadmrQ6zTDaOyI/hnIVsDXzvEbf8fd8TG02/c6rE+Fqo0YXRI/MH3vDDKya9ntAKh2u/pp/M
LNVnlZvvyfDSmKP7SgbEY+sKHsm86DbKaZlypdlQf7ZSeMCzb2wxfqHK4oV3u1DEMifv59uwJc3S
MwacZSkpEyPT/pRV5g4A4f2AIy72+txMI6NK6ogAOaKLvSH5vpaNcbbMWTGaESf01vrN8PNLUFnF
bo4khuoYEpTDv1dL581gG4n6D4ojrrZvg37VCYMwb/wqu/5pbOZnXF77vg4ftQm1RAGCuc5YVjDA
NbHPmC1m3Bkx9+QMlXGD9mYsT9iG3eVaFTzW3xRc+vSGVKEZIlCfMXLifmBJB24lu8zxF3D55QAs
GDjRej1mdeAAKU1l3e7EMma8lUbwLnuKaCxIINWINLwNGSw6G+XaqfGJEOrC2CN6S9fbDN1N8K7s
wskhFbS1Ub9iC5MmHRWRTtiLhEscEX4Px31GAxJ6p85gwL6Bgi/tzy5q8foGWBCZYjVTb/Ox8x38
MEYY1u4B+1cvb+zZ8i1oG0NbXgXA916MJegYHEBUq/fIxNiSgButsuZMkFzfx7IQgT741kRYUGQE
6HK/Ceq7eotgyRc3+EqK6WFQoQro7BpE01lEcpAJA0sX9nzdMjvI7+0Bwct37KrTinz/0oyR5cI+
mx+9Fu00P6wpqcoYwlbeh4mb9+W55xGwnhP49N2h6ue2OwTIpeYbM2gSH88UrdQT+5iJqZyfu9Me
6Eox4dIRJOhw00PQ2jJn8kx/ByuhadlAITzxONjWYP1q6AuIfhGAst5qE9nmXuA+H5/mRs8I4Nqg
UPAEmTcCTIMCOz07aeNYd5aQSGpJmkgGy4i8TmOowFVpT0xDkPGlalN0yCb4e0fhHSaPEvGTrc3a
o6YjPucwzsoTz2wfuiUgdMxEe8mUk1f/uw9vSLyP3AliAG+VNMVuxb2H5l2OLaURJNkG0KePaelF
BfBNv4Yr5t8tjQ39CZDvcrjFEYo2DRsvYsADLXYizrobfb0H4z1VV2ahWhcRYNG+wIId2VWkiDtT
DY3xCGdOfK/DPq3v29Rhnj0UaXNtBnOK7zZYAverQcLAGF1CWdKzR8Ckd5hNJYtdwnS3jbhFl/BA
xQ2ygpioIty7l23Y0RqmhFLUtBlhmZU3mRsnm6kuFwO80LltYalGs4f9KPaCqnplpml/I6Axm/eC
BjS/MdogbXc+b71T7ZbNazm2qFcT6Q/+JjTUDoJe4tD+L86dyse3dDEIRnST6cnjud6uDOFvLXcq
3wnpiVsUf2cPkfO57i79QZLwlpG+5uVXW1c6a59pSOw7kVgnSOJvDPq/DHBTt1AO7M/4Iq9Suwhi
ORJrU5sl3zw0ObELTGXd5DMh77JWHMEgGbeyksbdiBRQbvWSWrT04BW+Fk2fXKMAKyTWScd7Z4DB
A11nq3ioeAXfJoUqn1JXGVdMJG5HppBfUsy3u7kpgvdK45Su+7DJCFtwyPAckF5MRVO9ohFSLF3c
7IvnL9M7C10s80WY72EX6odOYhAhwcl0gCqsoo0yt853wAInjJ8239ST34a+g5u5+mRuLFvbf5/Q
I+16AHytvbyiSonbMDjNLnYtJBEyFmbenJhkmgfV0Ai6MO21tm6d7sPX4ck3cn72PMyv4EcjMc6Y
o7MGbg9CdcV2Xbp9wMGwy6juY8wWPXcaXRmesKid56+hZZ3RoBwM/N27BQ8Qyo7wDny9fzD7EouZ
8dag/YgFgRV3ph2O96RayytofS3/Yz0Wuw6rTRmtJtSfLwSF4aZcqjJHBQfwuTsAdBNy3xt0k+TI
Ae6tSId4RHOQnuwc4C9d05DeJ0bTuWDSHLQWlwOhOuSk7Zw5xll/+6LJB8ZZHsWGY02ww6WvRHOQ
DnXnJhBKOpulL62vFgw7chovNNWd1zB23cLikuwJ2HPeSzTN856gIzYJI0quC2Q4D59LrhSeZ4Za
GMN85oon5ShdkDdQeQ9YBcOPJZvzigtBq7DFJ1rpGFJY+QSlgEgRh5rWO4OspE3UYUqKqUPfIvai
7KE6L9SC75hGwdviN5yabYaPp4kSlbL9aZPOffH6Nv3ORoQ187qyj4pxIfpyZwvDI49gpbUEYTRA
6+Qe0Bvw9AYGSoSgQJk9At7oddzxI11yOIjsiyz4UtUk3E3G8wTx3W/RLJiC0LbdMK0mZE4s3+aB
cWCICw/xzpNdLDUzLSgCOqos9Ai7wavgx4z+WrxOabmE8cSWGkM9B0e6WVy7L297J8j0yYIp+23o
WBgybC0LVl5GnZfIABuVbMwqITAmC6CyCKiwFid42S1n5PcDRe9MbiUSNuL0ijXz6metJ0MegrSj
LvSokG7GKsHJvJIwSOJoZvdszwiowLBWwDt+qj2bBT77WQaR3uxbNyBIsoqHU3Jn51qsMFZCPwf2
sY7tY0bDnOFXJuEJ3qerDh7JIgRlGYnxYUCj4kd0psU8IkYIxye6H0b9fuCyMOvawv+OOwJuikFw
F6EtOPiehMAlhtaU2ulZDrknroqhQPssFqJBo38GGkVg41nTBjbOTOibxOfCIoS02izJQZiHrj+/
BG1lPf4zZTU6zxXc4YDT/+hWEOXjZFkSgvAYc0H91M3LPyU2dxKjg2GbiKq/nddMxwK8TR0lTj9+
/ScJEbJcsfhtGfQ4w6527OljaBz7Vqyu4ALyzKy7dU4zdfz/rBn80P/zo2EXBMt7+Lfr7AMlUvN9
+G+hLETa8itlYbb+JCzkn//29u/yQTdEKXfJdaM2gfzyH8JC7w98IBzf6Pl8ZGd/ksDqpruoB13x
R4DiGmPWxTGCQgHN4b8LC13vD1QKNM9AoTwEagQQ/9v/4sLKb83d/9He9D/99/9BiN9dw7Kt/9c/
gv9Eo+PgBuOvEK5F0oL/k0YHAQui3cy2I2gu6Qv+RrLgwWogoCKdja62BbocFmvHg09DOQGR2Viz
Ie6wWCbHlDyvrQLhGLmW7DFWD+pTSha76v83ZWe2HDeSLul3meuDNiCwX8wNck/u+3IDIykK+xYI
BJannw/dfcZKqjNVPW1lMlWLxRQTyEDE7+6fD81JxYN1U01NeFEgG14yzNZXSaAaWOV93lxBKca1
D4boijapnev64tQmobdg8er1ecqWgF6DBLndaHnOEzgZL1zbGA6Ym4sz7YiKeWezvE1+bm0n7Qb9
qQmb+SLRtnsBp+SBYBLEf/7rA+kFNo013F4CDol8VbE77db3i4NYe4c5pqY+q5ZbH6ZXsEGxSg7+
TPdOiUK/nhczBolzaEUypc6gE6hoUZWV0x1JDuRcz6M8JGwEig3bO5sBKP0BjPJLtMY9DG/9NfJU
IfbjfMs+48jTZOi3IfMuKsLzM/LRTHK3VDvDlvqK5J8m348cFNWW5Z9GLfwKl2/A4I3ZOhU6ZZ++
mvVsfApjwSGI2TPSVYkxzcrm89RX2Fx8vEJvi7TEJz2S/lEpG820wST1xtMDeGw2tw/9YCcs4Lo8
4s0CxpwIBkk1MkbMRJuS+Pmom7o+pU0MAbZmXqfIBx4DNlVPo+yXzSDd5CqxF/+iT1329U7R62OT
9j3oB3gmF43fWJuBI8yJzK6BAmpmIQ0VzSFszHw7g7wdIvbXWFUWA/m7K1EEoTb028F1f+K49i60
HEaoAc1yt2jHvRM1m3UPzffUDHZ4CDpDHkAC9Bd0vqyYs8I7cwApiQTTPOEzZmLbU8snQX/QNu4t
xuPCEoeOxsINR0kmuAFGpM42rEe4mqXYOl2JyptRC+XiQWon/4BJ0SITvtTXY9UeelX4n6Pv81Us
6Lx1JY2dk/8Siqrbj8oDpgwWF1J9RwIoGZ2ruo/djWkyjCp9nCt+DOqzqFz/VAVLxZOZYWYbYgSi
1oTDkzafMY2T2/FoIhjZhxnMieN0V3p05yhiyru0yZ3XpkT3kcpIaClKRH0Rh+A2IhMO0OpX4HDn
9Ln1mpbpcqCHRn9BZ4JfndiigwQiSOO3k3XCQMEZwKyz9JCUMuYXVxHP8rOdoA0SOdx340044wWz
OQjvhmbgtzPXUmORFBYVi6O3Vo9N70JigujRgT857rqPHDzfC4OeUmag9rUl9UWZECOH2Uc9Ngyd
m5DyzF1fIiiyq8Ph1BKHZqSAlKw966rrVvpIXbVHdrLoatxo7sTcL2WMSyp/eO7GEPEmhvwFTX94
NYiMP3H4owBNO+O+bypgDVNzpC7O2gpDmhuOQq9N0Ju70cHKw0d1uKQDpbyr0unZj0P/OLgUWnnr
7AsPqLRvJoeUdsZkaSYYsjeyoriNaSdE+VABFuRxGq47+CTDLmxywhw1JK1n4DHT0Q7G4UbZ2v/u
ptS6mIMBfgBUayDxQmWcuaEabAACqMvKMWEIjFDjrnDZcBAHF9R3W/xZ9XVKXOMiTSs3jsyCFgSH
PrJ4WD7pxJ2v0rZZfnQgncHCVkjZbdunm8mBddoD2MccVobfFv4s3Gt9dzCKWZ3rshovRIFZFszV
nmTNU2E4LpPFMZd+5MLAGM/0buvwJmsQZzdGNxQvHR/1a2RbM9/k4Gbu4HpdBQmlTnaQiBOPshS/
5NTFQMX7hjuUI8gjLGSnPZmYTA8pjSktuf1px/MGracyzsJPxu00Z4opIMtd2REJhdwuSkDqxnM5
KO9igejzyJh+X4VjQAAdC4IvG7FVgluXSgx8K168hXyFO0/j2MFpkQ6XCVt8qoyI04pWOQS19Jfd
0REccnw72dR6UEHF1pFToB+lFNZsSr9nGlfimcpkvlxlXq53OqsOTQWUInTqL6+Qb2VfnfxQv/pl
eQ2q88EzMjoCU7aoe6/2IPERwhk2pP/aVQ39AKc+X9HokFy6MFFQlmx5NDMgl4OtaGJMpsQ6tgsr
JWHE6zkc7FcDEXkHC786p0EtELHi9rFAxXjPuiqA24OS0FEZtMG7gusE6tWbKHFy6fkaQMhNoFig
pJY/lOzkXgkKsVgYMeilI2NZf7peDMfhoJzRy+X2FwrnF3Sn4M6GdrQXxvhZj0b8ovqWctGCoixC
QAuP7bDGppPhfA/CgcUsHRxIATwbDTsI78kdJpBhMVMPugjuSlqlIyw1l0ORlNSO8gDGUWOM1dHJ
QvOh1X7xUVERnUdlkPgb5iOwU0YaVIFOTKx2Q4ndroDyQgHKIfBmlDJyn4D2/eZ1aBt8z7k10CLi
N97JwtX+CfyGCnuvZvO8KBvhZO7dHw1K3k1YVuYdlBtgRbgTghuqSMgbev1ZBPl8Jj4QP3MQd/OL
FRJ0Cxb/yxop0JAxDzGvme4S37IfiEP5Bwqzm33SK4qW/NY/hQVm8EC56Vs3MxZkyG4bOI2S9lS7
8VTvGCudfHjvW9blgF9c98CNaUL7p2rUhdN/U8zmjBm1tNo7kDv+Ry3KWw1OWe/ZVi0W6gEHIi4x
LBvlz/XtuMzDM02ML33DJ2oKetocIQoR0J+SiOBziX+NmYZVDfaT4JB8TDrtcoBi6+lHhWN2cJ/Y
RCDwG+XWLVvvlXJQnoOtLS9is4uvPFG216nMNXOJfjohGHfb1OjWM3rAOJWiJp7e4WR88XcsncjC
YMBzRQf+ddLF1kWSBsY+TGYFq4DYvCuxbCZVfLmknn1IS4Oy6FFgCUTRwtxMOdKyD4f0YFDMfmx0
dTUGOUc/WsiTs3ZQhgydmgzL58VDeHEKKiFT/L1UqMS7MWbirQIXd6UIjCkikwzKy/L8HzU2l2NQ
h/N1w8n5sNBmeeasKx9zHQw8Qmjoi7SFfWi0zO5Wdwb5DAhotLHxYXcxYHg4ATIaDN8DcsUKe7Q1
4pSuggP8/wR+V2A80NjNwsWcEx/U6LXPi8y7N2mTTLsEWRh/k4cerIc0rieaG1ofymVJn8NmQeWS
mV5KzPyZI6BdZ8amB1F2gMkVPDkk5Ul//2yUZz8QiQgofaegIOWxX0WuaquP0G6VuTXLvDsUrgqv
5T9rMO0qeAbYRbqNPzXORAAPFpVd7EjS5sFxenkAxevuO10s927OrdIFALgUgK98WPlFs8wD9loJ
5rGKhlLHneB1c8FvkKVeHPaS+4kqNah1frpbg33fAditbQDH8jTMPEkpdCyOKNntjivRHScQbk/1
RMmrrt47sqMRnWXFBjvnNz6l/LIO2YlVC/kQkr1W9eYjktJMmV1ian8gJKdwmBv6I1fudV4oedvD
JTuxT7mTTrcH9HfNtP9bNOEumOv7zgxxTyz30H2+7EIcjMb0j2OziEuXzdIYjJS2+rd0kFiM+qzT
tFQUKyJHg7xFjgA0cJKJx7NnApDEQlggubOnH02KqNODgPTzOWFIYNkcZ7ZoocpzSt68/h7e6YqB
ypqxPeWE8o27xleuf2cU2ZfPDvZOGKRJfItswcqaWtFpc3JnJH3HfK4ccT3RybRMdvUQIw/CCgK5
NXQqODP5SHbjMi43IRVSJoMsyYCFBnLvIlg8HLm4yKFeJsZ4N5oD+GQSQAb+E4lINPAlMZqwtOYr
tBnj2Id5dgzahdNCykAKWRC12EhK4xbzm0cIa1DLtVPq7BtyPMXvGYV8GWCylcWjN+Dp3FtHSAkc
i4FJPVlEntZAEo6M627KpkNZ9j7vZ2lAQRo65B49SPwheIfYLbX4hMeYCD4xpIw5aka5BOsPz167
u8iVgE8YJNNVpZzNPGavHhI/UdR6Mk6rA5q9tneQ8TBtMCOTBkOlsG7bmYcr/pZ7fPb1th5e6yrB
O+UPD1W2gNUZluoII0zug4BaIjxalKyrEdWSqs2RkeQdUa3L0uluvY54BvHW7sUklH3fFTMoS5Gj
bs0ivSJwkO6A3tYbPy+rg8z95ARCKT7AT1x2M1vwGyquxFVqTSh7leccXAbfmHf87i6vuL0XAUZn
6Cm+n+bpSrvZne9q69JRo3EaoV1cxUx/IhPAXb7zUkgKeyz+1T0e3R8DbAeUSBMLjWWIBhBmkrLj
Hoz60uVjB6qiJ4KL9pc9+WLkI5sk4T3O7uKFEB1il4p14uxGHBqPkmItjg8VtAu+QeVfJpTeXCZF
ltxRYVNPWP5rGEwyXLapxYpgLJa3SXByb1Knfk1sJ7y2DIe7DZ+WvnSJ49F63xqvssGiRUkKVwvH
xBnZZznTX8mBtbSPBYiD205Ln2NkntwuY4wBo6ure9dd1D6V5rLpmMduqtqbPqWm3ywHy9dsZrPt
frRt1by4jM5puppYh6KEEYPTrBlX+jvt5wlXzaHJveJBdzMgbt/FqrpCGZjiFVdZDhxO+2x+BnT/
82L0XbWTrYPZfzK6kxpiBnvm3PB8zrm+aYf9k/OHs/4sKJXxNN1UIL8esK6zJxSAq14rboyLfoQQ
QXKkvRrIrG1sOc+PweIy0MYJykB/njc9tKyflkKT9ow5P4HEnx7/q3GrbsEWiY3JtdL109XT5hvb
RxeGHPFA8wOk6XjxX4OfLzmDDjcicaiPJmGliNn3dN3m3jVBpRidOkzYLWR3HDvza2uy5tv//9Hc
Y1Pxz+/Ttv9sJvfLVx2+m+uP6rv//Vut4eL/O99jCvXvsPH2Q3388i8gQjM13w3fcr7/7odS/ffA
av3K//QP/x3jfZzb7//9v74a0lzrd0uypv4l4buSnf7fg7unL/lR/5YJXv+Lf43uHPMfgvi3Sfp7
HZEFK4vgX5lgIf5h2T76LmqwA0PHJC/579GdK/7Bn4Dcp9qJP/xldOf8AxcjAWJXQN+xbb7ff//k
/8Ho7vcYLhNDzi7hmggmGkxy+ddwHZmaLhc4DgHqivBMS5FzZlwm/yb5+T++igOliVYjsr7ub+NB
P2uDKmtBYBpxNhtMNwp1nFQ1f/7hbf/3D/fLHJK/7B+TgrwjBIn9AFYMRCwqX3/9YTgVtrbtpRpv
WjNg6DHxJCPiHeENZmd/qPsno+6Xi6awMP799Uv/k/r0+2uDFcDbbkIWCH4vKqjHtulGUWuYwI0V
v9OrGiz4r1E+8YgstikvK1C9Ds8lJh5bPwiTZ2VJ661m8BNv2cMj7Rj02WOBNXxYuZU0m/q6Gkw2
gX/zd/3z1aDiBVwTLwK5608ABCfQGkKsqYkt2eq+p20a1iZOgulvICOMl3+7HC4CHaNnrjhO0t8h
HBiygnGFPGxVWSh2qLaY3Buhqm68ChogBkPUDnrJX9MwyVg6//qC/OmHDNi6CQ9gEv9QH7FSIP6Q
Lx8UbsXOzoOt3xveFvKcf8GZXu7/+lVWVsQvV500kiUCLvtKlCDE/+urdMQ+48TqAAz6ef+mPQ7u
2rXbZ5rDXv/6ldbv9Nsr+bSPEIOF1sKM8TdqBeEVIhq457ZZZ3GsACPOAVMzVQ2mybgoC5c6oL9+
xf/hHcSlYtorXg0/orte3j+8g9kwOANYLJjrHPuPwLZIS3mN8TdIqz/dJCyISIE+hUkBsob1G2rE
BWMtqd+0tzZxl/vcw4zAoJPz75TZwCu6Z5se+n89x37RL/64Tvzda/62TlRkbGdn4TVFQPWuqAgp
WEX31Vae90KCHMsO8tj5r9/NP78mSxI/a0iXjsmavqac//Bu+smEryKnk5yDaHzW+aJuLXuZzoSO
2HgBVecQqbFMxH/zIfzzfeOZGGRNliZuUIYsv75uwpQmyDsKwMGMlvfalekHsAUvYvn1h0jT53fz
1z/onz4SrID8z+IcC2QCLN+vL4jNIe7LznW3liLKYIVt124Hs8rhPQe5cfrrFyMe/hvmQDgrAZAX
Ch2qWsgU//bGWk3XAv8q9Lb3mI0faDfJ63ObG2p5yRW2+QMRvSqGBbaI+iAUk/CIbAmn6xJ60NG1
ZGd9TOVkYvdLwEXLc98ybQI37M/Gnmk1vp0GlxhZganFJAFizGl2lnRjb1cjbugDyxr0lNnviU4N
wypYaAninYnDkMlNJeeqvZEkdZyLWftWfR4XThovAXyLbgsBatMv9gkafUhYq6J6jFRBgu0uT8NJ
fTpZh+9wDuaxuRzRXrwjLKjQOuceQrMlK46gkMHb1wbmtntiDEkyJnRBV0UuZRk1ncxNU28SE+14
O+uCu13jHj5k6OZLFFfgYCO7bIfiikwAyjkjIFykieHmt2NHejlafBHoW6ggqb3vhN++UmxuYNtc
crfdQ/txMMX6FJdEpTSByFtAnG8C07Hso5eY/XNskiNn4JIUFItzoJ6TL1ZHB8dOKxIxp5s47nGd
4nAWxdhHcvGdJ2WSoI7aZl54CwnnLjShxGI1+QXAdRe2cM/zhOJzCDnIWBGN76RhEwGN+wI3QnAU
pEOB6yKjMPGiAvQOtMZoHszZCt+ZDKoBn82sUYZMqDkkGpxyCqyHkceFded01GdDk5wrcVgw17UU
ORPFTAiZF2qkMz1cxD6dtDYux3TivG4YFAs8+k011SDZE7uPeEwkI54AhZPStnJSmxDFveJWWH29
nHQHyxzCCRCWUyzBG24H8F/MuPPaeslzAxJbTCnARd9z3UlFLEbbX2KcDh+ZlzXUxOXxYIPx1d1z
gMXbBIivMIZOEK+La5KatDcycIlPOMMUdwKt1OW2Ua33sOagMEuBa24uWNfZbFQtM7htLXuBtCJr
94NkMBumDm8aqDQMK8Frp5TzHeP3nTdEuvXasVVW2UZUZmdEZA+7Z6pxjUdm63iBbBtEcdQwEsOC
XmicdTrJAc7SVzMCa+G2+cmdD9Pca1oNzryP4+di0F0brVFBgrzeRKfn0go+FmSOsjNwK8SOSav2
rh6Io+8M4ofdFsY2tQgA4Qeb1ECTvDRlTa5wKgwkrKQXNj33FI98kvggM5nljSZrL7yZ+XFQzCkT
UFrjomUhWbEZx9j6QSJKguZvg5lo52DbhGbLWBFCFahSgV/yMOodSmxwd8i52YKi4LzMtSvmY0bc
19n3RNDb/WwH1EAgwy/DTcvGCjJeWra4cDH7t4+VQffFPQ/BPNsjw6UD02y7u57jkPALDaXV25CM
5quhu/wmgJrjHIZswhwGk6nIThTdjhO8QEMET8K2zTMfXfON2dyccHQ1xANsmyV8L8QcJPsOE6ZB
si6wZPjOXKBKb23aa9AINQkovk9lFj2CURu7XXrotFPR426O8sUCs9/f2v4g+wu6o4cHbSduejIb
sue4dxTMU2T9gofyPphLgXhCup/aAEJk+WULCxfflph7cdslmd/fj34jHHAqStIjWIGWwSVZZ4X8
kReFNT0aXYYtnM9mXaKr9U7wnXgMsPYgkvETiyEmHj3MxkQ38TguxqZkEF/e4jMbrqnmw1imsZqR
r04XgqROZr/7kscMWp23JKeV53FnApeWeGqX5Y4Uqf06BcpOd2GuybvEsaYnncr4t6zMigvGpuM3
2MnlZ0pjsEuXa5vfoFEs8pYWGeMj7kTwDsLJf8RGW4AiyZBPIlDQ/XdIQ9mt6Qza2saeK78pVRAY
ifg9mEBb5d1+cetQnspmKQ45Dxq1DfTaUFCUje8xsQ3Mg7uQLzhaY4121wxg9ZPA1hsizAmNtyKj
lJnp4OhFo9Mwx09MFXZnaGUNndKYfx8zi+UzqvTc4DHPSm+HyjzSTljnzRsgd2T7KidBdaw4gHRb
LVb4E5kz46s3zMHdjKVfvYRzIx8X28MxW6cT4novbfE9FWg3e9E1tjpTBKGx8ad0mA1Jw6c8Jk97
JCYcyxOVUt7HSEqIKFg6Da+gXQm8Vg45A3yL83RNCn25g8ppSDqRE6AzieulRoTNzlx2lRlnVmSR
b2s2FAk139Ac8w+bvvEsghLNwK1jPt5vS9dhKIopXZqH0sR6QC9UjiKF00EC7FFhsrFoKvsIPMv8
ojvAZmPF5N2MbGNEerM8MD+H2S2Gq9FHlNjQsOUgI9W22jV5n3AVmZ1hu5/T19nl52d6DRSbCfJo
giGYCDZuUyKAiDGMqm/JEXRyq3riT0dNwNeM4tDpeHL7LeQntWTGp4QYSLWK0WAE1OmYertitut3
JVCNr2cmcXD0HZ4dj+asHSOqQl1e1eNgWZD9g3ZXm7kdH32aPb5TRtr5pgZPmcB7cdsvjxKSfl8M
OVmlnnf0Zx7k0thi9OJWYGRHmq5Dxdm51DbFhwn9p+WhO9/EwYh21vkhckk4z6nLON8rXwQNAf2+
jkOXEyyBlyIKEPUoWVFslclMWG66t4ivEuO2iI8Sv22y20nS0EIfXmN99AklyEg9mQkTpSjIB4jF
CD7AEcSvjamYbhVjQ5YiJoL2tIwEkLmyFsWdixqaD8OoPbQmKLPcwFLoOVLZRAGHJ/sJgQUs6V6G
mbxP8tWHx5mlHTbY9prxUI/o8pu2BQu8dV1IQTsom5RO9EKREQjibk1pVPNOWimlGg5bnc+MxfA+
4KFM4zzK+BLpYPT6vawLog2KXZfaqSVgubRIBFFGFkifximHlPgJ06dfbQYSVG9loCmSKIYlxltA
Q/aw6+OZ2HFMeIgHdzuYCzFt0R/hTsjHOWBdOcV1OUCt71k1t2G2tOb1mBAO2GZtwVUtlErvoYGB
yh1xEa+wWjmDohiydmcD9fD2S+nqzzzQBVtVZCZa3CAO4IcBpZGzJHlGvXHSBfDIXKEHkn0ukusc
GN14VGQNym1PraUNiLu1TlndCvaObUGYZ1Wg3srUIX6UVhXBuJHOz/s4AWRzBn7OgDUEKA5CaRX2
iOASiTZEat907VA7B3P0Eu/o25Qa7Oy8Y+ObWX32MgL7+ZBizIMdBsfA3zo683/GVd7CKLFjOG/a
GMVPzdr44JVDeDbHlkTk1LfyWRNLfVYigdKBS4D7OYV0e1Bh766eJ58cZNJ4Xrtxhlk+M4AfeLb7
Q/s5NUhZdab1Uy9b+gHwdLRHv1H80BLAnQcDIpDUFY1Q9LHehMF2qRzsnVPh1Xf1pHMS5jZN3xFG
yu6lLzTZUhfjPzkSb8EEPFhU1hm69Z8Ncqc6smfKMXYl5RlkA0kurCq9ZE/qMtbANdKLrt05CH4p
nzQosVu/9kbc907gX4iKg1GUkt+9WsCTUP6Bv8xHoiWkvtE+R+BIsn2LI6XMnt4HV7fhGQIyFQNW
7HkP9DA7xaG13PoKC9LyKtnZ5Tt7QtTFxxOykRMMuhlDL914QhGtX+I5NtgJNVV1zeXskDdzZGkE
t1TceYRs31OSXMgluqwelM7NByHm+qnPx0rB81fxN90YHUJnNg+3YYxEhkBYgK6bqzkgrKL6aRPK
KXkOl44CJ5zRTbhhaz196bSqrx17Ws8aXFgdUXbU9ztNUR0bX9KfgE3QhFm1FOx4oFCKjb+7BnRb
z7ARTPxJvBjO4CK+oDqRiFty3nydN/XJZcpPypiN6t3CCim5JXST78Mwix9mZ+AhAvAQnMzsiI6Q
69D+tPi/4WAnU/dJdIWcvJfa8mbMY44Ckx9i+Or6Zcx530MKPUTV7v0mhmZSDosB4nwi87VNCX1A
7pu88Q35qF2isO7cKxDYdr3V/dg8oLIbLM5tRhIRrtsIySjmCX+ObSKR0cRS9ARDJf0MwrqdjmUV
Q3BA8AVyAY7krZ9tHG5qnIIHQEleQISlGd6V9Fx+m4z2YewnFwUWmN5zwI1QnBzR8AQ3V2+iinOL
nf+AhZhxAiNIGajsyeKzQ3Ua/JkmAnAaYmleahZ2wOamH0Ghw2Qea+5JNl6O87MCutBEgyWTs0oD
9ippKxu1qfk1ASnSUuoO350F1RScWHeaLHJD3KwM/U1fVbSz4qYIxu1oSJIc2uAQG2ncaxNR2EpQ
YJO5ZgbZxvQBCLDqbhpyCit/2/XTg0RGihFCLRtLXcPy7I6B+4YF0iFi6ebQEWILEURqDInQpyiO
jwR7gQvcQKhGOeCoOspGio7u8JuxIcRkNr5pfCmPtDLF5Qo/qK8HaZHFZyAYssRIk91Ht1jrJteS
9rJllLuCBgYYBQg8c3c70QSj9olBCo8lUg3zTuejkhuz7MXXivF9G7Olea6LHH1x5tGPj7M02u8U
UAckc5gz+FhCDmBBFbB4W6UBnk0aMAapxhP5T29y03uOVkO6R5gr3js309/IS1O9pyKEh5AspeEe
ph4mIgNGB2NX4xbYHEZlej8J9M/NTT3bDmg2vcwh7XxDScCGY6mPhWoW1Z7jdv5N4x15jTRH9aeI
rknPcZ2QtGFGZBMiTZZikzlz/p0ZI8PEqqawAf++WGbChU7hbXxSczISoAcvbQVLfxhKcNq9SZgQ
5A5HyjTwxIeAw3ep5aTedGJmq/+KhYNeu1zdo1y7ThSAns7Z1lq5uS1ct3SJJlGPt/dUG3+yERjq
VfWaOa0aHn+PvElm2tIIyI0RfZ3Bte8X/oPh1sYTzLjuI47LhWe4nSWPQ7WeV/K4GcYN2T7vYWK7
lG7CKsO1AogmtA+hpq2MuXPBXGLm2PGDHED6SsCsfYp9kTGxB3ihyCOLgLBpv1hkF7UDtYt20UWd
OIaykZRCFvwcBfuLQzuq6rHgQlebvHLdI+1oTocxJYSrbapEXcglYftOTegFsgNtNmKmroPsebGM
mw57nLFJRGvfj15BQ02mSPST4Ha7+6IYKb0pHXth9XArzBfJsiR0Uw5OAwKiS9hqUi4s76A/hvC0
BDcBW3JW3J1BddiKo9Nuchjcvr1xDEO8hWpV00XLh3LLCgxlKxgGBkgtU5LLoZob4xAT9sZh4KQW
aBWndjk4SN+RFFlx4PmoUbLEFvUcw8E0Ns6Llk3T4j0Y8ffgkyHoP9pufjMNgdvtGFNR2NCFakq3
XVWFp2wmmr2V9BENmKQn/az8nGGMo7T1QVY/hcxDGyzsClrcmnPNaSw56hA5FNu2UeyHaSXAG9kM
r4y6G9VeVOMs+QqXM2iA/vA6Tm0Cdzqjm5rgss/fobaN9ANSBy9TE5wOLyTZK+MomymlsTL0uLEc
PfAK4ww0hk5FyAZHG2qUOOL6g6ZoS+r/9sB/+qsMD251GqkPgwoPvLmI1hLuMFIEb/DndN247GWm
cJw4iUscnE7OZJtw+fQ+dwg9b72ee2VnOswJXk3GUfm+qlMf4psxqSCaaDryNjZSIg1rJAAPVt57
XuR1NJOxe4lFsBXVOD3xCV5coJZMRTgquvlRclgC1E02Joyk2668PAqRvmlotWnZ0fPMUqGWL0d5
7llY3sRS1yfeq+vM/ovMhfxKgEoXG+2k4UrKG91v5sM4K5STZLjZ2ZfMe5924B+jP7n/3JJ3b2Ht
WRgI24Ty3SwJnng+wR51Cu7TgyaTdIeKYfpXgXTaJ2VXMVYv9OrbEhPPK5OLuNjS263YMnc9PU29
1acdbrn1CW9MgWxI8lo4N902I6wacI74WuhnyKM8Rajs2zyjGmBqZhfSOCy9vQ7AA9u5GT+ADZPp
pvKBlF8tQd9AsIth+fn2DLrQoqyHYYLU9ngsJNGrW7ochnYrF3hLW9vvfXHMFE6vyGOZBfhmt7W7
XeKakBRDyfpWLIJPxABs5mcNFErD0sZUFU3UdmUb+tng2dMBrqsno8ibp7lDrSGaoKZHGNsOTjbb
Z3+gXI6bR+3TOcmHiMACrqK8vWymnuXcIX7EqqDREJjskTzERt4J9jrMNy/JMNGHLHBQUX/sZnwJ
CLn6Lhj8KYws6VVgqqy4+EhLck57zYdwxnpMZm0ztV7wYlYhQVHy7Dy8hybRvHCTz+zW+8q7meFU
OcfSaelkkm6avIQG45vNMDeYS5jaMVTrM9/5gZogrW3JalBGOaYJua2bMn/LqOtlK9nnQbrFd4Bh
sxFLERxZmvVrgIkjwT/m1uy0TYZLUYIzmTKyqSbU7MZd+0KLa/NNabr1kNeBinfekI5cTAZU0Hb6
7okVU18LIDQggjlSAkhngf5pl33xKcBa8MCn9jg5zBUHnJ0za+s1dtdWjWGQ8Dg0QMkrUCsmRsgi
7Lwd/YyLQ48jODpytragvNF04vjkMuRlnlU1BMeyuWgxvBp2Ajys7m7D0sDywuE/vpup1Z0x3E35
bTjlaLphWAuSg4UO946lq2tM01W/zw0rhsblxMGTn5NwjWRvd8Gm99ZzpqlKEewbL4aUw3B+rTP1
hznYc36KL0niD9UGIKXqz3ADm1dgmE1H+Y1If5oh6P89XWU426ewbB8dVFUuWu4a7zHo1ZrOSMdu
9i3DvWTnj+Do4KKEuG2WPPgaQ1tTrxgk1YuJByXettoqnjLdyGpniRpFqJ905cMSBZOlp6Ljqc/6
MMEetoov5OR+BduWef2BBX9hV9z78ZvP7I9avsy0u0/dOlD/VUeVJ0SFIgSNpF2zPDWjMX7b7qB+
WBA3qORwUjmcM4XiEvXGaIR7bLjWjWP7utgU1ojZ3qWReNp2XehymGEycSVZIQxWRFIlvoMr+hJy
Uf9iWpiRVyimONkUIAGcbKXzRbUyxZJdFzOTNbygfslNCj+3sTkHN7nXuvcz05wvc+D64qf3Dbh4
Dachx8WydSAWCrvFtfz2Z1d7lcEjcjauJh4V5G97WxwRrMv2LDrqKekd7KDAtC37UMVY9jsk0s3K
NBgVmNTWjzdVX2JrJmRQfGJIzyc+SSB/opQqVoxZlKD6kR1mBSUg5Ik5q7izrzejUtSucTYL2Pzh
nVLHhmj52fDK7kfu0t3BCoouwHo50tNX0cNs7Z25gAZSMw7v2NTG4GRmZmQCFJmfveEp5zbhVDY2
G/yifH7Jmagb2onn94myK45zNrtcMkkDJi8m9Kv5HyHWYKgzy8e0Fc63qJdMb/O2n67LjtRsZBKu
pfU6a9Z2aCIb93Y6sK+IHbgcdIOC7iKqyG1Buj7OsMgjVc6kxr0lP6GguTejrTSBr9HWTDRGpoc7
TwZMATDnLWLHrqGlxVDwxOSvQgR3YwLqeYSbm8QbETOUjzx2i95F68n/w9557Fhupdn6VQo9p0C3
aQa3B4fk8Sd8REbkhAiX9G7T8+nvRym7KlO6klA96gYuoBIKShMRPOTmb9b6ViL83l0i7dC1jrgi
HUu90da7muKKV63fdDXmSTsnUJhdUYH8EfUhfn5QjKyDiN9Vrg2lgJOCfgSawZjNPMu5rHQ10Agz
ZjMmldDZxTErSNTIYcjBVEIbDuo2Z+ztEofNnsqpZLoLU+YWZ4uHlQJS58V4yZh9Kn7FhG0BZTKU
L4VjAY3Bc6XhA6ehvKUSUaqAQpO6y54HUFp4WNboXRGuTTNAccL9INfvWgwA+c1IssMYMAGxGN7G
s7ZsMgiaCN0bBDJBjqmi8JeMAYDHK3up/NIerU+NnoyWOswSzcOdNrHPGJlqeWFeuN/Au1rOrrP5
hY2spH3Av0UzPtB+XjQ4EbofIh/i2Kpn2XqFPhj5rmS7If3BDYcTnZLVH7pYV64ZjxQMzWJiuMHK
GmHluViLP81ldYknbPvWPEJa520bt2hLQZVKcnXR+JPcLOX8wGNbAEI3kdnu+4VDYVvbanid5IZ5
pVYgjIbEURZvYixjeyRt1TjqwiljnbtQA3laDkXHFzxyzOBB+mDHCGtl5nCbwzuRhy52ryZemUUa
4/ONHRn0pioNLN4KY7K3dMIMagZHN5Uj9a9N3tKQqPGDysy6e08gtTjb2phjbu8CjTcjHL5qdl3V
pSV3VPlsDCsGm8VpjFUWm4TWoT1HsV+ZeI/ox7YGDcRpbmrzCy9Lcs2MGi+OVyaW2m5Z1OfpHu9U
f61ZgkWHppHadIeTe6SK49jCpRLZwzPbfgbFCxsuTIR67mgzUNkM4FLO69ncJqKwHbAJvbGlzp80
z1LzgrujVLo7BEnJ17ZKQCwvORNZ0NPteGaIT5naC7e4Lzq4XKhZ5uhiRmYNVNI1YmWLqTgm8Ukr
rQx7D7TUDdpmmnMDOkaG66ir8fulbh5yFukm9QguSOxMcUGIDGHIxYvGIU9r4aBhYYI/WC+yxr/B
ciBRO1yhFaMHNSUS5cBXzl/cQVFPQ9MybqgzNf3GdiJ7nhIkcxuEsf27K/paftC+oLMCqJwI86Xi
sCqwQJhsdb4iyZfFNwKAWGstuamAdiYPogb7U8n5yPSr6gNp9awGQ7vMW3oYtAIbe8JJxkKcPeEG
uqszfEOtHHO0tZLRKi6XKHxg2RB39FKjfMUNxumhYGaNgDeGCHwBbeBVosd0FK9xw0V4eISgWym4
1ZkVu4kTqBJZUkBkvHlfOil1L3Ol/jC5Nlxmoab508Kp2QQp+/f6lKPxJ1ZtwZ3vwXg2lvs50Qxy
imKHl2/aqBm7IidXZ6byVh2D0mPL6ONMjWKms9AXfKnwm0BF9oZyqEfh3jgUeUVg422zoJ3EaQgC
pBfQaeEsU1q9um7XL091pCXyUFkxqnAkA4xGqc/1mrY9dAgXbdIeYbLNo7EOovMoQU0eMlMdloJZ
l2xxi/PY9lWH6MvipULcgbJstYQYUY9RhjUex7Gf0E8UmbsNa15lbIJMnMGY42kWpi7Gk5YrblXp
bP+W/sC/SjbFDglZstwIhiFcuFlDNt8SL7oe0tgJjo6Ia7xCWtTRyVSswz32NA5PXm21H5jX3XsF
pTG9oMI+0AOcUptePpviYIZjZwdK1/RMEMuQDAaou7VkVKtiTDBaDRJDRjY5gw4wtO1JlNIZT4oY
ON5Gt6uXndYnqXvUWF9flrmDZZrauQb/iUB0z8qKxt3hticf22wAzHI85jMuNoZKR7OX0OFtVUCm
ZRhdLY/wWJJ0H4MvheOuNUBzPXJS1OnQZLn1jiPWfdeablw22Bj10WWyRsbEhZ4BAxceSgZObq3a
BB4yxY9vomzK629OSSheRkBrcTXmDPkPAxNR9N4TU/+gw9B/zWiJ0E7mJwrYd4V5XLRBKtOXTzNt
a8UYfGntQ65EiXpLzFomDgQzdeaOdzlsnkQiDAAl5DDW73rBznY1cOlnLTIo4RfmWurOYGcYX08y
Md2AoMimftZ5JZY3oEEaBe8Xog6PkQVTPgOW/39DufynqIAfBcf/+b8urkj8JVTAS/qP149/fHzm
/3h67ZL317L6Sdm8/unviAH9F4JizF9TqkyTABaUZL/plDV+hcIXkZXgnrF0pG3/RRjQfkHPZjpw
HS3UyoaOeu+/CAPrL6G34fdTGSDFdP4tmfKqEP5B/qgj/GJmIBxDsxBGo4r+WVXWIXKIxglr2GoG
lf1tYt6GZEes+e2d35Z7YiPt6V61Nqm7v94W9Z2bXOukIYex7gtowwqDfAMeATcbzO2HEl0hKs35
MR4f1eUqbm76rvFTaoNyk047KyQ74daq3lfP2nS2KR20+1+Va9/V6je/fe+/QRR+VLP/dK8hpOef
3wvgf/otf3rT/k+Uydt8an8uk79UZfdZfkby5ztw/UO/3YG6+oshdATJKkpFy7XXG+37Hej8wmYS
dbpw+DXHtH+4BY1fBLcF/AuV0RlZR9zQ/7oFnVVubiN9RAOsqf+WUl7nt//uHnS4wdF4aLqpCQPc
xs/3oCIUXaDQxv5LvwK9ppKULnScRFLGMMyZ53T19NXEtqAH/TCzwCLPMkdqWeYAQcF5pVZQzxOr
LwjhKkkojnVuW4bMQcpsNPGXfFZp5xcolYUl7Y8MN7i7LlTcnGx2BEVjLorCb3DxekC15adtTjrF
gOLaWywpAmxRKGlMwpjo+SYah2uif1KkUXPIJNkkzOMxx6MHsrJZ3S/Q7OIdBnPGEAOxpJ451sZj
wRHcYMPq8dCry8K7e57k15nt8wWmqgNdobXbRwJT3ARIQMX+zw5NhjlmjRQDzjm6SlVgLSVHT9Q1
b3VF3aeGYtxWhml+WvSf0DJNWVGDEfDkKVTo9CpO4kDp6hjkuEZH1RCCO6p9hk0mcbJC1GdktdnR
Ueu6v+LNqTs7G+bd3iB5gOX0InR1b8569ACxJjomdIns5HH0kVuQGcVVxvIWtxKX+wVChvjS0sID
GWS4dbIXMiZYBxC34HVuCoKSVIJAG/V69ohQpqit1QIogznqkKqcGkQF4/3hsaER1/Fyz5BdI3y8
NqGkbYowxnb4IWo68W9ZL8zLBCXrGvOQ8cb0y+h3ReEIAmSg9Fk+oS2uvMxRoR11XOwpH2+v7d1C
y1d7wHRbmVhRA3LQioMOdg7bHAIShYhSRFplNW0blxE7n3OcnR3FTL40UDygCHSqCPpQNTA89BaO
/cRV+FnyDsVFIdw7G4zKEzc46sJ+sEI2sAq8i0AJ1+RWWBO163cyk0QOwb24WTq5nHR26atgoWJw
T9XQOAfFrrWnQs9hcwwCE3qOzh8rOrqiNIjCFrRXpESvZC/3qU/OkPZoWng1E6LKFr+dOnLiydmZ
KsLYGEt7s4gIaatnl/00Oh/5orJKRKLX9dMFMCylIBAUeo2syrq7LOrCy5jOKl+DIFfmHQ74VE+n
DD0waMwly6NVFBH3Cytqxemzm9Yt7ZoVwUSJzT1UmZ6D+o8Vry5NDL5RpchNTHgwq0Zg6oRo8G68
ctDapAHDKmYkoICVoCYgSKKiVhHj6IxED4taDxdXaaOj4ATa27qSwhWrujXiPiNi+IhVsT60lQ3Z
QxQa6CgXzCXBHOqQCjhUxgWyrOpHbjPd2shYCAQeV7vpDFCLcKm4VW+LBPffYWmQpvhpKLPF0xtU
Mw9ot9d2BSzMd9vEv/Va+tN3zk9vpv9thdIqRP/zl9OhzV/bf1xeZfJa8n/WeukKitLnj8XS+jd8
r5VM6xeVoZiG6Jg3guZQ93x/U5nmL/wniiG09iaGcAqV78USrzfk6SyiVN5EGGB/KJY0ciPB02FZ
orgxiY00/51i6WerAe4jhgM6pRcFmUWz/Wte9w9WA03JOB6gE90QYmb4KjBtO2tMj9gZG3F5uXgx
cnTvh6v1vZr50VLxs1lk/ZprxYgLRhe8C7T1Uv1ob6hb8sKMUhtvlqEftolKyGTM/O7v5P4/l4G/
fhnDJA4Oxwg55Pzv5y+D5jEHbaYNN+i5iN5Ni/0Ss57JF9qGVGGmFbd6dMnG7DCVDrqiOtr99c+p
/eHi6gK3jypYfGmGIJDu5++gcoZ+hqonb5yqG/Ym+SFbcKBiq7r4Y6xWZMeCPs8P4yjximbQyZoh
LIEJfL7nECcbxwJZ10NIvmidRs79UEdvBoLgv7lS6830Q8HMldJtiiFSFiFyCZACq23ih5sA9q+Z
WppZ3qRGGQMc+bULJ0lhLAuxX3RUarw4W5NswuYqQWXrq0v9Qo4VMVDm8tEBX3sv9c4AgyebI5n3
0yUOqa1z9pNbVmPGrgZ/hIParfem2t+M1jw+awaJUnhgmK612kDEk1p+Bfr7W+XM4fIv+tiPt9rv
YkzXH42OgmbDdKj5dPf3dVhZzApyXjO/EW5mHptSA123iOSsjhHMFmIavd6U45UZFiM6yhk2kIvl
7q/vgz9eXlyGlmFSV2I90X9vq6laaxRoBLMb4u/0U56LLykgpcBAbbKd7et1FO0Zloz/7vb7wwMg
wN3gbFQNPjwdSMPPH2unuu1g4We/AQ0Yky6jfclj3O8x6x8/TFuXDWZ8b69ib3T3rc+2U9n89U+u
r4/yv1oxLj+GLYsfnLKbJ94xf/cMlhrJMCny02v4te3Ojgg0pZS076KSobQT2ohL5nszSq9bfcYX
s4aoJzLcQmJZ4MjjP8iMhqjnIZ9vM4mxDG6ODiHZzzvtma2YB2ZI2ot79dff9h8OKAGAGUI4gDw+
M8yPP1844EX1OCm6ey0T176fxTgEHYF7f+O20n52I3Fx+NvJfF2PcKEBa//dxdEn3CKV7YCABh1E
0qeymzRuUgegBGHe6Vbr5PSKBeYtgRGfLxZFGTPRvzmMf70LfvqIEMIIZITr52PwuKx37w8Pv4Ld
Bm/Sol+XRqhehX14sdnAPA/YzG+6kLE9y55MO+tFatIxq8ObEI21pgbaDjdOk1UvQlzi1mVXpMGK
6IOVMXggcwU4aDwgWYvZ8PEuMeXXpZcGb9F/vnn/H++SP56xloYX0HZ1Uvd4xH/f7KOgQUifuep1
XIizVJLopQU4HKS2CYZMavMAQrB300vKgPhigysIMWcN4cFm1WjA1M/0jQmx96tA13txVJuR4oBW
81KG6vJ3D+TP/rr1A9cNNoGqMHi3E7X0uxcfnJsM/s7QXRtp0dwxQYEh0YT2StzWtooSUVsOpX0i
Smd6LAgpxnWloWpKSLNLaTGG1svMkqlljX72mhyJZkvirPs98/z/l3X/ods8gv+8u1bv/3dP/woX
+D//cf8p335nzV//wPeBg/HL+vnRTbmaxQRBo+P/58DBocDgnF1Nvch1/lnFUfnx+scPi6HfUl2M
q/+aN+i/YMmn3tL4phhfMEH7N5z5nBs/n1kc7lTwBmZ/HgWKTfXXw+aHxzhJWs6qiJYebstwTOAm
B4guySC2o+rVqLT+iy5H7IEMmTfdPJFdR3cd6528dnBXnXE7mG/IKxbWHolzyOM5/hKny7IV/WKe
6e3BtdgUEM+swlriG3B6ESWCVMBlxY/dEFjFyAT8VskTAai/U65YR8o7GrrmCo3HSMLf2N+o7Oog
ZPb1E0G7ERzeOA1G0bMCZ61OamjSBtLVlce0ayDuItg5dGR51JsxQQmyqFNzi1DFvDclU3QD5cwb
xyd5w3EyHgyoifupJmNgJJTyNCFhAhtA4tYSa0tQtUuxxUWSnat2vHDk30RQBaPJvsu1MPEWXbun
DXY8Zk3GCuLruQxG+Oo6cbJRK0g/nIsbkwwVj6n9RzgSiw3lOUigYNY5YJLCbnYoQrYpOrYNIu6j
buTXVvQ4ztWdIuDZx5EYb3qGK1toc5G7UaNx/AKVfD4TSY07yui7T2esTeyWOe6eRV91sUjKwXnN
bwSQqvdmXzQHZTYfqqUcX7LQxdgWmRRpGplbMcWXbordosnyNiwqNguYOB7HUp0D2+rR3FfK8BCh
38GNVkewSHCJESg7Wh7JpP1TZ0wCUW2MJyJiXnMNROsd/E6gpQWuPEosTEqF4SkOQJ3S7sJ3QjXj
XdEY3a1hIGwrc8rFOuyxINQmlCfiRvWqu7HbDpsapMC4MbxxJgcZw+aBksSfMBeNIob6009PUU0T
Pk8q52D/ZhvJnciMJJiy7MIOtT46c6p6XbHEW1inMP7FcuqG6dRgXFPofokVe4uJZye5N8qCshge
B30lKbRRH5+VpkWk1TU130Sryd7XySrx7QzUKyKyJ0Ap2UlDUH4izYhkkYhVSWsV4Lrmwtiq7Kf9
KJV+mpTB2HzoDdgspANkP5EUA4rtGOJ58KLWaINmQhPJtgp+G9R8rAjhserjYCqH7CLdsfcSFwQo
YoqdkxqsmYjrBQunmNuqMUOd1ZTt+IOm9TcoTTcES+0QorjebM+7hGDwjZiJ+EmFgXhLQRc4kCrD
QpXlETY9WNJNNe2JFmiO+uB+Sqkd0MahDUy7EzLoaTMZM37QzqYwH6Y6AKSKppYpzDCmp0FnKbsw
gCLgg9hiYNMno4aPDVMc1ZCiboUkgKMzSuOQ1IZx1Vb1VTs45u3EgAy2WoMzTD7aw1hd84q+LXXk
7ms0DskcBeELZBAGtq28TsDgzy1quTupQtRIZwOYqYlax0TNPbE+gkNlEQ6louPe8CDI16UzrZOM
HXOXzXSjA6L0rAuja2gN0wZFPITCQt0NhFk99VTf275q+vteF5fOUbhWseKXdXm0cUTkpfEtLbBG
mnFysaLJfMrKRffr/Lpr3cZ35tWk6ZjACcfxvZxDNpWNajyJqWh8VGHJia3T1kiQGXem8oxGgTaB
AYuvyvghXKRvdST5lXOxt4HdtoSRJfY5SZL6yUTl77FGfs/j9BZ8QX+TtKTIu8R9Gvhq5u6psnWC
naKUexKSMUkkH+Vsv9p9cyUGyHl2gnTLyvMcMwZRfnmSHkVN0Rv1FllQeTY8kclSXHTHUAgKUZCg
L429JX8mezeAHJ+TCCQ4ypXlm0yrzC+JogwqAO8n2I/tDnkix12rqiinyzT0CIxUjqhfcuLgpgkJ
Zc7z1NQoplDz7OSMzDkeU4HO3OU0dEMo5Ik97gFPRoA5MxQ5RXW1jNSJFtKVbWRqGqpW3TnNjORO
7OnjOwI49K9JRfQHltdOu8JvL4kZSwDYZrchJhjoXmQj82eXS54BknWd0tiUZCN/WEpm7bXBTZ8j
kcxXtmzlpwve9nPiYztmi3urDSnzOmec3gT26Ne5zoioFuGJHwS8XI68KWoiGM/Uh0MjNIrUKL8n
TPSj6zRMRxVpbEqnlU9Vtwx3tV7kT+1cwCe0lgOYqQxBhV7eKtVAUNOcuvqaD2Q9K5MgNNUtgnWg
P9slwapm5Y/pooCvisOrocneEXiAtkq6wiPMIvfVOEdqDolAf63jBDxwr+jtU+LE6KFKbTWzws4z
SChfrT36GuNdLhY733bMFWfXzop5gIunvBhDXZ4pP0j7wn5gP5iq4ogNdq3+xUbFvWfaXd50BG8c
XDerzlCEFb81U7a2erJ6KxCFyLOBmxFwGg7xRzSs482Q6BwDCa6wtx5jhrMJyyHcw7yon8DZiAcT
gVntIXhcmAHnJVyEriJUt+mT/m7QdQnZ0inv9Dpu7ylFHDwApeXlVt9uWrRYm1DDpoP01URTLaZr
8kKXC+INgqCyvN6JcMkeK1N7QuvGLdYX1cmtJ+OYLLRCXA92xovVVJ/zgpG/meP+W8Rvmv08aY1H
e56iAbmnzgmJnxwTpzRuMqIjNXd10pXDnd6LoHGE9MCcQyEN3XtyNDfEEV01MrxTMqhsRhV6/Tp1
7t380QIb9428dgvHNuy7dt7l4oNARp8w111nDj5amDdVR+lgZ34cJ2YKiDKcUSBV4dnJetQq6XhA
5/nqDGTLoHIkvE0HwvC2losng9n+TRG1oJGnJWw9J0ZUGeJxBNai+HOEFJ3bFzlqv3NtnlG0qb7u
dgMpEpF4NLV+9CkjjIuacxyr6Lq2Jbh9TP1LQL/Z3g6pZj1KHidMcN3U3Ke2oYMPMMnXiMr2NZEY
epOe10yYY3nql4x5NrDiQyyw9yUG1V/U1fBeXSRhlt2+zbm9IDfrRy4Oicm12psfYkZ8Ru3V8gZF
QtdLirS20U5kj+T3uDvtbRJifZWTtQOi2O/sWHuzU/WJ5U3vQ1surypXIntJG071KsRcGCZ7dW52
Os+lgFEXOdVOD21OSZeMiEU31ScwcDoh0mxxTryEys8hxc5QLMhJFp0pHg7h0dikeRp9NG32aiuO
vNYLLUiJSzwbSHPuRA3/zySK6UajJX5p5DCcSmWoHiMCqK/Hvmv3Vj6XYEJQRDELMHcsRdL3oXTD
YGhZCC2ZYTzi9q4oBcrG+WYUOZZ1zNLWTq8pZ+nsfQG9IdbyTWYN13N0VDOy8dbozxGYAJOHPXKn
JEiVOL+JKhkfia6R+6lF3o+LObpWGR4WAbFJdWAjEPW1CPOU4A17gEp+2y8o8oURu1fj0rDAg+gD
PnTQqkeIVy3OaPKI1I2IIQFxjCcGkAuMIKlKQiJLbiX9Os7Z3lC6wNbCe1aGiYPnHnw5IaBRtzS7
HucooD/DCQ9pPmjfMrNt9zWhrCQUdUcZJQZzSf5uCTh4n8EbPEhZ94elt/UvjUOAMxg+oNHgBt0c
ta+VqYwK1oHfkiRBT5bL7NEbtVBsRHiO+pYktEVNIzfQE8J4WLUQdmEupkHaDGBfnlJToTjT5whZ
4Xqfw46uv8opYdVCEx0lZfU8djkRPwtpKYXPjU8yp4rNiCpKQ2qvxOC52zI8FTxoJeMVaULoJoU3
kGx6cGSOa8JrY7vKgysVIhQV2yb5RZ1LwjRdYezrtulGJMwTJpR66b+MEpZj4xgJNAimtBBJk159
KJGaQ+1pkxWwmaKzRWWnhlw41XnSiEoK4njVZteG/TBbEV4UbOjZ3ZQaxU5hGraFi1z56mziuZ/x
M/LJF7o31I7h1XOCpqllWfSQj0wMLEYI15z/0ZbkhAgTvyT8CFfYdQgrAfWCkK96ild1o6RZ9U1X
2uU1q1AMd5E1bqeqeRhYyJKL6crRI6XsyjY7qjk91XTUso1xpcR7sczWuRC8k4xMFlem7OWRmLn8
QacN4GCiqeMFAnPc4BsY88j8ytXpDygmsb+yy8app4zburbFOWz7l9pQhZ87nZLB60wENJ1hIZc7
5MgrSSe6JjdN309x32GIjlyvkymlCvlhR2bf9rHprGWHrF4lzpeguFEhKVsBGLbtW0c9YbpUAlwt
xqFEJrdPhakEcbpqsGq7L57buRaHtHZWTSEw7oXAIL+2i3nPf+KFqkqall07ZtoXaxyWzKdhvcOD
8oZRv9rgbEWlh6iy6wrgLoSoeRZbTpqvhrYI/AFHD8b3a4TyhhejXd9Y8EtOg+XX7T34nrtRMtNr
UxF0lnZDw/C1dz+MKToAB90N/YjZqUiocXFOJup4V9HxMYEa3aMbw1ieyIE8cH9kHgkP3TPf6Es4
lAKvffVFGROSyZq0e7Uy83NM49OANtRDq7nRCkDIjnGZmmnNn0Nd2trxN0Os4DgV7xC0LhoGdxCB
nRZfJqe2z5PZP7mtogc4oKKNW4SXJc4YzI99cUWUBKnxUe7sl3lCGk9fLC52x1k1E2mQ2or6WOsJ
LRdNxcaiWvTVyQ79mepyKgm+VKh6YS0ZZ7Mvd0mplSeECZ4hs+20lOJeLoWyVchd2DWaeBnC2Hnm
ICQ+Mcm+lmqJLA7TesxWKtGUJ+jBS1Drldjx0Vd+qLdi34XZwzjQIXK0JZQXbkevQEOPG6wu7wiU
UIjxjUp8WFjP8l1VR2EaNOpgr7ij0Mclne74g00ANfc+SZf32Yk6ONVYceBA9z4SzPCmwVLC5baf
jISkj40twvRgumn/lg6a6gkNyOiGRycw6mmLabzeDPqk4EAc3DvdRQTiydC5NDRGTt9dkqzIrwVT
G0hzibVtZjj0VmcGQkhnQ4B37U/4bz2jnSG7kgDhCgrMpiOD1H1Pe4f4CsJNyEVvAwbVJyMBN4F9
1PVnp3nE+XAvCbRiAYyiLtbalw4iyJ6mkvtV8HE0LvatZrCGfWNGDj8hL6Qxugo1zTwOYl6utSn/
upjq4NnGYO+7gQaU5oVdSYEgpUmuSDqIDhP9sl3zd+hOshNU6BttRn/IcEUP0qjYJZbm12Km4FE1
DIkdX31otdekA+YH6OZris0mKEdCTxd80ih8SYBgrhTw6YHVUdjqO0NBqLTTgOjOl1utL+8brTkg
ViUiF8idbwAc8RpTg9MemWfet9hAw/tMf1P0cdiZKqYmNNHJG+kb/YYx1zEf7K92O5w6yvVG0/Id
VCfIyZl2z7uive7zviYms2JMgW8o6kfzhDR/OUCb3utWGEHsCbeD7G4QNWPdlZtidOd9n+FICCGu
SI0IjTpaM0yY93lNJ4Ydt5u4BQCU7PIwBK081rNvpe2XEVXydZvh7QCC+wwLJPfKKt1lRC94aRZe
MurxfR0iUZgXRKBG0T6ORbo1ZHquCvlRO45NrgsWs4ifazcTXnMs2+bZ0Ep5W7T2A7peFOU5/nZO
mG5XAnK8ypkX4PhR9r3ZtAda9JVvUM1+CKnZy83I2qIb7yBudnPQF/qtKxObs1TR3mjf3iwbdbrO
RvVQEzK/0QlwhREWrgYttPWEGhDQy/MUxaifB8geSSOEF09ugw8Tg/gQqQdo+tWmQoIN0gD6LHJ8
A65UtJGo+LMkiXxWDOqlxuOODi99JBjmSgUWsndkb/LkMeJxB0lLb82Tj3cuRmMPUAg/UydeIwO2
VRaX97U+vXYGyla0UHKTlQXXCLvyJqlRXWkpUwyJcryxJonKHdNVqyl3utUco8al3QTVBMIt2kck
tO7gFyVYWKheEbDvrYpZfCTUVZ5uXZuFc1EprIlIgDesNV6mZiegPF96qaWk2anJlsVEctYc3Fmk
d4ycKFd6aKGp4j4p9zAOeF0UobsDEHxL4aHiZGMbOpC4S0QdGprGPU4zWIuhosHsVxgAJeA3wPfO
pzPH76BULCLHZlRPkCU2HFG4SlQY601jYBnm4aSeSnZNDzQkdrs7MUjPWvo1o1h0dwWmJTfJnw09
bQ6LXqCnjVFsSe2sKvUtmRM7aSjWNwdPiZmEu6xeXuRIOZGAoHIgYZCdvQra6Xkkul7zuRN69NV1
MfFAS8aamp/rIX63eSlueqiMlHGp9qwVXPiBYYGVr1n1w3CLqvekE4tk1hBhZCZ6r5uMHYgmr46n
3I/ssnwwsyLeTeZ0aonN5MUxj9tlNl6Rf7Nr7s4AVO2VQGBMyWdewAxT1juQtGcF0ynwvZoancAl
UuR7y/alY2Qn0gNup4GPyx1lgKuO0qkodmG3LEFsA1PpshRp2FIGekhsYfGQWO5ByxBxVcTWgyhP
UatN3UxPr7uz8QgV4hs6B+2MvcYEJSuMrQI+/UxKhnJ22q9qMzwrxC670QrIlM0H9OphW7dd7vX0
gkTgpIUfj7UbY+os33jPoqAnOYTNuSQhaXohyaGG6jSVvmw+pakHWHOvGEIDjcnf+3Z61lNhbTqQ
zhuriA2yCyPybsd4OWuNLh6WiMOdgA7uFvOLAuii0gdj7w4XYgj7fVNH76RKQiFv1Ok8zu3k9+mE
G9YIKVvY/NvDWUvUE8r/hi56Bs+GZ2yprauisC4xfAM3zhauHhZId9SXrS4s9SVh1+BMOvIyMrD3
xlxgXf5sqwAsy6aZblhXB6Mmd3r2bV6eevVlIHgFwgyNVQ5qx8g+sYBunTqngITrd2Mtbe73QLDx
xq0pPnn8pU1z5RChKed+POOC1h5UxSTLy1DyjxgYqV+UwM9s8oJuGWcaSD46mDWqzBnhK1AfDTU8
jzxZiVLe22l41ZG+uBtwS11yG1EaxrXHMaRCF/GJSFTO/l5RAKiyo2Nl8KybBZajtA2qRYlPZpbm
Fy7/tFV6sQ97k2+0issH6U6cVPidnnvlWbjDVp+nQJINAZe7GEg1Dle2jCbvzWIdpjn6MdKWQ8aT
uKMkeScFJgiz6KRKHXvq8FGG1ZWpcVPSHn247GH0qhk2ea6elCraEXLBFVsAqcNOMlwrUFauVopF
iUSZ5WgtwgH8k2P0sdVdP5GuQT5NH0DnMr/MFEowWgDXmSMKOfxWEkahulyisHIIuW/rLe1UTqFd
t7f6AJszYWMAriIvmd5aHa9ux/xsRY5AT2KSnN4Nm2/Hrs3pJeNhpwFJvWW8nyOxtxJuQuwHOdi6
7KClSdDxxsWGsknslxq0Ka+jrd1b/THCsHZZ2BRtsZ6ihMVGn9ieOjNRYSyOlZP+ruhvephLs5ve
yz5dYAZExVcAyac0VJh9jXd9JxpMgiNvZdk+llRNCVn1GymbwSMbyz5OqJD80iG2AurQ+0TyqGdR
SsxqS0Sz3YiTtHhTMQSTJ3Mug2jsZ6R7DBAamweBUPhTw2DW4K1H2AFOl8WCVdGUSAelKEexIeF2
JkZzsKF9Mv6rL8SSylOmDgtzk5FDhfRVIqai9sKA9BvuMOkpYcPBq1H5BQuO9+uO0KEgj8m9n01e
kwYd134GludTrD3YGFP3nVI0e4UI+WhTa9Q9pgZTZYrB+Vuyci9tM/SIODFdbdNS4PUBDknYj5ba
j9j+cAb2YCEIlMHGhyKy8BZW/GSpw8G+hFrFwcQ7KApUoBy7dKZ11sg38Ply7k3K7P1NURs8/YND
FrFarRgcDEiYxir11az6s1JYWALL5AAPIf6iiw6bqcsxP0wN3nOzSQ/65BLFM/ElZm2473gvf/Lh
NsFQOuB1bGcgWD5L1S9K3qofMbUNQLkwjz8rvOR0k0zEwFPUHmyL7F20pnqOc1j4kqy/nVV243Nl
T9NTxuyZpFD8zkQo5cfYYriPV0owDk2MF7Rx2oWRkNilkkKz5yC8Dt3k8f9yd2ZLciPblf0hoQxw
DA68RgAxR84jX2DJTBLzPOO9v6x/rBd4b12RyWym1aNkMpNVSUUiIgC4Hz9n77WzufVPI9Hz18jF
rK+92lREaHJOcE1HKV1cs+FDSwAPHEyIqhd5lSXntG0JfxtJ5og1MzpPQ1c+dchUDgNGwA3dKfI2
7bR14VqKcz7WtZvN+UtQ1VdGxPwA4yiKcZM8+LCJ5QUPRLfRHOYJ3DC1uF3cSscuysxnUUywGUMz
GB4W6syhywyNPhOEoAmZckAvclAPTgFN1gRXeDvG1CMWsbjUHXk7sdWSsCRT6uG0CKwtJmKYQbK2
HwdjrN96E9wCvsViQyrN5A3kLGwgcJPRQ774JhrwpyJHvjESu9gL8uWfcmFOJwgbxbGIZv+tFrRO
6AHlgWbRR6wNnuoshwxBI9uIJFHoc3PfKhoQikYJ5rcuKtDgRpq/pVWqH4vxAZyl8iLH1udkZLU7
UKLddRMYgQsPl5lcHqVbmIMxSjqnPjZ+M7KFUVxgXVpengoAJZLvddNTF1HjVcK/ivx+2KlCM45a
AAhsGs2cCkGmryU/wGEmu2xHi6Ed18T0MsdBWnxTc8L3/svgRa4zm+7tHPcSfKJDEN7cmPQ1ZyhH
QWC7+J1ClhijvvqhQfhHcoz/afpZzUGV8yepxfnl9dtbQRDCx+rZf//5/1Ze6AYUevi/6Hxwe/yt
vEAli4fDQmMBeRy/h8M1/3YbLaEIEKyliW0WDYaOXuJvq4f6F1Ihg5gFFBNAAsx/oryQyzV+krhJ
YQjHMdDPIihSBRoqPt3P+il1sipBbQZuRha9Tes61E7gL79F5F4F01McIFSPKZvYfr9oTfkUhsre
sgbrZVaUaZuH9ZsZIHFAv3+FVS/JMXWX9GYzibuflOHOedYDRWyyRNvavnatTY2LUe7KNCQoIobt
fmQObzOL1rKlUTtgqIa3rI7NRZF+13UQrmXa+F6qOtFt28ricg5ZI/bNlGSkTpkE+WRIzOMZWiNL
hoMd4aaoao/Vzk1sYuqs+DIYKV61sSVkqhCbCU/1OWQPPUcZasmVwcECCgU8xPw+LeqHKpvPsBrO
Gg7XLT1EBlJQoC3wqxFDjK7IdW+SeP6Rv1mXJv3oswymrZone5iW66z1912d3rcBkZuNIdZRRA5T
yw/o1zVD7GwRCxYV6AT6CRlWFPZlHK1tecKReeLw/hZG2ltlK7vSxNoSq9mj7FWPd1e7Q3qob7rA
RlCSG7e6xrwU/vNqymplk47DY41KYQrmuyopv2Fk7k8MF+6SQj7PmTyYGX1nPRZvOebDWMNwOU7K
dR75R9Upm6ue3Oh9abQeg9+Chpdp3AJTdw61EKsunbeKVn9tLMxntv8t0xTVrRbI8txU5zmYsEBn
4Z2O3HulG+AsZGdCBasr1xxF/iYzDurWEMubUKR3YX2TwpRawd2hiAKXdhuNqAJTp7mTQn8BCgUI
KqbHi+IhrvmYmUaqNqqebK0Xc7kyyV1jna0vmlq0l5Iuu9tP7KBRRo3lYw2GmhOATeqCXVjDhw3j
xNOLFjR3hYWdtqmzjtRU244DLpER4SmGaFl5gtnjSslxtKgV6ItxCL+QYQcVSenTVTnIK/ZZj/mc
fVRshXxRzHMBXxiz/SxWQleR3dmZ4WYFLICizL5GuCYGbW52SQlTKgLlRV+qw7yy0kS/nSo8+0Hn
74YYQ7E1SnqDVrOuM9J9Oo4RqijQBuW2CzGKKcWcA3jMoHytRe9bz8JunmWoFKRaTobrp00z0onw
6Y4V8jpu6M6kOr0kDnN60x0nX9/yjLu1WuHJlfGdZegTL0dafWUih2yhgPcYmIrxrABN418Nb6yU
W1oNPXA9pRvFCiI4yhiGrmsg4FdmcZmG/nOBl9x3kLfkMNIfu0S4QBw9x8+oiTtyU8FYXJjhfN2k
xrQDqeBfxjX6aV4kp5v3Ux6htKzR82TFN5z8oNG4IZ5kmqzrzpeAWCGV11YzFSZn0bPZR6xQASdx
7gqNADUxPOYabtIKqhRjnHYW687ONOVwpVMWbwsAWW7WVOkWCswtc16vc0B5heEuHy0Va7r8bsz6
2RFFcAHK7sWcfHkRlibDxOKCGGWD5iR/tRXUrjEEG6LuD36PHkHoOzVW6fJlFA/d/AMOjkKHchl5
COleDBZ4v5zRcZNA3+Nr4tg6dK8VEojOAO1V1ibMlQoMAtv4qsg0m38qXycgo67dNe0qVb/B1D90
YXgV8jF2yUQWFD0hB7AlY+0UykevXmLfcw1NOZJgCcCGNg6UAhOL2rCiTcxDq20VZ/xCWgfHWDGP
UFrtlqNyxZFfkETLbCdZG83waMfzCf89sqBZJWNp5jjh04Ybw626KNzmeLqhR8NtTZQdwnptxf81
OuaF2NrWiOI5JXorTWgTMH2h5CP1xpHzFzVBh6HLL1OWHUc1iC7qLI89aSJSj9rpWYukC3XmFKQI
XSZjfHUCdZUYREli8rJRTgD8yZY4RrmuC3MHGugq6jgs6ajg1mXX36l+vxoIYSytL0Gp5asQs9pZ
Wls5K09jKGlMjfOuomkeqs2LXUH7qPo7xMnQ98ZHCMU9R4Hxeer6M11z9DMpIIugIjlFcc6BHDDe
GblyoAEDPG6RH/U5MKtqiDwzz/NXBBQKDVN6RXU2vEQzWgjbma8l83XXyiK3Ni8p4t+0Xm+PfpUL
F5HMazOO+soKHoZgis+gQccvUdc7bl3QqWKvi8Keja/x1wK/y9oeyPesbVkZK/J3ruMxeMEBd+zV
dhdZNEG1QttLDFRb+qrDU5wCbYHj5Hi5wXZoWdUlw65VMX4lpZjmf0CioEPzUMpnhhk0liOa9fbs
ta3aO5CsJHKA6CLSyivM8IR+Wt+DsprWqtVzbHSMQxTzWNPOi1yOCMaanvlrGTEyjMBrrRU1vA9k
q20ry3qdmONtSOkzbtVF7AhVFyn4DwWk1qISTBZZpA6j5D5dpJJdrileUTJvjkERefXywDlGWD7Q
x2/PjZ90V6aqEMwQZdWFtcgxxzBWLoIMiWbRYxkLBjv8TuRAemotwkDJV0fViam/2epOK58wS4C+
sxYBqEbK9iZbRKGlIE/aWYSi1TzrX51FPJqynVBWJChUUJainGMUsIhNpcy7x8BGgFpXCu4L1lja
7hzsm6WodpbyOlAptIN8qbnVpfxuRJzeJLMvLm1FiWjY20Ap84kA3drcdVFbbpyIed1KD4m2dGy4
sWqHW86gUflCRAIMKOZBByPLODRntTjO+vSiOH77ljgJNFV013eEV3Qu6wWr78hEEzOKWzECuVYD
MvoGNUPcOA4+OkDb0PbV1ILFbKtlcs4AmRDEsDwyD2U8bVbqJV8hPAS83CzvNYMBE3zkWUU2AFop
RTv7YhILitcIMQpkpMjDiXoJOqi7jPNUyzxCEDnOmHVdXw+joxyaElL8iIZtq80hzZjYMoaLxWq6
UhL0Ic4cBQeFE5CzIuYBmZwSkUpoi7DwujSynqYUcV/aq85mAiOzhWnbfR2IGVxRQAKJDSbaXbFQ
ElRnpGBrKULGmAyHeNURGkBfpKO6a4mUeE4qge6TNbKB+6DMW0LzoiN/xmJIcYHWBa1Hs9F912JH
c5qXXhvpKLXZK6bktTJZLp3io5xqTIwi3edt394DXcONO7imPXyJs/SoTJxxrXTYo0qGnt9lJgK4
ABFfADa8NH/8vnh7Efj5gqh0xtunIqQrPsz6wcA3uRpqrKxN7HI+LK5lUXTHMp358mF81JpsYoiS
soSlQG8s3qJ1N8r0fvL7h8afO/AsOqPwOcyYc2ANznPo8IVzLAIt31TMFi/BiZyLzN6ht77HQCnA
B/XV9TgMXtJb1054HAQv4OyDejHBlDZ5rl4YTYh+xik3mT1eVVW7Vmt4SAl16OC7VUSNHylpsW50
pbg3FWSj9IMMMe0RTq1KVZKVXUZbX4lusCYZK0yyjBE5v2eR/zDPLaChSrpqMbpapT74hJbCn2cH
qFkV89YTJpEjwEMwOxTONWaSzLOEvzUS1YN08qBbdXWSQBFWJZIUbng+PTFSfGL7PsIKouXbmjth
f68I6LqUgnjUsYA2N/Dfvig548aRQR2o3IYD7+TWVvvK9Hs+dM7dmAQnht4bVACN54wN/HAF5QkJ
p0oZAgPJ0FXMqIaT5nEkOX4dUSamjeNy3LsSTH9dlZNOVlQLbP4gW0mzvvKjb2Cn4aM78blql22n
fdDCSjnpdnKGtDR73YJmiYOz2dzjIysYZfRntU1ORDUddHJf1vOSWU4y8K2z5Fs47WGqOHzIAmi1
5hyIJmfnVFu6Td/SjnH5MI5faGtHDA3nI8jdJawFGL/NI9W1Tu4REAsZhyiJFS2Dg9FTlrOrKQFz
WPJAPZgxbD71yF7BX6EQwzPWlkawvHXRpFzemC+bGe0wFJyz6kAHNvFgQ27RT/VUMSn+398xwFVh
QHL4U8/gWDRF/wsP4j9/6N+NAu2vxZ6BMxaqv8Q4y5n/XxYNGgVYC8DwkoIoNFwSOLr+bhTofy3G
CV39wYrAg4t94+9GgUajQFo63lGI0YZmaP+kU7B0BN61CrTFZqmaOL5MBsDO+5C7NPbjbLaSnK2u
Ca/Ag0+HgpPfPjRKSRgAZ+IidcMcqWQwFSoS7SZ9kGb5FhTpl37SD6JrX6idHc9Elgoeomx5onud
5ixef4ZE+nVQhKTKNQaBMpl/N9bS2bTN8NKVAIrskfmQUg2XQcyBUM/9h0H2bmBRt6a1f5VLJduF
NnzagXPOtGhw1EC7BCx9lakT0NJ+Ebsp2tmuI3FbD4fC1g60FINDrYT3Y9R+Ez82KnweF0QTE/5K
y9z1u0au8ABDVUFuiCPM/6o5Awlx1QVR1qdRJk8YZHijMvytBgLcNuv2WonSpneSkw9EY91Z5Y1Q
RbbN43ShIweYJFrtmqOz2PtKekQK9yT0oriIIvO6o3bKZ99muwXFMEGF2lQJHYNyjDyYaOGmLpqr
TNGVg8HO3NXTLu6hZZNClW+dOPPsBJtiISFXVg2xNwEnWWE9tI26mmsHpCcBrzGAgNiheB91/TYI
xouq7HnFixvVmbyqK3ecySnG6n00UgaU+h6Y6KlXdc+OutOSijFWiGozOpVZzGw4Lu/ShEFTXsl7
p8kAWvv6wyQd7HSKSv6YpW0RW94LgoE5Yym7lmyy82QYqRcjegJFwIxI58MMjPFqWrty3pZL0ZLk
odiHVUkB1cz7PPRvM/onOHpn4LtE68KCcPMGKpZp1F6MEUdmkjQIOGswzfZQyHYoj3eVaZ2j1N5E
SbzNAWmg507QCCbNsayC40D27FqJIToqHL2p94onTePUkeRtS/gBNTi9Xwrkb/A0G4Rzvjf3CZV1
xfG6iyT8w+61N+iXLcWZ1kxsE2y1ZZZsjQrJBi/HVhWodkjy2MVVH69VyjkQZl/w0GyRujSbqctP
6N4elCa5yqzukvLSTZr+DhE2aMnUhUxBi4GqShDV0cTaNirjeRUhBXUHw/5aEcZM1JOB6Vkwu9By
5PoDZG8CuA+DVHe+1t6MGLNV3TrpxbhHg446a+L8knTIi0oCpjc8Pw9+Li+oBTkLddaNZud8kaE4
AbMPPAibO2jyxJlw6p1mIgiiHwVt57gZFNE5FtSBRnBb5skmKAtPTv7jgOiDn6L9WkUQR+bw1RDK
w5Tn1UEPDMLZjNdZype6aY+BYMqugr1Ahn4nllZ2Z0W3NA4JMNZOOh15HQEEmcM78aPjPS22m2iL
3fuyzsutTMZrR0HXZE/OqUjH+7CKr4NKeGA6bysRXJd0zqOcp4VyUywtdcfK70QMXMnHs2in09ZS
CV43UudRLxioYEQyGv9lXhrxs15d10i0Sr89t6RrzDFkQzUm+ArQixaTp5A7TEvL4k226T6230TK
hqo2xe2gUQv7iEYpCQO3rsEE2DkLxKKoNpdZQDrUOeNTA+hS3e/xh2abcnzQ1eDoB4ULBocTA4km
iOfFHf8CJraT3tSAHp/FM4+oz6FbXGTSyLy4AtSisdhUinLgcLIheCG9rGIt31u1ubGK7q5iUoHy
5bLXGAxz2twmBYKPVm0z19dUcwspN2AiHt7bykBNDH8vcR7Z3V1bFOce4AcpTtEOzmPiOtaDk9+H
9j1F4ryGR7wptZBR2qBf91HLwj9TIXA6z0bxkNQ1QSa+29jTa0E1DWWbcfxUQW1snHjXML/xNHSW
bYA/aIwu1HiseehBJ0NFO+qWPGe04wrElmudVxf9+OwKW9ybMr+SJi8bA2zeEqT6yPhaC0mPvje7
7jmS5o2RzvRVcKLp1pUwusdumQb5Oq0jPwAeniG1pF13EU56vC7n/q0p9BJsG3EOehFfd2P/JVtm
SkPjLPfPvq+HnHA9FNqTz7DXMrOXAVnyihSx66JSNxnhdcinWXJBmj4OHf/WGAHT1LyIKCgdjjE5
DSCcAIMKpqDqxxW/9aO1jLX6MXxojPyrFVgnwjVeJ0NcBVn6xHK+r311n/bOTCTHMgrvHtS624mO
GCC/q/eUg7zNDIWwI4lNWjKmZe+gArXQZVV6D5V/Gg9WFX1VLNKqsDPTv5EDxqH2PAn7Ne2RZNCd
or1T6w/Qf6UbWmnr+SRPjINxojHCMDxwvg+ajYVAZB2rvNZRTEcBDmWrPxVV8GUc1Cc7Tg+zQTA8
QNAVGxteE0e+Ahw6Fl15GekqiJslOK7EvkU3EQW6DPLHXCMxzAqiq0ifHjJV+dZrIc3God0bk3bT
LtH2tSUh8svrQSZnzk1XGSkIdIFvxIx41UYUBhECcxfGgrYZj3hnIrIK5K4YYNsoy6AyGzF4SNrA
HYCjgSbHKtbFm4zFFbfznoWrPiVJuUug59OKJ9exLLsbORC6YivEGhHfvIYXi8iuG7+NgXZL5kix
bpVFg1desHUkq7T8oSNVvZpZXtY21NSi2ETKdJ1CQF4NjV1tjCK50mzjkJX2dVQkJo9uB9+tpys4
GwxxoyH42oyAinsHOq+RvDbCPuBSApGcz/GZagayqqNxDx3JeJMIpHZuEHwPk1eEdbQqo+ImKrMn
jZgP9mwB9p8ASZIcS2+2as/WetQulFxtdxIpyF2aD4qj74q5SqG66t9BPXpKbR9xas/7DH/2qiNH
0jD63tUDjZ606LRzVD5bDJu7mVMQw2eCD/etqV4krbMN26FynXYeV1KbWR6azZBNm3SZWKPd2psA
w9daMn+JLPvrpJGyI4OO0DZTvZwkJDrUWYXPfbK0mL+6wB43xNyS5KURRnjUp/HICIpYMqe/0dEu
Q5PMtnpJ0FY8NTzOuX7CGWqsDaXUiYNhkj4WWb/Nf0zXM/MFb23qttFwJoqSjBaLNkKik32J1YBz
McI0eOH3pp3tpyp/rXpOPrUTnaE2QevNhnZdt9HO0vNho7WhQbMquVMi9SQQ0G5ZyDrP7w0EoiMD
/6BAwIVIh3YKKqhNTRwKIE8G6a1pnGDEgJJtWDVi7TD1tU8aVfA4LCqCear0LfJmomtRpyDIVoNN
aHKOYzaOwiJEnmcYBN7EMNVpYeRSvGglSlikeOWmmdoL1rljr/cnVvKJJTE6Szt/kcx0ObST6ANy
ScETSr3Vxm6n4mNS2pZDbxLlzP1HXEUNfl9SVbzUtO9bMd1YXfQ8zNNZZBHgtvhFdrJd1RLHJlqB
3hMhqlazJRZscohAsqqSUsDHFqHmC0oqkN9KvbM81kUUiMl0ObDjopRYpJtoiH111fTDpSJ0SGCV
ft2Oi+qGHsRQLx5F+qb2CKQUxdItORDIQ9tjJvQD7X9iPzr9rZSGdpTjcDuX9n1j2F6t2CRuGs6a
dJnFUbvB07UJrRJnqJkVqA+Ix+sV6SGwYyhiEyY45MlIkAFuNpJAWXSm4XlqA2gq0sfgOJymWvVX
LKY1oRe9G1nT4iTxbwaI1RTJCKecOn5Jxu6kaTTt9UWuAqH0wpJ8iAa/x1oPl5ZjkO8SFU1mUnXX
PH2cv33x1lbFve/n4H/pzma6R9pYuzaQwkBg8unNV3dkXJZLft4RrsiTIlEhKkQErmhe3Am/PuG4
uMN+c0mwyk2T0xgegozbOtzBLPoh2vjaII9rVYTRgTIe9DjdTeZwNEJ9HyBvX/VtTMUlTW+KKajQ
uFz1Kc4rdKzfkGQRH0MxPJcpas7YuQzMNkPt1KMOLZK1WCQ/E2o2yHOmq9BhXieJvzMV2iGls2+b
4Luvh93WlLpHc+eBZIB85Tc4+atseEzsIN6mKJw6JfHM2tkrRm6fVLvNthD0u0MSWhdo0lOPX2/F
WrQJkvhMc5+Zi4MwPVyUMKw6Kj4NOM/tDi5Iv7EUdZEBOsiq1dBc3F/Dmsi+bjd1jP1KltXDFLaq
1/p4xnUEuLM53vsVGcU6jaoqcl76jsK1SVsKXKdxpTQPZcfcCVqysomQclOm4DE1I5qM5M/V66ZF
20oTf2Mb+PDUYXpq0hLniWpeheT8dVMT/8CIrEkffdTbDOti9GBX+THybd3zC13Scklgo/A2GjAA
1sS0bcbaGZaRGGVgT+aTntebWGGcqcSIuao6veohXK8jEuzW2lBF13UYf9VEOB+Nzjxkph6s+4ol
cdSVrVEE9RabMqIki6OoDNQL8NRXYWi+tCYdN7Bx6AXJ4q7qYrPwhQkuWNWDeS1ltUpm+wIBIPVW
y1+CgwCusqfaxZNADMTBL2DiHtIRi00np3qevlg9Vv4suud1fQWSeskAm/NFDYbbnuo3p0T4o8zh
rZW/Tnr6aOl1tqn1bGNQW3OCxf41LXT5FqzuJklm7UuokeNshyV+XE1MPIg4UUmoSE/C0V404rnW
vsafyiJLpecS3rbLBKZuMZTPqe1aSaq6MOY5QDh062MNyBPxp9aJuf9THKIup1ZIMfjlGvbuKL+b
sbVyDKHRSiidzlReY+vEAvVmF948wVXGQuDrxAy3V2W/JD2UKNsYzIV9cmPpl04eE76wRCgJiRBq
avZlOdHjJY1RBfuHoxUHIWJzuqtHR2VAp4n6KQ+Iu6M7wKLYIU6yiJVmRzeuW/VpBKmyF6WxyTnk
zpm+t3I8RYZdPY49jAO/mh8qaVHF4Kxg9faH6aJo9HrjSx2XoLkmNHDr5AB5iuE6T3y0i210QbDz
MWrUs2rq55YSLLTyewxUd4QO3GKtfdAGbdeEIYESWoMu1MDoNd3RRsDo7zRXEgEqlYmgChJD6qXi
2S9abUX8eM1ht3uK4wsmrfd1ZoL4C5sEs8H0Vs9MTBqOpgYVmD8sx3imMUnZ4Z4wQ2JlZ0uszXJc
pzUeClXPD1ijsZ1BMCT1NQRFjauaFKeV4r/q4nFgQezn6jrqp3DbB+nTMbOcM5P2c98jGhtTDte9
fxnWfbonJfCQc506m/Q11IxvjaxOpWozNsaotswoVJN2MrkjhkQ+YUVPc4YB+MosXwxi3Ujvy4mc
6DdtSU3CtHfdNegSkXbtsxbZQSfpDxc3Y9ch142glAKBvp10qRxVrJdua07Jpup7an2pXkzSuCMn
njYvLdeM/2A1oQPZLYlYcNlTvXgzZ9I/ZT5fYFeA5NEN264ud8CXLkrMXprf76y6uUNPUG/y6cWM
zRdZSblPxu8k7O5jOglZroJA7+YLk0hXRNtvGp/o0UDfzfTwKa/mYte1yVvh8y3sfuovJjCUKwOh
qLBCWm0VYXttFAsvXYjDpeNrGzK+3IC5L8csZBGWZayHAsCTRo9Pp5e+xiAKBzSPxPd6CasY20VI
I1p/KzBqnnvTVg5mI+Oj1erQRzTaAINIEtfwyTNoOvNfmLR/pDH730lylAalA8Rfm64vxiPd+HOP
+f/+n/Qlf/sZ5PjhX/CffrOmqTZER4uVE1zUf4RpmvOXrukqpCsLT7yBGu4//WZrITvatgkRDvwB
ZDr0ZP/uN5vOX7YUmgagFlogGG39n/Sbf4VNSdBrUIkE/WZkcMjm3qPXjDqptKgnRkQUZD61XTfQ
MbAOVVz3NAmscfNTL/4DENdHl+MnMHWEdfCTjUUm9xN/qLUqwzadcHZjjlleWbCT9oultGagSuNN
yH8NOf6/ZL9FVvff2LJ/fb0lQ04H86yTBfOe0dboplOZbFVS4X8Ng9aeYaR0V2rKgGpqmhQBTzG1
ewfWwsbhuLv78/d918v/8fMikLEMySeQzAl+/b5J1kWaXeJHJffA2lcqXPo8NtNPkGEAot5/S8Fz
ZRqW5Cui/3p3lRp5hsBL7YpyyJmEN8WGEJtynanR9AmO7oMflPrKAkVFaQnm6N0NrMsmtvVywtVl
IHVpHYWsbbNyqEGKdKeRXr82Hcf02oFoDuT0xSffdOFn/fZVefh1HnvC0TWNOczPD5BhwzWqTFpU
FY52+C0IlW8sPpJOq5WXDZkzyIEKjT+rclXG54wYHWqAgkylVa5U4e1oDXinksRICI0uIKYFPa5L
N+uU4ApswPQW+Z18JWkl+uxZ1D66TUKgKl3mOqwIy///p4c/duawyxBIcxopHc8KSf+qujYgP95W
rrJRtVejqpz93NegRMT1yoLqu0fomu+aQsEH6oQR01da7wpW1f2fH9Tlvr17UQQ4C0CvvCcsV8uD
/NNnG0mfz0vfJ/xD40wwVLLcBuikaNb066ih5KoirLp1JcbDny/8wYrAhbmf+Dv5n0W2+/OFC4DL
GBiISCW0o9vIFld9Sx/EHbr6u9o3n5A+l/ftl69pMVjTLVNjrGYwW3v3+KgDwNmcjHZ3gnG46Qfz
ER/EtylJnWM8MLEJKwDsf/6Cv931H5fkoTeBphrU0r9+QdHYIYpV9JMAMg5Z36eXnQYmh1jGyz9f
6Ldfkgv9WOgsVUqkzvqvFyLQEMZACFOLvHHST5omOxM+XOK+ref1PMvuk6Xg4+uxZ7AgsIep7x4Z
ReuauK9j0+0Lf4Bamlbn3sCg5CQ14vtca+7+/P3ekTBZzJcvaLDMOQ6Cav751y+YJR08MIsLRhlx
OimjEKRhQeSyzURuOyXPTR+Mx86q2tuMl2uXMbjyiHVNPlnUP/4gNkst4nEGwuq7X5qTb4bBHUop
KV/zjjZFdcYJqoM3AAqVMZc8KJ3C/L4hz5hTcLWvkyH3Omz8n3yS3x9n5uFLhWAvy4r2XlVulWUJ
Ezkx3bJCOGIRJrUtEBfbBrZoFFDlCuHmp7zi35YKi4susEIKJQ5czrvbYOU6Ex5m2K5QGLQktg+Y
C8UoZugJy2YM52Uw8m2wWLMdGztQhp4k4aZu9HAGSUFY8q4fKtVFQXihV1V9pKWguyQ1tJ88MB/8
OiCzTT4tVif+6d0H7SojtzA0qi6xwjeWhTk80P3sJi2t56KN6OdWqR1+cs3f9id8Bou04MePQ8P9
3VZsWFHgg05WAbZX1RH5nMIpCF5Kwep6RzTZa6HwoDh25QOvKj5jZv++PXJ5ThTIG34Qw99vz5Yo
wimHdcEAvMGSX1biziYZgCjInhEHMk9E1CZzu1QhGdhOHMAIRea2sVFsJ0DAqBoN0zPHRmy6Ej9W
PbCrJ0XZeRYER1KAoKb8+aX+6PcykE1AwaeqoKD49Z2epqKk3zOrLvMCBkaDUnOKpkGL7bd0kyLa
V4G9Ju/wG3VjcvzztT94kB0Ds4iGekOl3H639fTs8RiUuFcmaYcnvPQhmccoDOxMPAdawKCVTfGO
0O7xk5Xz9y2Bu+Ro1kI1xwLz/sFsGCGJtsIA2KFP82ydUq3L+9hTOHn++St+9AqYKkYZnoqlBF1+
gp+29aowM5o4neoCIGm9qi4pLUai3AJNC7emENEBcoHxyY730T39+aLvflc4UE6bSy4a2SBrNGQr
u9zPX2fVuLLoKTM6oh2KyF9isS7/aTnBC0C9zcMC5MjhBfz1C3edbAAj8M4XUAihSFf1yVwSD5Ic
GmJOrNsnz9BHt5JSVFJSmEuWzLvrMRghP5NoYtfISA+UiZ9s/cT6Kvkzqz/fyg92Hb4a5Zmtqaow
4f3/+tUUfMvkKNL8ybOsdaMkwI+a90yIGkaCzoRgsbIKiVChz91RWcIeHcbZuRqKT35jbXkpf62i
+CT0ZylipUAS9e4Gm4bKyDgUKj55HMDwhcw1plgk9nmSerIo7Uul68nHyAymU2Yu3cWIcdAT1Ep0
L0bkTJq6/+TXWRbz95+Jqhoa95Leybn5118nnDqDvDRYSkSUL+k5Am5feY3CSJDmOCPmmLIB4gap
niBZCGOqcS85NYtfrunDJ+/375URbxzFgUU/gWdwEYv9/NbpaV0T8dKBNRQpnDgZRxt/DijoTbwe
WmnF93/+8h+95T9f790iGvMKE7rYa25UV/FapBgIgrwE1WmV0S6eFHldEyH3Sbn50VtuQY43IFbb
+m+LmNX1oZSwSN0stjjIEC2zs7LprLRQb8jnjbzcRNzd1R3ZmzjWtn/+ytpHv7Gkz401j+YJAPtf
f2M7mjkJ2bx4QZFbe8Gh9KSpirUxBhSUCrZfz2TwTpYLR0PMBjVOCX+84D+b8Xs6jDP1kpzvMrX2
VmOUTNzJ9vvzR/zoEwJMx1fIymCa8l2ug4Cl3qQJAFOC581vvUOKQCrTdl0hkdtMpNJ+8tT9vp2h
bzMNFnrJjvZbgMBAKTQlnJkxdIcoVxjfoC3Ox72P9wdVjnZGlLNOGy14+PP3XJa4X988rkuHg/ON
7nA0f7cawKW16H1yaDUnEd0Ejlqsex6YT274748bV3EELzdWSpsV9df7LUhRh6tjasC5THlll5Zc
O3qXrMPUaPd+goEQ1XyGjNp/s0fb/mSZ//1eLldfKhSD46P+vuYl1jMbCpXf1lFCh8rVFG7IlO0+
RbkHLjT+LBLho3upkyrACZUCXzrvflO/mfwAxxnuIyfL2caIDDUBsFFpZ7GLYS7w2hy0M1PC4ZOn
9qO7CXR+QZTbFuLUZcP7qWLQfVFncciV1dwYzgHli9sQ9vnJVZa/5f0zY7J7qA66Jgub7a9X6Zij
2YxUMbNxVvA0s0B3Bd2K4S/4tT8/nh9eSqO8g33O86O/e3B0lHr/j7szWZLbSPP8q5T1aeYADTbH
YjbdhwhERK4kk8kkJV1gpKjCvjl2vM0c5zBPUS82P8/MUmWA0REm3brLyoxGkUwHHL58y39BMZYX
wslzDowCas606F3QV3++ukkdV2X5lKeI7Igrjt+qjZBPsHNYfwNGZ/sxz77FQxjR1u6oiOEx8Fcm
kTIGhnQKeeyuFsnihEs3CJhPTYpuRtuQi5o+xEgTYZoLQz1XKdYfjKgKgjV1crI/StVvl4Wp1Y1f
dMivtKPe42Zce1ts+Yq9hm0oQLbJ3/GmcZBo1q8O6fjPKj0J6mICnyqluPQ0arQfn8bnCHU9V1C0
Xz3N0mTSEoMZTETn+zGshl0MkCiYDA/q4lggpwLpG1XXqsYNC7lXp56xAYk1vbgQlf149Zpse8O2
WFmYgaxDoUpzEPSAdR2MhTdcVaikAvjb5Kl+nxZudlXkYXfhmD+1noHBG1R7Ceqp+h6/e5kWQEFC
3whCH3wbpOIFqGdSBl7D0XB+65w6hXxVK9MhjHLVroZKHAN4cGirk31G1LDScKhH9vdQWbZ8oHMw
bKji6wenQRLi/MinzluOIN7QInuhKnn8kk1s9TZuu1gw1SaSIyCwd8VolCBHq3g3ROWl9X1yUnHQ
ogRJLkrmcDze2E2pPWrcYRamezur6GknC1yODJclf/7VTq0YZdb1OpSzOiS8OaNRFzJUPyfJtaVP
GFznIcE7CBZUYG1YNHoSX5hP48Sohm5x3CJoQMRmr0bNkkKvo9gkPIZZdFf4c4+0FuLkSeE01xOQ
0ADvpm5fW2jNhyA49whwoQIDP+qa8hZiiQ1egzk6v9tBDggzIqq8iwFx7c9PzonvcPSYq2NmGEoz
WyZWXDwWWeDUZvtAMaJiqGjZnR/qxBJjKAgbFnMC9ne1xBAzllldkzCM1Gtu4PB8wqQw+9xR7uMw
WZbkwic4OZ6L/QeHhSc4LI6XmO5GQ6irAEaxkR/oUXdXbeiLvawj87Asprywzk5OJStZKL8Pwibz
eDwtKj2/czQjaKUR3adzDj6EwirKxOjinZ/KU4uLDADaDJmAKggfD7Wg4oQWfaurQpLSInN+VpS6
ndU3YJphsiApBh7v/JjeqfdDxsoihuB8cH8oorSh5CNhd9gX6Nts48XSPiKyTpu80dIUGRvDvjfH
/tOYTUOAxHRyZYWa/y7Jm/rn2oC03Ji/p31r3MvJh8BYx2l8twwV6OrGkgJ+WOq5QYhvuHVT15OP
Lk0VU5GqO1jaugy0Ccf27egaExJGxUSrJAzrUSBzFQ6oMmjlguhkU7ufIa2aXJFxKG5Q3UWDwNAK
D6bB0o4fJj+RN35eIh8PvKd/bFzKFBvKlZgEY2ur0Cl5/D7PzVzfIEzvfBW5NWGgKixjAKFf5c3B
QPxO7GMXJQbo6QZ4T4EBKKhBN8NUPswz8AuGVKQ2AQq1wUX7i21S2Arc0pl/Lkw6EhskS+S+Fj3e
6J7WmV8KxNlyVCiF7DkQ69aCj5d2v46A4B/1WRh7uD/8s9bIbXSH3PoXHxP5j11PXLUZl3BHAQYE
KMTgudx2jgVrtwCw8j0SfYK3DDE24m1gphEGHar2i4cjAcUC2Q5P55fIyRVCgc0gNKJhaak/fxPK
irTEddxmWeolUgiW9AEetfGMBH/c/IUdYNPmpWtjeDpJ2Gqopgk9c+goO/UcJmWtt/C/kUefhPde
2J12tyxM2/nXO5ECgwUz6JtBOiNZeC7TvHk/EzkVULiDHrR+5gaQscWtXsQIgkb+HSahPdxmiEIg
cpq9P0fGTlqzvwVKJ24AaZXbKMHmocmt5TpV9KE+ibvD+Sc8dS4QB2OyDdPOwhbpeFYWr51MvrMe
hFFRgWRGVY9sAMnnDlXUNMzGuyF1L8SGKzM51SUyVZQPZgIUqEpIjwctoPA0tRGiroZLPBCzAaDR
BhSzj1A7G+Md91ribAG60ouHg5m+iy2LnUH7IPm5BPb2d3D9xV2UOBAeoNjq75YJHRXTddtfYlv4
DxBtEoTFnGj81mit+zTVif29t2bpXHiTExcG6a4LrVAQBXHQHb8I8Kq6LYuJAgsy43s3mX9t697e
Th6ioX4rzAsf60RVj4kDUMIBzrFKge94vLG38VcaWiPgMjLvMnfpf8NKwAWHmKcs5dpKsyfhYZcD
H2OKnobUmz7PcxE+jg34VJypo/YWuxyIXX96FdE199hU/IJA4CrYJy9A4q5YDHhoOshpd2rAtevI
g4ax8wHrAGV+wa4+P+iJswPnLaqtbC9s/sxVdCAXb2iwMCKHaZKIqmXVIgjug7wFWn1hqFO5FZ00
EzzPc9XQs44nHjQodtkJLwg+BM29GQxe6HGEuyPwP0szw8Ct0Gbyx4W8pvBuoYKUe62ZU1SKcZk+
/+In6iwsNSIi+qxq0leznbaIvYciJwIr/YaTBUYLGrrLTZ2UeEvoYwl7ASgmiDbgniK91C3/ESTB
9qW3C+/IotTyQ1lxdFNhdjFlRQtSyvfC6JPHxV4Eym1jBsVRWA9Z51HgzWA7ephnPNZLLW/qTskE
x864QQh0AkPskDW0+nzhyD21JentqRSYnAgfheMvtUxIT6PihzdC0Rg4W6T3tpwOpubFN3mUzhdC
nBMVf1YFMZkKGunn66sLDEKnhVQv9YSpDeuAhpEJshPfhUQvMPmLFeCWGsrG7SxotGYAa8gG+2dG
Fy43dXmtsm11/ng2d6iuEGzHb20KiLbg5vHFUUcPmq0mHP/BvPrTC88iQwHtSmtBARiOR3FcHCTa
fDRRpHGMh2o2Ud+P4FrlQzft8dMrA8Qw5XWJtOV134z5hZc8NdkAhAhV+T/ycesyJr2SOB/gjaAZ
TUkqXKYlKPUKWY+wyPY2FhRBpfcRjlrNz1BzaWB1/ffO0MwL++/UBrA4DVyXTqwNLG+VqeGm5OpJ
T70qAbu7yZvcue1RkEGz3Sj23eDNV6pqTVFu8nZejgSvcFMkgkP0v9PRiZF6yUGPJuKjV4/1hUl6
LqyslwLoPdorYA6QuVx9JLw/TTh2CWWgVpvu666BJaAhGYQFalA0sdxoMGXwRLn2c8OHUKX7d9L0
nnSv1vaUoNO7qGntq8brMH+KRkyuKKpuYgOxxwU5OmuZ0quRnslBzysnGKzkSQ8j60ohmZ9M0O23
SY1mpuh41xLXoUOIDhj2Qj5ItBYIAnbU/PDeTa4Lc5G3YvQgT7rwxiLL6C8cBeo2/GEmPGYB1BSw
Tns1E4mC9FSRZQazC3MlXkzjg2RtX6OexC614DBg6nypTHFqUMJMWo10FajSrm4lNF8ASzl4s0Ro
r0uZvbP6ctkjk5lc5f3i3s7dn2/1gYYl/MCFksbjD02M1PaVFxwj+qMFJRcY/t4EcE+5C6mQ2I0t
1XTEyQ7iw2FBLkNxWaZPmS+/5gpnrgl00c+fEyfOYItmK1xIeDpEeKuJz4vS6SvkV0BIJ9hIuU5/
0Ib6qa0lrjoFAuHnhzsRCDDhBACg4kik3VVUlEUUayys4YLEwFwhrQUJXE9Y7fi9d2Hrn/q6Dhad
OiVFzvx1vlIjUJ93DeoGsEKzrT4v40b2stpklfY+03Okl3M0BM6/nqGOk/U6Jm+xUJ0wwfSY6vB/
k0QIzr088nMroJHd3SIKSfcm7tLtOBmoTg/QPaoR9bFUapTMkbm9rmE1/IW9RJ8M/BIfFWzw6p5L
ItG2pc4zLDBzOX8rPHUW96mEpgP3LsUuIa2+nX/vk3NNYQfGHlgBuvHHr50aSTWhFs9ts8TdO2zm
8WsJJRAXjKQC9Dlm/E9HWErnRz15uAPeVvBVNEZAdhwPW0k7kZkRsngzK7xucpijVj/LG+lXSPw1
EECyofJ2ZJp5vAkhIu4XIH3YYpT4B85oeuiYH+xGiNoQy/hA5x/v1NYi33CEKvTjxbGalC5fSJdh
HQUQg7OdI63fUI6KAl8k2i2qWf6lw0WtrfXaA5Wie8itAGRfV3kt4bb2oryQ+Age2vnUSZzUyPbI
CdeH0Kp/xxJquslQ83xfZ1V7jbmov60Hr0QOWYwbRdwlSh+vz8/CqR1Pb1Y3TJpTqnl7/I1EPfYl
5Ss7WGz5HY0xsGxtPgeda5UX5vvUIiTeoFHkgkWlaXs8UuS3yIACHAwaLXLvXBsjxSFalGfcVAQN
rN9b/CqsC4Oeej0P/D3fmF6V46w2m41vRRw2nR04uY//hpHAvSx6NDUNpJnOz+Sp93s71Or9UiDa
SWQzFPzDcYfv3mHpcPMhZzeBjlSfTOF9Oj/iyZeDzUDq4PKGunqiN6fZZAx5WsoU6EPk5tuxsQ1Y
RQ0qGW2yXLgYnoP99erllGbd+swl9ZfjsRIrjgQCdpg1ZDpdrwjxBnCyt30a4Qtc9xyhdGp2MXny
AcUNczsR3uDjO+t7T/QdGwrhWQgB9XVNLrMrFyMPyoEQaq7iC4e8WrE/Pin3JbcKwYNYf4eojbKs
7VCa0GYXKED0tewNeRMjBQzvLstuerEMG6OKkXY1KQKe/yYqKfphdEoKipmgPo06Bd58EzQ7yz6q
UCSJvBlH2o7THWmFAWZXWx9gGsCXK5BL9ab5L2xkhYbkmCVM+6F9FY/UG0WYM3AsqH7pXgSbGe0N
csXuwlDP1+QPL+mxl2nFqvFWUxx7ORSMiW1U4ZT5zoB/B2K+XXY+vjixVzb3uKGmN9C2vyIOJAia
BNoj6MMf8sUE39hj06OhYueJKOg8K9/XlISNXOqo1no6aKV8vI24LQ6RU+gw1cMRjdjG/gv7lRCA
5B+KApfU6uSbpZYvEeKTqvc/7WPEenZWaTc3jdvIbR+1A1EB6kDnl8epCMSmaseNSKFW0Mk+Xh+W
NvdZ2Y5MHe6gt3TArE0RAl6Z3AqVz06fAyu3P/cFbsdVhbvEUCGJd/4ZThwbnBi2TgRClAuU9PgR
Yrp8YeZyUNUaYhYGYOr3tef+kkzQ8s+PdCrNPBpqtVAw+Rl6pFs4focUfW0DOzgX94zNIEaoV62/
fMBcSLujSoJluYFnK96HaVAkOL2ef5IThwLdfFchhYBHKxrZ0bacOoMuPnC6oGt875fc658w1NH2
TlZ1B7fH21wvZqowjqaBYEMJ6/zop4peqqlswQMDrwSq/3j4qphjLckoWJRWr1+BREFIz+xEUHLv
b8QwoD1GgLYbqXBf55YFBRZRN/x+YHHaxWxfmAw166vta+tUdojsFH50fW/4Ma6wMuJpEP0prxaD
o2KZK+0ePLuGaSOc6fOvf2rBGTqScqiDQjb0Vkl+k0yoV4CQD3J6MWhzatl1GmOCOUor+0tDkbAD
XKKS7K2uxDZy53I0pR0gtcDRIWJOQYHcNerT5oVTUO3U9SwiqPfHUKvyWDnmM10ytlGqzEBg2Og7
s0Wy5PzcnSpU07XVKVYDt+GdVsO4eGC2SNBA4ilnXA0pw22FoWebVvj6dTtknI14Z13rEWptHrIm
yGtTqk56EJ+4KcW4gCDycOGZTiBSVBfGBxkDoZO89Hg5x5Nsm0ndNTyvA2ALNGFs1ZRpTNnsTeyr
f0vC2UZNtFzux6qulM1MfEjHztydf5JTK5kaHcUZ+vwCIOzxg6QWQkNaBcPJKKHQ44iLm5UV4q4e
6cm1ZhEVnR/v9NdQTTYKlRwX6z5sbYlQNBP8plr/YOMcvhHl9GukjTgvwmomcVzK+1o5mGF84uzd
HOraKGN/n0xt9jmWY3wBl3pyAjjPaH2r9s/6ecQMc1FWbOU4rSG6F016b/WYWcaEGtycmbhwkp0c
D4An2AqMrbnGjiccTSAcBKqWRb/02MyEOJC2edMETetWexG7fX5hrZ06O6i8kTNRj+XwXC1/bR6q
Gg1MK9BxFLkp8nLEBQ65DDdpLt3Nz8XG9Y42abkQt5kepIXVy6H7H414EoBxpAa/0yE+bWM8r3Zx
LuRmKKM2cCo6BCjX+wGyMeY27wsDVd1Q20vsflAjGKOdmWHNKrq6vkabrrjzbLiYHnL1e/yPtGCk
27AZcAO9GmMxb8xoRIfCzqtDI4p4W06Wt481t3mfw+rcx0lpgsxxLxU2T8SoCH/ColLYetCs6iO/
iVEXGzG+HqV6nAWQFkfK3Q/MOHYOSLRhOpl3FPnxL76W/dJdOM1OLR86W1w9HlBPssHjkWFO+Z60
ETzqPbc9oJDSfogcTWlBpSGJgq7/he1BqQUvFLVFjPXqQZjYTUy7YXu07ozL+ISiW4VUtKhDA312
y7k6fz6cmtm3463OI6vWFxEDsYYB1aM6NEjMlLX4jsptd40CafaulwiBV5iCvjs/8Kn4Bh1ii8Kd
SjysVXoWi5TuqQ7+BXhy9ndPlN4NMjxy6y0zimSocd8XrKZt0rjRfkz9Swi2U915m8AGKKgrqCOs
+9Ap9sC9PeO4uthmeuUM5XdrauYdeMb2QBEcCTTXGzfhjLonqmfm3uvoq8Ci1u9a00G1G8mu+7Gp
rXd6RGI+CNd4PD9BJ0NRoOLqfwq6syaMGq3WGGgqqsYR5ptIw+b2rirM7wly6PtR1gtCs433JY8y
Z29pVHMd18nf62EsL9xZpz4VVTFSDldXtPJVNCSyzugmJctlG+Sn6JNl20LL7GtvCaMbp3ecQz/Y
vyydru+TeaIzen4iTh2ob4dfrZQiFnLGBJM229TaTyHp+A6/YVSkANI9nR/quWm/PlAJuZVsA7yz
F5+gNwdNMqS6L+IK1FkWmcFozoiLY/4dSFtU1z38lI+RZ7Z3yK8p2Hc6HyK9jK9rb8m2UxmKj0Tn
3wszffRJ0W5Epgn4D5N9a4+xvKOxhYx97gCFT50QQR4LA9Yx6+7ifjF+QfPWCxZ96LZppfSzRVYd
Jn+oDwh4lnchTd89ggjeHqlq604QLtyI3mz2fW72O9NA7On8TJzCaTB/YGfpaxpQB1YfnWmwS6MH
B8kt0D/EMURePzFcAMZRuBWebd0Nde/emMXc3BM61Hu0isbbJemcbWIhlV25uMnSK8PTs3HdoEeZ
5XMzOub7qK/Lg+WkpYGC6/z7kjnmTgzuxdbIqZPt7Quslo0mpVZkvFuwpL0P3Tb2Avq4A94bSjgo
N7QPFRW26xh3um3Xmt1VMWEMPNqdeYWzZ/M1xBtg0xYYIOpi6JVsursdR5m/G5KsvHAKn1riHmh+
Svx0FDkrjm8ZGsyjYRZIjHYh8zwXMaaaupMdKBnJCxfMiaKfTRnfh6wNEsrVV1cpmuWYVA30L+ci
w98OvNFGS3EHrynib9ypL3FV0Pr786vp5PtBtVLAFeKUdUqAdkJh2D1NIeHm/d4aRPF5HN2vBtC5
Cwn86ZFg+HKyCzqgq0DfKFzSKI2RpERBU3fsG3DY5ofMtS5FBqdG8ulPILaqYPdryD1U3AbCMBfI
2OX1tVmUCGUNRrgz3VG7sBlPDsU9iQoORAKyhuPlsTTUzwAV8s3sCiii0+R7tyUQYk03F8LlE8tD
EYXIfWm7uLA1j4cqZkHZEb/sQLZRd41/V3QQBi7kQJIhgeOQup21i521E+8HAQv9dspa0BaN1Ufz
7Tbyyto3A2f0/F0d2Tk4OIHbe+5fqrWeqgRCJcZSjuwepZJ1at+ieuKHM02UwZflYXaAmibgd3Y6
xhj3WmJJfJ9s8DuaxOMiLptN7CnRBA+hbRqwhIBOMQZAk0d0DRDK4X3EHgMk7w7wpPcgaYrTUreq
32uzo0iBGcuBllF0SNr61/N76hRmHEiJTpOMgcGhrD6VgRXVC9oF6lN1lcCy2NRaG93JHDn3IayJ
kXFV2bgtGpw4fSLyPOnZXUZQsZ1HuHf6mHYB5j3WvQUHbed6ntxFOfLX55/zxMd1KGsDcSZJIfdW
5/SbKxXR5HTUKxZvX8XaTRyjUWZTt7nKYsQFzw+l1snq9j4aajUjVO4MxS4G/oAB3M52lTNMjEPw
+VFOVUSpWNtKvIDh+ALHb5SPeO90FGnBnqAgFrnZgORv/8GkRXOAI44RiIz1O+Lb9KNfWvU1KOXi
wjY9NakkQnx66HYmh9DxI+j97PvOjC7DJGXCzCYpysPdb9oo28P5tz09EjuGlo1SaVglQEZngehR
mKq4iqpHRBvHg+xjyucWevXPQ/0pAbP/aiaZNObVFfq//uN/v4heBV+7r3/7vexw8Hr3tfj93//t
8Wv5t/uvsvvH/yv/9j/28mv5W/L1f77VJnv9CS9qZJpj/uSDUabxR9NRdTn54S/2F1CVfjJgC0BZ
pnYCQ0WJjr36XxjeT88NHIoOSrhI1QFe5cj4E1QuIAtCqCJ610ko//moxDcz7Nt29fu/lX3xoUrK
rv33fzu+HSDpUZwhDYdNT5lMIFhwvOyyiTbVRO4KkQwXhrpGGlErp9sSFIk3FebBKpPpwp421W76
16Z+GRM8HxUsrlrVhz0e06INY2A8h/d3u4xXLmLWEv098n3UZYFXRiOWMOUQpVuJFFOAm0Y8g7rC
3wIZZrLsQ/f3RMewussWP/BsVFyh7wS2LO9cosP9m0/7Ol9v5wczkR8eFiygrlMAJVN01qBg0+vc
duAbBgC8P0fZkmEwg3iF58X3lY+/A3DwDW4OT04utMBtrnR9Lg/pFMa4YCKeKTRr2NZ9ZkBy8L5l
SfPJVXqIdadtC7fBuU/0FurvKZWbRYPtkFn7KRk6rJ2IxJGD2yD+nO/EiGcihgGoRFdbvtH3wpHD
Q1MKTCxSjLBT8GfJ9yKsow0PBba/CW/QchS7//7bmUL0my9+cjNv2MxVXhX/+L9vd/HzP/zXHoYk
QekPjKxypv1jA5tIAwJi5Mz+44/+uYHdnyC/Iq+F0A6XilCM23/uYJd/BaOaf6rgpgTtf2YHK8vc
1XbiUGH7KpI2GMY1vy3sIolXBjhOc8Fjb0jnbjN16FMP6ZPVlAcdtlPTub/7afgJY7AcpddE20mJ
KoQASJb04mMYjJGufxiRAwxgOV+XM4IGad99htIe4c0dvQduXqWGiVQ1HlH0s1GTjecwGOL8tnEW
bePL7vfYTzzs2RtxkLp745ASvATNf+o2+e8ph6nQUP/5hbP9Wn79/o//83Zxqn/wujaF+RNyS55C
LP9xibzeL/BU/rhQPO4a1XGjRO/TOHnWyHhdj7bxE4UkvJZAp6g/+FPL8ZnY+K/THV0hMlGSp+em
DFX6Nb7Nqxddo94RPVJ3Wpb5G/q7JdXWoSUF7/DXED2C1m4zjZm2ydHsqDGOiGK/6YI8jep23A9Q
vudy05lDmrbbYsEL0r62IxA7+qFzMC37mneAk5IDZLSurt77gy0j88rSa8NvaXUkIi3urSjMPOSW
F3QozQfHXLwEJpVhMwxFnLleHsOyt9t9KHtTGu/SEQx6jPaza/C7aIinLNm+PlY7t36T7lG3lxYu
PJrmS/mIIZNpUiJq+gZzKKNsU5S0Zem3ttIFN0IvdXfp4i3qPk1KXYYX8u9nsMubaXbpY2KmZag+
Mv0/TpLjS7TAtrAubS/6YjhROfqbemkHZQCrjp0Sp58misqNhiFb8w0PGiieSGybeTnt4WD2yech
cUb04TGd8ZiSrjDCEqn1zgxJeiM+TjpfD1qn7GWkhdY8GkJd7/lSqY9ZTLZTZC1fgAu+caHy5eQc
9TaK3Eqf4M31DQY7aTzmPFeErBzPRX/KjHGOjlILaovfFKE53BQTtb+KCi24ogdrLCIPjyLM39zv
ssqM6slmHnm6ksYGP9CRFWfZ1RRHA6fY7HSokWDzV0TUd/AZCt1HxOTdFqHzJux0A4/JpezdA62R
yhZ7VcRAVRmZlrT+LoHf9uN+6cZqAnBu9yGODjDKBn5+0yTaMNx5U14yCRnSfvzOTivYiduGEhqv
Dd1J5xFk00y2dsgnhMEhaOA/wF9J+j7htePUFM23N7v+RCzCHn9z0MN1p7xNJRNGjiKjI8Ny/Mll
1sESTEf5ebHkFLnXwNnDZbxBDh/vh6CJK6eLd2a0ZPN4XfXYiSyPWpeNXXplFKFwLqnyqdDwaAXC
M0PzSSkgEjoCKTx+nETEnelPU/jU0qFmaUypHk1xQOVy1vBOciY1VcMYF3X8oJmIwA13U9KXUXKh
lrJKm5kX6l5IZ9hQtYHQ0FM6fpCF1nTa16375FYZ+lvvBslZkx6AayeO/YBxRhI6uFKzHgGAQXdu
KmDzzYBITpDMnj3OiAX16pdhnP0RZ+6+Fp3xnnLnbGnviwm302+V1fVRdj9VoZXdwxUynIfzH1dV
fI5mU6lKoCarsBBEmesqBigJziZRz0+T2aTIhDsD/NpiZ/dj5c+H2Goba7jxtRICUrU5PzTAhPXg
rsH5hvoJpwrCtuszGwcyu4fPGz05mHXN4ad+KDK32WP60vANgWOrwV1q6Sxwu0KvxNzqWjv4zX25
iLa03tV08NgRMXbD7FSky2Ow1H1bGWpdRFosqUvEhovtQtUXJkaqTg9bWm7HIa74mY5sZprFprG4
qjc1LIP/CyyQdKo/1iVWJO7BxvS8xA9a9JoSNuQGYJO1dRo6DQ4+lVAbF3VhHnOeILzicWrVPecO
fiQ9T0QsrnalBvqTX0Jtcvj4OoRf/qYcpqzDgcD1Yklk3vRqb1umO/NnyBepnzI0jvrRepcmvNdk
o6SC7lcdF/xHD5tS9XpTqd4ZA1j2PS6dkId2NrpbdvxbmGBmOd+21hSO9abCxaj5xiGKb9u+bFHX
jXYLVmFmjeU5vFAQMYmOqOBG+oXy4ekoIdbJ9Rzh/YMNep0ArTyUtWK3P9QZssPaV5BsatpzN2r4
eFPTYTj7y2B0Of/Rmkvm+4ueeV1q3OWpWWXZVQrqMJ0krtfsBg7YZej4q2Odq6f27LDmvRA2GbRH
e+jUqVa8PCdtq1F7LOtW3aMVPQvkfM0ZARtjP+ej3tIA6EmEfIghOAzqO65zq/nmpJ3GZ3r9UZHK
tJ334uVEnTraKR+LQm+hxuJfN1CdxJS2Mz/BOVAfN6G6mOZfumGEfLbJ3NFIQ/w0SvXCY4fUYn8L
5bXljCkhYjGl5/fGM/j4aF/Sy2TvcQVx1bI5VpXM2An1dllwOq3QO6MphLSZ35Tb1zNPa6SyXXeG
bGHRjDiJ80tVNiNP9/pXyMzQcwistOi0ByDq6rK2KlPyFbvRleMjjjnQy4I+lxmryo9NtcsgV1B7
EgUcz2YzZZYU9mNqTCKJsCz227oSjx01nG75qE9pG30cp1RMzl3jLrNuLBth1o3b31ovF6hptSK7
h/kTMcDLb0h51foGAahWuzHMKu5JvVSd2cIetJmGVVIMrAM5i6bVPtQGndLa2ZQtlP34y+ttZ0w0
1PKNFtW0ZNAB8PURoHw9l3wPrkfCqo10UejstpGdkmPsyzTuTQxye+jnv+lCG9m4Ridgt99ZxtLX
Gt4rXdM6tNrsKPR32NEv5XQohFFazh4kv9qOotYW8yKi6LgsQciqxE9A1Ohk8wjurGGzNe07ziSR
PboOTCPMz8JhJgo0aWq35vY1NAxtu0gxtYCYiOm8Z6SxIXByskZO5QXLtOSStuP6dkNpDe4RZRL6
xRSDfgj0lgRr72RO5BP92pGXh62hfsF9KWx9DPwGUX/k8PUqzutOb6fxNz/33Xo+TKY3xtpvs47X
Q3FPyaW3IOyM1dAgHBjmA7dLMZUdXl6NDFPbvdc8jK2vZZQSXF+Q8zouM5EUUF3yKVXRLEK6kWrK
8RUNeUCjWdSYj8AOmgjPpmFaogQ7RmJbYusyTEVjXZva2I31Qc7AnsxP5zfyKlrhCdjHBlUnajlq
M6+DBCkNVMyb8ZECWuaKL6M+TWLea75RsOTpJmXDjH+IpHG4pUarvq7rFoDZXmoo/6lA/o/P4Zv0
Y3gAulnAcFczgYW3jQJMUz++nI2Y66kDmZ3Ptb/vQn3is0D49NWGYNcTjlBrVnHv+elYhRuqpIXp
AhUk5ALoqq0Xe5r1nYwdq+WDtFpVSAAhvmbhgVf1JYbTTpcWbXab2pPrRhdSlx9mgIGJdFyb1qia
hVXcCMxTUuda6kfwqA7ZH4eFy3UyhL7GL6+Hj1UiQVRdW/EwzJ8R7xF5dWEGCJ2Pox7VYwG4B+kE
JASR7HoOxtyr2gxn8Mcq7oFZv7NeNliclny9q7zrOM4PXlZJtttrEINpZTkOd3EV0gLZZIAWcBo1
slgd2ZmmExsmfcKVF3dCXQh2LZ7f6eUHw1H0YjLUfA6x4RzjSUgPVZRa66ZPiaZVffq+C9H80na6
m6H/e+0BU8Ky3SwHFWiMoe0034TmqcBBuqBlJWhWO0okGoCeWsW1jg7/fEOGlA+Y52mh5+h7+iWw
9DbJSzrW+fSHCIScceQ/vh7/6cDq+9bKRQU5rT8ib3Y3iMlKwkNm6OrSMEzw0A7y0sDK/b05tEv1
VE6L5I4xSsQwv73egJUuMbkFT9xkHX+WlTlVTmwCBanW7bKoNHGvGyHCT180IfLsXaksd6b7MBcm
11GXRrzjXlgdOc2dBJOPaHQ3hyE06NALw8HfwNSr0WAFPzalmBnm+Ax1uLU6Wv2kjHC5aZdEfew9
+WTGIywCSGCzB8GnYpYR+yahbZKlc+N5y4Gf8GeL2alywljZ6r6qEUfmURLsgniw3BMLaaDjSYCF
t2KaY/6K+ZKqauwu/ubrPzDY1iyUkjuXZJKYTU1waM0RPxpMdkKMWMQGIdXQ2aqQoIP7n9BPlI6K
AMuRcIFYFOEbfqEWrlZUW9KSJjufnJz7NK+54fWdIUKO0B0BgbqrjUlDrGJrT7Ep5X5JmKt4bxXl
HOHtXBZ2lg8/TzjHz9FtT1Op65VaqRs2u6SviEf0zhdLtm+Hshv/3oTuc/RudDNzpKVVBQTJo/+m
YzRbDh3JFCJHrHHHSlKvRXz3eWssFGU4n7ols+pO34RxMXgoXqG/CpsMRY+50XGa01Iv/ntBPmAO
m2c2ePtg5zgrulDxfBW3paW9uNFV4ZXYOMILHBLOjs+4/C1Dc6NhaE1NMi/1lCAbr1dLxxG2LaLl
1qmiLKnfFeE8+fMjO2bB/jEoQjv0Y2jNTqLCVwB4S4KNA6lscW287Cfd7TrmE+OvQgxBOlgV70mY
hs5JMCcWVka4eUqVKLxmN6/f23BiFR7BfVY7wxau+imvtzIy9Ork9t1ZY0peQujzB/cPp6dHlxCx
FW5TJUq8TtWavDFQcKzijy/3BxUDQjuLN5oexDgBA6EXO8Y8u61lGKNtKndgb59/hh8uDzohXBs0
qIHSY0minvFNAxhniiodpDY86GafTw+xXjnZ/VySTHzWYBeQSZf4u3CtnR921enn1mAw6D4vOGOf
Pu3xuCmNepH4nfwYJyFK9wcDvpefUvIw60nbjfY0xu290cStr2/R227casdezGZx62dhtyxPfqxJ
HLRHrHGtalc0uevVeyMaCVyvWiDAfOt4gRCZ4Nq4wAYF1543w8doFpKiZZPqcToezNqGUrqnQ6M4
ZwiVNPhhJxxdKJPmFi6B+oUc5JmO+yYH4YtTQaE+gPMBpQEEZ4/f23CacYycvKf5vDiG/JpOqGCM
vyWy7fneVmUw6AarRvy8DmUym6p2WdmLIYOE/eZ96iZlD45lmFCZqqG3fKianIu/UNUTCiCBPsNQ
zMiBe1V0SF9+sK3FaYqOb29M9gixSlJg3TiZzv66ReTdKSDbdRHxy7UT4n+c7ouhbZjsrtTUbWRY
WpbYvzeu5kzi1lgSniSq6ymWQZtQYhlvpnrECWSna5nEadQYuYVCxTgxphoT2FD3++RhqlHOqa/I
8P1B27vcvoa5aVq/hzKyEdw3cJk20zyrr1x34fL87l1i6Hv2buGUF2ol60CWBBBxGiQLacsitLQu
u6btlAA26f0HmujDUP9MRo9X9xLD8RQbFbNwesfpIJiNybRVFfn8HlhvPSqhtO0pdQHloca+Dh8r
ui3RnBXeAwXmfPmMM4ba6xgQuiwBE0ENRiSA50z40+MqLA8wm/9P2HktyW00TfuKEAFvTjFuZx25
NCuJJ4hdki/QaAAN767+e3oA/X+QipB0wtgVOQPTXV2VlZVJIwzq/W9JGzO6vphcrPxMl5m1VxeN
MnDcyVY6PnazA5QeFAwc/yc29Rs0FWqOqhXpO6ZLDsz3W6wpoAzP7bSuLyMDoS332DelIw57ukqA
ymx1r0padwaKtu1cex+bgpoNj+U8W5BtUY2bB+1VweyyYLt35EF/AjGE0/Rf/iw3VtMv+5RmPWA2
pDitGk+Y/nWfRrOJ/ZTrZC9zEg5UiaHM9EJwW78Lv5ED5CnNs7xM2q/52IHZHKp0mfPv1H8Due5e
iiBqF60Y44ieydqj49RGAz2pDvSD/vd3+hueHKI+RbqGCFIAf1D7mfx6uV1joihVld5H1EZnAokv
cAjBytV1Fn6qbweHmJooP3r2AC30YrYiZbVJG8pV9h8X84+FzXQRAshUifo/Gpm/XoxOE3oF1v6C
2oRgL5nokbKXHK8L+K4uRPLvpasmsb7++0P4zcGDGog5Wa23gbw+W+sfZX+UzunaIhPwMgeN0V+r
dtTwa1XNTYItbO9p+BCfyWEMde6ZKfmy51xph44Z2VnUJaQDU4jePax+S6xc9o7IlXXjwx4KrVkD
ofa4pIN4ttJs7ddjMJeKxMFVk/TE//79pm6kyF9WIrQeDkreLfM4Gjj49WlG7pKt3piPLzsiG9Uq
8j8MVrOE2UkEq1/XdyNgJqTnSkLXT++Y8+j6+uCbhW7FpUyRcTd9iyCeEY/ULYViHQNXfVprvISN
A6is7xgHs+8oXWMHN0wbe0gIabg7BzC85XBlvtOXzgU1PpLfryMCraZx2pIFRG00SCvcTHcOWkCd
2x8Uw4i+rZBWwCYxlkjnU7CYdeFcfEOgEREnlW+O1amQGQMe90Mz9sZn7EuQJH/fX8e6jBqRWgcM
yMDgsJV2KF9cS6XcXFow4ovS6g2XBmErWc07llzMekj/ONAkYji0NmrOlEd8LPX1NbBZlulCnRci
yBHXMnQr45qi8MpgbCBnsuFDMGLG9l9aKP84bWjHasVUn3wLOarfD36f2cHVRVfyZawcvUP12FPz
XmRJxD4FCtbPMLCQPL52Qnr/GXz/+fV6UzCpAF+c8zz8Le8g1xI5MH/9skOZzAyZnC9yCH2+H2dN
oG7Xkw5XgRoXLz3+92V80yv8ZRlDnmCeBIoSipLWP+4/6908t9ZmZEIn1VVVXpC/gZE66ZAPB29C
NCo6cjl4bT00QA68QKwZWCMnI2oURcVemxnokvLLgYDML5Pa0DA+tj26J7Cn84uKWEtJ50FeiPsK
ZfEcMZ3bt+4rq3QL3eNo06EvvbslGKsSPWazH3L/2DNHYTD9FyZEDREXospK4z8i5D/CtQ8W6DgA
JrpNjz7Zr3t6LnxpdzRvP+4hinLE5ZXvzWqHcrV5lwz59lcfyyhWC8JF1fyCcNB/FgC/UgiZTkP+
lfVAywhHCK0S+OulJNZceOlSzF/KqjdSD5Z5yXdMcigI1VHIevz3hfAbQZMvDHQGECDBTZcM2vlv
J+tkeH6qkiH9krmJcJyDZdKdc2JrAb0iZVRZNL5NblAmcd/1SUMTmlhXzAdpglG0cYZsG3/8+0X9
g+lA55FHoPNBegP/PLK6uegXpcrsC4rnOpIsaMxw3Et6aKS/W4I20SSaX2pj4JngOKgTpPV2znCs
ufLJy5ZJn7xgFDxGf/Worjth6Le3Bcoydcr1Ncg7O68vK/MG9qdmSmg/H7DS1O3WLQFtyJ3ZhZ2P
2PXL3tcSDhoczBCVJUsCdTAyjzjrRrzmoxLXrCauYdYHj01UMfKPoXpQe8cOKTK2dhOg5GnfVQNK
61Kbh91wjjbS+azllhaXFw6GLjbnDbz79yf7ey7ApqepTEPeIiNADP235TX0ljAj+gSf98qybIN+
PCuBE/KZ0nTBaxLZJL3b//17wYNZuP8/4EC4J8yRYSMVTuSBD/NbxDOx32K1j/a597LVCOMgTyuk
oRKEfhv6MD2lTwNUKiIcWNYpmpP0BCknUx/srRHiO9Ra9p0IWst4twaQBpDVNAT12fs6e8tyVNQ+
Y1wGfdlmR7p/bNtDluE39NSmwbSYsAOzzMX8uTd1J5ZJ7wFP5wK4pngupqHHn6KiaFpKzULQsFWR
Mgocxe5YjwSiKJMtxsyDbnS+78CWwsAPCdapilZrvNRgQp2gVum8+klZUCfwkI7szn6jQ14odVq8
0gle5Zp4HMaBawydPCXjCtvmobGTFRl6xm+j5HkyaQGlR3ST67qIK08KlV+KJaqSJ0ufEJQHXgSN
+SiTsY6W56Xt6KqSNomV9QOcuabybhnp2C9Xs2OPzEdnSoQhT4xeabQHrapwNv5YFvAvdeicFmoB
c8WFMr64E4aw9N1U1C7FGbsjkqKLCBE0NE/TEvardvHolyI9iREBvc/h1BOnynzQRxZTJVHwHbwo
yy9pkUwNwniyYhMf26af5jBet06y8IES+RJvNnIyQmMhhT2Ocxc06aF3liytDqT0We5cUf9dhvZL
Sk2WO/dmE1H0vqwqz0UD3KcCs4OvMtTybciQFH2PEAQIr0PdWlZ6kAyzD9mhthm2Dw57+7m/BQkR
ZgMvpJXJsMhHRCQ0/rfBrntPPtoa2gavlMjTNwkQ9LgqnQj1stZI1jhwUHXkNWi0lDHAUjv+2DqB
aV6xPLPAnzhE/QXYvj1OjmJOrcUmNf+vdJty8dc9xkkO0YHBKOhqVJIUHr8eHmztihHS2ruOKhPO
GBd1lKr8ixUkAY3dEgOEO8iWkCoz+GFVEbVIJyx2EtxNBb18LCdmIR9UTxQ81uB7j9PU12C5g5V+
KQq8IQ+RW6bTkx2UXXfIZte/N3kG6HQjwuKm8j5sZtig8oCKIVLVQ8v/yy6lLQ31IZdQzu6NGtj2
gqxQLeDIi/Et6eSSnx1PTCUu8Vb7iXJJqFMD3FkcUK4lMa2Vb09XpBFgKisniVAPTdKgP4h+DlDi
sXo5Ww9RVNXPRkDqEJteynobSnzKpzD1cFzPwhoXWk9F96k3Mhbo5lXwSHGBBhkm8XXIzcrgc4GQ
0NPQuuOEmo1jf0NTTNwXs9f5tN6D/LktowENF2G9zmgGY0fZvvlZ1rwali2fC9eYrXjtXYHoup2a
STmCV2d01h8bjis7PM6eu4rokDtt2ZmP4HHGj2hMnQsNuvK4JNl6qmsWa+B14R33aoHdUGTHin7A
F9xRkISI3AGkOVof+zVxUUgvguWrWbjruW9cF6k7q+g+jKKpPyI70j6lMl3Pcum9T31oOJcEL6OT
ymvdivM8XA8SCYHVzbCRWaFBA0EFT7Dy0ruajvwXs/a8vxY7zL4mXd++LEabPKbg59eia5GgRiCf
IWihoF7n03rycZzg6Fvz+Wo6/fCgcjF/UHZnndapzU8yd21w9xEKNTSs5UcdTvJzAy3oY+ma/T0o
e/Y8BSazsEabN6eibNcHcymiz8DGxb2VJt7H0F5RnMihI8QyLcIHc8jdr4U3tF8j+jIXeBvGYfTa
5M5rh5rTpPJLrU1voFIxhO6dO/rV57qfKoXccksDYxmNt9QW6hGtOnFgIKf/bDFbeZzq1rlMSOg8
2U7KPP86rj9lm6j31BdgeEtiHNUo27hbE+vdogVwF6hF3iFRunxYbaN/8lOEoCxaa9eMiaEYtYrl
oahFmB9Eq9yPUG3C+QRRp+JbmH8zwAce6tpFjpiJouAcFjL5Xyjn1wglyneL4+1SLnmEl4ZjxF3v
EQ+FNL+4BOCTMUsE2dMguHNWocDXO24gLX3vS0jdSYo9IW5yVKGq3oYy96C4N7l6ZGmKw4j7JfvE
1rL+oOqxGUrrMQWIepuFa9w3dhseUKSOrh7h5EUp0cScmdUrWBQaiuuYv2WVFEi82NX8sYFCf0j0
yH1U0suIp2l0+kM5FdU7AbV0Yps/8piDR+KpCuktZmiy+RMrt+HsrXV+lcy7EjOyVb7QY+tfGNFy
4hUm0GWAAhqHs1N99ifR2HFSKkvKgyHGDAknJgRmRLjSsvvLCvrqOaM/eDKmcsTrYER4Nk4lig3A
G69TTkNrHtQfaJsyqFda37EOefWLcoa8JuezMQTysEaMCGM6VhtXq0cs4TFyk/KOGyucA+2a+pmM
Aq2PgtpoPDaNzZGcYSWQxYibE14rF9KnbeXmW2sY82GKPKjEbm38ZcCizBhzEi7zZaYofvhMZN/l
meE+qHVpvkWlMu5l3o9sLnd+Sl1nuh9El9dx5XvlkQq4+Wvi7HiwFs//Sp+leSmTxkRtKJP92V8m
/9W2urI94qTd3ge9F0A3JQn8aWRlxrjHUPfgADYk21PmdeKpmR2sEDCHqY+19IIqjoIoycI/3XIK
D3bXLnS3eML3MNVwzlJMhmar331SdCFOKDlk4jwiTvMplVBL4iosE25IEUtgAXwibTdeLJoYP5Wz
EH4i4TzCh8hFzIM37ye4wniEDuUXgH4vnuc1fEsclX6Vqdl0sYL0usY8hfqzFeXeOZ8taIUiaYtL
qkLxzSX7vwuMJXt3O6e7ukkfgJxM2WHwV7uIZ+zG2ZqMnJ3pUDX3wsZKCDCe9oIrk2MuavEjxC/h
UGCq9tJaKoI67aZ3+HTNh2Ls+hM4bfpQrmP90IjlmQv/nnd++b1ZLURSU9pcDJEQuxunP7XhKvhX
Xh3dS7fHiyNA4WkRXnt2miktY28S9TH3DO/RrdGlCGrzGxic+zDLGbe3jCBUDph5xgZ7F6/DuvgT
bYUM8pqnuriUfXRXu2PLWEGP1x6LXjwbKQLNHMLqU9XO452PXz26QK17mZYluXP57vwYjK7xKQvH
ke5UFRnFec6lYKoyDbP8p0EKzlx5l/g0IlYRUlHK1dLYglgbDbT5Er2up3olURMHAUWOLNKOUpEO
Hxos4jRYeKtA62akIN7hib0W6iY0epxPQ9jpHo8koMCM2Uq0sJcZtU5WWnT4Tz3tqyLC/S2dVvEa
FKzl/phDYuaveBv2TXKlS6XghsOjJdgOVWzWg3bKtnp6kK+z6NPmj8SLypk5zhsTLlornPpI+8Mm
v0aVV7nf2Zsab5yNnl72oSuhZRyXYRzXJ3giaXvXJoZRg2Kn9VLH7Dq/es7LoWd+PY28Pj8NEN2z
k9G1DhYpRqVbcEm1hD9NOAPJPZxLq3ywXUmKZ0DQnc5N4NbVizs1Sf5n76UKzSID2E18ohudWNah
rmVhmw8AtLPnX8Ck0kbEA5wI2DoTDNDllPhV5j/OyHdX8bokEHrPyZRzcMUU6V4HvDbTfii2YjfH
bCU7Dij4ZkfYavxv5pOoUZt1rZcopgQp+58wZuTQxz0eyt6Pv5tVdh3S2HRA8+5HGu1LHGJ0itdr
4pTFoXfl6r9NBb5OaF2upoS2jXfWx51WinmBbk8wvVKtr1uFHNVrE1KDZDzGIBut7n9UTZrzby6T
Lhdmr9SgmkReCCrIlhoL09C47c4KKuWE23oc6ijwsreadh5VlLioQJwSh8OvfSaXYglPFFrU9EzE
azTdGey1zA9raDDJeqETUPOdYnR4FMZKq/GKACpJu2RSGpz7lvZXhaPZyEsDsSA/s851NU+HCTyg
bIaCH2AF69/RcdWspZ29rLAopATNzEl3Bc2Co+NlqyPqudLMbM3zmP9GFBtRgQhcqYIweLyaGywb
ZDgSAsG3OE2qeLsayQxjd6426L+jpOPDt/K8Hy39sW1aJlWhg084W9csGL3RuBYu49OgZAGPRl2o
vpfW/pCMqlX/6/FmaPMH6uJmBGKe6FTU9ys+E/N4sNFfrxHqgEjJPt1I17jb2B3UkmwObyxVFdRs
RkBDfakJ4B9vakksAz4bHANlo4rkSQvudOl6+vGoJmS1XZpsSodrKuCWvA4dihD52TeRdX+R2xBK
b5cZsEpqUx1g7K7Vg3/CQEwVsHYSVl7A6vHz9RXqKbBKE6U9SroU6/TKYwXlvYOeP+FxjQ+zagf8
ePZn1WD2MZunNjBGm/YZaDtvbONJj7a9Zu5PQzEBmcWVQ05knvKmx6v7Gk3pbflUrYaOsNfzb28E
08As9rbXtPcAU3cK6byXiVqZBhizSL9QbFnXwnvMpYumUlwKOldoQjgljyD3G40fUVnonqE/Z8xk
XjDdHHJyn0S2C9kg7WMuBVGGgmdsVeHCv546A9iXSQm99LQxffO+bJ1OBNH7QB1MVm1aamCqcb/S
MtT95Z5mjpkdRE7l8DSn3hwONHjRoUd3aen1bVu5q9s+fjOO1CgzMuhmHRf0X+bXmf5B964Wk0GW
BxUJwn/hl3rmoWMiTnAVE33n7pB4q8apMtj5+QVPKd/4ioGSZX4xoaDUROcoy8vzwIDJ+I2qTbyh
DZt6E4ppkSU/mVkxwJmZnZZ92LVN7r5miHMWj8KHnXhuqcf8ly2W9H6r+8zqdsL0aWmIN8NDnh7n
jt4EcjVGE5hh23TNKPQzHxoEgvn/Bdwp9EdHoZ+oXaAA/bo3b2UPD52s91a8M8nFkqzqQVM4IMiA
wMUgND7gXSg8Wz617Frv2xTQWPqOxhooj/QYiIUbY8PK9v7etDdK2oYCdYnpcdohNZFpjKB27f5T
uaikfKttWhn4PizDvJjx4sIIEuiK6Xi0Q5b57Qc4OPpyCgNU/bKUYbQcEvyzGBHc8N8ab9HmfXtE
rZR12cReEi4Ja4Hycf4zEBUfaXVI0yL1s5Eb11s7ecMotxNbovTAk6rQbuG0x5BYn/OYgzn8ckpM
3YCcqpSgtsXo/ZhHvAmYNZKL87PzlItsmglbf36JqNf599WGU49uymO1l0AzYgsYHPZ8xFWz8L5s
oQxmTc6e2FHQAveN9bXbABTdRjX6D9PS6kBT9p3+i9hiANgmTJ0074Nd640E7qUvESsuvVPrkS7U
8CGh0cDltyXNDhUnTBDzE8CP5hdvywTYTP8NdPb1zW9cGii7+vhZJ8p14ldlz0pd89EuZyj7WyD2
TWNhH+B1pRtoFgNwGn0cE8HFRdGiX9e2XnqX0RFxycU0ERIdpsfWV39cIGNeMQ1jUuaQSkwwS/J5
JXM/OBVeuRBOmjnH/vc6+oWOBECDOudJC5PYt9SIHxOTOH1UwzmnBJG+9H29wLd+7d98jCXRPdGR
CVui7RSK23zQbfMEmakX/f6yfeg966vSZGIVN22qw40/Jfp4FmWniQ6BQsOLTKLSfCcGI25cI5qB
BnzKFQYpye9A2H9qb2ccWufj0N4louoc3BMZeiiKe+DPsGkvVse4VvWxivx5prPtlyz+Cyi/NOH/
BqA5470ssxFWyQgFAfrd4MLTRLUMqwnh53fMyGkyDR5FOog5bqt3OUN3erX6qGNk9aGoirr/3hWW
Asp2WrfEP8YzxyWYzpa16FaBSQuZJ+OU8Pze1RhpojkjGrrjTTfH4Q80w7lT/3bkGEV3O79vIH9K
AcrFlehGEa42esDegKBrqR/g3CDtSk3nC46rRI4er3Pvqm+HF7/3nTR2QHDJbvfm3qjWKsiwFTFN
Vd8B8tN0wj9+drk0xE94P25vrobjxWVZuMVxNCgpj9PUMET0DKmb0vSYOtkcSNRCb8ReWnZ6xDIK
g8iwv+Z9uBbRGWtGvU32Zbxt6Cob8Qx/SoUxr9mhoXWvmm+dNU/NSTHNMC7Hhokd7mLPdBjY1+9f
YNfl9O9Q9m/L69ZwSVOFOuJVRqNHauIHneBZmW6ro24GMZbEbPbdka1Q++BAL2LLws0m0Yzr/QHK
NtdkTFzV9cmEJ6reoXmSweqIxUwT3TvWG1ugQ6yBR9gaOUQ4OtZdnlCnILoJv/dGxhncaEqClxYj
Ve6agVh9ULUcpXxiWVCqwg6oXP0ZYvRnPnhvDBkd/ITsuHMiqPX1JqhNxiLBI12T0uVFyqbpnGdF
0sd0Z5Ub+jMtjmD+XarKFccoRH4GIPoZUi0fPWqLl/G+L6mh1LVCdKSFgd+THdHVmW2YyIdVFkgi
ntpqnUrmpG5p9N6kr1qIdOF1NBwRdNrr99b5YpqLN2Ft81ENSQsXpm5p8HYijtGoD2/DA//xjn0I
mQfT+q7U3fWFYZYarvniSrt9k9LTZJg93QWEQfTrRG8rG66qXbDWfN7XTFvbutE7QVrml33SQv+8
hBEqOctF0E+UT9noVKRjZGV628x2wj4IC1Nvsv25QhHUOyVigIMLmZNe715zIpx4cdQF/oDDcQuR
tzxsZxtQuibSLYCR0ylwzLVSx9zHp436fNt0e+UBW/VWgHR0i6972Bdb29zbeJkQo02uai+TFug+
GMFVhWjpf2wVKbP2uo/Y51nPM9sO+X1PM9C43Ts1MVJAW2NusQLmJ+KR8a1RnhWiGMN1D9hGMWmS
Kjcv4FXv429lnWesgyEHY1guwcZVChdHR9295ecuzKXQVtyOtq3FXPVKHzl7yM632D6Y2cAv83G6
5Q55rvhp6z8LDI3ryzCtzmThZaKz7zB3V77EqB1Gfx4yYRH5TgP6M9zM9qC3JReRGfKMtl/Z6Obr
E4BHwAGAVjYv4u+3iU0PTyptO/3yTXcGb4qhknPWr52hoynG9ToraiuO6gUUbzB87IIiZBNi08Ff
pY5TOlvA+EBOZooLzI2Qsr0Hpw/1Sze9jlO+DVN96cGtqbqn3PtBjvqWrtciOeuzeP8J+EC/op1y
QEGoD2ir8zKkmjH/SD2oCtumaLpa3//fVMKs12c/Vqp6uVbzrLOYzGp1+GhhXeqMGayF79tHR/ZL
7usZCKCtlD6FnazN1tcsgdanmVQ0+UihbikQNF291LdzwN8ADTDK21DaujIAcO6cRj973CSRC2RC
39WzAZR2etGaW0mqGbo879RWuhLbpzBHK9A4SrRMNSF3bRlYhoYBvAHVaBxm/TKWbXBSgWDzRTtp
sQwDzXDZi97VK3RltnNyh6HW+3OAKc9n6nJNX8sth9mzxTGaYEIeNflHeXGfTBCY4n1vUauSjTMR
oYN/f8vYNtAmdUIQzIMHOhikMYodindDMXrDhraVXBosW4qkW/9+mm3dj9yS3f3oZricLNNt51s1
lDEARRq2MXE3pmQDqsGC8W/QiH2j3tIm0EnelkV17kRYKrdMP3VrzazLt0gh82GswUZJbxLj3trm
0Oyyo/4ZUkb2dPDeuHKOd0PLtrW+Pzsjc2a+eINb9h235ZqzuJHbkUy77YltcNXpF3oRoP46fUoS
5kLfK9lQ8gcEMv16N7jLFPUNJtvO0J0vbNZyrEjwZGesHcSEbJDPyDCb63RozBnndFr87EWVt5rl
sKXa9BQ6Fo+3PTlnDevlDJ/axH4Jooc+CYNp0mmsZRe6Ubzjc56T3/ZFgpf2K3+fi+UgXzT/K2Wo
6NWJch28dwoE41w6vm+lQLhF+f1RQ7e6QRiN1G898DvNpQnQ7bHnpxA40XcP/jaCbdnk8t4RzG7m
jHO3Sny1TcVa3AMQlGidl2z411YAGTPEgSctuYmcHA3nSYX7IVJ2tmgkva1b+fsLKdsW5W3TmfSG
TBLWXj+izpFuUFT094poqU7QDXU5sCOae0lPLaZz/f0nZLM1vLCPJMtt5pdtSpW4LYcdwmQeeWnb
V+jE0HfLlnnrlx1yqdO8D2wozLN5znAk4JHShbtRVW4LeSOdMYmIM9xdtcUq8EqyWPJEpLGFY3Td
Zdsp7RxO3VNJ+FYvlO3lgrI0DNAwdjFoad4hX+oZKWj0AZtiPx23gYadSN0xA0owEA1linXys25t
x3urLslVzlC025GRDiPtWKR73AsmRLLEZQ5Lfeo1rqnTntavdYZT33K0lP1K/NvxFEVRx+sb21Fv
1b1UcvxJpw0I6+tJhj1YBVWiB/TapNDFabVlbsoLNWs+K8F71NWGEslPDJY52GaOE2NtNVnmTQ1B
2o0e5bO8MMOj2fMT1LdO+9V2zDJQYPqzoSci6SzrG0r9BeOCCxzg0FqOYHSaf1dYgcO+hBnHD74u
/nl8bBK9SG/geKhgC787q2FxV2xizc2fbsDhhuXtpFp520RBDvRPUdq4Os1oTV8nx5rnrLdgWdHe
OfaTUfNH0xDKOKi7SSfJTN1oHhB46crtemurl8KemIwbwL5umdRODCdzvH2mCXUIFHJLa6oy0DHV
YPQdTVlGLuA2HRy6NgAJqw/KdDd5fUDquNeSDm1hLmXLD6xbiT8MVmmnp6yx3F5+Bl3WiTncLL0E
QoyLuDlroTECGMoUfJjA8mDOCTrAjbSWFYbf8Bf7G6fRhWbKfW81s3LdG0ImGaNUsYBhQ3DfmVb7
pgjSkiZDBKbL7nMZ7uTBwFHVuV/nNrq0bbHKDdiZ0ukkedUGQGwHwD6oE81dOpzKsG9FR9/ploru
kLO5gcc+HE1eYbZlfeEcVDQxGITQxUCF4xN16KxKjSlMg5O65kFNVbeMr0YGbZSKMqwsa75fLcY/
yJn8EuvCp5qpl9l77iNMsSKNla5JXWQ/59YkhzoHsrLzTz16aoV/yWx/9NAfS6x0QIIngHpF7t6u
w3DI/X5pfjJ/o8b5aDD0iN2zM2Cs5NegcMMfHRMUqCAzMJfloEErzvWnOgEcuqxjgFuDRqOspy4P
quZhbCBFZZeooBL/uGTjoIWoKlW8Viyj/3kGbd3Xwh+i8ewjHEdfMy8XHzge6tS9mprhT7NuWvUc
WE5SXpKR64NF5XRLri7SDo3FO+EU6V7A/LLh49yyts6lnSzmpVbmtD7Yaz4iwJbbMIOUHZAXpIRf
6CZuhNNl70XecDSnGf4XnubTfeuNvgKpob6zHvGexxSghtzln3vaekMc2eukHkJRrGZ7druo78EA
Qwb4xNktJoMpUKEQ5TVgDxcLeay9JCwxWoCzgZ8D1rsOg3pm5eAeZRnKp3u4ttMCCynMMdyIaWG3
7nxQgomgPBZoLvmUmsQH/2iyDTA4C9FbfUzI8G0S7UyOQXRvtQIx59gZLROv1ZGe1fQB28+yfVNe
BaslGjNverCsYFDnxV0wgF1FYd6JHMV01l47fqjRgqivDYin+xQVnTIePDUO9feQoFx/r03fz8E4
DbdfvpUrfCd5YrJ2dHGuHxgOBBk2w+DdL1DBMCAq/pHxJtLkbxy7dlKaRCwR3drwOLizHqzRXwWr
OnDUN+1ZxxJvh5k8fB+u2YDDwEpT4xFmjO1/hCTDk4lbN1oULgqdJEOAEkzNIJbSc+9wza4xVqav
CYqqtrBsQGJhq9bbQbEnyluKb99CkVBoA/0RgrRTHGwpkkqRnV0u+Q1htbcRrI2/idktGPCMn4R8
ohNICrV9CO5s+tAg+uncfPsUy7opnjB7RTti72XkpTOF7DD2QbIc59tY3X7gbJDn1iJNHLu5xWYH
ttkBCrXe+IMCyhaHoMwNBkrsdfW+JmODE9eH2V0rIzzJ3iLdFCLQJdJqwfT72TFNpipaajoR/X81
m06OZqshunWhUupLX4dJ9S566Sc/JiSOhutsjmb50he9q/63tTe3u1123KnT2h+TEVHwiWUSIMxe
YfY2zaCueGW6SS4nBbo4hGfmRdPZOTpZog9qufW9xC0rSblJGw4H4iqievSGvA4vC/J2YZyYNiOj
HxprSIvlgmBNz9TM4FFOdOhrWFNHSjFU8oPvVMn650DigV6XD5FyPEgpwQtOTi9RxHqzCzu3jIvq
CmRRx09Bx8cHCDkSwKLxIQO98kfjwIGfKSRVj0KkTF0fmho3jnguTa8+DW3TNjGkKds4NFSc6rme
I0zwKILSnBTAC+VZkBZhpDtlxSXqF+hJkLwDTFnMzP4sTaMxn/E87I5Mjs20jIriL9kL77UPa3IP
Oxy+c/j09TFYTRqwkZf0R5iHfGkRZP0DICLM2Hasp5+jAIO7o65TnzDZ8p9LaNL3YT6Op2GK2Ig9
+LL7o0Z+ozp2TFa3l2ws5u+tC6UsDld7EoepG+r3Jq3t9nGBA3QMAFM+t17YPkyYYT4ysOLQ+J2Y
rjrbXtk8+96cvy9MXn8guhW85dzNAOVK52tWt8ZdkBDnPVct451dWFPL3ILjmN+Y+SKqFbXq/yAN
Se87Xj5esokanAC3XeiBNuj3DzDo+R7blQzWR4sGf0wLgocn685+pwUhvSebMq+Cyzzl1iGjod3E
COiCkFv+6F/SgEwvFrS1/KvnrUIyDxumOWQwu3tfK7xq4tRGPDvGbIdePKXLdFhs4cZ2bjZPUKzp
Fld4CcpjToFE365R16DEIjK3nOkxT1Lrz9BUwbdhssR3kcnhHuaj8wEvV1ZZ5CfnqLZN+EuFe29P
nQwPPbj9HNtm0t6j6aj+4mzjZBjXTv5lWKhUZyn7jlLvK/Zr2Z8J9RByKlP+EWtWzKjtPrpgjDOf
HWc2v9mlnb0mwvMPXiTFeTLW5FOWw90JsHSmEzvY88Go/Oa5ch1CqjCy8QjDrmwuThmIH7MyrM9d
2GXzSY5m+x3uK2JoMBsBAN0Mi9+4loiwekltzYemnZKYGa2FTrUh6+ewx4DpZA52WR7HqHIgmppi
vAR+ML3lEbXYEa8a82C7yQgxBMMElJWNJ48z/mFNB3iD2eJ9tip0z4ccq/WknKOrV5UISw79NCVX
uJtDeiIuqc/hsKSPqmFc41STwb1MqZh+2HWf0oAekfKOnbzukKvtMuezo8f2P5qzNsGij4GTX53O
yRNfW8RdmqxnJobK74WB+PqXPByRrOFfnEPdH/if4Mx8Q2uuSu5MY/SHr9ECmcl7Cqc5CLIT5fca
+V+8kDc04xbMXxHppXAzCL0oPdBANdTBwFFiAMVQieWc1gUomInyvpw/rDKV/ZM9QcO/Qs+prSs4
mrTel6WP5vwQRlPovaYjjA7tQsduI7bYQMZkdui/lB9M0y4lBz8b0sSrVC6GH61OzJeWXf5BoEsL
k6jXja5V3ENX5nwv2mU6llUyBE+zmZt0ohWTd4/TktLarUZEUi72ItaPqm+nIDal130UeeQqpNot
tPpaCIpQ0uLcpMF+tzCrhvQsTuM8aYcD/kLcbcwry6BwPuZD4a3/Ofb8K09Yiy65Huw/Zk2gmUA4
+ZUnbNeLgAut5o+LYUZz/ZPGWtcUr0gVlfLtP4j/v/kueTY8ZJvFiRcvE6daneXXL3Pn1Q4VA24f
M0Xvp4klOiSEhcyrayKll7njrO5Ku7cZh5OeCWEj/T/Ozms3jiRLw68y6PucTW+A7bkoR0+Ksi3d
JKgedXrv8+n3i4rQQkw2yJ0FBtOgyKrKygxz4j+/iWojdWg6D+I/dR5W/KFq9Fl6O0P5PztojYa1
iL87/+CEWCs6e9p1uEiiubBd95trDhb/lqL54VyEOYjo2gy9Dd/txkYaCpW8n5jv+K3TsOAvEaqt
XIYPuqF9MBjWAnNKh2H8zCqUrvNxTGEswm7U7NYKd4m8UA2Eli/mzdjEarsw0r38PoZAw4Asptbh
7et11cXX41gx40w8Wx0G/sqGq8RmqA1PThsFQf6plDdiYhefly/MXVIO9qbRD7r1gI/amCzXBaQ0
dzgxuh27uXHnDguxxwjzEb4AEZdwc49um8Xcs6QrxEE7Dti6y53RjHDWLhc9FaetETWtW1w6c1fb
Mb5PVP4Rw1PX8wQeHOAoLuZm2AwZOfdTwwNbkdkm+lWMKG8N3+W2mxjpqRrtPFz3dJ6Ej0qcT1h0
PIbUJ+63MPfFpSRW6eCmlHHUR22hngGTqhNvWdtUNO8VpBTomYtFSZlNXVwfwaxXy7qHXO/X8z7g
HIoFqZUZK6Wh1kbi+lY8M3DFNAIof+GVOATzyLVZfGVMNCaORWSzrhQWcZcJgNZHDcg3x5wXqzU5
hDR0izwYszSCQTuGPcV5caiwqmrjY13ZDTfRNkgJqy67IbcK7TILaeqUZI+c7YQ40xl6eJ1g8+3N
l9jq4a90iAbN66I7fTTxr9u1YQTp9SJbknHw7mu9mef4Iw3Tgv6J6WYOn15jmsLdqL2BRuIVnl6M
zKukpiUHT9/nzKHvRmsJ7H2f1L1x20lTSPz3EDDezX3aOJcaUfXRMTLtzk0eUth6XCOJsTUvfWM+
nwVhvwh5kMkjIGJWWzZaAxeznOfzmU/HNHLOq3cjujy7pUNuWppFBx7efblrympGyGn1LlD3Xnr2
gSUIDNeXNp5LPBhOgXNIZQr7QdOt4et/1jAx9KM/ppChA6pAVmeANlv6l2Q0cMgvgxNehHsYJWVX
ERina6W3Y5OgMLqa607n7o7YQ9GxwtFRfJ6ySYUdQ+twdkJAQ5gAwmN1lcauDm/B38VoAlx7Z9Da
N5pjbMPfLXa1OWKYR2JchqcWkCwFJwTs2kJK44eLOEcV2ijMVfK+Ey4zyuetScscT7YdTLeAsZzS
3w69I15mU93f5IZhFcHPFy5mThTGPuwZsQWFzOgtzQFhDUFbByrJ3i84RXhT+UV1OCKrHov6NFtO
MaLS0Rj1+C1KwWVswvaHGnE2DFL+jMhdhAcj8FHYPqx1hqcpVOWsxsewTIMGCBTey9kMp+ripCpu
qFNn8poXdxFSTqXo7NYo1JJ+rxWDAENYOwtMq10XdRWjsw7GHisfpeZU3oGp09lr845OlGM0lwhn
hJeR2SwCi0RybLXhwRnxl4AzgbUML1cWiKF5lpI25OTxEJXPk1J1mTXiRdpltJFJV+U4g4crdVHj
pl87Q5w7j2bncOS6KjPkhJ6g+QtELGDILRYOvhr2dm/ESjyX8OLYoFvECvA5mNt5hmkJwdsvVi2t
0GlmUbDeR2i6ABTrs6pfsgJVU0C5VigqxusT8blmlY83AXgYroAugQOCt5mGI13fqrD9+V51txUN
SklXZe89SgqB0aEKEpNKAYL/F6n/JgGLq4Feg3WugYk7onhrqyvEGMUTbcCUx2YPCwygnkFKpZiw
Guik7hadlU7Hsa4q5kowCa1YnNDqxS9LchjUaMWQKfTSdzHlROHuYl7HdA3omTDvJCCAhk9oxgYa
N8nTUPlRMb7PslJsacqIK2EDdotjxMJNTf36XceOhMf6bPkDXGYXJICMMg5YZaOXtWkZI3/to4cy
qnAYO1KO+GV1ohRh2B87DCGYF0AQYqeBDeoiKpRLeFDFdYGNe8cOVlyZfpM5KYSDYRhueyr48hS6
TsprmS4zBtfWCAlYthkVSi97MkMOj8E5KLaUZJx6NuageGUGhfhUxWUwwlTgvxwDaX3sOw0h73IE
UhJ3yh9a8SbuUOMTQKJ8bNBeMHuQksIuMoHss3kAuJaydZhiPYCdHIbDBpMKcpDocDZTKlqO2qQL
1oYiXELZARVKdZb4B5ZH0+l2JVYFy60JRQWs2ScriA08H/Oz/e0cWQvUbA4SybCjI4vK+aTYXrIp
rE8xfguPFrSk7AO6TshRUok7FyD+dC6EeaUY2pnVrqcBpmxVHANpW571Z9rfMmjdRNHFY6hvpHRY
wVHIDkVDwC9aN6mux4n9rjrQ8wBjqrTMj6d5p69YSgw30VoIWkWXBoJPInnytl6fWVQ5jFroEbLJ
rxiHbUNPJrvsjDyCKqr4oP1sihavbLOnFYFNl2VAB3m5TmX3WV2w1xiChNK3vrDo7hbSdVo4d5no
WOVmF3r2rijzvBXtoWoJ7b3D6VgjEDblND88OKTsReOFD6SQmyeziW26aVNmi0YKKoWI6yLOTNy8
oQTc8B6zJJujYQ8nYyE020wASzA7qjxBku3hODMD0wiMI3pMxqmO2isTDkJ8FeNaTmFXA1bzAYpc
o2t2yqvZ8RvqwSWgA/B9rJnLHHGIFtHoialukapifGssadktXlhyYUbFpmpeqptpavjitEd/MOq1
P7Gk+yzw7aqJElC93NSHjr6mxS/tZI9CIKoeQq/F9i+Q9ESCekSDRTWs+lnY/OznHi7V+yUpZlBd
SUVQ7Sc2SYaY+kF1fnAcEE+9t2foTIqWrrysMkODtH5pmP7az/BtjbqOwdxwsPlQ42eSUUM7JumT
H0LXFO6GlcZp27pxIoPO3l7xotVk1JPSG71d3USGVh8UJzeSD4xGrBhksq8S1Fhz0ZEbcjCCZdfJ
sTbAkr2alrQrfFQJosGzcE6PztWIqhJy2XmXWOKY6yxIJ7x2EqfZd4hsww+IIY1Jv27MEvz/SGdq
mkAb0MEwdJyprUvyL4YZZ+T7qipF4xA9ftaDuLrDUH7Pz8vIxMhiPWDvr2fEYcnqidhg9ug19JHC
UbXMF14c4fK/S/Qizq5rU7Ob+pBXejQG9z2HUMZkz3mdZSj13Qa+0yQ9OrQFCgHT22Es4owgu8YS
stX7FQFfvFd2WeNI6hNUJyw4KCUUK4CNS9QEBgsKTl9l0IiVepkG0d1TvLesHQTTVMuIWaA/znfk
ItTdW3ut4ytHdaMPV2vd+e9waXQixAFSjSBZ1tO5ziQvRrwSgsxgUGDSgzH1Y2XkEIjw7g5HuIGF
1iYlqk7ydNP6A0rWlRdk1Bk0orNhiLzhmka+IG4IgxauO6TRwnfKwlbQP5Q/lGp1W2VuCLqeOwdP
Nvr07M42M0ihu95dmmjcpV2HBvjRmOPRHdO9mmaTNoWCbphM7YqqbTenbWLk7wClYlwBYMGc5/Lo
Q8os7pIqEyPYcjvBWk2kVABrbR1D7Nbk6Kb/tGX2Vvz1zAxMOhbM1noMBDWqSnV2opOX4DgQBTtJ
omqcAY4lgkfB68nQY7AURHxblhDZf2gT5ArZjUsdDlcmDGCieo8NyfZc0cyBmd+pctyWVBsN9Hsk
hnY009z/vBA5jX5NUirU9Sg6jCSMzKFm19Z79bwICBUNBAN1KediYABNLNgxpnAiUoFQbLs/0W/D
muNOGcnSuWzEMimPg2MdiwE6lbT6rPdVgLrSobmOsfWPSFBBv4eJ8A+DPQfJej67h8SS+Q3LU6wx
nWRhsjyfbzJLP21mPwU8n26LgkZVelnPnHPxTfdcVBR7h8C6abpwpV6hloz4SKRxfM/BAxAQBGvl
h/hIn8Vf6gsqlqAlqV4g9aLdLck8aomRhCtF+VDbZSipbo4Z2Nx9tWIXwyQIMvrZrhCJjyhACG0S
swi+oy56/y7m0+W7URLAR9lNpWEmDiy5bEgo+cwgN0hFNUD4LOoXRVRKWpT3uCfhjsATUohBk9UC
2HHKUbR/Iqc/82xc2GRM87QQTWIlSKO/JFq6mVwB17N9S3tm+yquzmojambUed6Ce3sz0PrxT6bm
i869I1VAqppPzUjQ/EFeoQ+b09kYspAsMqUsyTFsYNsnYViQnJVIRjKwkznsQueqY9XU52sTB1A8
LdX3VoNI3YyfJBY4wOLhSBqyalCrr68W4cBjGlq7nkKMuKpowkqJMsbA0NzbxyYms1fmCPuRvFZZ
/JWDs7JxL46ZFtXN3Neal986LSIsmqtOE04/MMRhsTzkIXwYm5NV47nfbP6RWlZiaM0YWlZ3zFq6
Pd6u7B2BbkVU/rwKrFlAab5vCPyCceHzsnAQj8aMfIChzvJpsO3WooWLsBt9b+JDGNUtYIVdhWUf
3KH2TQV+BZeOd2ydXPwnsBMMbrGhscP5yRppAnybsJ3miynyHNgul4hZGJfbWwMHbHjDVJrmzk3N
rP6E8ELgdFbrC5yuW2cxciVsRAHR8YMCiiIJA9ZtLSblkNBh0iCvhIKh//p5YnuagO2BHQqWPxya
OM2dTxu/HCLjvG0RUFTW/ZSwzVRMCG8maVLSNGw57jpzWqsEJ94xtdIbOe5ev4oXZ0lhAIpnnQv+
xVPZerN4eqy5ttaZd/5Zv6SmThYzGqCNns+16TyKCkSRCAupkYhlZfT6xWyMYkwDyzycf+C7kOjO
RrHBi9Ow6pvOCce72JmFXGseqbJYYc4kUaXYgBOA5v/i9Q9+8SwcuugGEYM2sDg5oZsTtdn7JJkE
9nDnyA3XQzSNU7cyVBvsBndBVQuMyRCgK4tk3f76ZWy/P8CCWN09g5vAQXrrHUi/a+wi5PN3hFRI
1DIW7HsgbMFt49gvZBrqLP/6J29S1DFCo41Pu8PGGI2ugLc92yKoirB+DrXbWGpCci/k3HMkQ69u
EZGe9VOKnDRLtc7gN2I9VhwZG7Zn+NGooTW8ZQm1HaKm4XEvHICKwLAsZwt3uBBMMFQL9Vt1wlZs
tv6sFZRDVEodfrL3pFrGkSqYN+6TGAm/YgAmxm2BTWaAgXVawDVtoB8Xeb1j08Wlb2SvWDhLwhZ8
tlF/v0R9Yw8Ic3tPf8ozV8DRhtWWxlMzYJAf7YOGvARg6MgLULs4Yw6T5A0r/E20gQMmBQnCJPLG
hYFMj2BzheQ6U7Q3q307Fb6/xl8sp+3r7ArXDxuvHtZzFjSP3K/iD5M7BCYzj2lAkdNHM7yC+9nD
DWA6loAr3vDTB2nKEWORJSa8u75RqyHBVxod0j1CrT+9fpe301HE4DrkZ5q4ozj2C8tPVs0Rb/rA
u/uZ/yInW40XCcuwlED4Z8UeeUywLI21cLjVr1+E89wklRtpWjxs32M5wmP1hUkqO9soEOnlLkXM
xlYzNl3lt3fBGOTh52ieyfbc9doCvepxZX3nuWYyxyuR3kYZnmL2fe85S51dIJTWYXSQK5g9xZpB
cIe1cztjxLzRH6g4if1aaCtzVIiEsdVkmBEIGfAs3SiIqmIzUsVoU4CuEUGje8JfXSG+VTSPcMjY
j+G7fw9cJwAJbSXhXqFtDImKtxwmQongBvpIlzK2ajx/KohNjUmTPtOFDQNj2vcpqtSC5yJh1D5E
fuAkOClZo9eOR3Byq/NLCHhpDDQ8ZguE+Qt9bLQ64hvEw1BcZFK7EfmdKKxzM45j/eg5lGb1QYed
3/fXbRPjf3vkUB/rn19/esaLMUQqBuuG7sAhQ2O33Us8n1Uatnxyp5DuWn59KhnOd9fAhOh9iDya
ctJQFV/aka7jClJsZPoSfHEBm+lrJkzqSQ9e+ElShtTXLmitVZ/0Ge+fCTqn74ZvNVIFsPjrouPS
RMW4TfRdDGxHtxa4FulqgNh6e8vZpnbKP1HExVZ5ktzgVcYNKccy+Ehn47Kzgk0u2/EIZ0V/a3Zs
LsnDN9Il/cMNXIME3q2J5gh5u/Votd16q0arG2wzLKzooM1nFeb/qzrwdHjHjkU32ROpXmebuV8K
Jnom0JJSp7hVDUVVzDWyVCNuLqFubFxsbcw3oN8t3s8SgPQ+8MkVBnp/UaplYyNsFKf6NolTj4Wm
4Bzmfvv5+bmHbfM7L+hE5y00cKF7K1XjxedbwEgw5ATIbhMQvlnSy3yJ+8U34hvloD+xIIjj1bNw
j8JwhHqhkVLl12fTiwvgMUPVdXG+pfxneX6+67kgiS7Jd901vrbn1cM+n7fU5hfBURXrssMhPrlw
YNx6X17/fPEFf50APvxI6hLh0skR88WGkM2TTWJRtNykLC7rR98f8PKKOzfkvM9Ft1p3ck0ypd4Y
5CbJnpvPpaHhBfiCUhky5jbfO3Os0VqLqr0hgCJuhnvPrqvlc1C06XqlmullZlTWl95oRVebbo04
+SjafRKaqYBCm3TgDNN52OauexIVQH9OrVkI4EN16+lviBWe3mTBGEIXJCRAo8XWArMLim71ia6q
YES8fls3pnHszQwmy7NYXTyDAJ+NMSNzZTEcbH0uLUY+WllOe1x9D93xrXCDbQ2HITRTyGbbASMQ
u+rzARTCd5pxj0hv+mDEamQHqTvJvB05dW3WYEmRjQ56LhlG4ixg898HUl1GrB2gyA3uG8PJ2T5W
nioDiohuk6/+4tAz5RC0YZ6lN5KOmpxFbbKGlNjT67f55cexRtIygnzn6RQCm1GUJo5Dt3R1riOh
3f3+U4ucj5TKvSS0v/GBL4pAtneOUSyXZEnqhMduPrLrwlm4aDTXSswkvQbmCHkqBh2TaPCIYLcx
v4kXKJEGjHoX86V7c4DwmZ9I7Qr19gZHjQz8TkFkKuHDiXQhp5Hq0fksXpbiI2wPIO8SZUjUyDtn
HfocvS7vSvfEEY4WRLWEi+ib1FKiSz0hhptynYhDGgakgpwJrlJKpqRmzjAKxYCXFKJl38dRCzDj
D5LwW04CdkpxCgYPrEJ8vR4TWS0itMIvqBsLkStSjAiePntGIgrIn3VROyarDge1oa+0J9cD/lEi
uz1jqQl13+qV4hhGooXQ6rSEtfAh6vhRRaUDFjbWg/hKzFQ+Wd6HLnUFSA07U8A3yj8DrrMQXCnK
sTy75OKw+X3BuK07+a1mR/1uarV2cS+6giSO4CptVhLQJCKg6xNuLghjJ0SfJyci8+2dvFnqWKQW
/hTncM6MCq1RCHWFkdr6WXWrAdPOcv8zCVsCkiA6Apw8e0/rpaMv6UVIXM1i7KVVrjpz+mYgbqbX
jEJwoxpw+EKI0MnkjGzKOyBfpIp3u7QT+zFHFTricwKsZlM/gZ3Vf1HH+ukO1490fpJEadgEedLv
Im43gSIFLqApgFxyHq6lIeRXmlSlwkRoy1PNtArc68Ksp+AGp8Zu+JgSWkg2DaC2Q5C9LIACYd1c
nnBm7AqacOTVRRb+JLYNOoV/YvEExYr4+B6U322Oo14L1Zcys5E+KqjKtAgTfQyZx51rYDdqHas8
I4pjxz8Bm/VZqhPRLZXoJeBFADXSIKLjj1VC6Ui/e+shytwpXw4K+VVUASTUAu1U2Gc4YEf8HRcA
RPY7kjky+77VcexBu78O2fpJSo6sBhnSjwJRH/mNcbrGzmcpxaahOwx/ApsY9mc6sePwQF5rUZsn
DK+05bNnr6hGHzA3EvJkB+E1rbfMmdYOG+N0Nbr80Mnmo4KlibsTemlccYVcX9lMeICkDFZO5a7B
GbFOK1oIHs2u9aQ60KyGgsi/Fnj6jo+en/UaDQ8J6ypRZCtXAVUqBotrJ19gpxvpoxzWgzszZbPz
xB3xsGqwwx19s6uOqN/FMJQd8lADZL+sNRNThf0oOUQSFMhIKWJgSuVgapqpo+PBTNDieqixJACY
Vl5MyhzLTTENbI/ocJ0B3DBHSAHPtA3Hey+zoglKmfJxLueYbV19UznE/MVFJ6mURVKCpwyk5FTP
/MDXvuBTOVrHQC5dquGktFdy4vRnjyr9jKir2/RTiZxiposuWUqGJVQPvijckqTkUfqqKCGVjWs4
aw/5qpH+ee6pYxA+wmxkAqHqaPoPdWHCvq0sZyzAjSWyLtsirj+L0Yi0HGHkhTLaWWfyFWiJc2eC
6CBbN0qsaUt4XZlnBaDmLIeCkNh8V8mzSujWwqhigcd0FkWEdK3RY0Mg+40RO/Gdk1TuiuZOLpRJ
GfososVcOYy7rIr1DH5toJEFuQs0GwV2IyfbJN/vbHLSWsvifyK0mqe7C1HRI1smw8uA760Os/LR
/Bzb51Wv4y6wyCvln1wpzXM9ZPitID6xyYpdQHnKyZ7xT93jWSur1KsRDrjr53FwxV+rXUI1eKUX
iVoeJJypHAKUvE0JFFu4M4zLEqe+PI+wjUuS9XPQaDhmQ6/jqD3sS60Vvi+GFO5LEQzGeDbnAaL3
xEEvlifun5lLZ7HM/w42tIrxYVqgxmNBjnCfv7ckvKB6QaUsAqWOWj0gXUpnTeyo1+R9ivoLgora
5myvp6aZ/FX0YRRCk1Vnj+lO2jMtUnyESo+uw51FmUGHROlne7mu1Kim2LQG0fbUjrAfHb2itd6L
BhsnArpIf9RSv4yicRFlgvzJkPYes/x0WbtBYhFHFEWAykgqZBxlLKhiMx5KBh9ZVILF4slUDs62
hXGXav6i3zZIrujv1OhyvrWkqsRfIjqaWH4DZmg/8hQ9mIz+yqVIVXXCaghvbIgKPJdmANJNp0xx
KyWw2xwZsZaMXQloC2nEvxDAAyQYRkGZWSfNhW1YIRE464E7+2wsZNeTaJWBTtu5v8e0L4zKgwvU
OHTHQddJhz320rBeDtvAOgfjqUpAbfck+LICXCWNOcA5JLh8LYN91CACiOnTFZa2nnIkAQwEqaNU
C7IqHNVAl4ojI1tEbaGaghgcoW1WZ1HlbKToG4FGyh4eZ9KRTdW4gyyqFLHINC3BccHVRAiIyRoS
q470x3JK06HQIlRerLNQ/QcGzNq58fyhp+nZ45opwzpaSYcNTc6N1S41sKQjr/GseFOEB+Xhbat3
pD7kHXFGEyhsIRXWipAkLa/QDAqpl85WwFV1NEaZy3I/kgo07exCFsvVSRZPrSwPlXeRajdGsrkr
3Rllu1ENTyktlZYJrixIJZzUycoWhrNLnPsYI8CF1wkNhjvJIg86dZVia8NETzRfxNTK0axcC1I5
51JBpRYWYaMFi7TtICx5V35fNlWCLCp07e+FfNjV2cGoT4npI1ovhtj2aLm66C9bYxR148cwGkun
IotAJNDlvic4SBwBRJdb0ki09KxVdmQfFCyoyGGv4bBh4vRmU03vVeN36RyMYE9JSO4LmkvpD0gn
XRTVqWRqGZQXPP+mw6GieqdPiWVAdZLOeq508ZI3Sc0xCPprOxx8P1lz90rBIlo09Zmxj1C+xe6u
ScczrM0umSHEG1mMkCHpdA9pDUsmnZU7gsDG52DesPOWKMfPT130T53/rImxaLAlM3LUTVbRQ+zQ
VWPvBccpnu87yVvBtR7bnyOHkLmqDzYC5y79+vrxbouGBL7pkchAf8zxCVjdwoGr485VEpX5dZHX
0MCVQatypVlkz0x5zfxHH2xBekQ8Qo+OHgdtsi3ol2dW3/jVGl+nedz43xdOCh5ygppIUKIRG20u
ymOJywLL/OsffAaYfgGAAOI50Po2HTr6K4RIbKiXmuZbLe8eX5bTUvv2FfBn70bXAaGnkMXpqw+e
f4EQuTUgb6xD3OXl3k4Wi3hVlz21NW+zs9terxc+8kVMC4apfvf6RW6ZsNBfcaQyOD7gfaK/zOBd
oFh4Xj1aF4qhJjlws8ovb1MBzOr+XOfaCUFVHXsprnW+53+Y+7Gu64sqn2HQ7UwsD7QPbZVoVbSH
qQWreVcwDKziaMvg+CYu8hx5VJJrJXxYp8XWeBdTqVrxscCwmvaAnC3OGbs/f83/eha23P3rv/n5
z6rG7yWK+82P/7r4Ud0/FT+6/xav+t+/ev6af32sCv736p/cJX+2VYct6favnr0vn66u7vDUPz37
4ViKYPvH4Ue7vP+BDqM/X0P0oxJ/+X/95T9+nN/l41L/+P23P8li7sW7RUlV/qZ+dfXv338L6A/9
169vr34nbsTvv1201Y8yfyr/nQDuy/f7+aIfT13/+2+aYfwTiZdtEueLTZEOpPvbP/ABF7/yzH/i
awVOw9HRE0gZM76s2j7+/Tff+ieoN0arKCsccHadX3UVUSS//+YE/4Q9QJpL4JLlw6j77efVvZNT
Rz41bob6+R/lULyrkrLv+DYbSAwQn1kl3gdFFGKtDRRYYTlAdEs64RE+NAMKJX8WArx+SLCeM7vI
0vzbpUBej/Cim/zwasJ2sfmMgruo73+5cX9zKZvEPxjl5BJBz+MydPpueBk8Bws9x0lJPPCMu8aM
XDM9QgGJaRb1yaR96gscDujpVF2UHChmYBheRJAD0y8Jk+CjiJ8i5rYvMpTaPmjFBZG3lv/YaWWy
vtEVeHHLkOTRAQGQhtjtsBQ/v8xx1r1wdqz8TjP1PNoJGdF8NyPbnL5UNomhh8JIovRias2o3eHN
JiI6OVxXb4CZf3cZ4Lc8OYQv3LDN3bKWplpmP8/vCuD48ntrjWN8YrFIsx3Hjso7QSWZ3fbQllEd
3KT6mPfXEWxY//sbj23bpQKXd9maHCiutsO1bO5HmPYpthRTcF3QB42Na7fqs57ldygC/aaG9GV+
7BPqqh2wM5xl3AOy+io13RCPuFJfbv/zy0Eg51Bu0Mi1XoRrzgE5Y1NqedfirFs+DpGFJX41YowP
QD8TAWKfKK6zaOY86UEjQpkCEQbuI1k72WPVpdZy+cYlbR6VRQ+ZDir0AfrJDh0FsbH/0sGiHTBl
k5V3JwifwYNP/KFxHFAXFldrgeH9BTDn+OjWa9teFjiv7F3yAB+LlCpuH/ve+nUqstD9EWC2c2d2
EPOPtpsbpOcQCGjv0BlZM1EgHlERVpT02n82zsTFo/0CMg9oybsg+c8v3lgaewqqrj2RmOOPj9k0
E3mNLm22wJHm3vy8Lu46P4w1tvZ/TWNb9Xi3+M6PN+6hQK5/rQS4DGgBus56aPq+c0a+f7mHdm+j
61+j5pTgVHQ9Z5bxOEyodfZIQfHQQJg5ecYxJ4uqvgVLTKMbx+YYfwjmcJ4vikYL7b8473R0vd+4
sg3ML24Qlls0KU3dwXd4GyUn+EMpIdz1KTbB3a45NUzePsrp/hywb6uLg+b0i3WRN3E57PFMJ3an
d6DqnfLUzr2PBLmEcwTgutQfcsBF52GGFpM9eFZQdG8ImM7XsrmLCJcgUrB1eJygN/2BgWSnxev9
4VR3XvGJVHnQoCVvCdaKja7OrgvDGKAd0/wddms4OXvLXYzo0qyHxvjiLRYGlgWe8ZDHIYucKPDj
kzcZw3yMQqPY2wSDlzhdkHMIP3b1nrLFTebruajH98S9NMGxSfwBwxXsXq4TNiwyZEbs7NK7gO5l
15JFHjUfPAtLjJ1b23yCV1a8ykittX+juS6G7eZOQC6C8gRayf+2NLyItaitffxEZmNdkkedEIl0
l/dt47yzeHgNLQEnuRW2kp9eHy9/+8FwvFxQQ7guorz4dTHo/QqKzWih5kXCMh0Cp2sunMCN4pNe
lM1wDeUR8m7eGX3/8Pon/80y5EPx8ulsOg4FvRjIv0whD6FxiDn6cCrIM50/kBDjfQnmtvixcigL
vhKlFJmHfq4z41DoprfiAN/m2RvT5W++fmCiG6OpTO+Rouj5RVRWHtka0WGnPNGb7tQMszHsNcdI
EcQ7pIc/1rSkDwA1UfRG1/PvPpmwZVhabAvc+82GaTRzPfl+3SPcMgYX84KwCP/qmNP7pJtIRARv
wU77WAMev7UBbPrJYomgWENJwvFJR0m22QCQhQzlvAT4jBEYph8it5tFLWME120NZSbQtdQ4rNA1
q1NEdFd+0Y2aW+6NLgu7G4wGuDmvD4W/uxe4sQYUWQh6je1TIFKk5lQ1dawDVencAlPXP3K/CG4b
k4bBj7Gd3evVn+PhjacvaoHns45qM4DieWZYvSCprXWp13B7u5ODcZN/WObS/9jWZvdxqhut2WdT
UxMChrveSkyPq6XH17/2tsTkQYimPrUlE8BEhr+pVZLVSFoTJceJmKwcZ6mobMbjmHmJd7DTNdsb
eqbTwknNGmfTxne0h2qGEIo13zpdW6xDD2OPg+ouzJq2wwmtG93T65f48smI20Ovhza1z382Vzi0
/oB2IeYKk2SZD1nm+ssf4PDaVYByrPuD1BQrAQAZ2zcezd/dG8pu+AAe6wOnkc3MtIvYG4JlbU+1
NTUfB7IYlgM5Xla4J9vXzQ+lXc5fsqC3OkDz3L0ZAre8dY3IfNQLCP/RbjEA7W8dkheezGEM/Tc2
r01uKfUlRFAeHVcGNkutudm8UFqs4N1hc+rxG/yTQ2/a0mGmVX1cYFW4e5iB6deEB//eWoz0KseS
fNyjKl2bN27Vy4WUHE3O9IbLaY4lfHMhZk+yWV0X7SkK3FhjLBdEW5CvZ2pXJe5VyWGZ8JXBwTzt
pvo6MsP4iCFFZL1/fagYYqvYzCaHtGVkyRxFRIDs87U0qNPFaQIN5bZbrcWhyQZrPaZjHpIuExSj
f/AQHn2vmqnwdhp5n1/pjWvhacnz8i7Dczu9YMyXn6YCl7K3ljxxDzbXhleATpAJAI73QisdV8VA
Q21tTlQjrnXEXCa/1fSFQBddj24oLXDl6dPyk1b5S31wIJOZuyh1SpI+puJHmzRL8saat1l78LkH
urJcGFUBqzDn3ed3K7eWZJpRkV8NbpdXSOWipo0u0j5yyIvqotSr6XRJj8BgcIr0L6dHS5DtXn9o
5uahmWAAEMoCtgQUzVB2N9tQD/DemrqxXoVLAJ78zWsJnmlvHb2De48diZaQmmfquNcl+L6maxXu
YzuoY3u3uB7GjbtsoGfyl27Pjr4vFwIxl/2kaVVl7kctiqPlaM7Ixm6i3tPcp3ie/Y7oKkhmyw6q
aJM9kfIkmJlBQEbKUzja/H8/1FHvvzFLXsxXamGSXy2ci7FRonjffFPNSWFMJVN4UomvHig2jR3a
IRlXWXRGqeV7SvoRG0APOB4nrKHpYV2c7KQNSg2TqrbnC7/+ADbDAEYXQxLtBdQ9kAagmefDoHas
ZBkqczwVfdpnJ41uU32tGWtEEFIcufc0Dq1iZ0ex5l80/lBGbx1Qt+cFD/sriPYssUj7ABI2twXZ
HXGDwEAnQ2uM/o4mVm7uimVx/m2bk57fxVba9e/aBCu1HY6G/ec4ymp915V56lz1hTFMt1FXJPUF
fLl8SQ+5Pq9f1y6f1zcmjFg+nk9hMnuh0IqCCQhWF8vgr/WijylhFy49AkjN9U9UI6TaoS7uuruy
6PMPJaDn/Na6sUETWOR5OL5Y5zngwKrfrGl9bs3CZHw4DdWq+/ejviZE4KWZ5jzYcTetJ25AFX0Y
/cFuLr0Wqepd0zp2tyNrKLTNNwbLlk5M6gH1ikEnmNO7DRy3uZxZHysiB1lisd212t3UVShCgo6s
BkibkUusrW9fDLmbfPenfL7DZpVALdfVWTdKIFmfY1/PkjtS0DX7aobMtEMVtxx7WtsQjYpCPw2D
GYRvPLqtroPrFl5P593BRYq1RYdMOr0pNWR+sicXCxPMZ6ci+SSjw6i/Fu99PxOm+O/eisrsqZ1S
P35XWigNv5Lz1GOPQ4OQxu7rU+9vroqzO6Q4ZDc8YGsLndEXrDXLLZJTp1cVEcxzlw9McM1s/OTB
xD7IvR6GTtM4ESycJT/n1eqN79dpwCjh6BUV+Qun2bbxMXv9ws6tk2dDHUCV6hxpFk8bd7rN3lDS
Oh49Ww+PuDK0KOsshhLIpxWN2USMkTdidlmZyIgJ/4WEkT2VujmxbEkS11A7/FOq1yylaaZn97xu
di5rDPn725qUGPt6sYEjiNYiN26+tIMu1f/tun7DRzWdL1yQX/9CL6pI37BY3CBconbH80ssgr9M
Xdz4E8BbPcAWn7cn7XvQqxutJy3xSKpfm2BRHOKdtx88ghxvXv9sWh/PFw5YqlBmWdgMShMOGduu
TWi2s0UBkl4sNZE3wcOcdSs3K5g04fiagstU2n7G7mecvxFabHvjFXFMK8mfy5qWD24zuf3X6bxZ
EV3BZodj2MQ4MYZYNI2HJK9mf6/pc6SnlzrmdfNwoTv6oNWXZka993ku5yr9y/JqLf8Y4SfufE0b
avhwB0rqfiAB0k19LkBvFn9vFMA34QcyINE+7qUXsrXwCRXpA7mgPHZrGoTBsUirlohiN0M+me8z
u02JGUf9KtQ+U1HpTX3CCqbJgwt9SDNeviyIJf0DNZb4aAiBCT/5ZRN2+P96gRhMBlgM3fwkIEP5
KUVmzMYIkU1sxnNqR1QpFkZtdLejVKsZLCD4pTu/R6PjTjOkSX1cvuGYsvRfjAoNcHltu+xqFH5j
yc/HmRSXkCTgUSPJbY+Ww8RiherPtvcTUXF8jQJzAgFIxVrWEQSfhdy5wzDCPcn3deZ27n0LX1P8
G5CQ4Vz6RRF061Vm96sXnTxu9pw/aAQVTdajFuC0pF8oSWzt2iRVNTvtf6g7s+S4kWzbjghlcPT4
BaJjBElRpEim9AOjlCTg6B09MKM7jjext5xklWWp7N289/P9ZJoyxWAAcLifZp+1Hbd19fORVIMu
M4KturszxUTGffv5baViIYnDti0+h3++jK6bRR61OhCg2+ihhUlW9ng/Zq5JGDSP4YvxdiZdI7hk
llEJHhhOIcGNK8OpN1BfWpSzDilqm3Q84xlks/BQHYXc+sUGVhLuP7kVIOq3kSoh+LeS5jsyiSfK
jD1veOG1+VuYfiBVPt/9ZgaQHBfoCbklSa30C/z5p2bdJm6QDxn3Xb2iwubJSq3SvQ96KLxPCHy6
4RaMZfrm0RroHzEhndsXOQE0u2YAvxoZOO3UmJgIo7CwGxnSDzOe5VgY+pcuGfIYG9xB7b84ylW4
rgIY47IWteqn1Y0FO7koa9N99CwivkMr12nejTCzxye4rzlfufz45plD4PjiM3m7IsTMC9KUr63F
xH14HAxT9EmUjxtNwp1Y/IC3YmhMvU87Q0qxOQqCVHm3YYi5tX1lzbjTG2TuKdOuZ9Opw6G8sZow
sSNoml0PHZimZXNZB3AqMmKYf+7vUH3jz7yX0hwCE+/NaVuuAT0M8MQJOcBMYE7kGtMx7dCnNzw4
okzmi2tOlm/zipLhCcgDSCw5NOxAUQ9Jd1ki39oa+8fWoJIY4px3iUR5QVxWbHHeTnM1nimwcI0H
X0kcjXYmFZvp3iyhd3Nauwq9Q4tkgnuNCI51YJmO/muOYvFQ3XXcRrR3gZAbSxBbT4//KByAgPZe
eqB8jdvSD/H+3GByc5dk7fnOCarpwGLz3UIT1JFn6H8V01JzO3sjLPK3j7fMHib9Qw4FN95bawvz
ST5s9iyMEIVlrW3usZHke7qZXHlX2GL0Q5dO0ultrUGM+ZZ3TAv/IYykU6dwc5zpB/5TLlamGSSA
8JRDM0nu64k+M9y6d7FU2aKVfzWZBHRZR2mq34vFbdk7UzIY0LCyGLwJLn016dNuTgOkRCO+TPZX
GOqdfGqt0SyOQhGtBhHDkCiFMKNr1vyBHXAK73HmggVJGIvnXB5lpMjNdaKom6j48zltbqu1Tp/e
LNUyceB/XDAEWB+naleKObzB2FDR/yuddvzlI9wcn7silT5uGPZMYxDcbw1mMVBNu9V7Mbdju3fw
dDX+BMumjBvB0HVRH2gbBt3XoQ/L/ORB6s+AUhpjAyR43IxLMYzplO2CMrerE2KYNrztaNXQy8LC
A3fYrjSMGaJ4K5P0yUk7rUuGSkFz5/OVsNEf/iuZ4v7VlgGgzUqXR5gosMGjLeu6pthZa6ffo3kY
8QpXoWJ4D1ZvqpNNKCD6qAymQKyXAXRG8WLj484yXOpRuVdp0bvrdMD4uQrvmTrt+VFyPsgSJ9ID
nVABfC24oZU7NG4ZJ1jNViMbyzZ4tJ981Vzb4yTlNQu2Vlfd0gkRCVFS7QXE3gTBGWpTwAsNwJqu
L3at2MuDU+sHi2PO5iwyjF0dOj3CtM+DjeACeOQxa+0+7WltdCK7KxV2GD+3rdfn9Wes5IhEb9ef
Z3lR5lo5WOPPqV+uddWwIt59nZp+Hr951uhA4fOQsBKXgaO4E44Olz4CL4gx+ryasELkx/zB05t4
NdJiT+A4CX0W55iy8kbVc6/PT7CnksdVDkmub5Xj61f/89RrbEsmY0x/N5HWP4sEnsH4ZbPzvaUL
DawEZ8uPTe76tkTuR3Za1vP7J2P5zW0PoXDzkam7Ch5jHQQG9zIvTYKYoZqRigJLKHlOceflvLJw
2bM+vV/NZCu7x9xIlOHFUB0adchEU2Ci3jn9zFupoHqz2zofcSn9cY2JQVob1uuu5x0M7HOe8Ofm
MgyqY4NYsJLjBxh90PGAObhk27GZ9Dqm+MS8FH6l1w1xjR7ollC7DHCnVvFeQ/j4DTj41Q5OGCuF
SnNfyVIfoG5aFYXJCOrSplSTIPfzXCrlMsfxiOuY0ZZPXTfqzSpMAILkP6CK6ruuNh/VCVxxpkca
ZmDcbZ1h9YyVFXTsjdOgl7ndCI2T6hHTsy4am8kocfspbjJxVeQqiKhLbiSEKM85tSajWuLOUiXT
WS9brexOfGFGo+BWNHJycR0GGo6j6ABnezCJ/UBYi+n9TtWZr39/VmIj/kManibifoYFQhZy+NmC
4hofV8O2eRnxixt0c6ukjBU71aC3YUZZpP7SraNjQlsrJAZcRBx0prcyzzj25dgATjwNCMV5HJ+x
h7S6hr+PyYa+SDzmiYgf5k55030XKJAZ5ykENox5Qak/MOlgrjQXdxwbXiLUBMZCaIWpWm95dNTZ
MHDXWCPLxv3CiqGB6aqJhMbMV/v8CL8i2AWl1QJKlrcuY7j8zTXrK14RQ2UNHyMaCSZh19i56qab
5mM9A97Ujy6FFq7PpQ9BCEMvHl/LrmziACyJ338dagg+sqBcSosVNV+dv3U9VHVrR4SPnFavEH2Z
eYkefdvN+VhYF9TOvWTYzZSFWe0N2/BTJqcRLT75k9HVf4QZ7nyvfsjvi0dRm85wDP2+rf/Aghfq
NRXWAgI5XiRV104ngcaKK65Kl7GGziHy3OW0h4vnPDNVhxFuJTc0Lpl6N6qTfR+Od/gcbeszDFMb
OvuIxVeHxX1XMFW4mxRPxr7JMDNf+6gI3Qbk+dasxjTuWdBBVj4u6Qpo97Haukp5MfZe+AzgG5Ms
fsgAC76ae7XQmMabG8EIlM+iZEHd8bku5c5sKC2ERUM2DRB0MmtLwK0PfeGL62EKmry9DxDlmOUh
ZLTfHb44uKEF47GdAGKz2cnU/SoERe7hVIS9/v1mqlX8e2U0+k9OKVrnlDCjXRn7yrLG6kvbT9IM
TguTQP12Dvx1qG0Kgdikif3W4wiUxAqTYSUO6AmSlTOyzpv8tAC75rtlqqYkKqNw2QQd48rOEKX/
c1Z/ZnnrHS9HKH2ffETNn1t2K60QWQyxjVGyE39iGiaq/XjDB/mav/R96yItr5IeFNp+IB2qHjAk
aU0E9UWJXDRzkeQ+g3RBbRrNY+l7QzSGWNmvNwMacg/dPbLuKoaj5rZmHGBkPATPwSZYN55Mut6i
oickgHt31OEqs506bbM/DrlcO1KXsZWvK5dgf/yV2kwdhmz6ikHncod8QydlJCA9W8ZHbup2tf4s
pzcpt3a1y9ubQzLdlrskWbQJFGgyjnQWCsHk9p6e5GH+fi6U/MyFaSJ91tsrZREbxwOd6VpOqk9v
j21tlLuQqYlmOdAsSnJ5+7ldUP2tORFGzOXZKAj8EtSPcYPyIeuuIUNDLr8nT0wmEXkFRsvwCQTc
OwBB/qS39rWHcLsCWmMsj6GugGGrN/Yrn509m10rGX4kq+eVww6rsveYNKn0bfks1EIXJc2y00Bv
eAwJ+ZwZDGxyhWE7apGwVbe6Sp1X8COnQzE6eVecPK/N1uAYoipbsEUza/XVHmxl8axHbhu7BqsG
Enhhca6CkUPd8nmMoypd2CNXl0Eb7stHGoMfVioUU4ZeX++6PpiymK7ywM4GVp5VFm9ZuPFTdoOI
62R9bMuSuJUE6SNwBkhGyaYzbN0JqPHeZT+rPra8IStD4pnPw/VzgKQAY1nKCDwGFRVM1d6n+tqP
yEcOiFEbPCRMHSpY8EnZVIePcD1NKp0ONnR4dUKxMmGCxsfWpQaxaNnnMRjlyAER9EIHWib4ga7Z
l9IIs8sMuXe1fqxGuMzb0eUGL/OOFRKED6ajhibd1Qwxp6/MGgzJA7BPVZw2mRnguafcmGy84lk/
lYPdmHLWGHPbVnQnSnRF8EqZwPymmkQtP7LZ1jooEJJmfnSw027BR6XJ+tQmRTXHm7fZ2zFtB3v7
Rmi1KePYw8te5BnomFBy1xXNVjwtimnm7xb4GMi8UwYKjIYUMv8+SgXExjZimG1s7mWlNg+XndKW
wYlemSE5yLZ1LfZDszgvIikX68qoB5X/zAdL0IHE++YIDTBU9RmH78m72obJmB4quvgJxFGp38u+
xlw8PGpHz/Qt2aY8DXdg6+pi51Ar98hZyqLV4H12LACbVYsb0I5j0knkjU7NkqMplqGuqZFx5wge
waX0YCKkKQBlZarffn5mXJ9RNmGAjno+igQf+Yphw3pjmxszsso0bAngfawyDUw/mhEBXZy1tc+i
xL5HJ+op19vsPtY/nmH604Bl6bdqWTfKjTPVI5aHRHxZvHyk3EWy6VDzM879fCV8d9JhtWJIi1Vr
INU2v1M2wHVkWiVWjKujn/ths4N2XrG2GZkKjHBDmCe8vy0cxZlLHKbPcESH1jIHNdLs+mLr8mtG
cYL8C6Yp2dgCMDSb6uxPG9MFuzVd9JbxOethkCDw60OnXXj5i6ZKdDKTmKSSrSqEIgQdBY7iyId4
wo02JUl4Zwo5ivSNfalk69raVYT7QgHdRKrfLHP5jVcKu+YIqWNnAoZzUZddJQDb51seYDvfpkUT
bB5YSXszKZ94ajP3qC+X/tUOw7F/JZYY859ZoFT+hB+DyTLsu3XIfw45g5T4bPg0FcCh+F7njNhC
mTqfwmBHN1w2jKjWHy3jqHzfRbvbvebIziQzsj3jWiTroK15XGa66P27aSdTsMrfi0c++p+mo2eD
wjGPCqPVt6NWi8lG2hExEBsp6fKHqQ867xanZn0SLMKqeVSfexhvXEB5gnF4mwhHYh+EC3ThJmEe
CbczyuqOUTjFA/M+zqHRhFZfYnn9Hs53pq2zjWT1NRg9xJxoe3INi5di1/JKONvun4e0Ljpx25tC
r4FCuJRBvNkave64MhEsmVBl6VjXDIXoxSfh2RDnVSMRdRJZPa7A8qi8tofQnqAGaFS8+PY05jus
bBIW5vLZtaQIXIbUPPCa9XYNfllhCCouLNpwt37UACqzpmICgYkk2lAL709Sa3RYHApMfphmmSbz
eWslY9N0eFvv1petxW3DDjOdvwF/Hqdvn2eqWbfvxdMZoSceP9jmrD8TJ1Vi3Nt0kfRNS9eRez3T
F+GyCbn1bUqyxWBnNkze8ibiR/s25gjUp2YnrHXg1LQdisGxb1gVN8OUneiHqMd3bKz3S2gnRs8P
jAysXz57qgg43nFQHbvkylb5UcujDkvkMAy+fu0/k8V0SnpSimr08JmOSCuDxd1JNWEIxAu6esBg
IewGhMnrmrCddL3LeFaEcI6K2ElajNcz5jnYnjtElEaD1AJ+mOt/1UHDd6KYp7DQZA1lFY+uQ/TF
JaSGpwP8CjIpyUpj6z9gdcfE6o305VQNKl4/KmoS3zP7mvvetLflQL3vFUez1CT2Est262TWDGcU
mgrOrs/vHYX/1ejB/2Cq4H80nfD/0+iB8Gg3/r9nD27+z38t8lfz17mD95/4HDwIvH/4lqa0U8ND
54Xk6l+DB0wP/IPBAQdWhCZFUDr/1+CBzUyCYN5ACyOZQSHy+dfggXD+AYYHITMyXIEG3vf/N5MH
v/XhTZ8GIJNlGsCHzIm5mX9vUdGJERItuLqBr4T8StFeE18KRxXWL3hfFn0Kg14+NTDLNQ5JCXrl
6S836+6ju/fX0Yffu5HMViDXhXqn55pAIP4un5EzJsY0c6brplekqdbUeeGDkxJXXK1umLXnZUVI
dpd03dIbUZ6DZD4zSDg0VfyJAfR61LB/B4j8XdZjwiLkorSiGCrcf34vy7TBms6luLbmoex3ASN7
adzJYMYGKy9g+5JPcGj0i02SUWAYQ83SrlaJaHSS+Z1ai2JGi5sZ/tnFtk38TW9R/CZgMEPko1q9
wPQDSCAWy78/uYIqrNXa6KwlrRl8HBuT8ojdGsGdsZgVfIeC0syFYVtCqMlCARItjl8zN1ZkY4fL
vYs7Irjb6ZJq/vyhdMEF3831JN27v3nCv4kJwCoiMGVmDX4RWi30BP/+TUVDhGoslrhs2JcsVxM7
XnKlaLwsUarQrjMcX9WvTZONXwvIpujdZtW7J+Usg/ybrqj+VX/pMCM4QvXDsAgDfCy8/5gaqRld
Bacq5ouV+NNA6afqyxvN9ACcXeDE911SPsvSv3lWvynV9G/VMgrP9GnEWsHvI4M1RXYPucGAiBQo
xA6csAojUikTN08GxNW3ze1yMzJgdSzHBhWdGa8GXl73//2D+G3F8DWQ3SJ5snnjbZTHv62YCung
hAmFokmXW8aZY8wbr5wqX7ZItY1s/kZi81v/Wf863h7B6tRS4zD4TbhCQl1mGDVUF8psRbHGo/b1
UZEK62w5/vdX9lujHR2zo98BOqc8WL01/vsKUwkll9SxlnORG+u4az9uocg8+1L5BDuPXU2sdbVS
jHf+RirzH7/aAY0VIODlyfI1HH3T/9Ljh98KSplOytkzRL4cA68iOSxay/vSyI0LNQAhdHuVjkb3
N6vq98fpIhqGn+ToAQLAYL8rRal/Ita36/bcE1HhyDdUvOkf21Hm4TP+N/dYuL+L5gRnmNDoTcJm
RA1Qwf79WnvZLkljtBOZp7E2+9To1zfyUWwQ7ZTZ1T3vNa6b6M023IJyb5+Xk3OpgJm6sNzV+sX2
B2axCie8Wtu13PkKUDqJVXBJ6FztZ0j9cce0VAT0dDqXTmU/q9CbT8o0vPs59GS8QPPc2+Nwi6tQ
9qC7mK0TlWGC/PKgyFcK52wajMMYr1NZYttOTP0W4ov5sx376ZAaomR2dXNvWQ4/KxS+R9fEwo6C
JUbmLpwKEnVxKregclFYWcGlQ4VzDLYw+IaHRvBFNmHNiEjjQBxitMtkrOSaQWPcVgwTL2YsiApu
ilUzByQfIYR2GFbCY19x8jw0o5ufPfQAxzqpHmcsnb9Os7Xsva3pdhNJ9HEIe++U9k320o7Dmz8w
phTNECricC62KMELcVfR4TyG4YJXJ6EhmbZLg7fOQEeRauKkhICdgflWnAbKx9Hsmu1TImaqQd5S
BKBi6u6lK0ZL44X8Q+0mzbcU4ct+MxPstnCfQj5Fiz1aVUeBCunCjeMWdz0Es69uMNC/8gbxNWBy
7H5qzOmNfuUSB7kb0v1nhisqVneuvyJHdECc5oJhrnQ1+xh3ayqII8rZHy5+y03M+JW6tvCaPy/t
sOGikQxHd/XC4+i1FBxr+9xkHgUqR1EYaxTKy4y/Vo/9oPbYU9nGhcb9dg3sdvyWwDz4nk91mWCP
EuZfCkr8DwIS6BdUmNNTBbkuarKJ1g01gIuCthwtMljDGFsvAW+8CsSR9n22J5PDtbLTEM4dNZz8
V4FrigWSp/d2yNPSnIa1oQAgPqjUYHHdLkg/x3OTrL8olbnx4vUiKvO1p2ySLpcpdPw/6HjIhdHg
Kj9lyKnSaJD+cGpMDMhSs/wT5xpx1Qb9fMxtBUgIbPmt8g0Z4Y55MH09KY9j54g3bMpDdevH1dnk
TvM6o8nZ/ENpSVJAmp0HsFNFZFn9FHfQRW4cyk1UqMS0Rzid4KnlZg/0WK4hTJXx6jd/epScIixF
rkS7Vg+ULJ9XUVBcD1B2oYQFKCkW87uQwXFyKzse0rG9XlPMp/G7+ZIAxT8yG7Ds7bKgLA38dC+t
Atm+kaysOqYQKVyTgpGJbLpIGx7B/yAKqtoGddvaP3hbUt1KJdM7erjrdZ7aat8x+nrB+QLVWe9P
SCy2uRtVNAAC7uJ3U7C96zPeH/lr2U5xkmXLq01N242bsQhpJi3ljUA4gi9BNpflH1mRlMZ3qbEd
fEgwu2W0hn6e3bQh5fQ/MekRb4onx+RcbXf32HK7WJLUahhuA8YiveeQNlnyxHSSZTLXtslcnicP
h+W3oJkmpHHW2nsPiP/MP7FHoY+W5WO33U1OkC5HSwa9uaNPK8rDR2BWG97ItLhH+uxcLZnDtwLk
Yu8X2owmxhcwFvEx76dOHnRnIyPGxP+GpiJtukOYN1Z2NfdlEsTNWvEJk23QrzFWCTcMnK1Pv7Qd
g2ts+TYsh5ZaFmd35RbUcYMGqrtmvtGBpMRO7Dh71QTaR0107CtPI76CJJ6J5ZtRjfJgi22gJv3e
YR/14sZvZufabUE13CClUdudQwdr3OEQsyWv28r7cVO1hfNigXNzz0z2b491yBJLocJ1hMeel3Iq
IfVI3D8WJbg3eC+bE7ZIDMJuVtOCLbUTj7IZZmEoopsqovBWbrDlxUA1uqpUWpzHjLnMu6FeAu9b
5QVNuRd2OIdjzOqcXGqaQRtEPNgElYPipK9fa2g5aPEhHTcXC2V3dmWGU4v3a2UEcqYJb/KEsr1f
y7DrDtL36htvmC37AIHHvkc3x/O+Vma9Ol5sMIgGVEGUPbIQ+n+VHfq4MC0Texe7PI2O1Z5NHu5Y
K7iwoAjrozSbqefdn0CN7+uAmjSNrKJo0apmW29RBsAv7U/UeUFWRQ0APRhDQIRXY+/n/eQf8fQr
EQxmqZ/vnMkpxiOA2jmIoBsFzbWLxAP+ArRo5ymES969VqAZxp0RmO3U74i7ck7LmX8sR9LPPFD7
FBOQ/BpnxGL8McxzzaiEakzAcBxPSeO8OpWpCxH2lrh4rTOUZlIRFHbXfqUAaW5XbJJOf08hPRA4
shK2n3CxSeVjO1jI06Z+3bhTmVA28w3dWrNlJWOF0kUxZ746EWy30vGjmaTKqSOQqnRZEJyZXY0e
pZ4UzaDEUQ0Eqn7V1SSEJGP+zVBh9uynudgbEo/hMgjVdGQUSF2lXZn08ag04xnXzB8u1eNHsU7h
ua0zmvdStEhIhPdEWP6sGFe/4vLqw1yTA0WhTa+KIc8L4ri5PKjRXJOorZrhLhyXFzXRYC6xNTom
QR7cGAPmh7Ozss6str/ycC55MNFsAbxoOVtwGo89x2/4lYv5FVJwvsOdycczdKKpJ0Nvh17Spdup
RNTh5In6NPTHvdqm5oCcOjyvljHu2zAFZ+5hxBUHzVLAWjOH8h7L3HIXGHRLI10nXdBj5eU5C4LS
hjuhmhsfYl9xhcrIvLJQTp4kBt8nW0xMulQo/vFlexJwA/wIJmIfY0enoIg57mVauvXsIDe6WEyQ
4kzvlJepZlW7A/c6axtQS3Xduj+ttC2PNkbHUbmMG224sb4a6kB9pXS4RAEaI3yhZL+v+/zVwVji
XqUucComWSguIuMQGBveNzkf14vUf3TLUQR4pQbtdWfWtR2tWet/yecuJEqw8fQZ0YvEYTfgNe0a
4/SINq+jFk6RnjOPWaM1timHASYdZvEGfyS4zlfHfkK0jOi8rDH67VuMx6PQzOVhlD1uOuRWHe6S
WeI+FVQP3YMfplXw3ekQFd7C88nxm2HzJet0+5wQsM+g/LtBbUVtHXQEQ9ZIt3UjPEA0W47tg+Sw
PqeptH7aaZNcCnu2rix8Oad4CvH/sls8H6LAtdZTMaSrsesaBsmjfOrG85IO4AmGrrlDoENAxdUH
6IdowESt5xffalQgCzX9yXqWCLcfpZ8v56zrm/sBduZVphP7nYM50ZWpFkoNXdfL/YaQrYildJ2D
6bWtt0dvONCod4rkz2FcwydX4AMd4zk3mNFI2VJGFHjCOuoQAmMcGmTYX4z5cOKD8WhWkynhEA5U
4pfFH8Rh7Mb0XEFojlrb5tyackZmgFd1coydsR2vV9l1P3ArKh5EiSQiCtW4PeP36XGgtGV+8Bn4
t7HXNkyG9fDqnmNGwHM6Prz2Z2Dn/eNAwv+VDb3EKJyq75duScrTMM7tblmYrjj0tEnkPs0VNXiD
GZWYoj9OvGG1Ljep7aX9KQ+zeeb+UuWlM15Ab0zWvLxYa2rsRbYtL4h1fcxOpHiA3xXGyFXqOCvc
9NB3C+zIJG0OQLTltwLOCJof+pWyc6eYkXv7mVur3N3KxOLOaqTwd/QGPGZWsvWIJU19UeRNR9sb
gfPZvk0HoSuz6TYkPsSHy5wfPYmdKNtxMj+CAh0wr1cFSJyiumnr6sbAgfzXrIbkxitV8IWu3XAw
l9U9MZKOWs2efXoAMj0DMcypMRUOU0NF3l1vZs4S662enMocjFPrVd0Xt9mMl4BEZYlLY9t+8bJa
1c60vfp7Kdf2hdLzfHTG4E+rJsDkcsZg3BubjXEClEWSKyzOTg7GK2C2A0PtaOO8wgn1zsbMe9HV
UhyxlN+O6yRwTerq/sYaym4v3PbnOBRzcFiYmmfWfhIPHlnwbqqq7ERO3u7r1X3F+A93r766pP6Y
HiD0h1/NxDK/DeQAZ4hqfmx14XxLWduJt6CxogQo4V5Ouf+H2yf9rZEjNw2MITs2TsFcjtP6V645
tcfK6d29qKS5KwNq5RibXWujEaIfNI6wwXrEszS1g8Irz+AyeUdULb6jrjMPLZ25K8TYJjSFEvJX
0J8SDGeIxqY2tA82mE5i0dQ5BLJKdptZ/OpsP0NNZoR7zeMi0BnWU+0l5W71RtJR+vr7SuN/j4uw
51/r7Dy2Tlecix5mkgtDW2sm7qFD+m/kWM3DRB55S3segDbthaLez4Ex3ycOAfIu6Mf2C7SJ2r9Z
K94uhjTS4ALt1pQSRWrgjhFcA9eOjGb17mTtGt9c0qvgGEyJzE957edThJw2+UHsI3C5DTd6kV51
b9qm9cfaqf7YyBYZR5AWJGVCFE/BUtroB8tuV9SJe4+J+kxtLCyvZGN9H+epvZ8z7N0rlUx3davm
M2MOeGt0vrgk3opMijjhITGDKc4bxDx4+xLSuXbwrLwuiBFhG19kbj2BKrNOXrZSBDTLzKP7X96M
jIHD4h38C8hzvsTUVr/YyuhdZ8by3IwtkFEH5N3VpgEvzA4jUEDIYuzLYFpul85fr3m3y8ienPB6
UZmHGq/4SWqcfy1IQ5g1UNbXGqzODtTVeFpqyzukZkpQxjrJKECo4qpCOsgkaykf8rCdbh3C//Y0
IRmIMauofsDZav9olVK3DlMfsWgrdSqlMl4onLKJb6Um3Vp+cQos0H6UrDc6/nYi3rrZGUAa++W+
dZx0X1LH2vdhJz2QJ52N7Kvwe7I8dsa90zAxO8gMwEPRPGdDV9xZRdnde55dxED5SBWNFS4ibLib
UBKbmegqT207/SnxoAP8pnqvQbsnUYz6Rftj83MnQvlPggoDXbD+EDTtiYZfkPV0VSxXKaLcFHcM
3jdnpC6ZFkD0F9tRwc0yWc4tZUX7a4+1G+q9yrdOU5ZcUHY7DFNtpR+T1WQ2mjxhHwdpzMueeeDh
AYvj+stIq/YlxKuZC9rMt4yCBpF9Qro6o1vcUahLHhxzMG8bb7LwsyEmvK4dazh0sp3MmJ66d24T
02f8I5yPyEuuIASLKEX+x0Bc71aYQ4sNg2XfHF5HauU6m5x29TI1x7JxNjwjcpyvCtN62ajFMDQ9
so8R73PDgt4/4H6t9tyA19IJn9u0QENfOeG9s4kWAbMvozWpypOY4cEIVfTHWXX5Vep0Kk4xIVmj
rhfrtQG3UBBHu+6zaanhq5ZPUxJxXb6CfyGldR8BSy8vXt/XByrAFbZb2KaSRfnt9yqd17tAre4U
4X/tAsTptw3vM88ao3Uoyh/lVs79dyYT6XRuIpwOosb8Bnlc4/wKq3R55bCcYobq02vm23K0mwwk
Re68Og+jw2AP4iKzuS6Z52PHZCQcG+cgnXEIhsV3oWSUpNeJFyBoLKgc/TTntPVPNpsdVjqZ5z4z
rDU/Ap/r5kyQvIRGHQJ79AZ1DdQnGYfnxRPTrGj/O5NlKxkPIhjayt4tsmfuldBwmW9WkYnnfLJA
sLXOc8dJe2N2RfVKrYSQo0V07dwVg1BLkyDdoQnexkx9G/l5es9huozKwC1z0+SS6PRK50gFZoAu
ty0hR4NPmHSBac//tdq2rW9UEXRopdaE/7L2WUKXl0bcpnjDYOZNJVJ9M7zdRrryO9gDzvQtDQcH
82RMYG7auTO9H2NtW8XNNs9rsk88CIwg0M2hxogr0ArxTQX81KpKiogZ/lDhdYie0b1fLRtPJsTW
Vc4z4YuRI0h6186xfU+f2biT5ReewMVAfzjB9e2xY8DHPnxQHQPE/dWrDPthu/c3hiIc9hRoATFj
MGt33NAoZZdgS7f8gnHl5N/ZxmAB07Qz5nqoDVgZ/3IEsyhE+mmg2AyXyvTTq2CVY37SQ+K3JdMc
292Wu4lkTKOyKWkmG8njuNq9D53J6v3gjDLDWr5YtiaTF/DUrAuqJQ0ls1HcVBaOIw3liVYxahQH
jJlUd/NmtOah8TFMuJsKYukrNZZrdUEyTenbDGdUBRjdci0knOny7KZ5HTixYBaj2dMmSJxjIAZr
OBKaUixIi8UUsCUZUo3pCuEZEDnuWp1NygvjzvFDp7iZ3wfMDNnhsBROROhXraiRTW6jCbUiosY8
rG8bIOGtoUG/Bd6b79pIKeNl7FlPQmS6ZdY0rBLb6PgnSkF0cK5ZWuSlg7fR2fMSp5fXJdLV/FJh
Nj2i9iK0/YPNOLfuiIXyjghZqK9WU4qXIqPxr6KKbK0jhwebuJcpqTFvTkuHJNGxjOmtEHiGSRd2
O3dMIhu33jfVG2L69qnfLKdAa1QQyOrF4jK2iKOoKxqCp8pPyEbaBNgSGNbF/daLJKU8vKxBG/nb
nJ+tPvOdQ5fkbFKiGzYb+tbWNAeVtFZ9IExe872zWLUbGam31Xd5nnOdWd8UFBY3C7rwuZSp+CPJ
/WFdoj6d3Yw4ji5Z7LE0ThyBc3i9Eeoae934cm7qrXdUxMG/WV8zpzeyaJYIeLMEfQVlriA8gF6p
hoMyN66aYkd4Ed0INdF5d2HI4GoXN2B60KwlAxHBQdreXNEcy+v/y9x5LMeNpGv7VuYGMAGTSADb
QnmSJUo0LXGDIEU1vPe4+v9JFvufZmlGOrM4EacXYossESbdZ14TrMfWQH59rCtiKza+CVeFQVBv
E87guMR89NyOQAsX92gjyRodiHiGYYEMpLqi4m1YGwuCxZ2Z9V7u15D26kPQ2DqQilQblmutzeSw
KvOqG7Zzn7vmBrfTsTiNbY0gOzw47YrJhTlX34jyANrVab4IVIyrZ6814GHMjsRhqluS6kiqac5X
9OB6CHSNK4t9BuBX/xKBOinWbIT2skZFe0hOwO9sj7KC0RY3kyi8NWDpKtguBPvEsIUnvWsSozpe
uXo65bAR4Q4e7c6MKe5idvXHGZl+BshRpuk8P52Wsv0ukhRWtCEGrA0AB92GOUO0B/DYtK8ePlkp
QWnJcPdhk4OYt2zzDyfLWW/AikimzCWsXi2G+pkaUWrtO28q5y3uti6QyrgMrPXMxhBs1Apji3ZJ
6vdgZJgaXZLNL+fF2TUGc9TVG6/e6zAUoxS0FaTxfTEYSn9fmhQGAZYuLUacuT1uMwJFue0aKok0
hZAt3qRJm1zBDyjg31lWV6wj8F3zUc5mE36y9KCsrxLUNyEOTYnixLVRmZBXdrHhDsa6GBfqj6jv
xZuEietsnc5Lex94cXI1zF4dHhxAYn86LS7nf1qlbSxUns0AE09DCCo7tWaiXEdTJM+/iqZnzcf4
DEDaxauTwmlYZrTm/MXi4W5Nc2DjqByRpTtzycPdaMIrXLfZ0LnLClXAOtvZnVPORzJ22sOK0w3U
N6G2kx45BmR6Yw9uAirJ1pmmW9q/VNY1u5I4LCTe/FjPBS7uc0pTnEZEw/55hl1NKfbHGCmgN+qn
niPzo70kOrIsIlac8a4qzeAxdiK73nma7WoGhXIibfbpPBg/ZYKa2CdviqMSn1uYRFuz62JrN2UD
/azInmCA+1mbajxDlWtpvkKYL8uOuFxrznrU3WS/gCe390aUdcmBdMN7QEMNU3tWMJTF0NU71itk
3WidL239og8xaTcS0Ya9NSiJfW1qNxjXIsUs3T+fEedW6ZQDzNuUcWLc2bEswxtekl1+LsUcULKg
mdo9VjgyydN5x3RqyMYPQwPGERExPbZ9OI6mtcB4tYZop7U9A4cRKI1fEcHbYAfGp32PvdiSHEyG
8lANkUj8ube69hVOaKAc1dAj8FHbaeRuJg57gGbsirVeZO23ynB0xIpmd0FHzimr0ez8aOolkTKD
rBOzhUBw94XTMS2MOSAm1tBKqG6hOVE8yeZu0nZ6EU/eJ43KJwyRMuzdpwzR3+xGTKn8Tpmhnq9b
rRNinXAsDvdERDZgViLf5TYwQRTfO2Ffs3yncjiIRJPDdVaE+vIFjCA/pGsse8ogzKT4EGhNJL4n
hZwVUQZ0fndlwbWof3CeZCkHig62NVtRv160EzpcRrUbYUrpe9QcVEEYyw+Mhdak0ME0+tEA6fR7
kDchbDvUOcprt7HzMlLblLGsNV0JFK/LydRgbhgeDYXxCvXruYJB6JYjVJHcyoeNhM9nPjU5Lnjr
ANUvFhXNAY8WQeyBQ1kZlM2JhxsnKoa7tsmG6jPJxAxnEzK/e+1k/Sj8JDHzfF8FefItbZAaYorC
K1Q17Ikux77Ia9c4UX/K6w2ZXmcdQ5qmFNth2i6P7zGSrfcW9i9zCIepjdOCowtUhtOxivN8OYV4
Wr8a8cwOoElDoQRdgsrqqbHNTlALgPN8ozjh052LW0C4jsOeeVa4BYOmJ1BVDpQuqmqvaVrY+JmN
hfvdohPT7PWMrGc/LI72SKOp3Y+jPle+QIsnuQ4G5SXmh3KYJ6A7WvjDceh9PpOzasXXEAXEF5CP
Sf1dB6lLHjhOkXRwr6mjiRiAniV2DasuN8MXWNhj9HX0pjp4tueAuRFQ3vT+pMEy1XvcVYLh0MxJ
vLaUjx017IhWxJWFJH5604YE8ptgkK1+N1PPqlaherF7dHK07hqv4bo4BWAxADUD2U//sOnzs9Gn
kGTKlRFFyPvgDyxMQfuQoOs1imI5oOAflGBJi7mmpZglLRlVa0Qh7zW/taAbs3ydxRt2M7c8xqve
SpPlMyBljtUy7mT7khd9MwOsCscYzA5dqP4K6bKq3Ddg7AzVZImX66XpTPMEhR+XREyWhxnt0ZH0
LFgtWtnNX+Fk1jHVkcIeb/K6K8SXAXtesYflxt5ck6GnN4k3yuU4DFkBHqiCIu1M+NPPbXyI26D0
bpPAEc7JXVDzo9VCxCIpilSGWvWoC81X5Ax9v0Eydu7+cGwt9jaUgXO8A96hwf1oN9QKszAP6nXf
UXppqJyWMsw2OZgKrfpkaUNneDcacNBIYfUJdPvNwmXj4jeSIBcoQJW+2xAOHOQvYIaBaPkI7LCJ
qRs5NNMOl3Bp3XUClbw/ikQAAZ4im6adZ9Bxv10yRuirl3kEz28Anv8KW/ofMaEfVK7/R/DSfw9T
/T8oaw0//W9IJyWb/UHX+tBmz+0/7p4R4fzHbfyjaX78Y/7HTVz3P7KP8thvv+cdcWrLf4LjFEpf
j0Yk6l//QpzyI9RjXQl20aCAAKLoXehaOP9U7H0HDWoPyzLPRi+rLd+ErgUAVsBy6OWCUwWSKs3/
Bm9Ks5O59DcIHspxrGJcXdmaQBD9ZI4mNCze44KjOVqsdu+M8R9cc1u3+bUT02IRcAhWyTJTIjO6
yHeiL6gKXC1YPmzdIdlFGT9hB4j2dpLjlmcAKhkpooGU2IjC7VeYalyJfDlCw1Wt97u+zJ7GJvtT
VMIH9XLVS+0IVQBeIWXSVTwlrwiPHEZPPNIHAbISTN3G7Es4j8ujZ1Ser/4nCSlqt0nEDj2FLzky
1/vYWQYaf+60GiznBe+mH3nqaZQKYGLVeCBsUp3mHdSczzzwyRLFU6yb+9JO9XUSBASI1ONWkYWx
rCAuysAIrgEXLDfLvCx7eDIw+gim6FRyB3Hyp4s6AIq+VApDu/6aVfmTV+KhbgTHjhNsRW/hOA/O
ljNq2uRd+qLbjbcDFhtuBqOozrcVtyaVj5qq1FBUfpmED572aaqs22Vx0w1cx6dxlqcohMLfdvEr
pE/g/NwJsM1yXUg6RnGnP+YcBbeiDuhFCzD70wgTy6Tf1zvJKxK6CTX3lyYPcyrEAm5L1Z9EafyR
txqMzPFpkPNj2zJycSqn1ZxHL+OCvYibVD6CNRUyuHHltwG42iXfJFHTbfIiu9W85Y9l5D2ZNmOE
MPHK7vvPfVfdpnrd+snM86TeQkIFDJUwXImUGECz+u4IQ36ux3qbO+5X1Iv9MuuHbTZIxJXiHiUg
POgm8Y2YbuWMnP4od0Qrq4xfgnaaqV1k1SbsTW3jzYJwvSQp9xwzpLQkPks9XiWSjm1saDAA24kS
OeRkckOr28JAhApvW9MxC2BHUshFBrAR61Qhm2Y6pati4ha0fEBtB8YAwfzsa17fbQhJ2nu4fxNM
FQvRuK5JfBZz7EO1LVeFCI5JoyPXMYndFKAWEwsizGzA0DjvTrNDWclGRsnPYFuvooXJLmkSOJWx
GS0DRy3voJqzwiieFtQ46HTKbVQbR0OkXyhl3Do6ox/V3W0O3ztMtpTEn/62g/0bwPcFBBcxaA+8
uRJut4Et2pdGsrLQSxH2Trhzs4oSR2nv5kTu0aUh1hTZbzCoP6nfvV0NOTN1sIGXv8QeD71Bih4F
4c7Ba3klQ2/XOP1OK4uvSNsvQXoabdJGmFdMyPbrr5/0Etp+flQ2VQl0ziZMvoClFtSLKC6Z4Q78
64uFq9JaarNvUlRJlpG95m0gchrzQXbtFvm1Bqjr17dwgU59uwMDlTtd7bTIh18oagnLFhC+jRCx
k+FGmPl1GMlDXef+LLJNGaS/ed0Ox8THzd1l+pucF4iVU+68FBssLL1tgGWGu4AoY9U1QELmxyb9
REEY50ccA6hue/eAGj0/ssfHRMibrnoxa3Qz6P6nHS26IN7aXYFuONCWUlvn/RVeMo9u6W57M91b
VX3KvXq3vMIHLvwagqwzU6pf2I+K3vpczK5LWOgcADQ/JyNovLC9CsD3sRttdDf6IesJomKfPU2Z
BmbIMq6R8G98bhwR96HbJLWB9Dbgqigan2vLu89RDyIpsBpwzIvmD6N4derma6IcuPGgb3dVb1D1
Qvsuo52zy0LkIlAhejRrtk/XfExn9z5a9McZuZtV3LgnSAeUat3oWMT9tqxU41Z/95b9X4in/n2o
9CHk+o+B2f/FgErFrv+ZrLNpu+fXsv3HQxHz5e+cHRDc/PX5zRFEyn8CWKVSCwcE/jvxx1+cHQOz
EBsXcB2qCoQdANH/P4RyjH+ymhyg9QgnqtDqPX6C5IPAs42enWHiI+6Y/xVfx/q4wtQVWVoov6PM
CC3FvVQmzowEDPSY2j9cI1CaRmb1JnoB7guBLtvuCdnPRc+inttZrDtzsiMylzLQX8KiEbRC6ISn
ztGLbNJaYpai3iMTl7U3uIhVGpkSyNfqxUZrh2Nfg4OeWH7oOML44VAM7L9kEQJhcGHtKvhuvYlP
hGd5Ghw3gPX5oiLN/hQZejcW6zCzm7Qi+7Lz/NrAPY5bDvOcLPNcB9PaN9Lr38b03xwxH3c9ck78
JrB5AKQuGT4Eoj6mM+ihxbSuIvcH5NYiqfddLjKxBwHZNs5+IbGN4VPHVRb/mSmVmeA3m66h9vV/
hbhc38E0BrIXITgj9ZP5xZJYbot8cvz67nXXnU0OPc8EQUxTGKPLbt1EXUiERxCFHjfVIYCxEAfF
Ikfr2MmoaNNVWdZWY5w821XCOr9+RxeHk0AaEEC05Cw2IBDZvK2Ll5Qz8EMxVE+OXdqYW1dQeEyq
+Hj7KYdDKhNwqiCuhk69zbJe8LO+97C8BOPm8qNphOSI6PFoTfhr//rmhLr4394gN2exyGwIQ8Cc
5E9UFSCpbR5EZfVUNVEMfMtqU1fcmOeGTdur9pYXDJBpoQXPs7PqI+qgkT/o5ii/hPUSaPsmR0v8
sdF64IluLNXEn8SgRAFSdIWpt5atpYQhCJsprlVvVSHszJTS5Lv+MAIYiodaFmCLsHOZG1aYm0+K
Wm3Z0HkoOy+64r1XdksVSTq9En5JpzBm4QBD5fIYCatiLJg+pUdUsii481grFMm3e9OrnFoUoKqt
NyCldodo19JdN00KzjkDVGzmvgbkctqHgknzjcJSIB4HHXQ1TrpvkhEDmimUvH79+j8yS9TUUJ5H
DtQysj7bugzRrGAuQvi/2RPNjrYBmMphX5FklAnlUoQKx1Zsfn3FjwUIrghSVTexYGK3ZVu7vGLb
6Ohe5db4zVrgSdj+2NPiKda0IrGu3sqhtuVTkFgLk3A0+64Nb6hxKu/pX9+G2qY/zDsLnU7CF1Jj
UzcxFrpYFCCQ+1rzZA5xAHFdCzf23tZ+lHVEf/4qSlvoJ03glPHt0LqqallFdhluQrcziSCxfRiz
AQncsL4Cqi3vaPJn7rxqR4OuYudinwpvY5nKKyYRlIhER/igWolAKukAPdKZh+UQea51QGpXiWil
g7CtTzgSONWMEzV9rOF3rJ6P6TiPiGGQCZ7dVGedxVn3cRtIZRBBCWudh6FX8O/NuYVlDouatwLW
qNhHxjgxbaeztkx4linQ0GVUq6JP8IC9C9BO4H7NOia12ceVqXTEMNBuKTrXlG9hpy/YkLPqgjFX
ChvG7KIQCmgI3NtvZu/l3qHDb4OP7gG9Fp46cD8+0RTFIPMaS3uVWsOGgMHueQ9zRWeBcW86KZ9S
VE66w68nz8WpQxPcUurEpomALWN0eV2syEHLa5b7Gs6cpnJFuT5rv0YiMIuQBD3u408F+SEJWhSV
DMlvHvtiILm8I1yI+CqxwifoUiM5tAdYSHgjv1LwdGrLt0fykmdCBLbscomd7BRrRmngeAGA/y5t
dUVZaiMkQPTf3MnlIkJUm8IH7Eo2bt6GdTEAnYxBJgIe+x54CxT2Xam6+/NGwwEcF8vZbX5/YPz8
8LCkpSDRwtcCleiLWRw5UQD3Rm9eMUQmftnOhlyMdIvLK4aXm9ilUP3U9Lx1fKQlXOSnUp+HBgBf
XOrV+JuJcEEdRqDa9lCtfAtBLALFS1+P0ANc4VWd9sLZ5eTafoJSylGPngdddr8fUVPB7iQH6V6t
Jg/aOJahsR71d3kl0ZEvNKMp7rw8UltgbZeNidRsXLQvv56vl3uuYVj6m4MDep1Uty/poP0YuI2O
x/3LRI2BSaD3QBBJkiZA+rCkGmvQ7iozrdWi6cZSfUEUv/9vXxacYIqUFiRrF/u7n456F6RZB5Wm
fEGR702mj7iMnXWY9Y499yzm2IY9EoxY5ShpxQbPB6WBqyGug5xdRD9VxbRvstD4zGXDFW20ChDO
r1+XIup/OBtgPlqSsxG2JyMMof9iX7HGovKKxXpp4cWr7a1rqwyE79LFFejes/6r5uRKfqmcaxVi
uCmF/Luxgu8M1i9LMJhaFjSn8BdT0qPvikc98njZFwlmdMl9aroqijBphqpD4SykhCTYyA786wcy
P/rh4DYI/5nJRfTHMWAYl5ZxNap+eMIX5oOC7xGDdBWIuhjtWRiWhDhv8Q4iBKpx+C7JQUypQq+m
qhkOLTII443JVt9Cjgq13sxLQPkoYUC+Vc9jKU9IG/GpOLLUUXDWi0w1OGbbym0Gq/Vn3ipv6jeP
drEX82jIxQvTIKQAM8qu+HGsuik1aBKW88O7dnj3pupH2ysuv3e6m5oF2DroTI+OWahZlGulwcE1
yTwL582SS6MLtzAN+/GBvVwJWY5OYjEg1rDQISpixKCGnRgzJbLV9oSXf0l/dKxbzkXUqHSGkRzL
4FXkoeBVvAuNQIKg/LOKPDOhoXh+PypkTH/jrXWxDbssKvYgpWFA2qn/dCAY4yLkLGvtfsidkijq
fAiYEaXkFAigGYXFb5aIeXH0qktSUtLpRmDHSq/gIvHCIYmNtpqc+7Y3mCHoxShPaFYI70cklSgh
Ao8aZj4r4M9KLyUbAlSY8FdVcfHYTFl3CzTTDZJt0AkI8JzVJmqMdEPoROXAyhHMLwjo34ctrEdE
XlZT5irtH6INNRwgx0Ze/btBsjcn3vBFL/OSO7FTuoOPqexUnvrrKUfL7OP+wMOrYJlgyqCq/3Pc
wabZaiHA/fsommUG67BPLaraox4kJ0lNGk5tHTUSpppHjyShHob6UH1ErZy+KvSjqNaumjDXxE2A
CZAFw6ycwu+QMfT9GPTQUlN82LJXkWRL8yVHyLZ5HhHwGT+JwcB8Yu0mhWdXfs0u2/bbcbTd4dTU
CB6UlIb13Li29Mbw1kXReIafTF3fBNCX3BqZG9rsjUCafKJMmK6GBRYpwEGsQ0SyhXzeizuU6JCw
8nV8wkbEDz3AoAG7HLrKhy5y2L98B5jqspDWMhWrw5TOQb+q2yqR28FzQmtt59q03I+yNOPHXmRh
sLZEZxo+4hBeOVOa7VpvjWD+mCLFk4V73Gw69Ej0cbkKABLoO2M0IhMSd+tG+qZC3Eo8zPYAZPfB
K/Vpup+6yepukMAqtC9E1k7/ajdSNg+LA46oXFVlaUTtZ2QTQeoEeBNO26UUbl6uvBTRWVpNDTgV
98WAk1e8RrSUB4yfZAdUgrI8/Xk/BYdrJPsOxXFbCYLrdiZ3AeAYZLgNR0vT3SArs82iH5FbWDBX
/QkXrEbcLFY5MKUXQFhV9JfRd1GICvpCjzprlKHrNKUYBycDDKHherRRyI23WinKWH5B7rEpDzIR
UehumSvAwFfVsOikPxmtKHyNQ02gW7GOgmZJ5gNqb1oU70bkBmVJX2QUbLCDksn7Wmo9kmoHJseo
wWqzSO+QXq3ITr1VN6M/Jz8pG2W+dOdvanGc8TOd7jiXA2Em6pelrz1zOCayqUITuU9Ncxx/Tuy0
d3bvfsu2GFT+oNP35nFCWH+a9TzR1dA9P7Ej3EE/zWM1Vg5tdC2Bg4c2tWZWhxS+kjt8komFhPyq
9jxVfXAa+CHpoxOit7xcCZGhT4n8ErQpSJk5U9y+QvWtcbJriE6xkYFoxEkj2IwJG0EIlAiyKCQ9
y1S3NA9appsbPYzmuF7rFUwaFw06XbNpCYSwYmgVIWLnPfTAZ2sEgh2HN2uiD1jLwcdHVv0S7p/U
blXXngplES/j6f0qMgpLbtEHV2/MyqDDeKuyjTrtrsgdteWLs4G0N3YlTu9LQRIA67/J+Vx1ftSo
s5ecX5w4/OejCKDEIbPIIBQroGMzLkaFxpP9B1wQgw8WwkuoJWmoSzAUWpG6kfhR1xR+ahD0MRkp
LTEAl7Ufu5HdI+Rfir7uH8GZ9HHB+9KipdxFGGIb042b0KGDSs1IV8udZGZxBYsf1S84ZqgJJhtN
jbw9a3wv83L1agbMdeF+4dtXj9wDcF4u678/T9NYVv1CwS3iezaqCfIutUXgWb4YPdKkVeVEBu/i
ffYES4sO99pBFo6fKSwoX+qeWdP477UAz15s9bc3ZLKF9Jd29/6qtfPH/3rJ588RTwPjdswq5waQ
LY6GlzSWVdzsYqjoPDRKjxMXCU1cW/U7wtSwRJvlPFDlMnRMNeLTvgkPheEBKIeuESED9skDwMhb
Gsw8U4bfFZloAxLaCoAvpUhzMNxhbpt8M3OQ/nvxzm+wrFhB7GvnZ0KfkVqWX5WFHI393LtKvFo/
D+15esggzXg/EuI9X2wnUw8/yTlinr7LH0UiknxzLmvdiR4WLRa0PXlSS73e80RawDBylzyk+i24
77Vcx8L6mtnVdpG69fML1UDU8Jcys0rhbDTdLtLksOCmNVW7UOV9+mZES5k17SHpS37QjoxvPDhm
/WLIsGD6tDaZPQ9PH4jp2lLLVr/QRGi28cUQ4utItxulUsTRF1u9pqLHdnN86LMwC+MthAB+b1Rb
RmjBbpsdA8Daea7ESet1zu79laPN33A7U2wpTCYnQMnFk4o2XrwbDPC1+gORGyo6oNTxXIl9vQ0D
Lm4jaE5e1WUVFYCMsJrEhmGK+gOsdbWce85XvpfOPf4k25RgEeQpnhUIJu7xStXz3M88kdG5Rceb
5BrBlJ7PR13d8oWg0c5Oed3zJwqJpJrwJwwSqppafnYa0k5pVY1NwtUBPpXDoywCJfgYwKNiZoBE
kBSJJ6s22WEgoGa9u8lAOfORSStwPTrgDtws0zddTgn7TZiVtBf37+XkpMuiJtmipk1d8PssWmFZ
+wotAanvrLc1887+b4MRIctHRScfu4faGqNR7lH2VI8+wRbmFWFEtKQ8URqOsOvkohvsch0gaH6G
ZoqaNWR1aoqfqwxum478a6M31fN2kAj5Any2VmlsTMFAA8S0UH3xhEm/e0VpFyrajYUcKp+QSFAw
qQcb66G792L0YsBDC7bw6tEiO4RBvfA7lnOCGlC+JLeubZFSVQiMlBIhKq8pCjRdhoGcffVur9CJ
ERlxP0zdjq3SkriYGCck8fFO2FITUy+vjyGbIJPSuym1+AQwJf8cl16e8ttIeBZoxzFomyY+eVai
Uvmy57i7QWLakt1nQbIHS2RCzX6OtnKsbPTCKPGi2bVyKJbLJyVnRpLPYegx+IsmFp5KgqHjheZ2
oN55YwLtxfj1rV6TdCX1GivWoe8cx8XOA+dzuvSjdtcQTJOkLxXKOE/st8wvbazQBNklWMuraVQh
NVGDyQOjCLoM0Alf6O+UY/UkkQ6pjReBBFZ2krJG2Ba5grLttD8hzCdTsOFEszKsPDKqRJoPgd5p
qGGLMe3udXCtuMEG9mxF05fRIbapX/F3H2rzWxu4lHB3aMsMuYc0xtKmj4sAOVquek6HiaKogQxY
tnIc28P+ilmeJx5WeXxTcxT0gs7UtH5/kvNY1lVCGcW3bUspNwZv200GuJDp5oHX5AvRv1q8cZur
TxRvNa4gMdX3bEPX+MQczuqDgUUVN99Q4VQVwDgLKpZySLQYnJZuhukFW95Rq9LL1U/epywxJTuR
B7uIH52rRmo71VCBm2Y4oCvDbHT3to+wLygB0KLc/yTmJfCAE6GAyz8KtUW1TVoF1QLZRFjWHWrU
TTUob1TplEyyuvMUfjGL4nwhcDscaTVTRbs7Z2x4RyxOiroQDAiMv982LBTO1W8G4apKNghUqGZN
28gGzDDYGyXvEtWy1+762K545m6kizccYzNUYVwkJq7hDJm6rf5tweFCyDmCPVKvFnllqjYjOPpJ
zUknWMw0BlbSAojfREnGatyeXwjVErXppa5UIZaAD5FcRaaVwcz4dXp1kdBTT1UCicAK2Nwk+ooX
CT14b4LTtDLvorKU3LUD/Y7VMILkPNWaUCsoGyhQIxMQ1+ref315lbj+rR+lLg/2DQ83sGsG179I
bCGrlNrYOpT0z1tjQq9MvX9qoNkZCklHPfxR3p5/6d8FES/KTKwmZOJ0rkVpnz8v/aFHNwUYTyj5
1xyB/1GWfl0FQnxyPCq77MgSmw+4/HHCCJeiQcnBf98cf/3YH0sItq4zf4Cu8PC0w5nnF5XcYLCQ
W2Xp3YEzZBuLQZKwRbctrJ/NUhI6/+49/3xB0/MUyBBcIE2YS7hOGjVIPcMJ/VJPBQcFPited3Dm
lG3ufWX/+gEv8UE8IT0uNB4NZPkMirYXDZ8J9/ew6DKSrPOOMUaLam7O0pptG5e71h22SRUszed+
tLB5RABD7edWw9agtYvgPPrNHX2c6bxzUinX4/DC/xc5ucvi8ezp2ojHe/0FHz61qEbiOtb41KcB
+3rsDjFDEIl+ZmUCD1QnYq1hi4Q2ZmWhvOAPNZn9FmWc0uYoZ2uZfbb6mo+zPgLjFKOnadX+eK76
Vudt9tcPcTmMDJyAQW7TWUYw7ieDaWyN6g7/0+GErLPamZa3QKhq7aL/PGtuL36DO/p317N1BlL9
h978RfnfwUSRAdb70/uxN4Xoy6x0TDbAoqOREf5XpTXQsEDJXSqLbNws1Z+2A2tUHjqofJ7OxxJB
shoNJ81YFwgIqQPj1y/04/5DfRawLBNVgVJobvD3j/XMEVJc3Cx2uneQTk9t38lzx3qSDQvmd0vw
50sxdC51brD5JJmXWx1KUPnchzJEf0O1jgab6gjzyIS58btG0QUGgd8OQsOjZcVbJA/4CQtY6DAQ
kqnyvusJZer3ZWXKVIWKjQXyaj+M7lDkvp6LxnRWTpPREV5lhKIQyq1ich6SUWcT/PXbfoeI/GvD
B6CMkiRbEWVM1VZzL88bXaev7sRRu2sWE/HvjYmsO0PcA2zsyz/bpaAd5ZdtiNyzh3oWjniKoQll
Ir8iigAaFIKDrahIXZuCmoh+C8cuDMu9wqLa5SlAq9CYZjCvFPu/IXyLzNWmSUxR1Js86xdIRYCX
EbZdw6+hBHhtQduz5C3SWmoHTiVJkvUJghqU6ZsUpTsPKE8/yBjpGcTaR2tPAuTE+TrTkoop8h44
ORr/DIrLOdwhc3A5xNCcYHs9p0Dp29sco9zkSCFlVeHJCAWFQLuEQJCdCrPndRP6yd45WW2mgkzt
HHNVtDYYNx39mwWJmRaTXFjqLR7C8VpWToYIzl+lmJrjHJGBc4D1FtmBjBh5v9CqVXDh1INVH8h5
UmluKrfkknlKtjMcdbrN6PBmU678GOkzZEn2YBGOozAD08IT1SGRuqaKFIipUQaez/mhN86tBbEN
HirlYCpDDt2PVYJEP87OGl62IypvNV6ptnnr1V7ljJuwlsKu7+0ZY7zynj6IascRm+qmPJVdS3Pj
Pq6ogodr5jnNwG3U1IYBCcQgGP5zJiVu3aMtp9F8Muxp7tyTQJSp+lx4XpKam6RoUThfVWxoE4Za
HfL45qYoZ8Z2jXj30swrXaNiMviEjIYNjBkG3HiNyQzGPSuaSWNMlu+5DbiWONLbndDRA3+Reg6P
dx0IEgG8XBycm77ikOhq/co9Qybe98iablYor13koUiEiiiTZk90/xb/UZBX8SsqDuowPE+N7C1K
LZwsJZVE3jPGigDanczRtcLPyuE2EAE0VyOkWu+ew6V076rC07JtHtvKPCYMxzt7ju1kPWNHvUMu
wNory4BD3kzDngpL+cVpJBoQnh0hKt9laJqKobkPmNR7Edplu2L1RS9JU2VfQz0Gk97r0J+CqBFb
knBKXZCar9xKfypTliOOYPIaIdRq7YgIlbVa15pt4kxik2CW9mlJsk7fkC10G3fWLTCercy/R1V/
h6VrddUILbzKhxZAdktpnDZyuB9wkFhH3uh+dqqo9tO4il/jtg4QXMMtfBZFscYYoD66i5lvoSuC
4kFES/Cr3bnwMYFxtiO/8uCSJ74gHNrv6FoGrzUOp7sUib4FicLE3kaJXt5V6L4usIPAtyP6VoYP
47S4z5kGbduz+vx+dM14o5udfsQINopXpaZZ14Ly4bbp2uJHmzjBZ4qaMWiDzvJeDVpQ5FlGZXxB
xiOKt9VcoIzU5t2XdhAUQtgK1u089UerbWbc2PLR9QPHCyL3a4xuw3wAQdZ/b02Yz1jHVHglhXGO
99Ng2e4Pt7OdfK3BNUQoCjgZ+PIu+TwN6JXYYK2u7LYzah9YbfmsJ211jXCdftVKQ83QwFYYmHBA
vYkw+0Z30uFAVV47ggiPzLXL7vdqjCO25NAUkDftwDt+GxGe+VFr2oQOlbE8t22CWJAXVMAasbtj
5kZZlSGaVjaIFCxjOh1RZ6rDFbTf+DQbDhsxqR5gXiuzjijkZdWxmeoG+YjevLKzHIS2ZT+iofFd
74PgJAyWz9D2HY6xNbD/cEJOam3PpbURTlfANBPNtxmL6m2iA0/CbaVPwbClvoM9VAWH0hLPIIvK
lWVmxQ5PDTxk9RyhEKQ8PrcRMh9gn7vwoY7m+mszVQgsIIc5+YGBsdAq4f5AzLjUAll4U7TAQnHH
Ww+if+YX2Kw8JzkyEzSf8seijOtVVQ3GZ4/mxqHCgtTvGz04QhoTz60rp+uEPgSiQBSCuWiACkWP
KTbqnuG1dDXMQVHV8Z4bjWBr7RI34kebtPWtHCU6o2YtMYLAR3HfoUZwS5cdbN4YNQ9mWVS7oZ+Q
h6oG+dxYwcNI/v6w1Fj17GDUzSsMTcIfCFnZu6hzoMYRns53XePBymtETSc5DbuVHg3DQeJHsauJ
jxF6cVrvwSs678WCqXKfNEH5MizD8qNngq8HpzQhxCfWTuekWNdT3d0R9+IOiZD5tda06dOil8XO
yowAXAVl7lM068pEemJHQiPOpU5lp3IPMSrwq7ZIdqndNw8gMyzufzCPhl5Y20Ra7TfqhfUt2tXN
3pgz7y7Pm+UqbBPIpQ5bLul5Hp8KoXfHphfjLXKEzX3juuK7laK0szLr+f9Rd2a7kWNZlv2XfmeA
8wBU1wONNJpJpsEluVzSC+FyV3AmL+fh63tREYmWTEpZR+VTo5BARkW600he3uGcvdcGJgTDyUfT
OV4pWtefAywa98k4aRX1JLsMoH3pHsd2lJ+UY5z9AoH/EDK9fSO9M/5uU9J5rBe7u2PBj3Z8bNbF
okgdCgQz2UJBNg503hVwrYUDNnCZ4evJKEm2SyRV1xmtgWuySATYCZHL22ZM60fR9TqgRmNZDo2j
9+fIDEiZkwq4wNriQJiIyE7TrMzeKfQiN4NY9Ct7iDQ6Bo30WwqJDJQPswGWFqBuMbEH96yeUrt9
yAxtsDpfrjCEdijjRXgYJREBWFTyS0mfy/u8a37yZ6LVa6TctwU7mBQP0eXkpIinDKEkZ04l1Kde
CnuIcfEoXyDV7L8n6jDUQazmmo43S7HOod029taRi9I5K2JbYD9u4eMM9OE924FXhNuiI8K00MLy
spLQIZzPUm3xrE157JpD7Qw0oBQQEeO+1OviSpt06ZtVOjiRCJyMKz92RHOTRuRwkD5azfF5kWRV
4klNaaBnCkNFCqyhbZeb2S6bPg7WrYfsOdBsCJTmqVUjXv+MWkGTbxSLnQvc0j4cLqjipO1G65Xo
biQCHFeAnJsHxDah4o0KW8TzjgJBd0/284Kz2ZUa0ZFVCdmlRBa6GzqTbAF1ksv0btHmUMVLNNWy
Q8Iuk528t3U6FUFNKCvhs0Nr9LeOFGUpCsoIqwL4vxB6JKw0Z4JpiOrRVWM9/watX1qC0eS0u5Fx
18uH0UmnEjIb/YULK2c69ZC3LF5Fxe0sJedsYypWdtZJcAnTq3yWTGfRePwkKhfYy9UiW1W2QjWK
K6KeUruDk5aaOYEofVvxPRDiVW96ZVYLX1f6PD5kMV1jtygpP2+WbmUUkqtAQ8oi0HtXJiBd/WjE
uZsllG+9lKAi+OO6Yns4GGOLUl3aKPssggrjit6wiGQc6cqbsGUuAW5OZCCmQF1cSwdqtJmpJd4r
Qmp+Dw5bE60RsxpUZPtpfkR+Vk+SoznFUgW6YJUSQ6SOzZuZWE+LjVkPViffMJN2/A8qGdpz8otJ
qLZNIJq5cI2oViZSfQpLsWJfqFNlGBeKNJj9d5rMRbhLa1v/GQ3D07LE0fcoFk9EVhkpBO6xuB3R
nPihHTaBzOIhM0mYDW05aznPAZRdNhr+kSGGnSlqsQB/QWRFOlRhFLdNmZse+N3Z7W3Cid1m6Ipf
XRQusBhzOmrRFF7Q+bQBbE0tXImFxUa/Bn2p3VoIQBsvGahBMR4YMCQSJ+NvpRLZN1GX0MJby4I0
VZXVbV+3HW7MicycPdXsyHIlcjBAqKW1R4ZSvs3q0LgtM1nxnS6uzrPQkC7UbNLPVUEztYpamuoO
xyIPTPXws+yxZi2Tit8Gc1EOttAZ6tYXRFZfov8ekZ43I3jJdpSnTZ1hNdTNFl+6oxQhCjAE7f0e
zmyEwY7i++0CVf53SD++DlL6fl7DRwnKbs6aS1Z5Fv/EzHIPzm/+m58Q3rDqwAy1HHLKShHfpzBw
nqgITlvERE4AMKrYWsJKr6UUIvVQmPGDXBbf8xQlb8TBbWupYfpYjSoYcQPf1yOYkuasVzXAtWEz
EXWfULQ9A8LDTUcylfdkGjYcwrWrlGPJ2TAqyS/4QdZTFkbKQ6Zo4wHvJsIJUVd7jVL2PU0BNVvn
tEm4xKfXF0Qir8nnTI7rINR/6dl6SJ9BH7BqT2r7XOFETfzcTGjQUuSuzH1plEm1aZtk6uiBLRVF
TGtMcQbmzCOuSRCccZGLVn2Ooa4DFc/5DXBPrRgME3/vK28vcuNZGPvC7FWL0HqE+LCoVyIxhO/u
h+DUBr9aaJr8xMI7YmuX7HHYkQxoep0AjpHUhvp91TNslWXIQLysbnfDIGKpH2zB8sDJE2A+wllw
AYZ2oKXYnIsZsYvbRGxpDhNYxOdM7Ugoayl/Dm4y5NOvroMOEvBRck7rBdXV3wPdNOL30mHwy3TQ
ziieR0i5kmlhM28Zwwue6CHcFlbcnesz5zdXYjvSeTkJwIYv1QWKPZhFxn3X5vmjJYaJ1HkNwLIM
ZPayHy3llq4ffCNa1TwssxvjPIBY2J0x+5WjD4MQ535Nal7koi6RqkstHhVp04drSudcyIbwGzGg
D0YpwyDa6HERp3o2bKPBpMVTZJs0Y5PW+OsxFuo5JjKVPbVWhstD2fZldqVWyth6nCrCFW7nmNVC
WJbSR/kcSDLAPv3K7DXMcRkZgdrPHNm/RD6BZE9puKWRB2XrIosrs3I2nLYnXbj9EhctaBMWXANY
D301O3d7tJg6EY0DOLzsfLZDSjrEdU84pK/xnmom+D9Emk6/bXpRJw9RlOkEI8LXbGjv4BLSSiil
E3iDDuIiodf7Pu6l4k8QS9Ng+DG6rKL0jZoeIOxIuHhDIBBwAf5pZp3w4usUYxPvQZeQcfUpThR6
EwMiVW7/pZAcCySwaFNimB0RT8aD0RhqfPtXEVkSayOky521ZKti8BbnjoOFiFYw8zj1C77Dxfod
6aE8mQF63YXvrVZaJ3nsxRhjCi5tCnASJ9swHU2WCKbj7r6PKSjYh44N5XQJ7EOe9Q0RkH2dBQtd
N94WSx6wsWfN7suh8Iy86+fyXOu5PZhwFeqPdoMYB6TurdYRZ276hHrGiXYm98BdAOFpScceh7ND
VG+FsFPmY6kjrQ911IWKyIytu3CYMWcnYRNl60HSWcU8k+P9N4kPqVefj7oflZOeAJ4cUQI51A7K
yj4sbP3Ae0g5EaVuB75H9K6i147uW/Oi6QH9yOJe2H3+XUL107nqK1VQ7/l2fFQwxW/5lUKIdjVu
Mr8yW/KPhgb9zOQuKwMRI1NPUBsa2TMniYZrA3fDjvp0ciDFVlsTivuLVJln2FZagYhscGhQCykH
uzlh36zZwlku6Saww6dyzMqg6WR10022GEuk9UP2WxBbkTG1rix9k3W09zptmW/Ak0CgjEYp99mB
ckIMU2FA+DX1rvDAl0/P0gItTZBOMdbKjZ0lmeGNhGD9amQa626bQvqWywX4his3BGr4bCcgtEDx
BgYTSdNacWFHTczHQkj3Fv/YEEoExik2oiEVet0mlPUKjOcstzuQmtYjxGKdgqUVwhvaUFBMDE6o
1txeFqAagOnLRt89IMloALk1AG3iDVqTmgTkXlHRO1Hcuow4eReuXrMPv5hoBE6g1DPLtzKAtlhc
K6xIvYE0Gs2fAM2Cybgns6o0HFplKy8X1TEvxpoiydXQ/O1qkdfppqdg9rwgpGBswOLtSZbkPhex
NRUxXc+8bE93QtvxUzQfL0QSsSnIUhEdJKbh9onD5Rh/s9KiWXddBLfv2MGYZ41uGckzU6Q2B9qg
pzfVqIUXyDej31Gj8OTtcZmQ0YU9lZFlISJDrJRkgvb6a1ANoJPFK0Z5tIqK2dTCOgzR2bkhGhv2
MmEI416haJF4I5qdH6Om4280shbwjp6myCYb45ZEoGrbqaX8YELoxLOPPjJu8gWHVbvMLu6F+RKv
pwoBuW9JzoYdjsHJSQZn2Edmg2quLckKdqNwxJL8CqYeyQQXG8JDZ3VL54r+rwzbtPUieExMvRJ+
tcTthIXskeCHmk1BObcXWg8gO1KVgehNIxJg4RCe3I2T1aGG7koAMKgUrCe9ieFgFmzAr+pXKndr
6/iL2VPPiWtmoYNMJqsT0EqwwlCEUS65XgoqAO5iCpDf2YDwz9PkAhz4Kxk8MpD5IWeBFz5o4s+x
jcmDhWmwGTtjfrSYLYZzolYb4eX1YN+Q6QmOvJMMY4UnJ1SBCrW60PJQPSdgO7OQL4Uzad5K6Jzj
p1ef4TRkZ5Mk2ms0hAAKElv9iaad/MWytUAZwOIEpm69gtX7V8h63oAh9vs4sXPm30bLz1NlxbF3
5mjcS2EspksqV1AAEJgUswviQnlMHJQYAMiU5rJC+SL71mjMHAocMHBuHcpG4RdKGt9lxtTABAKE
vhnYn3ux1tT2+tzMq1EbKUNrahVeEtOhPdSoPyJ36PNHrS2qh4a4exceCbVHlJ4IuKKBIZ83j5E0
yhF7q0naSOw8LpoecX5L3eWpjHpp35BtlHtNkllXXd9VZ52BqZ4TeXagLmDtwF/Z91SMQe9HZWQ+
C3Uh60OX25uhmdV91hLsvkkHe1x3a3KBpKekxGO1rb1rCfQ2SXmR2DgViTMFpaEO+Q0uXjJ+KW6R
XtnqBABpRu+zfVHOy7mK0SyOykMcztODE3aKK9pexvhkZH5h5+GfyJ1lAn707jtpM3Wg6KHyXBHJ
/iDzR+BATjw4LFsPeCbtiwnxQSDWEITJ7n8inO6uRb8mJNgd+WVIl5ZrJwJyzWjQi4D1AFZmb7ca
dDpEM/zpw1irzY+UYodnTxxUCJIvF3eKlepesnP9No01vdjoVPX3QpQKLToUoJmm/Zp7qv9g9gT1
oOaZBSorBo/ePC7UB060IBpvGr2tdOOqS+OaWb61SYTASlvjy0a8MM3Avug10AitrvQZic8MyAuv
nQoUV546QkD6uEiXPQLzufseJtNo/DJKvcp2aWUXnb4J9UbuJM8eDH1smLwyVDb02uiDpY6SmFBj
ulpZ2DbaZLJuILc28rQnoYcqJqnYk7HV4avbT2ZJqnHn1iLLJ9hqlhHLhsc+D/2EJ81mFCG00dF+
IZNmG4/aa8ajzUeDvF43kKjGonqRa2m2Wo9GKwJCvxUjwX10UpMIGCrhsaFCc4MxWNMGidJoketv
g2YTvg08czKb5r6yx3BIPRrENuc+LJ+wbi7TlChCUoVHIEGKLwutb+vnPlsGZXb5W0Qy02/W2ZKB
GI2ZGXbAJo3UAdA3r3eim5Hs5AGImMGqf/RStKiGm5DBxL9Do2+ZE9HNLQfmc4KQwtzcTEB2rGH7
dXvufbeXrqFFnx6HGZQimnT0ZN43QxNjxsIZJdZvMMGrB7T4S/gBfyfnhYPLavMT7df3Pfn1iqYC
AmlVOdCYxzX1/ooU5+xOxi/xUvx1RbJuVgGGZpQNrXmouXqPCG6QJwnLR5LSFPzrlv8Rz+E/IF/9
f4tzWAUg/57mEPQ/f/8kcuPlLchh/SP/4jgof8B8UekxcwCwWI7Rr4wvfyEelD/AWalgHhDA6QiI
eaV/s7AU8w8DgBavGTOhsf6x/8tyMP5AqgVKBWvRKozRtX/CwuKHvREVGViUQARgGtGIcnXYMaz+
rDfRgSYtHmfGcexNhfIjbGj3VHrHrmZag4PUU8ISff3r3ra018thiMWlqq6BgfY6yN9cDvQDsWAc
mr0Gkw5HRcOGdKU741NEw/8MvBJxa4mdkutiRFb8u+pnUe5Eoyl7OVs62TUVPIpuYvXqY6Pm+S4p
Q+kmpbiHIAk/l95X7CCKOnmyEo4UvT2QAGBSiAokkLR7ZINNYEWGvOVwbaskWCdnUL5gDeeqeheD
nhCbCYxt4gxqt0Kr9zOih/WEBOaCbGq63hGyZzZJyywcsOxD9o1ICvKLOMKn394Mo080WK9+0eNn
heYJ35GDngSMxPtnJYUhrRm68F7j5PVTCZn2Ow0QQ/FNSdY2oF1K4ZLWY1Us39IT/02Ptqqe002R
6FWQpJauDEZAENCi17oK+/S0JBiIPl5KfZwAjyRBwZAndHkdgjZcup24wzO9k29XZ8JWqUzldzsM
KVre3jGpXGDsYMtuEIlWmrtJ7kDfWwiUz+WkFbtx1qRDNRT9drGWjCOt1rKCLM3dYJYRiQBS4y5h
Ijfe189JWafao+eE6YnKNSVelYLO0XNalianPOe0HgYk2wWWqMD5jLqCZpRtU45WUnEwALVi3kEf
ofSGO3UaJd88I26DAkPABpfdWNtT1M7ke6MLkf0D7nULcFr+iR/7yQeAG1xGzUFkp4Y58P1LzSOL
2EUVYlBZhqnLD6aEPjkPSUOFztKNFtXokHA8kgkASpZuWywOrLSMDO4TP2S90NFTQ8VIfO/qE5M/
OG/TlAox0Xmdl0VRjmC+mdgoNYqXRzqhlZ027aDPmD4ziI3/IgqJDkmpQ8OG3Ch5WJ14LkeCn3Ua
gn+roi2CW8KjOXqHXW4sHIGjzls63o0hcTovldY6NVTer9rrbMeMykVMnWI3pIGj6QcNc2mpVUXx
DL008Y+52EdapcKUNYigCuOx+BaGpLrQ+Mu0s5SKQ0evT+7JQhjQefbbFAkiGt2hDC/GvqmHEwa+
j7MxbkkwCOujZX5U1sf0ZnrsS5VK1yS3XhjKD5E5HjiYyGe9fTXieti9joB/tJz/W6rSu8X6SryU
NEFfXrqLn+K/3gGX/vv9P7Z//TMi0xUj+e4f/LJLuvlb/9LMNy+wrbr//q+/5Kjr//L/9V/+Daa8
m8XL//5fvyq00uvfFlGoerv6rsSvf79guy958uvdar3+7/+VlG79QaosWlPHhNrG4swI+nu1tp0/
AAkAPELg4bBy8W/+tVjb/CECeBnEGnJDQHjvFmuEqIQeO7gxHcf+J2v18ejVKQmyHVDZbvJ3ydbR
nrNX6QbQX2lxR8d7O7a9pGwACi/bN4/jk4Xn/UaTCWG9DIYnFl+daVVZPaZvBuG8YHlTl7kNekk6
rzoWy/k51H5rU3yd69mJMOwjR/vfV0M3yUxkA014dbS+uVrGLSkhYv3AbqzLCIHBJqnHhwR79iow
dDaNLvwJwqKrz4rX0D9OB+lJCYvb0kouxBLvp+ZGN+NsG0bts+w4d/TI7r9+IB9WmNcnQrEDFTIP
X7GOPkuF0pE6YYmHKDeRxqIYG02QNStkhdZfjlNIqe9qooSMSLphdif1QwIrKKXTtZ46B1md9pkU
k/th5Cq9dbYo0lSceGmvFL238/n6GxljcBRksE62cTS1Ib6tlswkSwktIUzJenaVvtkOKbV/4KJn
NAsf9ImMJeIyNktKZFmsd65W45bUCow7FO5kqX+k/fA0luXtEpW7inhV1yJJyP/6cb4Xl//1xklq
YwTzpQEmPNpySoalQQfhadJsKAIqha2fkMHqaoTTZpVj7SC+sHtpSnLzRtn7+uLrq/rwmEwZdTfA
BwSm6497M9zk3haUZEQb5HDyCMziO5Iev77E8WeKfJqO8jqeTQ1Gmn50CehpiR5raRsUsn3ez+0u
MbKAvdQJvfGxbBx9KNdhvUDjjDWA08L7WzHRec5pucpDneYlKm1x0bKj8ystRwJWWMi57BQc+JxH
3npix9DZ3Hx9p69b0LdPc/0JSKtlpj9Ehvzf+59gFEjx8kxqgkx3SJNL0tFnmzo806uYt11RNaA/
u3H+gUhNcgcpVB4jrJdYe8iJlY1MxBtgB8nLIPJMAMivbEQJ2rRfZhK3FYO/amviaH+amvCCfO1L
gWLiwigtJ1AQaC3pIjxw+i4GzNRF4aIESm9e9ULqAy2KZG+MrKshq7ZTuoTfq4qSVJdGB0dWtR0/
4yDJzeATv2FsQ2WK7tj26puJeLvNqFMURtFxZQvV8vUkxcuTUdUdKa25JLYekBfm/mhV+w4uBVIG
ziWmFW3oVUo/pFHKtrITlT68rGe9QHejmISohbLkm3Qf1FH1taFzDoYTn/iwXg9rx68Dg4pjsL0B
a3o88qqitwkzaZsgr8PYR2KXbUAjxezaSPJh1irH5KaLHWgIkz2VnhBxH1i4nvZYHeUXbDr3fY8w
CLcZpmFG9kZHuRJQokQGGtkSoTnRRUtdJmoiJmRuWfoxNfxL0UQAOUjWfSJPZ3axhOxYRAwvIuTH
jWT7z6+H3WcfmAG3Fu4TA5Au3/tRN0fyZCwt4TaR2krfMWx2F9HS3hH18/L1hY5PFuvwhkrncD7n
P7p2NKeOdFMaANVNIOQc1Ue9EAxNNB18QmqRQNT7sfOHNn9MGQfu15f+7B5NVUMxgjvE+oDvkbWq
UUQnmqBNquyF/u4F0F7lMSR17sSVjpd7blKHoKI5wCM4mB97PbA7Gxz8QhGgJ782epoGgvpotIp5
F51wbPH76zv75KGaKNpXuwvlC+cVf/ZmBkZ5EtJLkxGUdAl1K0JOlIleJBojLxTKhZ4pnEmLEzf5
yePkosgFcU1AVTveZdCxTfMpoZxaRFrmOWZ60EeEo6su/sSVPpuWIU7x4rD0wH7RjqZlY5SoB2d1
E4CgeInm7KdmjUvgGP1mcJrIM8ZpP/bdnxhqyk1bZL++frqf3ig1A3ZSlspx+GjImrU9WA1SsaDR
WrdA6WOS5NnW04m7/GTQmFRybCwK1KG43vtP0Olzk95ZCVdrUYetupT3SZMjyULwaubKHRFYzomj
0evZ52hy42RksGZD2FpPru8vqSh1s0yNVAdq5xg/iCjYqEQhx4nD7DvnN/M8xZ6kmWJvYkn1bbVJ
H+1W+GNnVlvDHJc9ehHzhE/u85eNvRiMGae2D7tXmvrCLqOYlx3KWxSl8CLs+SdmkmYiad1aJsnX
5f7aWLtkY2f/XZL9tz69T1+DQ0VeNVa6Mlj8d7sZK9RS8GKgiI0xvekIJwwLcnrM8nImeIMwpMj7
h6NrRTTp7IBlvDIUMY5ee8qJOYtpqgSkvG3iSjqAxnHrvjyxtVn/mnevmsswwVPvoLxufZgi5EWX
CEKxiwBxFnod1PTdHfmvaXtiFH/4WNbrUJel5rACsuWjnWhUDnlC97kIikq/1Q3hKaNxjbfjxCj5
7HaIO6A2BWFypQK+f0vKkuW4UbUiSNMMPoOBNjyRjNuvX82HoaApBn0B/oOXCfDb0eGws9NBTN1S
BOjkfUOtDoXsHIa5prxK7q1ePv9nlzu6J4BcY8jmvgjqcUaS3VyBA3RDmRBWEmObqj2xp/707jgu
cPjW2PUem+vKuJKhNwxcTsDJtp0AvXAQIy7OExtpbXtisll//dEAhBtu0OFhf0t36WhgkDwSjw2Q
hYCgKndSCCldauLf4fMYWBfnXT/TXiVN5+tnuu6Wv7rq0dfcmwJUW1UWAbK7jUgWIoiQEdJbywrT
//pSH4akDB6LpEWODmwu4FS+H5KziVBfodEe5ItzptbVD/jmJ+7mwytbL8G3y0K01rKOR31kpn0e
LnR6I8Kftno3IN+Vmnk7KjPOmegcEMzX9/ShlMBO5u0VraN9YeTE5dSQ6hNElQh9oD7DlcC74BXl
8LM1UL76jYW6Xq9sw7NIq6WYeejN7HFo1cvcFDt8L1MQWu3PoVAvohrbWWNRB02t5OXrX/ph3uGH
6gqEWaypazXneHi1Csq8oa+DTErvrXy6AGByCRPk2392maPxlPUAqM0eobrZ1rKH9HET5VPmhSTO
nZhIP4zcoxs6Gk5V3uDHINA3SIj7hhfhAyC8ynvzviumU295fYvvvpL1WuuGFbY/FY/XJfnN/nG0
5FUi3iKo1aoVPkSIObLxJoOnYRsXsp3vpSzfyYleBXRob75+pJ99N5hSTbS/qzV+jah5Wz4YpyQZ
ZcEQK9D1+CUWyOe2mMTDf3aV9Ve8ucWqSyY15ogFp5QA10jx5+hUKMUnu3CbriIwAXZwTNRHY2Ny
wjpsa00Eq99pqMZHmGQ3SpteQzG9lesi9wwnOnXU+HS7ZDOfsmGhc6685vK8ubESse60CEsE4YJL
RyqnyEctV3I+3U8WuxjywsG5tAqxWDkAYkW/+/rBHpl9qckweNiYc9/A6zlBHhUs0mkOJ3UqeH9C
earq/IdE8OcG4PZGiYrvU5096iL5s8Mh5XcZoeFFVXhf/wTnk4+fzYazygf4GR984lXC8ILwIoLK
aMKA5tVLsmCIw0fsNoZkuUM8zxsgS98QkWlnRZGNQTeofpwAQ5ooOHlURTFszWEcKHV5FmE1wAQ8
5FsCMsHlmBMWpCzb0+HYNCVpQU21QG8fom2H9rRt4vYc0eH9LOG/KifjfJqcLACRCC1cSbPA0sJk
o2iD7HWjRLOvXB76JKE4EyUhUNgWsxxvzJSW2TMlVNkoDwmBF9nkzlp2i/Q498xKvxaNtYdxFJMu
SbweOz1lQ3PlooxEd9BlInzVJfExqd1NA7nRgmbL1EyHyE60IItBnmmRjYl1IRMVtB2yIYqEJDku
LXE8Sb4dpPrWTNDAzaTH7sNFu4onDWIMGh9kvGP5qKDOcuUqPK+LZgzaRSKiG0PQAKljO8uSuTEF
mbc0YAj0xRZ4lq3tTyqOfxaG9Zy02aVWzvtESnMvapG9YeEzzntSXPZVpG+/Hg+fLJM29n2b3iXt
fP7r+289TEvNKcjdC0gqSDcLqaE4nuJvcptcR056w586MVd/dkEqJ+DXODWsh/73F7TIkJNQLomg
7NHIidyONj0wQ0zFeEYHYuS68sQtfqhN89UBlmL/u+7mweseXRJhYT7jbK04LdY45IBw+1Sw01vU
Op07lMnPvuZfmkhofOEY34qieEHEf+CnlReRSv50iBBorzip6hnJNF+RzVI+65KqbXvFbPEm5sl4
4il9NlMgs2CaYJZS+FSPJkjQ4NkMD08ErSgOtiXO+knqzpYivrI10W4a25LcEHchFiv1T7Tstzqc
5xNzxSdThW2gDQF7IjNjHbcrddBCVtdbFatNsTFykslQTm7ixbJP3O06yI7WVFS+63yIDITS4dHO
SWuF6CF9VoGaFU8m9l8qBycOQR+21IwBJjyqBjawCsAq74cdZce6T5uhCrJRvW/Hpt3EJQa8Kt5R
YAXsw+7HjLRvVksP/Osv7LOlDigqewY4TSinjo4qgDFyh4Z6FaRtcpbZxgsuyjujLa7nuLzGKIwp
Mz3VXl9H9IcHajCI17oAxd/1I3yz0BH9bi8y9tQgywz8XeFyW6MTtZLM2erheKKX/9mjpSPI6XJt
W34oU/Yz/fjJdkSQGybOoD7b6H2xyTTzXFjVuaRbt6ASUDzKJ1K0PnuwtCEJxUZ5wYboaNQYo0kJ
QFfw3CoIczBJYT5CgpesmeyKj0IOq0yW/fj6bb6Wlo4e7YofsR3A0as0Zv1o3j7aoS1guMRcdXGy
PZWCg6JQd9Fb41kj98Il69x07al4TsxuR53YK7PsXJnxesHK4bFYDngLKy+2EYaKTdRohu12lobV
pmK6b9Jfui4o6kutj/y2xWukGRulbW6tzHh2sg4HzqLh51a+a2R4gBZzLiFjSUErOSTQVvFPoakF
zqg2omlgn1NwRYekE3KbOlnsNy2aYMtq1O2a1OfBibr9+vGo63f04fFQE6caBDkE6MP7x2Pkuimc
KayCqS1W86Sku+p6ABMtfLelMs70mWBwEcpn87o7iCW1fsKducXBtdzKMWE9mEp8q0IPDJjbx6au
8zBqom4T/dG008LDhOpsKzM+VfL+ZGFyKGHZxEGsyZH60YvtIiymWSNYJUx8vhO/x+3LBRdqO0UH
W/BW+9q2T3w7nxwa13ICRRMEVoTmHNeA8nwyVKg2VdCMerftJ6yZak4pUbAuU8sU8pY4iWLjoEnZ
QoVXNpC+mUrSEsVZqH0nMvmZFJr7fggJGpSXb6kw9TOQIDW+Y0c6sZJ+siqtmwQELFTH0FUff3IC
r2Nt9XoZyJgqmi69w4XVYeQhPawmnXz9f/MzkU0rucDz1NfFblRH5cS69HHCoSrCXsXhodFzPp5R
p7Re83fGEuVUhg9UvpRlzHbt7IPx9MrZOYxoeA2bOtfXg/vj+QFIj40IlkKQvsK51hnpzbePSCkx
QvISAgSZCXY/JxDxgrG3szdy9NyE8S2jFN5Uf4HC6utrf1iLjy59tIogcVbiQs5ZIrt5l4XTHsX7
YRT/TFfMAeX9ZY57W/ag5rFVZ3wEznBR5j1dkjYAj3hiIH1Y8NfLKMCVmEeZJ44BS5GMb1JLeZDj
pDd7oF7VeY6S3v/6mX3+voBerdoXlR3g0cZPXezetJW0ouGYbdVOv41N/dJM4ufBca77CFMN3enz
uql3KoTR/8nFV6yhZSnsO7Wj+UTk2AeyMeLiQjpbc/n6MP09Zx3x6OJn3dX7KIVdYTd3mBf2J669
VnDezcLr831z7aMbTyWKhcBmqiDCH204ud+Yq+SCQ99s4mAc7mo9fZhs6W6CROIoxokP5cNUul5e
XyVunHaRBB0tAhGCT4AjThkM9nM8qy5ZqOdjfaXm6Q6F+YmLrffy4V7fXOyoJrJIkcQB2iqDosST
jKzWRE48Girtp1Ma+FOXWof1m+8/lFEBcDQsgxY9azUWEAc7qqQ3Kt21r9/g51cik4RlgTioY/aW
pveiRmxcBX1n6b4wTfwl2Nc4yi7zpWoSDP8/uN5an+CLXKWQRyVB3GvEAa0Ajtlpevx8q7VlyMU2
bAqIX5OWnxihn97fm+sdjRBrzIZehcwUJJG4tpTxom3qfW2D/FK73f/k1ugTagY74g8N0XSmOpyn
YRkoRC67wtYv0SBvmrwY2R6eUsV82JOuI58GIcVrLBL28XtrJRU8sbPe1wxewTQLP2nMy97p/LZe
9mmOsEjSvn99gx9XZSQ41APNVy0MOvqjLwC/jiR34fry+mRDa0zy2jB+7urCVyKxl/TiQHgXxJ58
Rghp3eZDc+JwtU5lR5/gux9w9F30utDhEfC91wn6udzc6bQac3u8+fpGP1k1GDKc4ChZ0zx4Pee/
+fzy2oTyMvFwW0WJz9ib1wRd9KeGJsrJj7dDkRBvhMxOkBbdOnjfXKftFqbtjD2sqUpPSQKKU08L
c8uOgLCB0oe9EH+DdDT6szb/mkWKCoOSn5epiUbxS77NpPpPG8oMVgJ1IHU3bfZdT30tr8Xtik7b
Wkuzm9X2vK60i3RSv5HdjAEsMaf9oMTDdkxgyMUDXoR+mGS4II4EJU98pz7VHuYqcoKOcvc2akr9
PCzKbtWu9WiZuhX83IeMc1Qv0E2EliVBOxT2n9UgRztspQYC+QQ+vXQ99FpxnnElrzIX8rXR+Sq9
ZnvLoJ1DwOm2Q+v01wuArHFwst3QKGpQWtx9Viy/RZfpl3WoP0TUt7wJ8UZt4Ea0im4IbF36rqV5
fuAlPZEOMd0CcNE2Fck+rqqJZTdFDdaqObR2JtB3VzXyej8OUu9JOLvxFaTnPdbYSgDpcAryaa28
r79BBLCDvrTCK10vlAC5K75ZE7GUbnBqMpXOi2IjwYclP+L7uyPZAZNvqV5ZIRgURWC4NWfV2Dat
MBEOqdYjAQI5Dk21PUCR7Cj4SfPFnMkjeLwl/BaHxrABOtycoXqxNzVf2BlcVpg8a/FwxKv/Ii1a
fWaqs7iUG7aea1wQzMjGd9IOUHikpgfbwOoMtXHfyLHh62Yn78cyOigSme9GkcM90hWgDJpyC9ni
Z1iMYK7G24Tu2xkm38IdBCbczs5+lXouLkkkeeaYvXDbjqdRP3cdfekCTfs/zJ1ZchxHlna30htw
WczDa0ROmIgECBCEXsJIkIx58phjW72Ef2P/CahLQiaykC3VS1sNViaJ5Rk++73fPV+WrAdqlgdE
QmsDZSdnYIpTHsKeHXp08BWJuusr6i2wVfKXapt1mCTmCv2HvhNWcUvknbGjUC6ikLG1vbkrza9T
BbYS7EnSXaGyG6VHBeImS9q58MnCD+tcRpeDjJtHFbUa9t1Uart2rm1hrFkrezbKS6Nrxl1OLDH0
k1quk7D8WjpNtgn1JPUHZxjuHErueR3q3YVoYLFYk/I0iNC8DLUw3cug0gWUtYSyanf0xGQEC5vL
gOpnDL9TdJZsCzq+WSvIefRNX1hKTSmDKm4so04l4WNpFljZU1uiQXGxw2jT63Nz1xWdtrVBbrA5
WynVgyb1sgK+jjlX1VVOquICC7m1CU5tm8BZ5o+XX2yl3amgQ76ZnVViTGje845Ov5DbVDSvR8p8
UfdW+y3SKyyxqDLA1mpqhp9mFGmGlxlDX1+6Wj04FD6KxE+T7iGe1J1NwMLTqHRvg3FdicHPdbfd
ZFFrXY6a+WxHo3pVA5z3uiqzqaC051vUvdBwQ7HpJGMy4zy4Vuumkyu148WG53Kw0NDcfpuptWBL
EcNwrYXht1YZrHXQcr7m2HbqK2qHZ+xN0IluQ2dCJ8yz5xNUpoA9Q3Ywg9SpCX09n7WNMpeEPZ1Q
zsAcGrSGYVhrW2F3Q+JXcoQ6YSdldStE0d/YgCUvG5U1s1ET6qBzSzSfIZuoF0ZWGiC9ciN+Gcvg
FpRK4899Y61Litj9XgmUO9GTXsVgk51syq3iGtDERT804ELCAYuo4gfeHeNiMRKHa7ggs/RFbBKT
DLLAohjeDBs8xuXwySzM+1SnULnlBe0ShblK0winBejRKwrLfSU1btMu2aM5vhtUYxMF1RPWpz/k
VAlKwgTsu+yTEyo7Ox4ujRnXSTu2sK63o8jvpPokKED2mXvhqnMSIslZdjmhl9vOTXkFCvsOzACR
mFgWa2gnQMjU5CvCIqpYC8AfcICebJMTo+biA3FO3zvNUtuPSft2jNo9MbsfucO8GJtpWPVDiEGC
MfgcOV+0jL+M+cMvGup8PAFu2rq/Cqr4segMOABPfTsjqZbdExDHpwjsGDuB4JGsVPeD235OHf1G
5EXqpW157cT2ehAG6sX6vm+N74aNsG+whnUwTySloRjQM+rk3gkK1pXgi9tJ6vvxmqDEdeM43U1h
hZc2cAVPdQcVQ5DOXE01gVRLRtdBYfpBm/9MABoa7pcIsEpduY9FEW+IdV+URvQLaPA2yZubMIuu
Iqq4KbP+qWTFI9biK/Aww+WcakuwlFs8BCcl0T/bqrji9Kf6p9tC0NwSPP+kh8/q2GYs8+ipryx8
HW1t8RaE7JwWe02fd67FXjCGWXEvVFZ6Oudf9H7yhsnZUnR9S67Yt/rWJBUlXqKemr3UCkEd5isj
Vp+F0dwZoMcv2Ge8znF+Z039nvaTb9vpuqU67rtLwC+M8itFSmcbuvdWYG2EOjrf8jK9aXPrRrZq
RpE703GQYjdlxmUbmOpO5y+MelDukzDKVrVhjisbolJq9uuYC8mqcNtkZUxW6xvOvDXq5j4txp/w
W/vLmtx9e5k1Q2iN28jq4+brFI19fGfi1yrLu6C0x2iN2BlbjDidL4lg/vr4GnbqWU10D60DhcsL
kv7osRCMGEuJiUgZwptruwfVge1I6Txrw+2kKbfI6r+ExrCDu3XuTX3iYUnOnXDvYi+JefNRy3WB
HQHTqNw2DRYIkbPLWuGnAOCz4ZMbWHvoKReLCgjFAfPc+qnG5uUk7bsWRt7cfFMysWrPKQLeX36R
20P2WIJCy/PiKCgET0aEIXybbRj0/qB1kL4LXyDr/rjX319KVT4aP29Eucr7+muwssFi9wzIETAy
jt2eEOwS8z3gPk/poWJAR/u4xfcfpqCeAcWPBxNPSmv5+2+uwYYCh7FdoieDaV04ao99SHczC3P1
cTMnnoJLXtw1loJi6iePxjRKYqUgdVpuKYG8DCk3zCOBrFlulFo780WnZu7yMOPyg05tQf0efVJp
DUlr0xZYFS4AGJBM37Tii9FUs68XQAnBMqwmQsuVcy7vufxfv3sj/dX0sc65zGVQxC29OWXTVRiT
P3Cz5eivLrA7WLiuDXlQ+7KHWPpP+vfPbz5eM40YBfZaUbnVA/cBis/GLKpNVxeftLG9/LipUzOG
EALVW8CYF4nMYfeOwDbGqiDsJAqemrp6xxPFL53u9uNmTuwCWFDgg4G8mXE8TsGEAK+smfT+Fh8+
z3KftAzwSafvIO2vMdY8owY9NWlgXlNfh/DHIfp9tMAVq7O1KmtZB1NzaSn9ZV72eKs76fdZVoQQ
6V5M4vXHsI4uLfucoPtEn9IomWvK8SnFd44iJSnomR4ACcMH7Aa82gSC1rYAb3SqcWYlvt9iFIoI
l3idhiSAYrXD4Zuqpo9HWWOG1s/mVWXm8ybPtZ7kwxDvUhMR19zM49qZW+tM2ujEy/5Ny6pylMqr
RMHeYPORduNcLNnDAJTXx5PmxDazxIAYRpd9mhrLw48LZ6vG+pT1Z07tFeXjjv5J5zmBk+CZhk7M
TsRFKGtUpOkGoI7DhnLcdqJgYI9xUvlVq+9BSf8ohbOum/DKbqwzq/vU9HB5YWAdzIHsHK/uGYqd
hC1Az+H2K1trI6FAh+O53jsxQMv7UKMYhMJxEsuHHyUxrZrgrZVbJAm/y0WaaBp3Hw/QySZICRCs
p8ySiNZhE2NWzEql0MQYTzdWntdUPzsP/1kbyyR5c6SFGpYqkcsGleSmT9rRa9NzSYcTA+JSRE0A
EDEDZ9rRekX1MlSEM4pt6ypfnDL+0VfYxyNYPnOWnW5nKezloYr4/6i7+tHJR8WincKev/R58r3X
i8ij/GP9cZeda+eoy2yw5LVZEdtDqoPxWNqvBsd5gGN9phL39PD/9T3LsnozNAJ8Axo8voda3TvF
1u9EHp1LFZxsA3vt18JI1zyu/ekmS1ouWDSer2C4Am1Xy3NXjNNNkJkkgGiz2RzFYitnckZkCQSA
W0EFf3Hd98bu4xE5sZMRakTUQT2wybccbZZKv4CyXMK95Zz9MoLuZsqj73WTX2Oe9/f3ZZd4hWVw
rdXVd3k6VQIwYviLLaSIxotmPqn/21oVJDGoY3RINOjB7KUa/u3Aq26Zuj04zC06pE+ugMbaYzhk
1LgVJs6ZQPWp0Vkuf9TGQsGw7ePFOUB6wCmXtlrlbm7uw+DcDnNquRjUeVE8sqhb313zVAmiwuwZ
nCm/Xl6VZQAPzY7PaF9ONYMEBUanramMztEcyBCQOGHAIaPbiWeUsIAlrx5Yzh9PNe3ErZXj0uZ2
TvaEUoSjVTkTC3eCjAlAEPoWYw74mxtNtcHr1yu7MjciQYHmQsCV5oVJOEcNte3QPKdW7BWWCuGm
8NOXfF7uELNn1Lk3a+4WZtWK+/BlMRifi3JeCxvvRh32pv6pN80zB+SJ4/jgC47O/SZqUAK4erHN
2oVa8701tC3mEjeaIdeGJrcfd9jJ1uB46tTbMD7Hb6bQ7ZTYrpjMsYxXynwL28UTUe2N5a/YPZck
PDUJuGn82djR1pyP1OE6MY0pEbFaB1Z9hz+Q9fRPPkknEcnFEBXl0fusiNK2cUY6cDQBpAUOQLNo
G6J7r7jbW/Y/ONYQaP/Z2tEK7XtizlVJa3NpbzBn3ZriS6Sd2dZOdxw6Dm1Rx8ErONxyAshtWV4h
Y4HpthbFneKClJX1mU85tU9zY/+zlWWuvDnRMuypscvTSMslgae4V3MLR5NQr2r8h59zNMXxsIn7
SaehXi9XTv6Sac9mrZ3ZCk7ObJRKukOx3+JZdfg1nHUObCV1uQc0WzH80q16Wwp7RbjLF7V75tF1
su/+au24lgbtQtw1A62BA1qPobuaKeyeHI0p/rfFp5w/7nKaIhMhr3g8GaxagWNnTUwG4LqUImwW
m+SPl9DJ+famiaOZ0OCjrfRiZCbY2oqoMm5O8Dn/0Xyj8p7LJ4cbGv/DESKfEwdkNwreqTfQFqnc
KNeVwqv4XDXzycHhgMMukP96J/gMjckuLJtTtCXlNtrWelJbH9KsZ+QPH3fc+5aIram8fhddHvZn
S8e+WUKFVrmLQwmXXNPa6PhhNQ0Zkrq7TXh4f9zU+5OOpigXQyquv5bcHzbVa3iXd9SubgNhb5x6
+oL8YRup0SeRRtscD7PmqoDI9HGj7ycGjRJjsxSMo5G+L9//5vvS2c2svJi5LaTzWrGf3BLf5GY4
M/3eL11aMTmPLAKVS930YSt4M6PZzhkv7GjWlJSQAMRxVXnC1IiognVmzE5+E89mIqKU9r9TrtcU
leH5wHpqRbpSKTTJBPlCSKWvXfe3+FH/Kxzk/w4y9VDm/PsQJ/V/ki5lMnr/ni5FqU377b/u45dv
b4lUy5/5F2FK+40HEPWQwBYojERz/xdhyv6NciwIfsg7wQcwrv8CTKm/8QdIZlICQLEyWZc/AVMm
6CmOhIUpx0MUNujfAUy9FjW8jZFyKedJY1KoASuB+/PRPinyuVOyyU03uDSomsem2a4HqvsuBYV8
pe/mE2VCUaZ9kqj91kJY0Yq8Ipn+PCm/pyT3n9/03f6Plt/60L5T1vDEArdkEpuGvAQMc5nrb9bn
HBKQT3vHXk+joz5EjaNfSKvBAE2t8DfqemzWrdi9LhcxQT0pwVOh2cpdgU/lmUWF6IumDvqGbMuy
qnhWanT5segVLn7WLJaia/AD5BicHIensS8viilUrzTV/QHbe/RHKREvOxiJb8exbCBX9/YacbBy
PZuFujfJo/qw7fWvWiDMbS0BQc2xinKhyDBMb1vMQKjvumntcNw0ZOTRbCv3tdm+YCISrsus764N
TFNu0IVFn8pmUi65AbV+Q0LL8UoZy31Docq9HZXEl3NgyG5XwehHgYE0n+qBX/poWNs87YKrzEyL
G1RNtl922RUO7M0WAXPpxyLvthDNX3JIiBzI6e/8EKQKZjT9IMVZIM0W5KJxdfdDO7w3suwKR2ID
M6XFG1bPx2+piq3GGH3KMhLetaK/2CJ9thLl0xBVj0Pf2puaRI6vFfFNWkbZVwd/SB+IY3SHni/y
bAS8OKyo5rVUwsU/qp7WQyObm7k25xXGp+MmjczmsRiKFFp20Vw0abkYhqv6hQuwEzMFY9I9Dq+U
xKh+64ITfkHsEK/NarRQSyQvee3gXzI5QrkNOjGQh05QupR6ECGSUaafxRwiyciVKPPKPoX5D0t8
8aOwpPEtG+o4u4Rvci3UKA520lX9dJhhIZS7pheKL/ovlQn13Wb4qrDGmzPCTUpY+XcxSbztol+k
e6g+jNo1ZIAIb5BW2YVAWFCclPIqURprB4a6WI1W9uLCiV6hEEVuAnO+msbJgwzd3hSG3m67xbeu
nwycVszhCgOI6FGLHYzcDADSyYwIup+pvCv174mLXfaoKhfobvIVsRFqiTCCe7BJ0HuU3F1H+Afu
RDX9SFCQrImgoaMeIDtpMMh9aUU/wWjuyqn4mjaziqYlaHdVlQ5eA0NyF6TmZ3y9Os/I6p0tFPRF
tpP72WDf6sgXcMFznPpCaRVlTYLiPuikNngk2XwwN8q+yoB3bDoncBGnWMY+DMJpN82d+6iaGkNa
C6wiKpyNcCgJ4ksYouptaaXjPtZbfFmdya6uyKtY+yLDcQ3rKrnMZPT86wpVpel3Gp4Oq05Yc+pj
3BNdlewmq1hzBiicFfRLrZu+xYqS3okaUiywVxjXqSHsGzwldRXSU2oFV5bbV9Ft2ZPB8mOEFbyw
m6rQZi8YJgQyI6J1x4uqelTvlNIc550s5VRubLDwoHSGKkNH4qS3Q7AZzTD9WszlhZnkD0pcmau2
D2NSUV3gT20WYEhA4clszgr/aFRd6sZg3k8YiPnhTPZfqzXqGUUtK/jl2rfMdtVvbHhIdswoK70g
R0LTI6KPyBdO5u+5EYifeFJ1d67TKQ+ip6hOD3Jk0EFg1z9EGcx+qaX1RsBs8zI59Z5UquimVQfp
1eOo7eyhoZzeUVDeBOD/7aydt/qQ5Z1vjlG8c9xkfkIx0nkD6MrHKbbcreP2O01thp02xPYvfAXz
caVgEvNcFn39OSrwW/Ml/kVXg6ziBNC3Sv44QQHVoyTHJsio+lVs8uQoFuu8sUYmYE5MNKlJcPWO
Nab3uN/m7GlM130+mu2XKEXt4c09IP1NZ4rkAsftIP0yu4PlPCS6mjtbpGSynT0nMmX1c3bqcdEJ
JWrwKTaMZOO6DfGVpE2sNdEFBb4Mxpk3VaG4fo7Iz/pig55/COziWpsCJCxc9veOOUhczMLE8YzU
UL9O2ryO6xLFiMT35AUrvI6CEVu/SPRiWKxoAIupiPTKyq10TqxkwDvMHPC2aFQfm0njQq9sgA9F
l2AW2ozlpnaD8RKvnrlYpDnqA7VeeI3UfTOhB4FljDhDjuM+NMPf9THA+ENOzsw+UQTXdWpnj7wa
qejt4k4DqVomyctkm59jyYMMup4z7guKKvZMmXFvU6N3XZRVVHl1EQm5bppKfVhSHg8i5h9yncy8
GAIS/3XPhqGE3MYNUtKfI0cOO2Jx+edwyrPPmiX2rPfhIqL/bzpcwrHNDBR5E5pA5ONGqOuQPdcf
ECnu4rzLGcQCxEbZxdtR9kzwfs7vLavvV3qtG6/OT861m+gX1aBjfLmYGT7IudafJ/KTnZ+Prtp+
jpcapVadwg1M+ySlVqhFXhaVuAOiyTGqGzsyrKeKfWj0rK5Mbnq62BdhFiZeYZvgw9oc3wXMYYJ7
/le9HWSU+3GRUs2y+I7pRYs6qcBaE62mtO7IY6idh/xBqh72cM46xADttrBqG+WooW9VS+jZ2kr1
7F4U4VpzqvTRLHMz3GHZyTbQj+1DPtnXo9HrGyYhrOnYKVn6GPy5WEWyXvoB410xdN3DJJN0HyZy
viv6UvfwtlO2uZXN17laiS9UqGa+0JStCGA6IkwyL9VhxjzYSOvnbK6d1RSU+jOmYIOvYOSyKwPc
NsM0Kh4amdTP+PRZNxS3VPsJftynREh3Y4UGMp9pdOlT1l0I0HgzcWzESPn0XvOpyLYhYaJDwvmS
XStOvhLaT+9BTiCFUAa5DmcZXM2p035WtDRLfKtTQHdXmdAvorLTUWwmeCq6kd3UHknm6tnF2eI6
GOoHvASrb7HRMQ9H2/VYDM63dNI46kSC4SduXUqGDLGpNyPGrLtpwLYOH9ceaWahWXe6rDs81rIp
f0rADKDLzXLz0owE9XaBHiB7s0vOfqt15MqiJBBTCRzs8GqOi3alY631ox3DcJW21rq2ZboxRBLs
5Ww4m6EyG19V9eLOxa31RgHA9SOijk9Zva5Bbc6YLFFhQQk0ED9ObTTvEo6rqyTokpUTTspOy+rM
13HkQ+XQZ5dj7FbPrxtEGMfddeK6wfOcIVTMWjf4VKkYnnODU1hpQVrEF9giRobPzCrXGEUhh016
QwnhpuudcaOUmfYg29xZkUbWHrKuMeLYo2dHF8MaR28/B3XW/oj7nq3AwpQYQGQ77uF2NPFjRH0d
5jNJZBu7XlisNZ3ynFXuSCb8iEASDGDArc4qtHH/eizXWgOmrW9q91cRhe61i7r0R9EobofFLFaI
D9hK0LfqUCpoU6VUy5Vuqz0SuroN8C1qsmTc5GE47SXGUSsEH8NXcDJUcvVhsI9yi2w7QjhAiXpb
Pevl3NwErtqjyKqNcf/6F7lpMCETU+e/LfSqOqtlqJ5hDsh+VXamE/u8hfmA0kBjSeEnt4VorKwX
UO/pL0tPjQuynvwxA9dTDH9DeBTDqI57EAHVMyre6mtDIShXLzuhEFFtLf6W1VfP09wr+56b/7Ya
cSrx4syp/barXRXrJs6hz3mfD1ey7CEWGAobU4gVkvjsGF24dxNqn1+7P3R799Yw6z+eKn/rYX76
NX1Adf63z/IDwPP/DaLzkmL792/uiyb71vzX529Zmf+//y7evruXP/fHu5u44m/ABiHyWmSf3nCd
yRP/BqdvKTml3IA3LyGg/3l2C/M3BViIu1AgKUOgCv/PZ7dQtd+osbWXv2XD8SF49B88vCml5OWO
wGThC6NaIKdw+M4FCG/IzM7jfTlO9U5X3WJnYVO1wukETIJSV2v8dFVMIYt0LanZ84dqLvfFWCRf
5yT4+ab3Tr26D0Nxf/waTEZQhCyCl3cJTpuF0Bpun+xTvKS+BkapGhRzjdkDxJ0AFSTix1WfgGI1
RpzpTI71u3xqtR8W95SB2pc0Mb2Ay+ajxFet88Zx6DCznjL89yojxodwGlEP+VzXh5ePf7qmH7zS
//jppJvUJc4GbuJYQqOnNUQnbYr3mUL+f1X2A3eFvqwbymJssXemqHK8GveGiyLO+3tMb0p01qH1
HWM17ZOCffAjWv3xwRz12cSgOpM/s6gMtmK0grtJc9NfWK3FL6YRzY9Tk1JPoo33StSfY04fRhv+
9R32MlOXyv5jdYEatVIxIhnvLW1ILpzQSGCPmerm4+5awid/xTReW1lw5hqJJcCKpEoOpx23XCeu
cbDc55JYYW+ocMewjr2SSXwuvHsYSf6fphydeCSpTCrcjiKtfcpJ51h8kIi7X6j+8SkLtBsug62H
/fbj3/8u4vA6qjHUcIhmDr/L6bB+dqQR73unNa5CbER8Ezu8Pfyc/G9ltP/4LhKuwI+pcCWPfrxy
DTfO51niDlngaD8Y+rCecc5dffxBJ6YDZx/sUkoR8TB4nfZv4mBTbirxaOFBmYV5suGfkCi2hX4m
Gv6+FTYzm2Zek6eIWg67jRgksZVZTfZsUHibdXW3CRygKx9/y5Geb+kyxInIjIh+olEk5njYTIsR
ZExWk6kw42ZVUIGxE0nbELZRPDvM6cAamKCNkGM9j+CF9QzDwY9/w5KRO5z4S/JEc+AxkoF8R0lI
zAINX58m+yHSfnVVgs+W1rdbanaHFU7isFp78sdtaZ9bce+XAbBuepkg65JROabDqmluGliWM5CK
8mUcQU4Xqf04t/03NaCc7uOvPNUYOk20EIRRUcIdLYMSqX5sczXf51P1pFA666fRtDFV4gEwUv2P
GzvVpRyf6AQRhqJVOUqC9okTAWmqkn0rM3UtEfWv50IRAFGraKWPbn09G0bvZTm1HB+3/MrBORpN
F4oDwjW2S40RPZxQPTnJgodptnfG39OmvyH6tx7i0HMS5aLLxUOSwR4MA38sgtVi05rPn6Mp+SYB
fI1UpnWpvUq7Hx//qPdbK0F8YvNcLUhtot07/E2odoi0lXO0dzMRf5nKDvPnIICVaeIP/HFTR1Hy
ZUGR2+SoXqB0Dli1ZV2/2R0CvdXIaEbJcrylABjGcFVY8bwZ8Ivzmyiydwvz6Rlk5+Dred7cJjJo
NtUiW/n4l7yfA5YNnYL5zX2LSX6UAaWaRzoYvlHbg2cv8UGdCGdLNVdGJBVH0sLYmPEc32u2jM60
/H6q0/JSPY2EHVnO8Y6f66rIq5HZN0bwT8spNlYUDfVrN3fNWwoJlXN9vuzrh3MOezpuGrq19Duq
5MM+D50S8oYSxBTKReqPwcmse3gfzrU1maDi80GnhBTRFUyvdKrzC5HFG6kAzz2zxE+NPXdUjaTE
og/ifDj8HRWmzBOussnerlT3Sm8bd035l+ZVHd58fZ/ichzI9nMy2tQX4Yq3HvUpWJg485ke0Zdt
+7BHIIJw6HLvWnbUY2hqR81a2095u4/jluMjwqau9UqqFTsSIKpGCaLIs84f3DLEv1Oural3cP6W
hFd4oEF48+tc9HsjyIpgXeLx3GA+myiGV4aWVu2cZgQHNzV6TEiAautr2RYa8cQoWoVTiEtRPhbt
V7s3xvs86RxeraYsrgnHkg0ZVXmf4zLcekPXTOCBwkr+qrqps84Mx/tpyL15WY78i8V/rGWI3TY0
ciKR+1IQJGkyrqCNGgT4C834heF+/fnjBbes7KM+B4K0pP+Q7HKRO9IGYVPNvliOzb6m6HI3K5m7
oQTx3KH1fi/j4sEehnBPAaRxvJepXVVPraLyVZ36C/CPXJfwM8hgZ/GZSXSEilu2suWOQ+5RpSFu
vkdb2cRLGhm/aPbc4XejnW6t8fuk9hR5lT58kVVSaF/TXvHVINupznNLattg/pipugG5uoms4s4E
nOnm3Y/GwSiYR9PHPX6yL2wyt7wk4Wcec8wiYp8WMp92j0IahKHkZcPapvbYnePVx02dGFzSHYBL
nOUAR2h4uLQZkIRzo2n3KX7T62wsirVTUu/991vhLsQ71tAhL5lH57ZDlKptqrjbYx5skY+bE68q
zu4O70+GJUu9JKi5k/OsObomt1wYKJ2cur3RWa5H0D7zUYOol3MyzFfJ4kY6z9TkzYN17kw61YvL
Ex7EE+PFLfqwFy27prZj0ru9LGyqAE2FGlyHZMzHvXhiWpjseRT5aty13i2RvFCl6ZL83adIwYBg
J2Il6AVYRGZxZsCOMtGva2QpoiJesBg2MBUPvwizY4dS6lHuk3ISvlsE4VrorbKdmZlriu0lsAIM
RrTFk5r4V+2XsVavh7DWP2c1TC+rt8dHbWj1v1V99Pq7kPKpPL4pUiCKcTSTsGO2WmYqRbTSHNe6
il19RG6PqGxzDpeinuhvnioOpz0nH5rIo2OP0ukwU6TJ2iiT8At51RTX9BDjW58S5C3ZbzzXlblg
dwANUSPLHyaKWkKigR6+1WGysvqmbTaTUzzFncBBtnbLvFh/PClOTD2uBmjEl9gOvj9HHZLjVFKN
smRp2SZxz9SpLswx7s50+6sh19EhcNDM0XywqWPPCVJ0exUH74056eGtQf4G75whWgVCay/CwVb3
lemKW/ycYJ7iTA8NMRV+ooajb8+RfebLXw+eo9+EaIMjgzXxuqkfztGinXB1Vs1hX5WiuqbSuCYL
U9mAgYJ+eIGsQ0I7mgtsuwXpXdge1M7uiTlVit/0Lb7FKflGDSNgKtZ3sbtwPILMMEOvtbLSXddW
12wiU5BGNotMJdHTi2pvlVzIzuz3+nKRO/4SrpWUnvFSXA7Bwy9x8GAH5ASLI671Zp1GMtkg9lSp
ubVgY+Q4R+dW8jPBR8cLGuqDg/ZygKjbDZqXZJZcT0UWbuaOAnRZOdSHU6G7KjEcJYSr9T+Ggni9
LCnYRiOgAcQwf0WYTu8dA2JvGSfadRGMxcWQDCRVY8dZDVHTXAgcKdajjd06niLD5uNZ+35psV2i
XAaYieKPdM7hB1eK3fE8Vwai4I3A1MiVTxZ29F6q6Mndx029XyAumib8M2xqmgjOHp0K9dj1hjXb
wx4wvL6Nmuxnnfbq7h80Yi82Ost/kMkefo/Q61ZGBZkOYnjDqhSR7RM7PFd38v7mRyQNMTP7EdHg
dzXZE+yXmTvDuI+s5KvtiI1VTZdtmSx6EuMcW//UEC0GL7z3IPiCPDr8pGAwzDQvg5Fbksy8eu4n
eJIK0VVRn3UsPfVhnDZEVJfWcGA4bMuNUU9PZkqaJjQr34WBc1HHqYYMATc7SDagNYD7flNji7po
hs+6csgrw/Noygbpy5C7rQ/IRXcJrIQQSlo7HX4lFImcq5U4MZmo0LapSOUeA0j56EgYGuCOVHCP
e30aKhKdLpk/GeZn9oMTuy2xBp7blIEvkaPjmGmda8LOVfqjllaL58WAHgiZkYEDfZPI9sWWSfTU
xAZ6iKRy+ys9q5rb1oRYXKedFZBS1pSbqibte+YKcmKgCPxB9SOmtVQJHg2UGYa61ONq3g8oyr7h
l2J7goDMbWFLDE/H4lx06cTTc/FT/avBo8dH5IRJ0OT1jGVKT/oaLe1WGlrsZxlsiikmNaDFXbET
MH3v+epq02aZvrGUwtr87RX+inMn9MNeQrzrcIpGoW01ST7O+9Ls2p2tToCh4+5c/56IW/K9LAAg
Zrz3efcfNoPViK5ZgzkTZnL0bU/YeWWERgjeRDo7QdZ/rdmDspVlql4mpqgeAqkmZ6bf+9QMv8Hh
6kMsGLm8crQ5i0o6xZR2835ixXrukE83ZRHyLk6qdEeiaPK1oJ3WfMeLlL04c9U4tcTgm1pwEFQO
huNbl0pcvYUjzIjP2Ve9LsuNlRr6ubvD8g2HJy5hhDetHPXzlJR1oQ1C3YMeyW4CZG3gbLQGJw+E
Hu3tjN0nwp8ALBUatkbd9yFJ6nVX5dZ2bp3R9XRibA8I6gzHm9B9k37uZbsiUO+WGyqd5YsT90q3
s7NaRZcpZs3ywK4m1wU8sAWVEoX16uMZ+tozB99EwRudzuMApgMRkuPFCUyoUE2h7ylbrzdBXImt
S2HAPjJCVaycoZpI0iuTRN4yauWd21TK05QuqfOqdgJECB2GN3bs2r+CVAplo4Dnh3PWq18+/qHH
I6yBzIMYiZqYpCamd8vJ8yaUGMdIV+ekbPaBKkyuh/q8HdzmnBHE+1YWeTHVc8iE0TvbRzvHYOWp
3ray2+syue8BM0mvnTLsBD7+mOMdkagYT76FJcxawYjzqJl8EUPUUg57Lc/t65AHpleNqfso4sK+
ENbUff64vVe48ttRxhlr4acvla02mY3jYvAqU1udW4yyD2rdfmnTLEWqpeKT6HV534d+lth15ZXc
eNGzEcpuYQLCg8IxUQ1/NHpKOkA2oQy8Hhnbk12jClsZSYEFQak2ENdms4sz5KRFm/vItaxbNY8z
jv3ain9v+NOlV+iiTTyr6JrvUqrhTdNV9lU0CJF4ZWQq4BqQLlCpWATEzWJUk7GP5tQ0PODoLQlP
DXknN3Wz3+cddClYQMbkeJRauwgUzcgsV5GpVzexcCRauWSsXj7uQud4g1uAEqbiwKVlC1jed4cT
sOtUJS2Kptu7AHdjj6crEKEBOpZRv4hIF49mOk/Ps5GARCni2oMOkZUr8hJJ6efY7V4q5Vz9KFSy
cYipOpGv8iTWFxJ5KZ6m3lYbbxpsBZrcBHoVad58EQdqpHhza7TfowiD3K1tt+6O4WVk8sGN9oq0
5EOUOaQRwgyH4m6WqeIlXVvpN12im6MHbam9zLtWLzwd1TYRximNmdSuCOt1p/cGzpphKb2wSQTq
a/P/c3YeS24j27p+IkQACT8F6KpKJZHy6glCFt77fPr7oc4ZiCCjcHX2oHdHqLuTADJXLvObEPdg
NyvqvZWI8TkCzFaCVZvbz5VMNPCYDV0Lnxa7nfpt0YOEGh3Uspj4Ve7etBBfnM3OgKAfBHIvcWzA
QBHkM9iYzm7kkwK0TjyKweg+ibSg1TL0be+gdV4nERJZefCshHK4lKUjQXyG6n/sMGB4atRrjVdk
gar6sw3O34vsaHRQkk/L/miKkdIR+2Ag72IoP8ZpCkV4GifwxrmLA8g+DwsTMJxRoQSbz9GJ4VMT
eU0RNJ+FQU3h9WU0mxiI6F8DazF9JDgj2/T6BlqHlmX/IMRAZ476BV2GVQBr5zwWfSX6s9pb3V4r
9AYOlqr/Y8bBKrSxGMRST1iMXZZf8VeYrECUibIoSIoNxGMKHubBBZK4cd3eZBz/s8zCl7fpieIv
fr1MUHZ5Hyj9fM7AYp5Uq5Poq9SV30WxOAatfdYyjnTslvPBaRvptW7ablRPy2V7HdI4i9x+jCqZ
q9CKXP2EutaycKD8lW4FHlKtvpQl/deEyLsLUY08Anv/7/VPeDPPWx6bKEAiTyKLT89qzbIbbF1x
6uFsQ0I0PeFoIH1z3gH9e8UFb9ZVwx83tDgdiS2tt40FnFAJquBLW06DH6AJKQKTYWOv91j8anOD
8fUISdPrsPbZ0E1YysebF8TEiaC1sHDWgvttMagy6Y3hPA0D4nz4Bx1zbXSROqPQTBGA3U2V21EO
2ZX/+ntaV4Evr4l2/HJlM/R7kbb/axP2Ic3WKbCGc+Zyk0zYG+yUqtVhAW722+48JI09TLOROYH+
sp5rIOWXDhOwznPjFpHuty48Yd+JJSwBWy/qb3Go4PSF91r0p4v7uP73J+WULUgrhLeIeqtLAcW4
tlSB5ZzbSEW3GyzoxSyGh1G3CLKvv9Q78QNpNehXBsMH4axHmGUQBu0MjvjsihRhtaIdvSJI4434
cVNF8u1Yhjk5RKuXGfH1serqpiOUhvIcTN2ECbkwnuAx2z4Rt0N9MmKgoGKTE3QChIAJ1raelc4f
+6Dd52j1+CBttvLue7+JYo6NtEQbCrtVHzFrzFgrU36TMzDVsMvoj6PQ0EBVsDylVfcnoXM1tJWv
I6W3xws6/Y7OT/eQg6M8RG7yvwTD/09zUyosEkQOP/MgvsStmFVh8MVHveDnMFvx1Kno32Upor/0
zRj56eW0k/285Q//IpG1Os5LqkgSTI8dx5pVZLfMLKn0aqbEAddzjNX+d2qh+403I6QSqQQPDdPI
Z0MxoGYhJ40/ozPsjKhzLhRMNhK5hcbIPa3fGAnYfCUOuyfQQcqh6aX9gMxG93N24/FBjwKB6qST
7cSgGY+DanyGFhbtI7LLnStwIOGOVZ5Ex8h+kOO4j4sip5fYcLxVe587XbqvpzaD4Dnrz0Y8bHmw
3jnxTJ6WgQ0vA1LgqmDJa7VP+SjyHDam3Au6HjsHu1QPb+F8F+UuWo6iDk+oaW99gnXWvnx3Q6UC
XETMGHwtf/5XWAOHDz+mD+S56urxWQMHiWp2QI4Fn81Loqb894yBXJMOLxxgdv7LsfhrPTuSUgo1
Uc9hqAw7tQ3KPfiCLQ7wnWANV5EhCR1VQFxrdxP8EYxYCmDDYW7bbF/HBKIiwKQkqrMRLW8aM8sb
tDg/C9YVqsrLn//1RIXUyczbSDsHGXepb4VRrQNyrMfHcJqGLzjPE2SCUUbvy3DScr/OTBv+TwpU
2c/KRvk/xFTeGKkSIzgk4Ne2wUMZKTNK0iooemLqKAcy3FpsjeBuamxgscz5yFJogbmI363TBtNJ
9NguxDk1ZbKf+ArVvpQmyPiW1qOnlzTmaJjO/U6kJlKpDvq735TUqUM/6GvmCWD5kIl1IjRvp8xu
PdsaNdc3DCV0NuL/7S3DT3UZDC0lqsF86HqPJ4NLv2o26V2oM/O5ruGAB72+sRFuTxLt9YVMbFDL
43CzyoWp4B0J10WcbYsw0usRlNEwd59i0UUoAqf/6M+whGwWpAW73NIAQNZHiRsvlHMrxdkKnGjn
xAGu14mm7QO2uz8gFLxxdG/gAusFV9Ga2l8r6l4X50JHG8WOYVno8hGrxDdJFccHyAfOqc/1+GhD
paBetZx9Tm/2SDsm3fV9Wb+n21HswtHUHulsf5tSJ9nXTAceCksq0O82vshtFOAFwW11Fpw3dIdV
Qt8Kq9V7ye/VWupsXAeNw9hNqT9V/2jL8b/f4q+lVjkT2niOnGjKnzG47nY0F+RRzaS5s8Y5Oih5
om482r0tzem2NA4484J1HoxedT9HRi7OlY5Gd6colIJTP28cnOVgXF/PLyebL2ADR8EK/vrgBNVc
TmMq2GFmbflVUNtn+DYoYQdF4eeiMXyAYO6X13PC27vQRQ7PZGUOE/PM1aKFqg1u7qT6uZO6hUFi
9ketTOdjzwH/CBso9Rhcyu9BjHDF6wvfO8CIZOkYU71MyVaXsG6JmWOW6OfJrOITUXveMeiVb40c
lqg7i35jvXtv1yEqcYCXNvO6+2dG5LzuNOhMUp0PInXK3TzDOi5zRp0Qjfp9bJvdxgzwzpFgy1BT
oL+B4MwawlTLjJtBz+Q5nhG4FDCs9wXjFS+0nHGjnr6zRcElAjsGYcSC635gEA8ThguNPCd6rR6L
yH4GzFpt1IN3ngdkr8MggkWYEK2+WaFPhqM4mjz3PWRo8rRoJwWzkKBstiT77i2FYMQi2rBIg70g
8v6651031xqlUuRZ6Rzxzmm1/rMdi/xNl6Thv38l0O0Is9hoEdv2+qnSMUvDEM/jc44ifBAFw9eq
Nb6UaayfX9/yd3oeLpkLm8+GMgr7ZnXY5rLVKjO21LNVqfLYjm5z0SEn+nUQqAfOaXQInVqDSIhI
ndk1xWM7psrD6z/izovlNyCFt8jugatchelC6/o55wY/O3TqD/EAs320Ev2o0z3997BJuqZScCzS
qCjcXge0uAo7ywIue4azFzwB3U3o0zXqRgS7wQxxUeqMxygLUaxjZryEuL+2SlmXTj4sCcdsO9VP
Xekr9M8VsTeLQDy2KirwaheOjwLrCB8B9/aEVLL6Nk9C8U6pdO00zlVxKFIAJa+/6ZX/3ss1RQcD
ZwESY9hZ67zYaRJnbtVcPc9un5xCe4zemGMynOKW2xih/SNoq/gxy/IvIiyKN/ZcmZDuaOsWVWJ+
Qd5N33fcowBAAHbXo5miJ9ZgP1GkNIs2egP3tgUfy0BtnM4UU7Drl+gUNYR61LmgSjvNUan6/P1g
Gw0FerDF/7lz5SyjRlpvACKZuq+WEtIIrMwMtXPWQZU3GSU8T01WvO2spPXhPWkLAQttqUh0v17/
IvcekisAiU4Ts17dWuUNFCVtlCAbATsDS5Uolv+15miesgSvlNdXulOnUGLyP9r9yM6ikbR6n0EH
P3huxVk61duSxv4RF+7uhzVMxYdMzyy4zBg2mYxV/tOmUnwy22w+6Xa8cS3cufUIbJS66qJnDeDy
+megYRCXshnEOURdwEuk8bYYHWvX0yvZyYTZVBBqH15/9Jd4ucpjGFZzPTjgRbj3lt/013ms7EFJ
p8DUz5UWNwtJIsreGBP8KAQarQwC8Zg+5rEFWc0pYaYtfhamfSjHDJsI05rTc1GbfxgXNtFOMCPZ
u7PqfrFcxfqhKH2sHCIbByX+rYqeTW+nxZ8kGSccTpy2Sv0AD9XUaxRbT/b4GONp49Su+Kr1+fx2
NqfxKOdOsdCGaaNHu6ZJ4bHNaz918vwpSEcAnLpManwnXbNqd3EZGOjBKOPwBK9oYPok8c7wkRLO
8t2shbLyoJwwmZ4izXqH9AQKppo9axFDDXgLXoI4MxMps28nJIGDSTl1bJWjaVvFk4rbwM9Fcc3y
kP5Q3pFANzh713gfyMmNS7/unPKLroyq2BWBdCQa7tXwpZJxjjC5nvwKzKascH8Kzc6LpsatvDys
mLB0bpkc7SAItxDg9zY1iByNH0XnxHLVVaSVzJUA7rb6GfjLOxtlizdtbMtPspj6P8asjo8d7MOd
zQjvW6EGygRuvWrfarLMTq/vsTvZDuUPMC7uaw0c+Op0jUaqKCIY9fOA69EDY0EohLYTHv95leUI
C7irFN9irR6LJRWuv0qgn7M6dg4oRiV7Iwp//OMigtYM1g7aohRo0Ze9Pi2iGxO71Dvr3BlYleMr
L3cNVJONq/gm8rEKrqpA32x0ZaDuXK8y90lFu02zz4Mb/LG5+t6mla2daqRXN1a6ie6Mpjj4C7uY
NJtk8XqlcQQ10cWpci7tRPf6rHqfqnPHcFqoj0OxmEO50bRzDCTFX3+RdxYmscLw0yXyQi1dJacZ
01UtHXXlPDeR5qVx157sphr9rM5J7mX+S3FKB0a9ln56feH/qf2vIh4Y8wWyAudPLPCCVcSrgXVK
RY/Ti9PaFKV0caJDi4LyM8z4WO4SXUKkL7VmwEBKJCezNat9FUsAvTlEUSNUR450rsCY71z3Z14m
9udY9vW7QU1Tw3eDtiw/0k2JpVelqJ8ctHC02gNJT7mvC1QeKBGjut03ukh9u0Va5bG2hKg9uyrz
fkd0td+lmo0sjovHVO0rWQtcvEmj4dTIKqy8UMgJYiRan7shzeKLpbjDJcs5f/5cDsWZBoP7tgmL
7HsC8Y643bp4QGd53J9TDDK/JNELjyEfx99WI3vpWV0rfms2nU1zHulOdKP7FJWG0T4TRBPt2KJ7
9aUzx1D3EfzIw0PbmgBgSQCmX1Nv6r/yJlT/oOOrWG/apBWVtwA23X2HMs1RiSjmHmYzTs0dTNH2
d5pnDwqBieiPhixo3M5M5ElJ0/HNnLjGh86UCg+5mAfWo6Rl6FmzLfe9m4Z7Owdy4LWROUe7ptP7
X0MEucaPxyHch6hJDAcVs9F2zywqPmlKJsKdLHuaJ07NFN4uhuAQlKI4qKHyX69n6ZfcAJHBt1kc
kpenSh7p5hnntJmTL4ZTt5GvBJGZ+P0QtV87lD7qvUu6dXZ6mRwMtwofajdNv2VNry+iWb3+NjKh
qHhRl9WYsgA4DzcOzm1sYPfSdWAgxDemD3B9YiHaF1Zh6/GFnxvvtLgtd0lc58c5Fam3cVSWaHZ9
UuBqwhgkrBoEvDWdUUXJprDQiroAxoiJDm74HXrf7NeKUp1ad4wPVjCYD2nJMD1KpDihLfRTylRb
7A3ijXL2pgUh6P8jS7gwjCgi1vl5r9SY+NL+uOjWMKLjpWKZZgQ6skWj4altl2/Vf0uUvX56IFIq
hEa6ojCO16PGRBupyey2vJQDLSTdVuQxSWGIpyXERTk485Oa4oOldn26w4LnU5xn8/vc6pLfr3+G
m+tT0JUwqN/5Ftzl7urOUR0lcpwiERc7DDAWm7PhyRL5vPGx76yyqFKQJiy0a+YQ1/sqjIamttrI
OMc0VMl5TGsHNird2L13V+FCozeLX5RYc3OrxkE+vpqNc5MzsQdhE2FREWw5Lt9eLhZdRVIBgE8v
X+/6WUxcsKSKGcZZtvArIqaGM/Ja2AQyqhyH0qaxSou7Ciz3H9ncwC7ZmC+uVPSPqCeuFy7mKM7H
uOXxhNsgj2O338OpNg7u6M6PqTWi84YC0t6WUtnIfl46Ade7lab2AhenryvItJa48Vce34rZdPI6
N89BPn+e0Qz6aPdWsht0M3rUEK7tynp+IKREO8so3beTljy4VoY0a/Tj9e16e075ITRnuNrhBN3M
66zKsjK3N81zGwz9O1NSLXvV0IhTkkN78Su4ExtX+pKkrB+d5uTCCqRVAxbm+tG5CZMqj3XzDIRf
+k4f529iewof8jkb35WN85RUGdTfJMKijdLj9ce9TbP55pTGMG8XqCIov+vVhzyypzwmJYQBUZ3V
Iq5OQzi374aqCJDnnPOQoqX9Ehkt6oj8tvoCvCbbTyLZao3dO1x//5LVFqAMV9BcVEyk1MgbmMTC
WB2N5OH1B36J+tevG7UZjCAWMRCyqzXaYwJ+P/YolZwbNVeAhSVZ+lW3kvy7yR3w3qzAlfqd6mSh
31Wd/pUEQWt3QZc2wO/FHHUYNwZjiGSnskiNjm1eoINmyq9kCEDa4gxBLK8GZlphhNumJ/JRVDhn
KhwIBl2sfAXcLhQ4Vml/yjQNgcIUCOpPxA3FRuC982lJi5n9whNkacCU15+2Lidyq8axzvPEuLts
FeXBbRv3LTu5PwDqFd44T5FniOFnWHafsE2SfqsJLMFff+W3R4rfQZK+dFdV6OyrLdbis4oEW22d
gbE1l6Jwf3OYx5Md5c7TKKYtVe9ln6w/MMByhgyMBgE96dePXbpJgibYaJ3rvII+odrtm1TpBg+c
2ZZHjnYbquGMA31GAoOpLLTx67XMBUNNtLLPRq2YPwCrU6jP0UWLhftOlBknVumUr/qstB+HbJ6e
9Sl56hJX+QXFihRZ5KG5D0XgpDtV5MHZDdxwp2bYHfuFNswbWvT3XowAi7FwRwk363zIztDI7J3Z
Oo82HsYZfeh9C54QQl0rDq9/8qUIWX0DQspSYb7gf9aHLLWq0Yor3T6nYykxlHS1o0JX9anutGgv
atSNMkw1N1KsOx9jUQNZEi1oxTcdb8xkOpnYUXgxcQk/ASph5TC39pmLKfMcoYIZqgiGM7gutqLo
cjNePy+tYDI7BsSEceAu1/ugtYKUOGpFl7GNLkLNzX0+1PUjZVy1i2uBBqwckdWbA/eiD8k3HXWF
/etv/PaQLb/ABMO3ZLt03K9/QWl0pkAvNboM2ULzhjfvV02MF4nU8kMPrHfjZd9dj9QajAnhhYnG
9XqpmtvhnDnRJWHkf9SdNj+FdW74Q+OgDyQZxL/+fLc7agHQwEiyuJNNoOHX60XgezOK7fii2gk6
B7mCEknygCYf+oAAK70sStqNuHWLn6RMoZcJJ2ZBm0Dju16zB4HcKr0WX0QwTR8QpChbr47yzHgO
ZyXq/aDIqo8QD4HgpgKpaT8c0A70ojqYc68IX9RMxTCOnm7E06WTlv47j8ZQ3Vlzm79L9KbINn7y
nduNn0z6AsSPyMQs5PonO9rMLEuvkks028quiCN0PNNcfJVZpBzVQgl3Vedop0rDZid0MG1M9doG
LK8rH6iTnT2aY/rJclLnFGPFvJ979Ee0oOovWKbHj50+z3tYz2c1bFMXuL3ePuJ0154s8JmP4Io0
hAXMyCsobv99vzE/Qg2CKR2AnHWkFYGGhqSSJhdd/wFyvfNklNu+O03xQeJK/vpmu7O5GYeA1kVH
jjT4ZWP8lY2K0BpoCsTJhe5It9fVqfOj2f3h0jE+YlL16fXVlq27Ch6sBk4XnbilJF5ts4ymea5J
J74AS3O8PimTN6WKaGqYtu3GW7zNsaiPeH/4LQG75zK43h5o+lJox01yCfVgBjI3WLjUqdru9Qe6
+/r+WmXVluvGHgq/aJMLIqnxiTsaEyWp2aciA4AZVcWP/8Ny9P6XHNZi9rd6f+o0DrYzqMnFnk3j
Q93jgTrMs43MuOI+9mO01RC+E4pomuMjgBQD3dr1ZCcbzamgdEguOQF3Dyez25WVFR1HQXZoTsjC
QPXcYj7d2yTLvBgM+wtxbhXfbRLxHppCcmkgCz45jfYVIQprbzvJFuf83tdjYIAC0qJCA//meo/Q
gSoGQWv14gSzS/st/0/U2g8n6x5iTXx9/dPd2Y/MbCjX8dgwQBOsKs6oHXpTy4jqplZVB8T6kEzP
52FjP95J07iSF+FJ6mkShBd3sL/Oc1cEbRCpBoHcTCBbgLnvvhSQXFQPf+1OR+RWMR9UUrIdU2R6
mf2odKEXDFEFxkvXUYobDfV3P8Ezk3IsfTuQrbl3sCE5dIMrqZOKMZ02Yvmd7wABgzMKeXzR1FyF
8ikNTBkoNHqHBvB+Hhv9QYpI8YTbT4cZAuXGeve+BUwh6B6MK3Wg29ffPULmp6mdFIlm3aoeSGgS
D6Gr5PDPXxxMOAzuBQJEKro89V+fIg34THVj5hfUiAxGYeRiM4XWvwdw9LQZCsJbo02z9uC08lkz
yt7IL9jutI+xUnJEkVXel6qs907jbGrx3YkJy2KkCbDX2T+rl5dP6L0rfVjggMA8JbarJenCVF0Z
JvXogA44NlE5XrA6c09GiVBakrnm90rIYkfZb8Jzok3bztl0SAZde9P0Tv3WkIF7fP3t34kiKEzT
XaLDwl2zRpCOPeK8IR5RlyTr0ydHle7T3NTFbhGW//ftxFem48fIie7jGpDROUaO1D5L5U1i75pC
YRhrVeHp9Qd60UxaXZ6wH8EREPtfEoTr/ZREwcJ0S8uLqlY6sG/dfAzYXl9lPbycZrnL8rJ9HPBk
2pPrlIcKvPUzoqD0OUyzPlQSGw1bqX43VRkfgDsVe8wip8Mg0/jBGrJvIjE7xBUr+TOE++Ybiow2
6rI7Bw9kApcyok1M517q+L+OhNmHyBkCErtI2eI9lc5y1zKB2PgeN1IivKJFTIZydeHXgN+6flMh
vDyweW51KTojZTsmuL5UeYW+mgK0E2MHvYp/RCkE3l0tOv2znMPK9kbDCL4zYdAuwySmT4EIqw+F
tKwfQTG37cGFpn8pTRH8XPxsCpqGPdy3Jum0CumRYKvgvveqlrb20kt+USm8fgaMQfU6LtPqohtl
5mvol2Ex0ebut9d31b1lmO8tWsYwFyk8rpfRukKPssCNKdaayjP6jLo+jraqxuW/st66CyWMRhQ9
MyhP16voKKvztYrkYpUVSsRlNT2gwT34euK2R1eOf+bCPvRB13zSpyLbAGvcslQWHNpL3w+9L2R+
V9e8ltZqAgmuuDT6gIdBp02f9QjRKig91hGfB+Yxla4mvqmW0fOI0ue+sgbnCE0UDfqoMfc4p5Qb
IrB3LmpiE6pgBiQlUDtrm84+7MIo0mky2voUfm9azoKng6/6NlvDi1mHYKyqzk6ICpwRPyV1o58M
HQqbxyFSg33MP/UjszXKnClOYIB09fRnnBbKaFIE6OaTgqhbs4cXjcLrDwkqnE4HQ2jgiqiXXH/I
JMinDD4nJV5rNO/1OrI+ZeHSGAwZJSCahH4jfoaidwPfhrn8AHqzOqL+HCv+GEPO8Wsz6NNDXfTG
jzJQteeOhzuIYmLzpZMygKGx+gQGXqCUit+CGo+8xOoFmPpZpOdBMSDQ2JXSftPinD+DnOeMXloO
wT41puSdM8czyvB6PVZ7DSZyuuvcZH42+yg0d0VkTdBvQqffBS25H/jySsGkrp4F1AqnjUO/bxDf
2Em1tkcvAlD0oIR9pD4SCdsjfQ+B8wQCUBdLawyos41sfjmwdLFVmZHvopTzu8R+i7APVJQRHAWO
LNbPEqGU2gsMpfnYd6JPfaFG43e1sY3UB4ypo57WpsXPIBjKb10mrXGPmkRx6hwESfy0DUwBZzbU
MwIyxhyenCZFfYzHFLkQ3GbQ7tII3gjiBjbQkDovzEuH87tYrJbmXykUodqf3ZYpZ4KSENY9WQQ2
pm9b589sVAxOXw8o7k1EWY4a3e1FrNeiN7VK5nBoN/FsN+XFqlNQPsQD5BfrssLIRIudDM6vtC1/
7iUG1YqbjeqnxFSzwyAK5PAAc2jpExM8vJbastF/i2kKPpoDTjdMSJLQb2RpYWUzd2pP4zwT/1WD
DDofqtv4BNNdLfyMT/A+7htp7uE7im+x00W5N8sGbrahNwgCztr0JKYO26c2amqWzoTuzWDrvqM5
Ij+XasbBqYe60ndBpmZnDXkpRkPdnGZYUMdZ4JdlXFSLMVH+w0C+VOxK4XRiN3LiTaDd8wh3InOo
zuyh0r9NMYZTHSCK1kPaMscgNRkWzxzDoO8wZZ1ofBBT4cFuZ6BWpT645sHpq0HzFLgTGDl0M+o4
dlSo+wKP4l0iEvfFEqLw6tCMfgVVWMZgGsMo8/NMs6JHCHgKWX2iR39U2YVf0MpMPmhRP9GXbKwG
1yba/L6hK/hNMW5x92MugZAB2V3Mb/VcPqXQlIs9t5/xDZnYgGDZh+H3oA6hvY+QkrxmhAblzcpo
Kr6i1MFzxM1evg27VIyPSWCqw9GZgYYdZFOWH17fY0uKeRWFGN8toBCixwLAUVc9SDO3sFqau5bM
Oht9s6rsR0M0l6CNy4OB4sEhkPNPtay0janhna1tQ/hiyswwZRFjvo5+iDDXTWKNzcWK5HAoTbXa
adjFbKQv91aBIk73h4uZ4mT1dDYiQQlaOMwPgkF/ZAMxh6zkFursdhXcCBawJpAeGgnrHAkXE06H
mg+XPjNnP9bFz6zUq93rH+omCV90lajjaSg6oEPX7ICgQ/8lFH1/KZEV2lEMwGBkTnBI6ybfqLaW
m+d6T9AtBaLE16HvT//s+tuMGp425GXTpUA91+c4yj2cQ+fJnjMbsgzA8Ncf7RZ1Tif47wVXdVCi
l2B6+mm6SGPS9i7sOd+dw87XU4HSAxfRUQPO+dk0uRGrKGnwVTHLjeLvzvs1Ebyg0AF04CLwc/3Q
hh0mbeO40wW37D+la6bPxYztCLmWs7Epb0dsPK6gaCYXZb9Qrl8vZeEnVJuNMl0moZVHJbeGpwaO
3r4xxvkJ+0PHr8MxeV+UQXMK+dE+2K1+p9Tm1i+5s3EXXjdqrwuDAdTd9Q+JXE2ZY0RNL0OAs+Cc
pNppaZBu7Nx7qyxYOxXQ3fLgqzdbDMk84Ak/XVSphI+pIr4ylbY3yqE7n4+XCa6PcSE9gnXyjeBU
7GBax+ezpuxoyTLPvK7tAvw7VOf96/v13lqcCmpHF1wSHdHr14b4W28j/TZfFm6hFytCf5eH0c+I
QnwDj3PbmadtYjEjxLoByhXYjuulrDTIlQg/n8sIXJUSScUE62CQwRTe4Lp9jJ9yUiFDOmGS5uWL
RN4nVdGUN3E7daWf8MYEboBmea65fkZv7gMcGchKk0WOExx/F+T6Hryb9UMGgfkui7nC/GYa/0yy
TH8Su/v5KR8V+QCplQvOnqQRP8tgLLb6SEtMWcUc9A1oxDq09LgQlnf+VzlrTOWgh7M1X/owaw5K
ZIW7kQacF1T2BxTLy2e1qayNNsC978gA9n8wRnT6VttfGfpBmVNlvrjzMO/sAZoqg35rH+DxuJHK
3V6z9HZB5sBup2hCf+n68RgmmhOJ5HxpM1DmKEep5Bsh8pWK5G/REf+W4bWHa6bMt8Bzd6K5DUqG
eTOsMnhKq2jOQEmaUZ/Ji0mOjjwF47bGQjUvLQ0Wnv5Vonm5pkDys2UXVAoYsusnra2sGWx7Vi8u
ZBIIUfUnPde7h2mE6vz6MbwTRwGjLYwaMglKKX11u/c5NM4qy8yLBK/wKXCZnCeuwwauawhE3oAi
60OpMPL3CitDD8SV7iR2YZUCmKlb+/PrP+c2zNHWpy7njgatwDu4fnCjDgeCgj1c0rJIIa82Ll51
2IK/vsrt14SVAtyJpszSZLBXAaEQblzXojYvjRHhFDw0PLMA76J1DprgQ6dtFNd3nsqh0Md7FxIz
vbLVGXFEiOF43BgXhofzqXTUz1mGAto/PxTXD/ApePiMEF7qoL8Of1+1jVomLb5+jVk8plAvTn2o
R0cbX6CjjQzIu39dj5yQfisY7OVDrbWSg7bO5GzM1oXOv+bnmgPUVsVZdAgz99TV8xYC8Pb0QzUB
P0SXGh1u/v96a0xxiG7uENkXu0cBK0mZCI9OpzzUmviBTuC0a3s3PuIf+vv157zldxFz+HwA5NAP
NYC1Xi9sRR2aFQ0vFj+l8Y9h1PYlVLJmb/bKJ95w+75iJL2LW0c8R3NAB1Gn2GXmaOzh4c9vtQhn
Z7wff7QkXIjERcXFQZz2EHS24cFGLTYC8m17id8L5hYBBQIWc9tVmGxTDKGmXrcvdaYUewtuim/3
bfItKJH8UkeGC24wxjusrty35pw6O7sN473WVQqcs0bs0hEQzOvv0LlBaeiwjgkSyHBwCIz1oBV0
0mgmhhG9V2h8Xdy6Vij0ph4IgVZ14/dyCoyLXVOd+pKevHNIQlRl/DjWNKz40L9LPZL18l0mpAUX
J4qdH7gJ9eLRwe/mVCShe4ySBLSXEzTx7E1VHI40Vtpa7mbT7S5zbWIMZRXUcZ5qJo2B5ZeZf0bC
WT5ZVtHkCK1FLoD4GlzAMq+SeztK0hNuhkP+zUa9pV4EFurUy2wLT0wtLb+4PfTtoYnS97R+8192
GBvdSVXG4lPdGG6yL6pYvA+kbR/I2vPval1GjTfKYMp3Fg/zm4m0Kj1UYOQ3oac4L7XdrL9I0zSP
U9U3wX7Uau0B0EPyK660ROWygcLqO7nR1GiSWdVT2zfJn5pcDQ1pEcovdSmsd0nd5+mulKn+Nhco
yR1tG8cSVJenIfR6dNQmvwmqKDtmYzH4WZRZeD/X9PEADE3dXmSV+UYJgwiIUmWMPTA9K9U2AvAS
8K4TlUX4fBFlATJEf0a/PlIoJfY1Jrzx+0iYDS7sjvms53b3tTWUxcV36B4bW9H3Zc2oRJbatNGB
vbv8S1uI6QjzsNVtjuCNjZSGGr+3ZvEpAmzLlkot3x5ja7lutFMEHt03xjDfufj8bqTyN1ka8pkk
L+CMwaQjc7t6eCvGYaRn1vyeuUDzPJU2vjqRheAqrZeDGSThM6RgZeME3jyySd7KrcrxY5BNaXb9
xpWMs8mZEu/zJgo/Wg6vOMY1ah82mXowyzQ4VJhJeUValb8gbNYbl8VLGnH1xVmf8kVnPrdw5Nfl
fdcIbeQXGO+R+AePNfWOqewTYY7vJmfW3mpJREMxQCJL9ywj7IG5DOY3vTWcFvpgPSBW3uBFP4T5
PB6GojDeNu6Ilk+RS3XcVaQt6AeiVE/nyg2Kw5iELVDSOJo8rRj7cG9OlpHsjNJwH1KyfZJEibL5
TtOKCjYAbdfCTxpQ2OBsawTYQ7vD4vL1GHiTdPDqCYL8BYsnippVEkATpRkbko73yOyZ4JVcYCZw
EdCRUeGG0CHb2GY39+XSrnlp2jCeQ2Ft+T1/5QOhgs4zTkb6+9ZqqMNBvC7S7WP3sVbLj2mjim91
OZrfMLNr/7UttayMlNwy5+TCXM83Mjts4JnM+nsTeaudaFXTz4Lxz+uv8zZxZRWAd0iv8i7p7a7e
Z+7m0yiqWn///9g7k+W4sSxNv0pb7SHDPJhV1gKAT6Q7J+ckbmCURGEe78X49P2BkdkZpDpTHb2q
RZmlRVqEQiEQDsc95x/TOa4vVE+Oj4ox4huNiREslsIN6sIyjtQLVy8cc8+uNNMD2cO/m7t+WYDW
60CqxHrJZAK/9/E+F43ZZ2ncG3fDomvPlTmkW6+BRkqkEj/++5/5lzny0x/1aQRi0CpNM5PGXenS
+Tg1Shkwr/xO7/frq4LdlbkY0IpUVCQJH3+g1NFUgnZ6+y6ZDW2bq2l5QDJt3MwVXbBzJdtdrBtY
Z5touK6rRm7//Q/5K5CF/gU0Ffoasfiv2r/UHDnv7ci8a8zJpbW93KVJRuu4bC+Rcn4dKvVKLMOh
Nrvrgabx3/zp6z38+KJC9cEcDW4HMQ09+PGnH0YqeWWVWHfLMi2nPteMW6JSk9OQyyUkg2C8zIum
usoNtXzpiuKhqtM1nbTL/vIYh6hq1T6ibECGApX/8UKE1zuLg9vlTu2Y6n3NGUfpk8ghrzt+jfIe
0gSpOZ9oYXeF6fwc434vecdiLBzFHCyySbWwXbzs21+8Q+aKu+H44SzRkSl9Fn2JPEZ+jKzoVu+p
D55U60gvtLF3zNqoqSYp5wvyWcWNlSO9aLNS2RhKXr2K2Eh/93X4/NXDMYPPio0cvIrx8rO4CF1i
mlCy7N5Wjd4moZiVJt/oCSO1l7d5FVQM87z7ycFYjl6jJFi6y7abg9j05LPL743CidDtGeVTrxnh
YrjFSrGMZrrpFjJ5fNUUdEqjwTWSgBqN6hg5xej45KMr+44yj+8tMvQj+PzYYQ1MxVeXU7T3pTE2
o08S9fDN7BfzyVOb9NjWvKPoldYrL6grrGBB2a1wUhbn06NrzBJRa1ZeUvlmhTBWle4ztjV62LFY
KLvabpYJDLOoMkAPCEVfwzzylwPI1vWGOWENLOTZA8X9+NCpsay0sWnzc2zmnX6YFiQbvkxiov7S
wRW6z+s+fxtyvbinlkUAZi25POuyN/YM3sW3VMtMJLkpPTZ+mXlxEqg27SG+RsfJ7w6Az29DrpU6
B7hqHM/IXT7vFCRB1aLMuNZ+AhlF81DIYBhabWdU6V2ZTmlgKOWyMah/30BbFpso7rwjRfTKFp5/
CLUxzwOwwd9lbPyygFGdAcuAhmE1J3AOfpq1iFJNkfYo+lmhu4FI7D1UwEazX6gbIKTa3q7pHrX9
WmrZlbVwC+thb06/82B+Pv65CCT5dGYSl4Lt4PMnyaSkKB6MynmEIQ+mmkrDgbH7ohSUdNais8+5
O02+nmu/AZF/Ubsw2QIHequxiqOZ1+jHZ0j20oocu3TOi36TFiehXdeQf67Rh2akhCqQqknoapbd
2dKjM+t5zk1k2k0QW6fSObSduzErzff0p6zKdmrZbd7fX3+pXPxfNod/6Be/bt6qs+ze3uTptfnP
D6Xi//Xxb/97dIyv9Wr/umN8U6wF48Prj7r7c8H4+pv+KBhXXOcLL1P0oBw4Bl/kNbdyfBPyb/+h
eHSPs6bxyke6gnt4/VD/3jGumV/AKVHq8JvociFY5v90jGvGl1UEuG6yf6gb/0rDOPloPDj/PJpX
LzHoK7gJ/81VcfxZQueYyzQbi20h1Ivue5RvZyQa9ave2cu+Ebp3EJVVXJol1aC+GlkS63dTRr7o
IJ55M7iI+7Syu5ExAiYb6l/3pYnzzRe6MjR+ZVrzV0LqZxABqDv6R+PpOnadiHeYsMRB8+SErF+r
HjSrSF8i26gYrY0lXZv9tFsLK7vfeagFcOMneyeOx0Nq6ZNNOkbSBE7X1mFZO863DgVIiDB76fF0
Dna2iTrApJ60ojpIY9V4SlLFcAAo8vm5yvC8hnliq6ckEovBeV4qt1k3y9tSK60fTVq1ZugtCdb5
HkmFuu271Ix98lZahgVTxNlGW4p6bxS6RXsYP4cTFlbqePts0ibscqUOoKJNWfu1q53lCJmGGoZY
qZdUAmsEUilyshVMs15bQC3vqRlj85UK4PkiohI1LKitfWEOiDxEIxz/+FDCDNsjLZdu8wOf3kK7
ujE3XBL+zSLkAyg3nCcSKIdc86ibjJM2qQlwSZ6rF2Mz7KpRXlS5Z4eL7f5UST25j/USUYoUnhEO
C9o4v8UDmQXsIOVJK5TsqmrKG1MHJ6ntZMr8rLMz4na9epCBUwpewpZSqA8oZzjwnaavwZuEaiDC
95K9ZIJ6xir4POUtxkGzUvZFmTe+bJr1zxy7MMr0r6UpjTiUMZI9rGZXkaV0gz9QiPBzDYbcwX9w
LGfaQ651V0KV6qkjCzOUnWe+ABG95MlIYIulpI6fyVggKGkT3J1FFzjtqIeAIemO4psLZxQsr2Ul
T6lUTrPdX8WCzdbJS9Mm+WYS3BQn38P/KLNfKrBnUatSeVgpDoqnVNwvTpl/t2RMxM48lunOauQi
eYBc92lZGHESLSPUsJnvl6SOt3qRNHtpyGjxy8qlvMLQm9oXUkzgAvRAkFVrWduuyM4M2vluIgIz
LvnHnivRzUDx2mNP0MGkD5sYj+ObpTERTKJ/7aqM4amXzyNsDTy+Fai5xrauDf0xkQmdqrQ56En/
Yk9lQwGRqMJKM761dsdGk9h6jNRaQX/ibPp2Hbgiy1WwlfXzITZypomkEdsKRyVdbM5+kt6tiHL+
/Uyr7vPWexMaD7tb6+Wmr7ubxpLgYQ1ysFrwnMLsxcumc+rlbpG9Ruai4piDrxaKsmlMbdqPeZy+
1GSnPXemvmxjFPnguaSH7XIbaZ5Z6Le1ih61cTO0ZVJLN/qkjtfSnMot3dCkIIsikPVkfEMLaltQ
KMJ4RqRs8QBFHa6/2c2boK1WEXw12x6hj9pN11t8m3LF5FmdDVDL2kvIKrBCCU0ZaK01QDjNQ7C4
in4Rd26yySOzoJ+pNwMDQuPOifrOd9qa4urZ9AL0GqtQLxbbOtJYFtmoFLKwKuE96pOjHRW3IUW2
UpdhM0UFPUAGuRP3plcqVriQgxNfqSjQtuZMaQuZJ4YI+9m5MxtU027jRPJmwup3AZArnmYcLedp
nkfzpvYGuWk1Mw0SJf2G3GoIRkLAL7xxnG6KIrPPoNFWFhqjOdEzSdFYGGszhLkQ9TluvOheDs6y
N3NJV1wnRZibTn7hqmQ0Zbw1trZDiUc5T8rdOMg8R6JXLlt4+cxGUKUNxLdX3m5Ysul6GCftWE9F
Q+hEMXkBv1ztrHESs9/YlvAXa4ou6HWZbmYyVSveGfXwZvXrN2wSDcIrkzPDo277Z4+TML+JiOx7
6gg64htsN/a5ah2hHQti1H4Xp/epGHI95lZShQkKqygGqPU8/TNwo1dVSurJYG2HxLsit8XwW7vf
qHKN09Iv7Ljq6aPM9w4fEmmWuiAtpq+2eXdf1e1TXrVA++4ifkeif5y2/7gqoBbYK9gQzuBPV2Vk
GIyTObW2PR0mwaRET1YxPi71aPsNvYKHQVvutWXmW199N3gY/baoRRgnyn2e2ldk/KIbq7Oe1YdC
IK+mS80qKeyQ7r1RlGOwiP5nWdcUQIjsYn14/jTq3PwxJPyvqi9vELpJ8bf/+JSs/MflrwXy7xnZ
7IxMPX++qXbniCaOTC6/n6ud1yYX4yxO8Vi/uhOBX0UT3dteTQSUmKiQSXdZoZoHK5t8Y6L+xM53
8RCVmO3c32Blv840qM6BddCNQBCSa/jxukwFw5hEqLR1ikYC6VSPRVIavrS0njRgm+1l+ANY+Evz
L82M/O/jDPtf//lh+P1/G5F3b/XVa/kmPv+nPgzL/z2m4zWA8F9Px7v+Vb6Vr8Xrn2fj9bf8YzZ2
v7DNIBvCTU8o2jsq9o/ZWP+CVxFQ2+Wv7krx/nM2dr64PHGgSHyj2YXW6k0SH2XCE2p8eaeePYy8
pIKtsZHvn0D8Vv/9eea2/cumAUp6Pw7HeBjAlXGfcm0snvjMPz5I+VjmVOpW+c5spxTyaT3u1oOP
YeJGTV2mrvVQzLP4p7sek6rTKTiolNuJExRZShfq66FqTlVMZ7k+HyIrjw967nD6EneFOxWXXdUa
sT/HYxnUnNakSVUhkl1Gz3l8qbM092PO9qWy+qObmowgimMh6lRvc3d4rkoaUCAeX7VmpGQkZ3Ry
JnfYtPOcBPrY/rQYVDdxZiOiJqJ4cZp8NzTFuXIUa4vahbFD9PO06VxR+33SIwoQ75MLJrZmT91S
vJWjeh+vAw4Z6gYxwww90muxlhXAEemu6EhMR3aQf19tT0fiAowtv2wTVjXNt03WYM03CKXYR+tx
577PXGPEK6lP0yun0a6mdTBz1xHNZFYb3oc2t9XDLFojW9aJDtxHXPbvc16VtPUuMTrrpV1HwW4d
CjOmw4YpUY002mDynLY3fME/vfdpsvE8ss0TNN8z1cChx9Tp5oVA0SkyHy1r46frcDquY2oej89x
mZ5MKnO2gMLWw1zODwgPdKKv1PhUJX3JNuTqrzVO5zgkWcoMU47sl2Jk/660BVhnzAdxYU3FV3W0
5x+W04pjahb2QWj2/Fy3ivim1+2ruszEgTC9J9J3jNZSfb2bhh1GYBo2SPqAzBnL0QmyqUsPiG+9
a69IOLJIErlw6kgh8axq76WuUNNlY61JvSoQjV48kw9aHtxcQ0id1d2lK0b7B4NN71ednf9IGZSY
v9uh12+pRDeUkxzbTO7lRFHMKDn4j9EolWxjQd1dLIOVEc8+RUMXEDJahJ4Fs9JPcVvtKaGImqfI
LfJs3896dZfETCI+gusRNtwhyN9y5HGJ4Qr6qr9j+Zw2Fu1lNKc4iKKXxA3Uzn2yx+LKA3GdFWMO
yqZ40uXIRjc3jwyVIjS6+UzqlXnOyZC4pHmkYq1qc1akXsxRH6iJM89PjWqY7fOgFPXJag13Lzvm
JYuqs6dJIRQr1VLnuztlWRPmnrKcbZFHHPp8gKt17EllUN5OYynPGYVZx7K0onu1Lr1dpjiVQHFm
uZd6hx6qz0gWdpBK3eV1V1xPIi2fjZmvbNHX6tGh7cfYpD0thdf6PCo8D+TLb0kMVZ7IyZ5u+kon
SG1mheS7T1gE3o1SyXaDotb7xhK3XTf9VCMqlOax1mhxY92z3b4IFyIlwyU1+ovUVVM/ScrrIoqe
c3UKlcFR98p43dYUKE+WmR/szk73yG7xdo5TAOxQbdtB3ZYZMfJlVfShsfrWKsCFwKzM6V6jhruK
cOo5nb6pyJLrs1i5i9L4iqjKH5FqyDeZdA21mcTywRaYeaQMl6aWJMpDLqhESI8dso1CXDVmnlrz
Jh7Fks0b4eAP8GiajnSvDsXY9I+Y0y8X9vvvRpfnP2RU2M9WXdk3ESlXFy3JzbKTNyQxWQGuGdf3
pD0xqi/Fvm3Nct8snV5gnbGd2yy1vks5o1aZPJtay4bE7sHbFKa2kMiaDI8iiYyrSrmzWzHbQWQ7
TWjyfjz17VT7QL3Z0XPz5GvmyejaoCT3FKVlfOr7qmg3ukFEYEJ03lXZC9luhGJA5LLCj+lRRs6l
29N4PE3VN302DtA8iT+Iigazpg90wNFDFHXnKS60UHjqrbVMl1FTOeHIwhgYVrvG80wTjRptflG3
X9spQZNtEW/RFPKSliT3piuidLNmlV7TBJH7Cjv6Y+lQ5tXgelgBmDbxV9mC4tOTaJGvpyHiUCeH
GhTHKXcoOzAJgL6GS7d8LyzzdmqEnfuqMQ4HzHGkoaaJ8XNwrI1S9DZOuWG+Xd+ZAbzNaTGdYW8t
2iWflxHotlof0iolh7Btez+akvrepqTSSW3t2kUFs68mdfqhW3mxHYWwb7x41i4mmZ4F5giwmbm+
N+yoCOp+JGUIF1w4d864afQu3peDQjv9QPcV2TLoDCupnotOqe8GAbiTTu2zqrjFpWyxg4P6/OA9
tZ1a3EItFMq3euoy3+m9Ug/ypF3OUvMerbh2tlWVbCFR83AZiqe4SSlIJOAqZE4mZladO6J8J57H
CRkMqhe/66Kjlcbzi1zKNHRj6vcMzCBbexl3pVNUIdqNXaSNxaoyZxlFKNjp+YNZDPGurYbU79p2
2rpm7hJX2Mf3jowfIrPt+JiFuyrhz8O4PC/DmJ8HkbVhZI7DsRiscm8OKMnrqU+2vRpVITPIHFhm
HFB8udPSCovF1F8Jj2Vba8mZ8bLG8wndmA9Sr+bLBOnYvujHLohMzjE1wh5VjzNqQs/JNukM+uZQ
1sclqn7aKreu2gOKYF7Fixdd41m+ylcYoO7FsM3NLPJdZ+gudTuaAnA1nxxK3lQyBw+cli3I+/Oy
gLljRmvbu2TqMXr5tsB7bl4YQ2IOiW8kQIu+PmsNVUVOpDqPShHn7LguthnKA1z5KkRTXc9efV1p
lEQDjuRF9cirGyuNTTmwRCC4mVK0VbRyE+YY6YBIg/mkSfLvSKHZT5530p32tq6yMSBM6GTAVdJe
k3AC2qc6522TzmHVxWGmlj7LziHGAE5RpFsFoDDbbMS/lj5xrL6CMKGSmOh/9XJ2XB4LlyCybm4p
YpT2ZlYlXCiKVMowL21vPtAZuZlqooaH7nvfxMkJncF0VsbkBhXkXTqQWJqwI5GaWdNUIEDehcFp
Z9OuPPQ+zzxvLspavyNW0s6NzFlL1jktyUhMGiPrwRqbJLSidg7juvfOo15yL0fvzfL66tRrgpfM
ZH6fcHNs68npbpWux+LoRrK5bvLsSDebSvgSXXMkNoTePKfZpi8YvDcNghCsRXVNXPep6zBphBTh
1vmVKQCkT3kvSkw/FFVm9J7C9WOHS6NZOZgzbtqnnEhJ7/s8i1mP/Pc14H/Wpfu5efvbf3yv+0p2
891bnNbVn3cfVpJ/ty/t6+pH372KX37LP/YloH+S+qkrXwP7P+xLrvcFpwrkPk4RIlGgt/+8L5mo
GNYGt3WJcTTY93/sS/oXQog4p8D13zkI86/sS7/iATol2zY4wHp9sMifiE400X2B5sveTvM4b0Co
fdOqrEtJlolB57hf2FPYR7bqWy64ZfsUja19sba/H4ZJ6TZaREAsY9O21NK7P93H/wtUse6EH2kO
VJIgFayFyNzhNlfI4E/CndQRoy5N3tvLqEVfiwj3bKCUeVwFjWHku2YU8bRxLFEewDDV4tiQxJT7
tpUmB9K45/OSzs2mNXpxT6M3+RW02JuhqWgMb9q43OhSaseRd0N6k9WoBFZ+xARYpJTuW2pnrEt9
HUVvKH69bkNZGQxKxHv4qJhmd/j3P+qnmCdQGQglXKikORP1s8qWP/6o2B2NMiHHc5uoin1PP54c
txHHdxC1hNbY9DCeUw3jhItsdNcRC/+1tBpl8MWcsCiUlZOeFKln12lkaTs38twfGE00xrJm85sr
Xa/kA/eEk8siipynZv2/zzL5hD1vUL002WUjIcpZ6ZQPpLhsuoTHAmJsvB662X2YCGjfLt1gXtM1
6h6yxanDvJYxgVW9Ph1kVKeX9oKE7TdXtz6tH66OCzKpOyRbAFEhLXAf76NN3mDB3mBtm0bIc431
GgyQVrZRK8p9mebDIyjstQnEeyEw+B0tMf6O9sW6/utFrNpzlaoHhGfUn3y8iErUiN+72AC3t5Xi
VE1xbFzEpdtsMjN/jjMcdzPO+0AUWUcHszADVyXh34kfFlirMO8q7TJvF3SnzqgeFavfqS3GVWNY
4CTI97pj824sv1bmvY0SdmtXln5jpNa4m0yN7TJ7mUWnBV2tZo+1NRc+x3j+KKgYCEpnQO6KHbpT
xvvETppTC17i4+FeBt/W+vQ+MUYCXuxYH6odQa+vGc0VCYC8XmwROlh1YA9DFdpRnzyUalvs1E49
pnq+uP44mGDQlbnSJ3OMLqnzcsWPcQQHmbDcJxy6CuX2kTS4DAtYpBgab+sN6sbTsnv6kVGuKzD5
PuD/d3rFixeXhID9qkP0hSZtRsIYyr5bJry8iO7HzVhYYCBNMpZvilJoQavlFvGX3N9R0rztNBmk
5uC16aOayZlNwx73y1S2L57dmVcKacOXcePOO8zf0aZBMX1IrKneK2YrXiNXBFmZVkfXXeS2nYfy
os91Kg5ARgCUiu5QivpqqvKS2bS1jpUcMsQphc3inJVhMyjNhsSAZEdWOF0npp68ebJAlUMZ7kFT
mrNhySIsOwAhCMAt9Oq4U/t5eXaKutmURMVcF63XYcka0jVgwvNe5Bh9dd3xZpnVoUVqZRn3NRxN
4LrDfTpOTREm9GveZ6Pi/oyLhoLoSfHsK8Ogz9UTmuY7ehVvBmXB3TXn3PtZpNNVrFNzHiidXp7t
uRnCudLsHVUL6Y6R+zyXTb3NHUzqmojJEbDNgqZzr79PErIN2JrmPpjdYSIdvVY2XsqHSOl9sm21
STuwpqdvEMlW4KlVsalH9+u81IDM9fi1SDzlTUkERRY4NG8so36ZEkgou+YmL7k60qdtRzsAr++Y
yjdtNHkH9N3ddTTLbwzYeO+9hlhyx1CCetCDOouHjUVW+qawWQKpgqPOggepFJN+OSzKbdJmt0Vk
iZucOd/s7P5Q4MEP+DZGW5OIix95Yd1YWrTsxja5Kpt43CZF6r4pi/NdGWhuGUZyeLXIhXZPyzzA
ZMEnRpJZoNcyRSxP9bivC/1yGqLkJzCIuOJdo8Kz9Yn+dcTtTSR+bm+1CJlLuhSpDEhd08LEjOcD
iljWu8Z746gWvrCwq/JMjtfNnC/bPEvl/VzAY8V1a960BsEX0DgbLyuGsCFppvZTMLyj1XZ56VtV
SnsOhM5LWU3eN5IszEM2JPazgtbhpakMkyhYMz1GCGAM3PA5up80hgC2xHJX695CsjFSQySj9rXb
Vt/nZn6KBXQR7zvrKBot3mOmj7ZKU5uPnbGIc5JEF0tULBd1WUa3+QR9LsvRCGrP3mvLkAZZNNvU
tmt0AeReBpphZS7ZA02d9D9zvqMvuKAV148KHaAknuI9paLOtpBk3BpzdqC3jHLUeMl2sjM8dAx0
1T/1VWYcsnLk61aYF30x9z9Vaxmv2DBwpCxdtWzqqICNjtGv3XhCKAG48XPWzMcuGp1DIniNuUbU
+uiq2gvkc8Nmjeu+nIWSX7lLbD+lxClUQTtO1WUduSZLY/pVePD/nYJ/o1njkeK42LO39gnt8tWF
5iBCcNzRux+rxSJsqNHuhI7NWNXJqaEbihFKnSLPQ2iQNKEVp9dx0hvb2kmfatPWSKNXaOUNy6Ff
bjNTUCRALzdas0rrdtnS2rvakd2Faog0BMomUqFDPI2SrSblKaZkJ5PFbZuKMmydMjmUWps9U9qY
Pqh5pf4E1h1PrKdkF3rpJaLl5oAOybqfMnDCKvb0gzZmPz27PZNTP/qa1z8v7xNVElMYlZRlS+Zk
Vh3yynZ8LOnOqXUgZ6puiK4zu7wtF/mYmYSjkFF15phKLgwDA/bY9dOh8DyCjermwu7GY2aLa3Ly
SBKfjasGmMpXRG0Fedp1B1KrwMXMVtvn6eJcmvFyAcB2W/UF5eju2Pi1TcsiKIBUbgcrd30qfaPA
mNIpVBFBbqMs+kZCuBMmlMwEJQbCfTzHYMlD89QRkPKqtW3zkOpZsSHNrPY94nXCvDetHQziQAqb
mV1WtjkFhpkYezsnDDdhQt9M3kDPZtI6t6akDzNZiKcoC/Jc9bIne8TtzOseDV4RtCbPNyffsFeq
Ib+smfgeZq86Z1ihf0y6cupk+tBn2hRoc3TTDkOz6fIiI/Kj7E+VaZenLHLSvTtZFes/Mc8skqn1
Vom0+OnE/XhF/kUcdo3EowABDKlOk9uUeY3YUBJT1qHequD3xEmxIIohQk+XxWvxFFI9HV9QPA3u
cWBpxRfbV8K97Ii5VjaVG0P+tsOsmhDqxPXv5NoSXqKmmQrjPKcOdgk/jQq0rEuLxnRUyOTwrZ50
C78AcC92fWOU3ysOp+LUDtnoXNrlagAjMmURP0qDzNQQnxEYh8oDVO8r6ofNXTOVMj8DuJVHLSp6
3k8egPFgW1JeScwpNpGuYtV4INeKD6o6tfZWHw1c5j3gW0MrM+hV0DgCpBLy6aRhVvnZdxQzB1Tj
jme9Zr664jHvWWC6ZiempDpanpiunHLifujzzB3CyWyMDGDZcCTEQC+p+ZvFk6kV2kPfwb+Yw1Bc
NZXLS3cmYNlJS+9VzSVaT7psNlXm4pxJhkU4fGGbJN/A/PR8cKhIkazY6C/7xNz0y4zSahDx3ASd
4UygVNDogaIOE7QIDqV6k1C92flL7cAsSSmzByc3C+WmNHvTX3o7vumTNN8OKFpI/vPUy6VXjRNR
EhDwYx19ddKOVUXqTt6EgzPU8yZJUt5NHsLpU0wxKZ4u2UQXSqlGFznIDDGwpqgOTWWPZ2Mw2wsi
ITrL11WwiiTV9H1n9vM37gBzWl9FmLKGzL6jgS66SNKB2WwpR6anSSPYoxq+oT1LL/pF0TqcVWl6
o+uR8UTAjPHCrG1s+FeWb0i6lk3kxJXHAFs7b0YlMdM6RP6fnXI8dyuH0NfVI/rkOiT/6inlvgUR
hIOtZ1dksz+JlYlYTIOBdWUn1JWnoF7jbmgH41hXMxzGymZgYBl9Wamol4n5qe4i3rLZPtMpKGOJ
1epqj24/QlESF2GmFBAmdL+lFoIVOkzKREa0Hzn9UB6bYpG+FUWJ3Gt5ryko0KTQb9PFw0G4pF3+
Y/TMHkQvtn+ArLeXKqXryHj08tCt/E4C0VOvjM+0OGmQWnZzr9Q2BFARtxfN4K1aYtW7VoYM3kh2
MEhzA5mUvRNL2sox2e90U/ZOPaH7gobS9ep1HEfxzfXE/JysbJXpwFuJvJt/FFlG+y2cVv1ObyV1
g6BOoL6y05oFeOlyEr4Xqb9mSNcO0BvxSdp82Gk0PMRtZz0YK5uGW+gkVk2YtqrDqnehmL1qxhS5
ysfMVUlW4Y8uA2EnoMXpu9iseheeGasGrUSMhpgou+L7W56ad6laz+XHyB4MI1Q0gHIfuonZBoFb
uSrdSiRvA9I34G31Qn2Xw3mrMi5fNXKJ1crrdtXNcSeQ0JnvcjoCkJHWTavKLl31dg3Cu3pV4JVG
rXiIodHleatCT3XlrRHFKPAqaNhQJYzrKX/X8ymVK3dQMU3oTH15PdfQqCDNUeFwpCZERSLToqTV
HQYliFOvPLrAxZPnKiE0sBZonaf4ZqO8FUM/XecC+3RLJS8YsfyZvosLqYhzvX1vm5IUQkXaZTBV
st7Ld1liUYwe5NGcYyfR5CIODeFPJ+75z0pNgX+92dobtVADuL9Np5i175ZFMAojOSirpdNTy9tR
pkWY5+5T3LZLYIqWYdLoXmMR0/OS8f2yBnQd0VTc5sRynKbSqR5cfaGpyFzVlfG70LLwzMjvW6/c
2kUxfeONsuwGQbfyDE/NvsifV2hNkDWj5Xs2O6ro3eQQ8wIOo4T5KzRiF+DIzDMefjDi2FY4X70E
DGkVfqaZkz0WuG4Dq2XkZPgejvWqEGWkyy/NVTXaymm8x3t8KCaJRLUtzjPpjr5e4EyIGptlDnVS
9dAs9RQmkzMM6PKERbegqRhnupdXqLgnCqwiP6cjfUHvLhNz5iXf8jb3Zs26mjI6nuJiMjZCN+Kv
nDigr9mg77pmkts6HVS8cbbzCvj+2BS2c0VmRvatzEtBcAUGI/ighJFVHGK0gKbi5l+jZGgt6piz
+OB1RvYdVSNVFZM7blN7jB8ZbJXL2uu1Y1MO42u/iO56mVsRqkbKgcuV5cmhkalhbkSF869dav27
OsYA9NrcuFusEc4QqBwGtHwjV8PVqIcksNSXKWlTb+/wyf9AvL+DeNd8nn8tiblKv7/yZek/SGLe
M33+gfHqSFjejd2EKaDNtpHL/F0Ts0rJsb2YKql+2LnIO/0nxmt9Qe1E/gL9UGjGyGD8J8arfiE3
iO7P/z9NzGc8CjXOezIQ3kCM3c4nHJXSBRIDEXRtWYpakBPLOiMhl1sjqvLfeB5+UXGtRjkcFyYW
W1RAnwPAattorCz1uv/N3nkkR46kaftEaIMW24hASDKomWRuYEwFDXeHdOA2c5b/Yv+D7B6zyqzp
Tpv91KI2aWQEIdw/f+V+CsRJ1f1DwfQE9fXstsmlD4x/Srj+rdrn7x+HlRa81PbXdi1iA35F2kpp
hvNaA733B+fZpQXJQTvDYRiXXDNXt0tBeNtf7vz/AEr/Df7EXkU8FNi7zVtGgPmvnziSg0x5A5+Y
sQWxCqtYjypmLI7+Sbf82z/tp13yFyhzNXIRdAk7AJFL2sOvn+RJ0RZNOLd7lSbdcWXg49xCfE1J
WjqztWflxQu6/tmbCwmJOp6yeXriN30eXflWz/6hYeiwN8EUkQbnt3emm8jYt5NTwyL26A21+kOw
+29+RUBschZscgW5HVAKsBO/fuOCsDGLhrNqXxj9rS/UzVx390EazTc1ZPeYmeNuBPHf1JxZ4mXq
/uTX/DuXsX4Bonh52X72dfJW/5Uw0BymaTwJyz36ItrxGmizi4CW3EfsUTltOZssYpm2DCqOjO1S
Bzd2Ep116n2Y5nQhLMLAK718tYX1JyvU+qf/cjMhMMi9BZUGN+e1/u0VzMMMBTnde/vELr0hRlTB
kT11cFP0Q2MCeskFHbkEtJywgru7WrrOH4Sr/s9c679+CRYiygRYU6B6HF6a3y7PCsK7eR7l+5rZ
7odRzN7nhSRA4tGQK5wMG3/EJmsXCmnzqn43kvY5mZZllxgNwFdjT2M8yoXrRt7SIz8mzwAu5EeR
wLJ3gvF5SAakRmOab0PekF0kxTNnmtPspeUbzIY9OuGzSwi6EYPD4izUNcUUBwbEwI6LuchlTIfg
MtwgtoIHhYoxv/iyD8ZHAqoIf28q/A2JUKRVzkb03qq8/9Tx3yeDvNIv4IqThAJul2BHMj5IuZ4V
/EST1zbzZjLvO1kgiR5aZonU71Y5mdlckN4212CaGRcy0Y3f84Wj2mYiEkRtg64tPzqjT17bsplP
LEOlEyutl0PTV/MegTF1Fnkg9Cf0eFZxmBNzXjmQMQKHL8pT4LfroVL6zZUEexGPJRHPNR/27HgV
SZ9NGFY3mSLDRZZm/8OeMZ9sSitMrlXXC9TkXXtDUrTpMlyS20HAqeJ9zsdlFAf0S9WN0wb9j8ye
oAEMEX1qogSkPKBQ+60J/OTaLNFEO2+PHsyq7BMpE6XaGNId6dt2UIn1JY3229aLvHOW9YBNoytm
ChISyP4uZ9jdePXgUeQb4adBeh1NhwwGfjh0E73acZjKcQu56N9ES1eiwK/s7ovMM+MuHTw5nyhZ
kHNcpGipY4ST4AqtXtvFEqfI+j3XclWNuQDz51qZ7YkyTskf6YXlmjU7kZuDA47y0hMAEdaTvM+8
LZx4sMeJUW5HJVHVdOjKwjs7x/h+tGfbTIgiLQECBl8s5CT4VkuwaP/ipl5h7hKn0x+2q2DwrUKO
6ly2VuTHIwHh6e3SpUbBmaCgJqek4SMpXRkhQKyN51SEIAQts+muUQy28VCOyLK9JQR4gG7yl30d
SFvskzbwHrQxJ9kpXIEasUI2bTC738OfOE6ngLfLFdxZwONulRf2t1y44ke7gkDeHN4nMwowp0pf
qFS9LVfAiCzWJ7lCSEFTlxeDWrhj7oTlJiHAjEzRFXZKgFA2zQpF5SsoNY1OthMwtg/zClmhRKcZ
foWxCJ1xjos09XZeQa5shbuqFfgKVwgsW8EwJkpkM0skXroVKkuK5pMBebW1nbk6VhIgo16hNZQM
X8w0xDazwm7VCsAtxG3CnwLK0UiKcrxYoTrauLnWs0v9oz6Hjgwu0wrsGVk27KoV7CsE+fvCowZa
ONYVc6QTG/ZwN1vDjbWChTWoYVrUZFKbrRUvWb8cFyt8MgJwPxBVsSFqeS+ayrgzBUZ8z0qzWHe9
dZqGoD71IpS3FRmvewfCrFxLC95sn/DWRtn3NlBnYZlgnjnnf0rfvWcyXSVMJdioLsovakVLzcZZ
fugVQa1ZN9/aFVVtV3x17JsHUl19hJ81K3m94rCE6KLo5Jrs5IrSOnXhH6ZiaA9wdoC4+YrnNiuy
q5O5lTv5E/Cd6uqTSyXf3gcMtldUuJMCgNj7J1jMwWPfrghyC5Q85TmgMgxQ9Ax24+4aIOemtJAa
ez9xaA49VwRZ2WNZ0w8NWO2WtstoJJqL75VA2SbhbZ8U+rNrUhAok6+YNz2T6jxm/bCje5wA30kE
J9IxbuSU6n0jqvza1PnDlGONow18hdXlirCHnZyu9IkNPzIjdFYJWQcZMoWb/ic4/xOnJ4mnOPjS
wu2WVqd6hfM5sAb7VHbfoF2CbWi36s4qW0kDgTCNA2Kb4UePnjfaVD95goUMtGMwMVZsyDTJtzAO
usnS2KTvaO1Yjx6aml5Iy+/Vronc4ky2tfOasVhQuyXsgwEAc2P1GoAJJqNcKY1pJTfwVywIapbH
yEjTY2ig+BmEz0HR0VBCy0qPqJUoSQMok3qR8xvFXs25WgkVv+3156oi5Yvgj6Le0Ozg3PR9AwuT
5ewroaxmQu0d714JpsJiJW/ESuNYK6ETVpiz1drWPiKgjNOV/JmyCNrSNoVGGgk5lOKI2fe6E7FV
LM4mcbJ3wFfnUHZkM2/clVliS0ZdlEdi45WtujFr0rfD3M43viZ0WWXZcshXksp11JexWc6jWD5K
CW+KcrTaSv4EYITkS8fyFId18xh1zsIh1rl3BpsopKz9qIepOKTKhryVAlCiTWNrzNt7YmvuYFyf
mpVXU9L+mjphuxsBE+LsZ911Uup9allbUB+kfyM+IY9+Q8xl6gttku1duzJ5iYlKNhrPLjpfuKvk
0JQDjF/Ovl35U7Plcn6u5yyD6ySASMre+E7M5GNKUmQaLUgTw6yKpcXeZqwco6+kdepX/D+PiK8a
2kojvQv1sK1wLSHR6l1nE4my3ZiShapy/WFfAAz4SWR9AQAbPrKfLOjsAQwvKzWa0R+G+Mxu3Tem
Df+6LGadbUebV+aoh6J6yY1eIa+GepUrB4sa36FfLxzUNoyG+6T3BxlnpdvuqpXKpckJ+Txf+qkC
ZPgctUaOqK4th+2I+jMn28lGizJn0ftSLr4LzehW5qY3bBLyInBBlORtu0HAqb7T8cgjFGVe/7bM
VvZgGZM+kEGSBjtRoz3YSLI6EtAiN2lI4nZwalpL34e7WYeKWSJ3mOlySREfxkOURztOqCUkZkl3
2lbOrX3nZUR8kvQ9oPGsW/Ga+IY2d9LTtoI+jxq1mVWeP4u8QDRgdRN+3U76xatTNy44eNh2P7ph
ICh8MrTwNk4Z5mLTep18rlZVA1Ka6rMgaX7nkW19yaVh3cAUuNcc8MM9l04aJFCJhe4Oft16t2GY
F9+QdVQ0VEeZc+r83rkhvSk8ytTtHyMqDHgL2Z/xyUfutnP75kkPInZqV18k7E278UkyYckyk/e5
1O4BmnK6YHCYjsh/5G2OKeALgkcmzI3XNdFn8NfwR1UrfeApXx7oKkyOTeoU1k52yjngZbY2CCqF
tR+TcY42EDjBgEx5AT4mGzONw7mc7wubDq/HPAqp2h5ys2YL9L1dGvQOv7Yrxq0egkii+K7TeGHK
kdvBZpERfVHelJQq6YMpG/1mTXV0a6rByyI6QHvTodoiY6glmiurX8Ao9deAo9V3Sa/ikwXsG+36
Sran0FKRt6MABlzTbk3zCymurOGMSeJJ0W2e3Y/4wZH6RsPsbVk32IVnEXEvk1k8qooH4jAj370i
ogGGVBQMoMCcmti2aPI2Mjt6o0EU8SgCOpLc+mp8sDgjnHOR9Y9NvhiHaq76m2DCGdnhYaTzqFsU
ylf4jlc5zyFaXjUkI8zloj1EwpEQJ/ocUjLp6sVZtnWiR/+1yj0GMZKibm0iQqst9nA/XlHvcsOt
LfYEqFvJFbZxRvCRea38zgrf9qRgOVYdHhyJG+nZ7Ih3e8V3DJk80kDGgTAyKnBJr38tizq9r7FQ
I0/2dfmo7Ba8k96A/jgpqjBo2Gq4EC356+k47paiT8qNzu3sMNoGe2Ar8Wc4VOlc0oaMNNwSo3pa
rKl7L9ZKG9I18uCHHZXTsZyHozJnTiHa7F50zYYTRMXyqc9lfqRbsB62ftUvB5tYxN2YRuLkTx3C
FK3tY2Ys7YbhIbsF4R/ZE4C6U8qSaGNPyPJPAvXNTohTozEqbXhlBhNnczA8/B9A2PR5P/8JIFxt
kv8eILz/aD7q//dfv0hA15/4FzwYBP/AvUrymIsNaPW+Ieb8b3jQ+QdQBbAAzkYcVz/ddP+Kk4j+
QeiTBzCIlAwszV81g/+SgPL7SDgl29J1yPuii+1/JQH9LacE2IbwV0CJVQcKFElG2q+wSYMbs3Mj
7caqz7J9BLz3ZAe04y6Lr3Z2qG2kUmN/GjlKOGTz4LGOVv025RDFjWOY5c4e0LAVvTnGJNt7h75P
VUfaQ2/sCJU2D37G70l9j/jNQDenv1zp/wGQ+1l4/guqQYYf+dmQ8AGWQ77/r9+e3AOycZLIiSvD
D+/rLMkvES6DYlunc06Qp/dOGKyJZHwVgwVlk51npBQbR9JiitUg9w5FmDX70aTFseAiaHcoYSLq
8ozKblqxgM9dJh49SMQ3TrHsyjlbBOSQubMKp5h2Nuz7ljVSH5STjZcsMuddwo67q6POj4nQEldz
rPOjEEa3LwID/f4Q2nucLcWlrWv9B0z0d9Xseg95kIDAgjX89Pfr4dEpLVD1OHSM1fq5knlHN9yg
0ksSkbs55075pszF1puhHb/853uxqpJ/gbnoLcfliZB5hQJpz1m/218Uu5xCa0pcOiseJv63kBr6
QnHKvBNhrpFkJvsqaKtdMKxwyzi+Gpy1zxgQvv7ha9g/oca/PhTcCKD2tWhyFdX+0yT6ly+SWUmf
gob0cZIBAe3LgvMf7uP6ZAtaRzZS+vJd5NihNmOqA3ja3Ks3mLvqu8Srm286zPNPaYNVe9J5fmo6
T98viZdUKNMGlzZ0Mb+FPrOILccf1aCta5GF3YUMoeoaTpZNS0nSeC6YJ7xfP9R63Bv5TCmt8t4b
y7qaQWUdbVu4FxkKDt9T/bJE9YfToM/LVC9OTtfZnzhuBp/ZkuVWCrHqSB2ENKAMeM9sdd9XdrAl
HDx6HGdXXifX7kLkwgP8KByogzmgao9ZWNjPwgyE2I3kiC6qaY+IE+R71pvWoUh8NESMIRunkWrc
5N3cvWXEpr3kaRdR3FPaRJPMAoGFKmiejzikRbF0TC5EzWRIMHzV3a2QB8ICMYpLgih43ATduHwY
5WB8YPyxnjuy2D48rRiNjajMBCMjHpmit+S7ZrglZWHS8JJDtUeOtZzMntm4SsL5wRoTsR0lcQ1G
ZwcsK0TL7zK6m5jWByBa8lHNiEAlj0YZCaHq7DrVqGub8vLRZNEkNKYW+hahtNh5mZmqfUHca75N
DMP2get6rgU77HPd93iTKMWV72i55L5Ttcg3lmNEVyu35G036GRTtnnzOaRY6eKBlu0rwbxN6ZMN
LQzqNvpBX8TEoaE2kLwF731QesxoLXamjGPiEZI6WEU2Qzw7GELnsiiOdq7Kb+R7DvdMQzTvlFG9
YXDIrlWti/Ps4r4PinxiyV0KJMLkMHRmzaM2c3rM6FDJEpOTqyHKbNePkU9AcBcaZ2zA3nfdU6UO
A2umaEdnoRlJe+b8A36/0N36nLvR9ySkFcx0JYOh+CNLO/aTsqWjqUoLpvhQHU3GpLgoM2jvtamN
LELnFNYqP7hhPqBu9PNzVqThsWo5SpuGnbUcOCI8VilFyeclmNOHwKdQYPFkdFM6zDJLkT9ZUNA3
yiNGpJet+drieASKkB760DnZd61p1bGZN8NZt6XaqcaPmNGica/bMPicDz6HEHyQausuZbbV5Vwj
EWlw/xrNfJtQdri1bQM3ollH9nnCorNFSBZbM+VSC230vGQ4FbASybMrguh1HjEitomnH1uyYRvE
NyHdfHOV7MXISXmcA64IQeh9kyqgb9u9Tfw51qqbzqK0gqsQlC1qWrZ2ftTnBxymQ7+hyC/0wR49
49zPk7p6ftE+8Zq8D0HroEhHqmv0xXjoWzs4RX0Znc0wN46LR8buglv8OS97GojSJHrTVqEfdWYv
X2XFzRzTKdxLO6ge6a3sbgdT0gxYleF1riv/NgiS8bYdluCLjeb7a9QY3LqkLt6kV9rwcNzTqSup
I9erKCrXQFeyn8XFklGmjwFJIruubuuKqrmxv8X6xuYONW09c67QjzM6iSPxc4Sq5Ka6hPBQd0ZZ
xxHI6v1Q2/qRrJf8kuhC7MfJRKgVJDOIXmjEaBx83Hz4ctEMcsari4/J1xEJgUlhbE0DKVXlew9+
3VlXV7ZRbOPAuM91Wt83aUmMVVdzxtnYi7Hc9WJxbqc+KFByWIIUnKL0AELIos5Rvw7OrZ97Y7fx
q+mlMVQMFrw8EXVrXYOC55ePaKmTJufKL0qyj9q2dRwMJYJb3ONFPI/DmLR8vi2mOPGRXFfE6VxR
ysl3m3TLC8IL/xuaUEAKNYmLE8j8UIPJxXWDB2aDHsgkZYYL8SZMl+9o6bG5emI4tn0ynlUFlkL+
3d0Yhe0eGb86k1wnr3lZhQ9GwaG4mQf1OKA6/7y0Xf7Jn935oYmyp2YSxnd/CVzWHs6ZrhysqzOb
9ZYae0J752W4DzDmWjSj0bNxKxuOJWThrzFHTSGDO1kULQEzYxM+umjxzktd2nsf7TY6Q2aJFwRj
5CVok9znXTOkoz42OPMekNPraI+3edhxhScvzgarsXYMAYVGPyuNzaTQuR9Qp4HNlxw3N4iPHb0t
1bic5GLJPX7a5kGWPqL1UPli2xbtS6XNaZu1rX8niBb4XliG/rRKwvnobiTZ2NLJJxrLMoUtEDn5
1I3irQgR5OI/MHyUctqD0onaErYm6yO4ZfPbMghyksZ+T80aCQYAbGusoXeLXrggerKpDnkSkJBT
kRpBoFc+3as0Gj8HdHp/lGYNoiF1uq8bB4Ih0pPdA3DbHf7t1ljeDXds1I5AnlBu+fX10UsX1huz
Ok2RUz0wToofS+OUWwBVUvu4XtOLr535HptOCEALsk+wmqg3diGds5UVap+KZriMvv9WlPIAGznF
KK/djymy+ytEKU2XSSSXvbaM7JoI1/lumvkXtETBXdp77TdDVtLeDHhTX/TEmsIwO+t7aWmmmlKG
wcuy2AxbtGFdifAqT1Ex2Ds991jISctHnFxi1i2K6n1YzIhYuJbAiaZDm0ROWCvSJ7McL2TFdahr
DQsDQXohOOLBXyMmo1FFN4bmZR0JajuR6x46sZ8YizhYZBHcOBLnJiUlzSNqUPtgWlO/ywI//KwL
XLuvAAHvc+6S/c8mTc7G0K7DhTtygzrB25ll0XnWxDuRk32k1xYFll914wEU4L6ajIaTvtcvsLm2
YpdzOocl2HVatvaggVTnmoT6fpqSDH3oOgVFQ8ppPZPeSSBoInQ7r9XR0vk55DveMq509yyk1Sbo
g9faW+eYtoou1AdXG7MYHyYrzfds3cVF98vFHGryq3wVPheRvfVqszsEA43OSAjBg2j6hryqWUAR
P+GM7zaDHXxqaCGdMjffDkZgsSHbPxKeqaPnNctGmjU9zjKIa2Pw9zKrc5DZBje9mN78YiCFDQxq
oyfJB3pl9soVKr/UKiPos0ElX4ZBelWRum8hjU6lN2oAXbsjhSv0TwMm6V2rMv3J9+v83FUpK1Cb
zK+miXsdMfm+FzCTBIgT0jCZgowGCu1Soti3gQ7LE0UGB0Xt49bpJhFLcSRafN65afHMy1xty3S5
lshisXeQN9vNzn3vTyZvvuXS3G3pCPgJQ7qe82Hf51lzV05yvrcX2dX7tpXZdbZYQT2zGagUz8Rh
QQtxXebijr2NUA2uDBMsWOOhbhlHJz/qyHlCPRex0D14eih3YVV7N0WXq8fJSaOb0Kq/JiNu66qq
GGX8wQ9v9PoPZtvTUeiaOeyxSK04w8S3wvVh3OmyRV+HkD0YlT5nk/ZiO02HF37PZeTtOpPY0Bf7
PrH6j7T+mAOin8igmnaCpxZPEKHthZNkB+VWLnNyUtzYg+ezYknuYZqoOE/qK2pu62q4PJsFM4ZB
aMuRPnC9z6i73BC44PLj01fHx0tNOMl8JQ5hAR61ppM5lc6LAe99UzXp/DgSjXFy+tK8T+GogaBM
DjliKA1/Z5kTlQpokGgOtqz5Jljs+qBad37xCTOgzEYUjwSEcQomnLDbBqONFQdwy7t10qZ0NvCN
CISFwVO/TBNjfBSoS58D+m8wKDuk/eYuL8+wWMW8RXVe7qNszGKKP9JyO0WAjYXhLN+x7chpV1N1
ze9Jk5E5XfX+PbSow6MTtuJzgZf6aTRKeYIs0mKfJlNIzguK3odOVkx2hYmRQ0GaguvZeq9I4SBS
B36dwOB2qZ/pfzVuKseFLh4WnwFAEGXHxX6TwBG7wcUKn6CJghZx9SO8v/ehxxrBg/LcPVwm4j9t
kvOTmwEgYEhUDYf4WVaHyfVCFMTaOKfL2rheNsVjXgHTWcqK3rPabz7Vo4Gm25/yAwnYEVWmDeNL
lXNRF3gZf9MHIoQNYRLEQckhjLCtO5J/0Rb6S37shN3ExFxJ2iUNRY5OtG1Gj3y63kTf3HkhCSYh
TiPTf5z7ZY5rJO57KzLCZNvh7Y+n3AmOI6mRsT9X8uvM47Uz08DbJ6ER7D2mxlVEOUNxKzzh916d
wsoZg0RoCfbQu7Co5UK5PfyCMAl/FP7Ob0PrnBQ9sbN4Scl8kJzNs550hAUhfpED7Kgq2HWTx1Dn
6AySnOwis0zbfWVzc8g9O6tovlq+tl4XaXwLaCF5HScn/zL2prlfhrT+Ohh1+9iRFQgj1TePUzWk
584T2c1sjKztEKC7TJKF4LkTkYdTE1lPkYuydCvpJSfMmq9EwmicjtVN2LcWzSdO2+DAQr/dGqO6
GUP7MDnMdD3lLUclSxU3djCczUK4B+1FydlanOpAwyHFkNiId2lI3TFzJlX2aTNdBhYr0iBpTciN
DrQ98hZ7my1tv2+IzT96fUTyABNDAIMr4HY2pUr7Z3teCGnyUQvRdFtnNCZN1aFFC3gbmVW4aekB
t3CrHBaHiuAqJfeXo7BwT5MmoTB1Zp+kA2f85NrldJLSwCuRdBXPL71FMUk7zcWoI/Y7mmjG7Hnx
3OwMRS0IlswYGMkqBEWR7KebMWyZ7hqHg0DxnE55ckosM6VVl86IMZuf0i73z/OYYiYMCfzY0v4w
nBLHGveNU8PpY1Qh3Z4lKapI4wagX+SWiyYOIANiSxMsh8BiKhGB4FKU5AYO7FFFZwU3bdlfB81x
kW2Hwgln/JrqwkYElLxHNlTaXPkSkavr36crGwUy4mLgoWhlTJKbKACf8/tu2i9JERGOLk7LQt2w
4RpvhIXA82TfG2vVOrvrIW4S9q4vFj/WCxY5poXo0PZYmAaSN6dELc9jww87WUHAqLbMU0oeZWEi
BOessu3GctyJKVXAIPPCG0svjcwCYy9MPKsSTXpGg8MmQ4V0ULqcbsICttp2sSUlYVLsqgQIuXWa
nRmgw8OjHdxaDmZTL5c3TlPmMdl+0PCZBZ06m+2G1O3bhoRTVsDqMUFos/HwjPCI9cy7+kBOyws3
4aNPi1cu1OvslcfJbQ+z9i8TyrxbxY7sxvRxSbXLUVQkAIxOxIiyzJG3GQIImdA19L1TFd3ZshmC
FnqzA1bKaaNcDzNdjsP4Plxa/eDmCi5O4vJ5RO2tNiot7GvIif57TtHT1rSaTwt9XGLjlrgxO8xC
+6gzdDy7fbpN8mQ4FDpyv/I+wWavyz6uRhtFgUMAlQQs2qacLZsm6oE5yQaq6FRurdH5NFrOc7jg
NZ7qWl49MNANpo5PCLJyFMxz+diF1nKBw4DJ5W4eczjQbR45nMyisWMScgjctVLO87kTfba75aVC
pRNXnNrZRclVlXPxDXCi3Koof7G1MYBdZ+OWPp1vQ0IeSYveZnI5XLvdYN979mjHFHKTIBy44YMT
DuE1zyyxs+RQHMluqK+pYZ3WiFhInYpWdwpTKvaHKn9N5lmwfZfetc96+7aSaXU1FV7tXqV7c3Le
wtTCq9gwO6Ce8m59TY1q40z+0Sdx5S2wtD5aQ7cdIaOuI6MBYGivv0STIR9FocMbFEtEyy3WcraS
Rhy174CWeTqQyDdUd0TLV18NVSS3fVZFXwKBlxIcmmzWDRcANK3SM3ExqWoMdorM9POXHpAH90II
r/fVWwI2KAqIMT9wQHauI/XdhzFN0500h+wjABO5KN6Jh4B7cEkn1Vwa06GwO1yC7nvkzxkflxX2
AfNtT83UnN4FAQIQjz35GzFdxpNsnfJHQoXAja5S+d7VTvkIWYnaJqBp6xqohiihiXACEpkGpHAd
9VqANTFhMDw8ghJwp1Uhr6LdvqV2Nz9bTd4eND66l25xBbqqAR95P+TZMUkYfNLCLG4CdCXx4ITy
0gi8LDHnHXpurNm/oLJKOZ/37hYFG5k7TiaWnc1H3xJznONWaodToX76IQocnNTr7Gf8K/tGjf2V
hBmH/oY5ux8So37Co90e29xjqgnLtJxjBbNL5irnI/1IDDbaRhVZ8PtkHnsf6ZIDVPQlqNJYa27T
wMhQXAiywMgQBtWXqGWfWoKJVGXtedGz8lG2Kaem8auq3ddmdtJPVHVvAjFHcVhSZbUBnDN2oVKC
iB/NNlEvRrRFGum85p0DjBbo9Ik1/hFEb2u6HImtUjOaPNHwQ+0PmZrKVwdNThH8TIhjgw0spB05
sDJza1k8JkNUfe5rwIeOsJpYBsYP0oWTjZlJEG5SOJdlcGNg7WMWCHCcvGl2RpgC+oa8c6rsX/NQ
nXh1h6/tAFjTVlO3E5m/pr2JRykUiGCCLVJluXcmSVFusH96ODwMkgGDSMSLrggnpFnklIFi7zw2
2e9mwhbde7W9Nkd732dNAJo3YJUbGPQw1jOYTNF4IXhJ3lBi4p/A62m8Tm1v1yKR7DbuWNfbLGqq
bcbPnfFQOYJLB9IHBNs9DaiIN8BX461MWShQD1rP5TBEsTk4BAqNXpMx5aYcjLoQ94/fEeA19CQz
cx4OHxSw1s3PA/ecNdNLmjXWjeOk445wp35jziI7hkXlse1O4SXv/DOhHxWhS/Z+RnVJcjdU4MEW
9vBkuVZ9GN153ANWV8YGvqg4OCPdgZSO4WxzevmO7SX4aAiWfGutvnsFVyMgbEL2WNA5nolLPWqi
32AJLsQvOCckoNZ1ZuK5UYsvCfkqi0Mzp/dz2BA5TLvT638mXP6mVYfAxADBn0DrqokP/Det+mQ4
oMSmrWISiN2t0alVjBe9NCWYdCXvmsSSTx7f6gXO5TvbE0OLXZvBvJmcyvvw13F6okzlECiO+jS7
v+BEFudO0KFa5k0GvuZFf/jO1u85vut3plrHJoCOFB77d309AddJMjllGytRuC9zTjZypqmJnFy6
3it3LPbduuLYg/iWObxIHaTBpag791aGxLottjlTZ0gOxH++lr/Td+vXIonHcpBN861+r8h0zAbl
YZASawfkTWPUA3zUQ8IBE9lihnuPCJoNjthq+58/9ifJ+ytjRhUoiSU4VSx8Db93AwfewhPd5yQn
CKs6RwJj/OyTCIy3K3iWhfMBm/cyYw3ehm0xckRgUPcgDDa9Cpv7iurUuOSgBfRQ3qLdCa9T7opT
oMjwXgzYtnqxxWVQ5kpStRZkAs44tBHZjzZC7wSiHTCpkanHecb+mrTqmpByTCmiFTfZFB1qPF9b
Lx0M1MZN/dWYIVkDUknOyGdK9oVFcOz2/WfgGNJ/xmV8b0tr2bVJPRyMoiPWO7LoVcvr9xCmFhNF
YflfF94dVM8A4O6Szv80U/1bA8ffyFCCi6DW4R+JdvLRxP9GhkazEIOeFLiJ4c27qZ0PESaWK0h8
eUAUBhqk/CB7HkIjZ7kh6RNqlbA3j47H/3xv//ak+/Di+CJMqmwsNwh/+yIj/yLzwRRxPzv+g0+C
N1yFM/3BX/C7FwdzJVk3gHiMShGv029rgMgkm54O+xgFMo7+lvhNc6p+GEH46tr1coJ9zv/wh/1u
xuEjQ2+tdbF9YoexVvxKN48yS1iRgx4ztEmspB++MWAyVjZ/+qDfX8qfH+Svu4jn8ZL8XlnXSEQ1
3uL3sVsgaiIzHaAzIVWYecF2d+S7kfXQhva5GAvvf+uqWT8bwwisPrUf2Pt+c9WwxXaplEP//6k7
s+W4jS1dv8p5ATgSM3DTEacmsEhKFCVKlnSD0GTM84ynP1/SdjcLVS40d8eJ6H3jG1nKQg4rV671
D9Dy28LLyqrcO1ZO6asJ7H0q6qcy9/3NiEBuo86fJL5zZZYvfbycaMI6G/pslhslgATZ15SZTP+z
8ItvY0XJWgefWEH7HVoV9pH19Loty0cjngRSRvqv2OYSSBApw0BVkNIWIl/mMaIdvbUSp/x4fZTz
/ePgoS2tXrg/VJAvp/unG42myW0o8zYS/DtUUdDFmdoGgjCH8/pQZ+QoFP2gE6DoJizUs0FonI5F
yQjBYshj0q6AOGh/rFTzlwJkdhsJQUIYcxFxowBwT3da2/y+Mvz56XQ0QpEJCMkGgbQMRo0xw1LU
Gb7VtZ91UtyLsf5KYfOrjlua6tMCRhUeEU9rB134A23+r0OMIih1EOSWR9OjU0L12sEQN7G/XP9t
F1bh5KctNjjMk7D3A34akiS3mIK9c432O0tzc32Ys3jMCuBmJ2ChISKl06A6XQFLwTcE+j9absb4
wW4bzyn0T6nE1VJtRjU2RnwtRNYagW2wj+QmI/qY13/DMhI//wTpAcTGNnTMBU9/QhSDYeBSYBM4
3Av0/dzdUOrVypdKxNPLq/zPUQBzSW6kYMOdjoL5NUYComeU2P4YTPZTm7afcjBO9djsr3/QpW3F
AXIMED+azAFPh4qN1BWV2dV7fS7rmzmwP0cFMr8aehdeb7Ymmi2AYa6PeenzdImnU8HrG/SqTsd0
a/KXMW7qPS3QpwA90I0V1t9bw4bGoP+8PtalY6vpNuUP1O6EZizdwyrFmjXoGvUeKSHkupSKLATE
BMVS8pGwjAcP8naPELfzuQiGrQARv7KaF/ctInJ8reEYSC4vzkc3+Iqo2qre15bxxgVYdRehr0JD
Yqab1/2aWJZ7VcU2dYwKD7Qg6qa1sjLnF3+E8Rz/ZXpPQ+900iEQFZUW5kgrjcVnXRfvJ1V7M6nt
U6mWnwDUYTtkzZvK/MMIXawiim8r63B+CTkaXrEEKZBtmC4uwmefxVmHnEG975seVllPHpiIwoOd
H+5bMz80RkNVAXEUq6KoO6ITrVDSM8Odoin7toXLkU/qFheVeONXSnIDbkrsEBMQu+s/9Hxzotwq
dNCAeHMBb1psTuHkdjjDi+biMj5G1CZuY9fxbGjKm7lXhpVb5Tx0cpVAtgXta7BHjcWsoI9pdW2c
IgVmNv3PJIk+8MZFK1pZAxWeaXHivoHdg0PYtE3NVJ81D18A6uLYp6aQGGKP9Bo6EOXnWU+M7ZQ3
72gX1wgDIZgb1BPa5VkOo1aj9eeK4aYES9IJVMlytHxQaxidXZ7YX1vL6W/aAYOuMs9QDTZJJuj6
PtY962OkaOma2ggUqZ1g9HUGAIXxB46MK+7Xy7VCT1kj7WepnvGSy2g8dHlolWhR7ztgq3t80J3H
MYCw4KDIj+5evhaXl9H/z/F4Zck3nuYI+ecv5jDMgPzQXsFzCUzkHb7b5mMT+NbKDlyGZDmKoeIu
TZdCkznr6SipEakZbIN5j2AzJJsy/D6P0dfWKO+bDKlF2RG+vuWXR5MBqY3D+Sap0YF9yh/04rPG
cggBYlIX0wKbFlyVaGBEqm9arf5Q6cJC945oFxRGvjLuGd1bDkxOjJwY47tEx9OBEZFr49Zxxn0K
rJGuBKidQn/ygd5h4d7otxq0ytiMPzrzH6HlfEBO5cFysC4lA0Lk9bOGHh3qkDwBr8/H8lDys3go
EKNsAykEmPunPwvjkLbJOQt4WVPL8sfAOMLOcbe0Gcrj9aEuFDGEg2avfADh7qQ/m6G8mPtkoiya
ooFFDAzSbT3nwTbQ0c630a8JeCXsZ3yFd9asfjMHH73HqdmCt1VkC4giKE2qdFhzGLqwHdCWRRyB
64I8a2mw3lVGyFgUIOPGag+wbJAhrxoIrvb8jebr57iDIR5EaXhYmQsZ7F6mPQgzcEnyEjQJwfLR
cDrvIOWJ52M87Kcm+QNaLlU2Fxc4rOvHHGsyJ57vh7wr7ixgfoc+TmqbRnjV/rz+Myzjws/QwOkg
cSMImMsl6dJK76lT9HsjHfSfZul/SfroYRBa5/l2+ysZOusJWI0ZIGrqBu9rFAlv0nTeZZobPipO
fYRMREOgT2gD1HawMdDSh36vYA1SGajqGqBsHm2lDh8g45vHxJjVo5vPw74Qaf7FzCrzptBn8bUt
Z+r1RuF6XdghNV7n1QFZwGZL83uDXUe2A1KTvS2G3KsgO261Cf4X3DvtCHv9O0Z69q1KT/5b06rj
+zYr+JEdFosxTOdc0z5Vg04hNQWF4wyI3Wl0r99WSGdBUE+Lh6yBxxKiKwCcWYVYLRsqu2AYxjdp
AtOrRTdKsrJq524c1ORjYhex6UGb1eeVw3iWwIFdoxZBnU9WCqBrLoKEMlVTbHZI9wS5/gSe6COT
+r2wy69dQw0/kpzUubmpbLrLk/JjZS+cbQVuZZQo0F3ghLrGInOD7YTPQFr3e2SJzJ8OqsMfNfo7
N9ksPpm1O64k49p55GE8Rxbw0AzBf2CRfGTRnDuhlfZU8AP/U6cCD8si29wh7+D/iCAvRsjbV8pW
S5XxPdDG4feUyu1TmNb2XUBl/48+7tmI8ajctRkA0o2SRnq3xbGT7oYvo1kipvE9FCZtCw0QBwCb
f0iYjfCeAZT02dZsyM+jicHBpWf+XBCwrMWhTs1pcmvQKHsEogAqlnX0rnYj58EpR/aOFfpHxGeD
fQsiVvtz67xKDel/Zv5FrfBHAWUyCsL2P54uWo39L/QH4776Z6rT/6277+Tuv55ZU8ef2Hf9J83J
cn+jPvb8EoSNQzJKvvUXzckWvwlKVw5ZKjpJUozov1SQtN8savAmpwSPP2rf/IP/pXRvqGxnoqgr
q0C8fBZOYNecwTT5RHl5P3ATw3Cix0a+TGi2FnmK4sTtZCsJ+iCDmj2aAKssGlvBzYA4uxRLHTL4
dhHoIkcJbtWp6mbPRChtWypz8hQ1ZX8rItLZoEZe15DOSVieqA+w/8pup0LZvq0LP3proWfyXhuc
/AM24U5x0CxEXZ5n/P/Dxvx3M26WFpBX9l4edNGpMZ38C3+x7Cx8ESAeQfaCdy+ltriY/9p+lv4b
wZCkBIMD8jJdJTD+bdqMnZ1LWHGx/ZBkO/m6/nv7OZg2u4h56Ro7kKrvq1h2Zy9oDKEd/g02gspA
7rOp84tUbc56oM1WgDohNNadKSAYARzeT2Xxo3Db707kPHYVFqChlpS3TY9+6GTQtX8xYe/+3O0n
9o/LJIkTKg+hgdmAQaXeXLzjscHhCKLfsut0Ie46p791cmwN4/hpVBo05RSAJeDzNkVe3GNeMngr
4y9fJ3J8m1mWtxT1vOVjwUX5Qm3IEZF+oe+xA9gA+N5IqocyM0MckdClzDa6os6Islq2QDLWqRQT
/fNkOAxpjodShuDXJqAeWdKOj8OdVXXpRqvBDadpWRZ/PjJeddb+7U4Rl+g/n6LNt/o73ufNSRDn
b/x1jEz3N0MT1A15GlPRg1r5n8eIP8KewtFcHfNxB3tWFvfvY6T/RgyX3ou0fqgQyPrQ38cIiivN
XnoY0uXCoYTzqii+3MD8KJd/De9VThHVXJkDvThGmAU3uVYayjY21XuewEG7i4EK7ufE9CFXdSPp
D1cQRsYtgMN029C3VbahYdbtJgMTcxu2U/OHOeOnB//AFd86wAJIvbd6G6HN7pibGjGDj4WZx29q
K531P0/AqzbUfy+r+HfbdlJP7J+33f235v9svoXfsm8nO0/+pb9p0tpvVEUAEZALqDwfX+QPjviN
3cim1NHBo/ArV/2vnafZv8H5JXugdS3/jvyjv3aeJn6jqwMTVLbQ/gw2r8gflu86mvEOhQ4HmIPG
RrdkNenFxjPrAYC7apYeqOdia+qooCIxVa68Ypfx8c9RoHuT85imxp1zMoqW4RxNel16aaMphEN0
hbDDGGBcAH6G8I+0exmstBgvfhlwZCHp5LpjLMaci3CeJ8MqvczQiv1UNzWi1DhNv1ju/87VI+jy
GNx9BAFqltRtTj8NV+EwcjDm9mbFsW4NVRu/RCPw8FkU06eG6I+Bmghv59iAfwuaVRGjsfKlMnid
5IDyN1AyoiFPBIEtRLL5chGRtHU7YMOF18yK8U5BogsMEC2Zber35icnap3HCXuU9zMGlADEqmpv
dwIopJp3vIYqe1iZlPOpJ8aqzAUZrtyli2jWuwpsv9zOgb8kNXVVxYCxUrfb61Mv/5WXmS8Zj0X6
TXlEfjc5+ulXK5HIRTAE0GvgM26doUhvhTRcALder3zQ2f6VOgdUAjmOUMANKaz6coINs9XURgDZ
MXA7vUMDYPydjiOWMA7CvWIclZ9qUPfxqz+QtJ5khrVVefg+l8lenE2/iq22L1wESyLDfoCmpD/a
bQdbFAzUSsntbC6RcOCBrTOl8npcrligQRNRW7XyIpYTFfQ22afOFN+1aeWsfNXZ5ngeyqD7RBrK
Xl1sVr90E2NshspT2oZXOn3jRrHrh+t7Q4atk73BIKwV2BLe2ahQLGoUca5RporLEm6ci0cHKso3
Wjv2D0ia1W/SzrRfG+CkKgExgERCJVOwFlEgIsSDJx0ryZ94p+nR/WzEKL5TL8tG5QeUsXJz/QMv
zCIwZoYkaJPG63LHvtwbkTbMOfQ4QGRWgIBd7CMQCeTyXxmFzhgtSUvwYjgdxe5yLbN0u/RU9DEA
h3XNXqWt/q+MwgRSeOMRjf/WYpSo5QWNv5E31JW/n+Lh+6jazcogZy8VwQjEiecSLjm2s1giH7Ph
il3JtxjI8AwqelwaElI4L6mfMtC19yDik5tKm/GrTrsIfg6yBQUQnJVYcmnlbCBwfCfVXMLk6ddq
eZ+ams/KwdApccty9QOe2v7KhpRPxuUJoDDI1lAFbQwup9NhIOFbTqPyuaiI8KZogbXHYb/XsgH3
o/4prEpYvbq+0ek3BlF19Ev16wjPgX4XEsCFSqfRhQ3z+v1kE8yYf8ACiMCc/igD0VSs3MgDJr17
UnxNORjVtJZsXJpgRGkJ1OxaMg8ZG14cDeRnI2qwDFKWbe4piqQCGziaXv+US/NLUuHw5gQjymqe
jtI0TlKAtS49v87FTZeU0RNEg+p2bOz45vpQy2qh3Ln4cwjUcni/UPQ9HWpiMVB47UqvL1qypxy3
d0eY+a6EdLvtRuzIqI9P+1pgwXF95PNDQ9tXpbvOA1/IXqz8aS/m0rcCH03DovQsuMpf4s5EmxG6
gld2GProeWTedfZQ/IJVZb7Bci29TQ3d31q+Ga3sHLloJwGdOppu0ycXJnAjoE2nP0ShEFe06Hh5
WlD9IQTO4OXUp3u/9fVNQlth5ZCeXfjMMtgIqneAFxltMeWN7wRNhjCdFxsZmst0GQIA62zftzi9
oXmVFWgAZIAsP16f8LO9y7gu+YxUP5JHd1EYbk1rqGNauN7Ab3pj2ZxatKfNldvxwii0vIVL5dAw
DN1dnBDFbXDLg22Di9tEHV2QAFZx/+X6p5w1MgUPCxrrFEbBi8qn9+mSDRrudQjT5V7tpz+wQH4Y
LYRZoihSti6ii7ukz9+FukIHc96DWzU3g295YYcAq55gSZbD7xuBMY2lu3Z5np1d+ctoKbg2Dy8K
WIuza1Zu7HRA8bxsyAZ4XeYAOA5JjCxCYO/6LJyd3cVQi0nAHbBHemNmI2ljd5zVuqZ5rbsbTYtV
FIwD9pLGeaK97axs4YuLDLqBBAibE/cspetnbRAdfTCnhsCTW1UIMjc0N9e/7+IoaFXxBBIUApd9
+UQvdbQu5IZtOtXT6Yrv9Nn/9PpBgErziKPATfVyMYlCMatIALT3atWpdnMHz78YBnVlwi4tFY9T
aqoUTMGYLUKMpdcBRMCYXcHdCffUSD6H/mDuJljib6AKWrdD0PZI5iggKl//gbJySJuBc8l1cnpU
gPhEHTKsmRfmRvQJkUyYKPVg3qyMsqwyyRNJqYpl4tCrwlmc+xG0MV4wEzZ4ndJ+rBxnOrpT2t34
dabcTWglbR2EXY5hFoZeq9jpW7tBAQGLNGcLFcTkrWhhSbdLzcEqd7EzO7sQHZuPdmd8zox0ekwU
Ml8e9nj7aA1xOakq9BlQSRih/N3qdPU3uRi7nYJx1aNuG/0ewm2CzHMv7nJUAO8QgG53UACjvd7q
4RbxygiBJNKQBF64l6Vj8rbMZms3zaQy1yfnwgVDIOSWoRZi6xReTpdgRh8SIZco8zTs1e7Q/Brg
eeKjUgSQhevACL9dH+/CbmM3U56QNUSuV3mwXtys2jjAebLizFP6RvFMvcPDvUcONy6wvkU+v9tp
PTK2WT7VK5tNfsniKjVItYnLNFSpSi2eDi6ao/2ADJA3IxC/MzHg3s7dXO9gjcQfLHb8PrDzege/
ttoUZbnmJHshYpwMvzhmHSesVLom9RQa/9usQM5ktOpxJXO5sJyy4Et3jFUDYL5YzgSCYOk3JqO4
hnkzknXexAFsUBWRrYOpg/u+vpznk8pNAoYP1UO8emkEnC7nrIxk1EWYegUm17s8Lj4PhEyMTWNr
63Yw75IiNB4UmGY4g/bO8fro5+kKlWsCFw1HCaZcvtNQiRB9YYnSi6vkwTQAeqUl9EIwFeMd+0u8
RZtgJVo+x6TTbSSr5TbhGMIRENJFzOqQH26gxZVeoWZ49xkRNn87VdP6cMdEA/422ii4RywVn7s5
UNJbdOAQmcAAyTxWohqloEn2nXesW8GNLzr9A+UOvfO0EpHvDZ5xyj0kNEV714EqgWAW4dT6fgqi
8On63D1LBy4/hKUjs3bhTJGonC6dqldDEAV+4dk2eh3vqYkNv4yoLoe7EdTLL55xo/swNV3n77Sg
g2pMOw7OMrJekE+yYHR/H9PZ2Xb2yL1gQbj8Ujdqb++oGyrfhhihpY2KH1+NiLiDDZ3oWiPc2vPU
vheJgnda2XU8u7TAh2w7Dj3MA1A9zafcbLsjhMXiaxfY6KWVTlmWaJA1zgPvNAwREYb8gjmVEyKW
NoRfE5jzv65PjXkWKQDckfgb5G9QbGRn5GWMysw5yWcklT3cFPy7hpRsMwaW/kmnrrmynS7sYOzR
aHzo1KHAeC+GwkNPB4YMFUShSuMH4706uHin6vkTZjFoOjeOuxIGzzA0nBPZcuFVRQnDpHty+nWV
iJrQQf/OA+/WoaA1+LcTauU7Dnpw62o+mNoEYeAxKxECrGt8yBsbyMb1KT7/bvkjZC2f8htMhkWc
ytBDT7TGhyvpyidGigbRbVfNzlEdgxmDSDtQ74TvzD+vD3vp40lzwPBItiDt5cXHW5YfBogvZF4b
2TjLlIWAy473m8EZ2I1D28Iij52vwA4bOLtNfoirePau/4jzmKkBJ3RlXYl8i9TndAFcJawzEc5c
gbmOirZuR5LF2+4RV44xeQ9RHaRsH9/FIb7xRpLYK+MbZ9v7dPxFBPPbSSDlpiMnE3XfAOI6701j
blbu+csz/eIrF8krrn1ZX/mI1nQAyB+rdo4fRxQL9lE/KLvYNMu7wELxSEnwScOrBAdFV7NW9vql
L6VHQXucEiXxf3G62oY6fa8Jucv08F3TGwCTtUy/ub6el0ehB/68oqTrp+sZBqAAy5os1vYNsWvV
THuHKpOzcmLOK1sQXoBOmTAYZLZmyqj1InPSe7epDaciWY6zcpMZQ/hhbKZ2h4Sf8qY1I1S9u7F/
hwaX+SbHR5EEfkx+OUaKUuioWG+Rp0uwz0VnCd2zeMUq7NIcvPxxixS7s+A5u2rDnnIwGtQwMHlU
IOjvrs/0eWBmCp4hB6ZNcWaJusACVq86lSnIjTL9qOtVfj9X6HXERrhSKjjPoxgJqRrAJypNwmWc
8HFIQBs2zbxpjlRIsjmKSrYb7suo/tra+dpLb224RThUNK62qC4YTqQYIOMzjJRP4B95xMdHF4nT
lYm8OB41WC43ALYk4qd7qWlRhYhg1HsCstZHzDVVT2lCa4clcktpvfBfnZYynTChyb+5Ruwl4WDw
M8sJJsaDB4zY0wDZMUHndus6zeRp/tC/fjydirqE7QLVhE56+n153ohwmOiRIQ8/by2rC/eOWXxD
kqO5s+esOFzflxeSQg1AHNRbiJ0whJcyzUpQaIlfKIlHuQAn2zj5oy15PCK+UgT5gyIiOMq4YahR
ch8r1S0iMDusZna1mhyUIrgvaKLuki7GZTLHYqI86Cnk0NrfhalYyzhkNDpN+6SitIQv8RI+76Co
0PmRMtETL9Hy/Abd+n7r++YhHL7OgdFsnKl1kf5y7JVQfHFYWohcvmSbVMZOVwTYs4qyo5V4uqgH
T0c4m0d3lGxFE78B227dBvYsqJJZa6S2C5GJBiatRNAuwJXcxW2HOfYM3HpMvGnAxwwj7QpdjLBd
+bxngYHFtILEAtUoTxR8tuUJtsWMaXOYeG2ChF5Kf+5g5yF6yq1r3wz1HN0iWDJ/w7dL37lqJ5DX
Gd2jmdYJ3kE94jUpOlHXd+WFaMn7hAgmS6uSYHc65ehpolQ4x4knVSOPWDOT5ohI3emp8+qWLUgP
GU6kaATlhOX+r9LeoUzN1yetEXm5iHnGBy2uTYn7+/WPurCcBC3JnuOTDJ7zpx+VaZUwgGLGwNz9
DPRdVSMQ6sSvnzrSPmI/JTEOyRLr3YjJmLIS6Q60OBLP6VX3g6M70UcUZdbeYRdWCeA9JTBWyXR4
Up5+UG8D5eYnxJ4boKVLF2c84Pw93Tpd/hf87R9FDC4ORYOI5g3oXKADp0N1SpFhddHGXpj1M7cM
qP150rWj1cXGyv35HNEX58G1oRARFon8WJWejoX0b9F1vRvRSVCHJxe1i60LC8IzS/zJapywbmpR
C8SfpxCWH1xIdCVyvKri4U53Qv8xjAwDpIZT/dTtwMTqbjR/1ROSLPmIUhPyUwkccpogOpaDd1aC
CtmU+/1DAsETAzDkPxrcplYAJxf2Hr1FUHS81RAaWYKGOmFB+sZSzBvp2OysvrQ2k9klK3eX3MGn
MwcjU1KKeRjJS3Oxw9XMx2quR4e4qOb+UJgltnam03kQOQrPshQEinhTrNxg51uDS0EyQADS0N1b
Msr1KWz7LA0jj7JRcojAvaKkQpnCtvun6wf4wsNAVpmhHT6DFCA8ne6MEQtrEdpos3R1oXhD5xgH
VW+1266odHRVNZQ0CrzBzYGa6IB87tYK6jW22flKAhsG+0UqogM4W+bSPU87gKZZ5NVUWg5mkbZ7
czSLlZU8I3RxwSKCRwkflDCQt2Ua0nVI5KOvEXqIFKukAEiS7esYZ0Nl9kc6zj5KglPT4iZd5MfQ
r4OHyc2/Bn5p4nrf6xsoXvWdPs2Vt7IG8rZd7DGitUPpgZAjCwKna6BSTUZeBNebrlb8I+LJI5J0
QXODV4+2mfJ8fJtrfbvP4h5ikTbbWA1CpZzraN77DWz66z/n0uajFOxwbxLWkeQ4/TWmNQ5GVVjY
vDWW+QV5NnFAA1LDFRyNtutDnachUtgI9AgVaMoPSzqfiSSjpbdm4gm2N6XfBlXMjlr8BCN6Y+WG
vmkDRHMpgKwVDi/te94uyDaAcwX/s2xMaR3U8kmvEk+LXWWPDRAWfNRUqbv0w007l/fGpLzBliLb
TOWkeU6o1x+uf/yFeeZN4wgHhr9OBFvmYEOHvCJqZ2ThCBbodB3Qyp2gBJE77K4PdSGIaVw0oBAB
5DPXiw2mR3FoTc+3mqY1twqMzVsg82hpOQ7awmZfbTrEilfO24VTDXEVwBhNbJQSlphE28KjNE64
Sick1tASVesdbZd/IdVD7IFckiE44O4Sg6TnaCTNlRF75ERv5zGGv9TGyrSLy3bYITxG+i6U6Gg1
SOR2ETl17gcV/yPXrZOZ2REZpPLT9em+tLI2UiSUk8i/KE+fnqBQD1ILF8XYm9PpbeIY1X3sIEwX
uliwXR/p0hxzRUgXI7ISno6nIxk4VJZWmiFqVlnxvLEy6N220TXhSkw4f6GCPZQdIim7hFTB4otI
vxTU5nOSLx2qv28gDGxEza9YEw+EqzVVnEvblf4gOGUQrRi4L0o4ba2J0AQHhZeb8A8oCJIlRxUC
MkZWHUIbU1HEo42V7Xpp0Z4J62Ae+MAleyJOXbcaRpckMy8iNCSt4GC55LN6r6+1458BK4uAL18B
6NABIgE9t7h0hRup4SB8NoiifgiRDIzq9i15571vavs+tG9iszrCoTwgDbDRe/u9qKrNWDRvnajZ
5QEV96F+a/jjR7vsb67vqHMYryywGNS0uHHwOFq+0Gwk+ydyvNhLqXhuE0CfW2ss0ZpUo2FnZYl5
GOK6fDubWnHkE4N958+9ZyOwDhQoWCsd/MPPeUZqoboCZ+10h1cNqVBSc5bifir3EdSXuzGrv6Vd
mbwbcju44QCiTQzkdptY7Yi1i50fghxr2DChqXd9cs5rxcyNKSQUFtAcbbbTH4Ob1yi0gViD6YNx
pF/tbvJSVLjI4HaLmCOwgNC1fi+0sL+ZZqxXrw9/6bS79CYQn+HEP4P4X9Yce3TcQtGzNO5Q8nRX
Kxx+yYu966Nc/EgeC8hSEE2pS5x+pF9gUY6SL6PQKYHd4VSfhDOpO2rDGGVz5LcYW4hNPBjZ2wbr
hJU5vviRvCmfm8JSoup0eACsWtZLg1QnQE+owc5xO6RBtpJ5XDztNg1vWQMDBCl/xYvyra13QTUM
bCt0V1Cm1kdxyNow2nWt6z5dn8+LHySVKZhLCaNe7GCcZOfOTeRtoKgOxO0Jxc4ufTXa/bkuajAO
zTIKDItVqxI3Bg8mEKMM3Op2sBAUthSt+BfuG2mzR2+ZQjZI2dNpq0Y91TCRjT2jQwEw8EW8UzCv
PF6fsQuLw9YiQUePhpqhWNxq5WgmaU470pMSgCCV0MV2ktw/JOVab/HCvcZIfAd9CTTRlnJOZl8b
YYwfpTdZznyPbr6xRUndOepFgvxnUhYr2+7CXoA0o/PekpA3JANP5y+Tng2J4MtGmDo7uAOYTEip
7uvzd3kUTj4lV14TSyIiL+EuE6RCXtbV2QYbBwt5d26Qf2EUrPBwV2SRzrIcm1RrSOXc5dZU3VmR
2+94tGQrpYuLe4G6GdwkdgJNndMZ4/6ZNT3sYq+L1eBgtBlyj0EuJS/KYH/9gy6kHbIk/gxdYDRb
TuuLmKDUql8VwsQSw6TWVLrOrw7/hQ2anO9EXXa3ReMYK7H20kpxr4OEkug4NvzpkDVGs1PmUKSz
20zZjY0y70PUzlcqJc/9kUW+AY6TNzbJOJWS5SO/x4BxUHBL9DBmDgA6VJi0bB07aoabWi3DBzwE
inkfaXZSo2ccYv08k3EPt7WROfGmDv35zlaEgb75qBeIYQkt+b0Oteopmd2fpj/Pe2VszU8qjTax
EXYbGXhz11hQqRMghE2FsY5x25mlhmiZVbUfAjF0aEipQz9442TFJOW2OmEiwsPrhw3i9ZBELiQw
ERhufkssq9RHX6tdZNv7rP9s1VEMrajOMACozL6zN+jyVMM2V3sL+U9AoOigFtoXwbMao6bCyKCg
9xrdRt38AfDFHDd6RsE/t4vsoa6mg5bDvES8o0OLoUAY593gAJkA/amlX8sWFXl+3zTeWJiuN9gP
mX2ybZzM+pyWQrxvLZwuNw5Gd78jyNF8h/fe5ls/A9+1dcKy+WYlo8ffzLuNmZrGHoqy2W3c0oyx
mtZ664uexLrUKmlN0FZDkuBbYQ3hpkrsZNxMtlU81sDNbrpMLeNdM3fqPXPWzbd1GQcfK+TujhOF
2HcZUm37bkJzxy5m7U01qN1BmFN240Z2JJCF0UbslEuVYqNtVfPvOIs5lP19JXytapHsZFCXA0fA
f5AVW7xshRgE0pLs6rLKsXAGrEzslq0Y3Cbmg+7X/Qb1/8QbMufj648wvCFI0FI3idrz6XnK+2ym
IjJGHhZn7UEJdOc91nXUcLNpwK9FE98Rr/FX4salSwTaCMRrCo3ylj8dNO00bArxBPPyAWMlZrk/
6tlYeKjP/6B/I1ZixoWISCVSSqBxh0hG8Olwtd/Zam41vPkwNNq6iVnsyjL6OUPUWfmwS8k3Q9FE
oPxJR33ZS3e0uW4S7MI9y6mzJx+dPk84tbqrwGtsI6OyNyq95r3ewBUf/MC6q7Wy2QczIMqgF2u8
jQvx+eTXLIKlQMle8bGK8lhCCmRhvO0n7CcxVHE5LEp2TGPxx/X9dHGudfAhspEoaUGnc922HHa7
5jZoutTdG2ZY7rpyMg+zjSPm9aEulSelkg3kScgyAAblNntx/QxO3I0a0F/PngFoBfEI3CQwin0U
1eHWQq1+X2UA2myKc9ty1BFGLHzlWMR5ftDKQd+2qe3uoX+tpCwXdvfJz5Kr8uJnEVMDh7uDTHlO
0huA9uIQxLF06EMWUDTUp6/Pw4XnBzVaOhVQ0G0eIMtpQNvOwuuVnQYpYoc2bkkdNP+K/YDYx4hO
7dvGqDxRJ8qNVnZrh+tMbp3YBSyZnqgkIdJGXuQbgGCw9LOxByU5S+hzFPvCdbboy963Vvdrtq29
MUUHK6k/+UN8BAJxT7qFM72L6ySmq2rx2db8Y2plD7bAhj7tnrTOnVZCwIW0gQ4V/XSwpXA1lmlk
D6UoqGRTYrAapMniHEPZrhhen+AhqME8wJUCC6cvnhQJWHqRKwFl+ckZNl2noQnpJOrKt1xg90iO
LjBkhxenoBh6usFEirFUGan+oVaAHw+Vm+2tpE1Qchr9o8QD3rtKjJdHnvp7UYdYiFm18LIm+uP6
xjvf6NTRQJKy5SQ5fJmLiU5DfoY2/8GeYty0YsA845wE+yqczG2p1dWb/9F4y3f24HfNZPsVBa5Q
K+4TsyluKkXXPB6Mxbeqwo3q+ngXIEuUfyXUzaKKQcV+sbU1JY2BA9nuIa61Y6J3uoIfUO3Gm7bQ
460xTajaFtOE7Z3hb9QmsTehgURx10XRg1NhsBm5yoz3ERojO9yK1+LfeXinB0KNWrORoUCHQG76
F4EmHmusvSrHPTR2g8lzILaAqjA5yE38Lmx1S6L8nla/QZ1+UAABJRuzxKLXMGibvrcmgJJ+c1fa
+YcJVbDrU3dha1DNNegbAWOhPriISXZZTapPPDrYbXg/zDruCrUiHhPfHT86qAOurNRZCCR7oSyB
ciYsE0mVOJ2JoK3iEO1MfM4w0MJSWTjbOYz7N46BltwYYzZV+9j1JeqXsZzblXU4WwY5OCQQ6ry0
y2Dznw4+j5ne9WETefChw02mB+8QrvukJgiNll35h2n0765P7sUBnyuuUkaIC/B0wEiZnWoo8UAe
+tL30iRvP1gT0H93Es7eqEwsVJx2jYh7FkEBFAN+edbbBYayfPhjXjvnYc9Xis7i1hxS3OKwdVuZ
y7N9I0fhHiOeYDtxBsRwk9F2lYBPqwK1PAamSLazkob7sJm6PUKOr3UjQFhX6mJCt4KjiJr8IvGu
8CHDV4xMNEamdJPNQX/w+2YN9ycX5OQ1uRhlEUfyEfHtNMQ6cjBtdAnhZVJscPBuzqeNPXT2ttdK
813QDGu16QvTSXSWpCEkQKG9Li6k0TKaXosm+qS4u3pIh9mHFgHWvYVy3pvEXKWVnV9NZHySpMRh
lO3Q5VlQgkDRYr8KPb/UtBtoR/r7Mhj12zJgpzZOhMvi1KUehjb+nYrK386PUDiP3Vh5un5GzjSC
WVng7QbJD0hxFEwWb4wAUFitODCifGn1AEQm3mpK84uHIaB9IvuGMu3RrcZDHOjbiXrJbiqmeItY
j75x/XhLkoyoNw3C3ZAIvJclO2QK91PkHJOoaDejEI9DE79rM/dBB/20iSq73lBPuKMgYu2btm1e
m10svmixV8sxrpDoxzxWiOlHburB2wgA0PH6vF3aMXQ8ZS+DBjMB7TS2VF3Z+7aWhB5SRcZmMPNm
n1jiI2iYfoeayRqp6fzBJD8KhVpYPzyAyZxOxxvtTInn1g68sK9+2lGq7eLJ0N9hL4Ftp2++N/Up
2QNVCe8JwC2lJT89oMWl3PVST/v6t1+Iq9yjoKZowBLilqcl1522gCUdeG6Jqb2iDwGyL8289bWB
B3FqGQcnndeejBdig6zZwteWmBmAKacTwKMlyNSWVY2a9jHHDe/JDbrsg0qP8kkNjWqbd5TzNmlp
+ytL/Qw3XoQlhuYRTgJHTd9YbCjCxaxOUYTLkF3cBeocbhLczAAPpPTRbEojbRLB8hs/jza2e5n/
mP4/0s5rR24jbNM39BNgDqckm9OTlSXrhJBli6mYM69+Hw52ATWb21x5TwwDkl3Nil94g2Xda2b9
kwz3n9oIvWysB6qlwy8zzmgpCdjd0vCDOvU5gmrlt03/DHI7Raum/mEZZXvq86I7RUj+3l64dZNc
fQghMcxg+i9XanZ9X5rG7DCHU4FPtmN1VoAH2pH5ye4oJBCsE01dGICXK0UVlMQyCiPkcerBZ0er
njTMR64MO5uQmi2i3DCcCfK3QW6fZTiAj6jH0I1fPDiduJFmQrlHLgyD5KXAWJGaysFW2P004OKI
VoGC17ZKRBlaks5gadFdqzs/605RTkaU5Acx4VsV62qZ3gw/qBqz5zYTWDahntq0PGHJp9WrXpuK
i2INwsdDZDwUkSZ8EvrsBOpI+ixVdefVjZBPQMaSj2BiRm8cJp1Knm68Dkun+wi1Sy6XthUI7Fge
wsZaHtOqEO6U9fxTwu4z+A/7zCZKoPQM23cbZqZpkoSdJLM2aPi6popODN5vv/7LIHQziMy5gre1
wCorw8auGUQ22+5OSzHkNpuiOrjr9laccBnE94oBYdkvN7NmYRpNO4IVX6D8FrPVeP0aHtz+lusS
DYHi2rOn+buKXm5D1bzPHB2haa7USE6/OG0sHkDdTC/4D6NjQsLuKxYe9rY1RqewmjpvoKLjZgBw
z+OENXCZoT+VFYfq93uBCiCmVZx+xfUTHV1+vxpVZh5B4Q14UPofQFowWYR04qFVXz8gIpy6LRqQ
K7ZZR/tRQHPCDz1Nq/ZohtaBNocC+j3gutWuDqjReh/8lsQtS5kUfdZJwYza2is2w091JNnnRc71
wEi1/LWoxtU5MPxFZTP/FeoRocYyTO8ro1Te316unU1hc38a5PNv+eQmTo2cdmyQiZWCSsy1j0KR
4mJqlR588vUoa/eLkBvYCBzfbTm2LRWA3QvSOaZQJxc78+Y+Fpl9sMGv71FGMSG/cI1ylraVWF2e
zaxQljAgT1X9pprncxIOg6eqyXRWEdj15EKdDgblHrhaToblBeJhpdwMTftyOdtk1hpjonwvetR4
EuWpwkzz5zJSLT7hholDC5hIx62cstG8Pm/FByO08HNu6HQq7igvvMSVJX8A7TO/B6wi8RLLr2bq
OB+jQc++TyWIyJMDwC+50/BU/xTHmvrTpnmgeHqVlLqnTtr8vRdKPvm1bs+Si5Nlrt9PzYSAq0M7
Cue5MFN7X2hL+iltZsTQdbpHs5vkcRi5lgZwCfuu1Jn8xCij0EeNDotPW1Kb9JyaInoe5i55avI+
/GsaJURPJ6f6kUQ9ZmRZCokKx50+fj/0lf5ZwQX+V9Gpxd9pFeG8uUSyMdJzMQa2s5OQHEjJ35ne
OS8JCjGm3xa4PQGXUq2JXY6zzkmyxgqkgQnjdhmy+Gdq15yAMmuTH9LoKLkLhxv1WrXsv5jLDPUW
4PkXpVyqxW1wtc7u0lgtsKbveri4YOp+TrrSv5pJ4YD+MszmPEOhfZ8DBTfcXFGlJ6XRk/CkxaN+
jnuNBpwqyeJ7LNnj16LS2/dCV/CWCeX2vU1TATvP/Cnrc4zYG7uXC7deKqouxRh+MofaeOR2sT4J
ilbva2xL8FCHGuk3hYPlBj0959xJuJq7GXpSkt/YbSX/XVlZZ7v66CQJFRxnMvDEDp0xgFcafVeK
Zaj9XlH6l3SIs/muMSpJ9/5HdCmSLbVK2yixYrifle68lzKzwF23MD4j5VfkLoqB4bupdroPERyw
yC3sDLSmkks2lSFM1D/bwpTeozqdf7l9r6wx7OUdB5gDoiydEYpBV3DlqHGsKczSMIjaqvTCuMi9
vlTUO6s1P//5SCj/EDnRbqWIsImmCSlqtYlySqOoNDxWbfyrg/r9IjvtkYfa3jeh76TK+OfQ79hG
g2UaRfEwxYxEThDU+M48LlVoeG0vfbv9TW8h32b6gJcBY6La90Z3v7xTsJqzbYlNGVRRi/iPtuSf
JIvWJfeBdubxmP1Yb2ldgmz042iAl5XlR9fpm9Xn9Y/gB8ArITlUNxfbWGn4H4+hE+SRuQRiMnPX
mJwpwErlszr3jxAzMVEI7dEzwhZ7WJtySu+Uj43U/Rs531NpfOy68K/ENh/NWDN/9RVq522qVefb
s7WzLlSQoDGRwlJHcjZB5lRbi47pWBh0UjvcNbH9j2jz/gQg9n8rn/9f6Sg7L4wOGwxEDUh04tlN
qmxHIRgbTYRBaJilP+QGvaXesvyqmGSY50KbXJ3W9kGus/t9eHNaaGiiirelv0dhghttv9akrUj+
NnTK7EZqOp75u+Z/mEpYFRSOOLhULjaHyVI63YmxJAwc/HTdPsHLGQhEjQhftxx81e4eVziw7G8w
/dBjL/e4Y2T9iHaAEwwNvihuCRrghB5pe2oX1TkJ1RjuRx7ck2Qog1/bVXFfEz0cPN/XuTj4H9Ae
JqJFCEpsgWcmehKzgodGsKSKCBRHzf0Bl6ggWWheIibafKon0hJh4Gxze9fujryCvtfMb5W+vfx8
Q87jVBLUyzvIpKcCH3pXj2v7QRrQo8Q5O/o8l5gyqplx5Oi2E42tyn5IEtPEgQO3GdmOkG9oIuh+
PfBaBOAr4ojZOdIw2tu1ysoa0FB85/JYv/+3KHess15OiskJ8IRP/DY1wx+wS54AQlkH3dfd7yHr
AEwBVYBDcjmSTuBTY8XrBDrAmRdaVCU7NzmCIa2zsr0NKXIiwWAQp4D9vRzFoHnuEGQwSoEGztBo
baApk3iWq7R5Lii5urf3x05YSYWMfQFIg6KAtjmKAwonU8V9G0hFXL86MyIbUdVVp7Iccm6ZQfWH
TkOrvtXi16IZj5q8e9uT25TcgL1Ci2NzqY6VEoKiYfh2EvLP1gzTR83KkwAKTv5+dvQGJmOj+5Jl
frr93QcDb68FZHSJqWoGRiNLDlQ9El/V1ML7XEV/Ik7L2K+1WPyd5eEBbnPvcoeJgXYiUA6S8E1a
1pnT0gBTYYFpniFU0JS+rQlxlvE+9OYuLj+iX/Tz9se+vaHbXUVvmgo6149Jt+VyV/WmkYZoyDjB
ZIi/Z9PMT5PFD3FzoYW9NxS6GlhpVDw0aJy6kdTmQdgZXM9z3oLPkmYaJtZXQ2rqd63RmS/qgkt9
zu4IVJ6Tc607ozcMdR7QRlXvBQU1IGZoUYJBK/hPtf5nU+TRh9sftbtzVwYzWDGqWVuFpbbTy7np
mEiaOWnh5sg53WvSnN33sjH4C3aWntqH2aNUq8LLSWvub4//VsnYTCoVXVaDPulq37OZ1LhZLJIr
XpaubLpnWU7EczLZ/XNj6bm3aEX5zA/Jn+zOcty2czA0j+vxnUTa5hdKhl9ZZon7vJ/sM+Fk8Tjg
5+11iz0+tuhR4Tc1wpqPdAC3iBS7bEvzORFKdII8L3827GFy26q1fAeduJMctbEvq+AO8H3SPdw8
lUdU6tCWUjQayFOyeFl/6jVaJToaQnTW9bir7+x8KZ71Ppm/KUqUHc3P9U2GeN4qBbW2wCByXO45
GYswSW7YRUaXD7jJD85JTmLt4P7aOccrkps+FJrAK3fycpQ4N5JQtWuiRyTGT1GOdVhW4cUVNS11
oDnDZjjv8P2lWBPcXv83aMd2/ck+kI7kql7z8suhy0QZxgELHhKoNL+vYq0eHmHBqr1nm5McIiFZ
zd8ntdN8W28my1uMLPsiJusE32SavWTs9b+KpOk/4mFGqoXUi/xky3FZILQb1l8Qg1A+SLLSf0Te
dHwXL9b4xySKFQZPPwIJc7YvjM/LL8jmzEaMfZ28QtHOUiQ6z1KnCphpXfqLqve+aWiA/inzBZLT
H6HIdt5ucg+AEFAo1lre5iqMFKFPc1MSmuVAbmc11N2uasXZUMKD2/4NUHG1VrBEiN4VJMa3F6CY
5axfFtMOZqtvP2l9OTzWUp1+AZGYYRJTd45L4tX8DcdR/QbxY2zctnd+SA0VBMrIyfw6w0v8GYJJ
anx9mp5TCqm5GxtJ+pcqKYi6zagDfhWZ0cVuU6Ib6M1hqH7DuVU5YoDtBCIUXZg4VgxNAV27XLWk
tS3kw1g1JRmiILGN1ovkSD44WDsVVt4Le32X0S8jetycrCnJk7xdGoJUnMkwDWkTu3FBk05IsBJt
Cq+Kk+SsjkX4vciz6GPrGMvDGIpEnBMc1ejfAFcklyvnLnO7yUk+Hpy/nZd0LfZBjIIwDQJts31K
x5LS0BJOMHamX+PlPaXNKqeWn4rIOFdl9jiU4sUJqe9E+ge8ov/OhuW5mvOHqKlwIRpPY5V4hoyH
FQX9qtMw/Z7OklKeVKPyJAc6csQR6DVek95pXBU1joNJ3vuE1SaJq4vKKPXEzVIKs8fZULUDEj3A
mz0Am7zCCbbVjSfF6TrfWsGOt+dt592kSEq3BBE3jdtru649kt9xMdtB5/wQIl8ekVLN74sKKLA9
oPzbyDiGxXWTnbQIEPftwXfasgh7rRRR2gPcuVtYsAiV0KpA9gQpLWDXSutHJWzvpLT5JEc2LXWl
CKRefCwc5UNsSr90+Axq0h5Ju+7OuwVbgswIJNa2e4B1bB9ldWcHS+S8KGO8VusXHs8iiU5OWHeu
Ff57+8P3Di0QbBKht9hvu1nHXgiYdax0pYwIneS25ZUxJ/f2KHvFFAIS2uy0LKmCbylbZSKjGdHz
1nXR/B2e4Hp6URKq6JXcT1nRnCdBV0bOW/OTHU6Q5BJLvzOVqL5blrU5mxTjmXZ1/DQjBveIBJkW
iIrqLB6E4gXV6z9vSqLtAUBmxf3Ya73j8gC0iyYVbaXZQT2o2SNtPDWA1te6caQ2d86SSs+RJE0H
p253LQiFYVWiTENwcjko5e4FIuhiBxRhUoqVtelqZW0cxAd754yapGWAdsAjd9sIM5emarRwtAOh
YJAH48KkAjo6Qb2U6WfDSNqnZEmcx7wY7I+NqMXB8Osx3r54wO/JJSE/r3Ywlx8Jsr92hMTwTbb2
0IWJsMKA6wu9ASd+gDPx6/bW253UFcWFJTMPhrWZVKlKQFIN1DTsWFfcObT0cwdx3///GmUb9BvA
Dydq4HYgaU371LcFBGRH6g7mbvdb0EHAXxTwAi4+l3NHLWambNKyK5Ue1fVesfzIRgriP3wL0BRU
U4hdAVNdjiKMTMv1fmAbJnHEZWt+LNBUO7hw93YhWSaELXhNNGQ3g6h20aE+yk03xYX6KuwleVkc
Ai1pttOzJiyUB6YWHnldqjg5D/+h/ARYimR37VrRcd2cbzAHcTXUgpnM1eJspL1CnMUFCGVsPKdk
j6dO6w1vkq35IDzYu+JX0iKSPpw+egSXs5upam3SJebCXaL4XYNqtF+b2TelaT7avf0htvDeu72e
eyfu9xHVyxF1YQPfkLlyESj16RX8FPhTn2G6eMu4SAdb9FpXa2WtrwgntDINUD6bha2bPumzngdF
jFLxLW/KqXYrVH9PdQsTPOaRfVpaJB2LWfoSm53zMCL55k+anXm93f9TK1b85/sZQBx3Dod/NafY
rHXjSHZPvmIHEVJK56LQh4f/h7h0Z10vRtl89zLETRSt98w8oUCVRKEeoLJl0i5r23dZNCeoyh2l
Dzv3AeorNvgcqjYGPaDLlTVKaZSc9dbRymUkSlxmz1zT+Nv7Z6/FC1SGxjJVcbqCWy5BaGlZqes9
sBMltlB2qkf9XpLplAIUMO/sju/qTCf9pmvZVLr4McmLm8iGlHmkIZPxYOBrbLu4/lQRBj1F+Ksf
qDy7jlQOtg/OzmrdvDDQ+1Rmzn1Ul0rlao0DNblf5prCD2X51ajMySNP6/mnK2X12kS0nPwDsUT0
QXNE+/32V+/lGeSfuImAroaZvbWFMFF2VkowjhSP1OG90TuxR/e19qdYiU9tpNhfGixtcXUPG7/V
Z+2h1Ar9B63F4VUxQvEQZ5LkLT0oits/bOfmBGe6Aj35VYCyNhcIwpM6bluoXsSL2bjclK03dCHJ
A/UlD8N1+mI4eAaDoX215Wb4fHv0a2EKtOCBjyD1AYTUwM/scs/l5KkLfYowIIsaGs9Jo/E5Do2h
8hIHnlkxKYrjZ3YbfVDqVY8hW7oxcZVQvFOpJ8QYlLd0qu2CBNaXaAKf0nrCjT4tE7HeANwpbmYL
/eBn75RjYNCSM67UP4RmNi+nNamGlI5rfclRx2fahT+l0ezuHBGjWjAgw2BR5grkNjQPKBw7R/QN
b/hWjKNNu7kWnFSkg7nYVqDMqHi5jl1prWvoVX5wyV9fP7RkQTWuxCjcEbYgKllYjVa2gxWErSN8
WcriD3HapJ6hT9bdRMLh5k6Yfbi9GXYGXRscoHhIEYmWNy8L+6SqMgUTCj1U29pdbGd+VzrK19BU
m6eyWoqfjTWZB9f5G1zmMoKkAwEoESoOpG+AdZc7sCi0qQKyATi1J1byQznD4C60O81yFwTI+5e2
GqpPcjMmkVe1RvkpCVutI5QOe43IyVoRhTjhDpBgC+2xi1t7piwbR61fReZon2bqYK3XxwA5vVYz
chlASah8CCvoXK5okyn1HFGm6pPdzHWN+EyfRm7cN3Lrt/2k/eg5Bx1oqgJyhNyE5T9OkY0/LOrQ
3xKr7CAZoy5Zuo2eNoPfLe1y38CiqYO05aj4hTzawtMzRBRcRZIW3hMhf6DKIMsuOu+djWVwmOXn
0Chrx0uoKT0NSSd6PzKlHM67ZCwuBSyjWlEqy+AZdVQK3za0CrBqPpmZTzYp3k+Z1SeneU6+ZobU
Vic5DCfhWTBJvs3hoL+f7KSuXDq7k3hERWyyfdQNR2tolUCQvee+6SwmAqlDPj3z69Onockb3cvm
IgMm28saSME+LQ423E50QeUW/iOBE45ZgFEu1x4XjoTKX2wFiCNHD1S52w+zQQ3EjhQN2UxUBWul
Cl8aB1zPNJnOC8oaVVCaNI1bG7SAblV/nrWpqA5QuSAep4awzdri3g4ju9XMQDihOGtZ3d9hVlqf
bh+16yCOUeCYorcGdo4U+vLDK6HHCQZbZoAtmzg3hLY+Ihs+TiETmWJ5pA96NNzm2mo1p+24UcwA
upXptXLVnJwBqLRsre4CyfDn+RM1cjJuOphYG9APv/y8REiNtEizGUxa1dxNHT1vUUnjwdVx/Qow
ypo6kdajqbQljjatqSHZ35qBGaqZr4Xt9H7QIg2Yo8R4uNs+WSA8vCWZjph16+/f3FlIeVD84JZG
TmQLnRBR5eRirkxctDPJm0WL3Jku6vsks4Y/VfammOOQ1ADrp28JBHUzlamxWEY2GoGxOM0910t4
P1iqfORlvvNFqzYONgigJVYe/+UwFG7yqEhKIxCxFD1mSaqeB2BbQVlb5cEbujMUFFbcickUVxXk
zYWv9zFqBUUMpzqRSjTSltrDXsLxq3I5KsDtDrUqmL1V5GkAXH5V3MZJ24yOHhRGUgbECPQJR3W8
U7gUDzbjzuOJsxdNT95PKo9brUm6l00XL7oeYGgMqTULEfeLI+NFXpLsq9Io8h2F0uUgTNgpxDGN
nAId+vLqlblBC8gK4TlGwxo6pZQn6hENs6niERWW/jCIrEHncNA/jJH6M3W05GOmAdXE8CMJpsVx
EMwylIcFMQrfFHoXRHYmggWtDzozWYQEZvj59q23M0dvpUlSN4DCVHAul4PkOCTlWOjyYFjPZcfd
EHg6yL9zk4fx+fZgO3eeg+Yaio8sBhDl9cf8BtmgMerYKCPpAQbX2iMBoXEnzdKAoB0GF7OUjwea
K9ehIbJCwKlAzyK9SNx2Od4oqpEjDOo5XIDGNgoU39zOk4Ov2tnRb6wwInWWHfj75ShWOqR1JRJG
MWf9g+mI+RSJpUPOnev89gTufdAbK562HfIaWygwHjui0FKL0uzcKK+h00YoDiRH+c81/55VWumn
SIgAHMDx5fKL6tyaDCQ51QBdRelBcuzwQ5tFFf1AJEUyN9Gl8mTX1XSPTdb0b142c1BM+nTfoM3w
akFofXRMOtJGUpcLqi1CeDVBLLYXSez2Vry03qJI5jtDxHPwpxNEQYSa8ipjS0a9zUI6rS47s7JV
pE5obYgq/GnbTfRfBqGkD7GL2eHcXE6PUi95j0iuGmA8PQBJLNvvZlQXn25/yvVhQXcNHYQ1Aqdb
sqXN6XmUpTD/KegvSkgVt4+9pevI3cDKoAKcHPn37eSdlwNucg1pJGJNJ9MK1ErqHmbRlEE2x/m/
Y5klD/FTDKlS6QePtrKFykpPepxMcYCu0PhXjp0Roa3lfEhNJEFs4MUBYYB9bqtcvb89L9fHjZ9J
+2+t4a9trM3P1JKlBiRpWfhAZbVX9wSC1Sj3LgAM7WChdygdjAWDglI6vBlUBy9XGl8aB8wcHtFJ
pGQeHL/GV8pS8WggT0FYVLQrkGe+l6uy9ZH6mf0h0yXPLOri4I65Pvj8EHTr1xo7WfbVZnDIm2HU
WMHUI2s4hmiHa7NzVMfcgUwyDN9JTwZCEvCay++NikW0IcABWj8RuQussHMUxr1b2zWZtVGhvDKr
oyewmnqsQJzfjxS5D9Z371OJUSkjUj+GBr+ei98eiTKNSXmBXQRxZOm4BMalp8m9/sc3KYE+SfWK
ICG1kDfBlVzZSrm6/gRJN1p+OI/zOcWn/nR7r67/l8uglFFgS6Pes6prbPeP3DcTLCV15Q5agC5t
ZTori/XvGFuUQlQFRtmY5Q8qMcBB6LN3SN5krFFPIafZVt/RDu1CUetM4lJZj11rhKc2FPhZK8XR
UHv3FFAsQm+Kl8ChNnsGzXxNqmbWa+ynwh9S2oqKkqRY/3Y86ob+54nMW4pGnw7EMtH3ZuUUlIxb
aRqtwFTn8l7tE+GKIbYPQofdr+J+X73juYC3ocOgzLiBSxNVpcKyPfpZFSWYpDgn+fhZm2rx7vZG
eYNuXO2UtRtKDEb4uE27M5qEchjbZjB3ZYHMd+94lpFMfoykvxdFWuW2MGTO6H+a55GqagD5BF3y
sYlfFyEaP6Zi6EoQOkhKsPIQvT56swyZZGhzxUXKe3jusRt5insy2blr0VwOzerJNofR75cV+zlG
871FQuMBEpNL11Fq/Vw1ISa8GAto7Ti5Zmm7SLDbZjnh+pMad+qspY/lhLjB/1RK00VJ06ClmEOk
rKSlfUAKqodLM9pfb0/W3tqsHPzV7x407rZ1rNW9Vs0LlTipEWogRBYGlCzAwsDfoH+sKQf4371T
zI24+kfSzdK2eOZKqWNhJFTnW0et3abLtS9GZyivdZhqXq2p5h1CZ4bnAOM6OMY7dyHNACTNHDJA
QBObu3CKSkdvrYRbajDqp35CU1oRbXu+PZ87lwV4PV44i2YhoMZNuAdId8pMWNXBIDpc7oRRnROt
fJqMqT04VdfZBlXM30bavN15riHxLCJOVRQZnqYWIw4AYMSlBaSQJWF12shS818mEeoGIeEas20F
7iXoJF3dplzCRjHdFU4l0c1Jj+DUbyjwzQnmHVl1RRGEIuvYxAoJTaQYRDVvJ1jQUwnE2AudnsRN
zGGgRlp0v2iDfLapIwP3T6YHFdwq1LhKnPMJ+WRSvc5X5E6/l1MNgZ18EH4nJf9U3ag+A4hQIEkY
5VnplOqhy4a/FgEJzVFAQQ1h3r9OCEY8SV1oep0Cci9KwwJG1BLf3d4r1wJG6HJhTsw04iG31gwu
n+duKJyky3Mr0KJ4VgNFq6TKiyTN/ltU9AjdpJRN14b6heZFMs6v+CrojRsadftoj3rV+jWC+2dz
LkFsoW9Uf8s6eTqq5e3taNo3dJHXPqmxbUjGdRxVekURM2t6ZIpkqfDGclQfOsk4QlLuDsVttEKq
EKizN89fLDVJZCjCIhDOar921I8wPNNzWwJjOZj6vdtgVcj9P0Otf/57ZJSLPrNi0wwk07CeHSuu
gjYssycdPl4wOWH1vSBj+JTYhJ990VhuRDXubumU92kkLX6HgtK9gP1xELDtpIuQb9deOwGjAhlj
87uo1DO5A1Ogx6Y7GnFQYTa7ONZ3xVleYwkYpKyQvOiwDOP0ndZP50GNn8cVYt5nybu5ku5NpfhS
Gp03a/JLa0neuDRHuiBvT+j2gBJAw4HnTecy3+TplDmspRUUeG1JCumi9uP86BjRcOqSjkI8jjlB
rrbVOcKbwa2WEgJUjOCSGi8DqLg0P82TNp4kZM5PWT6nZ0kI/cXp0+XJHE1w8zqdjdRclK//oyI3
MJbESsGoZvMZheHxBFhIp03f2Ae32w6ubqU+E2GulRW+axMPzUs9R1bGWKsu28+5aksXPZ7BT2W9
uKfn0HmSNqh3kpov72KnAOPoJOTweW5gOE9o+h82KcU2mkc8VziYbDYDNqHTnKaOGcQreKZtcvSI
1Ei/M0I9d1OxIHxqSwkEVDTtZGH+2wzFAEddZC4BKnqKjdwHDYzXg2laF/dq8akJAIyD7wJe/PLs
OBKwIcEjH7Rx+EToVHw0s6j+2A2Iulay/K+ZWNU5hx0caAuqhrcnZe/gkmzQoUTXCxmOzeDqOGSp
mYZmQMYz+0oC/4JgyTlIaXbCIur74KnXaUc+bBMs9Eo4ttRw6RWWOJkaYT8+FbP4rMPxOKWd8+dQ
KVh1aDMC5qQZitbs5YyuNI8+aSwz6OPQOoWTlvi1iqLw7anb6UcxDCo2OrU1wL5v2/+3Sy9vY02R
RvokRZb1LhpFwqNy/HVRa8ef+ffv44wyR9MYD1pUor9rP9uS4cf99OX2D7meXazVVkc3Op4Wt93m
cxu1VcxIjGowzeIvci7VMyR40xEm6mDeiu5gv14/KwwHwvvNq/FaGaY2BhzSzEIN9EWSeheIV+8O
Io8fVbPU/7ifcTHWW1XgtykmjWpaK8+oZ4Xy9FSI7FdYlUdFxd35wyCFqi9hJk2ay+0iyjAzGhOU
5zxDbbV7Rz5pc1WerKYjtbLmowR/bwIB7IAuAe8JOHET1OIcOq9oYyWYrKpzS/TtXgn/ilNrKNPp
9tbYGwpkEuqcVOkgeq5//tv8FXKO+ATCWUAfCvnUJ2Bu5M7GIcoKs4Oh9mbRXD+L3hMMy+0sIkUL
7xzdf7IeXX/Vyqp6aMK6OkXgDB/DqqgPtuG6qy+vTVwGyO1Bi6881i2IkOt6zuKk5NMWmcrWSHXq
lGBOSWbY5adQrnNfgszoT8I5OgHXlyZDq3BnIfDSLtriOqZeTdQ2EkqAH3dzV+JF5hbQJg8mdH8U
rha4kKj1basXC570tWInCqajiu51PYUSZBKObJj2dgitPFI4ZIoIStdl/W2HVH1TASlg2VZ1dBhi
84LDYDV7tV43Bx+0t0PwUqCKR8IDumqz73Md6a+yqZVATlvhptFk+k3cq35U94PbwT0+SOl24g+w
xlDjIchDIKc4eflttZPS/C9COUjGxPbyRsqeJBtxIV2ODDdDof6Us4tiV0OWGkxDqJ7lWl7uwWPU
XlNYR0D466nm51AeRnGG0B+4zuXPKeRSGfix+KW1NqQmuU6CkQcsADHx6faxv57py5HWX/LbooYt
iSxcBjkgcTNPc2n3IDAz/K5iOT9BEftxe7jrnWoAq0ILEXEZ4rKtx1aLAEOeF3zYKg1y59TheBJK
UR+QVHemTzF4eSgbkucRol5+lN0WwF5KZ0Gcri3uE0NEQQGg9p7886hTuvNBAFnRcSIqW2+XzYva
Akvt1NJYgsVArRl9494DmZMeZE07q8QotMtsOsBrXLT5oFA2estUl8Bo45rSvHgOs/BFGVqTzTEf
Qaeuv4naG/gReBiQ+nnqLker+pAp0yY16FWtDlBSEaj2tNLn21vhba0vr2WKknDr38C2xpVMuVPU
eSTkRg76vg01b5Sn8PtSqIbm1yPySu4gtWHmjyJciGexzX5MAT1XQdSUcf/AX0Eaq0dSqHiEQCsW
t5dz5aNi4f7oq1wWPkjU6H2azsV4HxZL9QWXBxNdtMpJ5vey0/wCblp9xg8qVdyw6pev6RI2o9s1
PYTUeJBUmhPpKMRrbI9m7edKWivgmCS2UtYAwJ6s8rMsRqXHH24t401rl8W/PUU7C0GmjJ4aaBBU
Q7dlChmn60IzBzmY2ry7a6ZEJjuN479uj7IDYV0RNejbrcow+JVsqiExsTxsOVTiw0mi25uM8UtR
LA36hGhPpE9GNUvpOnFO4octh9eF/mHNXpqqxl1UhvqHxJSrT92ShZAwAVYdbP7r5xs4B+EPAk5E
XFca5aOcJepUZHOgTWbxuHJTfW2M85emk0BFQAeBxt0Wr5hjHOnTXs8/I9Pkp+5G2G5u6+dYKtJL
dOjvNnhOnFUAp75mF8PB9+2MQs6GjyiII4gUW2sAQjxdGlMOd9enI8KvC2L1+mQe2N/szCK9dtRu
iQ94xLeKAWWDOyXHegmQ3m5eNGyje1CKK3NQVguvsFvpJOVz72vVcKSSsENfXfE4qz4gQCA28joD
vz0ytWi0oZ5VGux6T3ocT7n42pAXNA9CUpfabSVRP7WTHBWPUtbAII61Ea+NSJ5LyU01yTZP3aJ3
P6oqHp7I1uPwTg/n+rNDxTX2mkqCCVbBiUO4qnYk12mWfnLrslBfuhCSpT/USnpUMttbNXraBGsA
ahE/2aQCWR12kdbgQlIvde/n9VwGjgYH7fbZPBplEwgpRm3ZtdwtQVR2yaMJPMxLzNw+2IHX7yXr
wwoZoA1ANG3DrdHORgnJL3ZgVtRu2SSaq2fF4kVcQAep8N4H8e4byKsCzwB2erkVRDGmOJqkDBXp
si9SaO6pPcn+n08bqBnYDtTLgXJvpi0CHGolsz0HpCEU7Ix89CUtPArur1/lFfJPtvQGbzC2KVMj
N/mk9jrg/lmLvyzG0N0BdhN3Jao9Xg4L/uCrdij71NfoaHMV0TC6AumMiymanoZekAOdfhSdOpSe
kixfIy1En5tt4k5VVXiTZBTfQo7WK+EcoOW2kv5uiqW9x/hkwIsIILM0yEi0JSWYmFGtz3pTy7TL
03/0To4/c5KLg9vneqrWg8JFSkhB23v7xJhtZfVyrU9BoytjkMJ3eOxVoX0KjUnFAbQ3D+LMHdDD
2goi6yOKYYG2QFjAAaKN16ma68p5l6dJ9CBP5ddeK9pgUuXP5qSlAaIi8GHQJjwT6+eo1lZHumt7
v4NK9xrtrp1e3vLL/V7PYWrKUzcCeCyqb8B+BDwn2mXvyipqfkkS1ZD/xd6ZLLeNbGn4VSpqDzfm
IeLWXQAgqXmwZFv2BiHZEsbElJjfpl+jt/1i/UG2b4i0y2pH9OIuOqoWVkhkkkDi5Bn+gSHzKMqN
0Yzzdak5rYMhlXNfmqN4TW3ix+ecomrVZiOhAIt8mNhNRWoNQNdWbW+GcEbr9GcWwnChmAv9lZDy
43MO3IRewkpQptF02LlwsgS/n4KlhmGMP2Gv04cS+Mcrif7PLi9tY1IWpjkMFw/PTiyMPHuwi3FL
Z/kW5Z0oKAbGm/OCystUnC2ddTI5oxko+nBsddkDdf5rQKqf1I7UaFQzaz3DNT1EH+qz5QzFnIzb
MUfzyNIqE/s6Pb4sTKPxaapVR2nqGdup7EXQjbM8iTJMF6o07gKRDuYrQeInFx7hViSYmLUjL3CI
gs1reg6DYg1bkdrG2xoWTTj2VfwK7eknOwn2O9kixzkzwedr8uJE1xoXeL1kFeRpGhTzY3nTLSD5
fVUx5Cvf6Hm2uV8orIAC+pXMpsAVHIqkLEhTFG2tdQwgJ5x77DoJALy4uHmM7jKFU2Uqi28psNJ2
zVDgv60V+JoH1qDAh5fRaHahBzvrlDlTdG/JNhV4/xZdcVzbkSGOHK+jm5Z1jQGYNZUbSzoI8BtN
nd6DDBy8XZxaLJBgz7D40qi1HOEM18n8CrB96dP2LzUfzGndBKasoiOjY86NvpCuX8CmX85SRzpv
VXPC3VhtulKGkTOrsY/8b1IG6Lj3G01HDTDQIsub/KxSBzQ4Bl2ezVldBBkaMejxiLy8l1aJW7tU
Fe1jSivvPK3waDuaxWx/LvDv0TcuzjoVGGE4cEGU4fThy6Q1p7BwrX44MzwhmU0YCYKECfgzsBVM
cX998P4AHCbNg3gMomEVyiXerQfBi42h1qViIl4GTQUE1kbnKPyYREOzQ4PIu4AyjNtAl7jXRWQV
n1wlj4/NanTOTeavPgLSzKNSlLZrc2hPW+Hos5/lqve+JSweAUzNzpgcZr+Zkayf2AMgt8L9IU4c
ItTbulYgl/fNdjRLJ0iWxSGNHJdXErkfBncss2onMM7lq1JWOPsXZhwRJ2CPNVttVHWMIbMOJT1V
T1If2ccSAShKVwz3xrRLQjdeuUqDXfWnhdZ80oXocfvTQc0G8wh63o8Tcyr8rjYw9OoanOqOaiZo
0OQzaV+mPRakSDYlw3snqcYvxVDhK1Xa4jgbVMIfDmT275aQfDsQA1xB+gbrAO8g4SoAkCUDSf62
Suzkwpmb9MwoEu9a7+z2WFNoxFsddn04WrTVW5iv89vMqdZpwAzmJDOzWg8WWRnXi2e+Jq9+GBDX
j8YBQSONRB0q0MGFL+eM3kON3/eE3TTUQSPZ5lX8mgnFYXnFKswyWAXcPI2nw33vNCrWMkwctsnc
Fhew0eQ5nLAh6NPSOq+j0j5HyjbfJGjzvvbIrSnzy/C4Lo0FDTqWbF7q5IMUIxI6Yn6YtWwLS7wX
dsX2MNSx9Ntc7W8m7J8uIgnV2JTRxzq3EXjOp/GVc/jwOLA455meuxw3UGZ+yOqx77X00TGG7bAY
VZC2tjxp2kTZ9RPJ5a8jzE+XWidYHAYGgKL1dr8IMEiqKmnnot225O6jzGfjeK7SD7aoX8P5/4Aj
Xb+UzTgayjSsAqCB+yshN16J2hHDtomwclUT7H2cPDdu7LnFyytH/2VC+i+MxqK9zdVy2ZjGb2Pl
+QzUl2vm6FFlwEzd/wx2vF7tweu3iwuwwEhFFyxN91oI/Mk1XatYjHAoApFKOlgFKpAHJzTqodeW
OThBGQVwivtTQV/ilcP8Z0vBObK4riuk5RmG8eL2JRI4n1PZPfCKQg01hAtPqmpuTqbxNYG9wydy
vXTQTnku6KIbaMjvX7rFMqYxiRnEJ45aAu5h/tK7Vn7UGjjRGosh3+Ju2m3dCYWzX2/RZ+z8yydy
XRpdJ1rQiE/9KKIPudJox7rtt3E695iPGZpv1T3yBR4S3VqylJXP2d/cYElPT0NddnYPkqzX2vp0
Trz6KNITJ+Rxs7aGIXK88szltonK7JWi7Gf3giJ8RSFCz+Jf+1doYKwRJQhxb9URqIKNyv2ujeth
AxbWeuWSrE/l/hXRVgwxaQEhgm7jwbNEqTH32Io3W6+rsX03F9RHx2h6JTY8w9MOlrE4W1Ww9WvK
eJiWNnmcR0Na1VutbRorzGc5Pxgqu8CPZ8c9mTDqgfSBFedFMUnZ+rNpg47NDGv0fMyH68rPDWml
27q09bBITKNFZ910Nin4WRxnNNxYd1Glkvtl2mw81mnZVL60LMn5jaPDCcMj5XyMTPURurACW6dI
4k8GMxxO+aLpad2reOv6szdKQEZZm8qgsEv3yyBy9dEy++5dbRpxHGaDHMpNjxUGMomD5V64eB4j
TG4l08dUSazIl7WZvYdlicGdbg9DsvUiy5EQ5rX+2ho0/FxjI1/lgdD3VxOx3Io8AtNEMUbXzxAB
3sbLu1E30m1mNrrjK2jtxQEtQhfcrV3LKzOCF/ObqRaAGoZra46wMhzB5u9vuMLtCquVVr21REJY
nbGKlplZvrLKeqAfbAKmJKuzPOnW2jDZXwXBlhlwsqi3oFrbUHh6FCIcnIPKYbpdO0oUgn187fx/
nintr7pCSNaek0n15R2eFrIqIMihn7KyLMzBr5EincPSTBUznBPFvKp1Lb8saiHHYGGPmqgstupn
y0m0jbvMEDNSe44+oQ+0jJvZTueLps8ra2dWnUy2po6kbtRGds5Ii+JmMyHMPx/bXpu+nWGqYoic
QGPepE0X6X6JgcQm8hIU/gwaDFOgZMaEY9EqJhXSG0ZgwBFdDC04trt+i8dImiNfoanI3RsNZqXY
kE34h5fzqO3G2ohsXzYOLaWZJ9ZcWeqzirUX65j9rcJjb/nmiEJyQCDWulfu5g+JM14RMLQgpz1P
o35w0yybThVKLXO6NdzOTMmYtoq+X67Spc4FtIoq93W1NUo+hDu4V43IaR2XEmOcpUAd61hdhurR
6JcUfBzEYr8XPKuBmapZE2QNrtg8YktBibjIbpPVNfKyyFJ1H4DBeRc9x2/qUwl7YziWcyWuXjkr
1t24t2+YOAMuoGTHFQ5K4cFuTZLe6PK+TbcdZszQcwazX0LTUJqraPYUTIDcBLep2vWg7Rfwxtpw
mGoPSVguChAhO3s/erjHPH+q/9jTcJf//Ac/f67qGXRn0h38+M/L+rG86drHx+78vv7H+tJ//en+
C/95nn5uK1k9dYd/tfci3v/b+uF9d7/3w6YEnThf94/t/PaR8qN7XiB+rNa//N/+8o/H53e5nevH
v/78XPUoQ/FucVqVf3771fGXv/5cJeX+4+Xbf/vdxb3gZceyuJd/BPep+O///OFlj/ey++tPxfHe
AIwiHJJusydpSvz5x/j4/CtXe8OICj1qYMUcQEShP/8oUc9N/vpT41U0o8knXQB05D68CoLot19B
82MDMCChcMYL4s/vH/Dq6075emu4Ht9+/oNW0RX+N538688fnxfqL6ZICH+tn+KHIFtOw1iWdYK0
S5p3uzLWxWVev8+xqPTbWE92iY34ZWdo6UeA4F/cUY+vHHXCMWORodpoS1DnQ0RoqLwjtZsrP27n
zPDr1NU3qyk6IkXqHCBTcZQM5mdcPORjGqGykS8gYV9c+599lfU82Hs2+CouYzEaziiWwHDaj+QJ
guVpazAhXgz2Zpy/c2qKXL0ZUdy3p6S/mOd5lzRzpwd6UpNVZfVkBFVcDUc0OdLLSl/qXaFN9lmj
TMaJqtJyq91yArRdDP1N6+b122mpP6jFa8IIzzKUex8dGPWKzIIExmfn3/sfXXfztInBu26lzpG/
0cz2FrGb6WNlNmjgePC2A3uqq/tqNsu3dTO+wwZTPS9jDExSUQojMI0yuxpUUb/PmqXglJde1Pm2
3ZPLeGJ8TBDhPi6T7iPAN+NYqMlwDzpUJwWYRXnduX0VKOpMtwlxsuPWQ0HY9xKyPb/qwA2bRVlv
5yT9oNpFFIdMDCPOkNlKPN9I6ZP+fjj52yCxF1h+GXT+DcOJzX39+3Dy9rH+7/96KNLP93+ElUhL
/lHev4xG68u/hRXbfUNzAgQJs2D65msU+B5WHP2NSlMNvgItZosKey+skGqYiB0w10VNfN2H38OK
8waYJ8gz2lqQ1ZGY/a2w8jzsfrmj6SiSWgNhY4gBX/gH+JdCZ3U2CkDgHd3P06xv1XkLUXlatnle
ZLc6w/Jx45oS8zQ6UtmwlU7XNj7c1uJUamqlhwYNv+pEWsXMH3rqsOu1qaNf0Cfp/YIlgREuRWV8
qUVUizDnIMQpuDb7d2UGaz3ApQesht7FoBGqJm3LY/SXKzuEi+K+S0sNAyc2fDsHSP7D2ktL1wSP
jUarCEpnVqSf29LNz8tCyJgG6+j1vtc7WJqmmTlj+FYhoB84taNelNo43Tq51NtA6+Ha4wU0KQya
F+nUm6hyhkevtxzmOEo53bZq6oijHNTohC2abQ4XTSL6GHcoSUdY8RL1IfG86EtWJkWPe0Wnm+Gg
j90NuMDCPi81WXtBrlb9+ehR6Z9k3ULfEwg8mbhoJyG2fbkAcZe0ELFRjuUsAi3u9HbbgfkTF5yA
qx6QGIzen9UeLJ6GcRbPcdm3V4O1xCQu3ZLda2AokKy1eSWiIuUkN6Qj0IANO1J00Ddop4bV1PXJ
p6Qr1UsFa9carym3It0yXTFcjDN8vJ1Mx/aDFNYgJ98rUWDZUDM03lED4fVW96bcDIbUE2fQ5NF4
j9JJnEeIJNyPjptdOrnlPORlbErINHOuBlPVw8nT4mwV3eznjKGJ172vGy93A6N2kSMpJ3p7YRIp
xsPiTDECPVO2vIs9axz90Ykm1ddsxAS3TZNUmp8hD4M9VCX1AVyAXjM4N6A+X2cOxLY1zxus3aJU
jXFigqTR8bAdUeyoOLixgbI0+VbJCprXYDWi89oaOvLlunUe3aJeiguG5/rbbjBU9ywzB9w8a3yw
8nAxweUGHk5OInTFBNisiBxHnFbg3MfjUmnbJhh0KMehwnPRhbKb6jgokLhl9q01XRpoQ4OWiNpQ
KIS9sIo8rNGujXZK45rnpi2yLog7xKwDnHstYzfRNxYYWlE/BUkl+7cSWkgP9cAZP2tiRIrDVuAQ
+LGagJcoO6/5mOkdznUAyqMp8DrIyb6jt64VKGhKH/emlAir2qPqhK1tDFrYgYVMA6iw4NPxR69u
ohHpK7+Byo9zQrwq783IQ7ofe0uJ3I1Ga770rSlXPnSyTQpK4kl536bDOIapcKz3uAGoH7xhFBEO
ZXrpcMeFZfJYRezW1HF8w52azx4zUobBmQrjsszSuWH/Dw9OmQ9XyjRRwcwDg3YIV0I8taIavGDO
9SyFIeRpN2MnHueobfvdZC/zqs6DGpc/eGDxsJszAe5YrQiKYmI2n6Pi9bkbaNkGY7G4Z3WMcwjK
ng2PjYMgwG3S59YF7bx59OfSa7SQhoPYOiv1DzVuxhsbST5yLAq+bah13Wpu3029CKs6B4wiMqWu
Qt1qGfspWpfXoAFcEz1Cs4U/45lFGxN6Fjlvqqlwzlt10FDsdizgfN7EQDMoh3Sa/AXQsHGqx5Ya
NkJVPws96u/L1rSXjTUmXuG7JgBq1BWXXttNqZO9M7OslIFeWtqNxSasL+xVNhN/BavnpKfnhUgi
E4qg1edJDQrwE3WYDmxdfzSTTOcNRzpUKbdAC604jh8gzpvnapdbI8rkuqEQN3MwKABy1cZ3K6WK
t+aABCMia0b+Gurxhw6szZGGsSwmaZTx/EDOvNfrbdWkR7B93EwUUJ3P3VXsQO3YptR/2XmSqW1g
46v9iYTQOtWW0gX21y2/a2/6/DHQakC3i4knFPj9j2Gk0EIWmFabpa9gEdOoZR9pvwuvtnl38n9m
CAy0OecPMsZEAgBobKPZ2JXQTtw+Gz5adSbfNWlpfn6RhfwksV4be/tHOcpoJJ9gATB4AIuz/4XQ
1vQ0WaT1pqh6YOKgzTCUyrWRu0x/ztXO2qbwvDAReoPWicp/gUR5Ud38f1rYzWuVuapt/n1auGtJ
A7/sJYLrC74ngtob9jvzboofcjoATP9KBG3tDdUjMuMkdKsf1srf+V5f6m+A0q4SW+uthSBGnfs9
EdTe0AZDOxn8H5CM1a/sN+rLdRu+3Dsg8g2bYcRXBX6mtvt7Z6bALWunyUKDVgxK/429UQAiH4HE
dV5pGv/gVb+u5aikxXxpYOOHDWqtEgnmUTILG8tTzot+UPwoMu11mv8JL3YiXV4kmwSk8jzG9VU7
jd1uzDQ4FhOyFKYVZ0GOT8zYL1CO8tLc2GKR2zlW+t0oqq0YqoyTFnuaWVdwtXFz6S9IbQUGmkuM
ZYEEFV61kDF2xvWLG/6TJ/BwOME3g11trRruQCIBCO1fRVwmbS+PWH5RcFTryPkDbZKrdQMZs6EQ
1QuQLf5CNrD99cqHnfivK4OmWLcY6gMHMZV0fcDMp8xCTSvjjTWIMoQV8xqRXKfuONwmKyaesRJk
Irq97O+XoTsd7DqrWhDDaTxkX+pWV/DScBWOZBWp/vMurdM6wLYn+txFWfxxrpcPzZjNTqDlin3j
KMuJw+G+q4XoWt+iKnhKRje9RquyY7IpFMMMtTUZ8VqcgWq9Z4jTVyLfQOisWl9UtnGqdHN5lJse
/bv/j1tf45ams13+PnCd3It7atiXFezzK753xuw3iDyhUka4gXQBquJfkcuhuiWS0b1F2AotovXI
+R65XCIXWDHOI9pjzFrZkd8jl/OGgTLjAiIhGilkAb8TuRDGOdiU7HlArmTpFNi0yA7lFfUu73oP
e6XtoqkNWfKorxAfk7RoNE2TLmtV1mvyintHRTe8J9UssbSHSzvMfqHOeBya6kCLSQiJQChAHHPy
+2SJCBGJc9bBmhUMHOxs2UwGyWVvF8qRkxZ96Y/9ML8rPW+JYBs0vR7Mcsg/1J0TlxtYcidJlIi3
c5EZddB0jj37duzSlRqtYjJ91AfMIiiwXSrpfjmgmhYYipEPad94j72WaoQlY4mzItKru6aoMeyq
I5sPqBvRpVtU5YCb02AiVGf3XrZrLKldyVEV3lHCROu9jY1ShZV2BxS7ATQgAoF2t+JjieAMvqm4
FxXKURNVqzY9xpqHxVLaiOmdhpnp0aTlhQjURcuP+RFZab2ctQ/Yk+gPzlqa+hxj6X2v25ArGj2P
tcCKLT3ddL2Oi7G29Op7RvrmB2CYiNqNS+494KXZnJrjaDF4c0qUGdQaGSA/6idAdgyPowel85jB
pRWK+LRhTaqsbEZfbOkTbo5kwHtXOxLMFtNU0/IXXZW632hRBI2706qYWaemfPKmbID7kUaWiQfW
4G5oNTr3FTgypnmADO50YSSf1wPH9Su7ji71EedqP5r11giTxes+aQ1wDNJ0nUlZTRtwORvGPLsD
r+4FDGXcIUy1POsp0joL02jwaJ9aU6lzXxGWNIMU7e7HoemnNIAzhSb6kLbZVjKAvBv0yCg2dkxl
riAabvtThFXR1uxygRiH4o1RMERJm2yjfjCvbWlM2P51yXhizubYUWmIZXqNfX548kPuR8KNlJEn
FUOOQ0HlrJK2yvumW0tPyk3KTfR5sPUt49TX2qfr8fcyyQCeCxABlAeUSeLGYeO3QA8pbjUn29ZW
c6U4S0aTZ0QDw2qVjUy8OeyadDjDd8670jJ1/Cok+m368O10Phh3HPz46+nHv2EjEgbaryL3+X3b
Pfcf92L3+prvWaf6hthITOSsXjkia3vv21SDrHOVu+F+ABwGvr0iKb7HbvMNURlGLbpZdC1XYsf3
0G2+IXLzq1Xq7Rmg+zuh+4ekBfYb2SsgajJPzpaDdKnM0fEuY68MLRtB1xSb3GN1Vl7zcn4WFHu5
7VZPCuTaTGow9jdI0/2kpZA9DslVgnQVwjeJz+QuOoJANvW+Pc+M0IcE+0HkS4CSGQuW0v34wV6k
+SjsJLqvFecIMsBQhnqdebiPgn36oBnKrmzr6mrIJ+XG7KR7tmStd5tmRkNDMyt2vT564ZTX5SdU
ANXbakz7R1lb13HsYOyDlMiAEvfQnGbIjVzSd4tOEsUCM161juHrszQv3LaKGOh6JEbT4Gpf8A2x
7niq2qt5MPA8XyZ5E9c6RNqpE1biL6nR3WRKCbYAat8TnUYPV13s2U0OjEF5r+mN8QVPQGL/yKN9
TQ+yB1JWd4WvT6ZZBQD3jcGvLFf4RTdY1dYYpHtcVNq8iYx4ubPtKPVVzp3zqlGHT5FomD20I2MX
1UPOpp8d2ng5c+3jysv1L0U1xLsmx7m5V69QT9fe2ZgqfaHm7t4bSoV6iRGr6pGjl17AtKYFmVE7
wCOnrDm26VcVPjrt4s4dEjQ656kf/YSR6deS+f8uJuyNMf522PFvGDkYWP4qclwxle2qP96mn6uX
seP5Vd9jh0WAoFfEvBGs3H7scN4gOMEgFPIiseU5ufseO8j7mGnA8kYRw+IQpUb6HjycN5Sw9CWA
0xNY2Ku/EzzWHHbvNEEPeiUBYx4LXh11v4PHusRncAAZKzZVhOxNvfRjaErhpL7uFKnf05cPG1d1
TmbduXHV/iY18nJTG1lyAtZC9ZGlScniKMySzkU8LlPcM7tIHhi89SdJgrw+WeKp1ueTnyqDdxlD
Jjxpirn72i5h4/x8snuIa3nGy60RalV2B2ay1pQvoHNjbWpMWlNgAFXUBsrcy1BE6RXOAxItT/yO
+0wbv5Y6f7vm4ZnPYQ+3QmP2wySZFtxa5r1YM7YUpStnCsWoVpFC94on3Sk/eSqEqheb6tuR+3Js
fXiPDhdav/yLhXpvWlI3KuINme6nNosF+qve7e+vwbfBFWvdXWT0+2t0SPcyMCV7VmrF9VHfpyPf
tfUrt+kHTgpfhcQNGA1kVZhah4Bj+gZqtdRYgrYIhIQMeU4r4X2AU73Dg/RuaPt3rdSAknYaRCjt
WrjTK5iSw9r7+QOs/Hf4T7CGD/U17GrQvDpLldDLq7OiGvPzpdMbPx86LaQl/9sA5Of1MPiAawUi
FxjU/nVNLRrLSxlFzBeaOWA095AwI/BlDAwdxfDL0rOk31om7jjZ02A3N7++reipssDLc5sPgBoW
6DIecZIYysS9zWOUk2IuKFtuUq8+IWW8KJRF35h29hT39XKd29Z1mo/lTgy14bdO8WAa2RMIprMa
qyc/EWg65DNSRpW6JFsDtfWr3nQvmtS6Fg4OyIp9sWT5k8pZW6ZuHlZzYaBaibFf1TewTXIOZeHJ
5CrXGIyAyPgyFEyhWnUdRUWA2o3c8DFHu4Fs9SmP7FvpmtdIx127KiubTvwuM8YiwOX6gfGj9Jul
BYrBamMXlf76MWAp07ovnVtMkcFiTNq12ccPEZ1z5gjqR3fOPH9Yf2XlunWDP2+3sfUC25/EbY9s
OelBkrEUagh1YM7MrBTMl65NnF7DVPLWNUbPSPNfZ5La5/mb6Zl5Pg/NfGo2a8xLlXxTIq58ojpN
fp7m8i4vK74V/Gj6Y4sIxml0QwXbkg1+aheNMcJZseyPiiPLDx3lSohcpxdUGldOwZwusHJEOEFp
eTudNpiPFsCDXTgXJDAXUCOqo1zSeCvy3tvOlntrr9UsMXw5d+GGBE6SADYzkJsv03IIOXkuNKtc
0yGPHEhxGJ04xjXosAfw4e+RYNFDz5F3kUiKjXD4CFpazu/W+xo55VnWOa5f4C502XvRpsgcLehr
VwZWJdRwgJy9MZMWRiyGRswrucjPl3EyJShQt3HDhEneOyc29I0KISmcDSyBS630dnMCD8dNnQsA
Wt7OagGrNDPFJM6zD2aJuqyRIxukMnYH0jHqG6kky3aUxnJUVdY1LiUWM0S2wrRM1unIZUjoX2KI
yErZ4s3nUYwpYqMYeWhRbgeR4EeYBsqmaYond6zvgBEfP392RD7KHQpux6XA66Walvtx0J8Y/N42
E8YnScbjqi58yaFJnuw5ZqSPn0HArNkL6OYMj+gBdRs3m5ujfCiuhZ1WO7ea9E1q8LlzL4VWHsm7
JSvV0Mowj0npEvhFMcpQk1wnL0njrZGV8261y/SdsruDLstWsNInJTbLHV7od93k5JvJtWmWKEUd
kNGWfon2cCA9eoWFp117GjwRpooUxVnDq6PybH1o1IE3Hnv+iNYK2uI87v1KclrTX1QkGDbDGOet
exRiZ5E/WQMPWbGIB4gKF8monevReNmo3i2wwszPJ5mfN0AVNgtxe4c/Nwp/o3kNatMLGonFDRw1
BBK0cVMWqeN3JR6ss3FdZDxIuh0/GB4XBhMW1ojaOwu9fmr+O0XhSs1O+oHGRB+qIzdMW/iaupco
txngz/PESWZ41wxeLdxEQ8rezwNEk2By3VuapnkYCeUWMcsJlXD3FqGwp04WD2XMIwtG+Xalu27W
4Nt1Th42sr3LhH7dpjUPLdShVcIe69QowY2njQDdKVPQ6aMVNpVS+oZJyFicdjqp0246mQRmD8hl
0NyI1c4HnpVcGF2/RIEZczsdya2xJB9SVZTsXGUw748FFjNDXTxYnc03AOC7ogdiCIJNH7RDJT6L
JTnOTTcNvJonXmbtXeskD8AW7vAEumMUxbU3K3AeNtITicM+cRM+d+UmT0XaLNvn51SpnVtRAJnv
M5ou8YzEcFu11RHYW56K2OK6DWwSd1BupzlncyneiZcX9dat5vztYGbFe5gOcx6oUTbv8OJ5BPye
h/pkoH9g8qpI1a+LHOotR2Z0LzOLKmlN+yJvDY3NpJ0ZTqWkfi4sbYeicEPP3hkvtY57ucT9dOUa
BMFs1PIN41/jeK1bgR6ztaOmA63NTVGOEBl2w6JV7ucJd0fDFXqQEb+Pep2An1vVnc3Qj8eGEvXM
xDABqdlFf6stKUP4AUeQ08GZibRGTle9SxSUjhmA8kqtV46EyUfW7H7eAdTjQ8wDkV4Y16D9iYsT
4vcMpPFIjtJMfgCgnlzmSllsrNa6h7CfAxAW6MB70g31xFDvqPisUzk19TZq1PqjprjTDmup+VyB
9GWFapY8yFjJ36aqcq81eZ8Cp1nvX6YWglbnomz0UQM6ODbmFyAikGE1YwjymIcFtU2e8DguNtOs
Q4vUsCh0mkG9oy5+wFHqDC4r+hQVO9jgwHYn3rce2rvnY5G89RrlaH1TyqwOpLqei5ijnIo12RCu
dWEs7MPS4TGoCRgGDb5QF1Z7amqdEkg5XgLvSD8hceuGzzEiT+0LVdbljVJmDzGuCyd1nGh+V+np
lhC/ninFLVw69KhsJw7XeDwBWgryKn3qa/2qNvrztnI+m0nxsXTy03xWqLUXsgSJNoxflYIKd1D1
oE154HRC3LZPKYQrBCRxmQDka6DIeTo1an42Tw6FSuS2IWSDyOehO9bz4SaTg9jqhdqH3WRNV/rI
GSJHOZ2USNAEZJR3qJPwNel3sijPY5E3y6c+9QDNJg9pzPUDFvlU0+0MtGZ9aNcE4zldKLX2brbz
hybjarqpNND6RF3g15na4dSLvPi5TQTLYZUhPNRTMQSlXjktyaZwiVW2o9yOrETQzJ7GtIUCmDq0
QsGWv7LuDwxiiGlUgExMVZgHlIEHCSJ9c9lLLVZCxxkuk9QJuy45MczhOsoLcFwa4ou4FKm+2hYh
+ci53dEGcZq7zEx2Tr6yM03O88U0SNnyLFDbZlPCGM3a5Sam44vssa4FiZTHUQem3+0U34iUD1S7
N1bdnqLNBhkBh0sskN5psv+S6cWRFjtgXdjWQxE94VHdBYlIT7DgIE0rhukC3538RMw8y2VE4GZ2
cjyuuftIS9xf95yVmRdGSdTJjFnZiIIIKbv8csa/DCnJlHMT4w+yxsLjkRzlgu7dLHxR5/AB6sXY
9Ir+CgvwhwLVRqxIp31IjQ3W+VCuqKqd2pYwYEJkrJUNQo8kaZp9vDjxUwbs1udgffr1hnoWrNzL
/FnSYcLIsmDyzUM9MR09h65B6iIs1yvFzTGPocYv10biQf2Wy8fedY6bjFNFFOZuiNyLNZ3UFwK6
8AY96DoKAG3hzF1zJnUkBVrvcksyMBv5w5RwlApiyFC6xzN6tChwt8eVXjw1dXtnILcb9gt1TWZc
T5gC+Z4E65OmNVkQxz7k3mIzdOa1bpI6rummgi5BKUjCpcrTmUIJ2SDANvvJoHZkbRQtzznd0AIJ
XHQXyDCPiML5lOetcqThBUSvwbqoF/6SQupuyjR5W0FrTn05ZiWo7RWPFnGMfz0Zqbni1ah+nFUF
y6ZkzvmIrRfoY01gFZzFhc6p4HmzsiZ2MqRUeQAIlodrumWkCFvbmACRPEcnMTTBryoCv9VUu60E
/x8yB/533bS9v9o9ViuIXx6+1b9jy211//v7MetXFsJt336GjDCvdITPldxrvq2v/z501d6sgjCo
d62SOqjD8KtvjXtww0BFbFp1q7gUzQAafd+abzqYEChStPWBIQBYXHWkvzXf+BVKCasDHVRm9OZQ
c/oNuMhhyIcGAXOHaSRvBebQO8BOzVhjRUlHHqiPefceT7HY1yhiV2MwwLld+jS0Wf3e0Cqmzv+6
Yj/pJx02rp7XhTm08iAYVR0eNVrfaBz5rDtIo32bkcBw5is4qDFCGl7p+Bz2rta1Vl1fvFgohvia
++0HLmU/DMMM7hPiPn0rah2JWF/462/EHdlrcqyrMHEgfBHzUEM7uJJSmo6wNVZhXC42mF8wC420
/IgUtcQdexJnShVtdHPXylEc/3rtw8jOwnjAoU8GS4X+ziH22xr7eHEL1p5w99k4iXmGD+N5pYK7
1dtU27Q1Y4FfL/mTG0iawKh+9T1DU+KgWWdYEW0A9X/YO48cR5I031+llzMLL7gWyyGdIigyVEak
2DhSlWut/U7vFO9i72eRlV2kByuI6sYAb4BZNBrdiUyjmZv4xF8Apu29Mlx6mYxfmB1NGJUawRUe
7IWVNVFEA7rA5EzQ7bPv5wRF1UsSCUBdhHcqmGLXmbLwBkZlvJfAGhmxvIdynmyThs7u2/N8pb4n
1hbelpglEhTqnL5vSjUO0JIhrRw7SVxYTfIKpIG2oNtkb9NeqVxNRZPCzsZ2HUYT4VKDr6ZiY03W
Kek2siniBHJoXFmUS+tPNY3GMxsbBJZYtJOC7KQYQU2xg+KHjjuDCQdlCS4Ch4eQwOfvLwGFftE9
0AX9UJ0VEJUy6sNED4M16kT5Pu8842uQ28ln+l7GEwlBh6dfvyzkKLtpEWYFDIvBN44bYTlgrNs1
lPgU76q05ysME19GAObYGSS4hBna+RLUbaX72Ej466nPEdqoEitdDPJo525YOKDMSjux3/N8K++0
btL8RdGPwTIFZfDOybV+16u99KGFYJwuRiUJ3Brg7tKHm1Ue1BbIWqZZntukvltXtn4IfekrzEVt
icAjEZ4sLLlAAWQfcNGN8ytl/dcMdarTQGBopqokofpLy+Tk68YWOh14aEurighnbXRTu7ecKCVt
yGWQwV4eyL8PXo4Jxgj02tX0RgDHx05dAAovrEVFLHGEFIEoQdEVzgcAMebolr4fwHXSxvzKDfua
TgXsgKsPJAwAd+CxsyvWs9tW8wwTXeM4M/bZ4GnZMs+gqpLRpfsI6P9DjUl3vixV3X8KcGgBvZrY
u8yfLKggpdw+J1EDjiIaPSleKKWXUjTRGo35wChBM6cG29MD9CPvd6RyOahIpIGH9h+xD+3v+BeC
e3yEaGxK+WDtQywu74ixk4cwMZbIdEL1l+3G9dpG35RBre5oEhgIY3r2sFTq4Rq+7vWTA5BK5m0W
5gQyUjrnW1PrjM7wNd2j4Rp2T0kxyhuorsaVJ+fyKDggwF8TEOzZquPDHnmSI3srB+tit1fHH3lh
XvN+eB0hCEwYc0EhAPyXIGieXjSQMTDDM3pvpfRmQ/Vwsj5WqpYufKT0wMyQJbVFXy3HKlOvvGqv
qZJAYgl9FBTqX9ySZ0NXgQmZPtKcFaKT4N6h11sBLebcXKl1FIPUrwwJ5VdZgmzRYyAlUzXf5hTH
jGVvddZd0DTp+yCWx+9R7R3KnsKJKswqFnGGJoinRtK+Cyzt/ST5OLmbWRY8SHGWfgMWhu554UR3
Qxt7m7dv0wvrSd0fvOyL9h3sr/P1jOrGGREdd1adoUVIVVHrCpCEWowVKgW+9QTCP3hG3Nq68pC9
fkWRcwR9jLE8oH2AQufjYraOAlEhO6ugcLo1XGznkVYMnpsNV7o1tGs22DuqNsHGkYZrapyXPiVq
H4awZIVxSf55PnoMQk7S5cpZ5XHRbppKD5aelFVL4GPWJorL7jaR0nxRjLQiJJCpLiYw8XpKZO0O
WsW4KjP7ObZgRg6BB/9anYYFYBkk4nPdXKGMgaBX1atuIRc/fFgTizatvoCg9941ghXx9hd81UE0
0D0XCjfczMjJvXJh8odB6YLOslalr1oPU6xZC093wn2QNvDr1R6Xj5H02w0bT3cTNE9vwEvld0kj
XRNpvvhTACij7PSipTCPbYcMrEcY5+ymKq54gtvqS9dOKK1qbX1j4y53ixWqvCh1xAaoOXeLeLQO
ilY1D1fWRARhp5m+WBNExTBEQjbmdQnH4WvSTgj4IWV1yFr1ZpoM+Qb8fHggKEO0AkDqMtH8w1hL
+lYr6CwpEZb2Ragaf3+nv5gX4MiM0hW0yPO9FmgqlXgCBpTSc+3JD2L7aHJBQHLMSjfRfWtj+coX
HKbGPf2v8opW/YVLGY0ntMR4wYFNvJyEk6c7R3gWTiOjY5bkHb3asddaqv9hNPS3UvO/RLGc5d3/
0yi7SF2fbD2hMHAmAfD4JfvHc/gNMYEf5N5CDuAnXSNEX+8sBxf/zC8ADDk4UBY67WxNev9CCfZP
8Bwbj6a480eezef8BYDRfiOUIScG5Kii3MWf/MK/QOYAqiJwdZh6UvD8e4oA8x0DXATgjchMecZB
wMwyR8+RKhsrw9hVuoyyO2KjJno0Tlfny8KBnbuI6lh9kswh/uAExE+LIA/su65J6ie5KQlF1ZRS
Za56a9L8OtpEiuQcx9bYQiNwUNe1YtktIBV+zfreo6c3Bs8YQKbjqoUiuI1q9YrVyysdXDEh6hqm
rtiAYgAGnh/AEF0MS48yxOHDunb90U7v9KKH/h9pwdIYa9ildU1HzMHEEQ3p5KhVtX7f2kW8Cbg3
F06JQ2Tlh8c8Np4otY/rRJQI20B5ik3fWHlQ87ZNVl3zKBTxxOkdxu8GDIUTL6gQEXTPEgob1r8h
jXFMjxhab9NPw8rv0+d+yrplmCIl1HjIw5zs3guFEEV83fmgL1cmBVINmNVsscDxORpUVNReukh9
iqPxuYAruVBaeIDYe91qho+ejFpryEQ6/RqdKufKjfWCEpr/BChNIsHF1okg/vx7WSWZkdXxEwoM
3VamFkDl1JXs46BoLTaCgXWUa3odSNhMG0WKsCYbVZFuNDQJzDHYB/SMFloRfyvS/kUQ/JpF5QWm
ESvDfUrxhhIHCe/5L5yAmWOHbbFI2nOIyyitj4rODYiZRZdhHVzlyyS6pbq9nGRMD1PzkGjfwa1B
OE6XsWe4I+ZkfrohyFhOre1qVgZa6tOI1BjY9mJAx6WW1qHzWF01AZ6jfdhUQryLsgXFEhmI2/lP
L4Moy1JaKC7lLYUGXwULNSOOdeIJY0ppKm6ubCjxD55/TROYHxqWFjE7BfzZgLbR6U7rKBFREien
t5M9MljfemXytzkU31WC1NSRyvzXtoloruTpsGoTxVnZtWluGq9Lrvyg1wvA72FbUYOzIbfNvePo
6le0xPg9TjV0SymgkZQGfbHlgs1dhIf/0KP936cRLRn2/T+rrK+exp916ef/+38q/0f2o/7Hf6xW
/3h6+s+zV1H8C79eRf03ISgPAA1xGxG68S79ehWN30TwglHwT8EbEcT8ehXt3wA3IkcPzRGVHOQu
/nwWrd9MCjFAtF9g6AbKO3+jMj1/FQGNgaUUtoM82vya2aUkUWXo/QxxMCfu1mo4bkbbu1K2EEnH
6UmZDzELFIU8jwNAxnMHWNRqMWzCghutcx5PvsKFK35+AH4OQ7SApjeEvjnXrpG62G9kbDE8hLBz
PT2gqOjGhvMs5e2Vs/bqKhdjYaEFMwOgHQJIfJ3TbN0xsGWSp9Fz7a7bB0oDQkngDmCoe6CbELAK
tW6fI6ehB/EuTMd3zahvR1/bitV1+nEjQ+97e/piFeerTHDD1Qe3i982u48UtCOSfBo8Nw+kh0JL
tsIZBijE3hcfFm0QPxn+ppnyyyqcDCn21kkMrqv+SL2cVDKV/Q/ZyLCoOCDwvczaCGySjxaCcyXo
ubRdT2cp9trJkI0NrKkqmWUBLSySg12gx9u3F/JVsiemRZpH3wcQJU6wM6B0ZI1dbvsNH9fL7yY5
+4yEylZiLApRRzPVj53Z7usmQkIiv5N1/dr48xxPjE8lSFQRUC/nUj+fY6UbrUqn03PN7nOhV7dT
k7pjnWzjzDnYXrgb/XAXGc5D7yTbMrWfgrq5UvWmufV6MwmsOAxGBdzgvIfteKPta10KXjGl0zJF
n9QqPRQUoWhRPAGzcNFtRwqhX2k+GiIK2DBbDXc2EHKsK1cZWCcfNlTEwWMrHBKn3cdgpTo53nZw
io02v3v7m4nzNt/8nENUssyXStbsk5V4spl6kPPJRvPY1NEykcBQq+1S651Hqa73FFWPmVx/fXvY
SzcbIqdCroAc5VWFIvUsDlyfsRuz/qtTpXdF3q0qM3h4exiRA72aHnEZdU5Q6DwLsx2h+bbiVQ0W
LjHUmLi4y3QbdA/ohaLJMYczdlGn7yg7r+VYOogrBvrOim72ASjooc+S+yKbNlQKFlI4uQOGUGbc
r9LGWDRSiwMCiEx5BM8UgVPLk61TlLeAY1wERNDMSV1ZiIahcMPgSGNt3p4bpNNLkyNpFGx9VOPm
x20KbDuWGstxM8V5H1jpnTp0e99wjmbtuYlnuvRM0DZEVnkKm5vBRAG0ib+0tb9y0mgn/LVpaH4a
hp7ih7cqqMX3w23J9gMOvSxGinCesQQuFiw8lJmsKt1mVrfGjIcb0txOU/QwVuzLCq/dWAKQjsqD
Mm4gRWwHtYPBOrl+7W+y1IC53a3ESsoAjjyVmxUFJaXuv1o12hylsa1YUZ//P3D6d0ZZ3nrpZ+BF
7wKtvoloTEKvX0PefBh7sJiGM7leDqUo7qDn++nBsbqVV2M9X0afQFGsxIB6mt9xyg/t6C8tkND+
gI+4mXxC622fWvb3XpMgSg6bMjSXYxDtpkHdAQcVIq4uggJb0Swz5OqLqoe7MMruuhBGAaHhLTSH
o+2Pm84MNkaPSE+dUK3xHien/CIVmrYsquGd2nNsdfs5VcIHUFW3YZkYbjHF7zvMPhdVltxFjr51
dJgEfrBq/ebWtiVaU+F3GyQRj9Em98NVUnTwV9UPYcQXNe3nSLwLBlXl0Vk11hK3hJWxMbQjdmKL
jstDXCS5+XvA2op7V6w1cndrLVvp5WcubpAlGf+XZnwffH2biRYGz97WMosHJUoPlZe46WQ9Sn2/
T0JpXWXSQfxbeTdt/Km+deJgZwXeqm6Sw9D5u7Rv0Js3xg3s2/cIRK46P9jVZb8QCNRUmp48zTia
BhtPmm7oMhwbv4WMCirPwYBedQ5RZm5LybkXt44Uyhtf0Y52EmzAwK7KyNj6sXB2CR76rMvJ3pxs
CQfs65hK68juxH8WhZTxbNbtTZQ4j9R2n+jhrIamIvGCSbzolfQQlfKmaI1Fivt0qtQ3dYkCjKeT
jQU7CVuVLI52puGvqMfvtRxYWz26hddgEW7A8JgQW2JhwU6Ffvvg6dHSLqtbujqrXB9dbUxwlEzd
rOfvYKGNfhJmi47yrc7SGFxeD0KnumlrfSc+dZDwv2lyxbb0LHXNTa/3KwCPW9nvlkkp9MOkte5j
eBJY9qIGfpR17U2DrDXB8S4eJ3rK3sseAB+7G3X/9zGeNqUK4jyYXNylH016Z3rC68LDaqrvbaUF
Lx/tDIDGPstaiU8DvkCpwk81HUI97cE56tsuTbeG4j2l6nDlhrp0yYMSISvGnowEa3b5TlVpItmr
Oq5mV7cWfHY/GzatoV559tV5hUI8+6L+JXRQsQ8QoninoU3k6UlRwvAAdRr/HnCKK9MHt0ZB2xjd
WtF34ZjiBU/Rasyxp5SyOyTEPoo3VTa8DwE860U9pA+m3XywQI16MpYCw+i+fV2/8nD++SupNlHJ
INB+ERc4DcDgg2WpZzt4xY4GmEE5Qcd5+tYb+jZStd3AfyOivAN5+3XS1CMo3I1FjWrh59fY0S8y
1vNHn8402TeBEnZuIo46+SmqkfSJlph4R/fBA2r47/Vs+trG46ZJU9e0mpWqNfusL7+EVrMsLS4L
SAxvL8fFvXHyE2ZB99ClUlqj5+Aa2vDOKn0Qv3nxJaLq9vY4lzYHVQ2dDiQoP/bIbBN2SRlKaqM5
7tQnnwpZPwIbBflsbJvJeTkjWeetLGt0W66hUgs+jtWt7khrjVvI8aobSe7WleMccDXbpS3HNmiv
lbdEjDX7HLzfoLAAjyCmPscJmD6WD1alUArNYd6PCKhXXDzgSaIYGZmkQ43cA27pPEk+hAQ86xdv
r9GF/E9QKzEgQypVmBWcbwcUkbWgHGSHVuXnoQ5Wtqd+C4mDkuxa+nch1cI5HFgIQpWEZfO2s1To
Vh4niMKp0U3aaiussN3Is91CHTdaoXMj/0QI/iX/kBbPpcXl8EMT5Qaifn0+ucSEftyEDAnxZxXz
cLSGsbQrwFYEupWiBgurBCvNH4qsUzAOWs0uFl4fb8WOGEnK9NLYjRqy2jquSJO6NcZka5q4QznG
rp6qm7rxP07hANJc3rRptyr7bhWZqTvwd9KhW1lEQZXvH20zPaSh9Ay373GIg1VU1rfKGC072zmE
MY9fYOyailKub+yQs9jVKeiZKrpPo35hdca2NKPPI1kV6O5nGcfDih8t/n4zdOsxClZNoW0bXhsb
lx8NI1402XbSEHwU0VjLeICY90YZrIqkueky/zhEEfqUza0+equOKHCc9J0CNcImzRanBK0P3sPq
VubGdBJ9K4Klvm+Xbex/9HUJupbggUQ7Oli/d3a81ciV9XZ4KJ3pDhdUmK+IeJoFIWJY3yjEwSLS
snhsm67jdUu2XiCtAll6sGN/Yyj+htcOAYrhm642+8kf3on7e6z0nad+DkvvYSqSFRHvvnYQOPQQ
UBGhiNfZBy3yb5LhaAbZZ6X1Nx68uTL3nuWaENy0D5QhlmMHzILv4E3Nsi7YBU547xN9lkS9Vg7W
t3EOo4VsUhXseq1ZijXsmvJWTv0HBzlARXU24u+FE4EhL6o8GFuUXI6Sw3966bEvw98H1i+PsL2w
31fdSKZnLKl0rhsZADUPvhrjpefF9/iagUdyHibLWVUN8ROwrV4eNyKQ0SPn2dbR6MBZ6lhLA4hc
68kjH/Gc5tbKxndd2O31mAc/4puy13ynW8hxejBMIN/p7WRFD1FF0F1/Bp+zBFJwJ2pGtkdYZfQb
pdB2fdrdFCPwdV6hRkeGIIzvpzFc+nm/z0hOcyO+z0hYsdqBkVexbPzloIsIkovgUdRCxB4xUXz2
uaa6nuuJPSieWDiMN6MF+6CeNrqcsl/7FULoNya3a+OxP1EIUKtpUwXGUnybSmpR1MKCOJAerZwF
kkg7w2SLEORWqYjk+vcc6ae3L7vXjx9scTrjdNnAbNBJmXWzcDCJWubusLTSo8gHVL3dT0SVYhtk
kb4NY//RsqZNqI+b2iMM1JwraemrC5efQE8crAEKXlyEIms9eX9zuZQrWcP7BfD2qssaUNTI0xgJ
XlzXPCbJdOcXoCjGAMFRZXhlFN1n84VIKGXobtqubkQ7Cd4fkI4GkcY6eLDkydUmwvhaj+9RhViV
3MNRqTyXwfAZQdSHYizRrtDUnVdIhw71HBKZhTT0X009XNqDby71nJSTu0GhdQZhjkhdMqVDFIc7
NPHbRWOLMEcsLklaUfibNjS2ykhSEOZUPvpNb7ZLUeyaTKIwiIobs4CL1+sIfabx1vPaPfizXW5p
9Nq0naFRP7LCB/KPh5qjA6binUPTpwKWAbu+X6CkSvA/6sc88TM3DHAeSK2Jzpz/IbInVL/NCXXe
EWasyEAT7ihNbSDEZdyCU3rQK/PYN8HHTAvvpTi/a6o0W9iDt6oMkoqC+7JNLe5Y9mpG4qh6D5Xi
PcqwobJeWnEPv8y+QfYzyaRHicd2qabBA9LEKtq6yVbXm69SFfwYBxOeoa1tzay4s832puP4SpQi
oEI9xFFswkLzHnPTWCoaX8AvpUMa+x8ajYyQzDHrMnSEy27FTbDzw3QDkWfn2dldY5DUgXDdBSRr
akYOnHdrv+yGZe37D2UjwyBaazFvXWMfJNV5RNVpR8nsXvGatTwlh1LWdoC+jzb5dCI5K3EuamB+
Wqaj1DS6bLPdSLKvmRxR8owWC7+mCHZF1K/jyn8Q1ywc5Celh1TYtMuuqqoF7mzuyz/uRNtwSGK0
6cKlBWrOKJNto/IoToJlzB+0dbws7eZRLYDIeD00X835bpmN72K9c6MEtQRdrdS2AE7tBQTipW//
3iZWscCmMFjoHooLUgz3d3inYVJq4A1Wy9mXOLYfw6p9pyXJPU3qrdXkB5F4R1zKE4lUITdfgyqx
YRZL1SKWpnFXjMk9PMhnpIoeatV+KLmcV06bcmHRLPZr70mk2EGUxMsBzpGEVw+ystAA/aVkxlCv
/JWZ8FLm2PL0iFUX5Na5tAL6eCOTJ8O6/myGpPHE27S26KZzZ8Kg9fa5ou0o+e8SC5p3TXRSTsO7
2EL7JLesDL8J5ErQp/rkZHi2aFHqtrRI9uKlrzL/Sux84eYQcCzaLMSESPfMavUN5a10rFFLpa9L
dMRi8vAC3NnXenaIqU68fTO/Hk4oRBDzA1sCFGPOhpNDE/Ut2LCulLR7EZ8EZM12ln0RO70Y+ivD
XXgIEOpxkHSDBnlBrWdEqgpeRG+5OZd+QoJdhUjWYH4IZatZorz1WR6DR8yND2GQbsO6XQ5OdP8y
5/+GXuC/w3P5/5HCIirjf90qhM74Jax+nLUGxd/41Rq0f0Pc5UWDjxbYT82/X61B+n+ixYdmCxiP
c6VA9bcXHMsJM+UEMYNGKOwIWDDg5vjLf6c1ON/JQHWQgwaNromsDlLA+fteJf6kGJ6quHVXeitj
VB3sqpFizn2/vLGivFmlkpFuThbo7me+eKqA8irTYVQduzIZHxAwqeYLUeA0qhjVCHB5qrgFML8P
gYkmnxXrY+06WLcfnFTLb70pThFYmJC9TMpnfrj8WOm6d1OHpr03nLJYQH776PU6lOsyttulrNQe
5CJZQcc3mGjO9wgXL3oDE8S6k3qk2qd2NWVyQ8wem09t6yOA2EO6/xTjnXP0U938YTm9Hbht00A7
bRTlOMQ2r+xomuvRRhdxbNNgzQdBYaTPe++TVSvT43/XKfsfB0YT+exfH6MlcMrpy7nwkvgbfx4j
EPyI2QDNBnaLWt6fHXbnN+SYACiKuBHtNmEn8avDzjESW4PmO4bJQF4IX38Bz4RUMIUWehKitgPa
8+802DnfZ3URTBnESaTxr4tO8RyYMYayjqIFTmoICxCkpn2F7I3pg4jsikqGcIiwP9L72RqTB3OZ
TfKnCZzSvqsHy4GwXXoT0u6lC+EC9EhYd9p9CEhtOSnQdRZ6X2fBUi/q6tFXumqtI2odIM6UW1sl
cGgaZlgb/N7hyHUDvMozVrnNeYJju+oihGyOTRDuY2j5CGiE0ydbL9F3MvBls1ZyPbnxpBVbp6b2
tvW1yovciCJPQBZK4WFovPYKc3aeUIgLh4wGFqsFiFncXmcJheoXyLlnOGTkXkcI5N31Q/2kEzbQ
To/b9f+epl/ytW8dpv9q60aAsr+cvkoiqvh5mhSDI8Pli9r7P3Vof75JQHx/A5AN1eIPqTKO2R9n
SeLvwLkUYks8PLCkTnS3JV37DdI50rbIE4EThmTwd47Tee2NoWWUTEGnoacInuYFLnqadPppbjVO
0KsHBJWQTQgW4bDsP+boVsdXIisRqP1Zz3w9knG+GyffY+uhQXKIbWWB6jtddyjlE92Id1W5l1BU
PfkMF16+893/ejzx5ycP3wByTE40xmus20Vp33SJ6w3XPE4vDSIedChd+G8hMHo+SKHrkSGVo3Kg
2OxGCabK3yol2gToRrw9G7E689UzREMeMIpCM2M2G9ji4TB2vnrIEEUsEaWx7WAZF+7fHoXEQIgo
UHUWWsbn00k64BN5musHH7+v983ooZCDEY0b4+54pT8jLp/ZhBiKvhfdfuoe8x68hexG5ieVDsFF
tZeWldBJR1Dnp+jqX1Z6L3wflPnI+/B8EKTk2RXY5WpB2VnTD/QtQheC0/vW74PVVNgFQlS1fuUr
zQgjL5sOEK5AeQgkLmj98wXsbB93FdDZB6jVqHhIKH095Qj8RoshHHyI8bJmJ4vQqJAPt/tO3sWx
X31pq3SI3Tp3agPoruH1wDunKll2JM1f2qgv/LViNEL4I4ii99jpTNzgcvR7UFY9WuiZ2n3yQ0tt
77qxd7ZREcfGKh74wyvTm0F5fk4PSBTGiRgJYOs724Ut8s66P7U6PjwylTulfKfHoe8GkugsT9Zy
8KTbVG8/0yuddkktoTpW2doVzNIMe/zyKxzQdSClkIEXIoLni4xocmk2HYsMSUYhu5YX2PscIxvn
m3qM1pJcroyiWWSOfEPP5NqRv7QI2NBzRPC2NdGwnWWkem7JXqNNxkGPi3yp+cV4n0EUrGq8mhtq
zxg/uURPJeXc6CaWKu3WsAbzytt+4VcQgFGr5CUQYBnB3T+93hpiGjoYrXFA7qH8aLaZtyVe+9R1
UbxFmoy+RCLHx3acWgx/mmKleKGyrYdEunn7ynh1jsmzBBUefhR8HsC757+j0Jxa6/Fs2ZvxaG5G
xxoeJ3h3Vy6m19+cYQywgfCXMC3DtPp8GGoDtVarrbSvfNfypt1gFd8dijILDYJOEAUFfX1g0WUV
Hv2fecJf3iGXZggRn0eSa0Qwd8+HHnIl7it/kva2sqtwgOjNK+2oV5eUmNufA+izR2Sc/EqOofXu
VfU+HXcdfvLOjWxcuQrF1XN24ZJ6igTUIAUWbAHRbzx5D/PEUlqndpx9g/7XUgmNR12q1gjkEIZG
XrxFGT648uRfmNjZkLO9Afq+SuvYcvbWbVJ+UtQnO36qtae3N+Crl3E2r9nOwKTHp8BsOntf/txn
Xwzlpk9+1mP+cgdcmAfBGwJHoAhZvHmxXNZM2PQwyQ+SNC0j3146QOEG/74DRPX2ZC7stbORZh+p
r6NMUacgOID7W6OFTGV8+PD2EBf2gYhEEUUi7gMfJiZ7sg9KJM2GtIyCQ1+0waabyhsabfUK75B9
7BXjsQ6QLHp7yEuz4rGn0SAo7yAyzofskrFtSrg8B1iim3LsP1WmdffvDTHbamRQY5mXDFGRUS00
Cy+swrgWUoqTPjtCUICEhc5L13gu6YCiT1sVXhscOKie3+1sCXh3sqAAv4beYpePjX3N9f3S1qM/
TbqLXenr8meLaAPC2Azpq0fZV8Wuk/r7kD7Fv7B+f44z3+IKtGGayX1wMONqo/dKRz8oHa4M8irZ
MCDREleCwxeEsTkkR0a5MDQ6BlFuzQyw1KIdk9sOxTw0vyW8GN6e0sWvdTLabKOncWxNYT4GhxQK
jdqmO6WSv6eoIeaO5grTx6pGSqq3rlx6Ly/vq11yMu4sBlRGs5Nij3Gr4EEum03ttADCaIYsAlX9
iPqpG/t4xSp029p2mcb7IPnhB9u09pah9Lmvjmn4re90RBKbo98jl56DG4jXqRNvas3YDHmDqRB9
KgT/qvFfuOlOv5D4gieXAyZopY0QYnAoespvxBQsoTug2GikX97+OpeuodORZq9qj6Bja4A0OgTt
fSUX78op+O5XH/wwUBewa5Zvj6aK8//qo0B7BvIBcZIa8fnEsMCUemvSgkNnhPQDtxhPO/VnZaoW
09h+0jr7vU9COpQfpcgFSuMl91GRLYKKhv2EMVwGJPjejMYl6hoL21r7RnJlt154xizr5AfOVt6L
2kCubIebP0cZRSbAfNcOMrWoabz2LF+6jgWrAYQitQW0nM7XIpQHUylaJUDFOalgWurmotX1a+o+
l26u01FmKz6ChfUaY+AYhF/qtjr20mdYG7tUTa+s3MXpUOOC/qiSEMzj8SipjZjkODgAqA5wSOzU
6coIl74NxJ0/RqBmMl+waOqrjqk0UrKInWphV/f/ShxjvehqaZQ10WKafZU2b8apCqfg4Cn3/qht
wQMsJeqFbx+Ei1MxRKhOUkxwNptKHhaZVgC7OIitL3XPxfS5L67kJhfHoIRMTQT5HTox58ulmrls
hpEZgOU9epO2jOtNZJTu2xN5nQDxmOAZ889RZuulaRMzLIPwMKiZvEgbXXVr0w9uJg/mKbLTR1Mr
PhZhT5Pb+GTUTbqi5jpc+RWXbrHTHzHb5ANyKR701OCAHYa0KPGZdcch1BbhSG/WBkuGePO1Is3F
MQHMWaJygaXNLJrywlFGEZVPeJOOHQLdKBRO+lJXb8eHt5f44gk+GUg9/47GYLZVZ4krqWsXkvbF
oC7EIzWN12T6rw00C+EjkbV0gx0ccuexQeF3oMdkaDu7uKaif3FnosAjv+SqpIbnM+JtgzlHIeWQ
SU9+ZK2q8UkKrwUAF2eDlIIFqJcPNAdOthid9JUUhYdI/d3yJ/Bu7xDhwkI0uPKozUS+KISII2BT
JMZdRjD0Zh9oaDPJquowPHRoEAFawih4U/bH7GscUP7ItsNSjhaT48rZGrXrhXRl819YTdx9hHwS
bvTQz2fDx30ShdYgJuo8NdpTQP517Sq5lPefjTHbGmolN9lgMIapSxuiYGtnjuGqWDegLcey3kjJ
dziXq7c3/oUXBWN0tAAwGrSpOsyuFgQGegJVP4Qe1t9HCCAh0xcs3h7j4uIRBjMMZClKWedb0bPa
RoIREB681liTGiO4vqq88soWuTiTk1Fmd0VrSlEzaFl4CLxk0VrlwqFK9/ZELg1BFQoLESic7EPx
5ychY152ASjhJjxM9rHNqrXfmVdGuHCgSFSprmPGgE3JnBruYMHjN1kdHir5OVSP/ZA/BOpRk5Mr
hcVLn4SrQQjCAEbmBJ/PJNS8OkhKg/1s/tDTB6l/apJrYd6FpIRmy59jzM5MXtP9iFClO+jB1O78
GMOmNtcLKEfFLi2sDxFir/eyXd73Ec4vb3+pa/ObnaVmkksJY7fwUNt3TvccGZ8a5/e3h5jxGV6u
pLP5zXbDZIfKMNTI5wDIVcyNscV0cOoWHlB+7UeK+balbHTMlEi9rPTa4l7aKKeLKxbgZCsimtS3
Qa+Fh7gFX5gB4/0QpvLCib+9PcuL4wigCdoXTPlFP/hkHL1o7VgODIKoj+aA6QFUqvey/PAvDEKj
B7deIgzEj88nkw84jejiUdSsrR5v8HO39sm1LXFxJieDzFbMzBQp0CaLB3EEzWXU4YNZqeOixg5i
GQ76NVW2y8PRs6caBKVBKNqcfiCAJ1JaqlyslrBz9wvXbHZJCSRTvbYVLgRJdAjwJ8ZcWxSdZtfr
oOtlW1m8GxUgFSJqNeqXZoiR94CP61WuxqU78HS02c2hjJ5XthGjTZVrfRB4wSq5VyYQtIug3reR
cFd56nOuX2slCGzjqF+5Iy/eK3TRZNAXGnKfs3slG5CpVyzuyMGnXgAe2Fy2Y48fkdzpLiwSb5GU
UC+rMe43uVfUVzbrxavlZPjZ1eKUqtLgrMixB0nc4l/hSU9Xy7AzbN7PywWhWtGuhrmLfOj59pnS
wJbkthIXdLOQpNuyA0M/HKP0Y8jz5lQfgJjmN0RFLv20K0nNhdqVrStCD5k+IobYs63byiZFsaAN
D89jXi8CgMpJFyzzeG8N2lpDO+3t039pQU+HEyfp5IrJoXWmScVw8pAsDOs+qX5M0fO/N8YseYGs
MVjqwBhFt8vzL2F7PxpXVu3SMTydxqyqYUs4mZWdGAJdl2OmwrPb2uOPWrmy/S/GiShC83WQtxLi
Nefr5XlKB7iX/V8HEI7DcJH7Dz6K6VErfW+D4iBn2Ixk3U0Tx1dUGy4PjQEYu0JEQfOhC1hzSi6e
9LTwtRtzSsOF07c4syqFvbHkpFv4XlltqO/h8oGM8sZMU//KOl98d8lr6ATaNAXJCs7nH0mYmciK
zPzV+9wc83Xclu7Uad/TsDpqfAANvq0oG2qFvEqkTdffhJl8pcV0cdOe/IhZTU/+f6Sd2W7cyNKt
n4gA5+GWrFkl27IlebghPEic55lPfz66z9+uoogi2nv3BhroAhTMzMjMyIgVa9Ul9FdqH5wL6d4C
4i1WD6vFssV9CN8V5N/Ty2eeqDa1Ckr5OiOAKqXIAZ6lHzUdueMmHrUjLI2qjSLSnajl6sqlv+jK
kHFDoUgJDQ6a6xnWO7rH2xjDdR6LJ6lVYSyTRsdM9XZjeBqaV0U/HG/v0OVlnQQNQVxDmvw7rXlx
DDT024dxU3Csa8J9UzxF7UFWwOnXOwkhNvKRjfnsRuo2kGKaasRt+/X2ByxdbJMq78SgQXg/JyXs
atNt9HZ6pYTuvQHxGeWpla276DQXJmZOY6JShIozTxQxex7zAiqse0UvVkLfRa/5Y2Se9ip9H8UH
HyNCkiODQyvKp95o7KQKHtrgZxyv+MpSnINzTs29EAtD+XHtKyPyzuVg5YwpOY0DKt/xiWwzWty3
V2fRJSFmV0RAGSo1vWszrURji6vjkr052MC4HEP7FmvpRgrW993ikCb0pk6/JHnDWYAhxWE5xD22
wt5EjAKRi+yVBs2t1q0dZYsOARu8KLNgHOmzjWahR1HnFUd5FlcoVP/yh50Mz6t2N8auc7TM3KHY
FqBLC7zTJcLS03bXDb9uT+3aR0y/X2y8tDa4TCQ2Xhh+98vAqYPTGPy4bWPRKckSTUkAAHjSzEZi
5r4IhCM4W4RnmnlAd8Pxiw+evzPQRRpXrC2P6I+1mbN4bjRqBXrOZ8R6i7LcJJWEZtzD7SEtnhcX
Q5qHFKkaR0HM2tVy4ejuNy//q518YWF20RkK8KasYtJowa31j17ibn0E7hC3cazncvRWTqffizAr
HMGk8mfaZsdT0xth2bstObbQdeT+fRQVMFu+z4LjVApqglPeZxFy9B9DsPt0om2QZbc9PDJag/ys
zO38UIl0qQuDhJH7E1eT8eC6kX179RZdBLkPYDYArMhLXTs9slIoKccDp2TQvFaNMR5HXfuS9kq2
EjMtHiYXhmaeX3SF1sc6k9pH3yUosOOUkDpB2autVoa0Zmnm9fD8qGDksJSOtErL2YnSDTCHTbom
DbK4OhdDmnk+HUlNrtQdB8boTZQeL9Gk7fu/rc/M9wfIOVAHxsZoPCW+Quv2D4nWjf/NyMzhwQjT
+I8Gx9lkUSL3FcTBahC3vCr0oyCgNb3nZusvhiglqz2OlkjxvktHeuxeB7E/18GKoy179B9Ds+VX
vNSHZYUZMwr9LlFezMHcwlu7si6L97A5UVbRkwB9pXK9b/K6M7JBJvjuPc0AxaWgTC4j5RBK2raM
A+nO9KQ1uo7lkf2xOdurWQyfAGT+AcWZ7yIa6Xhc3ucrp9/iDTWJ4IJ6IsSYHwi56Pm87EdeFdlr
hF6Y3h7U4KUVnVLf9al4/O+ep9GrMEHfJ8a4mVdAGtCEVm+R6/dTcY+CpEpDf9jtK3rjV0z9LsLM
j3WqJxB7kr6jM2yWsamaCM5UMJFAksZDZUm2yaUVxdvKz/ZZvrfq3fSIRMBhG9G0b4wPmtF8qht6
ccXaiQQxskc6jW+Pf2lXoFWiADSTgZJrs+0tm+1oZfAknYOg3xDKSekrgpp232xv21k6qqDJBFZE
8RQ842xTdOGQ170Zh+eY1lzvlSLY7b+/5DWXf392FIa+S+ZJSMJzloLs0W1FiuAY+pwP9I9xQcKw
fNve4gscbDfwTISaJ3696/2HaoZajPU0IKsrdvSoqbsxopc67Onb8XIZTajY8pxCjyw79/rky2CB
0b39EUv7ccK3AQ0j7fiGEFmhOzTTdAYtec+yJzqUwgT9+baNpYWDkI9GIrobOWam3y+C0igdm3qU
s/CcxslTxWvfBh6W/8VhxpFMi9fUzgW2+NpIERTDkA1peC6qVHUa0W8dETTQps3zn1XecllbtEvd
HtiSx1CSRcqL4ixpxJlHkhcuBzEbwvMg3nvVU6vFCGB+ldzESZL7wVoTqpmusPnmNybkNq1skNvM
uzaC2KJG4cOkaIbGM4qwcvM1lA99Sh+6+0HKP/D+XPGORYtQKsHODYSUp9r1pGaKGMRCrIfnttoS
80BvyrtlqJ1M9UiZGvTy918Kzdzdnlbp7byi4EbnAx0H1DIpal2brbQ8yX3EYM/ST2OnxpsiuZNi
p/nhvpCh6SXH6s/FsFfp2BRPbXQa9crxgbd4q+n4t57Lh/Cms0BvM9/z9FQHmDDOvcI/W8O5ETdS
uuJAC6lhDPzmq2SwE8T5eqSIYhewPYKTjDqeHHWwGQ9C6X7QhwIk9VPXvwzoI3Zl4SiC+25o9JVN
szjRVCZRR6F8qMxbEorcgFF8rPwzd43toRLdUZFvpdKpt7X6lbriir23EQctYMQRnN+Q5sJnfD1c
yA3SMqVF9lwYFTQy36q8d9ruZ6zv/CRcuZaWbMGAC2iIajhX8yyZEedIq2ceMBClzbdy8ml8REQa
KDTypf85fwj3Puz7xC1MIwjl61FZDUo5qILw/lBfI1i+rfgkRWuyrW+3ImpgnJ4AJtDn4ay+NpIg
1BuMCamgOqA8kjwVPcyz3wf9u5C+yJ+tbuVFvOAZmINVesJaT3Xla3MlBHpaNVCzyLqYqoiwUdzP
qruTo6OZWQRUv1a2vMzfuz7bpuH9sTf9fnFHCCBSghQJxLOkx7vclZw2146xb+xNqX1WwA17/etY
fxOOcVDbaxmNhXzltfXZ5Ja+2SMIS9pE8IWDgRppNro718hPEFeFELhbjbatcvPgdvVOFrNNDjMI
b4CV3bEQEPAZU4GIXqVJNGgWENCgA1PTlFnRrf4o17Kjit+G8HmIg30VV46ifB0az26VtbvzbRDA
prTomyY/PcWVM7tuIkpozcUcc1CsmpAwUcKhzr3mwgtJCWD0gB2nhgTyi3MfJl0bQDcG2n0cfol7
H6EMf3Ai1Il8VYJYx37Sjvp+bA+pYGfVCjHdwnEALTDJ90n0A4eeHP7CwaYDooAymayV8VPqkaMP
H8vyBdWpMPy54svTyTLz5StT01a+MGUajWoKHaaK7nuITJj2LkBtSfc+wsOk6nDb7LLs84rNhf1z
aXOeZVFHQ8opprBfI3Tr3vnaIcjuQnff/6jLjz5Eq/xftcig7VcMLw2WEhJZF5KePLJn8+q5JdPd
s3X8+Ky2L2LxPXqpRMXxYNA160fV9HawI25vW51O1PkM67T+spR0SPIYuJ5hN5PKZuh5H/fldkrs
wkRJQ+7oyOnKMbiAVZs0U/9YmsWuZlSNsjfl0ZKxcehiFKrPKTrrPLkUi55ZJxNiZxDv/Nz/IMvJ
3rc+ukP/nwE+fMOEU6IThX36+9i48Ke+csdQnEbbCoKEFEcHnZABQERXwjWh0cUtyptEBD3NYUy7
zfXMDm41+ok0BLTSZg6agIc4f4+alWYcChWRWniAJZXuWsQaDTXZTlVCOY7OfjhuS9l9ur3KC1ce
4/7zLbO51+U2VJqMulxKyjBPLdu1vkdGaeu6YY9NYoc+CiRrd8HSWXhpdPr9YrIt2rKm5zxnsBQ9
Wbm56VJjZ3YvfzE0VCAmLk8egPNprnJdo4nEYruO0qE090pjbepa35hq+RKaG2S3nbARD7eNLkSz
PI0o79D5Rag5r/hmcPDqoi+Re4lpk2hzVXASRWlWbrGlvXlpZXaZyBn0bEVH8kUW4n3ty4emeFA6
Eg9rOIBFQxIHN53JVM/FWdiV9FrbuI2Ae5BI2wLny/eZZryqbED4qzxzJcpbnL1JDmd6C+jke64d
ox41sysylS6qAYTM+AD97ub2+iwOaOo8JDxG4W2eSIqaCiSlwBmeFFB+aPeSmMGpfVrNLi7FGUgJ
/zE0m7lmENKxnwxJvnY2EqjyfBmW4PZIlWAjVa1uB2O/E63wJ2mHr//bIGfu0aOwVNbTPayPh3CE
g+9DnqE67/03UdAJdEMbOzoApKSoA6tzvmYzp1fQhdrnTDzl0KyjJOP29kgWQmR6K+hEnB5PEyf0
tUMocdnFtIrQ+SCnCKx+dImUdelLXAe7nHKz8d8YqP//iCbeX1B10HLMH+NKXET8ZzoHwno76EBi
D/V/r6QwaRcmZo4xCEob0sYZnIf6Y9j2m8qLbXlYa0Vf9PMLKzMXULRUlKFbpa/yNWMIhvFAO8eY
f7+9PNNfmccIl2OZBSY5wS6MA4yll+HBi4tt0d9F/bs+bJw8XHGFtRHNXCGxUgrCwMrPTV7dm+Fw
yvyXvvgsh+XH24NaNASPykS5afFMmMLAi9upiYRWgoKV0FIcNmrxLA0wq4qb3iud24ama+7N7F0Y
msUBwLhKzZuem5WUE5tL0wvQ0r65KQIHty0trhP9qcCgrKlTdHbLl0kuWWnEOsEL4Ayww1MlfKxD
ympq5r/etrW4ZS9sTaO+mD4J4Gg/huBCDLUa3yPZIe6TwXxfG9JLCRUn8g7DD10cs/1ts4urBusN
bFIErLQczMxWcqL6DSAEQ6yzreHRK5Kl7qcUElMbybJ+5QZevKnQtNYgf5swP7NRVqM4qIWGudgg
16plEZc9LXwrPr/kIWSuET6BBwB93dn+Gks3N/I8/gfqxx6ulYf1U3zNyGxjBZGZtOaEsomkU62V
9MDe69kaP8jSfE2NE2T6SOEQGF0vj5sXYPMtch2VoRSfpLaA/ApZ3JUH6ELtRgXU+8fMbFlCr1Hr
Ie25dS0rO6SwX4K1i7/FZZjs4tgKQRVDSgoPcYOaaaNvXRkpydYV/E0Ktdm2he7O7mJdgdIrsAh+
R/ildX21dWWKY+Y7//IzZ87ae7L+DwgI6bhM70AN1Nveg6gCmnlTPTXunWKhohyf69Uc1/JqT/y+
KnzGONb1QiBEHltWQEWr2tJobQ679On2Rlw6a8jU/WtgNjZFg8gmGMkyEfDcATE0t6WabqF3Skjv
+LDmBis7fzHUmuJTxPjE35ne6yF1AyU7byAa1vLc2uaNkG2SToRYOO2ibSSXUK41XuqkJo86ZHzy
r6WWrWWZF6eVk4CID35mToXrb4jDTm98V+Z2kr7RO2mFpe1HP27P7NLJSrae9kxAxujSz/ZQ6sEE
IrsRRUBjI8qnQqk2Ai9/VLOy7161Uh7/nX1846MX1uaOYmW6mCqcPYEs7gwXLfKBSHl4oAi0bet8
J5TfEmUgKGsQkqmOt4e6eFxocLmQjYXbYM5PZ0lB7qcqZ1La7kvT6f/m+Gat/v37s8G5LWSusNQT
uLjJRpIRJArWguPp2HwzfxcmZh4h9KMwGB03hFpAdSwHO1m6q4bmECIspTxryH2vBa+LO+/C4vT7
xc1ba10oKCODCtWfcS+YtuXDe4/6azX4L6G0u71Eix5/YW12NyWiIJvdiDeGgJdHVG6mS6Pxyr9I
zHCnQzUpkZVha10PypXMVgx/dy9E34vwB6zyf9MRwq1BUhhWXzok4NO4tsHFEDXlwJE1+htKcI+p
uSmqx36NdWJxS/FSAhA+pYEJHK7tNMAoYl8k0RVD+l9nmRMmj6MOYLfW7RgtAVPpoFPwSVEEzX5I
zLXk8NKSkcijeqtw8KtzfkxJL9Qg63jNa/JrDNKJIkqD6dt+sXBK8ddZqkmujVLqbJCKkgRimmGk
bCmpKZWdN/s4VDYkLRBMzOwuXTkrFjYaBnmrgUbhBpgHScBGBsOVqEoDgXNCN3yvIqQUytAIDtaz
pgWnRjzVxlrZdtq+s+0N0pWu/ElnGKq62WFcCnpZNHoRnkuL3J2uC49VEN3XQuFuUtGI//tTgcMK
SDuAUPhDtFliJFOjPlb76DcuI6ZEmUv3nflwe+EWjo8rG7N3j4asr+m5YXiuKVAOqnuKDKj/+/uu
eS4Dc3Pb2KKXTHUK2NIohsyrlG5HDKd4bXiGRX+q4ye1XWiqv5NdMd6hhPVdKDzoU3v95bbdhS0A
nvaP3dmy1aoZj6aQh2ehdlTvXjS/V2uEIksmGBZ6khOF0puXSMYbS7TiLjxDY3zvuehFpA9tvwKF
XrggeRHAeUYHAKnGuSJEpbeNaHkYMWRQOi8Z+su3J2rJv2kuoOEV7VWLoP36rOqlSqNB0gjPU5QI
RUOw00Fgpu7H22aWnO7SzOyWrJTU5eEG+iGIoa+Jd7J5lA8BktJq+OW2pSWPu7Q0ux1JuxVKOTAg
Y9gJbZnasSh+6bWCYp+E/t02Vv57S6MKe9ufKZy+6OI+RgOry0VRDc+K9V0z7nWYgAvfptHmfxvY
dD5emLGMoa6IFsOzJx3VDuYkITtPyZ7oOSpKO87LlfN20b//DGteKglbRasNV8G/R6q0hls51cTx
2CSvt8e1dF0yfxQSaVwiHTcH4o0oCkep4IKMSUFoGclXWZGPYle+gxD9Z9HuWvGlfNF8UoJjJq4R
uyy6C8gGMKjQoQE6uJ7V0m1LFyELkGoIQxhVnm50KaUNP4zt3KBZbYTD6eftAa+ZnOWDINpyYUzH
ZCdJ7+OGWATVDimEyaOqjkjWbX0v+4szf8Jv/N8oZ8chfJ1p3qLncY50lB593duV0L7bWScJdunH
h6RroxWTi+4zCTrzUIfLZl5XzEcIY8sJRCzH24Yye0h6stJXCgmLRujBnpqj6PGdS0P0QpXTqEIZ
Rm2+g9n0m6fVsuXiavHsnPqfIEyCuvxq28U5Yh6tyIsv6GQnGmguE3+4qHUKwBrlg+yunMfLu+HC
3mybR0Lmp2mBvTwIH7wC6Zr8ZI73UrBr5WorurKdKMcIybq19/XiXP4xPG+rs4RChMhBIWEtHVOV
HkXd3FL8/3Db+ZetAC2crkz222w6zTpxq6DXwd6QDzeyUxmXUE/tbxtZujWhahSnTiWuznnjPPR9
RlAnGAk16RyV8V2rut9vm1gaxwSoI9kK7QkM2tduoct+R9YFExEY+SH9rqLCtwYcWrQBgRI9BXzx
m2J1qiVZowUBEW99Euj0S4bSDsm+3x7JUgQA3vhfK9L1SEyvhatG9zjny4dUGdFJhVkuOWmCtnKh
/G4VnMfSl5ZmZ63exy5s4zUXpe8hoBhrid0DJDvUjd9vyyAvN55SGw+iAKNioSb6h1COH6qu+2p0
hm8LHipQmeQFdq6a2cYfggJlnGa0ex8htbg0P5u6R5t9Rmd9pXjWsQgD+vsCJE6Nvm7ONdB9qDt5
CLVIBaxs2+WlmoQSIbMGjjd7Wrq5AhUN+efziBaUEddbIvfAWLusfqOH3swg7bW8XyephTnRmeKO
vMc8YM5avAPufLKUwUEWbuoD0bfofDzJ8SdZnVDPoLzKB18Pn6WwcFr9g5L+aEIfscvsWKGNJR4T
cxKc24nykyfIjpZu6/gdarvUD/Vgd9vDltK16JkBFwIbBRhi/gpIQhgmRJ9oXM/vwi55CFrQvWN2
1PxwIw7jGZHC+zoBI54WvmW3PjTKWbMvqgpxo2CDAPZpCGSErQbxb5bt4sNmuzhS9DCvNCDbetM7
fZjbiCuq7uH28Bd948LI9Ptl4NaHlhIrYLarGEWo56J/Sc2V7MnigUdn8iT3DSZh3jBZFEOBv5TE
hv3HEHVGUVw57hYPiQsDszH4VVENQoCBLt5AfYp7yfKnyHu+PVNLrwR07/4dxvQVFzOVhW2WViGP
7d48pu2p609wOsTvwnrFIZfu9Es7szdCKZkWzsRBJGvvDAH9dtuDELQULOoGv/DA26NaSlyDB4YY
ANgRG2C+Os1oIntQ4GWEQoo8Op1B/2yfAHj6WFWbsJTueOS3wtqDYYoU3hwWF2Zna5a5gpSNHQkT
JBNNaCxVAlo7H9Gs9A27UixH7yW7kYo1bP3iKl7Yna1i0AVmHE1JDMV9L4J8YmASDXEaqpZE1Lfn
dtEWHdZTE89Ezji7vIaKTpNBYyVb4xTXkWtHEl35cXuo3ICE7xr97zRlb6b0wtzsBgsNLWjVEge1
vO/UlSAaeMqSh9tDWowAaYSA2hBsJ1oPswjQKhNVy3p6E2S31x0JFb3RdKTxu0vHdQKLi1fvUYp9
hjQ3LcOn28aX5/Nf2/N7LB2LBMVXbHfxB3eoDrVaOSCB7Nx8sYK/yXZdDFSeLZ7fCmWWG/R8IOzm
8yyJs30DbPYhjcbkL3C5aHTApTR1PFFpnT26VMnPyqwjEXWXa4UjIyZpiv1KLWVx8i5szG6TsYFd
MOkkDnoRhcvadIbku16Gmw5aesp9t1dq0RUvjE2/X5yVbIchg0g7PCdG/lkSgq2rGb9ES9/cNrN8
eNH9DKcKLAOiOdvNelN4tV/SkpYrpT1o8fvc1e7y5NRm2VGIxnd5esotJ/mxYnZa+zc7zZwI3yYK
UeAM18PrGzE1khGzhVshxGc4Sf4Ex1bdPvYoiSnoiSqUAPcjKpi3LS9epVQJSDDzrqSd7NqwQAAT
jqhsoKqQGI4R9P2xc8Vq/79ZmQ3PlehzLuXJCny1jmDkw8aNOL5uW1n0EZAgE00q2gXzSiKozybu
Sy4eA87aSacSsulxpRY/rf+bhbqwMfNDtaC7Iel5pKBjL0+5ec0ZY5FLbvCdnp6k/3FIM3esybPp
esWQFPdkdt+lTRSttbwujwgiLSrNZHf1aZtf7Kyo6TVfGTAhImeivGoQldWPYbqmy7fkaFMiHjwd
Ne3fQmqXZgZdNYKu4y6J6xGownHw1e1/X/5LCzMnk71QiWS54rVgoNUH4sF9XxSr0c3yOCBmJBeu
wL08u66EoBdioeO6L6sTnci9tzHDaENpd6PyGhucPr6XkoMglrvU+5ik71K3XPGJpXOXFjeKQ9CQ
QpQzfeHFgg3R2KLywoKpODgM9vCPNeq20bVNGuibUYue/mJeL+zNXT62aguFVu6txDzSu+4oTX4v
ZMPKu2GplYbWPUWlSxnOIWpe1+MqvDiIk56HQ9Pmm9K4t7rBzosTSTWYAFuIFH3TTni/KelG6KEn
f2zWtAemkcw39+UXzA7DIBTzNh34AjN9bkptNyaWY4ZrnLyLHnQxzpmfZlEQ9Wjv8grTdoFhm+LK
vbw2itndr+RjCcxgmsfyHd3/3JGdkK744PIYwKRBm6GR5Jj5YCu3ghbVPHFNV/nhe7rp+Lk0bv7G
8f4YmTkeUtpi6k6NuSSEgkI+mdrP2k1X3G55tv4YmZ2wkValSjdOMW6QH1z0wfNeOqwizhet/EaJ
Qc8IH8L0RLvYs2ZbhJkpEvtlegHrRwOFXtVCbjkKQrK7PWuLxwNN9ZNwB/B1c7aNcinLBy/ElC/p
W+OLMER2nx20ztuqfzV3AK5w5kmeb07pG/uZRlprnGrUopN63ybYeZWsJL2X7qcJ1fV/RmabUlFr
jcuLyM+SA92Wxg61uW4wdoqapHCDKWuI3MX506hCAp0A+jRnAAsMs0QOTMS1dUEiAVmHDh00/k6Q
onKTWiolk6BLVjIzS43LCp3S/1qdXSuqn+RjXVJ+GqvyJFejo0vifpCgtsrS7dhaR2NoN/J3tbV2
fWD9ojvknaF5Zz38MEbhSREeJrTSxChz25kW/ZYeWOoN4E+RiL72W6AAhTxaJmE32bfI2Jeq55hU
TP83K7PBa3FVDVphcaOJvPWolFpP+rCWJV/0I3AGv7UpaYOdGem8VEyIdKNzJpsb2B9dEeo1a3DG
dsVhl+fs/wwhWnY9Z25Gk9AgCOHvXHmEsrxo1DYig39zOv47HmAp12Z4RIph1TKe3Oo3smcddDXa
xKsUw9MKv7kTL8zMbiu1CoUJ+AI7givvKMh+oG3eCgOnqe+nhkF6Pv7i+oJWEr4H2ApoZZ1dX4kb
haIQsd998V3/UUIZ/m+c+tLC7PLKu84vRpFjy+8++ePL0N43wVrueskJ6B6ZBPNox6Hce706cpZH
JmTXBKNpePAz9UCfdaj5Kz6wtDhgM+l+JnCfyB2urQiCUXlNFCLNXg02PNTbCAQA1QxJSB2hGO0w
XFmcpcNRm1Qsp15cQ1OnYV/cYwrdvsro1hH9P01gp83g/vLGwHDMojWd3EJaQHalvzmRwXWhRzK1
48BVfm3U7WPLbLskOqvqlzzdcZnuhWfNd4Iy398+iBbn88LSzDO0Li371Cujs9t2u6kH1Xd3pdlC
X8GZZxWddxCVNW9ctsnzi040GvTnJDht0cmZMnbRuSnATFOYzfZ5rcTH0YrQpIp6ccvjfRtEob6S
RV/MdUBb86/l2Yk4ZG6fp9CLnodyoMVX8kAUD/dNIyEt6IAO820ZJacy/AGye+W+W9oeBCdTDhNi
KBrXr5c0jWmNlTMtQuUg+tynw3BUh+hLMOjeymG8OEj67iyIVpAkBgt5bWkofDOLAyJVpcu3mUvI
7TttlO20H5Wi37X5c9JZm8r8dduRlvbJhdU5hYQ8uGabqISumXTv13dpLoA0/tR7J4CaK1O5dK9d
mprdA0knQ4Y5VRESICMVkLaivK8Cj6Lg0+0x/RY7nV8Fl5ZmV4HAmMRoQmeVmZ0G8bYIABj1yQsA
t8glQ2W0u0iMbXWgDul2X5pkH/anrPs+Zu27bm2rTlvxzceAo4H2AH4VYA/X69oYXmL4Galbvcw3
6Fv1Sb67Pd4lH0Vp5F8Ls4kNKI1BJoMFOEc3TWRsmdjVh8Gyf9IHSJmQWPNNE5PoGsSUQU8M7Wv7
mI70TKSZiJjTdTfd2NqZ0st23TR3QrzWsr3opBemZ5vQLKUgc0deCmW8kzi/vd62khLy+Nrp9FVq
nmlB3i7Yn4HO7irTSDRCeeJq33oCv+roXrCrqwjtQlncV+q+6yG0tMT3dSishJeLrkKzJZVTBQWZ
NwBhNzRkT5ugXd530331vJWNsbgDL/7+7IjJA1RpohJEHPo3eVm+N9K95mdb2KFXBrJsaJKyBO1J
5X12EYZDZPXxQMZdlbNtH48I1kn7Md0J4PFv+/6iaxCBwRg1scXN8R6aGhJZTui7OhGdqZCL+vY2
qMxtoWibcq0FZHGnXVibOaKvVBEFSiZQsO5dE+QHXPr6t9sjUmZD4gYw+QcFOE2D8PMNd7AyRJna
6nX6pKPE8WNqpBM+JJ5tSY74LH11C1t8mUiFqs7O81N0LHnxlbsRItyffb8X840RbmJ3OxKPqicv
OEjyKfosn9WPhfyhDvZu78ivXrIdo42/BoyZZ8befPo0tIuoy+2UCNBIkz6Z5HKopBZIO0DH392L
KOfeCeExLezs0L1fazz7LYx3sWf/MQx+CLwZAbMuz+KhIAKD7hly+uTqjnGGNPAxcjdBu/lAndPR
7GzY1+g92MUvaGae3NAe2q1c25rzEyLj6hyox0bb315Gebpkbn3SzFdgcPD9FgW0p3q3GbbqdnjZ
HfUP+9Ru7Z/5q3o45E6yE21/3zjyx9u2f6Pfb9meHWG+VBt+IY3pU3jUH6LvX9TX98FH404/JufA
Ke+8cF9vX51q45yST8FOO76THO+9AyHDHvKfTfD+9ufMK6e/VwfmPQ5Fc2LhnCtii+Rg66FIsifV
H6LiGBqN0Dq1qyRf2lYSn2seBe1GCYaidOjhSj81YyI+D7WZfMkUK14jDp4dTv98DcymHE3IEpLk
unbSwee3yhyzp6aGnlisaEaL1ORnVYvap7YU13qdFrYzCSfeBHRdTgJns0PXgqa40Soje5q0uo6o
8Mi7XCykjSFYmqNQmoSKKF7LIczTNNMgNeDvCqc95HakRK4HKQ9ShJJknYE82uiaXYZbtmSZHZSP
ZW27e2n4qG6K+1K/U6SDkdtRuVMPawHfHF/0z0eA/gTwz8Z8wyehDP4ga3mTPQkHXbqnRx14dHEu
op2G1GvqNBvxWKlbYjNYxEeaA38ax//ueRyivMfAedCgYszWWvU9yOW1Inv68SPaFk7yLXusnWK3
xqgyjzh/j5SUGAkTFZoEAI7X052n8oSkYqRuCZ1ACXnGY+HDdoc3FREkV4UNLLWWNCfyBLspPWcc
t9ozxT8HVauVOHtOcPPPx9CxDLidTC4NfNcfAwNWG3tqytqXuzo7PZ0+CZuTevbtjbf59bxSZ1w6
8+nxoRdHhJ8E8ZfZ0Vu2fgC57pA9wX8S2NF9eVfSkJM62rsCFm7bSHe5YG9W1nUWo/0zRI6TqeUI
or15/7fZRoLUiGL21MGAuRGKwYAqUlIPueYOtpClg220ireNffOxszx3P9LFtjLNc9jk9A1sLhab
JxvUib/v8YvLrpWK0GXn8w2uK37uA0/4BSE3gKVUBp5vS2UGZEmNu+5RGMfuZ91GubtxU62XqSlr
lr8v3JbuwMgfU0Qc+9gbnWJoCOMtJagiyFiz8Esjjv4Xo08jBAP9qqtsipMSF4eRSWevi0ULOuPO
f3ZzWXsu06qtdokhqE9Km+bm9vacL11oEIspE72hRGCnzjJFcdyrpWvl+VPmO6G+lXLmeNxkkV3n
UxLnh/yVzxFOsmJnH6CRAcLk6D+6L8VOdx1TcrpQs3Wxtm9/1Zy9aloF8hF8j4xIL/fL7HiV+zEp
G1/yniy02oytZEfyTnqnG/ved+qTd+w2HWzwcb8dlZUU0++C8/UtO+lIipRYNWoY9Bxd7zO6mlUz
6tPgafPl27BNj/fjpj4K9rfM/sZE2O8rp+CfzPE35pFL37adT5vXhwfn5Nrd5nzmLNy0Tmx/dZzD
A/87DPanT6nzKXd8O3Vy53Q6OZ8OKzvn7eXHrpmkWScyV26I2dnQ1HkCJNF1H6Xia9p5dlUfI/+D
/x97YVmVazOzB4DvZpoJB4/72Ija1ovfVWVoGwqMguOdwsvttg/8TsLMF+JyULMjyMsKbp8Ia163
GZz8aNjtpnrNz/f397vHzDm+/Bwsuz/1jn0eX6MPa1JKCzvjerSzUE9q67ITJ/sbfV8H9v3uR+UA
9LWP6ocPn8VdbutEVTKL2tjNyik0/elbQ59dPKYcmUY0mTbcnZq/StH7SFtTeZym75aNmZ97Xu4l
HCvuox8/FU1hB/XKTlq4PplAyunUAsm1KXNAjND1bjcqmfCYHNwPL/v+1J7edbb1616x77TNWmv4
LJH5j3NCmjqZm7LDszkTC91rlbIRHiEitfv6WKg8CIR3RvGj1j932kr0u7hCk4A4d5Wh8k69PiVc
uVRpRW+xpkHJWO0T41kZ1rCdCyE2UDCRixjWcP49zzINY8f7OBWEx2wbbZO9eTbt0yuQD2eNP2np
AGFeQMfAhKDz2roejl50plH1rvDYe8muz09hpdAfdV/U/z1uZkQXhmbzplQqRKE5hqy04wGn2K0q
2gqY4EBEFmitDLIQq16bm51YVdWolVtawuOdZkcfu638ILCDeWT/lJxtunVO+t3D7WNraVsRl1I4
ImiaRKOvZ7JUCiUeVQYYW+1WF3ykStYEqRd8b8LD/G53J62szEzkcVU3cpB4T7Fefi6D8lwIaoNE
3hpZ5cKOkqZe4mk4E859tlamEXZhO1beU1plJ9mT3rta9MVKgx9KMdhAV3cIMa1sq4Xwi86bC5uz
BevV3vcVM/Oe7nfvPTvceDb/6u2Xl6O9P9pcts7p4L6Ledh+Wgl5fwN8ZgfilenZfSOVml7VHaa/
fBGdZ3373DnDHuiCvdntjtaWT/jxOJ3/JB1Kz07v1I1uNxun3j90dnW4yzeb18NtX3r7yLyejNkN
ZAiKFWp14T0FAfXV0d22mnguemmTlLVTVfLK5C+a45CZnlawe+szvwrRz6NvmPwkfNpgx4NGc3Tz
ENV3ebZWdVq6XEF7ghPQTEXR3xAayG1U1eidek/NqTCRjGdCFRqG7f4Yvq8/pBvNdSrXrul/sL3s
/5H2XbvNI02UT0SAOdw2kyQqWJJpyb4h7M82c858+j30hl+iuCL2X3wzGGA842J3V1dXOHWKIObg
ndeU8J8tum9TEHwvOBt/ujw9/NvvmbweVTEweU6xrq3VOnPdBWheMrhd9xuUxFWdhZdx9F6fCZs8
vSA9E8KmVFy7HMz81GxpxvoUkE0Sdv0iK9KcsWCQ2ceID9SDkXq8t0dUV9FxHkaebcVkNxCG0fvv
b+stQoLqu11xS8nuOa+NuZU3iScCxxMakO97dhusm8piJDu0vMaQfBLQxHdWSBKg2l3XkRZ5nMbx
VuMfGPoaK+CNtlqdpklGbaSR2witIsk2dJbmZ/9FkQ+7f7Mjk9ii96LBoZvAszVexYRYw0BrLhEI
3Mtvd6PumQ820CpS6T+vh4Nx2lJmtFfPR+26s1Zn/ss/+Fqirhz9W9Ja0pJVfnl+6eevxn++b1q8
SzDcdOC90LNZwQpQfLmUgaaUGHGEIVSbQFinm94LkI5Ys1p07MVd/orJYt1ndULVvQcloffy/INm
sk6ggLv5oIldQILE99sSRyrIu8p5ZyhGF5QVB66TtkIxJTUwoLXlkICiCyTnN2WmcZqk/BTyTm5c
gjbEpcs688YyDOoyaHtBagK9lPc6TfdilwNO49m0Km94vTSHC/viq/S11WLNcdRIXQI1zj2FtxIn
z1KfsCDT8FLPloqVmKt9aURa0n8gP+8tJTLntxuENmjTH3NcU+xGjTRvA7Zxz855g4tVFrQN52IP
yuBY0dt9RBJN8g7gTpQCc8BoShINqvK6cOTjDj7cEQEgLyQE4Lv/ZeZvsiB1LxaxktY48socxEKn
aG4TuJ8tKANYJHmTAB2Nock6EggfSlVYauKbc3wZpPZA8wD/5hEVLjRik0QJ5PemQPJfkJAHJE0J
o6qhsfDuzyTWFAabjYQPGGcEZepONYPnQp16zwbdt+GWb+Ggxw7mr9BH1rcCET3oruqDQoh9x+wX
l9IAVBekt4UNnzPTtx8xUekhU2iviwfPrqVzLauKvEKdDXz+6L3tj6F37PsSWDygvEOjX7MI8TE3
fOFa/XUATQ8d2FDMgsJzgZbxyTeE2cBEA5hH7cwnRhxpTEXeORUY8r1t27ERaqnhkV+YvON/s/gx
nYzmCQHZnkkxvSsFuXJpERZPjXXJCDRKdVZmo+ufgvqdfi22Rs9u9o28iUHzS4nPOwHy6o3WbYvX
5CXUq620Snei5n0WK24/bChzXyYEjOEbj9RfrhapS0c+d8dA6//HdQAqyinXQeEWNRtjdqNNNeeI
1vyjVOgYYsa6G0nZA27kflMbUDk83+tZL/dW6uT18z0h6IoGUj1ONa4fO+9fbYJshBjjO3hFZJ6s
e1UivQ5mlReRgLQITJzq3t7LK0xZJ/a5v1hLXUBz1hV8T3/93IgZppUkJQsrJZYcz/bBKlG9FrWV
sO8SZ3ldSpZ2fbTUUyUfjcqITwavqTLxqcPEBVkGxgPZWqv7xN30O5/IlaruWSIJ6hIBw6wxh2H5
gw+jWWLK9Y32wrzgQsq309rVBf6fKwFwoGeY46AoRi2+oGXTL3Uq/a3yn3wbB5pHBarIq3FhYmrS
wuGPTuxk7dhdYNl4kDIj0p+cPWphee67aFxXKlOMVgx9bB0zENTnKjYTRrA0h0wMBIw8ShMpHRdw
XNRzgd2ASIFTK04L9d57kYfv53LG3zNZDQcEF7DmY+sm/Fv8/OaNYvlalisgwO2wzrSu8wkSPny9
9ncFt/JZTN7mA+25xJn9A0oG/BDAtYsCgsV7iT7TiEDEKRHs1KHa9EZ/ev77Z6ouyODeCBhNxs2S
ijLonaSGgHQ/WInG/mQWGDvg7xFFU17bL8p4LnB+Qch0jw3ESLZPjipP4AJUPOTxPWnKiyDtk2ET
JJ/PpUyJFMbUHIdRASJsO3g2gWy/XxYTxwVb5kFsv5V6WpBKkwiYkrfNNifMFjH1QE4NyfSXhKTr
BNwIbwzS5OeFYHoUMlWX24+YXHwv45NxQkJs8zWn8wNG5bhfz9c5s5soFKKJeCQp42Bh7pfZsrXE
tGUe2oDCEnlY+35E2vzoLmjhzELwaPDwVUD1wzNTk1IkTpShSyi2iyZ+AzGzbDBFsdQlNOeB3UmZ
LKYB15DHV35sR8qhaTbc1kFHchBfI2bXp1duMMvOI0uzbqZwtFFT7qROosca02O9IfNiePahdBaG
X8wrCPJ94r4yJeKhddCun5/ZjBGBh4sxokh7IA8xdT2K1FeaJAxjuxVIDdKkIDz13XtRGR1bj+Oa
l+LxBx2BQYQgtCAiaYzIZfz5zQ1vJDbKUzFNbL8PVKaLMtSOTYyLAadKyC4oyoMhnsiaHCEvF3HH
BGFiM6WkBY1CPNqIy8b0nU6r6X/PN/JBKyEMTvSYlsQ8QSzufmFpggHekg+QUANj5TZfTVF+P5fw
WBQcRYzoB5BcobIwLVVmIKpvGKZJ7DegKzzUhJrrlXHUQDDcF9ayqP/nwADNjbhewFmAdhME25Oz
4jCJwQ8jPkMNHAZr3WgUQTaI/IhEMtFyq8EZfr7Cx9B/InFyYijGi11IcZltZZ315RLfbFRf/QmM
hgy9rh5r8r1Sw39aqj8XPLe1Y9IPjxoA7jQodSan5ztAeLt+biO60T4Uy6GIY2AuofZZmSD4/l6q
NzxcOywUiArAzfGQou9oIs/1U1F2uja3eTNFsVv3DADqBwzL+ekWkpoPvuVE0iRyD2IFaUYJkmr/
OxK1c02Tc98v3LSl5YyX4+ZWCwHFJs0oBNz/vZrwK1EhtuxoC4HSkpjpEyZSIN52mNzOddCjugES
0YoOCCvzLrz6izxCD57yuHPougKmDcDgh+Fq8BOFENcjh/qLH/KHEX8o5b5efzbmuSVRs6SCc+Iw
ixfIi3GyEPpw7/dQrLyyyviisKsI8Yflf+apUfLaRUzI2dVETE1SF5R+TjUgCfYEjHkiDMu9RNrh
MyDV28JGda0nA6I9MDSJxDtIyFqRwOBfBTVJNdB0N9G5ok7Rz7DkUT7mnbHJt98w0ZzGj0Hd51eF
vcP746L7QctiUnmqmgEo0AkLejru4Z0PNJE22eNMkhonV7rCLgx3FVnR0hmOX/vs908sJl16MpeK
ZWHn/hr3mmg7Q84JXb53obbiXqTXwlg4w9HlfiZxYjHRPhKyqVsXdqLsBNFsrqDXgrGOj7mzUUpg
Z8lSKvAxpJts4sRHCaQMvccc1IZLdwylDTEwqBdez2IDY4dYwjeHNEYLApurCdCBhKFClXsHVEZY
vDIPeCl8CRDFigIPHplQYfLmVi06uQMqLm0Gvf6dFskJkZjN4KhVuwra46Av1dj/2HAm2y2O5HWA
Zo9P43TQAXz4vvZDp7S74hoCE2dHFwEpyXjdsiTYy0TaJVYLFsWNbHBIFD0/7Bl/RqQl2CO07gDu
NkWF03TDBZizUNpZfcUwnEYTmzOoa8CT+lzOjF1Am+YIJUDfKcr7kwMG4i+WGTAO20FwGriVZLvF
DorUgrd5gVaGGy/EdD8RTaIug7FZGCM5eQeRE8lrCrlzm9Zr5GC+gDOSDHfj26+7oCAy+dywyL6o
AaFJYrqHRFX107n4sa450ULSLix8zv/AUCjkojBUG43iUwzFkPeK4LRiZUe16sUGZcS5nmx9S+p+
cbKriIADRrHCai0MK9YjLfLtlMbv5d/oWoQLxuQxHQmP6/ZjJlcbjX0ByBLlCo9q8x1aX63eAOtK
BkOBG4aKByEhcGmeLpHWcjVrKXUzY8tEAa3HY7Js5OKZHA1TZmJDYYa6XYhUhwl+3ABWHH5xlTPP
ngi4I6LiEW4IBw8acuM6FG3MYRbcKGYoCLOi2LeoWPsmZpmWsR4wqrTyGkyaIi5o+lozB6K6xGSc
gDSfcnvxZCvgLfBwpN778zvwl/W+10wGqGYwqI0hJv45eSoQzAe1hGG6dsEQ8eRQem82hc79CzVp
FVFkcE2PJz1mPOfbgdXaVGe4QxSQmF5JidaGFhDhoNtntKz8djSG0jHDM0h1Z/gOwcn2/FvZxz28
/9bJHsZRmIaMS3d2SXbQSiQYPlA1GJEDA0F+TX9NrGwvqOdIhSfxvSD80Sm7Fz5RU2QZfTnNhw4h
60ek7nodOUtwHmhfY/L0daeQj4tP3j8Fk1FtdX/5XJD/CHHBSFoMBkBWD4V0hF+TpBSl8F0i50IH
Nw0deKE+rGLAD0eyAOIariaQVnXwZ0Hso+G6lzq5HTGnVGOzbGdX3b4X4J9FII5SViOt5PP95R7v
4b2kiZfGCgPP+yXWZ8TEOGgf4Lgxan3QBlIBfqGrW2Spv1hksGNTUQvCagVRaUuFtSZLeerHhpTJ
Xo/fenNZlSTuxJxxOjt+S7bchScO5p6fIojyYI9ytYLCud9KQLQjygaani8Y6Mf8yOQDJrdywGhi
lqnxAW7+zaCx0yMVvw1rnrDJewhGTQA/o8WJhLP3C3OyYAgx+RwkYZP6DOW7KRqyKSybMP8M7/zy
sab+VevAwMyEz09OAhrWOTh7jkQm7RIK+LTnOvCIChqXjZZfpCPx7MMi3e+74PoKO8hub0N8H5Hd
wUcr0MYlpx/+2zyto7MJXiBBZb/4/ffqVy3UpaL8Y/vW+AVA44CDGA0mgF7dfwFFRQH6MePefrOu
h51vfXFGvj+gVOWTU2aZprnXzz3ZbD7L9d7eRLpHAPo9rt6eb8R4vFOjfPsVk+NnoopNHTbCPrBq
U1ykMiQpGuGfC5m7cDhOjE5HTMQAF36/VEAPMqkos972B90pJT1iFP25hEcHa6yl/0fC5EoXJUgq
vCLv7TJu1U4AwxyHixuaLiNpQohws1+alCY8+o73Iifnx/RBh17DtLcz7W23Q7EgJVZ/vF53H556
eM13r3jitYRRTx1ZD2TtrF3yylnrWDUJ0XU7ZYjtbfDaEeVldQ7IRk/2m4DYv4n6rT3fnDnLCkoF
UJWhrPGYIeSpsUAb47K1MWAVwjEYPjJe92N54Zhn5QDQjdgBcFmOnrxbgTNgoOB4p0BS+pf6lOFc
0SIAFNXv8xXNae1YWEcfDYBeIG26V6jM4bKmV8Lexn8EZlIBXYMi25IGGdD/L0HKxE6VLfYuGi+p
Er87rFXRNsdcn4uY3bX/rGU6PgE5njKr+aC3pZEewd3GCAyY8OJmS7W6hU2bAoybWnAVvKa9XfMd
AqwE9zBJB/QdeevnK5q77jenMyU8Eaq0x0wtCHJaxFQK6vxp9V+cC9pq4OLCdI5tRfcKUINyPaUj
0Lc2Ya0xEcCj7l4IFtK1f2DoqXG8lTJ5JFqpa9k8gRSkirbg32sB2TrQ+sF4yVYNOXXW6dSo743+
/smz5JMmGvoznm/lX73s2SdMTCewE43DF1DATLtaKZEUmJmdYRxOeKrMYf/CHROy/dRT7bwCjiJS
F0zH3FH+Nc6A+hsz7aZXugcL8//U/3rkBUwTIocLbcxzWnkrYbTsNw5QmQXgru+wwDIEZsHTRPct
Y5YQev+Xk0Q3y/9ax9RgCDErlRGk+MEqJm+7dEQnHNYnARlx+9S+/ONJC9+j0VttD29v3Ev0YCzY
x4Wl/rliN0uV2gBzbGV8RDXaR+VHsCPXeK4vcyJQxEPshy5K7mHkANN0OYgketwLtHCXiWA4ubzO
lSW8+EwkjWIhMD08utrAfzmtyEdhwHM12wzAu1TaiHbs1uhA19bhjuhbVnPVYiN9ZupqqblsJrt5
J3haXfMULhGFCoI5DD4xxU8/tMoP+iVviINGObASvaRfz7d0zrWAkwjKADyf4yyxewWlmSKouLQc
7Bggpj7ReYACgvqEOPkDRGXPZc1FfpCDhn70odIIku9lJX2e5GXLDrbcJ6SOzjWTaRlH6CsVHBUu
28T5Us/ObLB3K3JyM4IqSdO45AYEe1av1og1WdVdfXDaq+HaJK5Bg0cWMUOzUQeyboyIDAV6Gqa5
gJZNwkBu5MEeQkOJjLyjSRdiHih38SnS0tu61tGyuvAuPYIh4HLfSh2f4psL6NZKlyi5M9hNrfYi
SRodIGKJV5v6l1GV+MV/YcADEF8ddvVfnOvNcieeURE1Oc1mEMwqL/6GYUkUvtPpu8eZxSZeorKc
c0xvVzlRolQCk7SSjMLcYwvyduEnS0HEclzClnCjUz19m0ZkHw0rAKK0abUjRHetG3PCYO92pWoZ
yCKtmtfcpnQTXYyqb9Cazaj/ekP/PMYwEfUqM38DvbaOC4/U7IIlcHaikRkXddpgi1m5nN8qymAj
U8/JRrXiPDVRFysrs5fzRsx0X8u05pUeYpJs1xz6nLQwBAkBo6ryVrFLsLrZEFlURnY/1DTBajU+
zTfKWtaMD2SZR9sMWa8p/eTqr4evDwFNo4ev9fq0JlVpuGBhWugkeHzxMdcHGXlkgBSUUafcZHld
J3VdUY1ND6xNCZkKnpkFK/c3QPNecUYZaCsdWV9APTmJ1tLC9fKiDlobHg1eYlFVvhgLLzFJDuuf
ZPXvkpAB+LlNWZHzynaIt/rcrFpylDT38vxizuRf7j9lsstAGGRS5Iat/cYR7gAGEMIYCOAAIYpN
IKXX9Nq8vKNHbl8ezsd8Caf6iGPCVbzdifE9vzlkmZLipA8hXrav/S8IANQDQ4xROPw7cfvvwh9E
8r7fVypmPH78olr/fP3zp/2fk5hYxCHkSzGscBJZf4mrQy4t1MpntPh+gRPLV7VtJLk8FggGZK0x
rgavYuIP+alc8qInKPNsN+pq9Q1W3wWTO2Ps7yVPrqtc061UpFELx7IkYP1BRKoprhZjYncENhep
XCmR6TGHQniJEivOFruNH83j/QdMXtahkmmw4GFvOXIN9x8oxnjaK7darwmvmTptbLLNGRZxycuc
8c3u5D64md7Qhcwo12rgmhmJFhmvP6fgojtko3r6inpZoVn2uR7NJPfvhU5CpZiSgphNIbRVhZpo
nfax+2rOr+HxNd2s16agXyIkrxNCG+9wDgko+ZA4b4m25JnOPEr3HzIJmHpQHqb+n23J9fE6t/rH
R/WKqURjgmYnqq+BdjITi8Tb7Xsq6HvYcAL0AWIn83tBBZdu95+K3txukA3maZpA+anV2xWkFzl8
K1E11o5WWZ52+pH0rS6hy58ljL05Ktpx4XYvfsB4/W8+oO6aPo49nAq7q7SYjN4d3g9sgk/WHTGz
1QslqRdd32AHot3RMxci6MeX+f4wJuat72UhbijI99Be6LSWnNkM+E2cRA3yhTjyb7TJk0flr3f8
Zq2BrNSdMprSXI9R0tvx+mGts+sXndnsVRYPibak9IvbOzFuXJlldZ1BJFAJgsFoa+/skmb0CxBX
ngB32m5jDYZ7g47+y/eR+xZPS339M2nk+y2emDkpdCjfZ8fbDlIDawQqAK1Ab4otDjq0YGutUJXU
l8ul1mRQSOhcT/QILT/EOWQEEHUc/Wq1cOx/NFrPzmJi+sIkzt2iGT9q1+oH5BrxtiP9eTL/ERg+
/wU234W2cwsO/l/Y8ETun47c6MCgeFQcjnJDwu9iolXbnSGh19bRTqfutCXUEaoAlB3i0oWrtqDp
f0b5RrIDeh0npCGZy/M18lVGn6WWX7lqEA5G2izNTZqBTdwd+xTuVhRlCoZtyCu0a/6547bwB4nZ
GijRvWCJZ9fQFg51Jma7Fzn12hSPpcIIIjPN2TkmiEc3zoo/ONbS4ITFY5yYrSj+3y/Y2Ku12zXb
ISWHQ6LFqkucrfmClFsikj2nn6FGFreQplk6yonRqpSuTJXxRomxWZWmg477uFCjAeNyll6rmTLU
/Z5O/K9QdrKsUCCrN7XAJ1c8UTkxUH7CQtenF0n9J5/fU9gxzf49gt7AWlDbP57+hxsDxlxunHaJ
SZuTQ5X7qAyCBF4Sv7OuNVKbuWqcwt1JfvVb1fSQ0TmuPaOyuBOqFpjaSHxDTY7jY7WShxGztwjk
nIGMYE9uPmly+rnry0UV4JP6Ix+CCGUHU07WGMboGI7xj+yRojuriAUWtmL22G/ETo4drYFxHnM4
CnBUaaKaye+xn6lObsaM+txZ+kNRPdv0yamn4BCOGgXvhkD6Y/NvDI5pOP+s+pWgCxRHj78Z67WA
Fqxxq/d7VkPxN0UFEF26RvG2vXCA8dIgC2rIT1GRE7u+1MZ7sBc2OkiCtCPaBNgdtRX7pU0a9/7Z
l09ePDby2I7n49auHXZfh7RNMdxSfX4+JoMqjoB2DNiZVkRyJ8l9RR7dJmSkpNFjQTbKwe2X9GEP
RBq6OnT0sKwSFM8s92uVL7aPPeqCjEmMigh+VXRwIj197zcNOVs2UoWCZU1HWlBV69qhCpV24j0r
SyShpUh7rhLM6B/fb+ydxGmhKU8apg28pLc1iiXhD6aQBjpvHSkNyrggalTkZ6ImrnoPnqpw8LC4
VqVN4WBZsmrtwIUFn8XT8oVbNarygzDUZWFhxvzXFGHHNGlVNODDth3Qm+cE/a7awm2aQU9i62C8
RtCrAi7DSS3IL9Ht1w8oxIJeY2y6//hwV6AlGMilP8g12atHMMo+38MZGwXkPEjEaBmIMoxCnshU
ULPrgsodsIe13gIw9nU4DStRKw3gfNM1Ue1Ab8lvoC75ezOvMND0PBojQBOEtoU/srFbRyNEREHV
Qm8H9aZv9UwSQU20LytAukD+KlX/QNhAkmwpqTi6kdNzvBU7cTMblvVYP4dYZE51/HYKTuY2cFVq
wYV75FIQ7tc3uXpBXkiNh251+w1JtkQ7IB8SWq8gy0PPn2KV6ldpHny9VBlkGyOt3B3WW521Nr5m
96Qy7dQQV4252TTmPjfOlYq/NqlxpglNMHwJWZTnijCn3qA4Qrps7DIG+Qi27eY0xCoYokzwBpvp
z4mV57biG2HrLaj4TKCBTbkRM5rlGzEMX+ZK0ULd2E19zHl0cfyLiKnr+7FQ9XuOdHVVGavz6hMD
M8znK5wzhcgHwhRjsCtS9RNNZ/MszmIuGWzXcdVKOTgc8GiBRWFsAAzngrCZwEEGORUY9GUFJXFJ
mETvihOgCpmiLpBsKSsDSR5UgELwcJLUL9ToLjJO0SHUDtmTwlzCQo2qNdXxW+GTw2SdsijqCAle
N1qJb5kIZ0dClpf9LWG2CkyfcKpF4ok5u38rc3KyjeIpjRtjwcy2QwtvtpIk1adAglxwpEc19JJL
x+cHOmdB0ICEMR4jqRlCkYmjw7RJ1HAR09jSBSYfvMapkfMar+wa24nXeNOfy5vZ1TtxE2enLmIq
dzu6sfkNRmkKBMSbTKxS5YvrmU61kL2e0dY7YePPby4KHw1CFZVYG69KlNEnmB1wzQ+Vu5DBnt1D
eAYjkhclWzQm38tRmkoM5LRq7Y6OohdRCHdym+YE02wFvc4Lat0GMUN40FjHtaeYAubnLD3jo2ZM
tBUXBbMCwK82ImonzzgQqhg2wymN7XcaHZhCNjJZUpv4wp7Sr/yLa8nSUE9xxnO4EzlZdeyLTNY4
EDmONSre6y+K+eJ9NfMtGlNacs0Pic+sve6dxjF3mpDt8uSYgcw2MTtlFzlvcX+oAKcUQHz7EyoV
SF83MgZ397vUOfH4v5VIF+GV4PCEY/8B6gKxM7xBi1MVE9992YwSs85Iex42HKqS1XcA6txNQqt5
dfGif6LwL2lPYq1y7VooSzV2MLBc76S1v8mDBhwnlQp2V7FfoJZ/ZCXEUC2cAgahoV6DgScTu9F0
NWokBUomfGYN55JRKaPmD2E/tlSl3qbuwOasczII2l8StGBfuiUs2szjfPcBEyOCxEMfcYmPtEer
8T2Jf3vvFyXquDFrcUHzZ/oLsFgenfhoDoHT9acjNzeMo7OKrfAY2WxuCCTbNlq25TQjODQGJkSa
0dqSPdUzBiu2HWOIkFbkVMeIEcKepY9OLSICHgxq4d2Y8wHvvmpiZKKsoxqmx1eB3vIqOGQH2OwI
n6X0KwWivtK3as9UM3vBls6YG3DqYKguOMsFkZ2Oeo7FTASncNTZySBCRTEzroZzhJRyjra94Prc
kM5ceI6R0A2LotxIFjBxwVCAlaO0zTtbqij/rUF0Snixcxa0eaZ8IGM2Gjj6QHhJMwB33Js2QUk9
1pEB05eilBQMb0SOpnSeBqqmrCGFZA8or6JK78DDjTWfAyiiVaNWUvn+LBabsgR3XUGtMk9nuAW3
e+6moa9OAYgHdw0dLhMDFMgug2mhUmcH6ILqjCLe8kJGjrn3w4ILA8VKMAojli41h1Lz3HRp8vwI
ZkJTDOO9+YDpVY8xGBDkhiNcGwxfxkerXzX3KyTH3xUqKyvwuuauyr43NIl7C/9mKQc3c9PBAjAC
poHFApPT5H1j84ZluALhVAHsOrJFTqvtwpVxGAh9EA/t1n8p18FmtbDqmSf8TupEJap2AJ8TC+CS
VRkREBMk3OeEMw7G6yk2fyqybY3tP0kFrLVdb7qdrS58wFx0fPcBk6AAewH3lB+jY7wDjAFKn0br
PlkXEK3zwrs6t8MofPMgDUA7PUgx79W/T2lKdHsaHij6zwQUKrq3ZHgd4lWPkYXy0mWbeVE59NoB
u4xJHtDpieUW4SokZccMther3LX+DAGjQPLthYjav8tl3+hojwV14s+5CLHSpW1dkj7+/MaWSx6V
y60E6VW+Awcn7CaHxh+iOAPpOTWHKwNil3AleSr76uV7T3+uVzMlWjAzAbaN4daYPfwAcYjCUAyz
qge0SjLynccQ2f0FEMDyEMlGztYVDkOzcivS0wuSZw75TvB04UUrga+pQzwVrFhm44qElbcSj+FE
rOotTSWaiRHRSYOBIwClCgLi9vtdVvKspuQCYUXFbZsvXvktuldFWljRDBwdkdGYFpAxxU58mJKa
I0JkKgWvA0feerXVhWvwLf52W8YA5b0qGDn5GIxGo9VhK5sYvG3sXk1AGwY1+8QrnW8bffuONoeN
bm63+me/ZnTe08r1ZVC375vN73HBks2dAC+BkZ8FuQNM2cSQSkmDCagp29tRdgRdpZJrSohOmwpT
Z+A0P9ezmXoC5oncCJvcsgJNrbTkQ5i1O4ifkQa6dZtIp2r1zzR1dEWDQJIC5zp7aRcN9ozpvBM9
0bRG4WpAMJneZs0cbpFPvgzr+21XoosselPMzSe1FhYs2Jy1vJM5Ubi2zBKnEiAzJvmbRK7Besfs
s7dgwXzMBes8ENiSCOoRpAimih3xVUkNDbY1RQIs0VJVRMwBSml6jQC2hP/lGJUuX2MtP1Br6eVb
eAXtxevSTJ+ZUhhO9+YzJm9i4wRO77X4DBDGM+Dx3WM4qcpuhqvOHyi7+UKvZYfmPXC+rs8M+gmF
BfUatWcSiAGCjj+YX4WWEGlyxLxTptgF3Lw+/SmDfSmfnqvvH5j2UQCCCxbd2Y8I1CEYUEztys4G
nOOjWXPasOXf5A2w+yLgBJGGcoFZ6OE6LzTJtM8ojSja7zgkAORq1EuDBsYKI4R6pE6WbvH80v/z
ZZN3GSFwTsdd1dm+RJdW6AryXpCj8/P1j/v3ZPl/2O6bV6pqlYpjsgJCHPadZd36LU/gXaJrKVmY
rTi7HLS7AeoOGvaH3Krbo3GhzrHRXuCdcxm99tzSg78kYrSLN4vhhFJoAozLtt9qjAXDAAgc6SEz
/jBB23iN9kORU983Z9Son+/i7G3FDNr/s7jpWbEdNTB/kq/sZmdw6DNLzZNvwnHXck1/Z6Efq19l
HaGqspRZmz3C/8iepsvFhMOM07rp7EYUVi39RitftDjoz1c4987eLFCaeG50RXXgJ4IyuulP5WhS
d2F8I/Bi7b8Qg5YTZMOxmahU3p9gV4LAp+G6zs4yjI6uvlzOaLJzidD7uZy5YAf+wn8ETVQlHkLw
qLB9Z8tMqccJurUFpyDQIAyrROO2B+Bw6COZhiF9XCCpGZj3mgblKUfgjVzq1i7LvyldvKDBo9SH
23jzVRM14gSA4RUaRzmgiPnKlnJoeFEBoGQF/Inn5eGxb/ivgpK5BSjhTKyN7UDVAz2E6NsUxpt1
c3NijAZxBApd0WVWHVvW1/P82A9vQsJatLKUcZ+BxaO6g1YDFhEw2kOnieguoRD158jLOiXAMr4m
FiRRgBgnJSbpDd98hda+TXSpwOQCuo7uV4zVgQPz4UI+c/YtH4kxxvoZ3tjpzRGERsHgGqCA89/Y
vToMr0Wcnja7gPuUeCPoMEQHU3UG5bqgfGNaf3rMI4nZWFSTedTv7nfb89iGdhqXBtiDVlOkiXfU
PiPxi3PxFnIoc7lU0FgibyZixAEwCBN3Jem7xk3YeLA15sKA1OTLrFHsTkh5qRds4IwzhhcUg3hQ
JBTgJ08kcaE4FE6CWkawrmq100og4LqeRKelyAbE0Y/7B/Q0Ol4FsDBgnvFk/+qw5Kswg9OvYGLJ
TukGR9TLCslgA/TGjEyivGI9NR8cvjMiVqK+8o53rn3aNZRJy0knEncMDEno4UqoKecJoJFtRCr9
6TivCl/rBNMN0SMh8y6hXYDf1ZRnw+QkiW4J0FGRIw/hR2kWbeVK8kVdzHgl1dMY2dvvMAod2sBI
OUpGglVOMQyTF+heK/iGTg6dFwvj3DF0LOtjS2liJDWQrITlKpAuKBgKwRE37Htf61o3ENft0CpH
Lm4i7pBKaRdZfJ+y7q7w/ILSRI9yOBIzbEabQ4o6igViBTY4xEklFFcplZr0pQn8QlnnVJtRppuB
WV4tG75h1HpoI97AgFCOsdKs74sNG4vOWENgHXHHMnSO5pTW4RgjiUr3FTbQ685x70flzhMET1IL
kJBjpJ2Qg3A2LfwAUR4m0wJtLvJ+9dJVAUD7VUel3L6PnKpR+SHr0ZrRxxiB5ztUCCYeNqJrXXBY
zlsxhdz5oHXK6dBO+ahJ/gn/g7Mr65ETaba/KCX25ZWlNqp3d9vuF+SVJNkhIYFffw+2dKcqGxXy
N6OxZh6mgtwiIyNOnGMWQLJ742Sk6XfExxOIpaAbTOg96gNG/WRBidk42COI+Z/spqfoKZtanXga
15oqzDs7nzD17ZjOviOKqngvwVhlhSkSBt0P7mhJ+8Po+iIBe9XckfLQV4YrTgkhJnsDow1lIUUX
bP6pypiWNV7boZMOigYFs+6HwTbTV8gvJGhjQw0ITfRuNtao97SDi6R8kvR26g+dVarPSSX6Ocjx
7w33GrPHn7Vblq+Zq2Z1KOpkSKKuRWLkd56oaS5O3ZCb9J70vWV+xc/UgEcUthjeuc45h4Zd6X7K
53yavBGKhlrY9EVeBXEDQuZQKyoXX+Qye7znLaE07CemWfsEktbs3GsuhU6YZsSZeUaChqRR3MZK
eUdyJMT2cCAOfhQd5pE+Gz3ximGoxnBKqzIJlSrumsLvWohwQ70d/cCgv+rKqf2UQOJQZ1BOcUX5
Ute1PZ9Lu4HgSK6NOfENgvaog15mmh5aNiZJ9WokK0SAb+HJkUNktQRbd1mqYU9avYiaSikxeVRw
E5KpiGpUtL7xzBk9NEu6xBs6UTTHohBq8wgGgtwGvHdqpukQp6RTXkxnBGRmdq3WeU+EbbPvc9XW
5j6ZiNWh8GGlQzjEuTv5mpYOdKdaSaZjqfTRuJ8tsCRZads3J5VOFkgraq1X9nnX5iUYWxrV/UHK
AoIIStInZjBD7+2XixQP3UHKMqEPtK0puVfbUs3CvEgaHhInHaudmmpK3XqDQvI5SNCM4vwWZUlC
0LXMn0dQ+yRQPRLjr41LZuVKB10yKr7gSkMviMz9ZMxDhlu4ml9TnqKo7EYDe1WUo52+okbpuebd
WL4Pzqcm+w48jtfQ9Pc41oEb/0oL8Ly6vzc+Z+XO+8t8pYPBDQVv6Xpoi7kE0GQpdSc7wj2I1ql7
pJMdTzUDp9nftrb8mHTBoqqO5B9qRhi93CRdumpMwLuqvJaWU+x04ryZTrorlZ4FTJmK3W1rK88O
XHmQsULUAkYPU4qN9XYJwAc0MU7MbIKSpwnEj92vt42oq1bQDQoRBcAVwNB7HTTovHeYQtG+mBM0
mOM53tf3ao/p40jOm5/MGY0Y3MPDi4d5AkoNtw0qxwmszf7UtdgZDhc6zwpW1P2ACULZO8kyFeFb
cW+9JUvOuD/ZbVTt2HxEPxFQ/0T47jlrvWmrpL/20FoaYxc9VfDn4MF+PQt2nucWa3rldUi+jdpL
lX9OueGh2mnM34oU6gfikXbZiWbGC0+HIyPxvll41r70KFQV3HfSA/TZC/6toVVgJr/NGdn9LbS8
trL9IAKGjlYVgRDgWdcfOc9WrmUGMqDG3d0XFFrfoxgUQz/GXVx7+ef5uQLbzz1KGdAiBFL7bWOj
rJw068K6HB1NCcQ44Jvn17E79c/C9gr7s0J2o/6UdgDMt1saMittwyBqxpIshOn6kiu6Hm5ZOQMk
hC2E86M32RCjT9wwTuNwyu4VeGyD3qHGd1I+FVqoAdlye7jSUQfC4o+2+cLjjBcjiO6ujc+aC8VN
8OqdDfbClUDX31l6Yq+3jUixrWQE7GLXRhxU82hNnD+a8KS903H9albIxl9qIg4EOqP5uNWiKJ/3
vzZBrqmhjw/95n9y0hdPMhaXtBV6jIt7/CTMR6K3gduiXOGAq28GVNWErC1t7To0K1D6oPxelE1Y
O2V3qoutBPjqJCONC75ndyHZXQLyi2+JCVMz3uFb0iL1+JzeVQWWOeZ+Bgzg7amW3NzfYV+YkjZT
PYk+6zOXneHs9p0CMIOqbtwO0s341wSYUqFcoIKZWC50Tm5NhTXS7Kx3dxqFiyyQy7VmH1GSR6y3
2+NZNQYCRHB+LfwIf5b5Yupcpx8Ir2Gs7ejbaJ240e5I0u9JdnTqfgusIL2M/g4NYDKo7EAxAFXz
64UCy/nAMxfWSPEU25nflqd81v3bQ1pdInDMgXHQwbBkCHEr6i4z7TQ7F5y8m8yeHhW7oBsZibUt
h+FAVAelOxt0CNcjoRSAyEyvs7MCpldW3KHNElFDQpGf6TdMrU0aUEZAty4slYBGX5vqXIRyjLXZ
2TiBn7p8rz7fnq+1LXD5+9LNLcyiRptWk51tNVCQyCjBhu3k06lWqlDkbHfb2vpoUGBdivgYlRSN
uE0+mHhUsvOoWF6BPLbOXH8ot/yunFn4s9UgyfH/dqStVipTQjLVYOc8P2eQlKIK9+3uMzoMPDUu
dqrTemP9q8u2HOPqxgAiB5kGA1UB+XId8ryoOYUvKocTxJh92nymxc98syN9bZfb/9mRr9F2IBUH
qQ/sFA9t+tBtpTFW1wkhKqrhFtz7nyjrwjE4WWLHXcqyc6Pe1VkbupCucbeAbKtb78KItLUHvPhS
rcFRzUroXf+kbv6iZlbn9eQkuLKR4ZdLgX+3xIU1aaPHRSlEPy2+btqVpPSo2XlZ4qtf625vVdp5
mp2HXHmxIIGViCfKDagiNsfaDWeqBWnyXrRPRQ8ggO+qfpc/K6A1UGzujY35fPuMrN3nNtLZAAfg
qQqM4fWJT0s1tjoDc1/mvkveNYuEJv9JECsRcuz01yTbyMOtLvaFQWlmHNEhN9Jn8GYt+lMRkjOe
eeW0gR9bXe0LK1IsZFPHHlMFVnj/q0zKkGQHxf1ksiCHPvvtGVw9HWA2c4GWB8X/n07hi92r0ykl
4wT3PNjxD8AYhm78cdvC+pT9Z2H5ggsLLB5V7jRddhZ1FdYttHYgYeczbqbhbUOrDgUYc7wUF8TE
H0KFC0O06Jy003h2dtl7zFI/EycR9z7bOB1y1vvv6biwI91oSpWKxCS4Zor8NA7CL4doTCNHNIB7
DuGU+3H+nWqv4IjwpzFyRX1ns+SJ190BWVxvrLqNCV7dLRffIx2CtkF+nluY4BHoTXYQpv1Skc5r
mn6f4A27EdetLieerlA7/8NpJF0X2dDGFhkqHDk39+rm1A6zJ7bkOpZjdPHu/zvFIGYyDQXqCB+o
60q9dsU8ztnZtMWXhhpPetrtKna2qqBvrB2z0y2uNPnx88ck+gdsF3+DIsWUTvacgYfTGmAycXRf
kMNQnOLmC7F732wiq6oCw+h9p0PU4lv213/fuQjDkMZZKP8/vH0q4U4FyUvYJo8ACxzdiocjuKCR
6NhAlKydkf8sfXgAWQbpSKtg9dS5OdGS7Jz2SbjmI14uG/tky5IUvjgT47ZlwZKbozHSnR7yhN8R
UCUpaTZuBLJre/JyVNKeREN7kVKSZ+cUKB1B3lvncdxSU1odDzQLHOThFBBTyzZUm1ZFgVPGxd4w
aJR0d1nVoOO12/DIch/L3514YUm/dphmS0iiQKn3PE6Ob6Qj2Ozs0I0D0haB2lk/EzHd5WO7d4vi
EXlhv7DLJ8BQHymbQ3VWDt23roc6Fxt2CZCgnmrvM/GVivkwKZ3r5cZ4pISj98uByOmsbIV16wcJ
HYFLIg3dPnL9SJRJXvQpPr8UqCGZuten+3b6oQLx7Jh+R7KoN417s3AiCtQa6Eo3/PPqQtnI3i14
GzSJSu6wr/paoL0Lh6mIs73KHOs4VIX+pkNq+L4l9ZZk0+rmA9wV2hmocAHifL1caOcbGdS3sPny
rgsMpbd2vCw4nGKzxZC1Gqs7ADaDDxgUpbYtbcLBmnSdEdiq4kewpO9n26n8Kq9fINh2Upzp1Una
0IoHCJh2j7d91FqgcGla2pWc8rGeGjU7g5e2QgZ+sP1x0Or9bSurkwm1MgsNpQDpygGdNlOGWM+E
46/RVETee36n/E+pJmQMgENSIRiPC+Z6xSBDjHikihHelvw42+WRZu0h64HGAuJ7AwmwNm0gpwI9
FXQbLJRErm1Vmd41dknwkNeyF3t0fK3q2IarXZu0SxvSDtQ4KS0qlvEknZ+Od3wuoZK7EZOuHasl
Ce8Ax4bsoCMZcZpCK8zchVfiKMYm73VNfJr2O8a2bo7VKbuwJC0PKGv73owdWNJ/OyXYcIbf/77J
LocieYi6QemMJpivVNkjHQeAiOJvhjBb8yXFEz21WQyRA9wX5E7PkSRq76ZhpylbXbari78IZkAf
ZIlfJDumqDhXagzGbZ+qIvfa6XVmb7cnbHVFLmxI75E4cTIII2MTl4AKdqkPZ7CxhVdna9FUwRlB
rl2myhw6nrdOkeXnJqvCtuN7rj81GQ8TyKHeHsufepkUW+Kto6NxEqSKC6HD9YmECFeC4msPF9Ol
wtMoAjpCAExSgSJRUQdOsmhIYsUHYAciGzH/ok/xXZ+zNjKHLA0AfQey3hRe6xDr9+1vW1nLq0+T
NqZNxpFNHV75ytD6Yjzx3PKEs/GEXZ8AKHdCYWWBzNiSSyLJUPRjT9hZUZMgqYwDS14F8Rp0i1Xx
WzsB7nAi9uAZSe2nFvILEROKh4rVxpqvjXZpz0aTDjrTESpcL0Rqq4NiV8gy2C3ZcaAmMjATVq//
PqWXRqQbcyoTx2ADjExIbaVoy02dzOO2crhtZmX/QsUN6HW0OONalvFuOR1Tx7agHkyYHfQlgWZN
QLCV9WJr1tYsuWhuQvVsUeNRpNWLC7ODMgos4TvChtCA9vVOtSNTbEVyy26TDwpkufEe0h2Qlcue
JTFtnROO9zQy4mmgceMEQDqEYEj3Fcmwyh/SOtk4nGtb4tKk5Gjc2iqAyUY2AkKbXh1PzznEZBOm
Bv++WmhCtDVAWyBzLodRWasm5YwmqTMRCyH6QPtDMxxo/2CaufHvbxM861BuQZkCgmdyOBxPwmkS
Bv9sgNL4kJuftmpaK84ZTPIIQEHEYeCdJvkztRzy3uRJfs4poDUlINj+6IJJ7PaUrazMlRXJNSl5
3ShqmeaImXZjP3oZ3CYft2Dqq1awKoseHUQ65WKB2bSNqs4sP8cq0orzc9PeObzZiGSXG1Ha1wDC
/GdEGgroWcDqnxS4aypbhGAffFFEawaUccdLjSoPOemdgM3s2/8whUBJYlhweIA1XPs7Rvt+Hlxk
2RV1TAOlgSgvmB8Du//3BxDG958dyUPkxE1Sa8AkljU7uOUbtSGfUI2+PWw4vRUHAUPo7YbrM4Ef
kE6raBtjTts2P4Mn9RAXHE7CuNdy7TAQVfWmTcr81d0BNB3AiejLR7bkegJ1t2+p3Zb5mRfaDg/j
gPS/u9ze2B5r+T2QrkJ9ykLhHxG7FFHlNQWiDWChswCdO0ojicfzPLQzBc1XmTf18b1wvgtmf0kA
bOXziVrDLmPQ/vnkqiHp6len3BILWHH6V58kjRwwNjNG/iQ/j2044EmUlYflHhv6dOO5srqk/43d
lArkajU40zR0+XmIX8fYOKidQLqr8stxV/TVxv5ZSxWYCkDK6NA3loBfcl1U6zimFvBLtBTwNyDg
2LERKvUH1dB8UhTlk1M7/XOpJ0M4s4wFjqp9M4TBnpqh3ELzru4uCyLBwBsZqBdJx8Yq1LxiM3YX
ulg+EaXBBWQrQZlt6UjLsJslv4PHICiYkS5Aj66s/u3MGp9dgjmO51x4SIb1cDxm2XpAQ7ZavFMY
+NSMfj8YaApX9kb2u0AROHvJ8qeRbmz2tUFffIsMw9EBLstHDRuLdXjVAZZAxwUAuxFyru2qSytS
pIf2Nq2aSqyzkn0mAF8aAJPsdfPrVtV8DWtxObW6FO1VY0GRm29QyPT61uft/lfd+YCr6rk3vdi1
18fB73jDra+dzcvBSW7d0DswwztwF0qthwWqAAXr/KZ4RYFzI2BePS+AOyygALhdQ46YObPchChY
raF5srsANVM4pNk8qeyodQElL8QOM9Vnw8vtm2st74QHw3+GpXmtdYH7NBWY1zHekeEkAKoEqH7c
WfxPQVBBmm9otvi+VjfnhVVpZuu+zRPq9HAPQCWTofNiwK8230OrVkAevihcqmhWkjZn0hVTN8zY
M/lcBUnneC441cT/cgJQ6AbGaeHytyUHPqDZv7UynPlefad6u4c2Kd4jc008oGu3tsnyxXKAA96J
pQ9uoROTT4FmGQUZjLI4O0Yfck09AiVzSOYdt15c5RiLIUxA+9u8M74RV69NpQXw5NJkC9sy7VaK
+D2x0644x/W9SFB6E8DwbxlZcyaLBYB8l/YEOUVotmphdbZbnFvb+tkL5VNXD7ux0D7VwG+N6VZI
+sEcHPUijYwW3EWuSca7QoKBWhZLUMirH4ii7kTXAyV+l+jGnk/9xgR+8CULMT/QPiZALKh8yY87
hwAhncZCRLFmDz8bpU19ldIk6GqaUi8Dfc7WXlku9Ku9slgETZuio73cBM36dUyVJm0pKgcWJ8tt
cCNVBDI+qeiOHGBbaxp/1oK4p1lph/t+iMuvpW5/vu1c1iYYzkw3sZ4IA2RiGFF2E6j06RgVvY4E
7HtZml7uNnu3jhRU9m8bW5lg0HO5Jt7OCx2NK13y7WBmdZLZI6RV7/WBhZlh3gEBc0hLa6PS9vGa
x0WvApwAXBpemR8Sc3mZ0GyyYYp/MU7ijoBgOH1NXrM745HdkxPkr79337fkJlbGB6NI0SKpgpTw
h/scrV9FaztjNAHgN4nKB0VkCEZar6BbkJQ1U9gwBoTrl9MuP2ynuXN6qPVO0ZgNntucck69Wr0r
s7fbS7YsibRDTXCs6GCPsZG0kkkf7aKyICPXT5HGPifNF7aV2P54uWGhAFREjgNJVJDUSZebi1pa
oWfOFKH9BTwuFIxUqe+O1oOTlwFFR4M1fyauEgpri8ntg7+ULEsXHKWVaU8WLMdP2kt61n/++8wB
2L1Es0gXIUNwfbZt0PPqvYrNEHex6rlpMweCGFtRyco+AEYf2URkTpHgkONmPqppm3EgHQg0alS7
/konsM7RKvVa5MFuj+jD0x0kgmhK0+Eo0HeIZPH1iDRtLuemS6ZItEQJ7MYygtQk6a6nfHgjes8i
/Gd81lpQdNy2vLJUS4YdrxRg8dBjLj0K6Wyn01SYY1TnEKBT0f2j3jXWxst91QiaquGTkcqBz7ge
nqKTSs01OkVKFntdY/owomkb8eqqEXSI4umOm02Rn7flXJndqKdTVAPUoOKZ4wq/5vXGfK14dSTY
UMGDNBz8rJyVQnObgQYcZYpy6wdI5kxU2PL8ZLjo5Rq2ICnLPpY8BE7t8mSDLDvY3JYRXwJ/atyn
nKVzpGtkRyfzM7pNT5P+mymgC9Z8tX3t3S3s8dqu101AWlGmBL5G5plqUZ+fW80dI9qdzPiudZ6H
GGmWbOMIr5mBK7fB8uvgoSwfYRcAJpwkG4sFtI1qFUCoT/V9X9uRyMvw9hZfcbRLhRKaxiA+hEOU
3v6VYrRt1s5zZBl5eUSBnb9UDbOfb1tZGxFaC4wFQqFjzaRwuxtzq2KGOUUp7YygtlzlqYUs58OQ
4RqpVK5tNHGsbUQHdz3+Qa0BxYbrzQHZPLSjUWOOUMAIRvLA6uHn0IKiK9v1afN2e3BrdwlS8kty
b2E81JVl9BdbsWO9a2cGVSKR8YC1IVXnsIS0SqO/Wd0+pweIb6LOtXHYVuYUVm2g09EpBf8kWeU9
60jBYFXri7ADPyDYPMrml74lH7EylzbI1dA7qEA6HY0i16ObZhvpMKtXcKGoNTgqmfFeVeibAwuo
sye5kT8oM7jAb8/pis9fCioAQBu6gyS3tC3BxJx2pa3NUTo+OV2/i/MoU03wL0G4ZATrfLmRlVqb
zEt70oap8Zo3zFKfIzP1inCOQ75nW/fY2kRe2pBCjmnKnTausCkH82jnT4KL0NX2Vn5X8y1q2hV3
DzzFUikCxhsthNLFVZqmXVYTiNaAyNqTDvjkYghbEW/04K/MGh5j8IULgG4BQl9vDT42vJyMeoqm
EfQxadw+jUrI+iHi9VaVdM3UwrKLzOGivy43RBZZ1qYlFKGivvYznr0SA7pFZqcFjplsPBfWJu/S
lHSwKnvSEEHBVG4+o0HWw70SzxsOcWUvLBLfeKpjlQB1lGyA3EJROBunyOqhq2U8GD/6AcgK26u3
Mo8rDn6htEUfG/KnuCylXQdZW5WaGVxvDLlEAqyqNv+6fVbX/B/eHcih4gnyB0l5vQ0Ip5o6GioG
k9RPVfoYJweHf6qVYyvScGgWsuBTpny6bXVtldBeBd+HfQefK8W52JMzBHw0XCkmmTySzgddz6Cl
kvRP/4OhP2S26KsGxYZ0lpjOdDQjY3TYDkncwMHnvumy8LaV9UmE2PmfVzHsSGYcS7STRbBOdcWC
ifzO4m9ilz5AH+c4kPtpC2+z/JwUPi3Nn3+KUsutLJnj6DNMbfQ0R8BKBIkC2GvhkczeM+3UTtOJ
6mRjgCsHGAbxZHAUdG8BUXS9SWKlmmne1XNkjCZgvVX1mlJAL2KgNXb1rP3YmE59bXyA2qCnF3EH
bF6bc7WE2v3YzVHTGOKk2wI9nKg/+nYmxAGxo+VNBjhy05Y6UZaO+kFX0vLBsnOr9dLJ5VGGnueN
G3vlKKKIjyAIfYEGEo/SUdTUmUwa53MERQ0FEarL/KFBc/ntoa8cDFjBDnLxpkAJWro6kYguk6Tp
50iclKfpZ7zx82vriBAOXbwmAPe6nO7jipMYSiXmSGXuObezo0CrNhpFeHbUx2rjkK+4SbRkI/AA
08yiMysdctLDg1j2hBmzwJnWlcEwPRclboBuDvr5++2Jkxllluj30ppcBxNtrxlFOWCLnuwvzdsI
1cWdE0xfHFA/HrUtaysPGFhDWKHjVsMVIF2e8QhOArvDRLY2j2pNOaAFEe3N1qep/5HnD2b8irao
O70L7DkAO0gDigjBzk2x427iF+ZzoVDlkG5qjKyur6XbAGPiugCY9/rg0Nma0ZKL7aPrz4Z2xyDZ
Zcz3bIsxe2WyQcyNjg1cS5DTBJ3QtZ3EaXUgaOGALCjsuC82iv5Nfle1v/EEeWOpAe3Qh9g6kfjf
H44wjHofSKo0S0enpWS4mPvMNhuscve9cQcvQVTrDL5l/mrfqenRbqvZ7uNCAwWCuAWXo6ohSb4c
2IvnwaRYY541LWJLpbyHa0QFt8cK1iD1QL+GOLJaFUFuThve5qMfWMwuEJTl/kdZ+9qscGdR2hwe
0Mo/E33P3Zc53fCyHy+RBd8CF6vYeKd+6L2EJAAa1ChMVGW40N5MQvcM982d0JY/VGiY398+oatD
QpyxENCheUmON3s77wgI43Fp5Zp2ANUMO+LhQt/VOt1IynzEA9gYmg5ZdCSnIe3w4XU1zcaIG2SO
6h9lU+4L0ge90Z1bPnq8oYEYsl2XlOjQotHY3QvePBXzGW9ov+qTAXgB4Rv5ljrS2kbChnVwXoDi
w1/XK5ohgaRC2gyut/iKphVvApm6N2iHLjlzn1X/HAbjRYsjChj7gpuRU7Bz0jgWs5Q5iqt7QX6j
w7HfQiV+vBCvTUgDQv2mjTNDxSQLpG++6//+DEI3Edp6UMNEq6Ams27wwgJzz/JEBoR9BzovHD3a
vxE73YBJr50DlErhNJGmRI+95Mt4j57uLEmViAIebe17AFWOdXs/7hNrIxj9eCFiRBeWlrDnwpfM
jg1f2sASRGc8pvY7100DNC9FU0KD2N1wIVvjku4CI+tTdRpgjZHTL437ie6b0LjZ4qhfO9ZAqKHd
GekMDTXE60G1k1mY3Fm2QcmCOIewO+qH4xRvjOZjJR1nGrAD1Jxw6S4V2Ws7IHlqEbogqUDgMqzU
Q6LcYxR68iNtAkF/lm77oo71g8iSPcioutT1bvsvmdYZEcb1F0gbHme3jBHO4CrgbEdod168ppu4
pynb4fGSK/wtT+tdGgdaHmbcH5UtzOrqXIMLGfO8kAXKD8+47wwxcMyBUt87ACtU5pnwf23JX0YJ
UZ6lt3S5Y6WozSRDXvMBiQ5LfCvnZzRNbSbN1zwH1hFwCOwXVHGkcyCUknPcE4hSguHQvt5epo8h
EL7/4selbV8YWpfMDn6ck1NWPdf0DhoG5RDetrJ6lIFpQ2YNMRDyANe7UUtQ/qzTGLFte4gr3yQR
Cr2s9Xuxu21o7drAsxVrvjT8AtN7bUiZ7FjlNQyhlnNH6PyQx9kvkAO86dohjodPIHyyPbvaSMGu
bTRkN3Cs4a+WGtG1VUbyIRNKpkR11oF1745oDyUA9v/D0C6MSHNoKgxAHJMp0Ti4b3UCFd9x2IHb
ABqFmu9kWtja9q6oso04ZM0v4vkG/COCSJBDSP4+nTok6EUDf99+suxHq+mh+PSAmWUM74X28+1B
rs0k+r5QU0E5D2VsyWloeT1hs8Kay8cvHUkiMnbngrDjbTNru/7SjDSo0qW8aWitRGkZmoNfsIiV
SGO/3baythkBOvjThoG7UvbBiZuBdklvlSg55Oq91njWtBvCmATlHoSBt22tTtzySkU1FMB5ucY7
NYbVgA5ViUwNKWOahCr77OJ6uW1ldd4ALFcAZUDFVYamuH3ZdOitUCKwU01o8xr0BxsFtiHbSLau
jQZ8N2DxQZYIRE3S7dXGesLabkAwAydhUMgKYcJU9v3fR3NpRdpsbakXCx8jahlPffdLtb+Qaa/9
c+MPLghE1njXIwHq4Jl57RtS4D+HvFKUaNJO07Tnih/3+7TfmLA1B4sNhooMmv5Q+Fwm9CJWIlh9
cGPqClpP70uMweg7sFv57jCF2+XI5ZOv82kqKHuAT8KfKuoyi8u4MFaOGvJakNqJ5hkhMx8zSN2U
7fhye3U+knSgFAN5oeXaWHQ9ZCgLvl1p2RQPUQO2RfuLKHdxFZX12dG+EvWtbYKYnaZfxqNg+6KM
UnCF5NPZeUnJiR4qdDZlXuwb3/U+6PKNW2YlgXn9adJ0K1PXAT+BT6u+Dcc8eJ730+6rcja/3p6C
tRjqagqW83gx0yxzy9ihsMNBdTDfgWnV06vAdsNSP9LOc7+K7MnQD/R105/IdPNL+HZlWrpJMyy9
LgaYbqtjqhx1SD1DVTrxIJRhdoeCfYbkl/qFUNuboMhb+OmnijzWO3DdtKD9c59nC0nW5JwdZiPU
3F9c27fWuZ3vEvzPFfRr6St7rhOv5M2hI6fSQfc3pPXKDYf1J+Hwca/+t4mkverYYmj1wR0iEDiL
9NSyVwdQEU28ctXyMhRYbIilI98ESt5Z+HT6Vd11RbVLyHPK9hkg6Kw6OuMXs6ZHIzKTL2DzhHqX
aZQerw201AX5nPlm75XOKyO/O5F4KWgp2MbdL2uufViN5aq52AgWHW2oeiQiMspH1ATBfznrlmcl
h4W9ZvYGv3qlPwqvPdpxMMNf9uCgfTChxYBVaKIcnGv0kNr3xM+Sz5MTDO6RDzTI2FsF2TQr4g/p
E6jCT1pooADv9iEmzcOytCe1eKl21SOBIsf0YDw57lPBXjNyP0L7zRMv41ujemn2MNxbGWRTILGA
jsOzEj+4RQC6nG1G7sUnf1hPIKX0hadqade+noh6ckg3IuUQgXIrCehUdKEFUcZj0VTgYR9BA86q
vPAS3XoAha/4VHQ9CODGaatT/Q9vzPWHQOgLUg+IMxGag7D6+kPUfGj6QaQimrFdAOL0VXP4NCDN
jcyqP7c8cn41tuG1FvOqRg1z1wp15ehO75npesAthSNkn5Fj4R7JUyhnZSFIyg5LsjenmdcoXtMT
n+97qz04S0IfjbZOEfHOOijWRvi6ORZpUrW+gsCnS8XyCJiob38xD1B2ZdWDHiVZOCYOQLzhOB7c
PkgLcHVRZItRkayOmfrAHnTbM8ghDdNhX2V+rAVD9bPa0RMSjLb+VPVg8h09858jOEw/0GwIdlBj
wWV0Pf20rgahg1o5ejeOj/rjP/vd61+XJiTVKR6VOX495jPWAjJb2p47AL5X/lLEICq4neeQT8XX
Xj93dYJHE93K3f7pnP+wwxZBJLQnYqvJ95/DWqYUPRMAkkxA5pJHEIp5laCPVWaeynT2aq0F+hlu
rELBYNICpfHjON9XmvvcO/MLaKF/IH93R1vwiuZDdzc08QHFmuc4KbCofqrqQYLmRwJ2bfVQziLk
+k53IhtcnCXw1LblJ2TLkX04vphYoL8MF3UVQHGkC61W9KHInVJELSuAqWRBVQwodoQxah6311AW
Z4bLvDYl7ZC6VY2mTVqB2MF6bpMSXb+AqlTWE2hFXnUzDfISAp2WHSj6dDeI/MuQ1UH5zOmvvOMe
6GoOg6N4vf5NtCe9MHzove214rDxlR9jKXzlAixAkIN6qKxnECeDU3V0FlGSp/ZuIsMOFNNdUCSW
FZSEs3NF4nuAzuHzMwPU0+Dt5cbAAtJNrtfkpeqDFNzAwev7XQMcyc4Aj8WZJiXYK8ayDNPG8eAl
C+RZZgtPRm7tOs3gz7eHISsv/p1sxNKA44PbAqQT18cRnROg9HA7EVVgjbQ1sEb2IBollXkEvfO+
M4+Osx+nbwbxXXrXuGznQEZBFTtHnY41IhmRfdOA3rz9VYtR6QABVIPaHYogaEq0pR0A0J66TK2I
hBM/l+6eV09qYuz6rjgA6doMEZ35RmS4spwwiUbSpSKJkFW7noexQcOymykwmbX+zE7gn/xfBgXN
EdcCjA1vC/3aQs1tQXg+iqhEAEDpnmv3traQ5YP/e1f1p2rawHkvs/RhFi8MLkO+CD3QY1maVQWD
Ygwh8+igB8HcQ+B22DqxK2UyDYhN9w/PA6pyMra7dcko8hGTp9oHVrEDYqw78z5R7rsf7duQx7tE
3XASix//OLb/LEovwDh34mJOYDFlh86vfgC/fuzT/8UIQhaAalF0RSvY9QT2iZE5VqWKyKljCEK+
uzHZpcWzTgcw5r8PW4WA1V1/YU7aIKVRzHVFMab8KO4Uy3ceuiNhXnnqNjbG4qs/TN6FIWljTJox
NdkEQ+Br16oC0ehPm5zB8rVxplZeW9gXF4ak11bf5VZhO/CR+pdi3/+Kv0Il8beBBlGv2yhurG/B
C1PS/ZRrM0cTOkyxx/ZRVzwS9rsisHbtCReIvXGUtyZQ8k8z8q61PcIYNKCewQPwf6R9Z6+suNL1
L0IiY74CTacdDjucMF/QiSQDNsGEX/8u9r3PnW43ajTzaqQZjbbUhVO5XFVrreEZNBT3XeDKC/J6
7qRIJjdQW3CaZe6e00+i87of4ksfpCc17I/oY+u/bNi7jc+v7UkXAYRKmrZGLAGNUIAN+Hu5N/bq
Q+pB4C73oCh539xtnujKmly3q/jo1qYzDagxHET/1I7Yi8WGjbW77XL7yc0Lmeg7N1NxfnsoJGZ+
eahSr5qD+axXPvZF6qVnZU9C1QscsUv/2jhlq0PEnkMtB93fQBFfew9lzCDBEMP9AoFwoi08PfRg
qi0k4vo+uTAj7UU3L8tMUXCYk/NsBJDOqoMRmQYRiiF008SfODx/ugNB1pas69YApR3qKLqW58uV
aRY7ku9Ta0/maWsNV48aMsqohoGpCijq61lkZZ/kndDxXKiO5j5/MM41hW5e/tx0nt179ZHuVOEp
kdlsBLzrHmXBn6kLChyMJteWO9CzFCAgwRZFNkTo86H/6lqQSqzOpIAUjAoUE/sG0jV/MOMN//LR
ai576IUBBxDJBVEiv1Hp3EElK7ZwvfE0Mum+tb84VOzN6mFWny0DrLXJj8aERjXotPRHLcsCMzn3
7X5o3qbl49xvqhsm5uGfs8wuYvUqmhnBrbC0hEpeIs5qAY5ZCrBJ9sKGP8r81zR8vu8ablmArmzc
9IblepZ26LsZz/mDZR9AzhfSc/pke+MBfFWR/eoNR2N/3+baVkZvPNBwwIwhPSrdiKpSOQnTMKxp
/N7qT2O9N53ovom1iOXSxPIJF9GYY0Bjsgei6xy/m/58gI7G03hKt0KxtRji0oq0aS2wUuHxUYxw
ea8OJFntXNnPFA0v9r5Rj2132GQTk/U7lxcEjoeBpwNy/jboS64HprMB4nY6Bga2jV19SHYoLzhP
/NE6uX5zEKfx5HzKfswhVIKejeP9SV3zDpe2Je/glBWBvEY1nu29QPUEaL+T/X7fxC1yfxkfqv5L
B5EOZh7JRokEkGa2sNEEaLM+kGO27w4FdBfZ3nxRwjIkGyWBZbPJh//SoBQHliqEPToGg4M/elvU
SaszdjEaaae3Rjk4eVdixsoBGHn+rI0/UkU8YQU3ztRH99G9cUg7fmziKR4FxqG8hvyFvbW75DtI
mo7CI8f5kJ14UJzsIz+Oe3rQv+ZPzrf4aTq3nzZCw9WzjbYa8LKAHxUIPWl/5rHZ6QVGbIEe/Ikq
lqexauuaWtbkZqwGRDogWoDuJ7l8TdCPyIxlzdwwe+9ezRPZgbH6kD00T+2xF+HGnlwu9XvmpKvX
yO2iris2nts/7cF97XDyjDDbaWd2GD4NX9Mn+v0V+d/DfbOre+dikJLzL6qZZra7bEzw/Q87tEv6
JX8r+o0k3oaZj1fFhacs1bHqaxtmBDkozauYn2fzCeik+4NZSzOhLeN/SyY3qoEpHrAeKN6dBT+U
ZUD27GhzD0LIkOsItFP7anozGBg/WTvuG5E4aSfy/zefcmwzJTW42XqO+bS/quM+TaEX2Izgwd0I
J1ZPwAcHLCAwaDhZJvxiQoEQVd267cYzn/doIkUde1ORfdVnXZiQotDSAYNvjAT/eXRzdKc+aZjK
++u10hgFP3xhQtrzdcZEPhGMoowG7lXfLGj9VY+VeEHX3G9bBVgUjfIbRvWlXn170Bb63P9MnbTl
bSexNdphXMieJ57xY36YvpN9cwCNXug8qj8R8No/88PJ+IbnhMK8LY6HjVGjy/x67cyuHwu3bfAB
03Pr2afWt3+ZzGsHJHM8IOm/91sM5/d3CzJi1xanthEqRAHhL7MdUfZZBuHLjRtu3X1hK2qOg0Pm
SktZJtDsayy4LwIgh/25TF75J5AVQ1lxY/1Wg3ic4v9ZktZPjfnQQlhwPBefhxPodEP9yA7xgfkg
OvlXThnBlwNM7MKCLF00cTunqt33cCh68GwIb6494+vwNH9xE89+cE7DL7v34591gJdulWy4s9V3
IHh3/mddOuRJnFam4mCn5qUPFZj6j4uU3zH5Xegesozklf9qq81izupD5dKqdO6zhulcoOUHfeqo
bLrJg2oERnvMn0dD9QltPDJFlXtM6JfU/uGmKXDIYTwcs+5nkVRfkuo9H8VTNxmHaQs7tKzszcm9
mA9pj3Gwd9UmW1aj+WLqCoiWdrPj6T+rLIIiZ/HvXqqXUyFttToDqfesCWy1eGfwQMOtzP0jyvC4
LlHp8arDAyuD7M09/hvH+PdI5VyKFpv5PEMZ/JzzI/3UQBFPab7YTZiIt0b7xelfQkPIRaJus9dg
PTa+MC35il5xgY/KsfxqFD/aEfQvd64P0dGAeDwYT42nb3iO1XvmwqB+7Zw611LBQqOO54TUWsCV
EWDEWDE2UjerEciFFSkCz3SNTqCowLDyQwP5T7wt3OJkbr50l+m5s0flQqE11UWR9Iur5YE46uJb
qT73munlsWcweynL18qzMYkNr7hs/XtmJUeFmMdUJ4rhgXip8N2nOCSHCdqxX+5vzLWLBFBs6Kug
qGIDWHK9VmXcpDnt5vFcQyfXHveCIWrcopVZNQK4CjB7oMiCpWsjo6LVVQ5x1aVLy2Waz7tIt7bA
MVtGJC+X1qBngYownrjG56Qnnmofu+rl/myt7WzrYiCSv8qZKZJWhw0Sv8b5DwVKcfcNrDnESwPS
cgzNAJyEBgPoryKT30O8h+1sfgRQZKwBVtu4kFbHg9wVcI0oggOreL0wOWu1Xqthjh0Vf4sQYnVB
Ln5cWpAxtfKi7vHjxQElwa/KxgtkNQW1gIX+7+OlxViykePI8fv6Y+lF4/MIfSOPR/l3LUreOv8P
/ie8vzqrrvTSpLw8hJChczS8ILN38AqhMS8+dQ73+xLqtS0Yp9rf4EurplfGG7QIqqBnbXrIn37b
+I5l6iTnABjKMnAk+VxAvK/XrYkTs8sdEweKZqXjC8tg3wnJ0lOuTzTZmdSyJy8bVDSVaVQtX+OU
mSCtyDVtPBaN4x6g06nTQDEhtA1et5KcLKsaHzrL7RO0ibGtPv61712gpFgt+JobDBTJCVW6YdnW
0I+GBk6p/Kw5p3s9gQRzFVvp2ZmNLTDIqtHF20CWCiAnueA56qOagTIeLyrxrg/f3fbImYl3zy9m
vt5fj5WdvsDH8e4B7RraLpa/X7zdBMRd6EBhqRgNMzB5ah9yval9PAzcjV2/MihwgYF2HYy5ePvK
K58YTOlNFV21EI9ReQE85/wAVa9YeZzs8u3+sFauIDS7opkEqZIFxiDt9sltzLg1YzTeC/ULMq9o
tXKfFkieUT+p+RyAPyO6b3HlTgfEClqCC9kENGSlyEGgUgRUu6YCyeAmYTkXbkCgjnfsZ/fQQiBl
/y/MLROJhDJgs/LbPq1IVQ8VuoddcG4aKJIonbkvVPI7cZqt62ll4YBLWrAsBpDrN7StGSkhyjZQ
7WzWMdiHGz8dZ78AgN0257em2yo5ra2dBlI+NIyg1xTw/OstyVnq2B0a2kGgNIfZdOjaxg2yXNmR
xDm1TvWV29rvfz6bC68LZhJ95WAYvTYpnERV45Ko5+KPURp/yo5Dr+Knplt//oUdLBmaTjRA4OVc
b5c1DiRxe+1cQt+gmL4Dn95pXtvyjctx5VTDdeDlC2ZhbemGvB6PpnOrKjqhnZM6/eq4LBxmKwB/
6sYmXCvAAz0MeC2oGgy8SqWlqtuitdGQpJ11hc2RZZVdUOIVFmqjNu6IK5zdNHbtb+LmCnh2RXIU
kLcP7s/pyu5cNIYXBqxFKF7mVOj1Ykwy1ArPBO2pXSFCSlhIkuSxc/VdukVLtfbivzIneRbNTGsT
+hfa2clVn6EoyRwemOMPuFCXFnsbF5BtJv5Y2WEKJdN/HmTBOoQC0OKI3kZTehCNkxbzCoSu5xqi
3E6MK2+O94NL0C79yNiequYvqrANEOzKgcR9DYqbBXcDRR/JKDGNtsXsY9dW6RskeasvlTCOivpW
WzQ0bLbRdbq2oBb6GsFbAYOWfP6JVqWxK9Cw26FXuMrRXB6zh4wXYdkmUGS14o0E/trwELgC5buo
FKkyDa5ezLpa26V+TlJ/VlEJRTtgwh9FAurp5iFHA8s/37DA2eL0A5aD8qO0g7pp6u0aNedzPffe
wpzsPlg0O5Toyi71bMMTrFxLQOT8z5ic7LbnYSTcafVzL4D9ERoHoAmP2jLL0k+d2BJklB3CUpwA
CAgBi4oubIQuy1xfhBPTaNEUgjY0qu0zPO1TXkDMZp+ax9o5troIVHRP2upWJ4bk7haroL+BC3BR
Tl8wtNdWC9okhAlRRPZgehlkex32p0+35M6kF8eHFQNdWqhDLrIg8tgwf2pj8YxGGZglfQ6JQg+k
8VvkojLo/j9mcLMj9AOW/aY5kSE4ji0y0CjWS19Pw8bCaz3tjpUFPG7lsXryqUh9ht5eDcIDDTkL
+gs1o6DpFfRbPyJNtLu/YeUk8X8+CUrCqMujJRUk+dfza6cWs+JOpxFN6asbE8jKNT+tIbQq9ydn
wp/i2FOmw2T8bqqgK6bwvv21iV+wa+iDBXHMDQ+aogyVLeq0jCroAu60cZpCK9G27kzppHwMEvn/
5WKGKjg4I64HmedmNWhlV0aloD7g5cdpfpvL/FUp/9V44OFcEyAmBAPS7SyUrBSpaWM6qzpslWOX
bN2JawfCxGvPWPhdMRbpQGTaPBh6lpVRUyeq3w72z3jscyAMAae5vzZrJx6OGilpB5h1lEAlUwWd
ed1zVkXTXs1Sf7DDYjqMdhRnL73+SZnegFi4b3JlcAStFGiixXsF+knS9KEpHqRXHAtVCN3yMqjT
e65iHFX9/b6dxQ9fvFSXDUFAurpAkxHC6PKGYG6dTDVaYACkeuuORuujjcN337v+IW9eGqA275uT
rr0bc9ItGze5M9OpqiLVqovQmQwR9Kz7nU1jgSZ9F73m5J923f/X5kK6CuoyrKFk0xatFmszbOba
77mnoWUy35ojqEtvXEPSHfthSMfJQvcLnkeWTJjE4rgE/25bRQk01HI31Kbd+A7+p6orPRUaBfen
0lzbIghXsDkQESKQkK7YuCK5mQ5lHeV0Th6MzMx2MULDTzr6LCBgT9DJlKhj0CW6tkOJwQx5A7pU
R7GnoEqKMTSFCuSUpbOgUYw2tGbV8Gxuuv6YM7QUjGD4A2dXGuiDbYE9Ia/PatlqBzce0PmXMOQJ
7K4PG/irMHNHsEWwqTg2OcsfWp5ZIODI9HeqzY4fY1K8Rh3gxJO0eim4RvdNOSagx7E/DwrvgkTR
01PRUHaCfI/63M7IynCn7zdC+bUFAq0wFgd0RHhRLj744uKG+oZe4o91NJklWjNjrQqVAeAuy8kB
kyqpForGad5d2m/tezmi/tgbCLuQFgD6Y3Ek16bT2QV+HZwUUe8yz9R8oeno9DsOQJ5Z+6LJA64u
1x0Lod52vL9RVnw+bpSF7wp2EXFKpplCZsK7vI4GQl5r9zOEvSJn8ckb23/NlVzakS5Q3er12orT
Oop5aBTv1bNqKgjfv5ISvBviR7elvbnmSy7tSfsfGHYz0SjsNdlfRLwMSYbOpYLWHsPuuT+Fa0cN
qHyQGwBWAzZHaePUDjhfOuJWEdcz8yhIpoOKhTxNA+1+37e0OonI6ABXB81Z9Etd75NYlDWtSgzK
FA/1aEGSGq3lefrY9T+Bsv5S0+fW3SjUyFDjj70JXRW8tBDzgYRdWjgFT1jNEAocZBpo7JhAi4A0
3zPzbdB7z6L5LikPxCrCRYw2BiNSv5tyzzog6PcK5QQhiHT29Czo3IdJpScb0IgeYb5K3u5PjZxQ
/u93otiNhxoeiPIbpkuJm+YuHB6DkIen+gB/1Y2PQDvZoS3va4vOgd5LGw+4pdf7ptdWBdie/1nW
r1cF7FDQbbCKOqo64rMZKCJWBHNb7BUyhCzmO5Wnn5EP2ThRazscdCGgdkXMBuENaYcTXmqpkbM6
IlURtKL00+pP5v606Vvuvtwf4ZprvDAlcw70rK6aRsfcWo3R4GrIfFOjwyOxR+YbM6B2jkXFyQUq
cONobYxRZvoa3daolLaGTx6r1xndyJP2wDgLxuwr3cprrC4jGLDxgoLUL/KY18tYGFU/26KpozTO
IG7/XM/RXDyrJAdGO3sa6KPabJwtubHzY8/aC7keYjnQU8kCwXhp6czuCxbNmgOeaOC9K6ssPc3g
pg9ZyensCivxSDEreyQcx0MH1YCQu9UEzqIZWnx29msegDxtudkdiCbooYqZOOi44mNQhG0EumtX
BfBr6D9FQyjuSeN6goSrxjoZcUvFowtiEFqWR0Jn0IbWSgLupGarYLPmV5fnFnIgoH1E/VGyR2ZG
Z6Vk0RgeR38j5bH2ooM7+/vXpVM7Uwoi/Bi/bpA21IbXovxGrWMcP1v5c67ve9AXkCRgZE+2+pQ/
eC3ksBrJIrSfL8k6PNivB9azyp1wiFjUzWwXF2ekJ187w4XeO9lxvX/ti1/MCKDEOjYvnEJy5tNM
z5OFHhMg8jMAvFNoFxeHjg4nCE35MTuB/KBUnA0Hsz5FzpIMXhjoob1w/Z2pObYgFh3xnSIR+7QZ
8QSnGjSm9GoGl49OTyluIRCqjvzQWdb0pOdTuc+M3oUMaqxvrdiy3jfThqMJ1kYHLxO5EG32XOsL
aLhHJrRHuXZouRcnx8o5VYo/vxjOFAAPWvy87/rk/rSPMwo6MpRScKksaaTrSRDWMHUzqVikZhrk
r7y61U7JL5qCLTIBVyQbS5+P5K+iCotq9BSSPA7D4A9sxl2sfE3mdGfy5MBAgACOTgIhq/vft+a1
QPaGtnC8PQHllD6PWQpIgcaeRQMb0Iaiu77SxpNnkrI7onHc9aBuQg+xUMyd0tftRl5CBgB9zA5W
Aj2eoJaGXOxyhi+C5o5A75ZUnEUa+n3ApzCWA/NykvTfgJkvHwZux4lvNBAlV7C7D0JwAN5dgQam
Ls915k1ABZxVs02+sKqHEDE2lHgAiQobfAt01TsF6izf7s/YarSN4gnIhxHVQJ1s8XMX32znaoJa
oop9pE+n2hrRlBqjGIwgdEh25athn9MYNAWmP8xbZJxruQJkcCCYg3hsIeSUjpRGk7YuRh3z9bU4
U4/gH8PPEZT8qzH+bUe6zIBPKJzchR27/OPEjymx0ZT6Qtm3uSH+1KY71/Y00j65W3H3rdPGKYEM
gYXXzKLkKvk2TlteATTAooyAuSH2nPRXucngt2VEuhnIiHKtVcB361GCHkDx1saPCfTGRMOCPD+U
9N345lgPBaI/CgBPjZBQ2bi7l6D+2hnhrYaCD4pLS11TXkhucTS9TwMuJxMVgBL8Fio9biziMley
jYXnHhk5VB5xuK836qIDKKBPxCMNzBOFyT1amx4KUcesBIyd+Yoz+Vz9XMcbY7uNuvAevLC7/P3i
gKhpMTANBFCRbZ/n5jRqe9Pd544PjbX7I1xbR+ToQIatoa6KcvW1obI2iFIlFY9ay8VLJu1jXwGv
pV92yZYU88rJw6Bw6cIdIgGDVqZrW82o9LEOPpSoSpqHrDMht9B6DuriSoLrirMDy5WzHtfH3K0+
3R+m3DkKLwnbuLkQb+CFeEPtwON54mM28chNbFBaMlz7jppC3x2aLu5o+iOf6qC1cxCLtC3dVSMq
zGSCEFvdNuzIunor43Ab0C8fhCYbFCtQ0ZITDjG8nTUNKo+MSn9V7PzFFiCBSJ2ftTUdK7M6OOM/
DyZATIP82tLZg9erHOtauohpN9Q8Em2+c9LSd212nIYISW2dT8GAQBdlEb/Qu6Ca0P3zTwGxH4sA
4eAlaYqYBpSR1xvA6Lsym1SBzWb3iPNQfk6pjchhwtNpY71vI2WM9cKUdCsC/VPPhTZgrPX81zjm
CBX+JAP9AwTcaXYavzGGB+A8fNWcwF1Rnlth+iCqR/yigj7gMLItrqe1g4ayDbpp8LhRMRXXY+8L
7vLCoTxq5sRTQdQuQIy0idFZGza0LJZcKiQ18UK4tlKYtBh7ZF4i0H/tW6Z7rer+ZiY7aNC73pji
Fd+4FCpxmWJBQf8pXXAmV41s7N0mIrGy4yrzVUEi2qE6CkJ0fxbKW10rrV/x4tFOw/vGV3w/5BlB
jYB8P2io5ecwagC1M7tVE7nxW23/nJyNCGVlHpFxAQsumhVB8CeXf5muVqM6902kostLB2PY/KhT
qE5u3C8rm+LKjOQRU7PvmaXBTPPVCMxP/dv9WVr9eQ0tCR+JMUNu1m/ayejnfm4iagy+SndT8QGM
+RdGEHpC4Ql9Tmipu95yrepkUKcfm2gGPJmnmZ/3dD9sMVqtLDhKqn9bkTYb7xOQsfSw0gSmt3EH
ri72378t11jUTHQ2VqKJ8lKEDlV81fjD9e8k/Teb6sKOHDMlasbpADtzdyRg01fQSeDme1ZsEQ+s
3XYfzVLArC4NMXIiXalAzJTXOo4mzbw5Rb4Xqm+i9DIlNPGYBcpmwRXtEX2m70Js6Squz+dCpPsf
68u2vAheaFYVA6ewPs2jbxhI+KGbkgglSECVfn/zLcsuxWfWx70OZhYkcOTHTzWaWVy3tMXms9XQ
4ArdK7oYD2aiI/aFnkCT6WpQIFP3aGvJuOEC184XiEbRHQZ5TBT9l4m4GChzHHTA6FUbTc1LPDUh
Fbk3T/WGlZUkAIr9IL+HYoEJAk25YUvRqrbXbdZGPAMpBuMirA0Qm6sO0J7gHU8UYC4OU8qPrt0H
+WyElqUc7s/zx8v+ZqKh++ugJQ7xiiOdct0B4lojTRtVVvKNkUcrdlCKVHcThPFscgaBgccqJbAG
3dMdgHC4xh+UGeSPTRIK601Lt1Ijq3OPBw5CVhvCfEQ6TGlsk3pM+jbKKDS4M09QUF3MGwmPZVQ3
o74wIkXHCZS7DEUTbaQoINEE3I9MT0bznSQvmnrU6MZCbw1JChFImusKrTtY65hnDD10Beyo1Out
Q7N2Ppe34f9NnRyGUVXJEYu3URdDbPXNJbPX6V+rTTe08ojBG5SgMo9cESQ3pNtNqMxMe2AmI7yS
vK7Xd0l65DH1Ws3cgaLp/g5dH9TfxqQNmpU1uOsTGKvsP677LSHvqCEbSOXeN7PmcJbSsWkgylo6
KK+P/Mih0+iMUxdxvI/U6qewvopk8odxrxZvenIu6q/3Dd6efug+oIUS+ixI8CzqV9cWM0PMupUo
NaJ27mdDFbQW97ibLsBdVz0UD3nP9xY46y30vfQb79CbLbkYh4IoNGhAGaHLOEkyJUkGEAKLqPuO
gC4HIUkr9H86pyDA1zGVi8I33Juc5Ey6yVJn20bCon8Bz+ext0Mn3mvK2aAiSM0NdNXKkK6sSZEE
LZQevFAWiyYt0uLeH8zM4/q89QBZNYMXiLvgC9D9Im0Up3LjPHYJi7iCPIwz2NynDj+Niap4eIOB
GNjIzV2Kh+ahRBv1Xld0NBfT3gibCfScQuEeUjxDkC617/tbavXT0Nu1vPqXTnHpqLictEUqYhal
vln8auY3ewuSenPylxW9sCDN8USBlDByWGgzvCdZFRrwl9TyhlZ9NDZRoctUXnnpa2ty/NZzK2n6
FtYoS5HMV49mDhUW4vpFTR7VWngNsotdnnrwDtzRDvdn8yYylaxLCw1cxgwAmMMiSB/XXmrPsZ85
bKt4v6yJPEY0Ui16O8hdatayphehBmgYKRExxkjK/cwOuXUQygCSmBKFuC1U6aot5GYtZCag+O1I
95A653ad5goyl1C+1eB1xviRiIcWEhi8zt9AQLFJLbG2hAgsoGZmI9BB+vJ6eAaDxLg7FjyyJvvU
pPyX07zyQduxws+ToHG0XTsN3VJz2/Fcj+6v4G1iCksIdw4Hi/5NSChJF1U1od8Yuu04EGbq6fUf
szeD2uzeUquOxlx5FI55SofkBY2sG0fx5tb6sLygwyGRe8ufNdd1qVlFwqOOq/uuakPle9O6e6Fn
x/tjXDvzaKrRQMMOxneAUa4nOE+bic4NUi8qbfog4cTwU9KgTQLVxI0x3R4InGYX1z0KNmgulush
op+ECeAqj+hMZ3+ETDjimM7cGNCWFWmT1pViiS6zeTTqQO94nAf3J+y2RoFYe9n9BHwqaDr66Ha4
OHEKpTZuVIdH6RtYmiF2S7yB7jP3eUoN347DkYekBNXK5/t2P/Qer0867GIjLtxxEIZxJN85dqaT
a22G11Ojo1cmRaBtjQjRMhVyPwXVdFSj7dynRTEEA3hFAZ8l08ElKeIRQd/RuKsAed+wF8NMx11T
qW9zlTeHifW1P6hDGZYKD3msIg4z1ZfaTNLHYnKMnYO36W6ITRFmDdE8xVG22MaWL78dGQ44Cq72
be/MPHNBDJoiaWM0u7xJd7pmhHUXoCWuC/oOPNJ6v6XtsrZNUCoH9asLs3i+XO97i0Oei5QMKZDZ
BdBPBR96N6t8453wkb2Th7boTgChB0pkIvsvpWpqii6JBrhcdPDTL+PU+uiT1tAHg0TSvmN5YCtg
1naGQE1qP0nmp3TOvW5QfJL9BFU0VlHzytpnyPwW9JkNRzA17RXGv97fXrcOx0BTPOTvFmZq+Fsp
miyMkqHoXjZRWbwCtZy8x8Ynqm3IDt1e/zCC6AQlEwJVXVnwDo0E4+wSZOf0+BPv5oc8E36fmidk
nwM33RCIu/VsMAa2XAOCAABHyj0KVexW81g0SNVBVFQv+EHNY4RZW2qbq2ZQMgRAaykEyYWStMPR
0Vu1ibqMtMFckwzFH0M9ADC6JWqzOn1406LOji5IJO+u92xjxA1KEloTtfopc9VgrA7pQD2afEm6
jclbO5Ko/gASSMBxBkDBtaks4zzJJ6eJ+kz5VaJpayGMHDy1QdOFhqy5yr6oUAy4vwdXjaIQZKGP
Hv+W+fXquU4c8Co1kdPv4xiUDiLzsjet9g3EM6WzL/pf9w3edvnAl+PO+69FELNfD1OdITamVDY2
5F47UiX4YvhmOIVFAHrvoPZHv/G6XbM3Xokf7+7bXlvMS9NSeBgPdsfKWcFiKrHyarn8e6p1AWuA
43XKodqViUE+/QuTLhJii79DflwabePwpMqXXA0vjuaOwrl2GtAS+6Tc0tFdiZwQtS08iTiBeB7K
+8fMXA0lRCRIpvEv6HCYfm6GegFqKeuYEivk6ovbWBvxhYwih0uBUZTNEJXBvyDYuF5NlrQoqGVp
G1mggPmLv9fv03v+HAOC7+xGf/qqK4EjjvfndO0eQVsjXsIIwh0k7a9tklTvDK3mbYQODDTedIHW
f7tvYe1U2HCZwNIijY7eiGsLZZPUlamNLYLQl7z6a2wPFKgFN91plbEDZTqUhrYSTreBPiaSAE60
WEXMsezdixCHKEVuTo2BHFpiQWg3r/u99kLdJnAS4zOejxsLt2VOuovbhPZOHJttpLaTF0OhVHA9
VIvqe2M8avoZGg8biYVVgyizLnocC1ZRMkiT2lF6prWoUFlzmJCCIJ4ixb6oqvLgDmO3qzvUyOIC
6jX3F3PttkDstiRtUGfFQ1uaWVB7tiANwcy2/RIqpm2YOHkZ1MkmUnltZy5wKKiDIgCx5deaSPk4
NXHWRXSq+Q4sAaCCTnBr3B/QWtxwaWX5ioutYmizVqhgwYlsGntZbu3M9CVJ3iFisLFmq4ZwyS59
XgsD6/L3C0N2Jyy3i/sualTu60oaGOI907507pahlXkDYQe44qARhe0vx9kZc5uic1IR6WU+79Si
r56cOCn+cQINUhLoL4QkGbqzyAdI5GI44IUf0kTQLoKff0c/UDSnWaha6caVurLfkKBb4Gk6aA2Q
272etZJCMdNgTheJrPJQYvcwawYYke5vgpW7DN25BDc2CBQQ50rRglDNeHKzso9SO9V9pa9ynw3t
H4HGx7AEPBBMCvYWxcrqyJBEQ/S2pKpcyUcVealrkC2AzexHlz4b5ZOSfb4/rJUth0sEdV4CjNXS
Yn89eROz25Gg+S1qVRTF6GDpgcLQ2bmoUwct2tM2pnFl5xlo+MBDHJVZCyqo1/bQSuROemr1UdW6
PJw6ez6qrNZ390e1tlg4QxZ6wMAEAXjVtRUrnp3YLoYeGaPZ1+LmoZ4t33jROIDpdIvYZ+21vFCF
2HhwolMTOK5ray0oLtIkswbol2jjU9qB0MVVGj0CThJyPXhp+il3B1DxKHpI1Uw/Cd0WYVPU+oaj
Whs26lOANCP4wZGQhs3NHDVvJx8irbOrvamgY73RxsDuqjfdLp4nbO+Na20lQ492O+TlXBS/8eyR
cWVuyyC4ZioisucMdye6VYMGdNWhy4oOdU9WP/VdpQaILZQn3DfsXCYAyw8q4ByqoxQbn7MSR1x9
jXT1KEjzjGKwRTR2KguMOu52wnYhh1y6VTAWRnbqweIKVbC2P2ki2eoyWrlz0WGEYAKd0IBRyXeu
y7usLstyiCpctE5D/nLaR8g/+3P3Z+bzIY1Bnnd/o68O+MLi8vcLFwuIpJsQdL0CGNzua/GNvxdx
c1gwToY3Og9T+uW+vRV3gRQscNHI16HqK1+4NbAAVWzXYzS737UqGtwPfSOUBjfGteL5QM6EvCDA
NCtoOMMRltXk7hjlMw97sDigQneqtK/3R7NiBWVdMIuhvRxZO/ldS9CD11B9mKLGch4MBSjgxKQ7
pWvdDX+04vVw25pIkYBNwcHL73qZ1KFL5kr0c5QLG0JetdOCfEfnG4HXrZWl7cDF7sOti/9Kfojb
w8Td3hKRktVo1mw8c6u17HbCYAF1TTxeARpBLuN6HDxNlCSJsd3aie9cDsyC4+S+wrcUdVdc6mII
MRBaDBDbqZKhAmGp0MZuiNTpUTHSB17XT/acvyxFP91j87cq/R0PP/thSxLmdoOjYrW8QyALi8SZ
/H40M6qbMW3HaPyZuTuBDqg+0IyNS3BtGhecz0KmjgWzpFNrJCLVAHgdo2biQUk6wItrvyN/7u/u
le2ApnwUTECJDcYvmfO+FYruJEk7R2ryzBgUReYf9w3cujtsBWBI8OtgJsIz43o3aELkjV0latQ4
9bBjuWoih2KPn9DpF1SlKgIGnsXdOFjlyz83TJDVxOsNHXi4eK4NO62l0WLOVLT9E6+ZQjDL2rMC
zjQ/E+hToN3G8V1ZL9SCsVJAqiLTKWOzMhIXgynSOeJj76nDwS6EN077+4O6vbyRjEJrKCC4eGvD
w14PqkCKCj6hnKN6Ovw/0s5sN24k2LZfRIDz8MqaJLEku2RbtvuFsNs253nm15+V7oPTKoq3CPcF
+qEBGRXMzMjIGPfOmu+hpu8S+Z1IthvFhqgVJRdwMrh9moWSL7mcJ3DMB82pZ6Y27OOY9s/zYO6H
1jhZ0nx/e1UrSqhDsET6mQ00dX3hkpAPru1I7uUL7HLOzurkcF/XVbnx7q8cEJUzBpi5swT1byZT
rVShQWqUL0E27PL0MgfVzoo3dk2o83WeW3SlQyWPzpsWde3FAUW11AJFKl+q7DDN76TE3kUgzYb6
SdP6XZv5B1X+dnv3Vg4KwB9Ivi3RA0Vm51okfeF+khiSfOlGIzzGTZbspHiY3QRYxzZx5I3DWlFB
yqsyASHdCJjfxb3ylUrXK7NSLtlTbeS7CtpyH1gnepvGfAuDY00WbBywFYtwQF02yADu6JSNbyoX
MvFRNO6bMdpFSfiuVL3hw+1dfIvoAhQHMARwwMP0QgP2wlBpk9LFddqolxJCPn98DKXgkA61a9bp
qZS/Tw30uQHQLcpRz4vHtPcPcpgf5qG870LlqQxgc/edz7c/asV4vv6mJQV5ZzDWWoyleknK6DBH
+9E/SuYDGHKZ/anT240LspKsFOk1smskDTnd5fTkGNozBddEvkjmXRpkrq99jOp0P1VHK3tKpE+U
X5mhPN5e48rl53kAaRCjJjqyxbV95Z1GRa0DeZkrlzabQnew+pFhVn+L22VFk66kiEv0SoqV6b01
N7FyEesqDKa4lNbN63kXqJOrxRstNGvSSKizjyqRDwgl19IyUl5hUvXKpVFg9S13qv/IwO4I7lqz
oSErl1/EVRD8kXjFC1rsnmokpQxYp3IBtO5gxH3ihlXcu51OO2uebqWzV/SR1ImKtQE6UcDtXq+r
MoZ8MCZfuThDs/fN4Akkjdj4qPR/KVLwKA2X26qxEjjiPzLnA78mU0x4XNfyhtpK0jyln0EloVb1
H+fil5a3uxzaScM4jIV0tP3vXZGcncQ59/542pC/Ys3xX0nk8tjiMS+fjNhqU9MOKu5f9mOKg8+T
ah+rTL6XWvOhtDR3oiUpqbUTntMxVuRvcBvvArO/r4qLZUmfomN4Lp+ZBb/9WW/nPTG77AnQhExd
4WgvTFWX9llVWSQPirbeayky9fe1fYGQM7W/xvB8kfq3KVQlPzvHDRijqGnZTj/15ew28s9o0MFL
K/e+s/VhawaED6PhlzZDQfu+OC8oWY2A9jH2i+BlqgM3DqZ9HJWuZXUHgZk86UCvpNOp6fSNs1ox
I1A20RiDz4dbvuw7VKoh1Vt7UC9dB0NzL/XAl2rSVpVj7boxnAVcEzAsYqB0oZCDoeS0MqkXvXoZ
h3hvQPhcU6QH0vZw+5BXTIj4fZrE6RN7a4ubGBZjW8vUSw6hW5IFe/pQAOGBoBxYnNL+T9Lwkm3o
Xx2C3et1ZcGogUTCwWWxbR0rg7AmYCz2OI4S7NGkLH5JQ5j/uSdhmYQeUCfR2kOq+VpoZJpJaFmT
SrvDi5Fbe1qloch9HNruZOZbWZ+34BtcGo5MuM8i3lmChOh12LWBb6oXRZoPBSCzHeguZqAdZnna
A3Gw883yzoyeguibU8YP3fCjVO4GDXCQadi4wGtaRGIE0ADibwZRF7s9moNSzeqsXuzp3mk+D/3H
2Pow5Xe3NWhVik7KwqJRjRdnsb1KPznW2ErqRY7T90o/Pmp1VpwMu/3uO+ZWG8nb/ne2V0w5AYZH
XeLN+NZkxlmRYLEuWUPmuz5B8UB3+NFokodRbj4E0XPe/w2nfNvBqOPIBzVt92lm8f/W3qq2pjZX
1s4N1UU0IZMaWPLMz/kwgkmZ6pciOzkjNCnMdhjjRxCmbu/x20ESOrheC1pscuAbWp7C7XwpdE8a
6FAJkv3USRC7jWctTz5M9jOIIzWY3apzoBHyJWukDeBP8cQvQg7GtXE0eJeJbpaBZ2z1c0nLoX6Z
cz84RG3R3/lxLe/gcg6Ot5e7YmRfi1o2xyh1EslVPOqXrJDP0ph+FNzlt0WsnZyYU6ETj1ZO4s6F
UdCrqcwiXb/IeWs8Nyol3mwopPtxnIajvl0FWJPHEZJJIipk1nQhL8/gAhu4PZd+yg+10e5N61Np
6Pug3Sh0re3da0HiQ155oEonJzH2gL2rwG7JI3ewN9ylNUXgqtPFiIVjoEB8wSsJdlen/ag2xoVi
UBW+dyxaqDcal9auOQWAf2UstmuamtKSs9pAwHiYyl3Y3DtS4il+c5zk+1Klr3gun5x0343vHaN/
6Op3ZfdpkI81AzB/rimvP2WxofJk91FG9wQvZHoo1GYnNjVyyoOz9eqvbiyPFI68TgZrmbKfjGYi
ZmRj0xSUrhyIpk9qvJGXXbUk+C6k4KiRgFOx8J0cs6oAA7CMi5+1aeomSoOfWRqkNq263zNkPd4P
tt1jYdT23Mqpdq/QBKv5zKgUnVWebT3cmjtYuxuU/LiJFOEE8+G1QhlOrhV57xuXsTvlndc3Z+PT
ptZuCVk8hgDL+VMFGuGlUHXXmj0/fJ/68e6/HeKrxSzyFlFHo53cO8alTko3i//SATTspQ2XZlVT
XglZZLJIp2VRUrNjZnZSx7sofO6TjdhyzY68PpTFLS+6IA/CmnWwV43+92Bv9ZqvHQgnDh6xA/II
cNLXp+479NnITm1eQufvWpnpCf06ax2h668/vr9UU37beHAt32Cc+GBZ9ZGeIycEWarJc2h1Hb8+
FElUQTZQba1rLcMjUqYUpJj9pJ1voQFW2bR1DGXDZZC/qk3i6taTNXh5kz+lUCSbYNUmk/k+Mk+x
6WaGdWe39/0neFKi7pCbG7mWlU12ZJJMwkWB+mCZJ+z0Yo5zINkuPiFcVjxLtQ+VB+QHW8MfK+py
JWhxvbq6s0tcb9TFBIY8gqSj+HP/A0Uhc0MjEen2ZR09oYovz744RxWm0pjcOo1n/vN/UJZXQhZa
b4im0jCozEsNf6d1tjIPLJXhj8fNwfqlsYa0LaVx2lIWUgAwbm2/7ExxfanVu9xfy3I23q21uhWd
AIQiMmUX4PBF6Pfqne7LNjQmEh6XKo2n82D4nyTgxfZ9RceXlebyY6A6oAASMpX3Sm/bp2ROZNpO
7WSLrW7FXBFcgqpOSwyd2ZbQ0ldfotGyOxV9al0U55NlwLthHqvNatmqEDLi9EHKAtFI/P2VkCka
xqGyWou8+z0AUJrq+c37P9cO5gH+T8RyHV1QJkqBCEcjzRYq8CF+6VJGU5SNPva1a/ta0OLoQiUc
mXWprItWf01Cez/3n4Lu0ndbteAtOUtnQPIZuug65DT382B8yILpqYyin7284ZVuHc7C2Bu5nfa1
X1hoPLOuo9uEthuGv24fz4aQpR8RDUPqK0VpXWKZejPzyH30kG3RpYstuQ6DSIBSBSYKoo6DOl+r
mdW1vplODrlJy5AP2D11ZyaTdqiL2dlFDFWEURDehXa7lRR9uzoBJ0LPLYhZ+O/LJOGstWnnFLl2
qcnIh/E7i+LzML7c3sK11THbCloykQpYmgvHQotHzfL1WrvYwzeLJrmBckR0Tvz7djj0xVYz49vk
E/EiLySIAdC74Ixe76Xc1FVvqaN2oYDKNGYcHdQubQ56ZO1L+Ojntt9wat7qOwKxt/wnAuoliKYz
jjU1K0W7DOMh7i418x55+hA4W0QLb19DIYeKEq0Jgo1uca+0AMDdguLgpaYLakfUDLZZoGz176+v
5l8pi0tVRoPBRIeqARzUu0ZzErWGMQAba9owR2uqRymYwr1Ab3qzbWmTVXEM2NlFl+RdBnhsVBiu
b25IWV/Ov1IWflMwVhWcMSyHCtpxSJ5qrXdNpXYrcyMG2lrOQsmlkDRHAcjDBe1zu/w5rF5s66/b
F2lNA0xBQkG+hBdviaw3T3NktBoXqSFrA01q1L8ToEAb7t3adSV5AQQpmQVchIXXVTjdkKpzq186
54MdvDMYsn12QE4q1f5DIGmVG6njuBF7rF1aegtFpIYtkpf9Q1pVdnEvO9oFINyDXf8ETG+GG9jp
p71lqcfb27imE6+FLSyE7Y9NGpcSOqE+ltFXvbwP651vbCjE2pKYYRBBN5hcJDKv7ZDUt+1sFpF+
UYf4xRgPsxPv1LNihnctlZfbK1ooBmEBqW+BliSzd2AnLbQ8NFM14WlXvby0EjqQ/eIYhO28/y9S
LE4Ha073ktjXV86QnDR+ZyW16jVDO57UyPxl5lF2ui1kmev+Zy2goQoJwJyoi9MZk3juWr2DvKam
vdKt23h+n8v19F6nFfMAkyX8u5lxCEpYWEq/Sc5SkQ5uPNLnHY5QleFpaw8lmAMuhFtbDZDLHNL/
fh0WyyYZ79C0fL0HdjTOdaUOqheCu11bqquGzikxnftByfdZ6vlG9q2LOq9hZM0+5ZVFDeulzk42
TKiF9Wcq9vtjaB/DX4Bgj66aha2WJDnOwCeFqynYdc03B7i7ujj5E5TeyYaoNQ0DagiFJlCiwr5Y
dxjMRsOYleI1ktHdAZYIBE8ylhsput+jlK8cod8rosYhJosp6IAmeL29aV6XWd8FqFiWqnfFrOp3
gx/2d8bI9kZ2Lj/PkDvuCzv4XPicsxEO8olCx73uJx+BkunuO3sYQVlgqFxpq+o4qnOwq4eemTB+
2Y1rv3GBFpP2dpuqx2nwAQb0aeKy7ULaO9ps3vVGabh5Xil7BjhfDC3J7sNe8dlW+UvTjfox6bJw
4/4uTO7vZdMICpoXAT6tIov7W1lF0g+zrnqVH4d3nS37nl6Wyd962Hwdst6+48my92Naa79u37ZV
wRbTiPQViUTZQoPCxNGKNnBUb5bMY+2XT3mYH8umfmfJ050WgN+aKh9ui1zTJEJCajv4SgSSy4cy
6uox1FPNC6ke4gg+jA3wm7dlLMPU3xvKVAEJf7LJCiOk13pUQTOCx0241uWnqTlWp/Cl+eowZ+27
kJh/3+SKXWZA3whcrKptZaVTfQTG2ugG2UH5LgGO+s38AHaL9i14H2j7jmTnxku2Lpb+ImA3Rdy/
rMbpZWIpNe6uN/jv+3CfvgOO79zrR5ijlCfj5Lx07xln29jctRPkrSbfQFJDwRZeb26T69CTUPz1
mq7bMV0VR3vaIw35M1ju4wPT9KAiFy8xWChp/AtveEP84vn+Z6t5fUhA0apLXH4tfix8CNUGX/Uk
yDVOWazXn/20suadbhOlZ0U5HHvZnA+zrTR/14EYiA+s4qEIdHvPiOaHXFLAwlTa5DBEeX1u6vHD
7S9cuIL/fCDpJOGh0X69fCMiR2L4X4o1Tynt+bnImu6gajQfFhoYA7dFrd1fAB/+V9SbYexkmnJH
SwPNm7WDCTmSqd87qu92aXGPU3BWi62zFxdnaaBfC1w4hwNZxlpNWFunlw9T1T9OmXyERuaJifFj
DK0r7W2KltLqNe3CodrV+bf/sGLRDgUFBZ7wMpikqYTOeS3SYMu1C7etmi+lLO9Va/6rNJnIiOfg
lEdboFprzz4RJRtNPhC8n2Wrkin7oxTE0HdG2kMy2iffCHb6pD4584/2c3CpWm2vjY+BVXrUl/cz
H1JZw2kCmG/7+q2oF/edR1jgboGPt3CQ/MDx83CGLNXKsmNkfPQbyasicxcd0v5p6mRXLeUHuXwX
mHd19mzm/vvA/otGq42nQ4hZaAJeJyCAnAEAJ8t5sdAKmlTTB8XziydOGvPj0zUKTVvwM3GiLb1b
ufRIA9SA5k3sjiP+/sr3pJ+3GkpfcHCCq2go4zHLp5NdJp8H+JHUgVpSuY/alIHoDgJHz7ICOrSD
y1g376O8PUibFPRrTwyEdf80yqqib+D6i/rJDLNCgiiTWcaXWf0U6r7rp9kHp88OxpS69WgHrhOM
9632Wc2VDSu4tvuglwpiZdHlvCTF6RLTBFMHf6yXpGM2PShNcsjBEZiGF2WLnkQ4AcuT/lcWoef1
SrW6IPNUI0tpHqaXNnfhQHQ+m2ezfaCh5/b1Xs5/C+MJuTGetSVQZgBJuBYWc/R2WiaqpxOp0wey
c9TADX9c4vpjIWXuYAaPZjvtpjbc1f2h8i+Tnm54DyvvG0Pg+AcK4OMCUPr6EwBajBO9c7hggd3u
gRbwd46VbvUjLGFFfq/UAJuI2iQONVyM12JUfYxkO4gI2noA0YLvNEh81GBGN2uKSVr4UIy11/v7
vk3uZQpKYClU3Xwsy/JXOCknBwuUDrQUBz+oc+7GObtXyvDUV/J9HOgb1+/tMyOcKOiXGLRmLmrZ
O5nqJeXlpIEwte4Goq5DFXyK2kMDJ56/jwLr520lWBGHL0oZj5Ze8obGQgc0M5aUeiTIojPZ2Q2T
U7m1cVfDaxT1TPi19cQDPmgbx77iTGFNKRU7WFdOfemZKk6YY+oYVk8Dh6rZ98wvd5mzd4z4sese
TOslnv9Oqx96cFAyLXOTdotU8f/xBWJMgtnRt7iXNrS0cKJNqgcbdrxrZtDSS//cyf6vyf6eKb9C
Kf4QDMa9JTU//Ujlnc93/dhv3MG3913sg5hMY7IBGHNxP17Z2jFM84ChMtUzP1FKPIA9pE7ZsYvV
XecYd1VymbbinxVjei1yYWJA2AmyPiMAMqSu20eJRtv2PGvPahsPB3uysr0Oe+aPRu+yY51qKdMI
ke0y/y/f3Va9t4/r9Ycs3pkits0Io656jhRLjI6E1fvJmdOjXvfy5baoFQOALIsoR7hv5NoWizYl
CKsLmv68OtSPsa4D0a9HL7GzBz0empF3kXMxNLCpxkPpFzuzAI/KnV9aE4Cqd9l4tMe/LcHYtAPa
gYDfLexNWta3r+71Fy52IwjCpK1bFeLiwv+hh5EbtEfN6eHcdsF2eSjTD3SBHiP5M4ytWXbG/QuU
p4g4q1MOtzdr2Z6Ltbz+lMVzO9f0fs5sptdZO+tDPx0VeQdH9NCDpLHLoFGMN6pLS1yZfyQ6osnz
95C/tjiesEydlrZu1ZO1BjS+4Z05uPNwrkvbjQ3lXrV/VDHY68WJ+SXYsY+18nGKqlMbWrilxynw
umRnBxtftUQQ+/1VeFw054ssDMXv68tZqWVVMMCuEXz16Ud1ippDHvRwTk7zY+1r0ruZ/L3bAnT0
HPeNgwHL5UPQKsBhWqkLoNNXqk0gNQGxu6uKMN1Hjt3fhU7zjX/kOYTN7xl3+KK0VvLQUtG9FIma
MeOcdvuRqsROn7Ppvu8a5T8YHTpKDeFKMhf7+/xfGR3x5Js9E30iBTL0LvnB6VIoDkQNeiHtCtt8
rzmBlbuFrDgu07NbNLNrbw4o08gmsCWFutAvQeijajPyzV7fV/Uu1EzXLiM3zCEeNt3ayYINF25J
7iOOkgFJge7BcZKMWPgZpiVZfhXmmpeZXefmvVx/GHu72HdRGv5NU/F01vQetr+oSfI7o4C9oZy1
c5Ao9Z2aRhNzZoHzbShbZReAPf6TOh7gcGkVnqXK1zbu34ol4OknawMbEbqzxIpNxiCNK6XXPDmY
T5Wu9sxqdCqdckm3UyN/+ON0I/NgaDew86DG4mVfa3k+9krctT19qe0XFQzXovpzdcNgyEyzy9Dc
k56/FtBHQa0H6aB7ft64cVHtK5tyGs0Tkb8DyuYuTdytcRfxk9duNGOkNJSIDnxHdGxeiyyyorfK
Nta9Gbilu0yT48e0qzWot21lJ3dxfKB7ozz+ud3kKVcZ1rdENWJZM5LCXCITEBmePhlffCd23G7g
KvsfrCb5rDXJ3pGDQ6eb7hxvgbCsXCkCVYqxBIlkPJZ5otHJncrobd1zatW5b3W4umIAN+hxHM1j
lEhAbsNU/bMG0HDjdIURXGy1eFeZ9BMDTMTK11vtW2Zn+4SsHrTGblJkKOtLPW2832/DBFDpCFOA
chTpzN80dK8sll0qZKIoZHgJ9d9DMAHV6kjV1ij12iZqUERD64LWgPt1vZQxk4o4ngzDk9veG3Rt
Z4XfRv8+DMJDOfnkaucPGxojNme5eQSVJNYILmnpXLh/vaSYXVvahjcG++BZVFkwPLILs0k7uVW2
q//6lW0BwazcDVwg8FLEKLcIMq5XybPQMC6YmZ4TfcozcKNO0dyfpiDb5cm4UWRYk0XukrocHdNi
xPpaFmx6QUcVyfSsTj1FpnRQKmXn2NJJyzMgub5sbKcI4xbb+dvBYzaYbDS1+2txndJUUguZgtdK
j/r8YLSHPDoVhQYYbUL3jX2mfYrxg41g5q3a0E7Cjpo4CcBU/Q6zXylnXdkRjVq+5WX+cAhypd/1
BgGDY0LYMA57U8toU63HrZmCt3cCsQJlB78JfNMlPGzjhHNBwGp7ap1Mx1KJ7+okDu43tvTt9b6W
sng4J0lX5ULPYSaowi9akLizEj1zCfe+XRy1xt9XUvV++KwxBOuEXgNmah/+6OkEKbem7N7qEl+C
USclRX8LSfHrw7WkKpZk6Eu8spIPWfRIzrucOpceOOqQG0f69gm+lrWo1fhOU/Umj4WXh/H72aZf
0TcPGnCi6bxldFa8bSFLzDKIh4PE2/W60nHQK6OubZrj2VKpj75FSTNC9wv1bhfUyS4vavUhyEyY
UMEnejSrZPh8+5TXVEnDDyO9BfMzvZnXnzAmxeT3Q2N7Utjbrty2g6uV+tbo3epKRQ8hsDo8yeSe
rsU0Q6DLc97ZXhB/GMvSDTPDTbV3WZUDt5CdYr/C8tkMAv59e3lrp0nWh2waCYe3FGEqs8JdGbDD
RZVV9MmN4wWGg0crHEFRN4etyfc1cbS4MCQH6Ag5w4UVSqTGyftktn+/iJL0bqj/ikKiF2Uri7J2
bK8FLZ5eZ9SKqaom6OazkvbrS2xvkattSVicmBFFU0fvpw2vpac6L9MW3NranaauBG4cRVG6EIT8
V6Zz7IZal1rZ9kZpdv0fPn7hDMjvkcGa2yrwNs8iQP3EDBZ6wKu3OJM8S4xs7CTbc4qvfu7iSXfB
Pp0OO4hOB2OjEWpt19BwHDGBP0nJ93pVkV2zZ0wEe1nitzu98OtdqVRbcFkrlpl5Tx0/F3BSgb53
LQWuJWic6sbyculTAVzJBG35n3aOETcJSNt/hSz2rUwcH5Sx1vJiNYSxQnZL5fH/W8hSj7UuF+3U
rCQNdmr5RC/0Ptpq4FjZLjwtIkCUjYh+2e7gKITu6hTK3hQFdzSaelGV7Cq93lC0FWfgN/cG05qi
T3HpqdbqMBiRlMmeGUV7RiTelcE50fd1qn+eU80FIW+jrX7F2gA+yiQ1kIVi5GrhtE75nM0YbNkr
rZNpfLR2hSbYsDZyIWu7J+bbTZJnoodVfMWri5rLwdhN2Sx7uM79nR2l+0TKrSNtzu7ti7omiLYX
QLSYpSdjt3gNrUCS5VZl/2Kj+KuG7CMPnfd9PZz+gxgBmgxfp4hbFoaHgqepFj5itASuCesxjD90
xqfbMtZUgWcH0EqQUwnoFzLCMoG4x2lkL6taF1arvO8Pffmzzz8LlKaNBa1YUgwbpFICzxcPaaEG
OTGRTR1U9oKn1n9sq2JfmSbJuoctJpsV4wYQK9VBYXbIpyw0IVaDWQbwQPYk87vu/xqKP05H0Lf8
6vfFQl9pWqOoiR4O/P48PdnFt//2+7hZIiGE175MfmmjEqdmRYN8Z1cNRjNO3MSp724f/ZoWk98S
DBEYUGhSrxdBH2xYlyA9QGP0M4UFdqR7Q8k33JrVI38lZGGbfUORaOdRWUkfHRy/f4ceB0b4TZP/
KoatDNqamXm9ooWNVpsgSPpWlr22b06a+i0HvSoxk70hbSjy2q3BRANRYgiSJnuhX9pk6gDbIYiJ
qsL1m5dxftYRaR6zrdTFqipjZXgVSO7KSygfvw2IWxsHW91QEZxdE1rz23qwtmsGiKuA8BKokV+7
1gPdGJSZCF/28iz7prb6szxVD3APp8HWiM6qJCw0uU2ak7AB15JCyZitkMKnZ2rHTHeNimjULTY5
2tdOR1hnyvFAKlKYuhZjJ/0QZng+ngFkSPfUKgeJHLHSQ2LH6NGwRU6ydo+ovNP7SWgNjPHCqpWA
OBUaGQTP8qV3MZVq/g2Df19vn9ISP0Z4OaKhl9cG15D+goWlzmLaiAwrEhX+6jEPAJFKjAkedfvY
Gg+m07ltFLhK3T23RXAeoTLdZPRd21foVx0wwegsIul7va++ygxDrSSKN7Wtq3cvhf3eSRA1nWpz
X6SX2wvekrZQltksTcDAMjpMs9Ct9fLQBDJTbBbkvsdZmg5Vq22R2awZKzIyUD6IxAytbNcLlPMk
rZXWwE3xT3oEjfDQn1TnJ1Bau14fv//5+kAhJp7+DX29JEYAeyDp9YQWoqHkGEfH60jB2AJjpnLp
wXQNZotuS1xdnoBzFlNFNEwtXH4zDjRlLFBUQLBdNUtAVapcLbsj64yTudU1sXYtaNnFQvJQ4s0u
zs8245lSYaN4ZfRcmg/ARhlb0FQrZWLciVcyFjc9m6PCMRLqVCOeP/1eXD8dXMmPg6LsJ12F8PCO
elgf/d12/2Evhe+HP2NAJrV8oXlRO7UZakVk8eBcBev97wF2a0AScTePt89tbSchcWEOjOSACAyv
1VIJe62bAmSZlQ/lmfGSgyfYNn+IdfrbwNDqQG5QZTDrjdMkxqinROko+hUXrXPB3oMDaQu4cO0J
QBmoVNLVTD5Q6Ogrz4k0ZCXhiCreAGLhkJwCaXJr+/08/nl4yzCywGEkFw88zULXc7NsJF3EAiPA
me5Iue5OLZot2O2V1QgzIXJFJIwYMLtezawr01jA+ePZXTYeAk1vDtqsuAAt7wO7lDYs4ooeENuQ
W4TxWiDmL7S9GApDCwd8KT3+EFuPc/Nczqc/VjVECOBejCBVhsWl9QmYOr/jhU5pJxPgpo/51PTA
eTcb57O+ln8FLdYywkpYVizWM8tfXeSV4WXaGrhZFUEhRuQMddzbxYPZUvNWI7GWac4BbH7g/XLz
rQ1bcc/YLHAGOREuyFLPMimSonAIFU9T/PYxYxT6nqrp59unsqpmhOkUDDADjIVeq9nAfIuRKKXi
pcAL7kvfABVTN/y7dg6bH5FDa+1teWt2VXibNmM9v4OohcC5cQaj6HLFk+equx8gxN3rRhXvyMLI
5Iqk8GBFmXFSkgpF72PGKhS13ENSuNUBtbZykW6WyYwBVbZU+daJ8HmkGJejiN1AfWwc/6XPodfq
njeWLJyX67IM1xdBNDYy6Qb46PUeq4NsTvlUKd58rM9z89BCZ5y6p+QjLuMWEZMwC29kichUFLXp
J1lo5kjloLcGZNH55RrlnT/hYCSKa5XlUdc/3V7Zih8lOgroXgT/QqX+er2wMhgmQKs4yyLzstyT
bFpyzb/mrtzb2ku3hduzLo3aFtZdpTdQ/P2VfVcoWVdhzdJqXuDsMFKQ3Ok/qnqvmO7tda2pBo/U
/0laWPi2jTH+GZJ6wV/3vcz+GoxhZ+Ybof6aFXklZun0poMTxdKA09TYn3uz3snht8zZMOziU5f6
8FrGwuoG4zAkTS/0wbVPRXnqrMNTO++6H0O6sZo1zcPlhMMclBIu1eJ4IGqrenCucCW0Ut3PDHAd
DDOjbUp4m3lWBu/mNtx6Jd8sjx5JvE16Z+mloRy4UPcmimUrpgfCU+fZVf3gfgj6L213HB3nvtdL
N5p/DEn4cls93pwbaSZhlvExaJmjSf9aEeU60vu6VyVPyop3UnUfy9mzYzQbs95vy0VCDL2wonNE
BJzLkCEtM8mBhdFLs2qvOB/NHzqEzcxJMXoXHLuouh/zjWTqysp4CqjjMrDEWM0yXocYgKEGXQ7P
ICm6cXNq+9l1hg2V3BKyeAEmjH9fJWp4hugrjA4gwWn2lz8+oat1LLbO95kqzwxEhGbjmmTpuMHl
hpvx5nkWgfKrvVqonlQ5BHXDFJ7Nh/xY//Gbwa/TU8JtIuUspvWudayPUn7e4iSG/Imcvmt8dqyv
6XgMxoe2+BVk087u/1ytCQJoUKIURaphOXhSmcDGtdkcnqeB7mendpnw3Y39hpl4Y1vFwsgribkS
Plxe2NYhCCkFtWZ4xsfeSXJCy0fjKtnD1P+6rQNv7NG1oGUYJee2KTUqfAd97BP8fs6is2+eGDzc
yVsdXm81mkyQoKIg8cSa3jy6IJkXZm1k54hrU1HBS8Ef/ePXgh9+LUR8xKvnr290EiQzQqTQf5Ad
JEjNMcv++HIihWlY4dYCLLgsDPgT4Mh9rGfn2f6mjw0A8A/5Fs7J77TV1aMklvJKyGIpbR8mpAu1
7GyBMh1mQHNk1r4uky9g1T06caa4g1+7agev+UQXolYzYlhWZ/oUd2NdMoy0lb5YO0ABB0DXk0i5
LjOhYdgWY59H0dkBidiwKFOdqq2R9g0ZS5ByfZ70GGCc6Dw6f9WysxN3uOq28tRbUhbvvZ6ETtHU
rKQ2PxkNCG7Kh07d6rbbErKw4EPeTGUkhDjBcySXOwWmIiMKNgzsEr+Z3kWS4HRK0OLD5SI3eK3x
jRqBep7J2bnpAfqzw7vJD9xEd+mXsLvkUe7KQ9EVLsgAZ6X4HJk/tbQ+9k1GvzZs8elPlOdObvR7
FWTluf5DdFrxdQAp0TNC/xGB7fI8HTkcStq4inOpN7QOQ8B07BQz20Vt1hwmrYtOt+3Z2/fmWt7i
ZK2kDJTECotzRfeRPgMsvoXHsiVhcaxJ2oUz7MnFeUzAeTN/Rlvxwltv7XoJi2e5l/0pNAyWQD2z
78BYi5Ej/VSAKyvMPWnRgzluPKRba1q80k2SEFKWaXHWCgM2USjY5Y1zWbkMV3og/v7KLjtDURed
HxfnTjlBV+zNxoORRBuNhKtCLMJHgRsOad7iaCYjCoN0LIvzRE1lR+H2S19iQ/y8/vnnWibef0J0
LhxV9evVAFxbMOBaFecsnI2cmflIf2I6bKsX6q0XQKSAa0OJEGh2BF2LgZfcHyRGh8/ZswYxuf1l
aJi1HDYsyJoUnAxgDgQUPywD11KaNnW6CK/mnEiHrJQvVSH/0pt7eta3mlFW1IyTYWzOwmezadW9
lpSDyZT2Zl6cnTkvPB9aw6MTNS+3z2ZFCUS5E9h4Kgg01yzORmZCpNQzvTjHctDcj0odfJdAV3db
0ndbJn5t617LWmzdYCcqqWFkRfMnuarvDePryJus58pWQuhNdoSgkYytSMPgFVK+u966tp/InPQm
N9SSjikewW5OulNZ1ztNS/e9nO2KKniXhuZ9076/vaEr9uhK9GJDSSplAhmCW0VV3EX31X2KKxoW
hzb94dCkbknpuYsAQb8td3VzwaJiUB1nEcKG6yUrid8oSV0U58Yd7UsqAyV3t8k0vKot/wpZRqkA
RIAl0nOT5cHe++WnLgazLrdgx7q9mDXVJ1VCWp/RYPL7i02kTRQAz25CK1uo2TWIWPZTWm3hXb/1
5kUKDfAQMRoCl93igql2bSS6H5R4T9QFpcwbre5Jt6y/I8ZaXUdXN6Lv1d1jGAR9hIUQhKDrI9KK
Ts8hfCrOdlTkh2Sai4ME/dKxkDfhg9c2EH5JUYT5H9K+rLltnYnyF7GK+/JKipIsy7Epx1n8gsri
EOC+gOuvnwPfmS8SxBLLmfuQulWpSgtgo9HoPn2ODRoaORa2aWfZjZFWR68mu1ZvMfZKrA4Ymdvf
aWlFgBUheACBihEJ2ek6LccvKKtj6z6BNnZD8RJq8zWC+4XFoHggoF/ASSG+S9+Js8ydjZpXR1Pd
gb8ZFv4h70JhBCkh9I5A6SJfhZQnSkabvj6mrHpyy+y+pPObqdM3q1hTw7neMtBdYIhGEIWJoCst
psvytNAgVHtMkh9K+RWvAtOJPvpVLk1IFyHPMSLTl0l+RLNvhH49Ziy04uW2jeswBxsYd0ChFjhT
uMClL0MpmPQNhAeOWV/fEfu+pi/18ODGJyPbqeCnUVc87fqsXtqTts0m0OZUddjzUK9QH6YgLcCH
fad6m9vrWvo8yIYgv4aaOkox4u/PMi89xX+o4OfHqvX8IrbvM/Zggpzho1aQDkFeCvUwMMHA0KUV
NyljWynG/DiOZjhOp94sNqvFpOtPBCMQW/NAtYExULkUXNcInrWNx/1Qz0E5Or45YNSg/8PoGGDY
sty1ZbayrutL6NKkFLf5pHOn6/HSTywl0IYvDlB6cIhV4vLrrwQ7YD5GqRTlHgzBXe4fgEXMHlUd
dgYzzDEg5YFpYBVDu7AaIA+EnXeaiivu+QqXUGo7+VGvssAhGl5lOYoG6vPqpxLf+7J4gSh9ZkmK
o9OcqxW3YMnrvrLxwRvWWIeuDQCRBQ1IJAfoxwGKeblhuqtoKChN5L7O90UKwQC2Bs+73iwxjSTA
n8i9AP6ULre0oIZWtaV3r3RNmCpf4nzGcHdxKPRqJRRcs9kILBbAS+BuwTwSnn+Xi5lmrWoMoyaA
UfwuOCYAv6DhsYWktA9BMWXW971ywLCz4k4/K1QSKn6MmzuDs9Bam5+59kMhlIHiJlC8gKbLg3pV
4nWz0c+gO5vc4Vg5fQZVOrQJGk/N97dDxvVpBq+coMlCfxhIS08KGbRJAH1NOUErhO8qF4WIlAU2
LX7oYK028mmHQeeo0b/etrqwQGy06EuAtBPQYSnsDqBXa/GyUe4ro9/oxpHFLwWk+G4buY7teBRi
KBwpEe55dP4uv+dYgkZ14EJF1iRbD2KhiIjx5G0n+toZP27bWlgQnBPND4EZuNaPda2mNqpe8Pcm
88/MeYX4XVpYX24bWThtCBq4HnEvYnpTJjYseNGjw5zGx97ldDOD4CxQKEtWkuSFbYNaIu5gdC7h
D3J817OunicUpIGwewATyyej/ZSYkZb3B3P6eXtBImO4jE946aKrDdZeDYOOsqaPnlMQ1hAFxTm3
3+QQHkFBmhjtFqTQQVb9+SgbrZgwfh+kF19J6HJIGUxHkSbP1GNHk0x7k85Hq1LuPZBn3F6WvIOi
Io2SBCa1BSEX/vfS8Zg5zg5LOxQ2Wd7f161So22UF1u1VJAvgys0SLAbHyy7YNoOxRZMFQDrgz8N
qWCVJ3Fm4uWZHNvioGgvoo3E/9xel+x/MIHxV4xlgeMeuBj5emwJcwo9ZemROhjJKcf4ObbytdHs
682z8MAAvxAcHfzvcmuHDW7ipRNPjwSwNRd4CuLo4dQPv0qwFCbDGhJLPrhiTYLqG3EIQhJYlvSt
eqNQLXC3HZ0WZdnER8GSOd9v75scY99tuKgZoI4EV5f7SE7nsqTxxvRYFFUAFV4fYHnoJYO/wB+7
z3nj983rxy1imFewIiNDwwIvVzXnOssrN82OVaP9ajo2PyWlOTy6dqFu6rZJ7iixp91YD+0urds1
Fi75WIv14ioBixNKFmAJkfxfHUFM20Ci7Gh64KxIuLuvOusbpPw23TDujPmwmugs7TBwgdDdAE0G
+DOlW2xsuMl00Isd3VlvNxjyNQIy8K2p1o6fKWkSWJlRhnmjEujE9O3Keb/KHLBgvL2BR0YYQ/1O
RswqndK5o5UVx7lzkaCyutlBqroPTIpKrtMO1U7lVR2metXttcpLwIU5Jt5dMY6d4Rd2MYW6ZfWn
kpPsnuVNecpyla0UkBYOL0byBXE1Ai5wYFLs62OLJDkkAY9j5qRhppjNa2YpzUot4oqr6X0rAGjD
VwB1jy5PH4E6rHC12s2O5KWs/iSPwDiWO/szyBfJQ6oH1RhUb4ayv+3uCzFDQOmFMB4e8hjjuHR3
zyCuPmv4/JX2p+nf6CddOeTPycttKwtufWFFSkXNzilz9HiyY1rcx63fp5WvOZ/BgVVbma+uUfvY
+M3nd+N/G/l3TdIRtgzuxFViZEeeW2Mw6E0MvhrIIJDMmMO45fHm9uoWAiHwIaD8wNEF0YucXPRx
mgrOn+w4lWBoxH1/yM2VfvrSZ8KywO4kuFLwr11+JitLuxYnKDuWXUUDS028BzyE6KHQMuep1LPZ
r5pk5Vpc+mgApiAYIpVGxVuyiaoR42kOf+zI0xR6/uxr8y9a/0nebm/fQgTSEQNEwoTSIkauLtc2
ubRWnQZP77ZXMEgax+bJtu32oSJFHU6DYt2hxEo/TaXyE0jZtXbYonXwb2IgAccA2gGX1pUUA+mg
wsmP9ZhuaTZMflV/d2pgspuwV5rnuaWvRbriMUseiuQaNUcP5TGMfVwaHcyhBnbVRrWBpL7od440
Is3zmpDpkmPihkb/Bck8qDXF35+VTgqQ+zsD5COOGT+0IKAx4odqrc2/5JkYl3xv3mLKUIYSDIbV
DZMqbDDf2QOwMGqB0/hDuRKo3sdT5FMNyQPAv8S7BIjpy8WwPjYHL6+K41Q9McZQClID0G4nbWSo
vlqAY6/c5h1wBK8N4b5SPZbehihe2NgxRDsSnxIDwGruYBiaPbbDN43uSU8P1bz2Gl7a9fMfKnbs
bNe7Cj+/T9riaIA4F01qfza2c5qHt0/NtQvhMQOuJ0dMQwHPIJ0ataunYUqBDdP7l/Rk4J09a9ke
dORr19L1clCQF8SVwLWC4EQOA7zugGCs1OI45qWvgadJ0X7WXeKrcwnt6T6wIAtfcPqipc+uquBt
nwKRCpnlztpS5fftRS+kC64HRBHGhwxUhdFTvNxbCG7PzmQTYHCabVeE5FPm7fj8m+UHJAhbyod9
PuvgyTbu3fF3ZbGoNppgsv8MbHv7l1zBFnBsL36JtP+zXVeKruCX2M7GnEKgnB67sN/22+yOPrmH
/s44lb2f9n6bbavy05z6mLm4/RuusIPyb5Cu1coABgR81Cgrb74NIQ3S0O++8U9rR+8dGHN59C7X
KsVI1nBFybmHGBl2obbtj/zODLXP3rY84K47pBE7zPf9Pd874RMYY7fKDkzBO5ytXfz4Z58/Nz5G
ofb9rtwUIRiGt85KOL2+qfD78N7BWRDvN1uKc/XYJDXIT4tjnabNNjVmnH/XaQIt67qdaiVG2FKb
hEXB1z7BwimEZVEj0fFmgAjZpT8ac5bYepIUx3RWfF7t6g6K3n7L725/6SUzIGzS0XrGrBeKnJdm
cgVpgTrWxVG1oIY5dlCKMMuHJqMBWyvHLO2lLXQIAe/F6Ms7ieFZ9PIQy12vQvQaG7B6WQCIdv3R
IPdgTwMGp/5urUk4LuS9qC0gexL8uJhPkCcgZjebAJuixTGr7yy13irDm4OFJa8Eg+tEwxB5BmbY
+GhBgXpl4P9qTkGcoDPbcsUGA5CEAwlbHJv5l0d3rYaidfw9q/mGMB/C9d34q+y3cbfyoli1K0UP
MldJmpSwC6mXrTN4EJR8KumddvDgR6URzB04H6fXEnogtz1pKZq7mIMQpW0TS5cyj0Qv56KfGhwV
pUkCmhYJmu+oGWltudZXW/IktGQF8wlSqyspZmpOA4YkzeLILFD7epQquw7EOL5DhnlbejwJE9vp
QEFY1CvH5T1llAPWmWlZY23I6zkDdr04xrYVGKn54tmvfNhqXrLtTX6ncdsH7HAGt+azB73zOhzG
A9O/jk32QOxmN/EnFOf3+pNd45V5+wNcjeEKlzv/bdKnd0xmOOAawaf3DrqzabV9TDGaIui7tvH0
5IUj3iy4vryV2+K9UXa9KWKaDdQTEHGRDA82r726wKbkJxRS7h7Be06+2GXw1vhagMqKz4Ms1P3K
//odCidBusFoSVAFbBtvxf+D2G+D6cHw9nZcp9/YDdSOUEIXQGhLimy84TYkkwcE0GLXsTIop8c5
35ZZsaN+DW7BZl5jhrs+AZgOFB8B6FSU/OQOOfRbRr0DYdsxyWbLd5r4noCx0Fdovb+9tOugfW4I
JfvLoJ00RqubKQeUr3fvSep8jcHg1Zhu0Kgrm2jiX7r8ssKSgCYLUlsMvV1agizRgCoKwBleR3+i
utQFfZbTlUt2wXEvrUj+03Z2R7ndA80FFVBF44FevXl1HeBFF0zl7FOrCbUOggZKCCmF1q8sc6U2
t/jphB4p+NwxzfX+C8/uJsscZmUUO+p4LyjUNtqDqr/c/mjXQQuLxLwx4pWBCoJ807LabQuiDuVx
iBx+qIPK8mcakG8pXYkD1++mS0Pim56txdXrInGAwT9yD6PwG6Xa9fbW+qw2K8d+0c77eRcVbqzo
0s6UGmaddCr2jFs4TV+15Nlru4A1Bxfkt7c3b9Hjz2yJ73e2Jkp47VYxbHEwAhnhpNEgrsPVYsh1
zMDWnZkRP+PMTNI1ikncEYAuJ4htH+PSwDzF4QCZ+nBc03Zb2z/pNefGbpPnk1YebfbHpQkKk6cM
9T/FXiW3WVuWdDVPXZoXVaYDytWVmOAqHhJnbHwdOsI6EM59sSWT9jgZ8co00NoCxc862812gEZW
ZmOBzWw+ZMTcO0m/sYY9ahS+Y6xgNZfXiKDrOKLGLlPWttoYAzNtwdj4h7Dfls59K/fhjFrOAudp
1IYVl1xe3V+D0ucrZkA9phqbqlk/E+K3bh20d8R8tE+3XX85OoJR9f+tTPp6do/UioKr7piwY/fF
UtzPEw+H5HVq+t087D3k7V7a3eGdjrGo7YrxxQvgzLj0De3MyzS8wasj4OqFzyroeStWikp+A6il
H9vTN0eb0KwA7tIJk9QDf6VRs6/EtpONnSfFweUKWD0VsHev/DJx9VxdTTbIFvFKQhXBlM5qHnu9
QgYg7PJP7L4OFMdXXtKn7lnP/XktqV60Jea0hYwUQAhSqLOMvPXYhOuBujtmfjNK3yBjYD+3Q8DV
7zq04d1q9y/rw1fHXCyIYvBmujw9XoZbpLUQi/h2Uq2QeN/6+ll3d7ZxUoaXeH4b65Ubaulbg9kN
gGqUDjEyJl3Dlaa1pM8RZOeqeKKe98C1Kby9qqVTiv4X8Byi5nzFFzGoGTgLCxe+7Ow5wsCQ39Nu
CAb1KSeZT/lrba7UmqVjCjppwYEBtgXw/EF3Ui4yGVnNOmjemhH9zPpXG/ih2Pid8z5M1pqk0vYJ
S4DcoOmEPAJc6VdwMjOeTHdM7Cgmc3M3ZEBhJVnarOzgwnrQgAXqV0XjCHUB/dItQHQKIp04hcx3
0em+21tRrzVBiX6Vr5DkJ8Zovt3+ZNLV+74s7B3qgKDjA5eAFH6s2QRPVZI7UYX+xEbRcytwatBV
kzQNrGlN1GLRGqiEMDzqigKkFFV5OrRl2cLaxC2aB33cJhqKBXCbAPm1+9PuVPQRb69QrOAskvy3
QrDHolGlijqPFOO6jhmoE2hGBPYiI8YTOfeV4g70RZ9Kkjw2cbMSVEWycmXPRl0FrRuICMhY5Bpk
ml7eWkZENNAblz9yAdLDrNztVS3u5JkV6bsVBp/rGnCbSJ/3BgbRC8yKDSgczv+gjqyjqvO/5Ujb
l6hjikKYbUSaOXfbXEMfHeQseIzXq1qJS86P+x3hEPgUoB0k76iNgZYdNIOiAqqu5hwpE3uq4/6+
MDI/4588A/IvpV9DgwCCrPeT9WgMGyUOAI+f8yyw6nrtzS3Fs/9cR0xXq6LRbLyLhJ6lOIUu2tcV
MaIZ0dKD9k2mB+wTtXcziSpgl/10iPcf/664hjADi0cZSBqk7zrWpZ7aeWVFmaH7jlps+/Q5n95o
u5ZzL7gpaBkAlkdx3kCXR7r02mJyVK40djQpn1wlMlnY2ysZ4oKPXpgQP+Fs+5J5qpLW4HZE55nt
3MK+S9W035Aks3xEm3IlZVuI0GjzgNwC2ycULaSti0G+luguMSO9ZPG9N1W5bxSkXInQS/smLm3c
oCiD6a50HtxJGxnvUyuKOaov4OrqG1T84KG3/WDhLKABJ0BFYggEd+nl3rU2ROOnvrAiaoYJaN2y
gvqzUqL89KKOa1R/C34OY5hnANBIYLSkncuLvgOSqbEi4qHYHvNg6De8+VlML21Gt6ruG+mX28tb
tCjyLcEt5wBDf7m8ygMTg1nC4hTrLwal6aHLjZe2QZutHaGs5WSM3vWTomzm0pk2t42L5UgRGlPm
wLuDP0moVEt+WUxpTBgEICLb3Frkh7FRArXbD90h4St3wdIJQIEfHTd8SgxVSMusIYRBVIXjNCuG
n+uvY0f9jLRBukbkseguKIW7iJqi0Sl+yNlRs71htM2ZWJEC6UGuvnHjh9OceDdsh2Hl0y2ZEg09
ERDBhm5LgcNrwWGHEGVHmp8+QIsBmfIadF9uUInAi6D014b0hbjrJJmWFnbkQl8pGeqXGEwNXvNW
FjkahTRolXHXxuQpYWshf+mLoR2NZgWAJ2DXkPLyDvqOcenNdpTbBUo4hrPRBxJY3Ht0Nfbnth++
PyxkRzw3JrkHj1kzF8kEsRedlGynMjB7hrmVVUen17xf2jzYe2YwG2yH/aHP5+pBabv0deoVd0s1
d+58Ah+PgzbVva+3f9viPmCmAYT3+PNq0jOhgzaMbmZHpC5/TfxVjyEMFOevOVlTapB7Gu8fG8m1
wFHgnQeKmEvfBbF9/d81UU6K78wbRduQAg8IrgSgNKOgCuzK9o2P+VbXftxe5dKVARYkVJExmibw
DpemTVZMdsWIHQ1puMuGlatiaQ/P/3UpmbeAttbsDP86cNbTtEuDbN5lL7dXIE6C7EK4jACFw3iI
IAS5XAF353ZyY+pEbvkJdWJ/1FGfWymfLu0SyObQ+UEvEQ87ERHOgktmZTwr1NKJSA6B99jv1mip
ljZK0PKJ9jxe4DKtNZvG2NHq2okaGlp9MMV7EKmzbgWRsLRVuGmEqpaFSSdZJxbt/zJtpxHj5PaO
sm39vDrMshi3zk1Irowpidwde5hQlXjnuPVd5rGQAKCYJqFeo4o/qnesGYKk0lYKZEtbCFJPPOXQ
NMMhkvIFULbP3BRxqyRhA+U+rUUj0DzoXf8Pl+eZofctOHMGL+uVtO90xCzaQios0KyjokGZQIGe
C6g5PONfvpqgDwNWXbxRpYV1RjO5AHDaUYWSuuqV2xg8YmlTrLynFp3jrxm5FaLx2RiSGWZo47iP
easN+3EYf7Us3d0+sEuHCa0U1EjwrALiXwo5CgX/pMEzJwLY0M95EgxNtr1tYskXBCQNL1B0I6Ac
cXlep9kYp2aOEROUKtCHNpj1KNcxCQ5Ztg9bgrvhyALwjI/jSYnjVI1UwSvCjhxM7iDfnpt7NN7n
4h+y4Qs7khMQPs4gqcWKsubOcU9uQv0OUpyOHk3oBN9e04In/LUFLIOUAXhDR4ZCOJzKDV8f94oL
dlxzf9vIwidCHxndRDxzMRstvyIAW+g9NcHVgEBhbkqjqPyEzkCeNFPrN7rzQakScceCTAkCdgCc
ILWR2/ce11wAdlF4qfmvUrMBwHq+vaDFXTszIH2hJJ5nlZgwwLTvafapRVu6WJNbWtw0zKrqKFch
b5fFHNKcx201FU5koRVv/anmI6uiNl3LPsVPla5U7NVfM+JnnEU4szc0pemwlAwafKHVlOnOy/Pe
L0qNBW07/ejKzrqr7dJ7plm1Eu6WsiGAWYS4IcB54DGU3M9AK5bMBQb/raQN9H7aF71vzi94cfqu
0ewpRQn8R2dh0HSNWVhuRbw7yblpKTTpEKuamQPTBmxqBj80zbzTaLpxEKV+FSBqjsk72ey+8LLH
lqxxBC6vXReC15A/Anez9AOGNFF10AS6Ec/LbTfGhymjBxRBQj4dB5Pc6za9T6oq8RO3PJXpt9su
vBCZTVwyyEIBJ7oeAawzM+1L3DaR3rfMzzI9DZiqrqW7C49PSDiABgTZlKhUSMnUPJdZmdeNGyEz
BD3w96TMtoN5SpIyANhw6P7cXtTSGwOARzTNkCPq0CaRDqaV2KkyEtWNtHgzjs+puynLECCVSiVA
3Sobbjeb2f2s9ONLBXVrj256b00DTqxJPlF4zmFOGgAisbeXJ6pqO3grB3vlA2R7ibrvwYikbLK1
ptGSGaCGIPDxPnQhY0JSIByceEKJXhnscPD6fYznVBeHlW3fxfpKHrQUjIBexqMeFkHxI+2r09V2
2g6mHYF4Z9i6hdbtstaw7nK9sre6+1ESsvfDiRoCcBqoYaMgJPnNNCmxkjIDD1Nw4UOVtjIwAGH2
QZnoK+n+4srEXC7q16IBJ0Ugt89Ky+uxsqnne946RdBgKtev4yNl9so9KMNh/++y/hqTjrzFIafQ
IqONRo1ZiT9AGWpfWVCQ9pWGlJtZnXs0Ps12Y8SsDLUxDy09QYOO659LUqrgVS6n7WBQPRiIoz25
LUBZY1YbB7yKir0yJcnRYGsc0kuRQmyNQGu/i7Vd+jNlpaU2uW2DMmh6gUQyyETtlXtg2QQSKzE8
hMRXyuFSWhcTNDPsiGX2W6XVr5M6rbH4LJ0XW6C6MK0BRJ8rvR31OG1HkFVj78EalRFt53bd/ehC
d1ZrdlynK6DJJb8SxER4pKCBhufe5a5NWZqzEtTs0ZwP2oNlZGjWTd6wAzvH9DMbxz66HfoW7WlA
9QIehqtUZkj1uqm1ew/JKYWCsjXNW9aWfluCyrnY3ra09LHgwpjTxMKQ0klOnCtQSx1KkQb3DtuC
irsHQVr9QV6g96MiknpDDF3ZaEtc7l/VWlNpVyLFKoZdqpd3vNeDucIrLPPu/mFBZ6bEJXaWArmQ
ttNGG21IhaMUzAjjvpvbH1Sz+m9BrlAPF3OLlvyU1BPW6zFlTuSRSgc3NG8hNjX3WxeyaitfaCk9
Rd77P1PSFxqGDNNW0AqN1NLeDbnt+pjQLP1sXBWtFdFRvuuAAgMqEUUlwKDFLznbOlLxMYVIDx5f
xVPS/1EcvrGBRB63zMGAQ5mGHnuKyT9cRmAHESw0gnJbfr1OmgfMYwKjVgVofWc+NW75ZFLz3rLb
0z+4BrIJ5BKYvkJb7HJ9tCbD1Geo1ahm9smgaAmqa3MDSwcXr2Mkv5h6RtddulrBj2pDNmF0or7m
d4PXbBMSf6moejQt9eft1SyFwDNTcradgcmshoKpE6Vme7BAamh81bt664HUK8lXbC0tC0A6wFXF
PB7AzZc7hzyhR5HGdaKhDGPoUuWB12MqdHd7RWtWJE+fNXVIUNJ1Ig2Q3PlUjRvUr6ty5TwtWQHZ
FnwOb2XUOMXfn3k51ghVgBwRT+8wU8MOemz40wicjur6t9ezEFvRlELEwyMZ7yH5TdA7wAtMBkp1
Y1OcrI6pRzpNxUq8W3ADATfHKDOSHge0KpfLIV5sTEZDvWhs2a6YPSQe+IjBpJQBdOXfcoNkK4nP
0rJAegInBxGWmA6+tFhAvKbuwJcRWXb2VjOg2PJRWYNui58txSILVx9cDWkqkKmSL7Q5WIeHgXtR
0wV65jd3cAjSAr/uV69lFd7+UAshFthK5BJoWgv+XrHiM5fINSQTLuu8SEswGqdCCs9vbfa5Mq0V
D1/6WEKCHM8J0SWXrw3i0XqmRuNFifYG5gWvUbY2jGWlHjjG139YlKBwFW8X/Cn5OTLxavKayYvi
7tQVp0J7SNfK0gtHSTzP/mdCLPds39KEMiDde+ybZwboj2xjWkAApdiw4YPYYXHhijeQeLagnHql
hqmPLK+HGqvpnZ99YhzKlyZr/Ln6gdxw5dguuR5QI2grAxUN3LV0TWSgbPV6NLEisJYxBzou4acE
aEF/eEYj6fY3WiobgHrrry3p9E6p28QTSJMjLQvyw/xT4753Ynes90MlDaFPfdve0gf7aw4sTJcf
bIinslQgbhg5oBtp7/X6OH611d+3jSzvH+Z8EUoBCJNruGD5VFp3Mr1oGF5b9kUzX3JvM7Sd78WP
mA7YjGvjVEunCniT/xmUAlJvDZYb67MHIFjsu3YWqtq3dH4q1WNftyvBbylU2CBLE+EP94dM3lD2
qjahO+ahAR+1w+e+fBpqHtzewKWvhIxcHFpoF6JxcPmVZnucMImekajXB6hLRhaYJ4n5R9d/3Laz
tBZHzNMCWYZqgNxVKljWcq2FoxPK003pddXJa9T8odCL3W1LiyuywAMnGu9iqu9yRTFH12M2CfzO
+KKaml+yE0oq9B8aLiJAoHWAZzf6itKlUZkgjPXUhkQN2aRWADWm3Pl8eyXvw4DyxQRVa2AV8GAS
jJOXS8lzbmqZqpIIJBzJFrvb3rkabzHlUiQBrzHfpmXJV6h6NCFKaHMwOINyKEoHsz65Bq3DSetB
ck3nXU4NNTT6FJAsQ50edNqMPgdVysrdJqKV/HsFfgM1LBdaaDJKsjadaeSORyI+qw+kiZ8K5ViQ
56zvdxY6UpP3/fYGLR3Gc3tSRCMJjcu+VEg0jKHXQnotBNzhR7xGXrjUr3zHpfzfdckpqapgvzSL
kIha+m+PaI7vJPmmQcEEiBafQRnIKsk2ASy8MdfKAUsHB7gz0dND0fXq4LhzlmLIxPUiNvwARNpX
+E+3WitxLJ0ZsOHADJ4SKKZIjuYMmWswnpAon5wMbHIQftNS4zuvTe6jb7U2wr/w3UCIA1ot4NAc
sKiKn3N2l2uD7hFOEXQs66SzP3XXi1NqQ6avSFZccuGCwCNMQDPgjqCDkG4hr5oBBq4yJUqVbmOW
yY5CMUDrj1MvmNMDMyXBXK7d6gvfDKVOcEtDSc8UV/vl+kiBmduscsQ5mAAK86kS+2tOuWQD3K1g
XROAbizv0kbdKGOiTKYSJYOO2abcJwXostOV7bu2IhCCqBULXSADOf+llVirrXGs4Bg6zldMTd/w
el9fGzwT+3EZNy6tXMVSAoJYg5HILsDLbpYbusaoe+3gwgK6vRbInzAfKnkcUQUacShIlPH9YHwj
A90okIPrn24HpOXt+mtGOP6ZY3eDmhODlThHhdLcM8+cDxop9mXhrc3kXx+hywVJiSMbW5Nh3JdE
mDKz2g3dWDtvN67Juy1ZQV1VqOiAShNn9XI9OWuRgPS6F7nDj5y4gapuHQCpkhZE38ZKtrOQnyIB
Bnc5KHhw1V2NxjfGyHOtquAFHEwjj+oE8gsTOjp5oGRbO33K9M/xAHZzr1wBhSzcs8Ky0MgA4ySA
ndJnw8ulaisLm1lCwzl5aUB9BSXnKt9W9k43TjPdtjWAdcx9JE9Fs1WVEIM23vio0vQbRuU+g3tp
c9uRrsMWfhE2Q6i+Y/uvZN9JbxkMpf2oSV7BregzO+jLAy6f8UXvMPa3Ym7hAAohRkwcCHZwnPTL
74yaYgMGJ1zccYag2PQK3SRlZa7kmgunQ6TpYAIHhEmFGuOllUFR43kYWmzzhHAFqq+W+/X45cM7
h+kT3C3I7SzkZWKpZ0ewBL8h9BAR8Od63HptkPVfKMC5uDmraTNNv3Ln922DC9kBaCNQ1gZGV1PR
s5SWpRmDyQveKBFqMGMT1oqmZb6CCZnUd2c+/rT7JoHUra7lnxX0o7qgBmqX+23LvY/jF4QDgydW
dNwE/8Dl4q22rxW3sBSQZFnoydf1j9Hs2cpnlBkl8D6GFXEh4GmMdunVy27qR28qDSzYzTBAmd+Z
TrHBoJNvTG7g8W1WhC1/cI30EZMK204BWfHHMYP4CQLAC0o9MOfITyOIGNkx+rlKNOiHpPkKFRe3
DT7KdvvfQs+sSNtZNVNqEc9RIqX6BsJ3YypQK9zddp/rnBkrEZUgJChoVMmHolN4Aw2KND6hdMKy
3c4ZXpJyMz2X9kqUW7gCUdUAgBSNF6juyLCQeei0Ydby+JTEO2CGN2n14M1J0K0JoS+d8nM70p3h
tHbXcjuLTzQB3g1S9XXThG61clss3EwXq5FCNpvrNrZsbFuSzOiJHMp+TyzbL6gT9GufaNHhoR2I
ww1SA9WW2cvrsa46zW3j01x+z4wwMzeJ5u4NRXuyzDsI42yS5snKan+MWr2+68Aks3bklj7e+S+Q
Yoyd07gS1HqnL8wGg5pv+PawySPQATg+TYOKoXQUNCQ4Bnm94jdLO41bWdQHMOGOXPAyptR65lLS
9/HJTH0yhULQUA1w4CClffskLDkO+Bnx1EFZFDU46eE+K6BeVWwjxgD4Y1WFbrejw8qDcXEbz0xI
9xzI7vSSzGZ8EkVExWh82/jkZHS3yue7cH/jUAsuekdAha5ofvLCdShr6Ik/TezQsrexuedVHbD4
R9c8EpWtEBguXkJnBuV3DgaxG7NROT0Vtu338xv0rcJCLJDQYFaPpQb+E+i8Z0m7UuZbil/QDgAQ
C/LH4gF56R6i3ep0ECU9pU21TV0LadLXAd3jyUQr78EFk9ltL1n6hOf2JC+BuCLuTaelJ6/T/HaK
5pT4RNlMa/Mb70OW0qMELXEkv+JWx/9IC6vBDje2xUBPerq3pq9Ve0/tX4Nb+o1zBNIMqXAZP+it
j3q3Nr+OxXOrbOu837EPCiO+30LnP0RascOoirkVnZ6aHix8r63+hY4r7rN09EBYhMkmwFQBMJfC
Swbi15lC5vFUwU840QM1LX3erzWplnwFrTDwkQsGb0wJX/rK2OlG4tkxO4EkXCtfx6r+ouX75MQd
/iN1P3/cUc6NSWfdpWaTDtylSN9dpJnmfao90cbXWx7+/xmSsoQ61wA4ah16YizdVNOblhWBCTYA
rqwJ9cr7h8EzQeqA4QIUfEByJF+tHKfZIMkQ1UXoJeq21TZVvQWT34bOoUdWrtj3o3t+AmRz0h3b
aWaC6bp0iEzceOjz6cVGoz9n51dsn0CHuXGn3xPbWmwFACNfOIAKgQQYz4T3EUVPliPWwStoWcRQ
o7mpt6ADTnzTHU4N9IqCsk3vOFP/3P6ASwbx2kKNSDRpMVF16Za51jS9neYaALMedBHtfaZ+ccCz
SCwW9OyD5P/AawqdQyjvCI1YQbR4aU0fSqcejEqLxpQVgdU6P0mhbknjfuv6KWIx9IlvL0++i8A8
jNcA5hbxHgDCRsYJuHlVthUmH6IZio5Obx0LY/6iKuUBde0gzronKEuEoJZZqYUItz/3HsmsjBmY
mANijBRmkVj88ZCkeGr75fbK1kxIIToxGjiSRVH/TfVDnvEtGp4rh1uOjAL1APw5Cuw4RiAHlL5W
U8W06hwWn7w4h+KGt8N1sWfN19sLuf5El1akk2baHutJhtxcHSHzrYL50/ACqI5mWXpHUZPg3gMa
kc+3ja4tTUSbs5dy9n9I+64dyXFl2y8SIEO5V7k0leVUXdXV/SJUOxnKO0r6+rtU++7TmUydJGYO
ZqZngAEyRDJIBiNWrJUWkTr2MKoNaGWNAQCtfBsi57etrBN06QYY2qocCPQnEG18BnGmZKknHVZI
2Tla27gm+ELQRJqDZvz/ZonzhsieS4nOZRz20hHZhUn2p2pHRWX1zVmDBgAEhpApB9DsctaYXg5T
V8OKvmheaT83I1TARPfxVTgHt1tZ6gHqwbZF5p+z0kg1GLEnxMJsMoGmjyWnM9FznD91QUmTz1Zn
iqY5D1QRz7dn8XpPwTKcGGErsmEQG7ocX5mXpCsHaNKSBCQyQ5kl3pQRM7htZWMWkaVA1IhYA6QT
fPbaKEncRbjNQlstD6BOcHolPlBDQHuy4XsXVrjNC8IdlSYAQoSKZflJ+Vobx6SvA6kRdPBfPRDX
5cL7HQ9EpJ6QdlqHe7aVJg186KRAYKNFHxSqHVZieXr5XE9/mvah6L4PsuLM+oFN6MYYdwCc+Len
k7/BPu0jIQwUCyYV3W2X9oGhB/41LlPckoqX6KlXTq/zC4D5ouh7a91W4P8KybcAkeD2mBoXVmcn
eElk0bIrR/NeHqW9SQRXx9a6of8QwhQr9gdvz8vhTIAMWnkypaGipyB0MV01euxkwJ5F8vObhkAv
C8mVFd7LSw/0RtmagzWnoW7tutw44MxIIKBkTpHgAb+1q6D5gyy6AnA68DDciOImpuUop2GkJd+j
uKBgro5FtOdXARtS9NB2WV1xFX1GX9ulFXATlBKUPGhYDK/F/DyYtbco/SEngUWrAPAPd2lAFVw5
ol6gz4rW5Sm/wq/xF3iGPnf0pWV1mCHIo2lZKJmzo8els1g72UAv+uMkLfvGTHdm7Q7pHTG7QO4b
r83f24x4t3fB9SQDN7gKkAO0AyAXz37WplFUS2lEw+q5DEV8NTw3toXJRb87shOoxX+65eUQS8Jq
KTPjPIwLtDAc7OpAo3AahlM60r0t+7R0jfQBCtM7K9nZ5fRoJ/uqVp9x4gic6XoTogMT1WC8urHI
ROEu7pak4NQZ5yKc859a/QvwyIYJTrQtE/AkwPwALoVcBuevKUQrRhvQ87B9b4ZH5f4fo9Mwm6D9
+Wtg/YCzEzNJcr1S26oII113pOYOihUzAu77DIn6216xORRQrK/KR8D8mtw7cM6iVR+yKUI2TAcW
7Y2qfMiJ9I+DD4i8rOpDBnAnwDRz12a79G03EKUIk9mAHFXhqPkPOWqeivnX7eFshAawhD22Zibw
iOYTLibI4uM5UrE0eeemTb5ykpfgV6HHauigIp+5BkEQGYlQcVsb4MIw93pfYsOapQyGjTpMWOOM
1WtKjvVEdnlRu3SUvBr/om63eBounmH+g9AVcp+9Hd6eAv4ZvPqOgToLYDeoRECQ6tJ3wEUF7PZi
FGEzDk6cgYGPfanYwcDRQ8z7GbXwf2HvM/4HJhlIXm7gZpJbJpIi2G/K/ErqnrROXpctUq2TcWCa
krmLUuYBhIxGwRP8+l5fuzhxoKO8hBCDR5Hn1ShNINApw4QMRyPHS8D0LNlLLfJ1kiaBsa1DXAVv
JC7CNeVl8Np3Ta63TRsvJXZKgWAFsJNHktWpN9SRl0kQuCr6tA/0gvQeGuCkXWVBMSVqWHtQqiLZ
x/1MPWsqc0GPz9ZyoziLfYUTAwxM3FHB0O9Yzk2NI90uoY+mvxZGftDy6DDX0UNTPrYZ4Iu3V3zT
16EkDCjTWuBCRfrSxXSlS6YhNcrQVB6m94TtoMblGlOzQ+G3iXdjkzjV+GSYR1XpnBUkQ9/yYy0i
R9240FDGQ8/RStwHTBXn6FUDXE4clVXYxuhjW7TG8pUxmwXXyXUQBAwVEK/IVSOzdEVc3SukUPF2
qkJrh3LQW256smAFt47gcwvcBtL0uVUXGRYShCCp+itZnonAxKdzchEIMito90F/B9DivHZpx3qV
Ib1ThotsO6jOEOk98lX2k+ysuXfK2iPRXk1kh5WQLDnm+Qeo0dhd1LtJ8Weu3ssHsDIsk8/6HcOL
S1eDQUaV5bZbbcwDphjCNABko3GXcPPQS0NWTgqaco1sBgt696smSuskrSjPetWijBMS1Wi0sYKU
zVp5My/ddyn0QSnJWOJpDwVXs7a8NJNdIML9QT/KP+r0rUZ1vNZdGnmSELyw4VAX1tf/f3a32+Wy
sDJBXlwGTZX1sLAHSTnS9ONfTOb62lmJbpEkX3MqZ1ZSA2J8ADjiWIgkPHSo0zfUy8D1ftvMZ1KV
cyykqtdHOHgi0I/MBdVyaUeSlOAoiJd9VyeOFD+OyP1DLXkB3Ipl9229yxaGF2zl2lZYpgEwiGA/
c1UK6l3rmL2m6WM8Bf3kKvXg5Pa0K62TErVHiQlKdRvnxariBxo0nN7o0FhP0vMp6Rkop1SzDPMK
7E+6hVbIoaYiUNDW8gILtooOYMdBVOrSSm1PyzQapAwb9hFP8i6NDv3KT279uT3z10kx1MRXdk80
N4ECjW+HlpWcWrTPq7AxX2wAXtPujxVRdwYQzf7B8mcWGYK13rhuLyxyp3429XmWoPQRWqCRa0qv
yUqvpn/UpvBGKRUY29ykYHMCuhvAawAhOQdWEq3QFsKqcJ7drGJYqrfKfLK7zmvb3o1T4w2Exu1I
kLMgz00qyI1sPRYRUaxcSLhfAJ7nz4gciDukYRDLVbVTssmR0+Q+ssagMaUnVs/fyyoGdfr4pZg6
J1q6RXDtbDkrdhWy4GAxQ4jDOWsyQ1A9AUwyLOVICrq+Kb/OnSQLUgkbVlYi2pXUHu8YiBJcOqtt
JHmWN7QOp6YzfWYt06HIWkUQOm24KrIiCJ7wsl9717i57CSjsc2R1OFA3vP4IS2lXSQreyVVArs2
XZMBCTF+v709tkaGx+7arolXGlgSLkfWNpXRDkrVhAXtLRcM45o7jkTENrqxJWAA3gGCHCTreI2z
fEnKWJK6JgQvyhc599N43Jsxc1PjtxBpsHE9Xtji7o2aZFZTITsQ6jPKjwu5S7r5qNtM4PnXiwWn
l5EyA4IIiQIe1KiXkLDsmrINZRIMw6TtidqQoJ2yY5bVD2rafu97WQ1MKxF1bF5HsrAMrts11AKu
n4fg5NgIM4Qm2nAujhU00wb7AZkgKaOeZodyJOr42RwoGJRQLFwxUlewlaYpKuAs2pC9gS4HWK0F
7QCDUyVORv3kn5eZ8Mhe2YqRmkBdi++7bldtMzsv+1BhzR2gcI9W952md2CQDFDs+16lviYMdK73
ALQJ8QxEiI4nIfoDL/cAa5namF3WY/JqPZhZBt3pAVDN2zvt+sKz0YYPnu6VMxITyfnlaLRlruTG
ELbmTxvk7uhDdHP6VqqiVMXGgkFtGmSCkGsCzoiXarQZbVKz1ocw0xRPTiXErTQ5jl3uHiHo/IfW
MbBH3e726DaS14CpQ4oD7QXIJ+Cfy0msWGl0lPZ9qBfaY9XbAC9qB3uMHdSCmkQ/LVADpDR7H2ji
GVHqjdlDlneCc3ojrbF+BdAHgKahBstfB8WSp1k0VH0IQUXPmHzcm86Q+938jWgPiiQ7VTW6DVoE
BKO/PnQu7a5rchYzSdRqGJuaPhz+MMuziEOlsCb7cvH0h+TN9OfEn1Cs0hy7dE3Rq2XjEr6wzgtX
F/Gi4w6GdTmVP9rxF2M7CHQ6k9L5ONTnbg9KLTDheAR38O2BXx/sa1lJASciMIcQt+EuxgnZTihR
tLBc/tL1g8oOtEaBc3CWrvNvm/pMSF6G0Je21Ms5BiUopXgQwMNWZqZdHT325K1kIDMonBL80HMj
OfWPbxp7LLsYCY5TYf9ETbJl/iRwM9GouRc1mVHm7+KxD9VkPOg2OCGmXa5/FKp1mkkqMLbxdFjH
jcw4zibMJ/8m7bXWBNVh0Ye1kau/LI3JR6SPbGhJVnL7Z1gG1ropJNIWn4LiYXCsKJOVA23bsgrI
yAZ/gTJy/dT0qFjFhU5+dGVW504KoeSXqijVGvQMlOn+YqjpM8laKEyDqJ5KO0XO62IHjedBPkyd
kUGvUSqTx1RjpYg3nhcDQ14cg4SgMiS98djEu+BycbvBppOqz1hcR/ar3bTPHrW9uY+Osl8fJCdV
HTbsjLuX6ocRO/rBMwWp6s3z6/wDOE9OW21q9XLpw/69zgLixM+qX9C7afq5yPusgSLaoW08qgji
141bAelkqIOurQroHeCdumYZHRKMe0iH3K2NCErSalnsJzMav5pFFIeCXbRO5NUuOjPI+y4tq9YG
2VCYTY1TpM1eBSzHVA/UrLweSchieivI4kqibq2NSxYVD/Qg4E8kXHkKJ+zT3KoVtQ/TQtVcGlPm
6OMSB7eHt3UOA0CPCwCM7ivj9aUbSXrf9rKZD2FT3PXpt0j9rWqCwG8jq4f3xpkNLlwwo9iU4x42
DP1dHsMmP46tz/yqOTEwGHR3wMV0r9Cuu1O7+7b5iIHHvj3IzfP+/Au426ZU2RIPjA4I2o9JPNy3
nebR9ndC0SLt93eW1t+1bPjSUxFd49YiIh0Ed11b6MGWdDm9ddKpttQ2QygtlvxSZXrloFEger09
vk0ryDAgMY+aEdKnl1bAVBM3tdoOoQ7N50OutpCcRGOxAK248XJGkg/xLPggANBEteXSTNSOWVRT
bQjRyheQD8jBuJWrHuo3ze0fSiK4KT81qvmNd26Om7tEG/uhTtUhZCk6cPV0ouCOnYbvhBmJB6nJ
4VS30vKIzkJ08GtKeacZEdJCijW4oO1J/WWJew8pDvkB3dwZCtqFdcincgzkZGFBJ6Etl6hR89ZQ
O3+o5AUk63Eq6ii6DrCA+1/h6ygmAChwxcg/4yVEutQaw0Kqk19aA3XTkrXKU8Vi5bR0dYS2bC0H
0QEUG0DDUy/9UQGn7M/bHnK1zfEVeHV9dk6Db49/fA2aOXZzljOgybVDWhROm8SHvhdxJl054moG
boiUnYbebL4SLiUzcFvqwLDT9fw9tnpjArsLQ+vD7eFcXQKfdpBtBuvzmqvizmRNKmnM5paFDYrS
Xq4Vf8oRvIAkn3UnSivvtrXNyQO13X+traM+i1XVzNLLGAFTaNhl5NpGLvlLDq73FnmTf3ocfw4M
Vae16RgdtNylWtKmnaKmYyEqEE6jRse8GD0zXQSX9/Y6/TXDXaINMECZBvasMLH0L+h0j47qaCeC
c39z2sAHADphdY1WuFMplQdWp8mIacvaXalMvtG0R2Yp/u3V2fSFv2Z4zNZgE2qN6DINe/V3Px6Z
Pbtj9tKok8COYDgatzQmXWpd0rE0FhqXTRQ3sm5wjF4kZbueahenHtJK2EPITgLsg15E7pCtbaqm
NJpYKGdN8q0yI/CaJm00Okw2Rp8AMg4RX3X2SE5FENmNEYI0C8U+MFMAzcQ/6/MaWgZmkU/hIHWu
leMhaED7Ek3Utxdsa4SgUcVJAY0LkJ6tn3G2nRIlxawp1YTcll+TUO1mJ80nxW0TDG2wgBovRI08
Gz6yEuijsRPoDQTN3KSqdQcmQUikAkSiFU7TDpVjytnvNKnQqjH18/72CEXmuJvLajVtzAw2hYyx
wDaXzulBJ+DUUTF5emQJ7uWNzYx+dzgMcB1o4b1CU/VqW2qJPIVlXuyJPO5Q6/qnaFI45bkJbiuT
QWVgjVOn0Mi/ko55nXRPyUcUiURyNj3w71A+L9Mz1yjbASBtVZtCmn+FNImv0AZqJPM/P5hwviKQ
gSobkBy8FI89ZJbZ9SYcEGIyWv9L6V6jRfBs2BrJuQ1uxuohmVhZSVM4dTOaxKg7tEgUR2+3HW31
W/6wAGv2JzAKNQX+sCilGkjvNplDPGbllwSC9h4iwGzf1ErhS22qPhjRzAQZ8K39C+oDZKVRAQQg
kdu/jd0PA7pUJ5SVCdrhUKcrsGeTZp6DJSXtT91MydeqmuqAJVLUHW4PeSugAhgE2EHg5NE7o6+b
78xHGmlZpELCzDKkja1lL2knPUeeajyM4+IwNQsHfW8zwbNza6ZRLUIt47PUwOfJDB3sNhnL5pAM
IZFyfwCTwfCdGUeWfLk9wK3DA9UMA906ANOhzfZyfClF0Sixkyk0bcSKVtQGUIYwHLMqZFeLiKg4
vrWa4D024EYgckIi8tKcWdCZlZI2h3OsdaHdsSl19Kw1xsBO5iV3xtbSJmeOZyidREYVi+pRWxOL
GwccUugBwapy1yrJF6qUo7qES92eWJN6VmHvQUnwO5embzhHRUcM/4qBpVVPDMU3/NcqA8kNWFsa
omZFBG3L4V1eq8MtKgCmUt+pdnJcJ1lNO2/V/wKu1+oALIta7/YKc1N+9QXc9WDHTdqnRKpOAwkg
x0ypnjjU6BxqFncjCPcXEesidxj9f4MArgG5Zq8gzcs1JjJYBpAoqU4k3w9jBOzFHnUlwQ7h/PbT
CMizQSuKpy5iZS4mn5ayhLpIVp0m/Zc23UUVYK+GE4saAfi3/H/srANBdQyIaF7LWh7jZKGrHqod
556lvttuDgiAojuKa6s79cdYvfSJsGq8NTrYg8eszyg8bi6nUJ7J+tgk1Sl+k6RjduoKJ/siG0FR
lp62g+ya0/yKINvS7JrZnYjXDcFtp+EbIz/HDdIZcEyCzQG6s1zMLi8EWn+SCQ3v42PjoGMK/2iB
7bxXTrDKZxzrj/S9+Xrb6parQj4DnDooDQB3vk7L2WGroU7HFBMSvDkkE/r8MR0IQHiVW6Rg6Liv
4/mfxYafg1zp0IC8A6b/6mFXsE4fpVirT9bUv1btK6nS+zJ/LwEAMSWcC13/fHuAW1tjbXxT0FmC
WIDHBik1OGntKmlOKlQbH5g6D4ecmce8nUXFaj4t/Z+xoTd55RxEv4DGLaCCg91ozbQ5resW7/tD
vI/3EGv1lSBGqX9XHuqDdYzv+gPdEzfat8l9nJ9kD+ioEyiAbo+bv0avvobbrkq7UPAlZc1Jq75V
UuZG1nsW3WeRuesMKagb/ZiVvTOKdH75ZOCV3TWaPfOojlhLNOuwO01TQIDwKCxXsp0IBP+Jo1DX
aiTPjt/jPFDCcXaNCiKovTuIthN37ayfAQYNgOc/g6crIuTRyKISqeTmRG3mZeZ9Bmo2ZRocTY9d
ImK6+WRgO4vT/mMN8FngGgk6VXhgmB2bPQGfV3O6A4GN07z1J4iRO21Q7dG47Xz/AQyck3ixnwT/
+Yu6v0d3cWdP8SMndnVX9hR38mdPdQCPE9RLtm7EtYcG8ePaRwBmvcslofNYzN2EuSDD4tioLDhL
+m3Rp6fOXA5yhiLRci9Zw4HR2Z/1fN83pgBBtbEaGqoYSIWtUR1gKdwXEKRTLFZ0J6SO1q0eO+18
SJTHrPyHoOJ1JbDPcb5YqyqQxbMdpCSRF1aM3YlZD700eVp+38m9Wy7Hdtr3iSBY3bg1YA39Arin
wL7zmeI8c/bMZGqNqLQ7dWBs2S0e1H0LUZ3geifDh1HsAgANqDDUcrkzWu+qhHZFnZzQpa7mo0f3
Fvhg8sHLVdNJG2+s64dIeb19fqwrcuHRq9H1Ubg28axSDJcrlkq0tPWeJScZqqn+MqrlSZqTyjfH
lt6XhVq5narh1aN1jx3EQgXv0St/QU517cQG2xtSjZBivLQODjtjqdA7f5rzIjsxUwGkkhQR+ijN
9hiz2HDoPBSCsG09mbghI2OB5DfAU2vHFxeYZ1ON9ii8tE+VKrtNpHybulHECHh1365ZkZXVCA4D
J+Xv24h0wwSVjeSUJH6p+zJ1TDuIApJ/j/8hlQt+/NLUOsdnvqlRy1qs2khOcJWXVGscY37Sx1Bq
yJNShre9ZWO9LobFrVcFHu4BUrLJCdI9cf2ivse/onEl3L1tZmsrrA0aqKyv2H20Bl6OaRzkGbla
BX6RfW0HwyXJg9ns8jv0fOV3Rb/sp/q3wOT6k1decWaSu89idZS0Ql+9op5CaEeDK6J300n3jLl3
rXhwU4D3h2h6lqfYMUx3Ib8LKpJt25zfs4/gXHPs+taEnCM+wvSqLqD74h5oQklwSq+/cjXUla8C
b0UbLyhuqGMH6uwZKkenLpmdvFhciCMsVCQkcX0drY55ZoYbzEz7soT8PByz26lVu1ulEGwN1fX0
OfXulcFbkfmLU4g6ba4Oa84ud45WasEkO4LdRP2dWIu/TASiR07R9oLT638ZIXLiOh74SCpwI7QX
lENL4HtO1CKxn9YkdfCCSF17qV6UDDpeBS2/KfX8s+qBedIqu3bnpPyiDZUhuPu3xqygHoSHP24n
ECRcbhiKnCuaPDBmqtZHPfUta/RtBmongZ2tsxPpImS0wbaFsIub28FuUqOrrOSk07rbDZX61WRE
BCraOjzPjXAnWlZUSqbNOgbT0t8Gc6ufNaGQi8lcOa09ox4y9/bm35w91M1RWiMr7zEX0Q8d1VIg
euCp8hOdv9lotjQNt1dfbpu5fvLCM1XgyoE2W6MkXj7T0tEDltksPVWjl5g7pTfcLDuO8uDML6DL
nwG/e1JBZX7b7NZ0riBX9D+B2B2drZe+EUN/ttTbCV4q7xOUJivX/AGuK7lyWCVCMW75x7ktzj8Y
ZOVoWsCWUtUuQ1+bsOdYZIFzDmjDqfM0w4KtoBacoZds+Gd5+M8LFVgNIAmhzoxqPJfJshDsqXm3
pKfUQXuHIJLcOnvPf5xztXycMwtyROlJblp3Mr7reu2WnSCzu3l/nlvh7k9gqZLSGNchgHj/a+qP
+59WkPuGs7/tWqLRcDeJrLa6JEtYjCR+JQNyJnID/UBRZXB7yf8uCOfAeQRc7Ezm9LSA6SAdngvy
f1xxzmsjYlRWVmG6IjV2y+S5AwPl7YkSDYHzWq3tIW48YwgojDizjTRPKujg2jrD1moIrgDc6Qir
L3c5WDMTqlpYikYx3Uad/TKzwOr9vREpcGweJ2v2DDrN0LLmE82jPnYElT1scYsc9Cx9s7XHTgtx
N+F1r9yPVFSF27xm0bH7PxbXLzqLcBeVNHoNeoZT8iQhq4L23Polv5s93XQU1yjRSSu4Dzbd+swg
N5dMns3MQMrqpJivMS38pr1nhsgIj/z7PGeQQwAJigoCDby/LocFnv2ubTo5PanPIJ1T7uTcIa+x
b+wGn94V3/VnEuQO+5J9mEc06R6aLBDJv322H/CRIJ5BKBSv+QyA1C4/oWukYlKhn3LKIW/3vPwE
dLi5s6PjUj/rOciDtbcOWaxH6SfgII6pebc3xVa0e26dm4AuyQH+0Eychd2HNlpuCmZEubm32O9i
/jcXE9LmeGuurUJAm1yO1E6qBAzFZN3ihu1UlBUeeFwMwYi2tjmiL+RYZXSzX8mqgnYLEUCtpSeD
pHvbzo7zLMqsbu3zFd+9LhgSBTy1cdl3w0ougqNdlh0CWYB3Y36bJkE6dfVw3jFWYvS1ogTWSr51
loHPXu3jCFYsbymBMkIDHhncXndyRpwF3NJakgt23eatdW6U80aqYZsTQORPxfwddRsWyU67078a
ym8jngNjSA7R+HbbBbfGCRod9B6BYAlZee467iPQAEWZnZ4QdUlI5sb+crKemiL4V4ODkhDS0wj8
1jz1pQOCCdeqqi7JTuY04Sm0A8udOadg0ERLZPKcTJqTgSuNifKjPHj885RBAyA6oJEjRaaHu3mq
roOGcI9NpuHWAQCPOkMBCSMAGJEhbeKH+aukPDZRc1Sj55m46o/iMDZB+zszvgBKJbgGP9HMvF8Z
n/UrsLhAcYb7Gsmy8w4KVOlp9qcXgNifrR9LMITxM9BFB1TR9pgYj57G5zZ14x8oUNxebnVdz1v2
uasktczFho4iDrzKie51T/85PU1e6rDnvnTS78puubN9yQeofoweYne+Kw/53ni9/RWbTnc2Cdz1
onZdl8oN/Fxlr40BdIRmOe3itsVeNYMENYQ8poKJ37q0cVujrxgMBeD/4byvjjOaqhlkSvNFQzOM
O5jD/YgOzcQO4ieRBN3WuX5ujAun7JTZSUxhbD6m++xlQKNCIDoGN99SoHJE/zIYLFbKkMv9lCrD
IFVDnp1GDbj4wnB1o/8TA181E+1Y0+ZpDUs1m97H0be0E2GftrcVCojQ1EIVGn9cmq/quI26lmKM
Ls5H+lxlXvmSvS/QntqxpzYO0kd0jH+rXqRv0jcmJAxa3yBXfowuPPRKmijT8utpqoOyxDpyppBV
PYA3M3qj1Gneo6cIjbfvv27762YAhtLhJz07Gpb52n7S1VB3jrvs1PbTXmbP7N76mQ6OWlmOxF77
1tW910GQXNncJHBUNPeibnmlPGIi7VyX9pidhg9zP7xSt3rMQeV2J1KC2NwZZ3a41x70Qcp6BCLk
pOtv9oJqnQVauhMhH9JhbCfB+bN5xa1v8P+OirtvDBVOC2HV7NR7f5CW+hJ5w2l5QMFSmEJdd/SV
h6BN0kTNAsVuvppQLL0dUQnzVxW5OyVBQxwdDWD71PKNw/g2abucOtVbZ96rKJNGogT4Vpiy6mP/
1zy3PUtpYcCYY6DB9EPboR/7x22f3HaPv7/PHeQUMkmQpsHvq/dkdmyQ1tjlvWl+wYunNnSnEZj7
Xxburz3uzM4miykUsIhT2Wm/oYG6K+vi0FtPUWW4kX6IpodYA2mR6LElWEW+pDcqk6waBcxqAT0d
RYJT29fh31XipRurEk2DXYNZHIPZjz76ANw8yqF7k95tz9rFxyR3AMmaf0bfzO9EceT7Och1R/2H
FM3/iVHOPoPbFeo4gtevw2fENHVk6fs4PraNKCeyFZujNxKMT2g4WiP0yxNbyhIcmevWW7z4+M3c
z65+139N3eiufU5fGj/b3fbQzYPlzB53sMikAqdbOmcnWu0KsrLHoiYbauxenx8rVRhfbt4IZ+a4
OdSlFoxjFsx5i+pko1M8k91Se83JpK5eP7XCLhJt64A5M7j+/7NXeT2AQpnEmE/mFv78jEDi2J1+
LW7sTH53EDEAbu73M2vc26DSoF2pyp/W6pPqEndyxj+6++f2mm2eWmdWuDBJG8x4ttDKfir21hOw
2XeiFvZr2AQegOdeyMVGaJAuy0SDheFjukMsfj/dFX7tZwAf0aDfDd60m0NaOrfH9Qlqv7oNzgbG
HcdLUeJZnMA7yE4ZXfqdOKXXeYCqAZdAj7bf1U7zZYYO0ldpJ++1b4nb7Ko95IN9sLd7iRO5c9D/
i6zb+VRwR/jCGqPMLSxpRArY0U3QrRSDCCiwte0RswAV8Rkn8QVuUM4A+ZRI2SkFCjOJamQYBBt9
c3KBqkJTFWR5kEXhBoIUD+oTqY2nXTBKiP/IkR2b3fgLgtyn6SW+K082MjnQHdx3p3rX/6neu13x
RfN7fzgMXv0Q/6x3wtTOut/5FT//KO7C0iI1jfMJHyU9toHq117n9k7qJx+6W7skuO1ffBPp5wl+
Zo1v3pjVtAYBaLReJMRN3RSotp+lU7ilk+9mR/Jum/ukqLsxOL6HY1FRvjQKDG7wS4/tp/dfSpDA
oZNH9qE9yn7/Y/na+sVR3yn76LHGtZXdI9xBL+0+3vWvljPtpV0B2I7gu7ad7X88gS8kpXk6aJGM
7/Lke+lROhBXO0CxqIAqMhg5vqR7epzftH35gUff0bgDPsZ8TnzTrX9DJLDDM/RL/FNz5Sf5lDnR
QyJwVJ6h7mqVuCO7A7GVVFGsEtrxnbdm/dt0vy3Ioh5/C9lUBQ6ocSe2BdnAhmQwJh9tJ3W0XfCu
OMTJ/A/RW3ArSDp3Pu7U1vUYMIx1/+Xk95A/afWfQpSq3Dy3z21w5/YgyRn6k1YHx6mZPErO6GRO
EsxB7E0uCEicbPf257Y3bb4xz21yh3altZJud7AZW3NQD7WbQj2tivJdH8/7OlqO0tDtU9aDCn94
tOzkYWRRUOeTJy3zTlMaP1as12V4lETVDOFscCfeNA+Z3c34MvuFAgA3+9p+8MHr6lSu5I4+9ETe
y6NIsnEzBj+fD+5IGxhrErZgnUGaFS57QDKeiVcEjdcLYsWtYOPMEF9NB5NZZMgDhsd88HfcEcfe
ZT5zkufbC7zpt+j6QD0djLQQNbiMoDraybNUxPRE09ZrlV1hVm42CTb95+1zdVb+tfI5q2dxGhmj
Tq8ktEgr7SHN/ihTsjetvY1X0zSPT1NaO4lhu+pYu1k5uKPG9oniFtHs9oC45UvxhYG0sRz6nRZV
wVL3KPKRPW0kP85avze1R1tu76Mmf7EhJTN2jX97ktaNxX0+kHcrqwnI1EFlxoXttcKA6i365ETq
xa371iFa4qrxa8kEq7HlXhYgfkgngejwukRQ9BOZJmoCCtc3+8rKH7s2SKlvyzuVvg6a140x9O1F
+YcNJ0DoAHJKsC/aANzzTjDnLV54XXqKAX5rxyTQDETP1SIAbgjM8PmqOSa0G0BAesr7YzJm3qwk
bi/ngot5ywogjCvNAfrXAJm89Ggs5KBkBIm3Dv7jD/JvYal2wx2AkPxrYf2CM29uJLvqSYdCar6U
d6zSj4U1BW07vy2DqId3PcQ4z4MMswLeJZQ6gU7kjvyoXZplVlEVVnMQjKChZVYgXjYt3pD5k9Hl
uzER9eetJ/q1SbADrjyE1zTIKRtB4Gxj/qDIXKqTAwkePxsMsB6We+AdBNmozdWCzvR/rXEvVMXs
JlOpgEUgzOuNDxr9iEQRkWhA3KsUWE6rGyQ1PfXmMu1AIGGDMNOGMmkx/R70xHQyQkRJ/k2bkJxa
ex2g9MOTbysJ+rmlHKU+pXfl5D4YzF2zBGh7un0wbVwSqIv9NcN5YleTWo0r1E6bVg0hdBUoceRK
vbSfFsVvwKS+YnukSRaY3dwABAkMNGJDkpdHp+Rq0UZ6pwMMkbGfk77sbDXxGM0rl6KN5fYQN3cA
MtxAK+H0RVvZ5WYzqk5lTY8hpsqhcTWgZTW3XpwmiGrBLSWyxLmiRIxZ60rUZdBCpcSvbeyo2inz
5/5OpG+/6R1nY+I8Em0JfQU1wk9LFEqb6dEq3Yi+sujfnIVnhrhgWwbmilh0NZTJu6w69gv1hZx/
W6l5C8zs/7NE3InLmtGW6IIlAsX1LlX1oPpIxp0BhlTte17sShPlNCNxYnSvdq1g0dbfvjqtVpJn
dPyhI4J/9KGTWDL0BkUIbfm9xM+TqMdE9PucU/w/0r5sN3Jc2faHjgDNwysl5ewp00PZL0K5ytZE
zbO+/i767NOVSesm0bULDfSDgQyRDAaDwVhrWVrQgA8Avx/Gn4b8JjxLln4fVC4yHkch/qGazFXO
zpLebixnajOcVmX1M4u0eTeqTi/YQ0v79dwIlyq3RkYLo0y+9hD6vVIggBL93u4+r2/VpVgOSCBr
LkQB4ttzmD61Q2xCSe1QOzdp+lGrkiDuLO0bFBBBJ4D3cqgVcuOYDLvJaYfJQu3KrKe1DFEdRAei
ZDspEV4wFpfmzBqXFUWp1QUQ3YgPSQQCc6IERetNUQgYDYXIWNqpvZ/JaftYJM3DbNU9gxsNt12X
G96gZI035MOTnc5UsJiCzzK4gGjPdWFFA+t9ikPJHXRQYKa1LNLKWFxLFKwg7oOGLhSVLv2ybqqp
7c0KDZva6CIUihdz6ewCPO8fC9zO6rt8bNsOFtCzfCpoupLGAFRjAzG7ba/rpFT1XRsLwsWCBwGr
BTJU3HjA6cYXbZQ2UlhrAE4uU3LbPt03TXkPCLqrtAwrFIWbf70lLuxxkd6ys7GqKtiDH5EIEA8r
vJmqvziPL6xwYT6KKC4oCqyUzo0+3tDuk8Y3nSm4kS64BOhB8WroAH0GbSlu9+mOrqVyhZwmt4MN
NZItAGT2v3du0IECiQ/yTA2o9UunuD73SwXBix/jJr9D45uZ6jiXmqRLVnkYbxspCu+btvCnJFZI
DDq2VWEVn2mfpofErNB3poUvU63N22bsRFDt76hbkMaj+cUEnxGjSOMJeczQiPWM4jQOHbrPzWon
hz/LNHiB6CQA8iYxSxTgNUA3Z5KA4RUVFzC+ropUXVtpuqf68Con5vv1SVrcEOgIU3HDALTsq/5z
dv5oodNmVMMcge4hnn1jX4EtGmKUolKcyA4XTJOgKlt5QnIVlcWup+pGnnsQPRjQnVD2dVII9vnC
iYdk4J9h8Td2mZqZMUD0D9hfgja7PvDAS1Q1gsuLyMqlt/5PY1llNkVY0IzIwf2P1HoONEEAWTah
G8CmIRLjEngZh5XEaIOxxrypCUqz424AQ9UPrX+47gUiK2z1zrygiqwo7SmsQIt6hCTNAbT4wii1
cHBhTXCnBG4SoB+eLKFqdD3pZnSfVbbdkWQ0LHdKR1F7F4tCXEJ4YYWLUuiTsXNdlVgSsrPswdUb
bR3M90x7DNRtbhvvrk/dsmP/GRXn2Bq4i1EPiPEob7T7xCyfUvpW0nvZbNDFXQsc7urgVIBfLtcJ
Mqc6arHoako0lShWCrIjSuQfXXGXqowLTuAWixEfzLJ4uXKAOeWDA4pFFkpDGBuEY3BONq9D8nR9
9nS2Rb4tFzB2yIBN4Nl51plet8eirjAipw1jP8msygvB2u1OVSqRqc+Txy6XDaJ3KfWrpEpXoV39
GLVmII4U60Qpm8BF9gKB2bb6nEY0WYVRpLlz3Gcu9o7jzuPw06BNB3GH/DmKoG9jZUmwR3OrTZpI
C0PAOwN0b0Am99mBTI7bK2F0N4NRzysKoE7Litokr8AyiaJI4eqjOR6UCJQRupxbvhIOEsn12gRV
g6atrk/O8vT/mRvOlSO7Ak9YEiaHMhq8Muo9KRQ47+K+B3AMzU1A4kGP8tKfEHXsDmVZVLONByU8
aBN0c3tiiLKupbImzpc/dthIz+KL2VErKWTYMXeZ49OASIYb6MiVd/EvaasVgolbjDRn5tiwz8wV
c4KXCAtOFd2TTkB3J5oyLlRCzK1VAwW/XaBjVL+rd/Pr9VUXGeBW3ezb2iwmzFWYBH6tPdWD5Ybq
/Zg8/3d2uMCVU00robeCp2+6a+u1jY7g5kZWBRtcMBqHi1hdAd3MTMN0BU/drX0fP4p0VhdD4p+1
5jLG/7GkvqBQZmTPsEpMGhk42U30PrRQ1xZM2GKkP7PEpZPoXdDUOYMlha4AI+1sH/ciwC1lEZp6
ed//s1scLp1XQ23C0zkMWXiXBYVSH91g85Dry784GjxlgIVKAU0Cn4yCea3D6rPlr48OGqwks8Ou
tIn1YYooKxbHw67r+Ic6B5/DNFKYF/mYo/FDXiP9JdoI3jxRH9nieCwQ87GaP4hruVBGwWYgxUaV
HOzB0wD8yxuLZFbEBEcrU3AuLvocip+oWoPFC7eVy/jiVEGQFQWKQk3mJ7E/9it04BUZgLV+Kepx
WoxlZ7bYBjuLZSjHD4nUwZZdE3SmRYITQPTzXDhT5z4L9AEtzF2HqlCT6pbXhSJO4UUHOBsDF9Kk
SstqS8YY8vG2NT6MYgcyT0FqtLj+IBzRGbIV/ILc+od4YsCtFYUhVNyjGZBDqpCaQuNNPkBo6Pre
WTzPQG8JL0NjMOTsuEUJy07qIG2Pzk88lvhTP99aQyWvwyZXvHDqYhfgtBvdnnRv6saSjLZSCoLR
0pSyJ1sAhtHugyL8pVskEJ3HJbPAlM6/k/Bx/AuMKBRH/vw+dzqYdlTmaY126wrExznjjMvfK+1J
MI9LowD0jMEqIdKHrXQ5CjAY56h54kWwHPZUrioX1epD296PHSWZWpEcOm5WgQ4WLGiaPSSdvRqM
lozGvQV5yusfs/gtaKSHzDnj9+SpL7siMYMxwrco0GPzUBOq3ILSu74RXYUXDTGSFbTsGxrKvpeD
bgonUG06Ae8zqx9zkDu+FkudF2Pf+deHxBaJT67B/QdCf0eDSAX/rhsX7RiVVgfAWZE+9SVIrqe7
XN5Gs+o2zY8CUMY5E2zDpdCIGVRQI4L2IsCgl4Mzxi4d62bETTINV9kGeo8kStwpVN1gCkkgoj9g
G+3bCM/McW4aZS0kaBUF9bXY2ipO9gjRBDQZKBWp5Xj7F7P5xxbfkdGrBRgBegzNLp4B1yfRUJPc
mcl41NQHLZo9WYQ/WAKYgHwElyMm0eAgQb+czbyt4mSOAc/Mx5WhpPsCbEn0aIP/2HYyQhMv2pvx
XRUPgr2wdCqALdL40q9nLAGcXSj2QB4OhY2oisNP1ONbVxoK5S9i2LkVdjc8O9rkxJlxumF0Rp9s
Sg1XnGQ1Q9z9+rItuci5FS5ty6gzyR2FFUud3tSGIInbgZbMjXVRm8vSxmbU3iYuASAV4QscDZwj
0mVclwOUCzZNlr0DqCy7cTT+xRsA+K1wbQO+E4kNr+cwVnbWB+yOYM5262czZH1oU4noPBe94I8V
XhBZnUJL0nQUbCTtQ8edHLQwAj9bLImi8wTEJeh3scHrc+kCbQ7wo9biZcqofAfd/u2qeJKl2yok
hbZ32g/oPU+/gYY3ph9JmLt0drNiq4qUi5ZyB8b6DawpILPo0r38Cm2WutaqSoCA0208hKuo2Fbx
bW9OKy0SwXOX3BGwwy/9UPSn8EsnWXXdljU6OvogW/eN+5pRCKr2Ih3EpTh8ZoZfu0ixs9KSWV/F
U5cScyD2b/k1SO5SEchn6Yw5N8Rt4rHXDGg44zRLP+tXmEpHcpwl3ww8EbxgaXvhmRlRCTJh7JC+
XCU7blgqhFh/V59AICfAei36wNmvc6dyjR4DGhj49YyJQcsHy/gBFR9iGa91sLkekZYGAvI+A/Vp
JKu4fl0OJJMysKwxhHY+1kezMiDf2G4M6eMvrOClgSmrGRDZ5hZmivCrLQiADlmbgDqV6MPJmkQi
DYtvLHjzRbeVrDKdBu6EghCK3IwUzTVj7Vd4tNCqzjOcx9S03Sx3CJ02TrY2ozVYTkiu7STZWl0f
5tJ+Arexif8gpAjZtcvJTOU6UfsJk2nVSQeQuLMq0ZvlpVlek1AKo39d/kHZFWj0Lww/UG3crM4d
pD9KB1eZdqzcvgXRYzVsWOHEKAXpxveBwRIOLrg8NA9AQHY5sLlzrLCCTMoBF8AYDDOgmZHj2h8B
CAz09fVJ/O6Rl7Y4j5wbpWvKBLayZxMag1hGVWBheTRIrxn8HByp3ObNbKnMGwPXs3RAt2eiaMkm
L7KG9GbsENtK7f/SHredZw2bouk79IVIQLg4n1r+iR0mZDxZnjgUx0FGhesgT+Xd1lVY9PqE27lU
/kTv6n3e0FsppCL+pIUeGxX8GOhvARgUtOFfB+lZrhTkdmbnIcaj0JyoYeRamUwg+udVYYI0viWm
k2xoA2hJ87Mrt21p+dddZGkBzz+A2+hSBtr+ecaFMHGeFOMmlW40fxC16i0kvBgmbkV4/wWmGNq2
l04v540uNbhUH2jst3VJ8AQaDYkXVhkiCyBAEEftjZzolW/8+8eOC9N8zluEmh00DEuWA4tH12je
UETFlgWuEzxrQ+r6i7TXAonn5fAg1ZHJ5dhiEjvJh5Ke/VoCB4+XDhCDeNH0a5y8yuhd8HZrWNEu
BdlYsEsy9eX6Wi509V9+B7c7TFoOVd3gO9Lnj8Y1d7VnHN6D12hVPju7aiXtzPvsZD2GnsAui46X
17VLu9x9v6omZTJyOFH4HOZ+rrusz6Mk8rZUd3LrA3OWi+qcC7Ua2EQ9CKQXjBSWl1CVnawYghw7
J8xboPB1txkJeqx91gtnBruur4jWHSIRF/0CPuHSLhe/zbrt50zBHBdEKshdb64jT7+vntCNiWyv
PVY2gZpelJLhZXoXzDPzo2/zDPZKxvoPhhYe91LGKWg4JERbXYKkX/3L6SI/isa16oyrLipukja/
p/FKVXoMnL4ZOSRorn+CtfQFJrJ6UCOgt5enGqnLPqggxI360TTcyjXgX07zjhzrpYLeR9Prr9fN
LQYOJg+NNkQZ0FpeIKibswpa7jPoAeTCQ6f7LpaGkEylfTSe7MRt5Jd6hFpkZZFUFsz2UmSEb5mM
BwHnAM+GU1sVHrU7FU+Yd/Dl/E7LfSqAKS7O5pkJzpcs5DFBYCmI/hE0DVKS1+CfMokUd24lahb8
fuuD357Z4nKBzJy1cLJ0FLc7+1fr6CRWpOP11WJR/Jt7OhCyQ8cJ1ouv1U953aPYBeeYkRVqreTj
8anowaumfMTSjS1B4Fh0siwd1BpWyLQMkNJhT+CTzs5PzZwnSLWZyKYMbH/zDRxPitoJ4tviMp0Z
YX8/M5LURQlmfQsX5swp/MQxQ793ZDI3aUJKq41IXWWRwOai9wEpghgHpiS8sFzarBMb50dmJIdR
fc7liNjpszW+FWhCvL5mS2MDQTOuWJCGZmwOl3ZiEMdBFhAbbMRIPHRp9ocpMKBGPfexqw7pb7A9
KAKbi7GbPUyDB43lHt9y4CDqp8zBmTyY++plnO7NCICEOHS13HFHurOrh8wS7LWlCYWSMrj1VbgJ
vPNyoGme9L1mYztHoGOS3CBBCVq61wuR+OjihJ7Z4ZxlTs3RoCbs9GP9LhenJo3WzgvIK1eTFDiC
cKzjo/kdB5JddFuycjASkMtBVXNZpFIbpwfrRQG9gog3nDnZtZ/nnEMrVXXMhyw9VPPbEAakBAN+
KZ06aae2kTuNH9d9cWkzn4+GWyLINUpofs0BJxsMUgwPNqjahCSfS0Hq3Ai3Po3TRhWtWWNg74Cn
6j4YqKeMD8boObafhmj5qgRvccvufrZK3F7OpXYc6xwmw2Kd15skfAapLulRY5bql7ZZK8aPZNYf
rk/mor+fGeVS7hLUlmMGTTEUPsDHpRyByCGKcjejlnPd0GJGhMIN9MEhtYirOldV7ho1hbZUkYI2
bl2b4B1rKQkHB+IjXXQ3SfE6Nkx/hI5rnW57OVgp2ewXJwNUYbNc7OVAJKi65EaghLRxKQXACm+5
l5tiVGgLFb46PUzyjaU/4YoohA8sTe5XSRFPaVBW5oesS44OqWcjPaAmQZT+kzFdh41JVEU0u0vu
iqc0FMCgZgOpJ26Hy2ruSNVspocCFI7RNuyVfZuHe8pw3/lOm9PHvn67vqBLQYXxMLN/Mmi2uVtE
b2mT3Gg6hG+1kSS4kwob0BbQ4oz+lqUKaEJDOOYCS107wRBXeBS0wzug7d1EumEo0cEbsrd5r5RA
V2l4msCNVPabYdWZgi25OETkDV/qAAz0d+kiVSSNZcYuhWln56uolJ5yByqK1+dxyQ9x2f3HCLcD
9SieQvDj4VYY5CutTkltja6Y/1Vg5iv6nGUnYQO1NVvDRYg26jYcH1Cb3Ij9cNEKmiwZITkQLXxu
V5YOZDnR8XNIZgA1cgUNuFWu/JScTkTvtHTooJQEsCxIkhnQ7nJtSqfDw6eNzKeUqDtQZx05eGvX
QTtMEIXWXRPKEAgQKZEu7mgwrYPGE+5oyJzVMDbwRCWz9KDeTpK1rwD+6LBc1V8Nj4k3gI4S8oJf
FaGz5dKwXHXOhoem+02iWRtwaBkJLjextsqKCXoEonRrcenOLHL7WQZsNioM5MhVOm21at1NkGwx
BOnV4qpZuGAAbA7RDR6wZdSVFrQ9/CM1fwA706yMYKsMz1WJw6e+v76xFncve1nSUKG2ERYvPaSN
aJ3h2QclHWto78NMle6KrOr861YWR2SjdR7XTjgjXxI2zMJClxZyqw5VRvb+MQ3ktmvAoXPdzuLy
nNlRL0cjN1YaTzZA9Kr/KhNBDFp0a4BIGA0pjim+ja43wq6oIht1bRUoS3V221GHTNZ9kQnSDW3p
oALXr4YuAQb/MXkvw66dVVxaDnYz2K+tlBreFIyOi96ZaBcwsGoyhygbhPMhqRLVBbFGRHS9M/dl
L/movZueTDN9U43KUyQpEEHKVboqnYRulUkDVj4oZ6+pk+YlbkdjBZ4KmdgxKqTFTI99Vg/ESqG4
qEdqedcn+I5w7BQIlpTxZqRD7BYmWu7kwpx8dP+k677Ion2IXyZaguYoKB6ZgqlnEYNPnpl2FK7d
oMhDXnS5riB5ruzCmNPDKKWnqdVPKGWYDzTVqFeVYfQaSbUhMLl4rqLDGW0auFxBuog7curQLM1Y
G5GXTKT2FJCiuM6L8mi9pB/yr+y3YnlJ7aKD7roHL4/0H6v8o2ScKamsJbBaeoXT7EbrNaw/JC3c
DsbTdUtLOx8k7w4glXhEAaHC5ZymBvDeTYE51Ss0HNZy+lgHlWgSWb76beEQyRgVAIgh+PwRNa5a
6aQpBSBKhczkS+rU9zLak5xxXTmbLB+ITCvSxY/Xx7bw5oZz7cwut3gxflXqIVV9iAqpJIOcPs1K
XN2VRiDvszHMH8I8TAB7GSZvsA1pG6jKjzxUNG+csnKLlgGR2snixeXsi3heOxtdcJUEeBg0lEh5
sN5DZaX+6n/KpCs8uxF40VKowvsbdDfxBow7Ojd8qWmUtotgLEwA2au3NAP4N/M7zPX1iV42hI4f
FAHwFMG/WcWRPqUOou4BUjsyXh+UtiXWz+jjupXFTYGeRdB9QP4KcpCXrtpMDdg/a8Qhi7yDUM7d
0fV1A8ub/cwCd3BMXd31ORqz8LqnQYPmod2AxWSj+b8jMnmSZ4M/6L+0yMV4alhp0g89SJStX7WP
Ih/Vu1cpbzdKtEHrNEqXk31jQI9Vgz6ABWHYXKT8s3Qos07Q/5tVLqjSsDOmkc0qyCs80Klu03X8
GIk85Kus/C0EnJlhZ/ZZkjZJVRZAux2xG1GUGFBehPbVOibhG0r8ZNUcANiKvRfUAX08A3jVNrzr
/aeP2Re1+i2NF0U3PEgjoQFsgxtvr/WIUmqAU7Wa3QSsOTXYxMvqedL9rDFxMxNp3y5lI0iBUSQD
EzxunVxuhTJhrCtZQgFDhiKGI8e/AbC8zVJRmWzRjoE8Ab3dgMfzp+NUo40ADSaw0zyM5U63t6BX
ve6uCyYYrTBmDULQKExwi2g1M6VVMUAf0zde6D4SMe4u7HAFGbwBRVuA4nEaXToJnry6Mi5Gyuoe
OroGNlUPjUhXDQTxanEcZ3a4JWn03spNp6eHrPxEjzXoEITd6AshEe0kQOBjIEAC84K5YZymtmRO
9FBSazX1Nwy22sgfwg7rxaGYDmtuxmu3yYPco9CRZNqZ9DAoa6O5GRIfjTh/sepnJri4G9rUHusE
JtC50uQ7mAAH/nUTS6/2rMcLbTEqo4/iQRao8bYS7dCDE6yNfbBKVjiuSetOm99PovrPUlZwYYuL
8iij91rUwFaSPFnDThvACo4mUUcriBx5uemBurou/IEeNfpLVMLQFh3jbKRcxI/DLpcqNlIpIs4v
m5JpH972B/lpXqFE69L9u7JpvXHf+vGq87pT4tJN5RVP3Rqax/tppW9qHw8JMSNuPYFpThipF5K1
i+nhAmRu1qWWsel5VjzZH8m8VWHNck1Su4H3UtzLoHl5dkjkX/eBRU8+mxj297MTAqI7c1IiPzvQ
IVjXhj/I6tqeV9eNLEaYMyPczh876FebJYwY5SPS60w6yuOL4k6OwKG/uqm48+5iFtmHnI1mjO1C
N9hoFK8j1W23U1b21nQ13B8KN3KTrbJJb8vV7Fl706tc5fat2dXbCIx8a80Ddbone/oKFG5ud4L2
l7qiDwq0aaPNREzMvEZSL16JOTHZ2vJfzZ4aWekZ5yNfRSydYKpU1sgKHfF6M83e9dlfenxGKx8O
XZQZDVAAc1svCuTOohLEFEoA+jUyZ6sgBfK4fW6oH1akpMQys7vMEpxbS3vu3Cy351RTaqgRY1hW
Yq3aEWCXdFQPitn9NPtIpFi6kGBgjFDTZtV7xqh+ufIm3DjUDIwxVc1t0qxRZVPycEU3jrFqLEHK
uuTPuJuiqIcMA2IRXGzW4yAwSoZLberaTeR8j9q23xQPsTyCx/rfV6QYXuEfY9zqZRTKDUGPtm0t
mm4Nq7kJu1fT6r24roispKtBF4mJLS6cA90qoG7hkTYXE+wQNb8yB+gqadDaN5UVSJdN4JXyWldI
AmzI5rqDLttDQdaAWIWKS8bl2jkJqMicHnClUNm+bZME+dpYim7DzNv4TYYSBh5T8E6LQhIXg+R4
DNWGIZJK5Vkuy1WPso0an9TqR6Rvh24bqhGhgP5a6Uelb7L65foYl+LsuXlujFMeTzMNSmgoBCba
dgtUr4L5FFb18boddrv8Pky8gLOyM6o93KYrwX0UorMW0C/tVZeNvZa0mzo7qfbPSrmnSeb3rYhm
Ynlof0xyWy9EtzAaQNA1BbxE44Fi7UNv0eOXmZVgbEvbDu8t/4yN88tQy6RZybCEU1KvW9Pxyql/
aO0ycjWzIhI0Bq7P5VJcPrfHucwcSwFAYcwvwWQU68fO/n3dgGjmOKeQh85RAmagfDS6yC2Lk24I
grDIH1jcPDsRqwQQjb6C3+Ud5Mko6GA7nHLyPYj3tJRCV+lTQ4/X9WEtrpMCiAm2sgy1UG6dJlQ3
JVVDE3J5PyKLCd102KQaacuf1+0sTh8KhCgH42b0jcUwqOQ0mFkLW9JY71PQp26gBDfjKKLsXPQD
DfcJRuLGMMmXc2hU1LDzlrWrjU9mt5GM01+MA/QSsm5DcwHFusvfj6OuQEkM/UYDqKYyA50r6CuV
exHtwNIDN5BRf+wwXznzhUCeUskc8LYhKTAVrLIUTJMA73+iDLceLBVtM5Xu0tp+BbqqJXlzb6To
6lbHQ4bFDIGOvT7upbivIhijqqyyrmtu3Jo0VlM6sBcy1AqNLcr5c0pskRDQshVknxAwAw0frwMk
QVNYMmaMGp3BTfne4kqoD/d6Ksg9F50R1HL/Z4YLFlloDi1olfBwBMZECBynI/BA9F/2LaL6rmME
WENki4iEPLS7l6Er2aPecIxAfToZAxloD0rcdyn6leeC7cVN3P/aQj6FR0TI/EFn/NJdFKBaaSPZ
3dGMh1VeqqtoHN25D7eqKjqcudvPlylUqeEJX+9gGrfDoDXYW41W90fT7HxzuKnzea0HaAYNflOr
JCFiVxfFj50pQnhx4ZEZVhXWlQBNYzSofaXOZ1vCyuxaSwd7ONIydMf43Y52cSS7NMvd1z4w1t2/
zK2YQYCyvwoHeJ4Fm9vlpNIKqEJoysjHWjmUee8GUfmgjsmqoL3gdXFh+WAJ8qNAZoI1mR+aHcV1
nRaJfFTjl1Il1bROQhVtTyKdr4UphIojk+gEhyPq0FwyHCrxOEazIx/T2rot1dY3WbAAhYJVkxbM
GuWYvBeZICleGty5US4pBgeOEXcAph7DBte2aCuHv7XmOGnv/ypCfa0WyqfACWN80PLmIlSSt1FX
TRhb9FuGBLWaPJt4f5y07XUz7GfOkjaYQQ806lZ4YEP8RzPHpVOUbdhAOqlRjmUUvaqTTtrCy3Tl
Vo963GfcLhKxUfBXQmYRAFn0OelAeaEtmBsY2m9CWRt1/YhX6dXcTlBeN9Y2dVw8VhKc3vvRHl25
K084Y/dj/Ov6ePmTCObBS6CiXor+HAiN8u3QfR1IeMmf7SOkOtdtdJsXKTrKHFxN/UI+OfFnOb4m
80O+rrRNAoJx03yT7u3Cv/4ZXMhmX6HaJmCdlgUtDAA6LqfdmXItDyDJcaQS+thyM5f2A8qkmAtF
u7tuikuJmCn0uWO+VXTS4C2VW+HYnqiCbsrolMk60Q6OdFc1ZApLRqt73RJfaGOmTDw7MYe1TUwz
tx+HUIoyCyQPJw3X710YVj+GIVZu0ylXV0YuZS8OVRVvkjXqNlSet5Vi3jXp0OzSvN1rpqQKMtBv
s8y6UBwMW8dtGWcw+/tZiGVar1ap4Ht6+67pH0E76qeWiIuKh4ygKg48gYJhI55DPY4fdapgv0Rf
ow697NO66733cZN8xu7wWoCLvHRtQn28jydkvA9Erzn8A+N/rCOss+Z+JDLsfDsbY6kijdfGPj6N
NuBc86OVnaIOV5PYT9XPoqx9VYXqouZfX2ouL/1fq6D5YBhoFWcn57+yGlpQycLMplXoG1AmbQHT
uW7ie6Bg83pmg33D2cgwqryfIrZ6P9B3oLqJ5/hxAWGpkpRPlgC9uDyPZ9Y4X5Fimqu93Manzh/w
Mia5ptd5oat0noVnsv9y+rg9qRtSWgBZHZ+ARCGB9juORG3NPKDqPyuEt3BUHYD/5HketcDJunCA
XzSk3Kb78MHx+12XkN6XPQhmb6TH1jNE3c7fYg1bMibQoON/SKu5JQOthmWmKsaV4CR2lbLzIovi
PG7tYxOnb5kaCpbt22HMGeRWjdIIt6YQPoJbDMmccJeo77X5wyx7gSH2Qxfn5Jch0PsD4woorcU5
fBPXNFWNMT7Fip54vRlIhCJjdAdbntzrji8yxU2iFVEVOGiYmuhpkmwiOygNAdpy3cry9sK1EhTh
7AjikzQT0ibjrAbYXvJHWCiAIrcPTabdxOOO0nKr/RzUaitR6Ta1RH0K3w8KNptntrkcigZarbaW
E590y52pCxnrcqV0bh28V9JNpaIShjZdkNmQKhZElQWHAckmKHpBq2ig75hbx7A2QMTdY1vIVrFN
q+no6CPA2LnyoHVAg1+f44WVZESruDOh1U7/ZowW6OEaYqxkrYHKYMilo2TQfN3bIgGkhX0H4USI
m6HdGPziNnfw5oNN8SFYS+XO6E6V7scaASI6E9XzFweE5zoEFND0Yv4uQzK6FyItjyXULlVnIzlP
Kb1NbEWQsHzL6nE5YY0lCCMW3gd5hYgu7Oqoq2ly0lMCVE3c1p6kHBNlXeCEG8vW00SUTnwfCAuW
FybZuM+OmlSL1HDKo+RUfILQMyrIj9yzXz9UtHvhGUx1iAnSEoFz8E+g/zGKnAmlAcAvDW4TKDma
/cwoS06z5mafxW32pvvDesajUZluM5CmC3gcluf1jz3O9ZvEqNBLAHt9t3NeSvoQySTOXSCGVWMt
/b7u+iJjXBDL60lqE61MTknk+GWA219ou9boWdIpc7bDaONqEQoC51JIwzL+GSG3jL0BogMUmpNT
GAyk0x8rmYypV2qDS7XRT4OPcFjVzdExBsHpIFxL7kCnJtXkcYLPKr+KLtn2ir2RnqpwOiUtUEwh
DgzLtfvIdRL0v/aCOxybS+5suhg2iw5n3qvTvpKzGnM96RIQlmU/I0+qcv/6ii5lSLiwIXjivVAz
DD7TrLNyKvokT075ATIERLXWtNjGKrhi/RrCivNexLW06ENnBrmolqH62jggxzuZ7rxBR1uBvQgg
9PQi8NWvDP3bBJ4Z4nZiFTBmd7TsnOLn6bM8WXv7I/vZhWTw6Z2SkV+UaLvXgwqRwNHNj4qrPAmm
lhm49gH81pT1MZlauE8xkfA4jUS7GVbyavCqx3ZtbT2BObYPrpnjN+dgzHM/wtzoRbr7pn7c63el
D+WucX1w7r3kQwSRFK0ktzHLCEIbqQTXqYMbvH65xmlAqUFBUW+IjsVjksSr60NcOubBzszoV0wm
GcYZlBRwn0o6VnQob8dhpeSf9K0WVbWXp/GPEW7TV1qYTGHRJKegUrNVN5vvkVorbjyNoh6NpYQJ
e8+C7B3r7YTJyy2ep0neVAhvp9ZIQG+9m1bBVjt0zZNh7sLkV4W3+0fo3YM7XBYE1f/P5vhjmhul
1ahGDj7c5GSPdwH9aMy91gLU4WagoprkfaN6dfXLfOx+Jp2rN88hHjeDX7ScSFM9GM6Lbq+SUqSY
u7y8f76Ji3hZBuEjJ8Z0hIkUeEaVdqsMr8oeQGUnaJv7151JOAVc2oMacRZDDQGHWROtah2SJzPt
Ifv1Hhr9fdsCBjvuTOqW5W78jBJlO9ibUVkl6WbuVmUBEPCMg/ZB07YdFYGcl3fWn5lgfz+L/Y1e
27XBVkfO9urOdMds2xPnKbyXRVIai6fMHxfkAXtGa40AdLBJMGqFTFMde42ei1gSl0/SMzNc0C90
J7LLAQNynCfV8tEoC4JLjWSe/ZLsRB3GS7Ub9G6gIIgqtYHOPW76pKiT2rDtccRkvuzcBhMF3P4R
2p5kUleV80S3Sf00NO6+/G03+6lbUWnbKER5/RsP+/Md/NlqOunYyTpCSW5uitk1Vl2+1ucbagIb
ad1l5q2ZeG3ZENXwoA1DxqJhzyG+bh3S5kEKNp3008yIfhR81rfqMMuLzz6LW4ykn0uNmpievo9e
JXuVN5sp2tDqDpe1hhZ40a3c2Sx3dblJnV9q8pr1oCo4ouA/aYmfdzqJgk05Qd7NQz/Olqo3YVZ4
c23ttYFQe/KzWPSsshwqz76ZO8wHqtMU6ny4PjwVb/SUPlQ32Xr0h0f9JXpIT5KIC3DxFDizx53d
VJvQNgBU/KkKwnk1NYD16VVQu601hNvr6/H17sUf3Ij+MnIVnAPomr3c7TSrW1TjsDlyLYQSSubG
WbiV+6OGhgR504KqRe4etXlltu5s9yTIHkEtqkxEz8DzQWKrJVkocN3FtPD8m7hYXELWTAJdOubb
ltbN/KrjYTdOYq+Q5pXW/kohElD2b3jDWAkmg03stcngovIAtJRetdgzUbgv8pNWJESL7yxw4853
RbzC62SwG0qvtA6xSO9+6b59PmYubIAjSLMSUD6dSll6wVJISYjWYoVEP2xVRIq7FHfPbH3N/1mE
N8va+X+kfVlz3DiT7R8aRoALSOKVS20qSZZoyXa/MCQvXMF9//X30N+ddhXEKcR4ujvaHdERlcSW
SGSePCft8HfQlGhGIsCByo7M1m16aUE45RAfUVsUm9KAa5A5mLUjr1s0I2gusaQ8T+tvfVg0dB1a
4FFB4V3MOkUJ2sk0gtG0hY9b0VfeoK+9r9zpfriXKU9vb80LY4IrWBYLNGQgiQta4qPmMPbeYFV3
lR9quFOApli+zmYiCRY2cwkQpPl3hII/UEwUr1sdPlMbOBBsLgUKSnObz+zRnk9llIDibW+DnaZ8
spTXlktOxZY3urQuhvZTm1taC+8XonVuHyEn5LHJwL01IryXHMCtV8ulrfVbLnYmeLCboozXKKy8
M8E/Su5V0jgxv4eIjTKBnS9xo+ax3NmyUGQ9Xrc2keAG1cmalmyG4dg6TPqvGikMkJ44WRfuE+uH
9fn2OLcuwcthCg4uUxhtKrx8g6R4aEgBydfRjfR/QnTbx9GCaNi7bW97dJBURsYQbt4Udu0wKZoS
dTOc/JHWx2UEXtCtxj3vPDvQG2kudvtE/jEn7NdIz1o+ok8tYOhdqPzoHkQXLgXsGAh5w0MWWvY2
23RoKyUlSAFBkMyE+WyaoodKqg2DscIcfUwWZ6FIItyexa0CCCBHf8wI14OWFJpKE9zLaf4Y6466
7Kz6EboqOKCOAe0r+tMIdzr4WAunnFdeR9cyZWmhTc968Q3CPTFVLF9oim8YCQTY9TtVdcjPsnCr
9kvzQ/9UeWb2kKuf7erUKgVK77Ic429uiw8n5d8PoESoDkbxkKxtFricCYqsp+hlKBxqg/gWZFn7
utoZ2aHLnrPxbD+VX7Jqz5RTkqcgF0zdQUuheQ7hEO1TUn8b7eeUz/v/0xpRItw8kKzskXzB53Ho
X6S7oX+IAfjt3pdsV6ROY++W8EkB7z0ZjkRZvHQZHLuW9VFtnu+LORLO2xJOxjBqJtJnexZ74BIY
ngIZTdlmahLKgNC2w45ERV7Y9Lmm9TWJgPpld1mKioc2+0byg1vnovsnbXqnr1SvsX06fJNM8ZaT
vjQsHINlzNCkNs5JEGavffyLf35QTAeUgk40/1BSp39/um1wa8vrUIBgQDX97oC7vhSqbo55XbTw
GzTdz90j4S9tRN0qlcXdW27k0pAwsCRfOrC11ag1TqNTJaNL7dfbQ9naGJcWhNMbDjW1uhZDyWjl
alnvLuM5yx/H9L0udnSQMQZvmjOARTdVZKwA5rueOa4m4CRcV6pTa7euCi8ESpaDsTe0aOqWvaF6
eipTM/2Ih8ETb9VBgGGCx56Ih0lVxaoUFaW4zuu+K0E5eTT0PnFo66ALKfuh+642uIdFghDbDM0u
zIpkF9lULWSpYbZHbt5pHqN/9GeyW/4hX5S/CW8vTQlORk3Qb26OKI6lORTRhjvd8rroyWSSMOF/
GBIaQQCTBEeriPYE8sUA3fKars56gheIMnmJlpQvTdKcNRPcqc2czQ6va3bWQbAEHCiUQm/v2HWL
iO4eqOd/P0EIjFhr6wrv0zSwVM9oOieGYGwxO4V9pxjObVNbxw8Ixt+wF3DBiRnJnnRTQWqkgyA7
Z5941VDIWaiKd9vKZoLGQiyNrQlQNzqJrg+F1Q4lLnK8Taw5GKLTWL/i3OnLr/pnAcim8aSCjCv5
sdBd+h4Sb2SHsPLHR/v99mdsDfbyKwRPUM5gM2hbvPeiiJh7s6yASiW5DM64mfsCDhVQLQAnIRQt
BNRLbw5hmyJ4z9HxZSnuNGg+Ve6U8lOIrAK13dq+J+eh+zFJs3tiv/bvauSlbWHrdFADtBqGMNCc
HoskOYWdcupLfuTTi0ZOA7g9qix1p/abVn1Phtyd1V0GuLiCOvNxaN9n6kGqgqrHttxh/3tR+KZU
6TFT04ORAOnNlSPoLfxkkIUQW/cbdoa+Nnf/5gS/3iCmmRdNNyNaHrkfde8luV8WelAcwwqd5TWG
bAHyoU21sySXw9ZDa+UkARgEAFcg667tdgtjLUGMFLSxAYhNzvQ7W4/r/azo5u4vdt+FqXUKLt5Z
Zj4i3TwuKNewrvfjrloOlapK3Ne6hUXXcTke4Rkw2CEwmx3Bs7VCp+IpbmbXjCDlEoVBGL2Fo+1b
kQwGtRkVXRpdz93FyIY6BHCJY/FsNTpGECGlRepaOp6rfeJFeunFQEeay3lqHZLOEt+ytYI2GrWB
U1rpqsR3Vm6qxTCOeIcY09T7WkmLnZLFipelZvEXfhlRH/j00MuBy10YpwLSn5J1bE1VcadD/T0Z
PGhO+mQwfbCS3N4um+NadVbgQcA+J7pMZFhrc07jLNDDuHUA65ndZGwTry8W2eNRZkrwi0YxA9DC
eRbUXW7uMzyH/SyLkh3haCO5PapNBwUwyH8PS9RdjxsDuoyhkQdQiKDRrrOblSQRLCT9rkmGpb5H
Q87I55NCkctyyagbaClPxvCxHReV+hnCoMSvTC3RD3oKcZUjZEDG4qSgjUH1tCSN+rtIL/Ta7UdL
4U9WVCbNL5XENfKIpjbtwemagomraMz5zh61ljmRObX1oSFV27jDQNrOWea4tN0wAh5dpt67lVeC
zBGoiUDWvcrOCnPNZp4ntaZniJhq/31xag8E5YnzHY27TurKso5bFy+iQjzJAD4HXNsS/Fu9ZDkO
fJcHjf1DNZuThTspNMIYiAoSKOVPqCI4sYLUc76c+7m4HxPfyD4XY7gb9Z+TEoT0B0vaH7c3wUaI
rCMVo6pANIPAROx+LdiYd1MV8cCIG0dTiFOQYmfms8+qHdF1pxq/3Ta45aFg8Xe/xFp3ZcK1iMCx
akHAyYNu16EN1RsU1/mpvy0vfcClZEHrnAo+GMAKxOJoetHQbSP44LTnVjkyGMOVGvB9XzvDa35y
+WN6qiVgoI2Te2VK8EhlDFvasI4rx/Uc29bPuIrfqMplrm9zI10Oav2SCx9PxzCEbhwszacxO/Tl
HpWIcH7Ry9ILlUOp3Be+gscw9UPuJK82+ULHQzp4afUiWcqtzQNviF53XQVJoXhjQyWigip5zYOp
uZ80P5vcnEw+G5Pdi/a1ea5rf+WH8tLa4WR28uS50Bwww9Py+faHbATpK3zm3+8QrvOVFT2tlZIH
nIMRa/bU+g4FYkBLIhm197qIH/fTH0vCfjKrwhxHBkvFLnkqZUX4rWrU1UCEPWRFoL4uQkxoMkOL
ELxo+zT7nK4EF8XP+h2SN8PPBZAEl3yZD8WL/TBi4WUx81Ztfu04IOiggo7mh1axLjdifTA7bK/w
U3M07YeqdyePtKDOdZpvzeCq4/fuNZpOUL1pdb/sP9WDo+6tBo/NQopZ3zxWAPTpIHAHMTcT1pYX
y5BrNb6mP0155S7ht0G54zYKUXN16JQ7YAJi+s0wH6e+2/GhdXIlOdFY0t24VQOF2hokP1WAKNHZ
KThvCDhMiqoPPHhVjbelKB0bGqnW4OfU4amnDYdQDQzlW2a8jbolu6i3vJi5ipQgv4tcl3hRTXVY
N7Y9YX8/98+GfzSOy3u9T/b8aD2B4ontQU37zjzyUB7au17i17a2/B/jHxKeJB6aojIWHlR2BqRC
e8eJFFq/LqJ4rNa3KNTsgGFGn5vg0fK5tZKMYMstJ7NycwNsVsN4jk2XvjYvLHY6y5cSE/7OiNyy
KqSHKJoUm4asI/MGb/QLL8mcfNc9GtCPdCan97JPykn3vx27R3qePu+L5+FheogP9FfpoQL8nLzf
dmO/8xm3Pkh4msfg9WntEh9EHe3UvlW799ht3fTHPXg9joPX+zRgh9ENf9aHp/KO4RubO+X5e+tZ
frRnL7YHrMCxO0T3ufNN97s9pCmrxbH2/efUkbHw/G53uPWxQvTUlXUXaZAdCSBAhD4z/pSYbh5A
vNHTvvjqM/X7Q/hAvvTHzj3cnqeP1w6QzAj+V2Q2ip5ijltrays1jLkJcqVzdKhVs3iHknEP94Qs
W4ik721760iuR4qWJ+xOIIpXsJhYXqn0rBjqpuoC+wUDHY7fAdFsXrkny79u5LtWfUIbsHYTaW0U
kIRjMBo2R4ccDCXHGACD/plp53EEvcRUeUp2rHu0CUuw4evREgeHXmrEv4hMLXCTXdts2RDVZVl2
gZHSOzVFxy6LfzSDvhu06tftefzoSayVshT637CGri5he4cTNxIb0KogaskZAr14SSWS5MXHSODa
hLAp7XQsKnOuu8Aapx0kqlDjO9S1l9gqMDKSO0EyHLEfqJgzs6cJbE2d8Rzl2U4PZShomQlhQ5DK
TEu1X4czN9AFoGA+/3J7TT6epbWRfl0UHf+Gqt718sdtWNYDzbEm1RyCKr732tj2lqT0aA5ZkXr8
xUgj6feV2RSudOBtDAJV8y4An+HK9nGc7cgp+Cf4E6cfgLUxDrcHuTWNoHYjaBsBkydke64Hmeqp
VRgFppEus+nPFkhpGpN8vW1kI9e4TuUfK8J1MkZ4T9egiQ9qp31ZnNjLzl/C3llOLk28SZLu357D
P8bW/3/xBki6olwoK7pgdufZSd7YP93sUPf19pg+Bl/XQxKOE2cNZVYIK9Mu/hy/yqiBt07rnxkz
xVqqOmIVog6+h7aGrywBZQMCvACdGr3h3h7Jlpu7NCXs8zGrADhbVh/efq807rT57kXpZMRE21Ys
4B410PB9eG6qRh23SQIry6R4vNonqr5r9PS9621JTCiztG75i/VnLE6nUuu6oCwgex1q0XOiFnfA
Hb0qdSmJADd3AZrMEfwC+o3u32tbtOumLKUz9lodeQVUcQz1fUFQdnuFts8PImtI461su2IQOAJD
X6kLzMTNfdQClK01vsKKYwVWZSv2NSt6iEPdhXjeV1ot/hRN325/weY41/Aazdag4LWFA5xEHCQd
BemCPPtWMgwzP0exDF4sMyIcXLMvzYbHKkbJlF08xne5Mn7iSiLxsRtPSQg/I54GDwH2IWo914sW
gtWyt4wQG4T/BFWVg+5BF4gtgqbOJnW6DJLey09tLFH74egb8NMBtMYl6hFl+kiz0tXwBK2Tz9US
H27P8kbgeP1lwgwArVInfWPhysEj0lMaL3xuAHT/FS4+f7AOowpUsGe9WA902Jk/7ABSiQ41Atm7
5qPzwWegpo43rgY2ILGhoe+Mwg6nAc19GXNjDexGKhRMTjN3qCktuq1X2nWUtWaq8ZoGKHqtJgpj
VhSFzq1R9SsaeQENGz822VvJfPpPVL/hjesA6anwnwpXJGf349UH1JMGggi8q6CHKpKv29UEkhAL
LYyx9Q8175rs/fZqbqTzYGDlJwA9CYRjjXXkF46o6Y2lzI10CLp2HEBw2UT2l9lurOYwZCj3n3lv
s2SP/2bvqmL3umdwe7EcM6utg6YArOXd/qCP5wsd7ij4rQ8DtIiKZXCSLVFmh/EUIFOtJh6oOMgh
nU1SeZCrkpFOfPTCMKaB5W59GazUM9eD7xWuRlpdTIGS50eDz61bqXAcUzrhAVnI4ufNoUE3HCQB
qL4z8R0STkvZ2201BcC6kNNshubDZBD9COKuVBJebJoCNREUvJCkZSKKP0xMkhXGgIHNbHTRoJof
NAqZdD1Ex+HtBducQ9BpULx41hfI+imXG8hOhjoOtSlIy6R1Iu2wViPQDTH5oNVe/NvGNnL+UMMG
i44KPMja4yG4RZTfR4TU1RyQSWGfWGS2g1PSKI/dlewagknWXGWfcJhzN4uiZmfxzmpOSW3l71U/
4OFnlWE+OWVXdS9Zwkn4cvsDP84Gvg+1+ZWfHb2jIh5dV6N8mSZ8nzmD3X9QNAac/1j7sW6BSF1R
ZJDTDXtIjBsE2xjkcWjfvp59a4kspdaVOajR33WHpvz5ZMLKsSvb5DMxxloC4Pvoj0AfgDwGqIxQ
e8Fdf2Xv9lx93KTXvyXEdMgXaaEZGZirJ/09O5pfbv/8hmu7/n3BtYHhJQqVBL+vxW72T3YXB+AD
d1Z9xRcoXeFPib2PN9K1PWEtKE/1PtNhj8XnvLvLIcL2JTX/mZr9BOiobTxPiq92q4JtGrukapxx
emriH7Uha+nfyHZef4ng15bKpFE16Wi2jXy9vzPfzOpeQ3aufkt3deGSgjr5nvWPb5IZWFf/+pq8
tiv4AqYZyoJSzhz07GtVe012aJcdD3coXX+JvsvECrb2PhoZV9Qs5GFwO17txf/SBzC18rZYgiTT
UIwvEwhA8/CRJXXoDFrZSJ4gm/sJOiGA6KPbBKQXwvombZfPuC2XALI0npn8zBKn/hwevy3qoR9s
N/cTe3d7QrdOmwnKl1WTCPc/E8KOmaltoo9kwSvBbHcpSavdbHWyvNX6K+KqXVoR5rHOWRxO47AE
dgM9PTXcl9W+vwcFgBPeQRFJEtlunRJTBevrqk6Om144lXmXF6lasSVgdsQfCJ4NTt5Z9VFVWn3f
GmUwpGl5/It5vLAprNygNuMIdw2bZEiBGapADVyX9uFvrKAij/wYgK0fWtYQendWl6AYrBndfW4v
X0dAlyRGtjb9yjXIkApBOCg6/CljttUTVJy1boruI9XaaaH+nFt24c0JNSQTt+Wi4e0Bv1rVU9CE
eH3EkM1UyrDiJID6LnVGu+++Y5qLB1r0tX979jayp+A3Q2JxZTcEoaItbIxoMBajDe0lAApSP05T
kaOy3pYuBORmt8hI9Dp0KENaY1U+1E0+n6yRmZK4aXN2UUrXEcfgDzFuWvtUVGtEKmNBGvWUZnbn
JHo/exkSKW682D9uj3nzfIMXGM9VALYsURVxyTQ+WSFY1qxhaneQAIf8VFMpEse1ZQVtBeBbgRQd
IiTBi1CuaDUdYxKU1vgEyVDoDLH++X8/kksbog9hvWIlOfZ+xhXVSYYucgcmK21uVM4BaUOUQ+ER
kfA2hZFYmVXYOp9gBQn9E5pv2zvLntkxnObuuSfI02V2y/wmssBgYzSAm0az6ahhNPs1cN8+TRS2
G9sRsrY1qN17xUw+R5WRu3E+J6fbM7J1dEAJgxIHuhNtoAmvjw4q63XBuEYABw1DL8P1FAwd+J/6
NM+CvzEFSWfgm8C+K+otK6lWRG3GSNAq/exqeTy8lK1tOHQGMOS2qc29ZEMKAw9hpBxMIWabKE2S
vNWxl0gfPSxpuviG1pG/2U0XVgRX0EGKz0rgsQOIvxm7uK/Ko5n3xv72WDZXiEHNBZCeNTsm7Flb
y6chMyM1ANEFCDkHQAmrRUsfkKGS6bZt9N5g5/6xRa/j5v+qDGByUsUmAUeCAQUhuymGszrN5XiI
9IX052FO9NlR2mVoPJ3VfD7oCSOto1pLiwp+TntkzHLDdEhC28jpGopO6NJI0bfwN7NigYmVQEbH
FF+pPSl7pVNDgn65rDqpnUW/zmRsn8K+ZJIKzDrBYuBhEzCjre8XAKaFIwKEnFV1LFMBdtRepoW+
N7X2HNMgUtEPguh5hZp0kpBqa9FXmUfcMdBAgsL79bFsYmOppxY2x6aKHYXWPZ5lcbwDliKSmNqK
dGxwa1FULMBqKV7VM8KBQS0rNYjTwknuOtObQn9od80oiQm2DuWlofX/XzzBwzDMtNQu141cfOJx
4uYRl+ShNi5GXE/AcawKgGALFZZqhKZ5Na+7ImqjUwF96RRkHw4dOXAuL7c34FacjYItXCaIdXSI
LAnDmYcG6qwDhkN66Ctp0eCZXWzskqmZHmyjUdwuKcdz1xgo9FP73uzt+QtX9EoyqxuNIEicoDEJ
sSr2iirmk6scrdTRlKpATZhOVOb3k4FWfe21gWQNGg7c+mR04PuJNG+s4js+mw9t3kNbbnjkZXlU
imiSHM2N83L1QcL1VzVgzx619bzErmkkOy0v70LMQg8V0WycQSsMjUbv9mps7C3YBD+cBXeAN5Zw
XuypMkictLAZcc9IP5FC1jq+Pao/FoTgfMKTi3UNLBgNBO1zFPjYFPRj8tIMDZIZyVM1heeajZJ3
yFYq6WpkwjZbkOWt8qZTg7n4YWZflIeIIZe0zJ9TYuxLiG2UHUQNEhdE7D4abB+y0kmYhI91o2iC
yYXiE7Q1EWYzQwiwi6VATK3ARwCkpQO2Uimjm1kUImwqsJsFRxoyPKVmtwvVyXSKVD/rk4wGe902
ghu++gZhW1ktbhQ24x5sxqx/IwrBy68Yhv7LNCBSWsD9fR6zQfMWXrQSF7npVi6GL1zB5mgXarIO
30JzgmJ/R/TqGtb7ksvSyttO5Y8l8QKumzqNgGCGjwwgLJKmjvKANHb6Wn8eH413GY3Kxi2DKQVJ
FqpROoIl4dQ0YZLEQ9qogdmdDT1Q2p0xSzJxG7fLlQnh2AyDlufzWMM7md8xIpAOavwtGm1cZ8fb
LmB7kf4MRjgoHR/paJo4KBCkB2DoQG3ulGb5mE+SgGwrvr8ak3DLIOacq4jAFfTI1NbZseE7szVc
3fipoWypxCPkZ10l1aFNwHeTva8GLF7iNcYMgTnzi8H1nzQhP24Pf9M/XazlOj0Xt6uKt5nKKSba
Vr/FiUdCCIcvpzH5p1UeC/VRjyUh9tZDGGV7pFhN0DSjBVEwWPRpkiJHgbhhcBrsVR2kCW/mD645
NoBL1XMrQ8Vue6ELi4IX4uVC5mmd9zYO/aquHWth+yp7gtj83lDeSkhj9tq+KqHD1Q6vtJO44s07
5sK84IB6Xs+xGfYrApM1+9hWU6eN6tS/vY5bMTjmFRAmkOOv8FhhH1vlBP68AmZM29VejgZO/wLG
rrPmIFsDrg1X9ozZPKIXBoXt3Cng+lZsHBxjWJw5b5ze1nxF/car2OuWr7eHt+lyLowJuybquypZ
GNawKqt/2j4vXDtVVYfneebetrR5IC4sCbtltGZrnCdYWmjnc/qU2X6jH1rzzGa3qhYXySiJxU0P
dGFR2CCMjzwdLVi0hmJvh4d5+Npy9NANu9sjW3/nw014YUe4joxGUyEvsy5Yw504GNM96QwnMiIn
S2pP5b0koJOsmZgxRJ99mnUU45rMYwuJBiMsnIVIQneZEeHJztUyCecEg9JG5gOYk7HFCcnL7Zn7
H1zIv4dLzN5pSjyn4xpNkaf2rfDq/XP4ozl8Tx9qKAE93za2sR1Q+9e1NW+Gl7v4GOEj0/sQ4g1B
2TT0zNBO8RyWlLzHEOn0opHR/31WcIU8oNEKbx8GJPv1DWCkut3FNewN1n6mdxNohxSt2M2Kdbg9
sC3Xf2VJiBtGRsoG6UcVBDK+mR9rhg6b4j71jPpbmz8C94Y8tmQPbpxmZCAtysBhjPewLpxmw2Tq
VOoz/EaxjEfSVFC+b4pix/Cq9bueLM/KaEQqSE1j7RhNhkxvYysyA0EzBCgwtybkWNb9e3G/alGc
dkg3Ibx4TX/UrTN9pg/jV/6JnLuHQvaE2jgMV8YEL6kMeWeWsBa0SQUkfOPnXQYEXudLFlJmR5hV
zqyy0kvYAajCo3H02Ne2F9nLqdZPVae6GZjgKKeKg27dx2pkRzvLTiTO9hmek+osawoWPgdc5sjn
XAgiCZ9jTQbInEvoLun5MHuJYj71SQHqkP7X7XELm+k/dlaJAlTmdbSJCXbQFRwuC0TMziUP2V06
M9tFvpZ6dcYTEDaMzb5BS/6x1GowWKMd/7Z1IY74/9apAWw5NE0Ad7veSdnMszACuPw8nNm7LuOH
Fy6H378OyULUKCDxoOMxfP3raaxloc7Bv4242wf+6ZjQzh3bYcerz1q7L03J23BrzS7tCQE+m8Aj
YCmwZyHTYiiZW1alY1Zfbs/ZuiIXV96HUQlBUVm1aqGoKjQKzQkrxO6Xlj2aXXcaWHVIM4kn3Voh
vOfRZAyQBHrg1jFfnnWmsjnFP+fGWIhb8mhy8Z6VkbKLbvQ/g4IGOJKL6IlEnvraTFWWvMsJRNxq
Wu4MclBKb2Ucs0EmbqJOluce0k9emyqS+EG4mD7YFbxLVcU6mt2xZCZ/YMO+4+2OVZ/6SjbAzWm8
GJ9wzGieqVpZryJ1EB4LZOnEzY138etCtKWwseiGdfa0dtUfeiMR8e1MlRzWTSsrNYeJTY62LOE4
jRVN64kqOKys2qN7GPRahjNWkirM5va+sCIeIkZjiwBSdqbqqxlWbqdlkGkjfjn/bPWXvzhKDHlL
dCQDSydi9RTSws02JDvjBUIdnWaho2cJ8bQmSvfQygQqqsra/W2jW9MIQNTqcNeOEyYUFqIiVLHN
kgwM5D876FbmAyqm2dNfGEGZBDn6teQsduuHGC6v7CI7TxDCGih5iDr6MM3s+baZrcUCYhA5V+gQ
QqhIWKyB82HWsjo7W/Mua94s41xEHrqfvexvZFIvLQlebxyQilM0SB1i3x3j2KlTiSfYXBa6Jv3R
Ir3u72sPFI361FcdDICI3renPZmhdxRJNveWuwFy8V8jwhEyc4X0pMfrvGr9MPPL6GQV+2WQvM43
h7K2awHUjZ5SscNIHwx9yciIxW98Uj+kkOOLcZvfXvqtoaCBCcIPwPQCXCP4nGwpQ4iy0OzcxL4x
3bPQZcZTpvm3rYjY5d8O+tKM8MAjAPG2lp7kZ8S5hZMPy+g2i/pNnUuU2pbQDCHCyXOvNsG+N4U9
NBk6q3JLQ+kd0oUnXoK+UrfmYp8ao+J3jQnOA4gZe4O+DC6dBsOfZ335fPurtxbg4qNFnodGrSro
Q2NuRpQM672++KoM97AV21CsLxA5CN4gEXa9XcH3nEZDA/XWyLzr+xdA0h41ICvZYDlF/3PUG8lC
bA5JhTNBfhTwZiIsN4jfyrJXx/TMWQfxoI6SO70p0AnYpFTiILfuSnphShha0xgA4aQ99MF9y5dx
cGyPY0WjomCFSp9w4S/52KvNOm85gPktt9wY+Q82Stzv5uFQ/1hZ/eZF1NToc7TkBqy0GlRYUJWl
c+6y/m0x++Avthq2wZp6hEFRY7HVVJT5lCE9d8kbtZ6W6GnM/2YwQEGj4q6q0E394LQg4piDzPNM
05d57Y1cCsdkT9LweespQi/sCJeJwdpM0RbEYrzXfVolrqGARE6Z3RZSK/FMXKZC3uF/m7z9j4cB
Xh8FM/SZA5JxvVZzEtF2HhE8zaDIi8GN16h7SAuilHIwi8SNw+9QinPttpdtxc19vkKWkKNAXcsU
DFellk6gDs3OeQqIW/iLgW7gLzbHhYX1MFxsQ+D5UKFr8bibwpdxOqEi5Yz9620bm44IsGmkAVaR
RhERFSemOZopnnB2sSeJC1ExXfUZsI+zO6USz7AVbtALW8KMteOQzYkCW2gu2y3l6EzGYxjtLaPZ
aTSXTN7m8jDwepgrNvBD03NsLkimzwih7AhUZQSF+rLMJSUhsWno9+bDT+PNs4JaPqBzrMlsxq5J
s3NEn5jdopfaaZMTKiVviuZ35asRpIZL8i9h46doN2x1R8fWnLwKAg4ZMlq313JrfoErxWEA7RJa
N4WTDhjJMk85h2ABOIIL/qQN6LtnUJXmT+PEJAHElicGrBSsZwAqInYUAq4y1FERJ4gd82NJILDH
7jnKCLcHtOVS1oMNHimy0tEJB2BWWRVO5ZydUbI9pSlH61XuVw1xMiBMMazc00FgUlJFlrXa2jwr
6gKSlpjHD0X4zszAgEmQviFjAab7yh2n7Hh7bJuLdWFCcJfIR5m9EkIym9guEqGBSu9TvYFOAchD
LF2yWDJjwsnjUPhVFQqxcT3fZWN1biJHb5JdZIAj25AVD7ZcyuXkCaum9JPapqCqwjGfH2m+ALpt
ODnI8awQgA3IQ2nSMHNzM+qUoZsYRI0A6l57Sl6yJtaqNjvzFnkOp5h5CXkIhSOWJLGmfIG8LZr4
cpsXhUN6ldWgQG87r5xL7d1Ax0rtJHHNKwdhaP+dN1b7ic9ZkvorGequWvLFLcNm/BmxlTDBakPy
OZ6sJHTMPgs/9blqhzjcQ5PcK1ku61zeHtta1YZWMHjihJBHtacs66vVx+TID6lO1KHlT5bJ2zSC
zD760vAX9MCvJxC6ERGZkc47K2HmaAskSGqHGG+3t/zmqQIpDRjo1tfNb4DIxX3GlbzAiyPDIxBc
qHeJtcw+SoQyrsKt4A3+HrNlgwXnA0tZai99Y6t4pNWo/41eyP2FnjpVcnw3x2KulIho+SK4AK4n
LJ7aorUsuD90JzK3/3x7pjaXwyKYKuBLMQwhyZDaLEtaG79OoXCYPljgGutiyc2/OYILG4IDJ4ZS
GkWCF3M7cnoMy0KB1qXderdHIqJ+/nNFYrVBBwJCWrCCXE/U0inhQpf1zQxpktz5aqPwO0QQJDo0
iZNnz/QAfTWX9Hv6ctvyls8DqtIGvBMNW8hQXxue5jmezdzEBZXw2W+jvkWhtFiOyrCUd8pIzlCV
Yv5tm1vrdmlTGKzakyJtOwN7rxh3C6nuOVLXLXDRt81sD80G2SjS4qg0iC4haVs0WFjZOTZ0Dzz2
Xp0ankaKT6wnaFeW1DPFgtHvJfwttokmATRSik0JBRkHo4oG7HXmqMNDrHv1qSl8E/Ss5r77epDx
GG/NIjLJOrrn17Y+UTTbmoooyjskDeryE3TDkRKlvpLKelG3JhFchuj5RsUN8ZKwVlWiF5QP4Hav
KfoNgEuAvmbB7gbCz5WUqWxzSGiZUjWguNdiyfVmLJcET8lFz84hiOWQU+hGy+llwvabI7owIsR/
immGyLZoCJfKyU2HBgxyu0Wf3DC0Pb1/ur0Ht0e0MnwZdD3Ywh4s5yJFHyr24ADFjXJ8mpLGGSZJ
wk1mZB3xxY2RliwbSQEjWY/M+AJxjYF6lMj692RmhOwI06GTWys4tl3vTPE+AyOgJACTWRAClIEv
cwvlX6SUQKReDRTBawulEEnmcMul28a/ayImruaITpFeY7ps2rpD3zrN8hc1sjXAQtIKVQR4n+sF
AZUiLUNrPTSp6VjsPU0zD9KAkrh/c7ZMhkscXdvoXxTWQwX1DNMVjIOSXwXILZLexQPu/2hEWJIq
yYFpyO3snLSQOKP3fK7l5ZCtYAR9Ff89ElGyLoMqQB2vntpWT/VbHt6puR9JboNNG5ZOwNhpoWdR
ZIVJQ7BEtTxE8Bt/0ftfhb4f43NtSFZeZkXwYOpsJzHoN+CU/x9pV7YbRw5rv6iA2pdX1dK77Y6X
xH4pZLFr3/f6+nvkwZ10K7otTC4GmAwmQLMoUaRE8hwqp9JrUwXX6YdxFHgVvhQHdAR0gAOQadf2
1Y54wappmh87o9yq8T7rnUADdLb6ftt70c1lq7Dod/9XDmPHEdhArabO8uNaobXcAToYRIjo6Lat
FAC0H/kou8ILl0g35o5dDah0g0cEufC31Hke7ix0OaHT6bZibF/QZ7BGQh+XAspjobPW0Bc6wiXW
4liuD6utYjqRCpTLLu9drcd7RSad/l6vT83akkbT/dvSeQcXsCjEbZCoGKgHX2+fvpZ4pTsz2hHq
DYowTXuykpfbIri1ZuTcdBUpF2Av2fYVM5OVzklR9avBBeyqcr7Rk+XOGju/yL9oy/1ggBwLE2SM
TsStyXnYAvZPgc/I3KPIzUSjqZK1fIjg/NbqVarI1BAj3/eyi/L2x20lOaYC5mPAnnE1+Zyofr2O
a6zEyzw3+TGdjC1Sf5hyGOTZthRl5PhyoAll/wArCd3Pi/jarGDIb5Q2P9q69Dzr3fdxsnblEu0r
PEcFlsmxDej0Wxb9lgtZkVw1RVb2+dHq90biQ6t4FPgozgXoSgSzQWqTGUtlQR0QqXRukfQjUbX0
oc2zczbnW6C8BGGdE3ABY6YETLTuiF6Va50KTWu6SoctyvHX1RqILSprcvzUlQBGo9wG9m/ucW9c
JVwY/UZdNlGxsx+iKg7Mttvo9ea25fE1QmpZRtsWnel9rVHd9oaSq/SiEpnvkmo8AM73dFsE1+jQ
7/EPjwBi47WI2VktaV6gUz+45a+6P0TONqoFQZGrBzpLKewdYYTl4Jo7OWwkGQ6+nIvtaBtBPP/3
yxZC1G8J9Asu7HmVIydskhxnJzYJajc9+tRvLxT3xFxIYE4ncvNasayQYKrnBu07efsLxdS/EIKq
kGkja4ZMOUvJY6SWUkU54kVhHeofA7C9/m0teDtxKYDRwpzqRc9KCNAqEmpk+o/d0TTg4V0lY0os
KlwYY8CcQbmVRx1lYiggj0AKGJG7Ls42Vy1iLQnRp7OyyI+GKqLl4lnxpVjmoAAAnYM7s8yPcXiS
u3dJR/4b4J1IVGbixbsr/ZiYOiMFlZoq9EtzOzmGpQo8Xj/l3mgkD7lxny/K/QKcVDmBGkoqQhEQ
kRf0LvVkrsmRMg66WkN8G96v+dM4TWQlw1L7i1G5XSjINfBXFQUFZGxQtlGZO1IydnFea5CmY/AH
hkWouifl+9IQjTPnykE/Mx2GBrIPtmqIl7IS6w52Dz0W67A3qn2Z751MYPrUtJlbJm0DBY8ICA7w
X8zWSZaettGKMA4R4XSGJsJStUgEsz15bHVWRG8Kug4+XzuzvlrIuoNoXhAX+Av2ryosTVhmOVIk
2witWUlbX4rJXZvA+StnhEHYlKmY9n7Tr7jwqXKNJsKmHfNjbz/bke3BHU118xdBG4whGIaC0Irt
V6+FKIvUhlKPJdMkqfSKBsUQKTVqwd7T8//H3n++XilrFlJ111KWvlQB4YWUTjE9bH4oPzTKvi1G
TxXhCXkeFqEINRzw5KiY3nQtqpCmErRbSn506qr1HCuXXeS/F8Gy8SxNVdBMinE54Edk25KkVTVG
ABvghxIQemnh66omXu7Ioqo3z9LwesGxRK0DhQLGBdRjb1dGrsGi0e+zySZia25iCd6ZXGWQGv6s
RtBr9vWS5UrVgj1XxcnENWR86WQPw9Vvxz2eAYA5439FWMw1Z8HY8rgHvuVYKPu6TYGhOZnRBnT5
rpOJcpk8C9Boh4eNVxcefaw6WpI1qzEWx66JAjy8aNr5tjZcCciTUkpg9IWxyJkcA2GRAMBdRJMy
ItWY6PYXzXVgfPwtgXn6F/U4G9rn87j73mXFvhw+5Pw5svLtbU24AfVSEHP+48hKVL2EKmh2DKP9
knra2XhGnnkZgRr12ukvbliX8hiDTgfNmVp6jaNLR/s42nNhCV4+vEOjy2hAwF2INqMwxmZnwzJk
Jh5XICfaSK1Jsi4O1v4trFqBNlxJ4O9Atz/OJwhQrk9OU1StNShw0Zr8UjUPDrIKiYYaWCGa4sA7
ogCgglwWKAYdmZprQbHThyB+mj/fi2Dl2sEYMmFY45n1pRDm4MALZHXaw6lFoFvCFaDrTcF6cdUA
hInWVfHiYWlpUn0Ix2GEhKnoSI+aZGe8y4bgLSISwsRNLVIkE9RG8JlJ4TnDBz2gzjR5t0+OSApz
5Z30Mcq6BFLqMqq8fLQtd7abzg3TVNRdQtedjZ6YiwbvCbC+gaTL9eY3i17GAG/iJf/N/MgfyzUj
W8yK7dqvomITz03rIL74Z6ITRsJfS8rl0JHKNS2OTrua3lq2068uqm0Sx7J0Xsry+2gOIggY9wxR
fDeFf1mYI3UtUwFqXJfzrEAoDVH6nN0264hWgndjer+9ZTxJmBKiwv7AfY7E3LWkRIpBb13mxVEx
jh0GutbxGZQjRGoFUxF4poHWLsrVa2KoNduwPoPcBfRTZXEc/LBxf7T2X5je5e8zK1aXo2S3BfSQ
rcNQHdF2HY0Pt5eKZ3KXIpgzBJwWGGiNAiLir/N0AN3wdECPrjto7ygNuEKkBM/1gNMQjZkOrBwT
oa63RkFJqMT04AJndiGrqWMex8ttjaiHZA8R2qc+2euQeGPv7GrXdnPUQqMMBI1DhulS5rfktW0D
26rcIhNNseYGVjT+0BYcYArg8a41KlbcPOuigrywe+iK+FyhRBDJ/SFNTYnM+Y+o/MCsKyVcBVvH
s/JLwcxStmOoKkUHwV3cbqR1IUsyBmFxzkWNwTwzB/yVJrd1PFJZppw+MYxycWDm0rCxqn04bP6m
5IkunN8iGEsv5HqdO+Cpjp+LlbjLsB+jj9uGIVKDMXWz0cCzI8MwlO48pX6enCwRtYRIBON4zDwO
ndaGCKwUcBJYKb3a/40WtDsGmXING3JtbpqRgrmg7YujqkVrgAm+ittq1oexKJF/WxLPNeCdiHQB
IgVKn8wtIY3KGpM6Icme+wmYDGXEQ85AR7HTzrJrSVF/GkKz2a5Nr7ytoyoq7HMX87d8th2ozhMz
NSy4ClN+w36F2fPf7ZeNSVKUhcz84+z2kZTTOiaOkF27NmhJq9XVRdAA7jm9EMKcU8meKCTaLo5J
NG0ikNlP4zmx1YdaxDXEXbALQcwVPw8d2VwKA56o9CkCDZkXqxNcuXkXB/Dyof8bTEK4DLMyMvCS
NkZYHLVYBo37qcOAs1KWiC8IfTwvjhhBy6EynsV/pMTK1bE6SfvURVKJ3oAowX4a45MwIvE0upTE
XLqM3uxKe9QRAdXIi8vnsPnQ8zHou5DU4/b2keI1Falgg6OtI4Cfoefw+vRO6PjW4WCh1keVkxVQ
i4PmPdiDi7E6+Rv4mwXyeCZxKY9RbiySMVFSmIS2DkdrNGfSgH3XLk0CsjN/AXwAHcXzZnLesy7D
oAl13w/GN0ed3SYzBZ6Lu9DIcIDkBnRryBBc6y6HI+hd0rg8DvJ+irVg6ELXKg+98RhOIkZZjiy8
PiheCSk1JMsZvRNjXmwgV5OjVDvmfbPIJtGioiDSBECW1RWVRwcSCBzm57QM5uoBxlDgy3ANULDB
zOEwCvDyalGbYDw3hte+VEZQmGR2SKPeL3XjO1ryoKSnXBqJnL/NEzLKylelGvw+/tDKIbi99xy3
g4+hiV7wEOoq23xlThjtYYx1clSdPigDo8NEZ2mTNJXAxvhyaDYJIQIhnLn/lIYRy6U6JMBrpE0A
1E1HdD2ZfeCxpi1gbo3AM9Ct+2OREf3wDy74wERdm5EkYa6wg4U+LiDsJGsWlt4wG6pACufgIEP+
WwrjtFVLTywthRTQjE9lG8RJUIIq4/YWcYWAapZ2LwH1yBZxptrCEPN2SsAyWG4s9aEAqVaY/M3+
XAihR+Uiu1wXJZ739ogiCrCh6VOovcek0gRhgWsEtCiF1z7SMWx2OZMKTOWxoMmoavtM9t/XxbXb
TJBc/Hwd/LH3F2IYF5IsxqKu4Zwcowxk+8o+M+8TXdrUxuJOvf5oo/ylRmelfF5kkPCbrtPNXth0
nq7eYTYnaX1nPlrpd8zCsuwt2IRwlo9S1u2qCfNSlXtjh+5Zf6glP+xOtujmxvNJdCIHkoloFEEf
zvVGjOrUVLGiJce8Iq10aHbZ6/iOmTv/3aYupLApy6ICk2WvQwquoLjbuVmGN1YvGpTF1QV5ChsN
KSgosGneGRzSWU6llJobosCzYibGQ9h/1a2n2+pwBYEUEncNILVxgbleNDAiSgPmYiVHA+3UD7kd
/Wr7BCSBYSFtjGhBBrtGGLktk3csEaL+lcmcmDXGbPJugHIIGa5ZfJ+VfTIIYgXvwABNDwgV8pYY
C8OGin6ekIhP0iOKP6QvTp31o7I2Im5YnecsgVdCBEAeDolSRhUlzWs1KiCm8fXNeJS24FoovXBX
P1TutClTEhGLKKRyMZoziIPMf33+2rra/nn0jW300LqdSqadtSldnB4322XeS0lKN93ku/H99qqL
PpXJfI7LEIeJFafHpMRdqPsRa5vbAnhNYhgo8nsxmAMozWOXqyEWQzOzDepxgTljeIr8hMnB/lxo
6GPZt8ZZHz3LqkBNKchWskSv1G1div9EjV844nDKolIfoKB6tr5ZCRlW0r2h/TJ7tu/H7+G3/vt8
18QkPiPld1tz/tJiXgxax/ANbPY60ttRTvMKHC9NBDx6XtZeDGp6wbFheRX/URDd+TZCGYAoDhMz
zbBsELDb9AjGEyN9CzGa3jLTbT2QjOhdApJpC5RgD+Xi9XP+RZ+2qEGa2RgA4UknqC3CogfPeSCr
8O8HMYfMKeawiyIgmq24JC1wD7Pizqrl6qBAXWdBMOerT6krcNIU9N8wrsqI40KOhxLm1YGhLsxA
4huTLPwW2yQbTtqp/DGrFdHGQB3TYD4pX+QliJSHChmbUdSixdX84luYc9+kixSBPBMUMaZnrT8n
CdPEqm1lkjoTVa95WBegHg207CCrS6+B1y46B7myY0xA2YfyuUxtYHZ6kiknqdmHixWEEYbt9p7l
PNWJP9fbRY+JOo2CTCz36n35Eazt1QmqAQog5XjBT4cRXstdu1NEkopET/2HM3vKW0oWAB6euicR
9o8XMC6FM3YWo/8FpKAA/4MJ35vNN5Ss3K4VuC/qndi7Dx1coQHUg0VmL4sOhi418woN212Oi6+K
2c/lfip+yNpxHL+jteMvIhRwKJ+MzMiOsFk/jFnEzEgD24rOxSZBZRJdn0mFvI+oM4GXQQULKUZe
0KQtngXMrS5K61BCC156LLPRLeMvjWK5tJoXJrXrjABxwEvjkfjltlPkvcU19E7hEoMyCBKbjN0W
WpZaRQy461w7QbPm7poHYftrwtiGY5Y6J2d9Vsp1nwquyuzYpH/cJG4yaHzGbRDVkOvzoshxreWT
mh4d9WeqzigkVj4GHpCpOpRx5IE7Hr1cC+kjE8MXV2Im3RZvLEEmgnf/gBX9+xGMs5rDMkk7AwQC
svUVHXfuBJoCQD53qSUwI57Z4i6FNjV0iirY42tttbkw7EGNMmjr2X2wfu9zEo1u8tPGWRS8D3hx
DiUFQEHQF4cxL4zXA3d1Ia2riadOYrxXdTu5sZRagjBHP5g9hxZiKEB2dGqmyniaLpvWAjEFZmP4
6nyOG1/7XsVHzG4dRMVgnhe/FMX4FTTAoU5bQ9TkVi/KMX+s0TVK/uIYXAphTp9exWuWTRBiqd7b
MJG6IKObrkRNXaBi4/NtcdzVA/kk5uoZmDj4eTguLkFWWtmpHUFaaMm7RaflZzKfo1kBQ8dIwk5g
5jzPTCcKULQWnYDDnHHLTlLaIwSnOWmJWzbhycnzj7ANRcGft1XgCXUA3KOxn737LGYUOZkMvpFe
a7eGMnpFcVj7zdC4SnzIl2PUYDiDeac6L3Ss9BTksrntRgz7eYoUUc8S7xjYIBBFszH+wMik6yM3
V5Pcgv0KnGdane1sq0/9JOoUwWHjHWwcMnTQgtITqAvGg2CytLbUoJY9rmO4iXPJLxO068ed58wJ
6ct914zn1KoFgZ63oQD7YAgk2MDwpmGsFVQ4AH+gCHKMMQsNbA9WnXnCUMtbwEsh9O8vjFRRKl2Z
0EN/XNtzvb7o8So4dCrPXC4lMFsUrkjYGJircoyd+8ocvBBAfaOo9jJIJUprJUVEn9XFIO3j4j7N
ThJurBkGuzfZpi76CRA3neCV7095gjZO6y6dfIyEDHTMNgOXq9JuezWwEhFeXvTVzJZnSysBPE23
PDsulR/NNgnztyR3+0zk+vj7bGEcHQ0dOFXXWwCSCIwXdhAkwQSAfqWESEgp5kpw2xtxNxrN8kC0
4xYAQMO1lBX8CWMWQkrcYrJem7hS9nBbAlePCwnMRkudgkGdPZasUtCoOpmuHR+rUtSexJdioQcO
eViAvxk9hkjPi6HDqbBmyxtR+qE5rHnZ3NaF57sd5bcURpciCZsY5APgOlpPamh4zvSOot/Y5riM
eqUcCeb2UGtiAy2IlzFaFh0xyOIz1laB/VsvHHCFJOUd8nnFnJ0GsGyiUy8SHEfu8qGtCulrTMj4
Y0JQ0oZZ2YXzP1SUC24MzvSsKiJmV64+F1IYfaDqWlmU2RWTpvx8WM72SKuo+xVTzG9vFM810xQj
5rABp4ye32uztsys7a0QG5WbCdxJ5TaGa+TfANWo9cxXRh8Z0tsSuZ7hQiI1nQuPmZRWJMUJDlJX
jV6oqsHiNBGxx2hb9fHXNhSVWrimaKCzjI7LBvqJMcWkyoomW6FhVrYO0MutsZ3NbleWWU2aPMJE
Z9jTJp9T0WOFayoXgplNjMGEOScl4rxJIebDSdXfAbQS7B9XCCasYYCzRnkKVWY10TQXriHYckNH
26AjNEMWpTMFNzHuloE5DDVceD+ThcBEYdwBKwafgQIoGbR0N391MECg16uNkw2CSzM7FYE+enRK
r43xjnjkoUP8WiW9DMeul+AH7TohsbJuwVfp4KU1oiKek7hy45O8LwjmGuUby/St5sttA+UcPnSK
ooWbjl3ULTb5FkeapBh5niE3hfS7FtXfmrhx62qy3DCqBJcUrjAkW4HAQtJatpngZQ3tnGcSKF8m
eSm9uc1Ht+oLzbNBnObjQioibuLKs9GeTEk/UC1nT0NmGxie0oMCYdYAcB2VPR0yLq+lrybxz9sL
ybFNdFpjOq2i4VJtsxnlorHVWsbhQ7kc6IEon5FWAjje0+swFRiNSBTjVDqMNoslUOcclRAZgGQg
ypySVhHhVXiJWVgmfAml1AXzLHOmpyipF5QXgK01vyQEDOJe9pTtZBLeV8faHQNjL7mYtLW7vZCc
83cllXHSuBakUiHTm5QbuxZ5tzaZd1sCPVNMANUp7RAuBcC6Op+X0AunLOXLWAwWcJrtNIJ+RrYD
oPJfb8vghBqENKCD6fh3+GLmNRxPUWnVBpCTeoPZOWABOchR5q+Vr3WKXyXFK6ijeunjtlCeYaAz
BCNZdSDmUXe+dibLlKdVpdm4hwKXlbVvOfL4kmh/OCEGxS0g7JClAWCCbcYtzNZKezygjn3UYZqF
GsjRF2MfW64sPQvZb3nGgI5fOAswH2l/zH4olsGU5BXCqvKlcIwgedPSkExp4aKh7y8WDyggdMxT
HlZ21Fpf160MehHolVYawexyeYMmrMKt20U01Y2r1YUo5rEmrTneODUOMIZ5gtn2bZq+LPZ9izxJ
8zf4JrTlA8ALegMTxQvmpT+M9ZAXE9Ryoi+jiU7PShdEZV6eEqGLsn3aSP8AEH9tdmk2xdakIYYA
RUwip8GdF9Pw2sXNcokk3bpJil8Gkt+O/BeYWMq1iKe8bgPcyxq8JpnZFKUAD9ca6V7HxsWT/rZV
8EKIBlIgGw4Drv2PpKQ1xSkyauDFWvKnfJhJVVX7JHX8RFQG5x3eS0mMtx3jZBlSE7QzUd/WrpKY
NUnDWXVtI5cFDlAkinGx2mqnc1WBh6SJP+riY2zfbF3Q1MRfNzhyHF0k503G/7Vm4eSVBW1kPXUr
iQ6q3JdVFCSDIFzwdUHTGH0RA/HL2ndT52tbQ5dp9sdqm+PyIkhM81X5LYFRxdbqqNNhaUcMwv6B
nqHw8DfoFnQk/RbBXGzDdWiGiNInheprXJN2/L6Kgp5onRifAyqVMgaXIbgD6p0eGI7vbG+fFJ5T
A0EdJSm3EF5ZR2PWS+wsCdg+MFWiHWoSNqcs3E32+ddtObzofSmH2Y5Wy4Y0KyFnxCAB8KtKabH5
7xJAio0ECybioCmFOR52aDiVNYM5q1U89MMs2svt3/9s0mQvIJcCmAucU0+SGmaUViEnndb5ql9V
Lgp00dZaH6fkYy13KcrvxepPY+3WX3twNK9uk78thUPSfRrtag/8wpKIAIRnIyCeBmwU9z20eTGK
L4uESaA2vsuywUgrvc/RWdiMy9s+VLNQQAPJCGIt4+amRput0XIQ+0rM2wTsQDcE55VXcMbN67cI
Ro0wUgunkiLghot0G6knjMZyzdlDp/59mKL7XAtloqDpcW6e+tYmzWNWecZibSol87T4i5Ec2lrU
18K7NdGeFpgVugDw2LqOkYtWj9k44Jsiqzqp5mO8/FLS5qCW2l2r6TsMbBG1qVMt/zAytLfQdw/F
mjELncurOoLQEXwR1YOiNEFt/RpoRro4mMXzbYPm9Z/ptBkepwUzq1X2YVeHa1XVKtizMA94Xx7l
rX3SvD4wDuNW9TCizi188zE59ffrD9AUejqp3cWT0NbTu7pXBNZGJqYIo86rv19+FFt/n6VCMaMM
HxWqOER6usW12x0dfZvI9iZbOq8HCaU+nOZFd+0kOZfd/GD39ld0+ga310f4KYzPQmWkDzsdIUS6
L7bSNrsr9mGgfA234J08ppthlzzelkg3l9187DpufkC1gy2ZEaiHWa3ONGYNQLPGE1Hnr2MN2nBB
9oBn1ZdimLhVwNIxeg5LPI+PauMmlY8gnG3hn3qBJF5VGiN6MTscryoAE1iiJ6XVRy21UMMcGv3R
MdpfTtQf9NzoyZo82bqXZX6JtoawtTylNQWxjecY8bTHQwQvOgVR4fr0doNUqA04fo+ZtglXy236
OJgrUVc678SiNRutDGiERIqSWc1IWzSjSdHTB1dBzLSR0I1ZAkwLiEQ96j/jThKUqrgCUa8FcTcs
Bciza7WQmer72cSaxjt7ZyRB4bbnUpRG4K7dhRBm7RR1ikDUrKNrELWaETSEjfOm2oITxosqgBr+
qwn9iIsn/RqPaMA2jeQYEMHWf1IzsEfp8qcZPzrUnZXV9KcXP/cKkh20TVqjQ033+qP83p3Lh/Wg
fNOCdKe7eC0+gA1ho8zPfbK3Ra0nGt2QW9/CRDZHbvHYcfAtTuxFh/hX7BrfjABdU6iE5364145K
gMBWBtMx7g/zBj1F2YN+KF5nv7oPfxb3/V0WZGR+dtBs4N12OdxbzeVCUWdxsQdjvMphHMGa4N58
sMLCH/gRWO18TPEukPTe169OT2wYtLvskt0s3U2/ej/pXXlrCR4FIsNmXqSWuqjJSg27QIoqf0m8
dBcL2hZ5Hva3toiz19pKct3HmEIFs/aGkxm0J8Fy3rZo1OCufz8x8ko2JGy17PuRe3urbi8P8ALX
v13q4VQZdKdwq/xZeasre6LJX7dPvcH2LjlSFuKCh883zYNc7Cdzq9iCEqJohejfX9ibZK7DlNN2
ZGnc44ySThFNjRCt0x9eJYxRwaHrlJNRAy8opif8ysDeg/zG7R3hFb5BuP6/Dgy+6loZBWEvGm2I
8sLqTnU/0Gj7mnrZneo/RYfpOWnIOzga1SB7UA8LXtOb7Nv4nG9FqF3RmjIOJpVDXc/QEnJc7VM1
45YWiy7n1G7/bxeGy8O1oqsiR20zIBzo6LfWSOYpL/0GFcx7aSLWfbm5va4iM2QcwYRpalqbI3CX
x2D+OgjqGdzqzcWusckHzYy7NqLK9L+WO8mdH7NNjkzUQlS3fsTjLtm29d1UnRbRVYGbm7+UzLgH
NW6rRWmgWEVqz8G/julIoq362u2a3bRx7gBlmzAwTmCndL1u7N5nK/nFmdPHGNDQEGa6ghvZJlUS
dAYZvXL50OzHeBAYi0gacz9prFmSQPicHFsPqM1v4zbbRa7ixv7/y0jYboc5lvQ5UakjkbwmroNM
y/3GFMQLri6YHgIMEAp9gFFc231uDU6NxBt0QeiO9+gm0/x4douvy0FEm8Y3ywtZjHG0cRmbUYp1
kyV0oswqcVaVzLO1GR20y7QLhqR8UyoS58U5GSw0Qucb0zY2tlmMpM9EDeBcn3LxNUy0sWc17hcb
ocBKxtRdZ+uLXmvCbmv6K39Y5oUUxlYsfZlCmVpmeMq9NbC2cqAd7SOuG0kwBiJAOzcyXEhjYo+9
aLOJbDGif0IKYD521uTV1t9cai+EMOGnmjLFmWV6xkvFX5rnpZAEli/aGibqDLrRNxiWjPtk+VZM
h0oWdVzwn20XOjABBSik2JgGSJC0l3TQ/TDdLekQFJmPXpJk2ivx6FUY+WAjY3j7VIsOHBNoqtxM
5Y4aRPGR7ItN7SsH6VlH5md3W87/cdo+exxpey3rE9tkbmcnGtCNqmbg/y0Hw1TdZMiGxK3nolQ8
W64WAw+6bJkIhj9P51SxMVA4qxsD4CZZeRhUpUw2YVmYAMP2CaKhU2oiJjWq758H5PdnMgckHlHk
Rb4EDigM9BnX8bYmfqQ+zJNgQbg3Yzwm6cASoIX+SAQrq2pqFE7UZqELgA0JlyCcGm+U3gUrzz3z
F5IYPyePiWZHS4Rm7S53UxOoGeeUSk/zlx5Axmcd8ylMODTM2tKUx9uiuTpixrah46UOrlTGrI3O
yaVSKzCxUS1IkmoKGW3HN0Ntj20WXde5O3chjLFkbZWrcZgBWomT9W2ZIm1nlTOtrsWy24xASi0Y
bxbYSyvKB3OPEMblYrQtqtgA4F/HLAw/bY24QJdwH/5wkBxNpvtFPUZT0Eb3KZqJ0JNye1m5ml4I
pB90cb3IDUUK4xECl27agOwY7Up3M8hwYgVFJMPw4nV/WyB1oX8cChsoC/T6AGbF7uPaYPAHOntw
dj9SrdwvSvdiKoAD3ZbCjRYYq6rpGBFMOfmu1aoSzNWz5y49BhZG6s0bjLxKdRKJaAy5hVj0atAN
A9AeM76v5UxoF1ysCtqUIDRYAVxUf1bJZpFyorQPwKWSqkEnragl9RMmxy4iCE1hH8C9ogLHqJcM
cTViXgoF8M3HZWvu4810it6mL9ZEhnNxNncIwj9UiayHeluel6BC9nd4bAbSPiPzvhE9prge+fKD
mHXop9TOIvpBi2sFjp/5lltt2kMaZM96kN1rr+l5FUY66j9vrQITS+N80aYwhFAZ+qcPP0Kv9aXN
6irHn8WD6F3Ds6hLDRn/Y4HoxmqlzyUvg3dgy0jp37bZz/mAt/RhDv/a6UaSTBCBWtOdgyHNd07n
HpFoPagP7ZdmW7vDFk4oUPbha7Rr98NO/nr7E/j2fGFYrDsoMDjWHPAJ+c7w9E2270lLQjx6RS8A
nju/WE72HRe2alhkDgSBxaftz3W9Bw025oW93FaI520uxTDxCn2FK4adwb0hTy4TzRV1m2oCs2Cv
ImO0trZZQg/tvtkO/owaTOjWr/qeWHfVnb6L/HU/b7RHw52CxUs2eUl0v/yRBuvd4s138XH6ij/3
Ksl+xNvSNQQ3Ax7ECz2G/3oKFuWSrmmMFCa+bylfWvT9nXS3jkmSY+KSm9yVnmz9CJ2DiVfK7YXn
XkMvBTMuau4iswCNFlyUO7kySV3roBPbK3YqsQUHhxfDLkUxzmctx6YoampLvrFrH5AV8GnCU6CQ
yJQYbxPpvYZRS5Bymn89ZLuZdGT0R9jUO6Zs7Jz7QpDqEGnFOJxR6ZcmiSGv90zfCQaP6iUaCiE6
hozL0eXaTpwRQlaFSHfrPoOM2+v22c96w6uxvUoGaH+gBsDIQG8iKV2DLd2t9qpvesZLfS/vhtEd
T+Xd/FLBfQ+/vmMCzO0v4OoITCetyqJrSWPMw1kTObVWxGinPQMS68xvnfZsDYJsA9cRgD0F6EKg
YkGkcn0TWIBzisKiR9+5QZpycDGdLXW8NXKFA6X5wRb4ACDoceNAR+W1qApEkmWhASSgPVogv7eD
CcAXO3mZFSUYbdVFBZYMgF5Ygw6aIWDnTkbxvQABye115dZYgdcDeBP4OUxqpY+Fi7tjKhfmnIZQ
Wendqf4VmUFT+yOGSnxL5LcWTErmOhMnLfzCOK7aXtQWyWNRwBxLtHDjjqdQKqtr+XDuuW3MtDm9
1t0h+6kvM9FBFVlO2+mjSIMJk0innTLvZ+eXQHXuboN6jOIG0WrKEj7LdmzodYwmctUeCfzqXL0m
YEwAFEnSt9UgB32xQQ2aYvtxbXR7/Sz3DVmXmtDhKKJRWjQq/3HE0HCAsWAgiAbDxvVClBigZtQ5
haJlpU3yVnocKucx6TFOzwGi0k/zNCYTmr/BsJW9CpaChtBbwpkQm/V120o1ABeYQ+bFrfKka69j
dATEZbem+l03gDCtiPzqI/6LIQI6Wn1RwEW7uYHps9dqI8kRVf0AWA4mv/T2KbGPU30/i8gaeYtL
8Ss2pcLFiWOsvKyS1uxNB9GlHQ9RUu7VeoBmzVMTq3gt9d/XVvkGfrift9eVZ2GXYpnkQditgBet
EKtueuASorrwpbAkodWc+mUQHGVebEPPPizZAVstmumvV3IxNanuV6xkVn9glmAFuK1wcBQvnoH2
CEyr9Myq7NO20/M4lpDvgmVEbqW94tanV6WXpf4ygByoUgRun5uwBx87Su1I/wIowLhJWW2qf5A5
tYHCaPc9asD933SkbM/OdsiloI5RZAJoWnZQQEi2jYq8bb/6dm1/r2NZUDvjLjGANKB9wdADNIpc
L/EgybkuxdhPTW+JpDxnGgC5lgh+x712gczHQCIIvIh4X1+LmZa0VjNbwpkArYu2G/qMyJkFWOTo
jakPzhW9dpPSRenntrly1QPdCiXTRZv6Z6n6IhaE62oUcZ9iCN5o03ELxmx6UygwU652IJwwMFEI
doSG+2vtVKVXc60e0JyeJNXBLmXNzbQu9p1QTnf9qvYB0p/aYanxvyr7VZsa8zAg2S7IRfE4PtB8
hUZb2rmHNnnmLti3Y+pISDgex+Uhyrw2mQiGJhLN2FqWX62+IWknzIlq1s6LyvhV1behfpKQhKjo
KOs+2v73xb/8HMbSMRrbaIG3QaeplW4HcL6s83MpiWyL5whBgwkEO8gaAJlnHD0mCZfT1CDKFJ3l
W87bMreHygI22ASHYxfdWWpDmkpEosxIRTQDwSccLxJG6AJCN9/1loMWQ4niyVAeuwgIdR3PxPWE
aQvuomiHJNfdrpQxnLbzb68oc2f8QypjaGmWlGZXQer/kPZdu41j27ZfRIA5vC5GBVuWRZfDC1Gu
spnjYv76O+i+9xxpSVdE7w0Bha5uoCdXnmHMMVDvdlo1dIIgttJCdNp+TdmBOTmsKTYSHrkyMbRB
EE6tAOYNeX7T6OMsQxL9/ojYSPDKDrN8fZ8MuJ4xJD7/zrU3NMtuO0Ens1ACWS+iV5HzolYmvDo7
JScTcL+YarqmyrKymmy4rKApswx7WThxUHuPB2Wrj82jnKg7pe0tpe42WdbYrbQ2x6yr+H8Hb0DP
G6ljCKsti3B2PYV1KnNazAmn6h0dOpBv78lsbnu3OFbQhCD9+8pkM07RlT3mgqiTXq1VvAWnNtK9
ChwqyHraZd6bY1WZ6E40Zwhf5goI/CXepEbsrNi/uanwyP64hMCZMU6LYaSoM/W6cCrAo6FNyQMe
BpOX+scZXIS9MbjKNJvdpO7ovJdpepqQHZ1jT+XABCqtBLI31/zsWxhPphmFFk46Np6UwSVPTCoT
oLwnOyEDxNvHtT73m0cXbZ0/L60msEPnQ67OqIqlnsb3GnQysyPIpFgL99hk3T8rfGaGGRUVdFoM
Wimeiow2zpxD+KEHdVBEZD7pObS9I0Y0k4HCt6BJYObKCAhbWw22pJeGRfU53Yp0BDq444DgFKf3
WBvrnWbQAGQLuWzP4twSLS1nK6Zy/xjmVbK5v0kWj+PMcf8ZASIXULL+qBYpy7qdnYkhNHpVlkPx
lAb1oW3KU9jp3Mqtc2sfoqERQSKcEUljyUhiPel6TUgwS+o0eaCk1TY6FcDdFJT6iqmbFxw69EE3
AiojNGAxLwW69GUqxJV40lLpI01UR83cQXwEewZRjFMKrsaM/x3VsZml1FbGMjSLck2AnvHa0cEA
QXOQj2kYLo9qDePlaWM1gzqQUp9XKsL3mSnHAUA335UaWqH4fH8BGY96MYbnGCrQKALgQWb7ArmY
m2SB66nfp9WJq8VjPJZOWLUdqfh5w80V9j0a7Nz7Vtn0wz9mdYBzIZ2AbgKW9jasOfAOSSP16Tw5
etu7izhdesRB4+jstNNbA4US3g9bu0dT9UA38+Ci7L3iC7LIzJ/PgAoWwn/QvApXbL8pTaJh0g3q
z/HLfAD7J8hest5FLBgoyLFCqJOzNVA8fyOvPFW7WHVywe6QabYjZdtOHj+Qeh8JbixBm2EflGhQ
AH0vBKJJxx3oaa2T/sc3vThuWC1gURZSHgWLxfKVR1otUQhBUL/aaJ/5V2z3Zg2U/uwFVrvjnxpb
wntEvcZpncHr9o2dn4Zda80H/nHy1prsfrJu976Gub64Uk45pP6oL7qQNbWp2dmQYTMTdArMZkD+
fE1WQr5Da8VTvXE+RERkqgBXDoEZW/3Lu7kOjYJvfSEGPV1pduKrpmDqS9yYuDtXduoyCGaQaGMF
nz5kZZCeYhGjNQVCpW2xU5O+8rSi8Yv03WgqN41aBNXhvkwFaxYU0FEP3y331emvQyas7NNr1wPk
XMge4CGCoiJ+zJWABJnYc5VK/dRA873abKQ6OYZHpbQSWTSn1kLjDBDaPYRbBo1AXfltZRZuzLm0
CP+CjQiNm2iHubzngQpF+0URt76cvAYD+pPH/IVKDwbIFkCKVKXRZvxFGwj9PVRZ6DVRa6IMrIRv
sZCalSiveANs1nA5t+hhxreAZA8NeGwYwYF5vqtzqfXRl43U2b5sTC50AW2b0VNfGoo1dt/x6KrJ
U80DNJFXdiqJKzD8Zc7ZjQHMP2jg0MWKPxhfWAWPdhHgbfLDshZIYkygXB1ANb8y81deIIaK4jMy
wrAlaWwGom+iCXnTvvPlyKQhJF/sVP8VS48a6KkGPygtvrS67u+KVfFqcGg8Bk8RlhzbDvT+l+vd
G0mX8kmknPTZQ0l6epxGUx57oig7lHngDRBQwY/evBrJXL/ABi8gsQOpG8QRIHpnL5UE7OdaLeon
i/OczWeMOjCcbdNUdyvXyPXlz1hiDhUUkqGT3MDS5FagoQS1BfkqUF6aiWwi3WpNpiOQyGk9EJt5
vR27uqVaoynYsRVtc4ffhc78pFj3Z/4HVXCxrZivYqKMUpE6iNYI+gkqCuZoJX/1bbEp9r1Tg9lY
2gle5mRWaX6heNzY1Brw4y3V4VxQZLnQvyOZmzqVm61ALq4ccOazmGBkziSeIoevnwZTgHnNLkhF
OEtbGT7bBYi00+XyMxtPoKUBKMSPnfIXbwIMBIZnPyR/Xn+jiEzoPiA8WdntbHnpH6PgrRZBdwso
GAuFMHhuyJVC0U+zM2DOJU/xZi82hW2CAmtuNWZiHjgAZreYV/f+ei/jYZYbiTykJQD9wOvyQ3l9
5kAXYt2KY9wbp6j0dfGhBuojad7j6iFL4pWn7MYSagY8WxU41qUnnvXVpV6NmqTiTjGgpLWJWjY4
OcUKPgvI2iz+X6p3L5N6bo6VM5yFaMZWrrmTBuLgOvnM6b+eOryHUJkV0ZIqIUhjzq9Sj5LQNH3s
S22FtBkleuUASGfCeTCFcI3z53qhBJQJUK2BRrVswGG8vBFlLqQJkh+wpkfQwA5J+S6+yhSw/pVl
umlouewhdoSHhXVvMnnqy6KVYl/UUe1B4cuvdCusvTpeeUWv9wPmDMChJV0PHgj2EQU2Db3EXJz4
2ilD+i2SM7sENU2N3puSxLxoj2t0U9cBr4E2vKUIgnZAyPWxS6anaVkBaZf4rQNlgodPeTuZ3xxJ
Djko20M3NXv7nbdat8IP6de1y2WpYV0eNphHo6uCxPZSbVxevbPDpsst345SlvjqS23OVuBUHnXM
7vX+kWZ7z7DzL80wT9gg1EmToOru5yRwFaKQyUb9yvwEC+mmsUMXyLjHzmosQPFMiby/VGZorb0j
P4SV98bKnI4MDotGY3xE9RZ6HOHQ3NCTDlf3TKCobo32E3gZTeCfSeXqBJdrZioHFDtX/Jdbu/l8
ypnnTE1yIVR5TLlGIHIuga08IVG1S5vT/Um/imMx5+DBAnIVpLwoQTHDpfKkqkXaJr6CpKBeRISa
Mi8STTgOm3VGs1sb6dwaM6q66+JyCGji09+pnYFUySDYTqZui6YI8FoOTEfnALtMRmu2Pp9bb3ZV
8NDGbrlXTMgQWC2IT1QC8BVpXN5F/GR+NyTxOCuBNIFhAQJkcZs1Yu+fkgK7J0CdhN5i0LHhrWM+
O0qSvklFOfF7R7L63WZG74kGsN/siAubAZlMftta1aZ2Eyc8PnfO4Kik3ACTn+Ht/Z1bxXYcySm2
uKfI/Q/WD68TbgcUB9Buf3k0x6HFawEyTr/vQJage203W20teCr8jEQiOf98395Vhg/7BbBH9Yd8
FXRxjD10vRs519epX1J1U4Auuww2KqdBZ2QF08HWm35ug3NLzG3QdDUCuhGW0H4mOSFEhTon0HZZ
7coWh7zCG19u/ruxMWchatCzwhUVxgZRhiR66sbHPh5Juzay6zkUwXCAxxea1SgzswCGOE8LaJRz
iS9qVtPt8swP4YzOm0hKIQyA2qEMf3Te9Zw3uOlJSEj1Rdfu9JvfYIDDCO8Y/CiWLI6fhwjw4zj1
1clrtEMQ78BgIgqf92eUrQNjEcX/V7JCNCYYjO80iiOibj5N/dExgESt7fy7ekoscQOUqtt6jZ0R
viT1Sr13xexV8mGBBoflBLPtHuKLx/JIrQ7Q2HnbObxTbcGOis8RVwZ7fWXDQcQpXFKDyO2ymoxZ
Fg5ZKo6pH3FO8AD0RepNAdILwgojKotAXiYVngePUrYKrVEQyF+eeT5G3FuFfOZDOe74BhotAkc/
toFrJCN5dp/2+1f36+nrK3gbDumBq0i/Buu6MVTklZdGF3UpBkvMsua5kQCIVRd+8FE43G/BTlcf
4ussGUa50LKA11MCQSXrdk+VUAd9Mxb+tJV/dR/RIfyITiieeNzzhE7q4RS84mJ9SHlSVlaydkaX
2+Xyyod1iLchxQvyFoNNnoMovM3rSCr8yhr3qAjsQvdVMHWy6N5kD9NaTH39MF6aY65VYUr7LFVU
mNvkXn6EQkluQrzqsdmpG+BFPTSYvyiP1Gltw23d+FS8GH5g8173Csie/si9Zy9rntCNjMLlNzEX
MG/EyaKbt0wBb1eOatZu5Cj2YIlW6QSPayDva7f60hyzq6uqj5u41Aqf48ByoR+l7EGZDnJnGs2L
hIb/xLp/Ny2P9r0VZh71iuu1UZFhjw8exT6zpHoXy2uNestHM0Ygz/ojNoQMJAoFl0c1VsNJ0ho+
8mnzyQuv1Vqa68YgQA8Ct01F3glEscwg+sIoe5B4RL6i/R3bJ65w46Aj9yfqxmGH1492KYiKwk80
FhfyzPsfldwYZajI+AfJku1nkdCVgOq6qoHY4twCc50gLVlwQQULQvhcjhkkmJ6E7IGf3FL5q4tO
6cvhbvwozf4ZeFkTFdz7A7yRPDm3f/VcoB6ViyJ4Rn35I4Ta9a/0S3HmXfY5WOEDkbwpseVNXG2q
Fwl9bSvGbzzEmFfQV4K+GDyMLARBLgqpk5oaQU9OBoQ7XnNU1xjb2V0IJwOZeBgRwScvg8fycgXp
PMRULcPSDycOBPKPOnKiK1PInl7WBHN6iy7Q2jCHiQLNRdwfDOdX/Uv8nW+jU4xoSdmmAZm/s8f8
afD5ldvzKs3/j3FQt2ImMUY2x9A3Q1PqUwLjvrSrXiMzOqn7zObQiBJHZO1tYM8ca205L2fnIS3H
uhoXa+WcWWO7z4OZZPFKlpyNyxYj8H7BwrPUitFDcGkk6Y0ZvAF8ictXB7b3Jc3NcYZUyrBi52d/
nd9QrKFlf56Nph5a4PfrufQldC6a4a58yXbCtnoEE9zaMrGPHGuKmTh1BuJdRHufz+2Ch2qTHUI3
3EfPCclWXu9bK3Q+ecyNVRspLl4VhjQI6sjB31rdJKm7suOXq/tq4kBchBrwgqtkkyKCyklpAJEI
f9jKdhSR/rN6NV4SL3vRnpSE5GsLxRY0MHtId4I3EalIpO5kZqEauIXV4pT40kHMyPBMj/oBvuZO
+o4Pa5fSjd13YYtZqXbmQNDIZbWf7mK0IQVe7XSv5cp+WP4nzAReGGFWKUKToKFpMBJtsifJ4w8i
2unuL9LNcYD3GAI9iFtR9rrc3HHQpxDPqWsf4me/pcfoU2qI+Br8vm/lh96YGQkeeRSYAS1Vl2rf
pRlRSTNA1cvaz94ic9w9u44z7gh8xceAvJpHLyHdysBuzB0sggQWt91SzWWuh9wY0i7kae3nz2FN
xEPrYtvt7w/rxilCZl9BLIPNpoHl8nJUYcGldclxjc8LD0lmED43w3Ct2/eWEeRs0cUJ7AaIZ5mn
H+QTudBXEfVjYZMAG5ZGrg4Ywf2RXL9/CJiW/D3KgYvWFbPTlMxo6qougAzRKpQcMxVM3qCYt/87
K8xQ+A4YzZKHFTk6cdD4K8fVxq7r2VoGAjg19NABr2YpzJQSSkY0gIlO2M7yb54zHHTfqyoSUk/V
RCYwDPalaYRbTkIjDIQQVrbEzYmEFgc2HBpgoExwuSWEVE0VyKFSf+xbg+RanZtdM62ix2+bWaQE
FVTPcawuzShRF0xTCHANKEl5hYCJFnShRW+KlAAgKb7x6Uc/f3TUAp3CqoAl65BhK6ro5VgudrS1
ALZ4aXzmcgD7AqAzqgkaTvxroAIlL/6iydquvLWY54bYyQSADVydGvXbAvVpGU311ZOy9kxd1UXZ
4Sxfcfa+cwoavKMSEAgFGq+fDn0YP8OvgprI3nnAKKEqGFuV66F5eXQa6yiSbUQ6olhL/j1Eqv3U
4a///qAshKULeTbYIdhSdTSXSp4LVetTLY6eF4ZWa56jNdGvq6LJz8jBkYxHRFvEJ5ldpM3THOk6
16KcoG+FXf5sOeCrcIQdENToVN5mnrpD1Ve0TGOz8lj/wL8uXwRsojPbzN3Z1f3CowDbJeFeH1CO
Niur2ajb/kAd5ISdcvO7dHLrF5SLncw+/b0/wVeVFHboi+9ytuhZX0lCF4adDwCmo7vVAX1xhHer
TZARZNkdxR09DV2xKGM8i/vxsdiu1b2vUALsJ7DHaMjHgZcwA6EO1P2n9jrSbaC9gUpSe01k6KEh
zKNOWoPIzC242c1bAzR6fPF3kmqIIO67lKhauY9TzippYjYluvqs3MC/nZ+70C3HL2XqySCaXekZ
vHN/Am94xUhGAPm+kMgD4qYw6wfBSzWKO6BHQrRsVHsa2iq3g27ya/Fg7Nce81vXHV4+FC6R8Fru
nsvVqjqBb2qO73y++93LKRGG2Lo/nlt32tKtqP6wbQITemkhTmJZG5O08yOaZNuxLYtNU+iNyXeG
QQCAr1fsXSXvl9VHclsC9mshemMBd3RKtYyDGhXCF4U8JCflwTsB0PZ9f1g/1Qb2mJ2bYTeZlmkF
GLE7f3LRrLVVTsofYec4D4KlPjVesHeVD+IS8tyT541hJ79tbnM88iT6OHZAfJzA+Ea+V4YuXccF
l0NfVvvs7PENnRWjwzepYJ/Sd4kGYNkzHzkG6hioJyKXeMxfUNeq/FlxurciJeAzAx5bs2pvAlsw
tdsXKdkJ362woeKnYYmQCtwHkxWtZcCuap3sKjFvQ5PTtmhp1vliuqP9g1SZHiYkdArTsMyBDDv8
bSKIoO3EblxTfLaOq+JrP3iGe2vI7E1x7Hnwg5edP+TulLqApZf8JxBbYWMaHmccqbI18mM+HOpq
JtKwy6pNzH9WamZmGkHFJM9NiXub0cb2oDWWoVqT8dwD7Z7aMgJmeTuITj6g6eq72jRLqxAROLdJ
D2Vqj7ppQAire4yqxzF4SigZKmoGkwppRmiPk/4rzd0OWkX2rDrSJv4DFpidHgLRTMIxWHkUf/LZ
zDygkR6lA5CRI9XGAiapQcEpqnbUf/s4fAI2w5F2U5PiiSOfMfrdY7IUoJHfh6QbCe3EWn6liX/G
v4TsInl83Npbnmx/Z96LhGb1BE/7KbIjwK4mJK3/+Q3gOcAZuH8Mb+RfRA2POXJLcEslkWXv7Jom
z0dtgluobTKe/xOr3YP8mvzWOE81nKJpfa7zeKBak8a5b3rZHFeTBvbzBfBtwCNldrBUxlmAxF3r
DwpUq+hcf8iJ8cYn4YMRz2tCErdeBU0CghL1FdymAIBcHm0paeKiUxfgrpTtcmhIK9SqeNnSkJ5W
3xLpAEY5Wq+lJ285ExdmmRNSSzXfiAte2Dj8Mkj1JNckO6Xb8AVtfgCvSbZgioTb8JaATBu3obvC
rb01BtircgAuix/J6YWQGnKiLK3PoMWVzPXAbYr8dqFpdsQktNqX6YTe61ECSsFGjHiQ14jNl+uS
XWG0FEC3FSAiBXWgyznPpySXGx6uDKc8lND8o6Cgur+Hbo/szAQzv1xUIy01Bq1fC26FpYRMfC9G
bh86KbetzLKCBzx8QqNs+HXf8o3EAeb0zDKTn1CrRDTyCINDHOM0Gyg84DB/9eTPH4AcsJyC2eCd
Ci0DvzVQ/FWR9GdBz4wzbocoh8XcRREQsg/ytj9VBa6VcBvhWgEgXnxDc9bo1s60SqB0nQa8HDQT
Jw9a0IQ6h+mmdgO8RmSqpgDcYLpXAIOXwOcMzETpFMfUMoB+EVeqp1cYaGbYbFhg5EHYlxLMc7tq
zz1qj8bz+Ko9ag+j230aT9HDWubu/7PKyOICc41OERaK3IRir4YjTk4wkvxX+lydImf2DLP8E2Hw
EYE4Fvcu+Sdq8yHJreBxjaTl5gWN2vT/fAGz1LwEWEEuY6krydYyM3ApMvFeyu9y8NWJkDjja5sf
/t7f3VcV3H9mGk3JiKPRsqIz3pnO8UEhUXhCwp9xo4JzJCTyB2/LkhOHm9QM+Cdh2uuIL09y5oMq
nbNENEuvrPdyP1zfH//7EYw7NlAICkUqJl/PusGOBNzVA7TWzV6tXu+P9+ZNZUClFOECBJSu0LDh
aIhlpaC/Yv4Sywe+ac37BpZVuhrKmQHmKjTQfa0lGt/64557UzwFsdBuflFXJuzmKwctmP8ZB3Md
CnNTaNIgtH76Lf3h3tIv40Xfy6f6UJQrA7q9L89MMfcfVHqqOZZgCgS74seMo/CQRSakAPodvx8f
jIG07/fnkG0fB+BmabTFH6qMxKbCJhw1fhbyOsfxhwJl8w7w0nu+VZTtYI2/0oTQnebnr2jVR4PG
iuFlt7Ord2aYFeiQKc/BrTDQCoI4vNmrrvFm7OoHAVHBd+7ET2sSSLeunSWLhUcTfhE2JbOOSYE2
1EJE0NfWD4irI7VxleSlkV+aevZacOSjuFQTcOPX3ERG3pNlsymkRYWzK7dNHphFWnhl4ZR0bdlv
TMXFlzHL3g2NJAQT4g7IlIj1TkELSv8Uie9FasnzY8A59Xv7MG+z5PP+Giwvy8USCGicAxIZxYAl
KGU7kRs9GtoO7tQRDWkG0P6qiUfwuZue6qCxhSEwp2kNPH5V29YBrAQlw7ICIChCTgjfdBYOQnJd
RvW8oseIO4TTMTA4a5QPRQvYTrOdXiPVlNR92TnSQJAHSyaX777uj/o6EYZPADYArW+L3gYQX5ef
UFZ6FMVGS4+dhr5jwrXmxH9kYmtHJe8ICmeqGsKtx3jaZPVGi6w6fxK573ma0LtVHwy3aP6GHJF0
s+NWFuTqRlu+DG1IBkgz8AixhelZabsGjaP0CCIJq5f3NffdUn+Y3kD64kl4Lu/PxNVbsJhTZR70
8pBJRcRyORFtmXMQORzoEUo5phztoFFvqvTpvpFrd5KxIl5aKRU9zyZ1pMch/9ZaULK2mmX0tUV5
JJH45zR1EtErgtysO6+YX8Y4Xjlftxf8bJzL+Tvbc3wXKUqI/udjV5tJVLga19pJXUBnetrQubSE
2JTTioAVMk/f38d6L6cfbfvSKtQOIlDyb2WNgjzqCQ1oQlh49+fn5iIgH7tIGSqozTEHohQLPlaT
mR5noBC60BsDamb95t8bQb5rYeWFHDpoBy5noNP1eBG/psde5z4pjRsvXXi/UVZf43a4TnRiuVUJ
ZXqQSQEa+5MKO5tsKnVR21VCe+yhbanGgR2OD3MMqLLsitAMBZ3E0n4keUVuUem5756lcat0XvxU
75IALVR5uwdJSiQ6EXoJPmIzsQc0xObBoa83Ze+WGhkEE6Qbdb0G2ri5TxbXbEGBCtcqQ+WYqvps
aO0x5YRdOig2N/RkiqbnGB0ucgmFF/2Jo98BFiqicE21T8ThhMZPQwx4cZ6RNHPEtw7xSVtZmcxb
HHb1/YW8dhEwvaCd0TV0+qAY85PDOpteeZqSOoes8bEerEgAFK4s9mgjD+weGscn7S9wnJN13+aN
Z+LCJHNftkISKmoDk5HZ5w8dIEfc+CxNxx6BSvF7WG0aXDYj8ywtOFnUmgxUW2W23BXjgkTSKeyO
3XfbojteJcZzHjxPT8PYEPipXqysdKXdOIOgTwB3F3pKll5MJh4YJUBVC2UYj0jozFZeDWgaCcXU
pLwWrZhavAxmcMvtjjQ6eo/RasD433xpNJEwzeMRsCurEiErslBQga8z/Li/ajfHdGZo+e9nG0Xo
xbCpWn489q2rZRWYsLfdJK68IFc+PhyI89EwPpVOKd5YitEM6WuYfFbBr/uDuE6cMwaYvTcFghon
IQwoAhE0D4x+0eSgNwKVT9Wq58f+V7/i718vEIgMlhuMF1Ecx+Au500WuyzVgmg8lmVcupFSpbsW
iuWWPk9ghezENeWk6zcfFQ500SBhhwZgUG1f2psDJQEqoxmPYax57SGTQxIE1Ib4sTWn2PBhstYG
fr1owDAAniHCLNJ3bBN2L0uTgHrceMx0A5nTGD3faaGtWbmOLECF8BNYaAgwsOGZiZwypYv0WMFE
9rW2abJcdwBlAAUrX6VW1+SVB4GP1MsaxBZ0Kr57vZvsGPqQJMzH0OajNCToM+kdoPRCW0/HzJXC
Zi3PvEzv5XlcNN3gji54UTAWMjs47pXYqKVoOkKXkxhGbPIAHgqDDll6JwHx8f39fGvqz60xi00N
gyriBL+3r0srpIon02IFPXprQGAj0+HYQ49RY8X/JqQlu0FOp6MEvFfwEivYRg+q9IsXnu+PRbwK
W7DAoBgFhwQoCdHVz9yaaRbEipx30zGqSifKPvjG0YGuT1pzPDRPWogeB/010gerBn47mj7i5DkP
3cTYgeqgQgNy/0d5L2KN6Aspx/h5/+uurz8QcfwU1MHGiHQ8s/sGTcuNqR6mY52G+1gBGsSooUsd
FdnKi3xrSRc900VmG/VEdhbUstPEgWun46y3j6HceGIevdwfy00TaKLENKOkAEOXV4TGyR2VB4wl
EqC03hWCgsHw88pAbrgWmDLAYfEoLd2wLDpsKlWhblRlAudiMZMA94IbakJrNUrZmlGnT69KTHuv
4KLGzKeJ2iqw0Nu2aagJslnRuj/oWwuI+EyDsDOmF8Xny0Fn2VBWTSJMR4VqBwUbJ+vyA/iN3Ptm
blz3iHx1QQUdF4rbLKoryzTsDZWfjvEQPRegxUjnwm6a39Ma3ditc6lKQG+AchJ1dNbPnxWqirWU
zkfaJ19NalgF/iAoFVmg1vTrlq6VZ67dNsT0ZwaZE9C2YijpQwiDXesO0FAQqj9y4Wc8sNtE1P9I
vX1/Km9uIBXVJ5CqAHqPS/9yyeZE0vMcWKVjnmyFTrJEsMOrGSjNWhIirA7lv1MnO9McHjRwJNJi
jXvw1jlBR6KBHzJH8JMv7Q+JUEtl08xHwChns5HCyuVEaY0u/qrNHzLXi1oEyntw4BBRMcdxaiIu
r2MNyQst9YTK6iewLhKxtYJcJclJ0lx0LoOGy604w6262pJmcQdqH4rqbJx+QA0vyett00qnlfm/
dpzxYWjOUZeM63KSL8efi7RtCgUfNnIHFUgWUTIjzhbrg/AiVU6sfAxrOd5bhxQTAUwR0Nlof2Li
SlFGtTyVpRmnJwQnrOQAVrEpsrUI5NYhXdpyVUQ8ENlhi16iWBgjJI3n4zj2GTrME1BY6HVD1AgM
SkP09/483vDI4HyDzAkZKmxkVq25jarUGNuQPwply7tlnL7oGaeYfCgB3F5AcDxvBM3u5XGte+XG
iYVhQwciE33t4E++XD8gnnV5ohEMn8Rt4w+uOJhzsW2/he79/hBvrNuFJcYPyflcEqoEQzTyYlMr
4P0At2Q0aU/3zdwaEIodCxPa0lTJXghyns1GW5TTUX/ITJyR+tdzqZhSZJZr5PG31uzcEvNaTAXY
b4ISlprUMdQvIAnNhj+maOLmdZ/2zr8fF7r8sOmBPb+mVgujih8So5mOGp/ZWhQCiyVYkm5Nek54
/rmoUCAN/Ps2b40QQcmCxgQvzlXrlNjM4WDkIkaIpgT5OKGvG9RxBRgqnT5Zweut2Vo8v7PYMQt1
PcgMvL28yT+WgPKDq0LclStWbl2k6BYAnHqhRF6Igi7NyG2p5XotT8fJAAaxKw/lUFjKmDhBom6g
XZ5wdgMQyvCkxINbzO0vDhmH4K+hPvKKGSM9f5z0v9385/5E37hsLr6KOYUjJwwcF8MNGkO0Pev9
RkzAjgOCsDRRyH1TN+f5bAKYYxjoOIR8h1RKKMoZoQWqPmL4FzU5YmDnJgOWeI0594YbgpIrNAHQ
I49LhvV3piJMk2yOcWO3/DEI3SrgbSPa9Nmnotr3R3frklmYFkVc2ri7WdBbIMxp30jlfAS+rvOG
QJ8cTkYomEhzvblv6kZZAQhajEkAfHa5PpkdW04q7s25mo9pdmrEX3n6lWl/2oOeWPH82Da/Mu61
qHZtbgFWCSq7Na2sW0OF4wGwIppkgctg3kFe5+gADSDMqjymbl7QP3o8Q2+FpmuqtLeuVCRX8Tos
4SoKN5dnRgR3nzEJeHEHyEc+S6dyOki7WYzBcuCE0doGvTmuM2vMBm3GuQq5Up2PSo3aYw+csB7b
dReuxKzXyLslG4GHHV0ViCjRxHE5qnaCgx7K3HyUeyuHIjHS7dXRMN4LyNTlFFivyk4Ur+cac0j+
NtQKkB1Jn6Agm6TbGqKnYkKgxpZVpjg/KqMfVzpJB+1BLVaCklsHFtlXgNJAjIsmEGadg7GWR10J
5iNA29DwaaSnLknRZJA2gmlEcW/RnG/MUm//gywR2gyQsUFeVEF/JLPs9UQrqoE876i9pQ2RRWrp
IVDim7werfz1/mG6sejwslDyhi8JODrbPpii2WlC8McfIzAJ2kKUC6Rqy9huuqzy7pv6yUYw6ReU
uUDTjqAISTeW7T9JjGFQtUE46lroqxmfW2UAzzkbBdGcp4YHfTl6kceGQzf/rIKiUpkFp2v43Atx
kT1DfrHYp2rckLlTU7CwK5qj9f3gSHEckiYzuodEhNawngnNvkpL3S6arsqQPAyg2t6PnY1ss2QD
C5E/ZRMfPY9RqBM+60srQ8vXyi1142X5qbfrCI3Qoiwzu7zq2jqJukI6lt0+b5uHfHrSKUoGur6y
TW9dh+eW2Psoj+KynvtMOuaaA/wCMKQzPKHGjorSE+JHLQM9WB+baURKOXSSjynYdQVkE0fu/f4C
yzi4zPriQ1TEhLyBhtsrqQHU/hrDwIfwQmFRGQn2NUDcNW4Lx+LcxLKdz5yVlsvn0ShS6ZgqO7V8
1Br0GMCXGDrR1cb9SB81IAGRVM2mfatOpgiKosSWgPpJnv+TsSIcwouOR49tqxJSmtJWraWjwnN7
ietNLY3XQrwlhL6ez/+1wWyhpOl4oW0r6TiZhWRlqpubZQZB8GabNnYdWNnbfzUmdiOJPTqsshxj
ipF6V4DMAgr7voVrfA2wQehKwZEAZw+60ZghSWNTzXrByUc6bkb1m8qvLaRzvrrAyf/Uos059+1d
324wh64xlF+WW4dnblLainMTgaXviJ3pxMVhzD0+oytGrre9hDKSJskqrkgUXplwBNIFVE1B5Xkc
InSvT0ULWm5UlVaO+TIzl5vh/5B2Zctt49r2i1hFcOYrB0m2acdyYjvxC8tJbIITOBMkv/4uOOee
lmBesdK3u6pf3KVNTBvAxhqgP4DkKd6S8B9LqrcoXQnXGcUyj/3OaqAjv0SKr6TH1vz+SLItfORK
v4FZCRoISNiodtrSUaDIx6TL08Q8Wk0ZNYCOKQHTxw2m8gpYAKxUFI/wLAHk9KcqWTvZKtftDk2K
63bXkb59MDOYVLTqnEdsomloGYuza3JODry2ofc22PTO1vtq32hJdeBmnm2M5ecTMz7po6CETR9b
ojgTnOSXdskgTzTW5rELHfu7onqN8YsDbqbsL09MMfHORxMUO8wMC4LE0NP7JCUF0xtoknfkuNDA
VHWv+mVNO3PeYjl8HkcYkOOqjFM5OIuoJp83hwoNpLm0CG6QDZy/VYj0aa3uhqintRu7+yedaTww
IZZY1/BJwfqWjksutlDV7ExyJMtzzRnudEFLpyv4hYXLT2XY5bka8C4c7dQfmm9j/eCQHTiMvbMA
hLVnI8ztIV9ZQE8H7qXVVar8Tsnd3IQtjChpoNCnZuPo8yEQIg8ChCegEy9wEiAgnfdOY0ERPsWr
1pFDY6uPvbK94Uq1U/BFTvmrbr4bvt2me9JOh7EnfoPqJgPwEELrPkRoPW0BV+UL5b+n9K1L0Kpd
O3xpm2ctQ0Ug/V0p9d6a75qoAdyk1tObvL7FO6RPK/cVulaX59Pn7AB4lYF+R3LFw4Gcg8jIeQvx
RO1IlGu7rDw+Vx6Ijk5Ld9XyNClePW9sFp95dhhvHBxVYCgwwbArn/fexBNGMvzlWD7Uyg+npn5Z
BMwEhGp5dBf1J0oy9fjAeJTjVqYCeKVmjjfekQf2ZHaLT+vpivJQNTM/Hu2ravazLEiGLSTgR9np
fJChogQ5YsEwgxSyvNKcpspHPlPjyNvYDTU7L3dNTDCic9MdK6NWvbpSYuDSjNGLnco6KMCGg/TK
x/fLQ7RSMceXuHh+MPHKAYisdG3N2660EiU1jjaZPJOGtvKjB927czKPQLC4uEMX3TTZrrbDy5E/
T47zwGIDO0lqap/bemegC3K3hoTlXIFeU+LO7JfutZLfd3TjhrfaUhTMUJSG6jcWmEhLJwFjRyGA
W7XWkUYV/TbMHFrje+WYodgJAyjWM8/kXufqO7XeQFyslJmgQI3ECm8JQZ+Wcde5XsZKMg7WUYcR
VVrqnmu88BhwGWQflaZ+WkDVctfWod55yS+786o2rIuDG9eH2bhNs6skKULXmTa+6/O+Ij4L7xSQ
aXFA/5WGQHNgipcZ3DoqpnbQu6s6gQL3QgJWmbv47+G2xNQJnC/A+4d9HMBN5/0/UmJw3Zzt4wC+
bRO1kGUVdcts3mXZ1xlI4y8tv62MK5rNNzbZOrZ+3tvge43EgBoNxv9TIXjgDI8x7mgfez3kUNW0
4q9jFmXD12L8XTQP9tMEdW42ZftFkM6egRGbpw2uvtjXpEV/9gnSkUwF6budUm4frdonyk7Ln4By
RZn21ulvMkiSX15fn3fZ8wZLC1t3yMIUZbGPuGhbcKSEO5Rdz0CtONVWaWDlzIRYED/AP0KeTaab
cdYvtC8N+zhRMDjrJ4pHPuuGLECNG1V/hTpIBoiHHRTxbT7cX27n6sCexJZ6FTZCGcRwdfvo2vu0
vq/ih6SI+Eby+Fih0tgBQ6JjmUAyGTRyKXkALGGyrtCzB0NRMUOaIjbSILHjEaILrMsaHBMInqz7
Rgd6JO0hD3zbdGR6TuukbrwMtOv4MKld+trAG+dZcV0Y2OA5h91l5QTpiLGaYYvk4n9OAqYWYICM
KWXxoc8z1fHrpVgc+HIANRyMCbffwINOax/iwFXppxNpHx2Tl98NOiuv1SLqDlgFi73P9BKnA5Mv
tnUNdRIcdwyjRkGSpEAf+gozxI/2SuHzvC9e+6WDDRLkRaCNqsdwZCpaQJ4smk/PXB1iHrDUGsEJ
1Unps0wHL6jqG5v5OayNv2f2NODuZ1bKfQn1MEiS4SnW9Oc0np37qcUt4Q2K6DomAZ9QKwHWfP7Z
lrxj3lTGJrtbkOueh24ooFkPgkiUk6Jo/LqNywBCZxxqhoNTTNDj6pVoUfUEPlWo5XWBhb7JA24u
/Kdl0a70u3LEM8+gaZW7VxbTSF5Lt0bGUQezanZpZUDOcy6rUX+cYcIYzTGwcBuvCisrz8GhB1ZC
Ql8TNaXzRIcdqKNamaUPEAy+z1CuTPJXxZ5+X573IjlLMxLvFfh9mN5YQO5KV6/SLKGqlLjZg2Ka
zyBv3Tk8tTZyyMrawrMZgDUWiOpY2uLvp1umTsbEmBRUucrMH+lNya8ddwra8dvltqzGQST4VEFb
AtTK8zgKyF9QeS3yhz5DqS2hOye9MWJA39ONoZFSMCBgWL8nrn1SsigKq5gBq4WpvP1eaqPvFKO/
PNkTdHlR9AUMwv+rhv0nnrA6Efsedp7zhs3dhEKsZsNtOX+Eggt2umsHqOHBOV6OI025P3GwuaCC
DSgJRBLP4yRpFyfODD9NxXinihOAluT1mhL+iyhgm0L5HI+ZsI+Wohg578eewXCygxTk8JZk9i5Z
3i4HkQ4lf5pyEkQ09WTOzU3ZNMNS5xGWtz8372oFj7T7BcqivA0uh5KW0KdQ0vRWAKKYugntwfNg
4EQDDEguB5DOuJ8CSMPCUK4Y1KzKI4vrz4SqXmkN4dQaV4DD+lQ1rpx4CtNs0/hUWk+f4krrKZ4q
d0oYGpZ08e/ezj0znX4vEMxA6tySwpern3+CCXsV4Iogdy3P8VaFZmviINjYhwY9qpOvWves3Dnj
F5a8OrhVOsutbVOvtm4T9XsCSnYFI+6p+MsnsE8fImVEs3Y1bnB8SJ0CaqQ9albu1cv+8pCuzhmh
sWvZJoBqH5jTk+np5nXFkxHTkyRJYJfUo4W1MWtWR+8khDR6M7xoLGXErEk6egc4XGC33Y7axu8S
doWXW7OaN05CiQl80pq4qQw+itak3btaoyJA3zYveusxUCMEBhJIDBlMb9YG4Srv86hVme8ob60D
U4Ytdf6tINLYF25f1gPWW+QsRwWGzep4O872Rm+tpiaArv63JdLuwQE5NMD6zyOtBFcY1g7KN1LB
hwAKX1Xy49+MzIfGKxAXcEg7HxlNHecENoToNYJ7YvtY24bXbtUhVnsNNz/4UQKAjOLieRBQkPlI
hYOw3cWijMTHgzNV8a4H/mhjUm+FEn8/mWm8KgiJK/RdzJ7YUAa8Oc751mPx6uKEjjsAqjivwMzx
PMgs1CBinedR19qPfHHelC7emAPyw9afLON+yMMSkKY+2EcnDSltahkl5HQilL4HqOOheGSUNwxl
pqQfdmnZ3/dYptqY3Sp17jdjaLEkDbuUBrmeRNyKNwrWqx178j3SGGokH2NqTaLNcMPhUGd5q/On
y5NxJSMJwzSUrADXRzlP2sdaNqKdA+YJGwZcY5xsb2l1FdDCnj2ubtHz5euk6OKzcFICrDVoKCcT
hhE8GIiVIF3wn2RRHx2VP7MWthvFVW5fKZ0OcYIyZDUL0i2Jj5WDIq6xgLuB6ASvZVkRTZliw2Lz
iKNO1npqB2MhZQCeawmplt9n05FOf7+vnAWUhjG3qDq77ZJHPaBB3tTAEtaImbMRZSWDnUWRFkiH
C6HBDDRrrt5xEaxBNt1zK/HqPLw8Y+Rq258xPOlAKX/hnDFkfYUxnIcHah3rlAeDfgtRCfM+x1ox
Ki9ub3tYlQ1bhY//IzSe1/CaL8CM+nkWMNTCUXNAXaPU+ppjd07qHcpuar7PSRo65uybFWou88Nk
aXc4AW7cmVbWI7oYtB0N1RAXvvPn0VFCUmcGkdNoGcsg73HxhhpQ8XC5e1cOlniAsU087tlwHJDl
/p26gCiOM2RR+g7Eb3uMjZsCzo3FEqGWjFPm2+VwH5XAk8vmn9H8J54hNarpqqRVYZod0XKHVxQa
5QeKOl4w8C9qm3sFxcP9S6d9m1kB+8owMd7a7jcxv8SFz8wg4V49heSLsidk40K3+WXSxg/jP9Ln
JnrCAqZC8/Qf8R5bWXqgkfu1/pagFLB3joSGCuRSGx8sNNS4VfVesH0P0Ff54V5d7qqVLQgSxJj4
sIVSIUgkfc9kZz2qjDNumMb7ZL1UzsZQrK5gA//A9AlMDBmIrGQDJh9Vs8iYyA3lT+noaTRIzHfH
1TaKXrIK+59Rx4OjDXMLFAllcdNaS0ivpbgtE+LlyjMvA2I8aT1EvACK1Mtvmk5AMrUjVBSh3rFj
0xdq7pp2CBQc/y3rZdoo9a1/EG630B7CAw9En87XVooPpZOLDxrUa3eEYluQ34GjsUu0l4E9FMVN
Y7ve6ASs3qfGoxbUw8tiHGiRAc24BYNbHWjhX4iRgIuabCxpgx22zOmSRcK51TR/uOnGpru6xk8C
SLvgAkkGgM4xk+LuCdSXPW/wbulcm82v1nB+TPoTRHT/Te46CSk+6eRsQzLMg3pESFY8Gul1kqGW
WejB5RUiwy3+TCvhRQ57MYgwyLVU5MyKZKWDKHVWhQVencMcda6dplLstW7f7+DSCgFddcqD1FDi
/UjScWMjXO1cvKmDdIP3j0/AhdLiDadUQQKtX/VnzKIQ91am5qBILL5jHy83efU0gXWE0rEFD14Z
hzqqepyUsFiNZsP8gmwVTKj2dvxgjuw6v59UmFRfDrg6OU8CSgslViva6hPqQWN/myy4QMDI+XKE
1Q6EHqcASlgOFNfPp0qe1sTMnTQHzCiHgPNrOfik89lPKw9jVvsoSv6rgCYYUiimWVjp5wGzGkI7
wNRkkW1S5HEjyqYlNLIiTEo4NZuBoYbU2BLDlh9q/8xVXI8A1EFDDRlz0vSAy2UJzSPa8wI6HBBq
gK25FQxaEe/LYXI92H0tgVIAAGW6EE+x5/ZhdpN0Y76unSoIUMxA+ELV4JOxp87cPs0HfEfpCVkw
X3u+PJwy/vWjoacBxAecLP1EVziZwDSBDI4elK9JyPfke3mwd/RXr3r7b5WfLeEcmXv6AP4ExKzD
/C67Aoig+7KlVLuaIE6/RTo7gtLQFRnFtwgz6j2p1JDo76PJd2V7bIcXEke02Ei2q4fG05hi3z1p
/7SMCosJOvh2Lrz6++3SBvMSsjTguM8hLcCH7y+puP/pcktcvVFLAkjlPCSP3d6Y1AI1i9z2aPOu
WT8uD6qsrPYpgrRIq1bRrVx0JEjru+lqCPrcJ5Ge7tLr9AB130MXe+m2ws5a9gF+5T8NA9jtvGH9
rA6t0+UoxI1eZrBXjYfTjTqMP1g1Xk29cEtIpqeEPSbQ9FxUiOxZGwl3fTgF6UcXKGJc1M8/wcDj
W1aijBFZff2Wj6z27JnsiqzylX76UtjFPoEQLp7eleTQJdq1xrTDRueLk558ZhZaJ2DooCtA7Tz/
hDkrpjrpUPtXCH0CaQtONciNi+KXlnbQWhBbNCAuWOsPmbKbjH+TL0/DS7OrGFV0gIMtAG9IvhHX
fmPCl+A3oYav6r7aBrr9l8CuP9PtpMXSdCNZZjZTLTbV4RW0agCpc+ziW5r74lc+9SsS8gdsAeou
UqZKWV+pM4mBtl8Kr1dH4MPDln/Xkxe1ikqz2elGu1FjWc1IQG7ASw6qLDjWihl/kh3y3M1N2qnI
SABndPr3foL8Y/Y9LeNgYYuPq2zMoSI88o1q09pKAqPEgOqHA30AOa5NR62ZbRul4NzynAmn2q3r
qsilcm8aQvQHflLijUpaKCMnc5crSEK1e6sr0B9Kn4ap8abk/fJyELP9UhzpXlRSradKguI8M6ag
6OPU1wuI/pnagG0FOyzuEznfODKsHbtO26adj1q/1K3q1KihLvnOaZ6m3071MgSa0BIetyTU1kYK
xwM8koKHj7KR1I9JW+pg5LVItdW7EjeeZf6dmsrH4sK9B/8KFXs8+p43xp1AQbAXlNGXr1l3q0yw
Aui3MDoyUOlPEBf8IQdJE4RJKWlkKksSt0Dxok977ZCCMBXMadUHoKUrfqfo5DDzBHrHLHV9fSyG
wObAILZmY4LP3dYvxZgDz+UEVRLHPrW5OC3NbThVrePHnVL6bpHoG2tk7WiEQxHOhPhqIdhz3jH5
oNMsVRUcjfrJz7srx/GsceslfDUISM14+MEawbv+eRDFNQEcyJsighp2XeKq+2L095dXyNoMwoaF
NQiDRfDHpRWSDrHhgMFTRGCKeGR8Z9UWgHptPeAWj0wCZjqmqLQjTV1XG1RFI1Ar8hXcPUqoenfW
LdL1oOGtjG+kzdVOO4knzSY4qbmTg5JQlGjHtjR2Y8X9zdr0WqNw8sfUxbMM8LLSwqPmaDLN7sDV
1CxvzpFSyBKa6hS6UAMZqgwCJ1s+SWsjdRpSGilzVLoKBsRFVCevqFMHqvO3OpwfC/E0hDSpXbUw
+zbmRTQ04LxB+0rzU5XyG7dpkj3DzQ7+C/2yr1W7ulbSGsUXHdOlpAU5Nr2rbtlPbbVYuk8WS6EM
tokWU9z2cgfomy0Ew9quDq0yyG0ALQw8orSrmw4HMbPqi6ivjth+4oBkt5BhjEB7jzf0ldamJY6E
8HeAUAHU1qTrRW+BWlyOdRGZ440GcPIAarHyeHkxr22rNtxn8XYAocdPLt45Nds2JmL8KtcfGQcE
7GogbrC5xlb7DZuO8EbFY4Wc/YZWr+eRAcmEJeIv07I31JfMfKHMvI4p5KJmO6SbFNDV4zW2CaAp
cW6Ai5OYLyfnIWhIKUpN7CLSOkCruHmsGAeK1biu9G98XEJ9fi7t3LczvJNSHsQuJMkvd/DaeQKw
fuBdcH0CfllKyNiGRtB7Y9FuCpwhliF8SFjm95NzPdssVLq/ZF6KJSk0uaAoBU8AsBakbLYYvKq0
qcSLrLIAdn9jQ3fD+DIvuW8VL5C2+Ov2CSERIaOPsQUJ8ryHYzY0lBcYV6pFWv7Mpl/ta13dLVtP
eyv9CJsvaH6C9iooB1KrcpbbeAa2AJlkgFyByWh+mbvu0RwWD4qtr5cbtVZOERI30PT8gELLJte5
mzr2KKJ1dql5ywjtkrqD0E3eZlCiyd1vhVuO17ywe78Cf9FXqQHH7aL9S6bLx1hieUKcBiQpHHOk
Vjc1aVUylGWktI0/1r+WIXBwGh22lOxXVqcFASy81QgRIbwKnY9iD1dxNk11GbUGipy8B67+qrnS
XR/YWMN4Y/nWcX51OP8JKN97edWxhhIRsAnSKsQL+/Ks9tdky1ptrRRvYdYgxRHg9TAVzluGtQ4v
6Bg92GUHsDs1uIjHRtBT39G84iFBqeF52U/vVuqZ/gFWwVtvASsJ9iy+tEHWWVpOKVyrIvgCebr6
VanTgLjQds2WjUyzcsBAgROHbjyBgBj20RMnuU5PCLfZCExqFYeKmu3yTANVwKI7XrkHBi1M1Ky1
rYUiNlTpumRhEwR9CUc1UESkBAv7XdCA476MbMKzu6lTf5DYAnjCjanr8aKqfacGaSQuHPNuSJZ6
rzkTe5xyRoFE5ksIuylcvi+v3pV9E6ZIYAwIXhLeF6UhN3jMNCfOy4glYwl1oWLwU4qEZI/aFpxn
bRrjkPqR/ADlkFFWbQ7hLZq5RWQvb1Y7X48q9MBxmduPyhYwZQ2/hj0Eig2gwOBQIOtR1ERPyZiy
MiJty+9GasdhDLoosIc0CU2NpBA4BW07BSLAnwkH5gO7RDjxoQ4L3nYh4WwEFELlN9PCpp3aNdVG
x6/2hmBYugCfCz/d87XW66xU57kt8fpaVfu8qvW9yai7yyurAB/dSO+NOGZXl0d7bYEB6CmAfWD7
fyp5dH2qLz3QmNFiD3eJrd/P8/cWFq6eCjHcy6FWTpfCSgRWyPoHW086+5ECkHVwCMqobq9N61hU
W0t4pS02xDQFE+1Dvk78/WQJg/rh9EuCIa7NhzF9UGKPE1DnjMPldqyM0wc/FeJ14lFeRkL2aYJC
CpkxThT7qXNXgLNnguY2azAOmn5dDrbSaZAIxqlOuGiC8C2tRsJKN7EowWpkX7L+tmRbgkZrAXTk
O6GbgrdWGYE2dQwmqhla00GvPMx1AoJW19v7y81YGxqQlIVWGO68eGU5H5rcgir+GCPKC5B0bgmx
Ua8wgssx1sblNIY0/Bar06SZREuAFhIS22HJ/A44gL+0ORbHCsG4/m9jpIU6YxpDRB+BBjwZ6NPi
k+kRBcyN5bLVHOnwonbjXMYVoijDfqqvW5h4OFdL5afV3/HDPjVHOr3EmtUo3EAgPu8X1dff6xc+
B9bW6lydaICygKVOLJQlxN9PVic4jxCiZ04ZuQZe6ltcEkO8om0JBa9NNKG3r0PnCag9meTfgWdT
4bm+itQufnXj+5jasCRzDtBs2ZjSK/skYDmopuKaAMbQB8P3pD293qZ6sxgYn7qxb1qj6zybGuUh
NRI9vDyzVxoFBAJCCNQ/6lLSvbxpnYkyxS0jRymCuXmsy3e9yyBau3EbWbvw4bFXg7ExTL2EKeL5
GJklq+281spI1B0fFONpsH62S8RM1ePKjeMvus/7e6XfWLlrhXdwxHUkbxCJ0UYpy9EpFqcLvYzU
qocZHyzkxgeX8RsOPQ1rSm7jmviOemvDivLvexb4boDXkf5AhdfOG5wMbownLExKccPtDd1Lqh/T
5Kna47+IA/9aEwLAkCCS71+10lpTQzCCSQPLwcmruuuhvWVbeLy1OfnBxQYJBTlK3pqSDtDsekhZ
VGjvDb91pxeypSu+HgIYB5hqoBghaz8OC86rql2yaFJemP1CgQvjxfFyb62kCgdeIdjwhD4Btqbz
UaHl5NDMguA8mmHiGbEr/81wnASQMnhVq1NrwZkhat1bILyXJfea9nbzNWRt3YoXLKwpgFCgPHLe
jjohNSh0NYsacgvMrm4HuKHFW4loLQpqCBBZ04Eb+OSOx9R5bC2SsYiMN7WTekb+c0y+p9X3y4Oy
GgZlXtTgUVUGVuy8McqswS11GFgE9PC+DDuQ8xqt9zeNHWQ9b7EfQR7/v4E+ksVJYp3tPG+VasQM
G1zIb/YhAu6KPD3i0NiNN+Lek3JY8ZnfQCNLd0tiRU7nXi8TlEneVPfbXzcbcJ6P4zFwTDiInTcb
MlD13FO8nDH2Yow/YutBse5T8+83k7Mo0maf1AOvCMhxUeHyazc089lb6i2h3rU0K7y9DYKdEbNS
piyCWaaltoHXKyAuKhjM8T36slFVPy7gxQQLUMvT9C3v8pWEISTCHZH5gIr60O44Gc6srEmTaQAj
p+qeCpasck/6jY1rZW6C4A4qKI5ZFh7NREI5iYHnWttmwwyKlzEHI0/8uap2OQhXMeQ7Ls8HMc2l
K/tZKNHck1BuC3h64yDUrN5a2XiTFj0OM1eoeYFq+0Y7dkhIeDmkmGKXQorWn4SMdaZ2Uw/svzM9
NqDt38BWwOvMJSBzvXHo3GqdNNtpu6gaSKx4JzbD+GluqvvMumHDS2vdN/mP2K03enOtVAhBTvAs
hDsUjDikDRiLIm5nCDhGSweNBs1rFerNdRMuhh7MlHpGClNqX7NxYSgb5++fCM6CS+cqKMqURKsx
lhp75xqMH/SjtekyIlogj95pC6W5affUpI4jWoj6WRZYrwrxbRguqh7ETl3VmxWPFfvG3PJ7FL97
Ka40UXFJTmbO0DgCkbmxHoLEajb6T2SlSyGkiTn3S5yoMfASHfX5HgBEy++C7mrrgX+rJdKkhMUJ
cGIJySN+vdsSx1j/bTCrcQOGiYH8wAAGZVfFLnoJNVot2to81vYyzLD//rzsh1R11khi8dJeXM2P
xr58K69dv/gKBMuXNryuFH8O3aseJsGXM8ZGq1zp4AFn7q7mBiqJSt92d10Cn4+YKPbV5Sir+8lp
66TFW7pdAbsNtA44ca8PJq/wKt/winDL+2AtLQn8rvDxQy1OJj4rTO1JkpuojN7iwUe5oQogAAGe
/1F92ei6rVDSToxnGh3SjQjFtcrTXe4n1AlIi7Kz9r3rr/LhgUHf6HJHbsUUfz9J8Io6w9ugQcwK
b9kt3wHU5rXZrpthVObeDOqbq1xdjrg6Qf7p0E8XBY0qSMoGWkn2eb8HUffy76+VWwGDxkEDFxFY
8ckXHjh1dDGLwc6xdd+NHuqb/FoJ7Z/VvvN+6Y3XP8D3cJcGl6OuHTVOg0r96DCuDKONoG2QhA9b
NqBr2zDkfSA0Bv0CCzzo81HSUtycFcMF2FD7QeAzqqoHq3zE5afINjAia8eZ00jSHIxtSgjNgHWx
m6BKJ+9ng9xqlLvLvbU6607aI/UWLlgjtoZYbEyTz3ntT+bN0t0k+aPGCHhbAmexVdT6PO+EBiPO
97jf4S5qSi1jWpI6ign0SwfAw44QDmksdWsarBwqRBTUZlU4jHz2Rbfmopn0oijwPAZTr0LZZaPf
6OZeG4nXJb/mASzYKb0Zn2JzY119HjlERhn9o5gKCLvUpzhfW4PDgL0Zievt4Cfg61mwZQm+EeQD
3nWSLqyuTnGeBrLB0G45FFZxde30x9jYwPWscGDPGiM//hVTqhaLBmBP0aiHKvmeDTUul3mYA1ba
9s9a80hQNXGnCIaV5X5kNvAPBFpWSr1B/1qdNajo4U1eBdfqEw9OaXULPk5FZJV3Oh4fzeXx8lLY
CCAT3/TSbeumqIDjsBsvZi/ZFu9zZatEXwpxEAHxFM/i58kjd/ShbG30pUaNQ96Zu7q7Z+rtyO6z
efAgxlNMqpfMW9p8n09oCCtw5yi7C+kvab3NpitOIBPCFiGuYO1vDco9aRn2qhNsYhdXexFGFgIy
IpafdOqYoI2Uj5MIRm3PVu5xmd7YKD8neDRHPL6AqIYr5YdT1MnMz2JTowtFhJxaOEHP3gAeZFVt
eUtuhRENPQmDAhpgniJMCYiVEEzo2O1sDv+qMQK56sBOBSXI8yhZC370EC94QyohBcePoFMqyUZt
f4VkDS9OTDmo8KFeB66sFKTAs6ehwuOgvDNKD6QHt8O18S4b9ob2Yna6n8TwXJpz6JMkgKpvrKvV
FHIaXupJyB+SNC6xsJzZxx39rrS+avBdRS1XKYhXjoECEcRyeHEyM+y15mBXUIhTwDeB4tP+8hr/
vH0LV1JU7FHBgjSd7H/ndJUTlwZWoLFv2l9J2oJO/paBWb7d6QKMeH4vOg8lrbopKUwla9DqrGX7
uNnR5G5O813FZ79MgwrmHYT77Nfl9q2tvtP2SRmmjq1+nOeyEIVZ23isxq29W/zA51ZBJAp4Oohj
fELTtGqlqgvQgaqKEbTDJn1IksfEOFj76VFRNlbHWubSYWAFkyXQzkB/Pp+4xaLWzJgRLU1GuiM1
1DfiWZkRuMuvrMEuvHEAQR8OTMHlftwILGNr7FZnppMgcCneOw4JDwryazL3Zv6VAgV6OdjqoP3T
SjllOq1WZ1aOYBBtdcrbeN74/bWjwkkvynDyrACQtCvFeaRyPNN4TMwEKtHMI2zjMLmeaISRkSj1
CWuF8/GyoV5jq3BNimZUEXn/Xib9XU1vu1+Vcq3Bz17fa3ocqhC0G/VrawuruzposMiBjgMq4aga
nUcXqL1yGJCxdXBZkysUU8gDrID9hr9dHrDVLHISSGrmmClGnZtAfLbT22j4VpSxsBu8AhT0/18g
KYdk5TwNS48WZT8oHJO8OUhBQtm4pq1tdABjoGyKh0wIMovpebLRaY2d1XqN1kzlC2jsaXfL6Pvl
dqzOQDxaCkg9NiBZpsGp6FTDTggn/lDxSp/4W0ec1RE5CSC1YQRYJp80BKivSABPTx/Wmhvnzw96
zKfUdxJD2qoV1S6mSkeM6tryHg0vvwZQ+/reDevDG2T+/diDlm7Y+r8Zbre+7/jf9V0TvhsHZeNL
Vgfs5EOkea4uWZHpMz5EN6+y/k7lO7X5ennAPu4olxorTXFIX7VZVyFGG8E2uLtpbvJX+kt/7yZv
CqFYuxt9s/XqB+Wrc2iCYUOOQPb1xlzE5nnSRGniC/3LkiwIP4T2DvPeX7zyGqIEJfSDbwxP8Wy/
2gExl3jZUx22XoqF0QbkS7oje/a6PGk/y58kJFca/nK5Z1aTDCA4QgYAEAZZC2Aocz0bFB3J+lUP
TEAeI3KwoF54+P+FkTrAytRESxqEyYvrkt7q/L2FVAw76M1voGr/TQY4aZO0zS5T6yyxAJabU+JB
hxyCpD7XN55nVmct/JLg1Qh9cGiZnKcZI3YLxRkQxKaPoO15lvLUtVteaSvgBUyckyjSvCUlaNuZ
BrS6jbFJh2CID7oRcfPHaL/g6bXpHR+yeDlgqxBYvTxkq0kOypawegDAGlID5w3UYWSawpUQhxUy
TPtk0Q1vdloSkLJtmNc4+hYAeIXzi8biCR634Y/9Vsp6hpP0MIN3cDc3lmBowCTyiiAfAlO/5fXg
4fTptzjsm8c8weNNDhSFsTFzVlfDyRdIOZFAJA1as/gC1efmcwsT5Yzti2uAN+xs6zC43r//tFaa
QK5FOW4SMVLSAo0S+jblX5UYGiDZ0+VxXDviQuiDCFEfgQeRV4NtAtvXZ2VkfqfNVWUHnf3M0vne
TL5osIjXmi2TkBVCPtTYsSuKMhW8H2RrjUkzoZNUUABQ3Na47jj0dnu9z8IU5kKQE8tL6ENZyw5X
/PRqmCsagrynHNy+G77wvNZ94RhxzftY+Va58SuzywHP5ahYm3By8hl4pR6DsEM4lgP4RWxwrnPa
GsAoTe6tQ1L3BjDW5OpyJ64NFlwfIFcEUDPc0iSqVgGrkA4Q0iJSnG6HaixMnVK/V/Owdf5eyQS9
B5+qD44Pbrna+bqDpzbPLai9RiY2J60NE9Z4irq73J7V2o1ARgqWD2T8ZREMQQqMO4rEMv0aXsCt
r/Z4oJxwwoSmbLeRKlc7759Ysq5U1WdGmmtYVSjMs+barK5NcqWaW6W9tRsqdIVwJsN9DqR1aaKr
xmLZicDVL4kW+wufk6B2xh8GW1Lfrfhrlg/FjrSFbxglBCnHOdzoU5ER5UPGyQd8amc99uCFAGVe
ByjjgP/yTfPd5/FnMnoKD8Z/U9GBtBG8Y+FsBpyAlKw0uD9WCRzXo7I4AIE670x3q0WrXQoMNfRY
QKvFs9j5XEwNq+4ariBHtQEU3RaYAO4K45bqR+c5Z97443IPrh17BWT7f8NJu102FSnw3EiJeKT/
3RaPJB73iVaHVpkFfb9xKBPT4dNoYebj5c2CyZYscjDBCap1YV8BGRgYxe6UX0U33WXOlelkX4BS
fZ5gJfAvmifsRDA/BWRYSiJzbDdjR8cyyss+SJobawC9DBQQvP7RfGMnE4P/qXUAHIFqBHmOT6rv
7ZBrM8mBga+adtcodahW7nVVb+3ZqyN2EkaaIPaCqlSZDSIMGEIV3Y/QOQGyKNDi5TqFq/vGDXL1
GUQglgRp0BZPVuczUqUxtD5tsIS06mnqDxkELFvWHgzYjZqq37Jqj8cr2nzvO2Mj9NrZ4DSyvNwK
iidUqyqjMQmg8x7Abs9Mpv3/kPZdu5HsyLZflEB685quvKQyaqn7hVAbpfc+v/4sas49XcXKW8Te
gxmgH7RRkSSDQTJixVptI2yxMI41HB97y9IKgo9NRnUYFyIoDt2OVEqFWK5UtE5IzTHXIyePDhCm
47jJ0vpdG2GmUx8heWEQuElqrMNCsuO4cIfOsZJVl/EwfYsDwvEJ8T50rgLaxwxIrwu1CzUgfvVM
dXppyp1ZAP0lFE94w1o0BbUt2uOJEbD0b8bcSEbXD3BLpdd3sTRPbiGaGxmAfc6epg7O7jO0MdAO
RLwEUKi9HVShTPo8lQQoX7OEdN7oduE3ERRkSen9c3eA02Ms8AVELcYdyjwNO3Q2Zfsp2RYg1IUS
/b8ZypUFxhfaLm/NSQFQOmwOReL1tZORTc7L3i9to+tx0KW7Ss/EidiDGhLjiDRfmCGA0J9E1a5e
TZJ7ZtdfHs/a4vJcjYn+/cpaCEb4zqCAdjwFR2+OFDRKdoYzlkboqwYeVI/NLQwOfgDBXgnNvVDc
YMzp8aBBlgZnShOO9jRvB/0nSC7ldptXT1nCCRALY0PSH/jN/+jgsCRMVtEV5dDRgFStp2aPfvBQ
J05v/nPHQyUHpz/wlV/R6HYKE7Q/BDlQZXsR3dCa6VTdVhN4G3YhDt0YYSYOxYVRU2g3QJJ7Xe1M
/QFU23kFyhVOFF8yhDobRJwpfR+iw+1olEmbJyvBfkXlMAxUTxh/6EJqd/oPoI053rC0QADZAvCN
4h4A04yry/KUCTER0IQirUjixcUWBI8zT/aPZ4WZOqPUEqmZYSWTtloOWiFbro4x77K5AH5B/yiY
K4H0R54ID/TbieuEClwpdZLvMxlFXeVimshYdSpOfaPYW426V5pPAYAzEbXsQDU/E1FdhSuCkkYo
7ZScVwRYyoyASwZ4C5ALUdIF5pnU5lObq2hgRD3KC8fQNk3ASIX6IBWBHQYvauooltv174GVQ75U
+vN4o3/RyTBxH+aBywUOGIKlGhMsVaGdxqABoDtPIuiAb4dhUwm7OhRQ8uuPOHX8oJmQn2mceuxE
R8tfB7GCesBh1EGqsNOEP8Twu2Q1dE85ML0DhHSUPzmSGoK8i+RV1kK+nHPWL1DkgM6Bgg3QGSkC
U8xMWZ2JQhfODaD70DOKUDvRg3VqqQ4afELH+J1pdhlMniDNjiH0Nr6qF+0iekqGgzTGdgNZHjxX
n4eG9+Klc3U3l7KCej7askEVxbiWOOo93rwAaQtyEXgjLsmrUq1aTtl4YeebIvL1aGVXaKMH/fvV
URCMah1aZQRAWroVQWysfOC9ZBkvvBL4Qn85cP5InNF3DOXfZgx1EmlUrQbbgnUOh20f/jLy7zmI
cQoldlLRrYd5NzbBs/UR13+gGwfl63Mn1zbOPkNM1mhN56z7QoCghRC0JAM8hLYu5nsGuIIBKDnl
40+cNu0+u1lezbFxGkpeGF8yBYZHKkWL7jFMwu0c9ySaSUW1DLIocc1wI2uxXYyxY+U81MSyJTxs
0LCDJb0jrVLnyFRLwP7fW2s1VE+l/j7xgE9LVQMwdv41wlzuUMIV8qGrAPOXTSiAWY6Q/hTM3NEC
7QmqSM0q1pBNmHrfVNpzSBo3hO6V0vsB8sFYTiDBhH37z4F00B6lXa0obdG2FWY5Y8HUIfoLQOBc
v0vEj4atXn4fee1rC3vyxgqzJ3Ox1Fr0CKIlYFWuOQ5Jv5DZ7xC6BJYG7XhINLEt8prUN3NLALFt
my0aQbOtZu1qc/f5OETT05W1AvYKtJ7jjEC5nVm8CfRKqO2DgA51QHMubWC5bHL6FzZwHFoo7phA
WjOXcr0G0h96NciRyxdt3mcBuoB57QRLnk67S/+fDeakmcQ0I1UNG0juAjCpOnHiY6+D/dJyH49m
ac3hVri9AtEFXBXjWQgUfamHAINGxZMagX884FHvLtyPzWsLjFcRC/j9LIOFaV6LIwBVlg8WKLQN
oDFC0zjDWZw4tGVD6QJNreijuQ1G0MbGxPWACUUnLfImFcnUbci5HC+5MlgG8Ps02w2C31sbQPXU
8kRgQ3o3zJ8QY+xeqwAdn5xb6+K8XZlhUptGjqen0VGk3Q8BaE9IQIINXryIxqnh3RIW0mK4I0D4
iOJugPlk3K2Q88CcIcsLIu3m2VCbsxWIT6mO+osZ6xdJEFfo3UcDSzZy9uvCct0YZm7LAphB0qhE
xJGD0W1UGfn9xgZVq62KNScALY0R11iZahAAys1migMoDAZCD37TGXfGWdpYw+/ymaoLvipi46S6
7D/eWAstE+C++GuQfXXUcYICooKGO7lV9nU3zusukdAoQSD3lGgoeTRWhX6DOcy2QW1OdlQWUHeD
Lto66kXNMVsDOoKClWexjz/9moNIWYOgfNxwvpNuCSZm3nwnu2XAuqqYUObbm5myD63XsIpeYsj8
KmQXWXaDok2cBW43TrapHR/bXlp+GnPgyUBj3elCJGhJTOQQtyYNT8BWmuxe+mmKqKvqAidoyzQq
340SF03KoI64YDG7ieR5ZZQybilKA27hyjPj1h410wVLKrRkd0q2CyBCh2Kg05j5Kg5tyfDz6lce
rVtiuWK5snSnGJE3Bjv51NqxVb4rHW/LLz1wqLjR/37lHS1nOzVBSooOjSiZ1zffkSqzp+m5Vzpf
ADsuEOBv4TC/5/Wm6Z+ULnl5vBwLEQdg9i/JUBAP4G1+G9jkuRSqMMH9KqWUYUed5I4A7dd+sgOi
uMCz/pf2GM9LyyER5gFr0kZ7NBfZyqBuAmtTtpndo+on/CtzgOGBGh3F+6/X7tVjIBJCc0wMTC64
SW3BfBWUxtaNwRag9iHIly5oOIfRF7D8zum+GE9oXz4O9NsJLRHFcm2Cqow2oNzbJ+hFhDx7qLTb
WtDdEjx7Sr6e8tc6rtfpIPoRMRwT0t/ZRDZEOmXzvlQUsCHHz23hF5YfKOa3x0u+tAMV5JNwA0B1
AqJat19o6lUAeXb0z8h9D2CGgI5+2Wj9Up48fVYmTp/dUgzG1NPpxx0b4JNba2FpdHIBnYR9UhSe
mirQ8MJmRzOZErxUjWY3jfxnzvX14zEuXArpmgOZTJkasQ63Vts2Bw0ToMFgTLoIRm7P49qY3x/b
WJxH9OvSxi6A4tlMSSFWaMSvcPE04o+21WkrA+UojXjSDEt28AIAFxwFiAAleDsWkgX1f9hj5Xhb
WpMNbVkn73w94OWx6A+xrnttiImXgtwoeaDjBtqEnZ9VwWU0j5Au6dV2NdbEU5pg9XgGF25VILMC
agpN6hR5z/gGUC1F337BfsnrGKiHXD2IvVOaxjaTeTx3i7ZAv4pSOBiWwFp2O4uFOPRBK6EPw4xU
kLsPnVeAp7S0ntokWkOyi0dUvFTBotmH/zPIuGBN2nTKdACpo+z3LPhpqL5K4k9INbhF54zBcY5V
l2Cbg4b4X8yqjtoj5aGAegnzWMlTq28gdYyG8txNbVVxptDNeG+IJcyshWcXsjhotgNRKbN24GDW
mlgFxrM2rGDdCxQP31Sza8ydirqSKaxynaS7PKmCna5Xoxeb/TGUAuscVbJ2kECKwAm9S3teE9GY
BeINkFyzmcLG6EOrSgeA5Bs0V1ifZn0cA96VcnFZUaejWSz8g063Wz+qWkPvO0UCdEgdngYoERaj
4Wp9toWUMv5tV3JkuY2gbrXumLSz/3htl6cdNDq08QLRlO0mzWclN8bBwAshSCH5RuTeraYo9cQy
xKtxqHoHoa911CQnbtyNJpqdxtxpdbxY+64U9uIMTeHH37Q47wCvIbmkI/nNPifFbCzSSKMAMohY
J7Fhz9OPpOPRWy/tX6ysKYFpkKr8MfvXtPKmKwbKNtpU7gzUhyfGpWWTqItXVZc9Ndnx8bCWDCK7
BT+i/K04yW8X2tLBUtz3aMRrYv2QDd8lET3PB3Wut3qUcC7k9OPZyHtti3Gq2dLJONMOqyakirAy
EbxgUg3OobjouxCExBsED388l+lJc3UbKlQzHQILeza2qtIHU03shaFJfJDBQcJ1Gsa1JnaTp4xS
7unpbEl2npN6P5mZvno8uUtHDe2FgnAAyk1Yz9svUYp60ns0YO/VuQQBbw+kYQBGbL8PktFJlbCF
doF1GaK25wSJpcMU10AwX6EJ1sAr5NZwHlShGhPMdK981sjUW+qh6WLX/BdgZyS+LJhBUkK/k4Ao
5aQZVYIBAiuES46pJmsUCCq3nQLeS35xSEix6cAYiqCHZOL91OMQaEqcbJoCXG/dHhIFmr/JJ979
nOiztNORJQUGiepSIerfTp5aqmRoaKdCVp/QnW9HkPeSs+lfxBMoNimg/IVnIMl8awW95GCI7VFc
LXBLP+C58NoqobGerYBw0i1LM4c7IpLY8hcWj9nichFagWaishrTcF7ZRvE0pr+08J8D35G+/WuG
2d3TnPdRaoLbEaVbOfoMBs22eOX2xaHQ9D+qPlAYYFuOgPBP2i/golUfQ1K64NszICgXZh+PN+6i
C/y1w74XUaXLazPH8Rc1NVWwDqH6USac6LAUDvFkR/2W8p9rLD0dAlOZ4CBBOJQUcCRlLoGzPR7H
8nz9NUH/fhUKh0nIhTYH+rIkq5yYriq/oINQ/BfocTwM/pphfNnE/a+Wa4wkBcRCeu2sTU3+PB4J
b7KYUDrWdVcEaCXbS6FpC1XlBKLBCZrLi/53FMy+J4CkCGpFObElAySOdeia6DIDYfy/CTAWLjc4
cnX0OrLiHoCdW4FBYKhTE1+RP5QEjTHm5+MJW1p63MxBbAYqR7Rb0Qm9WvpCD/MgGYCFwna0jB+N
Jtjo83HHuOW4MZ0W9lSndGN4/FqASLPhMtLLicwWmAF13AzTY9R/oLG+gMRIKLzVY+BJ4z++sgAA
DigUEHP4/x0QoUoA7zAGbM5kRG/H9DKbjS0GAPHLyWaov//TaUTHGrpdvrgqgRhg/C4ZKzCN5AAK
NDkULj+nYl8OPwKQZD02c39TAJczUhWUWFjCajHBU0jleZZrJKjkVeTBub3Sk5yUs4fuVwpGcJ1H
/wPEa1QW9i0WRmZZNaAiA4g9dNE1xcyv+xIH3AS+I93BCQJ55Wn9eGgL9zHKUw0KR/CxGkgbM/tK
U4ZpyELk4MFZG0crTflUBhLbQLU5ArhvEjWxx6hwknnai+Qf72nYRuIRuxpTi3bt210QpSKyQClK
NDhcN6UCfuhhRM8obw/cb7ZbM0ycVYuoVc2SPkaR+I4zv0WyX5dOuuk/nksaSG/32q0dJtDqWiXl
M7qv9+aQeUkF3O1wGJTWGafLIPL0Qe/jITVGZQ7hMLg7MDcuqZrjWBhC3Ljy5zR9lpoW9Af7xwNi
wrqJfhyUSRA0QNiCY53ljRjHIJdIGScnsf1J8te5fv2vfp+ljeihyAJEY5GcgI3+aYmCbekdpx+A
bfRhx8AiQUttKtCrkiWnxDYPde+E+B8kgX19cMQN2E00SnDN6wtlWx7urDIRg1RaKigCRgZ5X3/6
Q17UDTSv9uRt5kRAxg3uDDFuEOhCrzdqmpxGNItA0nu226jzRwuok8drxYSn/zWElxI0hSl3BHNP
BR2a2kLLIDnFqSM7ZmzLg11ntrrPge/g2GJpD+6MMdPXh4A2zpAJO5Xmc/YxPAmBjRd3armQFNhi
Qx3y1WS7HScWLs/l3yGycxmpkzwIVXLq1BJV42pdZuj/STqyeTyVzHHyNToggywZnMTYXWw3AKlQ
+S6JYR5TIr/MSNeSUrM7Rd9O7bHNvkcST5JgaR/LOJNVpBAUHfVjJs7GUU7SLrCOynCWIPwC9s/H
I1o0gIEgTqC5E5CkWwOy2De6HPTWsbH2qvk8g23wsYGlKUMqkerJIKeosY1lnYZO7tog5Fi0skOg
kT6jcNlkfofn5viqViKvwYeJ5V9rBOQa0NZo8aHn0+2IQDw7K3IVCpBvt7PJ1sG23kXf6uEbhJ83
WWeP6Nztzlbhm9M3MbILkIMQy9eq0okLTpS8d0sa5VEkx/qho+Mr1lzfFYs+KapyFI7o9HCUevQy
aJFaMadGwmb1MGJkJKCaQJWDdWQW6RJcmUmFyqhIHgen3c/pFL9r+nZeaaNXbKJfKnGaEjvu8Zre
R5SvdhEVeBMIRoosytxQp1wNtTQ66a3qJogl1bzKX9LPMJL8IPcjHlP/QlDGax5PYGQtKYSeTRcb
gjiOeRJHp0LRQGyfrVTrzcJT29Ukp5PS7WyEB0h4cYa5ZBbKU0h1gdCNEnUy14/YUIpC7yCo0KDw
6urmnPmZ1RseUerhFGdVvjEsUFpb5RBukqiSXq0k511N7n3IwDeg+w4ZYwCh2AqY0Gdo+mjm6FRG
E9p4BQPbpy2ETamRinOpu985gFai6AU2N9S78RS49SOjn4ZeEuP8ZJyDxgbhZHxqOPeSe8+5NcGc
RUqnkTTvqQnJNoGC7WwDVbzcPM5zukuDNXoXvH/qq8hqKEhYolEUSkjsQ6MPoswEm1d+qmXXDOzZ
QlvoPrBoGaVXVZRzOU6zNMJre0z4AdG/pCQa7Kmmm4mzHZaerHlzssXZYKYX+fR4eAsH7s34WEo0
kpZzlESwB3JVs/3Qa1vrduEMdES5zgqnB9Y/2rRoilZq1QmPaEjNeE0nbNUaAYgmWmScUTo4NUyL
+vBVAMqaVOwTg+QnZL3BDVBPT73wQYKD1F2yYteVv5ryJ6QvzM9ROraQmilbuxu+JxUkF0BGh9Iu
WESy7Vxz+1cXPBofhsVHhET7o8h8WFejToQTAh+WuUKw18199l36UKDcaYs/g3MDssmVdhg2jS/v
Z174WPAEClKhWxcTBATR7azEbSpVhh4XJwls3i161RH+oWeBS0Oyr9KDwdlazFvpP4vwxRiEbAFg
WczWyrsu1mtFyE+hml+Sk2ziIpS9Btz0GgtT+jKEPg/oIEOVgSo43Y6raep2iuW0OA3th6oOtkV2
g4udlXnfPyvP+ozIITUvjbY3ogJyVWDReOzy9+4mIxQCCwB6fIqfZjmvp04RI70R1VPllfviKd2o
R/0ob+NNsIVOyNH6EZ6Gi7YivurWjrXRORGFfXiDfe3WPuNVmjmOVYYmiFOuN3bfoCQZ2UHvQi8Q
/7wYkQwl7GdryiHTSji2v3qDrl6qd7aZI6kug3xEDFdPspNvSj/ZZqt2l6/R4+iPu3EdrYKN7sfr
4FnbyEflBdRbPsS4V+mKBzi9PxzpLNBqOC0VA8HA+NtQiTMEjzELunRQyw9V3uLZBGq6jSaslOLU
av4w8qiBWLjT1/BBK4waLUD6yHswR1Sll+VYRZV2gh7vZ4nmHzc7BHuIS7wQu3hOV4897X6lcdXA
TRJXHNxz6HP91tXFydSbThb003v6HPxQc0iZ2/pzecBjbY5dkXORu4tWFJ6B9BEIGICmQn381lqC
LE8SpIl1ki2v6zepsKtUZ0IPAo/P7H4LU0uQBUSnB73AsTuo6asGed/UOvXrfte/5efqIH8n/rA3
18lzvGq8cJ//UXmghsXxXVll9k0ypcjcElidwk9yFIZPFNjtdmWENSedc38oMuNjdknW1UEzNpjJ
snZJ8QZFZ21d6XZ3qsU96ECs6Zsc/gg1Fe66hiZiAtbXx55z9+rBY5sW7tDFrUFbgH1zk1KMjUkZ
yanT7Git7BInCFZP+utjK3TCboIBY0W+dRgpJWU2zAM5Zbb/5jz+7fv9zfw48/Q0u0IQxQk/3j1N
mm08X4YX0tmlLWPJOKboT92NA60gyCdSETO25ahKY3kUBoWcxKMIoN0vy8/P5Lu4gePHkUPerJf5
hWPy7rREkws6C9B+QnFlID25nToyiYHaaVJwFtbBLurdcWdZ3rjN/HO3Fn/WB/OpeNNcHth8aVLR
04yWCIBY8a5n8R/aUGlzqIbhGWrReK80zhDbSu00il17ld9wTsoFLwSgBclvBEz0Hnxtk6t7GdST
rGrIo/Cc77uVkdmDYjfPBHqOnFTd/WR+3f1oYzMU4sFbeDuZOkRAo1lIEjwbkHP+XfTnSWhtiIdw
dtX9Sxf8FahPAMRBj30E5ltDdUEAP2zC9IyeA3Ol/6lFO3wL3wScBvvID/9ov0cO/8PdFDIWmS02
yiSANm+QnqVfObpD3maweaKbz+55VP93wZExxDikOoxVIAYYWhTYo62djAaKJOvHXn8XLxgbzM1t
knsjlXDEnHtK4MbLVXFXh4nvI3L1Vazg58NL8dQ4sWs8Jfq6e3fBgQBtPYClecTk9zliZkRMoO+J
QoJmhsnB+zm8prKDWtnRM9stcX4ficIJVHc3esYaXcOr/WSJ/QySTFir4H6pTV7izsdtbz5YLyqv
mLlkC3VG3HNRiUPpiplMSe6sSmpkrFVho1lVQJIF9N2OuRYGG5DUx45xlwVENMJd4AuuhNQOyyYU
jkoyDyhrnk0hjJ+7eGhcMCTyVHjurSA0oCivWrCFQi2zWMLQGMEU5Oo5alNHNJ9Jc3k8jHv/hgG8
83CM4LoGxorb9VG1KU1joVPPgNVKLVqTBCcyvz+2cX8nVG+NMAuTZbNaVcOont+TD/hBdAr99C3/
pv/qP5K3x7buXzpftkDfQ9vQcSlkbOWiDPFcaVbPrT8mP9QfeW/jTW0pvzLykiQbDUwtabIbMkdH
uls6ynJg1yCY21iarYOXcZ/yZJHvoxQd/N8PYpZwgChUPKWSeq6+ZZNXlLEdg2gulX1R2XDGTiPr
zaWAjh0QVIqCpxhRGpmvNptSzh1aLTT1vBucd8sO1j9Ub4bKRuhGzuh8by4fH5+Tfe5shbMZ7kP+
rWG6M68MB5WeJ22oqGfzFfAU040/gk3IicT3D5mb0YE1/NaICL4pw5hlGDmU53Lzk2ySlbUVNtYK
DGj+46m8vw4zxphjE8l/ZGZx3T339VpETujZOCmBvbLbbbTX7eClf9KJK/DmcXmn/N8KogH/doyQ
ubVmMcZEJt8UkFypTuRJR+MgHJBL9R4Pkfrd/99ZLJE5PS1w2EsxosLZrY6b/pvAya2wvAao6l/7
BB6gt0MxpLFLWgK/l49Z5cSyG75MmdvNTmAbXoNdmbng9v01Tx5kmx4PbWkacQpAQw/5b5TaWQL9
UhEGlHND7VzvQQG6I/vWI8/wk1WzmzgHHM/W1/31yvdjq8gqXSPqWVyN+9i1f71oTu0Ve566Odv+
Tif0elBfH3JlqAmjWRUiA6H6XF98pbXbnfhdfcl3jQupeltx6tfQs0CW84JGRs6E3j03GNuMX/aQ
yJjUzFLPdegFO/LyYs8r4QdU4D5BCh/SzsnHBhcCys1YGeesgBOEsB8mFWL1vuj1a2tV24n72MjC
Veh2RhkXzUoo5lajoJ4HJ97kL9UhgKCDW2NCFad/DbfdW8MJYguHwc24mNMJjTN1Tio4prkq7P3o
cfY0/eCbPa3RtC0uPyJQsJB4pNN65SJq0o7KGKv6OYTUgVS+BSlvV9OFvrMAIDHVXwM/AIv5j6w0
o09D41y+i5+GH8fYzEJjT36KO7iXuCHvinznCZqC+gpQGRT7BJAqM6Q6KrQsUqTg0oAq6lIXyBHW
2NxOHhqxb9YAOUCeVj31VsgLxncBklrGJQ+9ZSAkgIjz7WSGCsjk52wMLkaxMfHErXBnHbiKb/TU
up1QagU5YZBf4n3L3iMJCcIyjjE+rQp9JQLvZWSD3MSMV2ozb3QjcdOV1PIagZZmFXA8FCNB5q2C
w/R2bEqbl62Ou88l0zJn1g8omDmQH7VBNCfFv5R05uznhbmkBXnIuWOgiqXTv185Zq0oYQ0qahA3
rkQv2Kp4AHD28sI84pIloscefadUlfjWQiaMkRX1angJN+p23I87fdPsVT/2uCCyxbFcWWLmjigV
VEdVLbzUvrAW1ujp3VaHep04pUfW0jHaSNt4W/NAAffXH0ANrgfIhMREjKNumGF22IYv0Vp18hfp
+D1+qjamz1P8uk+6MMYY38/DbhYEADcvydMF2q3qeXYwl4dqzePi5w6LiYiVLAYkIRiWsDZXhh9s
yW/N07aSJ67DA49B9y78MsNi3HDITCVMcwwrenqW3vIPNHyuOX54HyBvl4l+wpWn6/1oYeMq4SXe
l/t2r2+D9bhWVuRZOFabmEO9c38nwIBQJgO65ktfmfV6ZPwLPdHr6FJ4sy87s5u62q7f6W6ymR0F
9PkFRG8Hu1t/4wzzfrupIAAEGZtOaVIRwG6H2RXQdiClHH9tguCkoYySfhordRc7/6UlZs3UUQJH
Rw9LrdtvZpv4pfemeM2u4Jyd97cBdCleD4lZuXAoIjLTISl4Oj396F9++aBGPkx+eAq+oyrGO0p5
U8icbOUUz0LZwt6EeCU4htf5nYt0qsR5Fi5sZgwMjI3gKUIfErp0b9cqSjO1Qrt2fEFOE9V1V3oy
nyUvtKuzenq8WF8g1tvT7NYU8xAsotlIgbiJL5VX71O/clL3R+9nNpTuvXE9lPb0Ij+bz9VGc8S1
sZlO46/faEXidWTyvkOnc3+1C+MMZ27V4juGbbqRsDPaPVprC1uEhmbuB16wijaD370nm/Rb/GSt
FKd1wP6y4TrV/WFxMyE6cyyFZmXilokPKd3WbYA0doRT+/bre2zXh3oV+cQjXsw7C+/DnArdMKTA
RNx9aFf87eiTTIagzwDP6n2AG0A4ATGEmTimKz5X+/Zj68TH8lC9STxBYJ5dZgdlaQ5aOQt2gw91
K+1kCcVkkeNi1INYD7seG+PMYxlGJvDrdNcI9mz/1F1yznzeQUHD150VNLYiiSihy4utdQhyBJqI
VsWW0dCO+DJpv8nEu9mydBmg4scyXRlhDtmSSGXdTTAirtQtWYnb4asg3/gR0BXdiqyaVb2WtrMH
Nna/cAt/WPNSRvcPBhWdBAryfuAwg+Qb4ymT1QZKlDbpRc8ne1R6O+HxJdP1YGfy2gLjE2kXx1D0
rtNLbyYQa37KQPMFhnAhsZX+pLRcdo8le4D1ge1ENkRRZ8tF0HSIu0ZTk0ujHMfOaQUg7bxgOAkK
2rMlTwP+gGTipujkVa35MTqXc7VzC7Qul3s9LOyy8B/HxCVXwiuC8hWgi09n8yy1nHXYijKmmEBX
GTnW2c3SFMKIff3x2NJ9KgIOhRo4fZyBjRDOdbvvhxnckfpQZpfus3mSdpmzDzbVL+k1PvBYRRYP
S4BfQfRgItSgn+/WVJnELZj6q+wyp/MkQ0I9KP+oQxcJThcKxR+jbSGIEBrtvEcbc/M+yeOkO2lA
hoMutYUMJJsV47HTCOmvRtO7asWZCjpU1u2uv4+ZikiPpyCo2uySFLsxn/YWQdPRDOoTCIjK6e8C
Z4IKUs8pqFzlNRyBwhiOjz9haWtZOlgWgBAGPyILE9bESBiyOc0upaltrbE/C43Kq+4t2LBw+wKk
R0El4k49ocyyLkAuOLuYEB5cAWIUgJC/tzgevLTYFrpDKX4IQQu92beLTZsgVW3O8kvt9i6U5HGj
NTe6qwKhbm1R7V7rHFjHfV0MoRcMcyqUtgHtAJnUrcVcylRBlvL80tgVcqCBZzkv3ke5WhsvvAvm
0hyChwdkVUBH4cCkf7+6KmhGX5UtKQAAc154Odblmbv6cWYcFhmNfKrL/EKabni2hFp+16a4Pgpl
1zkhXVlborzNtjwaJXyybKTQloGLVZxRR15g1ZqZlAKQnFIoeGiBV+mxl97XS8BHA9wFUjbAaAGi
z3xhS4wpAAFIfxFLh/YYhnU0ONV8rII/bewPwEJZp6HfxHJ0FkLLrrrQnZpL0IXgEl4FxFUEz1IA
cqggcsbZxF/ondtNjG9DJgulcgARUQS7XRpxFqtUF+rhIlTrKpD8kvzsQAFXxlDlGRwyg9an8RKt
sjPDj4RoQ3qAttBDn0HYo3Cy99F6b4U9MCtF6uuaF2brNPzswLFmPkNhyMN/3dWHGIx/PTDmYDIM
R0cH71RRegKyWiIqeuW7oPqNdqjKxhXJr1wsvPAp+pP1qzr5qcfv1mA3QMM/XpP7IwxUXSpWA71q
6AJgYyuCaBujx3y4ZIAi2Lne657YpaKvxtFno4LZo5fN330nJN5ju1+nPTPfSIgq6DtASgi5Peas
hvqmHkHsFUjA8Y1o42YUfQi+FPlpKk5i9KIYdkS+WeO3SMB9ObRLS/LKZ+WnvpGFLWisz7Hhxqbp
xE/j5JSBo0nPYQMY50bdqaav6a50mCLDRRemMaGrMHqRwVIIirCytsdDoa/6yKmUV+uPzONO+UL0
sgMDJBx7HLRISEExl8ZcawaD1MJwEZMQ+F5o6KrPlrpudMcAmfJ86CqIiEaucdQcfacFZ904VPVo
G/HKfMpobz8P6KrQkPnoixjXHmt1TKaQDJc+gsCiP1R+Ur0kltMErQMJvNWk7yGzgspIsdc3evgB
+enQroUXaDFk7bvQu+gLJuYazniYQm82XDkDmw+OVVcCbpmskxRiProztbvAbcOXx45yf9EAul6S
kTYE3y/IHdiaRwI1oXGWx+Si2S6ZvGnEy9U7T7b2EnLeMjT83MwTY4l5PyWyEang8Eou4PvWNqMm
SU49g2VlAIM7Z9vdvSyoKbAjofuEciWz+oYVMfu0mufkktjg5oBwHTAy9WTz3sh35w01A4VdZJdR
nwLD1G1Qa8wuTgG/hhkQzTu4IXWObLa8U+3rhcJOHEIHlslAHc5gXzByGmdKITXFJVDT7Be6vZLY
LsWIJCup0gvNKSYDrTxpq9arOe1ADZ+qoK52hmRKwE9diQA+CaACLp0cAu2Tk5MJVNUkNIbezVrB
CFeRnguVr4JoDbc5IoShPaJvR7IVhcjnqlQsOKgGlLuT6ROUv8tuhi6FGCYDYm1NLKSlQn34SC0w
ufvdnIcKxGKE/kdUxJXghJYJxm+O1y7NvEJlwdHrBHg5y3IgqnU+ZJaUXka/3VRPitusQj9CsS5+
+lDX6QhdRo7Fu1so1vraIrPWIC7q5z7A3R9sb/tDpGyzwYk2CHOz3zqCS05ciPGCRZgEMT4y+xCY
YwvI3VRD6AuYKLw2nlp/aHwAjAckAP2m99r8m7prfofoZ8BtmDPUu2wWTmpQbaKlAQIkYCxh7hFS
aZJJirLs0niGrW4PoaNvWm+6uI/t0COIcesbM8yMpkY4ZW2HW3XnZK/fz588TNl9sowZB3MGNlYZ
pkEJA2Rl7Fp7/6R4se38c1QjY4Y5kUSjn8uyoePwKjtGsDHtpxDQDOfxdN1fpBk7zDmjgTe8sTIs
C+AwPobk+4Gtbkwonxrb2OZ1uS0dDGBCAF8z3oQU7M5cpvtaNOtIoebcwWs38p/Gtftv4B98+/14
YHd3JDquK0OMu4XjHE/D/5D2XcuNK8m2P3QQAQ/itQoAQStDSq3uF4TUkuA9Yb/+LuiemAZLGFac
7pfZMaG9maisdJVmZRGm55eSjDusE7RThyNq30sTE40J2h59oEhcsQV3REoo9Aw5aDh3YNtmH+9P
D9zs7JLGzqnI1/4gWpUlBstABckHiTiSiyFPNJk8PRX0k/MkXWIaugjQBYrnDibdGWHopVWcSKGf
nYWAvOQ9BQiCT1z39s0suFHk+DDlIqJ0ClRb5jx5ZSqlqjR4TxHvl3KXbVoiXta05pU+lgzOnM7E
19m7rUEALAgZ6LyMHjEPxD9fErI9rXiz4EtMm9NhRDpPlF4xQ9DxHmRaU/0OZRWbI2rfokFI2pwG
I81qGTRNoV+y887TCEa73vuM85Za1Mw5CcauCdgm0ppNDXYlGxRhqWALvxR64rRPf3/wMieZuDm7
FXG8KFoo4STRRt861X6aVNwY1aOakVPwxEuhLnmD+aEYgZakVjKHGofCQMJrHBL6ybmYifGsu5kR
YPcuJEgZ6pWO9/tlo1rRlvPri9Z5/vNMdIul9Suk1/Dz+nYCHrd1cqyo+z5QhZQ/bqslTwDYxKhR
6X5bBWV2HijCTqxJFmhpYQkaxmW42UGObrIIaWYvtm3eVtO9IBBw5IjETugIFkfaOKrJpm6iTu+F
aoSwXaz+1MKcVTS0fN4l8WSAUc486YduiMG48jNy1M2HudtgMlOz49PgyjsZD6zn21fFOxYT43SR
oPnFAIJW+PiR7rcu70gctTEZW5B7iegpIgi8qFRy1d9Y6bO5fQQeBcYMdEUpNKMIxVwddqPTEzy5
ebrP8TOsMwuwmTCJNVx+B4iOcl3ZWzzUCcdjLsYAfzQUQ3TX9mxoEkE2sI4IkjzQdl+S4b1ztu6K
Cpv32yzjGAMAS12TqnysU6sUKI0V0Mh82NtPokg6ov6oA5JR3qDLYqA7PxnjpxugC0uiMJk2x9JW
6BIuXlMr2RaUx8KlAGdOiHHU2E8ueX7xZQw00lorWjmjpbnVTsWML6UJ5fBx4tN/t9kY5Lnmo1+v
1LxSJvWJyS9lF1m6tX+K73hKdNtnY7L3mszFK6PuMoB/SB6qm3ojEpdzkNtWVGWXxIqd2MthBdnD
Q/VyWt0HO2rTlfE3L7f5/TDWICvqSycAA+QsfhJSOyOlAR4GPCt62yIALO2aXW2mSNmgI4zqKIqd
K4pe4LuAhlQl7WuG96nx2ewBYWzzHnTLdKe+SOSrMA7AGNPYB/CbIASw3nZlHWqShoRjrpcN0R8K
DP9S7JUWxTzJztIpfxToZaugXButbwsD7xgM+6RS6yoRQBCIqn8hIe+4yv2/EWBCKVHvQ2RNQCAd
SUIysvodPd2m8F8szn8YxTZlmA0mZoYBJA7dytLpeLSVzN7S4f/cPPwVg/6hwxhSL2gRVwEoDzkC
8RlQs3dPic3RTc6dsyB5kLWVWl4gVR01iYAht97eFgcOkf8Ssv05CGM5o6LVhsqIYGKc1TpFJ7RA
4nVtRcfE5annZO2/G80/pBijmXRVqqQXPA2j/a6xNSzeIi39OR4y6vKyYsuG8w8pxnBK5aXtIi1E
bW/7EhL9xDnK994f5voZjc/MOpSqBncj1VuDSLIlaUQ6CkdUcAhQBokNlFbr8TH+CKmBRfCIrjgG
YVnQsdURuA9oQwA2+rWtk7VWK4JmKikSmfYbiRguWo4AIUZ5vm6SgG/XNqPEmAUMfDZJoaEyK3+U
Pq2Q0gmIae36Q0FdTrC9/LSb0WIshJFmSRq2ONWAARifdvtXaifu9vNZQZQic2R/EoIbB2NRC5Ab
65AOBrFgE5xo6dw2RYvW9M9RVMZCrEoz92AgsvPzrzEgj+nv0+3fXzQPSIVOqAtTCp65lhIdwgCB
QPhr9ZaVusNTlBJEVreJTD/yjUUzIsx9FEVZFVKPOGe1hiNdP2H6498oKEzwWwkYRgp8hNjBy0hU
iNZlLbqc8HDxov+cQmGuQima/416H9cPHIldvOXZTzMRrjyE6OaswSD5uVtrW5moLueeeRSUa0Uv
LoUZY74Vpgwddhf75D3+4xEYs+yh1w2dMiCQ3Le0s2zuE3rZVs2YxFhjwKR1Q2BAVIG18/iW0/vO
EvcV5ZyDI6ts0SsxK+BNqaAyPLy8ma+IMN//SRlYkxuYwkVqZBAIzqMbr/e5U61vU1h0WzNGMTo9
DJc011BCOicb/0kkITfdPEn6DX1mAUhXOTZDJdM7SV0/V5ayWwWTzQgtXmmQcxDWtBpqN0ZxCbUo
jz6JzxnlvcwXLhtNR5qmoHUDoDNsnS0tPTwoLkqOsAUv85wODsl8nkQtBUdXVKZjzjKNBabKTfxP
joKT4rxJZBNvsPMEL5fn2/e+oONXdKa/z+hIeZn14nQavP83E8MGnuwuXAhWZaHVBV2CeKKwvfSx
qmQBGu1yvMQdOUFTa89bH/t9nBXTN3MSDLPGoQDgigAS3q/G7p7vCqd+KmzRkp5p/B4QjrYvuL8r
agzLzCKXxkuh5+cX7+CIJVUBotEi+qk+bl8Njw6jkpW86i5JPdFBp3lPlCP1jryHF48G42XhQwRN
b8G5gepr7wGZRgsd9FhQd759lgU/OOcZm2mOsYnQiCc6VtWSvOUmExasCxaC4QGM9lA01bELQMxL
J0nCCF6Fz51dk9Um3BAF8SJf/ZcSWVekGJZ5QgcINxmkNMzDGni0OAFNKSQgsLFM6wcv4bN4Q39O
9uXhZgpaR1jSF00nw5YHR6AtPcbOJ8e9LFubGREmTJFVv2+aHkRiEm12gz0ekSd5ergtA1wqTMQy
aBfTCERQKW11fYh3gF9/kj6fhh8cQjyWMXFLX4wx2iS+WNa8Sq5+srNfn7fP8r3natomof//NYsA
OWRLwXkndVVnqNMT2TvEx2IzbNOjtz57VngID2iF2P/sn4d9bqEPwr5N++u3GVd6RZsJarBjZIXl
56CdBjR5r6zQqgu7tapgndq+6jbVLi8x019hi7iFhvC6t1qFivZAARvS/8zTCS4k3GFYQ/1Mt4Zd
bhUnycmqIulhdZC3sUr8jzImVUTSt0oh6kCil26f+ZbvuY2fUuWQpCaRXPHVW60F7AT7sYpp0L+i
9zCszpdx3WZ2lGyww67l7SVZcL7At9Aw9I7hBXT+MDF7m2VAAa8kvH4lq9hhFc5TaFm32csjwehC
a+Bpq5jdlBOXqaPvX0+88YulqPTqFIwiKIKsD/JFzM55RV5KW6aKjz2G4OMDb8p3yVpdkWJ0obmo
ORZ/4zS1HW2KhL4AELGiZUKnuouxSTm+ccHOX5FTr8MJM5Cl1k9Bbid+oBVK+nn7bpZMyNXvM6KP
/UjJZUTf6Hm8Q5XfQF9XQDPiPueu/Hib1EJgdEWJiSlKdC4ovgRKw1qmh3q9+u3+GwEmjFBjrYoU
fZyKSCJ90+8rzgEWrODVAZjwoUd3XJZFUBWkhjeqXSXk1f3kXDdPV6ZvmDmnsgvlrokhyCEm75yh
sQfF5eWbbl8EegevaVSxV+m5ARrN5yFfq1bx7HH68W9zCgjd1xRiZbysPBE34T3lpD13JqG5RTk+
lncMRue9Um+lVYlj7Fok6p+6/yss2YSf8R/D+G0OJ5HqXilFVFNycghJZD2adsybx+AdgVFuQOln
fl8PyPuIKEomVmm1nH7YhbfC1SkY9faETMe+mcl8hFt0Czsyr/mcY0B0turUx2Etex4oCDtxe5iq
JkDT6p0n3+JNwN7WDV1k9FtEjn7EEknoX0lWhProRChdrn2fpJ+JBa44xmh5kQPrOr7gTl7wtpLh
5Q1a7o3nLSekum3XdRZyBoNouZKpOMx5g83V69uWkMMpNsSFVKtmlODHxdZyRpJ+hIdLyU0mczj1
JRkzW5WnqVp3AexhRxXn1zRdqROsKec9dznG5KvkPiPjqUageTkETCOOI57oe25zjO4iBRmAadho
gD0N3946+gpYCa0CJTHQTZWPRHsg3TsnCvpC5vgmWDMqjGmvM2UMfVOGorgGserELZF9cC4A2AVm
dk48FLfbtYim4hyBRXzU1+4FA/nNj0/7Vbzb8vKoi6bnz9ewIoJYPFQEEWeOSf6rtH6iv5rD1UUh
nFFgnEAu57lfeqBwuRATi8N3HdT1tpwvWrcZCcYFYCSyyOQMJJ5xbTqo5LwNhLxDMNFehOKQoF4g
40llOSFZ7QOs06Mc0eDI31clZSbhSROUcteBiEaCltR4eZh3DoZj8vNtdvHoMM5AbVZ1WF7AroH+
qkbHxGgEtbWn20R4HGPCvKpfhbWOWznvqr2D3kSreubt+OXJLuMIwrbr47wDCePOaXeRy7NsPLGa
jji7j1o3crOscR8YN+6tC/CFT7d5xCPAmAIzG1HXhv0/j6cX7bFxuH3Vi6b5j2J8PbZnJ1CjPojT
CaUe8Psbk7zEx56grJlsfef2SThX8TUuOCPU9ArGegUQyn7n5A6aHr5zdFziSK3MKHktNI3eSLjt
0r5YkiNSDXWljAooNIeYLG0rajzYFTm985rhOZLM7unW1KCZJiEnJkpWHZEf245o77f5xzucei1q
WKRUDEUJGtGms1fPv6W1sR4//s2+fFXAZ5fUrxqzyAwQ6aiWA4DLkujP6viPRBi9V7xySAC+Ar0v
n2HAjukGo1eU156zVFXGjON/fDU7c4g/XYZ2EjirN9cYim3p5nIuX2JHfdupLo/cd8yF6RUwI8eY
gqj22q6tIXwv7V7S7XB/OGMW8T7uMWPcb5VnSvvewjml2P7EDOlfZjZmH8CYiqjxEw1wAJMQHnwX
UFinFTkZ1upvXmx/yLClW7XtuyyYnPWLuN4NX00qmCfM325L+3KeZkaGiQnGwMiK0sPt9XAN6IN7
f/Votubo1FL1Yn5pLEaaCGMxGAF4hl7SzsYOI+yPRRoRhaVAPmCsDdaDhyDDPRkTKIReaGBEDgy0
LhnJI/KKPFrouNh/8o8sZCxG0EXloIZgIV6l6VO4/vGaUeOel1Hj2D62JpeIgmekkvbV8tsTf9Pa
PGAWLscYg4Ghyj7VepA4pK7jRO9Z7dDk5Ta3Fo+Bccaps2aF1cuM+q5Cs+yrfIVIAbjOP/ONZOtu
+DeGb0aD0dAiDnVBwvroM9YfxcDNlbbqy7DjJVEXHcUfKt88eqlpKFjrU+wW/VQe0Ic/NfsanLMs
v+ZnZBgF1bGdczQQv52tgQb3JlHphUjby9G9fS9fHS3fHkMzOoxTx/KGlX/JQScu1oZt/PLIhD1G
qA00zc32WJ930UZwVtuaGHgRFYDsxVw15wm+nMqdfQSjs9N2cb3AXOrZkvOd/4AdQvoJPuRHQIR1
avF8ybLAz8gxmjti7XcvDBCU3UHGzKwltVOTjLzmHWsx+JvRYcL8MM27NK+N6WmHygR5aS1/O35+
3r5BjmZ9bdGZxRRV2iYhFlmjgSIn5fNO7gheRhhGuU1lsgG3xISN9Hsz8ADjjJYcwA2RDtto/irW
nzGLsRBDlgZD2U6CqBPVwojz+7+dgLEOoXzBeFOH3+8xC3LMuG0Nk6Lc4BDruDEKPgyxBg59lWmd
N98ON/Q1snmYCEuTDQB7+I8pZRuvgk5GVkzAQaa+BpnejQRdv9j5xu3/50gW673bXvdyz8eJUgII
aNqQ4OG5wZCwcBfcF5tKXLeoCmNsxzjfvimOhWUn4IVVl01l6OkVbp6Eu/YM1ABHDyyOSC8eD1Ad
U68fmsxZPmL+rIJ9NWF0mufLLt48xRbXii9agBkNxroOXRgLXQcaO32d7cWtZPVkUOjr370zV5jf
NSdMn28YCADPikM/DHPc1XNyBvTys09CIKfANd2+nMV35owQY9P0Nm3qUowmQgZWumA6kNdmvCzg
MxJMPIJ1zqOUjPHUhiQhOh3smn70FL7cCggvy7woazNajF3rL/2ANVvgWxvTI7D98IIILZMXMyx7
nBkZxriZ42osjAhkXkZr3N/rd83+Ieek+Zb5htWdmOKHNGNxwfUTtm7HASshsqnVoXXy1+4VcSmt
rSEnqiNbXJGbIpBvBu8POWOS/ZnjqSNsDBPEIsdjdnSGZ2AVkvuRei+SzfFwy9ybUWJiodLMzDbS
QEnEWuy7wFJJQVIciCcMi7I9o8NoK/auNoKC/ZFnC0sYBPg54S9mn7EVBFAWWCyBWW62yN90aht3
aQVxA6akTqe4Y0o38zvZl/z1nBDDsszzej31LpOaxscQS7Payrrs33pSWvJvSES9L88X+jcXNafK
MFAULp46DmCgQsaXFO/KC+DmW+SEeISmH2Jlb06ICRh7qRX6IW3ys4G8YPJTpTV5zMhoV8diy0kR
LqrVnBYTLSaR6GeXEnd2cRDBDbY0aZVTWwWsBW99xZI5mtNirKs2NBBCHdfWTpi5LiY5cgvA/dZt
Gy7xpGP6+0x1jVoxsd0bZArUOyfsYaCb3mFnBUS+pRcbi8h8mEEuOByPLGNs0SMrGRezngzU6FQb
QB1a6qtqo3f5YifH/pf0rPOX3C8p9ZyljOmNE7Qvx0A1hCaMOWmeB9twDMd86V4D6qNQZqyoqNnp
PXfUiCs4jD0OW6VfaRWOW4HLGGCjxQ4QMkCQLdZcMIpJCP+7QnzbsaKkiS4n6iQ4jjyhqO8daa/T
VLPJcOJJz1JQ84ejgFy6lh48syPhgjEZCGnyLts++d1ZzcbbPXCkdPqdW2dirEnXFd1FT0AHKERv
qR04Hxc7O8pYJ8GNqXlHYuyJOcaF3+UgNToqyv9YNYTCdoaux78KbubMY6yJJqiyGJS4KGMVEa1r
HUX5GNQHE8XHTLQqxNWV5csns3kti/b/jFyNJCoWpqpfUGrAN2YkMjHCsArqYeq4NFAQUuBJ7QLP
/YzevrplnfsPnS+HPrMvCLc1wW++6NS/Okeys/VfNI8CORMgWcBQXwFykjmKsFKFS2L0kxBi8HG6
MOGgvfK3GC4JIXa+GijUizJmwhjz4XemUPuAuwVUgUidDKJxr62fYuf9NscWjcWcDnMeTaqHoDVA
B4D6v7Fql4SbwTHXEirPvsVr9P+6AFa1ZtTYC+pDVU09GdSwVJi89bvf4/OWB5UkL9mkORHGToxe
V5XBZJM6rKhLifIbbzlLHwiAjKy7x9Fy8HS99zeqavefkbs1N7ylLYs1ivkXMBYkCUU5bUV8wdhu
tXz3tHvwjw0RybHbIOZacaR+yb3NqTFGxBub2BBGUNMAOYAsRvNyeb0tJUt6NafAGI9eHXoIKTyK
/4rGujagxuY2ge87l2Eh5hSYAMSQB/Gi1ThDZckTos1oZWgCN4i2ScnLwX8IaUI65171rf7Jtl63
Gf3kmcild/n8E5jgpBEMc/S1Kd4C2ECMLK5MPnnw7jwaTCRihClWukxxVvO8KeyL/epbvGMsJjXn
52AsR1lnl2GlfYmDge2nZ7QQ257VotXkSdyZ97cvjncgxnwEiSjl6WQ+lDtnItPTAVWP2zSm37hh
NNjM98XPvXq4wEkiCyS/qiTFBjesV7BuU+HIOFvIlodRDvsQVDqIHfCdx4AeP2+T4B2EMQuZ2tcr
QQCzrBCRLonpSGO0S/GaChftASAjVzpwC7FEh7kTMyqkPG/F/PxLccZNfK+6t4/xfbX1pKx/CLAv
8ELAMuewHHGOLLAdfavTHggQEZFzUsGrH7OKcremLRr1GU3GqEdK4kdGCb8LUHiaEx2T2lNoq1st
FR1a3v3rGZm7ksu8qOIUTETwrlIBuxHlp8SJqX5u6WtgCxtxmm5t1xwpXPaQwNeXZeiworDC3naF
ArxNCTmHdWtFP2saiCQ/b6OeW/xYij2BbvsfSgxHBRXGaFBASZMh8RdHI4c+t8Z1I3NniXikGGZ2
hp73UiBPHsqJrPiw3wJFn1+CnX7mm6GYnYhxhKYhh6tUwZ3VsYtcMXY/q0T9Ldm0Gx2efPBoMS4R
AW1WRAmONDotQMejAHhyCq3vHkLMp/ASRIsF7fldMe6x7rQsBYwm5nwAv6TY6d6skAW4rKcnCfoF
d7mLWhkN1rcVfdFezfjJeERAsva52IKqslrX9XPR3K8ua+1JTJ7ExklFcpvaYukRuUrscwfsMjLj
DEvjwhAFMVbwRLnbOOi16w77Hq1jf1OunZNheIlNeAVwDdXpYW6SRiXSrvilv/H0eNKe77L45zAM
7+IL0OMlH4dBQ19JgpdpEnTvEeMZ0Ia3+bZ8S38oMTFFI16EsTbx6BHt1P5IyH56P/JiTO7lTIHA
7GlVmUXjl9PlWMn+kFkA2YenV2yeWi37rj+HYXxX4BmqoAcgk91bTm81dv1UbsRT/9qRiFZWw8ld
T19945bY4pmQYOtE7kGLX8aMFMcCrZ0ZF2Dqy2Z/o6JihzkQSKc105N5nPFOEoA8GpSQuAlHT3Je
Qos+NyGNXcUNHPmMtvxN+5jYHk8IFyVjRpex8Oh9UPUiAd0K5Yxf5dN9ef9wW/YW+TejwBj2Ai2M
kVaDws47YPKQwq5zboh3BsamD1h6j1oZKGDxSur6x94DNtxdV7t+9zeju8iP/7knxgBpWeUPpQha
mN6zpEeRZOsH3qjhZF2uZQE43pitBga6hg0ZbCZeVf1Lkptqc7Y2PDc7fd6tn76+7tsX+z0avv5M
5mK1sRkCf1QawKnUTnroHMqrtvIYwVxsB/znzlfBiLfHe15TKu+3mYvU+0uqNwZ+O6XcVWEL76tr
1rD+wzeFBkjazVmxHmsLWD323ofzPb2fnm/fwcLAwDUlxocUsIRCO7EoJhtAFndkB4Nx0i3i0NNj
tt79sqBvtmVj7tDmtAN+VaFvCRPjVTyMU8ZVCwE4OL+6p/BpZaf0A8jTB6u9ewwsbH3fUDc82bSx
Tu4xtTzqO+bm/TYHePfIOB0sj43EtsJHOI9IjHL85ndXc81dxtU07WoQhxV+vCcfPC1fSKvNf/zb
iN2q0bTa97Xm/BzbwjFdF28JAYB79GQJvCVqt9WenbX7F4ZjZ+m1p5Ilb6w0eWL4PecqeV/JqHsp
1J4XlpDlf/7lifLMu7Zjo5jeZKoAHM3r6rwtgDqL2TgIYhp2A75aI4RwsuILecprGWHUO4vTS2hO
MgLo+8fatOX86SF5vDhIKVv7930D0NBht1eeLxo1DsFb0JNoH/Fw+L+65/+7on8bquskbzBWk45h
pzVVSIzFi85+ymvXJHNL5+VpIGvX/vxHcWA0ezCMrBVEMLYnlPPTCk/UGMXuC3R9xjp+G4+yuCTx
Q77e2nf7gTxS66Ehe/eVvp+aHV1bE7DbVomskhfHcj6ByXPf1snvG5dWV3LyFZrPBDwMJMxyjDjP
7ldDUN6OLOfgbSoiE/sDKwBuU8OqvZthhP5l2mbkOtkcjS6BWJZkY5lk01vCW0zeY9RLa1cgm8rB
TGFK8pKoqhUfD+iO0TaCvQmc3WZAelv2ifJ2px1fLhlt5N25B6I/1uam9kEjok9K2y9sd3Sb9Uu9
vluJtvJbf5CwEmStYpfv2twrWKlHghUJsX+y35aAtSCrg/QISBDiB+hJTTZNQi73+qeEFsoNsBfw
L4xWuOuxrBPbv9bJ/senEqE+vzpWlnSqMyu6bz3s73jM9sXFzp8NJ6cXfK7we/WqRV/tEFFGurXi
YL1oTfO9h+RSupaw7ONwn09gaR8HcXNx1oXzYRIN460blMuouC3tQweiYez2VtSgoI2UhvYm2uOu
vytJe7pb2QFFIhvLyHQaWIUTrcjLpiTYNA1vltP+Dg28jnAhG0dbQ1LNlOI5SoEZrJDX/doFEMSj
sQ5t27CRkT6YD/6uyFDGeFhtUxu4np1ToG6evGlYojeSweolan4YO3mjXoiWotx7vA+svCcbPZya
pvQdEnQPF2zY7DzrXcNoxoqUHd2/im/pevuj3B1LS3u+k1u7JSdsUMusFGBPykawHrxt8WSctYIA
bhV4xtgbZAsIjddAG5ZQ19CPbWcNrmhvmu1T/pbWVFsHFl01AI0JHeMI32dfqFEAxgtDbejPgIxg
k0A8InvnbezCPXVEASBu9vneWfKd+/7U/dAUQoKtpW+HzeoR0xbYAR64pPrQO7Le6hD+USCXAyUZ
Ig+qwnT9xpams6EQp8LeiujDoOYmOqLP5Y7Yp4okdmnFFmC+Wqw5/tHSFquctrH12UjAgHIrstkq
Bzo+HENHJNJj9RTAAp4R+OI+2uNxg//Y6UjRg2nIXLX4Fsun4L6rvx81tAXRFX4UnBDoS2Blb+Pa
ATR7hv8r2buUOFi39ENApf/ds/O3DvjWCTpzVdJZYWGbiX10f9DkQ13f5btjQ3FSoEkYqAevQyxH
ORdr816SdglprPjpA15ugOTvvT2QY4vDO6ZEiVqQd9GVSe2OhrNdJ9ucPJrvfkaCz9AaXjznybjH
7uriqUHNdZtj3tiCoomkt5Gvd4my3m6EzPJ8SGVgNzQ7oNq9ptr7a0wBHas8Tpg/28aqa0rchIC1
v5EJFTbH5EKGu3qX2FVMiLuxSyDEmxYGpn1bvhcQ78R3BXEH6oE3n7BVACMll93T+0t695w6/UNw
iF6trHdGV4QyNMlhq+P8tw0azxRfBx7/9lsTrZlp7JVcjtoClth6dG//8vdn7rWNZx4VgV9LFTZX
TYGGSWJbO2pAJ+8Ib9u4zKPDxBzAWcqFOgGdFweoUYQc7gT663D2bag0cbFR5nlni+T07PJA5DiR
1FdNYcY6P65LKZ2iNCTteVEaz+OzUx7Gqi86YQrTnnet4wTWOUK9PCM/zjC0ziNx7Y223j4HhAIP
+32gW9/itQV8Lfu6EUaxfQGeKiflpcf5Xizr8Ph+d+eW5CdcqLPLSWqjU8xxANOeUyxb9yzs0wHI
lU+sEUUg+rl+6Kl9srfq7gQVIPeh9fgJo7TZfrgfRxGa+EMhh0MAV+Ou7Nty9zUud+O72XqDYLY1
ptLh7SXnzrMOm4PV4VN/OZpbIzzCRE7qKGSPZW35Ha9SydHMr7hnJhLRKGHv7vS8TanNEzf1e8nh
SqHYoVG9C7K+nIIm6+yTw2bi9Jrab2eU/gMCd5RZjWW9h4h5B7xdJ6+kWRQuRCcIETk5rC+s8ltM
vrZB/6MUeiLEMj4G4PLW5uXxh/+gbl7WB2tT0tX9hdjumpIT/onxAJRPddvGB9K1e8I+QWABuDxp
5Sgjm2kXAmOlt9OlAzbu+bZALYaPJtKcCvZCoi9cZc4qB4OfXlLsB0VgVkkw993LysUsnGDVO94t
L1mzOS3GHmsB+meA29XCaoZ26/72yGm6S86JvqfyNWzl/XMixjYPXpjGva4BxoYe4se3lCavaNnm
wlwvzDlf02Fss5ms6tzUQMdAYNvZv5S3CnsPAOmZAZ1ZQN8xFjoS++mzcm4fkMdFJtXT1BEqWckX
F0Xb/2XA95yMjvCaf3hkmCdfEJnDGBY4npV4REmJ9zuFUCTQwNvHWXzRYhoB6xJl82vD3LWX1gIj
zr1+1Z5fDhImVOAPKldAZB2gCaJCtJRaPjajG5vkYxojLznKvpQ5nVNn5F8qlGIIy4l68/hYbzL7
/fbxFlNLcwKM0A9JXUm1AgJS6qSDlRu27NGf/kasbfN58CxcHW87y3+hCRA8Q8aqdIN1sOLoxcJg
QqkPJjBY9G2EBODFHm2aPf3V6f5QmqRo5hQELKZslAins7znaLRqC0F6bDWuiAsTOBmY/2Kr/kOM
dX7ASc6qNsSxCksjHRbrScTbiBjHAE65AegVXoVzySlNA1T/y0bW48VqP/qphMMlP0dXO66pjIJT
sPVPt5m4mFma02HSeJIX1J4amu0ZD8bcVS2ldQS72KFkLO9SbCFKDh7iCrxfthFqhfqxNAjPqCw0
MkzW7M9ZGT0IsOKiDqaLHPAwju2Lu9pL9ql8+2emMvrgRYKAEVxc4oBFIWiSx74Q52l1/Itx5esD
MW4gkuXSbIevA01QXSmmyTsHK4TW3BNNlpANF+asYxxBqK/UIelxomkpogl8oBYzuBgROk4jQh5i
pQjvsRBTY1zKPAFlXEEmCpVpSpOeO8Dnu9ctYe2DonR/W0CXXcEf2WBcQaQGmRD4PhZWozE+XicA
ln0NuV0T8iRit/jI2JJGWZnYK4MbUx86ZI6w2JQCJRWFlAKBrUk9JwSe4rqF9dwmB2Hj39Uur2+J
c5VsgTkR6lT2VPjWgdZPTQNgDN0vLD2wW+/z/8xTgHhiDbiMwAtInszVpd1QVLmAw7bOSw0kpAod
1ieeb12Y4MCY+YwKc3N6Y46jj8XH52eTBDTuSQ9YSp9g8zmaARI7dPzT8MalunCRV1SZi1TTRFFT
FWLZOl8xJd6qko2ci7PlrhdYuLAZqW8DDbUnh3456V5KRAwAarZsnXithgqPyHWl9n8kXS99H0h2
aCI3d9nPzAm3F1e1ywfzcXxIVtOcJvp6aIFAJXc/qwfZ3cN6Z2T7hFyQZWHOzgJEhyW6JreZeCkK
vWIA6zvydMiy6YbBa3FFS2qiZ+HN299/FLsfBTqdiO4ORNgMHqoFt0V4yWdoEpreTBVDAth0zdDO
NNGPowh2YaAYePL2+9eCGx4uLLqGCM+IMI4p7aIOfW8gUtrp0Tyqd82Tv9U35Vqzw4cYg4uTTzxm
trvrkfL7bNB48pk9CEgVkgEN5bzkxUJnzfX3MP7LjLW+rA18T+UcZFtUybq32+MFjSi8GVoufxkX
lgpG0eg1SFnelG+OAfT6dDJ/8l5MC+b9isOM/xLRV5hoAcgc3vzt/Qoi0xHdvi0riyo0u0XG3MlN
KZbqABrFvbevbNV5wBueE8rzzsEYu1iXIl+8ePCG0X1o/xbWFZ5gf+Nzr7jFGDeMK8hRJeIkpV3b
ud3YaDaFe0/5W2OXwvg5KbZxN/GlXoPj7c4YxCTGTtn5KC0cc+fyVBx451pKelwRY4ycOaLnUxXA
PelOehFhSA4bA1UeyXIwUfVL3Q4Hf5tYOuyJ9bPZ0OxVc3Mq0L2tqASmzSO03GyDg4J8O5L9tucc
t27787YULaW/rj6StThBKxfJxJFVj6bsH6GCJD8GOo3OyVs30NeNQnLFCrHzXiORdBcOZNRoMNJK
pElqexGS5GgQHgo7Cqxo3FbFQ12uxeLE+czpM5hI5uozGZsVgZP65SK0mET2ttoPf9d/VXjWtrgD
CqqLheNg0Nt7CdSH0HnmEF9WNd1Q0EyuYkUHc5G9rg9aHuAiB9q9vqAm05ELCoOZFW67Q7JCHWOk
xUjs8KzewXM1+GtMup1p8ZbVf72PvrEBiy51hDkr+dtOQFEWFF/A+jwExlGLRLmEch+qVB/l5r53
Q4xs/ESN4RQRdYdpH4s3vLFsqdFSb6iKCqxQkbHUmVJ5ZtDiWaU0NP7AdsV0AyU9Wbf5vWh1ZlQY
I+3HhS5lPtgt0v9H2pc1R4ozXf8iIgQIAbdArabc7a3b9g3hXgyIfV9+/XfwfE+7LPOWYnpiYvrG
EZVkKpXK9WT9S3GTJ2TlZeCf6y/BGRHBRKfAvdEsDiLwJL4xDCPEiAaHe+LcXGZmJRtiYIXEH5EJ
ZrojFalpCToAVr3V7nREgPvLFNaN2hkJwUrPdWZl7aKeeNT6L7+f0n3hSXxrqbgEG60bGGGsc9CY
sB5A3ZdX/bH55fKdDOx99aq98/L2HWfZjzDq4Su8aRi0ezwot2zbI0d1WWJr6YHzQ3nT8zMqLOKm
osTgZtzqWxTDR+c5vp4wn5x6beZYX9h22YpsH1C8PMa47b/+I33B6Kpzo9cpxT369qxmrnoV39/D
A0YRews7/7U4lOgl07/aaCzITxJjJrvDbymhc96ziJPcAu1qcp7vbYB6x27goG9fppbLDfpkq86O
UjAWhIQm0JFhsh+9eHPCEgj9unqES2d4wKuUR+6LEb5ETrQaVpvOrMaZlqXz/Un9xp0rdYuSsIyt
5Xc+09FtlSC9zz6n98s+0voAD6btYP41J1v0DABZuvgK6CeO9TDVV+lCpf/j9r3TFESZVLzLQgs0
UUHLI5iqB6y52r4OEt7WnQHD1ClD4piidgHez3QjpiTOuzIZUE4AsEjwzU5c/Qq9Igg3rW26d5+W
PIWG7iyK7Jnxrd798i7fjPXg6+wLhFOkURq2sx4N949j7gBHMDz2VzY6F5axOu6Qq/xkXQOEEmuX
8500yl51Ms6IC2/CZOtUGRMQHzsMaR9yJ/A3Tr/ZSJyZtbZW9D+bzKDYemrbVGAy5lGnR0Y94O2h
6FToY9g6IGm4Y45FbKd4T4+VY8xe+73jTnOPFYJXZYXnnHAgRbLvyR3+3ZeyrrHVV/fsowTmUQI1
Z5b2iCewsClNXHr/ALT/5rvkgFcSbAAhVHUMuKhUV98W0ZypGBbN5HGK7SH303FGhfXJfZAW4FZv
qAX3iBCGaQNxz3mAjQhjFIwLJ/kje76iN+kXdhhvx8zJsaj3+UbWSLuWZzMwEq/jOJHwpaZwoAXm
1w0lSIf7+DX5tiydXSousetvv/+8RnUzdMyTejOj7+Yu2pXckYh08X1FiwREUdTnLI0Zui64GFNB
ipGTbICLMWG+or5PNgCs9Ak2t467O9mksroYgUvklif87ATjQi1jK6kGYM1gMUR1vR2B3x+g+8pV
doYMC23V49U0LFUwTBPXRRwXCPN6qHIL+lJ745bft5kbmi4DtXS/cf2npxlBUvFEMBH9SyLWNTU6
pyx4/W0wB0XcN8M/mPjoqPKXjB/23/7StppTIfMtcRXXbuA5QcErCCc9KJQOrEaBc9L91DFSh2xb
mfOzZuWgqrZumovWMEFd+mSe0xro4ehmsxwduwCr3G3oTVZigTF5Ga0tU2wXo3auij7c6UuQPmXK
fjJfeKQ5fXksVLQ35n3vsGKvRhjmJ5IPXJn1M9Bi/f6BgoI1WhHr5XKbcJXMbXIMnfD0OwBkxlPo
kn1ayTE/F5Y/qfQZRcG7ZTzvdSuE5HXA3lXHtIFVbvSlC1EJHhk7XM8nG4XSyO0R+wKPQgppu+a8
aLCJxGbMNpgpfEAUK7o5cXyAAbBK/9bGUMHoXitSL2ndUr0TshbzfHZ5raGe5nbRsW+AdcdQ1GPi
0I29ze9UAJcfKTTBu37Rrkq3yx1+tL+2J1nud606jeP9w6sYTeu91iekwidcLWDm/WH4XZ3K7/nV
vMsOL5gixW77/YZv9nwXXMsSrIvqfDpoyhimK1VT+4SGO6eBlqblhFRTtWST0esn7fNaGQ6H+p7R
EM6SWqmtqQVonNqveeIuOcYjHJfdA/L1DlrLFE+WCly/Me8kxTJuoFblMA3zgAYN4ypDdmJplt18
BVp7dFI89VD9kBbEVx+dM5KCdQyCpJwCjkfWW3aaNTdY1w3AMYwaQ2vkYDCr1AwdG1INRm1qCTIl
c9pjRQnFk37YxsTNPWAfsS+D3z7z4yRJeq5GSKgh/Y+Y+OQEXQb8lAbEvpnIQaJnQsXuJg2oRKnM
E1ytJp2TEqTI4jQBUK023Ae79hfQo6JrzTw0xRb/VZsIZerxwdjNSMcPnaQC+RbnfboKZ1wKr43d
pRMbMpBut6bzhWubtnXQP5TetOhVQle4zElaDWLOeV3O+Mz0ZHmVJVhWsuReuYrUOwwcMNYcBYHa
37zcBlu2+emWqTHBlU2Qq5gy21gcQECZoM1wiSFG96fm7aONvN9mNQEDF4VqS2nQMAxBO/WEKQoQ
aGBVRh2NwFan9LND6mT+wjIsQHb6rrBbr8xMIJD2QRVXTpvWao0tiFbHNkGnta+6Yqo/L4vhbf3x
pxPGyK217GC2tbdW2DOBkzlRCnVIxvsUIRt11e5x0o6p7ozd4NhRsbWAKZM+E6CvqpissW75/LNL
nEq/SVE6TR+NFztFT7tR/UjVGy13tOk7Utqbpj4V+mumVW6KIFT7kZROQtAY7iS5y+rd1BwA1WAy
SafKquEGQA68bGBC2SIvhcGJOeh8vMe+Qc5+93d5AUzSl+ROf7gstfXDfKckFqwrUw1rTQMlfrCB
/Y1JjPDHNB4TLMLC6T3H0Y4j2zscJGTX4iJUrf/H4Ns44tlhLd5aCGSyEaOOKnpPUb/W3WMrrYCt
eTrLzmS0MNlYzmoKvhUf9Zko6K24j7HFdL5uvspyxG/Rhqh15xSEy2DpSpFgfGa8Nwv0cSuBw6bN
tKlzjIPEx9kfbac/5F9K6hqPWnRIo11QYq4Fm1lipxv3wGZrXE33iI69osOJIM/Moa2zO5UHK9wp
R2yA7Nl1anldubelodSabwybqBOdqug0NESjqA8kyUo8pLWXvZ56xWWHEstWNm75uz/J3b41rT4n
J5jEOadDrdBhscFL5Ha6zwEJZm6+L/VCa/N6h2KCNMmxpgHnNIUczxQYY4O83ICl6civfwEaWIHl
LuyQAbzDT7zCg++3N2SQPKuO5zlZIUTOyy6L5xlkCwBZAw/iCyAUYIocOsC7p97iGZH9gEbf6qq4
qj1+Kjao/kvSS4vuibq5JF3QG8lM7A4XdLMwuiCzGrK03fxIPXMzuy/pTjZvsZrDOqMi5rBzjiAu
rPQBV7lyfnxRHJQWXezpa532LvH5lVnJEsqrDuA5ScGPKFotBUQUGJs29Pd8722fvd6nXvi139F9
8jPaSKzVmj92Tk+4J6OSE3Q4g96pxHKluHR/z9cJtnyjULnEZ79kZYG1WNwAkpOq4mISbOX+6Du0
SlJmUw+XjPZB6kUmItQxblNXmYHdeJm3dR15JyWEx8MUEE3tLJSCdvpjYziV6ZkY0lKA5KttZyqh
tvrcGIA4pCaQoy20ln3kLGxZHEQUnHlwbZvb4hh4eF5u2RWX9s2uC/GdlGD7u35S1IHDLZqwanM8
TJUTeOi6Qckh33jNnXJAM41MUdYC23P2hBtHqnmM0fi/BLbE7a7Dzc/Om9FSlEvbWuiiA58v9x/2
xCCoroZGV3SQSjPoReuqNPJS5qroT5yPSeeVebpJf43ZqShit+u8djPMj9yanQEYZPlRpyd78IYA
GcJj3ByMMIQqu3W3DTrXfu7s+7S4CtimT3+20WNTnuzo1wwAk3w/JdsIGGPhpkDkVQeGP9AvpLnm
4z5IJbtMV532Jbq0dM2yTKjMR20xms4qbB4gdkY/Qeh01xGmmLRtiKm1+mbcvV6+CmtjRcsj+Iec
cM1bMpOcVSA3LIhjo3NiGNtDH+ZGd9VvxN9oT9c19hrWjuub7uZhKUk42Tbx0CV0+Uve+qs/He7Z
lwgvZVEUuTFMcLFPluk9W7+TG3sLJJRbs7xyH17bl8nHaKWsg0NKVXgr7bRr+6wEVS+8xcRvs18A
JrVNBGfm1dG5q/VASIlOpsTZXX8sz7hdbvKZM9inRl0RwIPcTw86UNaUAzsqsZNY7oi0G3ksvo6A
H3pqv7Wv1RS6GG6Nt/b9TL/za5aibarmPy6Lf9Umnn2PYH5RLo2SpoEcACaaOzuytVB/KGWbPOgi
zkuHLNjCxias6WuQ6b1kdvMDOZqdE16jlPfSb5Z9B8aXAX0Nt4v1mh3TNZ/jXXbSHq/JdvdkvwAR
bIemGbd/JdvBu34iW929kYGrroaxS4wHrH+mGYwJmhikWZLkJFwc9R7lOGBZb3rkoEMpJKiUkqB9
cYAlNuUESvPWQziCabTka+smW1m4vGqjzzgStM2kWFgZ8Hi872rnuT+UV9RpYgdjB3vZBIyUJUGR
9KnpSiMFS+yUXHfX3Wm+tnfoqYQX5lxW2Tdz/1mZ3s9JUKaasczmNbgqPcXYBCZx+rB3Ru2gmhiz
vhujfV455THL3LF2KgyCswPg1+tjyLdmsZV8zLqIMRKGzCdDA5HwMXYOz0ZbMgSlf7JmoCk2tyo6
dU5fzckptq/WHu1LCJyv6tOwl3kYq76a8U5bePbZ3BGTVhDEWHvWy9hd1V9r6lZAz9uw++LG2LbR
lmr9X5Flmmmrmko0IlalxoTpfZPAj0qSfRPemO0d/5WF+k7PNnmP3mLfiH7qqUuN8jDcXBb3alh1
Rlrg2CrzuKbT8mzZ1wrWngELYfJs42oqPZVL+FynxTSMBVmUIKv90VQbIfIVY4+TbbfdEYj+rVMd
Mu/X3zD0TkR49qkdYF1KDYa0BSACg/Dob8gkjKzfTfZORHjsk64o2LxYX6To8LaNidt+odOuzY7T
5JvFgxVKruhy2T/d0DOCgiWd7Ro4dx24qjblL/2ourrM+1xLqsBE/zkc+vFw2tnW6rQFBcPxqlu0
bsOGYuR/l0jut/A+YvELlhkthXxCkQS0DUHhsiAdCQ+j1KfFtTa7duYoL1yBQ+hO99SUiG0xx2di
+0RMcKknUs+lpYapX3Jyq1e2Y7XVSRsaiT5IeGKCYme1VVi0AE8B4KhnZybONDhB6oaYDivcQaYM
Eq6YoOJVrwQZWoZSnwHcJG1OpXrDTMk1EhTuTXKAe7Ushq21lIjJr46ZZIjmLPUJ35OX5tnuQqeY
fl++qzIiwvG0DVbNpFgL4Wc6nLXhVs2AmUsTd5IV0tYOiGG+10YYYBqGOGdcgZ2yT4vUHzKstEkO
o+UY/e9BNY6mYmzLDDNamcxIrDGH3KFBlgoe/ln+fuaYqjUzx7kvU9/kxEmDQ2mF27jnXsMkkc6a
OpwTEh5MnQ3aoGVN6ltN6ibkWMS/CNMlKr5KhFGkVpFRMNFQ+5Eb25gBULgQ0aIIwvrdajs7lGwe
WqGhYpJDM5Z5Dp0Ygl5jTrXjpCGZb1K+zavjZGMnIXqp/7XS4ZmlmOogS9OL2LhVD3E6GTbN/HxQ
bhhQjK3Gck3jiY+7y4QWiykYHxAyDbZMjlFqCzY76K0uB0585rfduLBTmaWEwnKynyjAZYBBpZZm
i907VtDWfCjVzFebm2QoXdTl3TQ+VXa4bYzny9ysHQ4y7v/QWkT3UQHGiSU9JzicPLU3A9+0lHrl
8O9VeSlaUHgHoKWKi2TDNFL7oNQzv2Fm6+d6kW6Vuic+bfp/Cfu4GDhVwyuEDgJmqFRsLOM5yRWt
T3M/Jru2zbzOPsR1LdG1NaEhQ64tL50O/E5BaLFlWHqb89wP4xusZ3JUFA5NVXf//dEY6JqG5ODJ
WeIuQhpmLMLDlvue0ux/qMnhL34eGUwMWqmEMrHG29tD3ZVIKvh1tFGNk5nvaPEXNx9m+Q8J4ea3
JqdTwsHBMG/o/JinR6t7/QsuEDogCjXQU0cEK5lwhZAS/Tt+XCKoILAslGGpkkSBV4y+irI7wBB1
rHthluDd8FyFg9ODSqMyb4jRFKPdGMYT1ur9zZljrACbjdAHhd69j9eRpXVpNqGa+1OxselyKH3+
cllia9bFeCchJgnNvqlommi5b4e3Bn1odJTXY+YQgok+pdxcJrYmuEVqiAqgZuge/chPClhB1azt
3B/j/MAB0YX7qBa5F8399jKlNbN8Tmm5s2fvcqcq5Rx2LPdV50k2NCfjYvn72W/HDNB7UWnmvhFv
FHpqok2TncZaIquVg0H3JFTYhLvOiC5Q4Sp60qNSSf05fZ7G7qDm+5nE+yxdxo4kGY8Vjj7QEq4N
mZilRApoDUc6xV4L2Dw/VWXavEYFb4uBNl8VvWWGwFGtNUqh9HnmkzYH6p8SYitf9XNGhdszSSYD
XBXzHYvtX56yP+QEpuaJRwnWDIDccxM1TtPcNlm9pSHWHNY7Wt0b4y+jdnSASPOtFfp0xwBIM/i2
HrowIx6Z9opMAisvxYdPEgxHFhY84zYkEPVXXe7Pw5eI7f+14oME5pEwLIt33BZcOHQy6tjxWWa+
NmHhYnir1g+XCazz8E5AcHiKtDeGaCFgmogf9UNefx3s7X+jIdiJyqyRGFPqzO+suz58GCzMY2QS
Iy627f5//XhnZGH07BqrHe05AK0hKYN1rqbG7Z3V2JbHjDF0x6Jqv+hlWGwx8xlt5jQpHE0h6jam
bXJoRzvFggfNQFdgn9xeZn7FdH04QeGahBhsMJNFwJZ1l0+/lP7Hf/t94V7EpJ1oEEK4LJ03ttFc
dVEiydev6gj6zbGkDMk94w0a7Uy0s9IkrCPwiEYsRLlT1OPNX7CAbg143YhViCEcXT8mZqgk+H0V
u1C06Dg2spu6eghnFIRD6PU4N4Mpzv2iq90MHXamLHBYlRG8efJPGCR6wTqep5Apc+Yr/CUejyR/
bnKJLVg+Uogc0OT0TkJgYtJHlk81SHTosc/QxqBtyd1kNRL/d01WaBDR0UJAmI1Jho8XiZKm51WH
ACXuXkj73OijhMCaqM4IvCG7nanTFHSDSmIEczYtd8rQnTJGTjxMXi9rlYyM4J82LAn5wECG9th+
gwmFSJFCh0lkRbWPspoGqivjrIGVsHNU616zfl1mYu3MdVVnFFECdnCLHnDedwbpF1nlg7ZHyeY3
U65LM5yddpYN367yoiGCR16C4aYLcY+aUzOKsNfOb8pvY8+cwpCVR5b3UFRgLDz6Q0E4EaU07NGM
wEwwV6+5mWCIeDgUVXNv0scxOc2owklUTcaTcD51BvBwU1t4ShMHa23STvbsLN/8mSfdRg8idmZZ
tnApu4yraIUxM78P096r1eg3crLenKC9XmduAqguYmFw3HgsyHQggbW9rB9rbqWumbqFJkjdREz8
UQHzqZynkVoZ3MoS6csoOlY9PZr5t3mgu5qMstHSdYG+0xNMdTiXiJ8YXtneeOBoGuslT8Gqvp/x
I4iz0bq5YAp+f6u90scnya+vmgQIHNkKAKxhkOmjtIyupToyVpk/KlvDip2JXKWFTOdWj2TJTqDJ
jiBZLuicHiLgKsww97OJ/6hSpJbDccOafapRT5bxFSv4b16PblALMHig+KkHVk26cGhjZESGtEer
IQAznH4K5/1sTb2rYmjLJYnB7qwWHc+oRvAtb6qbkvOn3lJaty5n6vZhGHqqze19ErTApqlKLK+z
u1EWw60KHy2ZyHqxxZEXhJ+xsu6qNkGc1RtO85uTDpL592kPFCAx90A1pG5sW/DIx7SgZp3l8CTC
wFVn2y1Aa+TfLl+6VSU9oyK8kHbb6ZlGQaUMvXbYxfR6rh+sn5eJrIvrH1awXkJMQ3GMNk0pomnf
bI+tvY2Hu5ZLSFziYyEh2GPC+JCEi7SSfDOWx5yeytKVpiRkjIj3AXlQJYxApep+TOVDX1939e6/
yUoIYgyO8aJhWBjRblDLsdXjPG/+ggRWAuvYEYGiry3IiuZFwa2ozv3AwtjOZABwXcGGQOS/vMuE
Vg/FRrBn4UQofO6PNioM9AobkRBODrTeqmPs5JHqMAZc8VHi1i9qKj5dS+iOmU6GtJfoWxDeakRt
YTtMAPkrWHEzeFbwS5l+DhbfR9nLZAYS3tZej3OKwvVMLQzxlE2W+xZRnMT+FlSF5MGX8SRcTasv
hzpTQEEZxn3df61K4rTsWFnATq992m4S/nT5vNbM/Zu1MdAKgBBGMGvYWknyxMY9HQniF2cqXDRv
5880uL9MZ00vkGRHhh1D+eonBdSHYjbLCgo4ozmJf0mvunmbJBIiaweErLRmE2wAxVSvIL4py3jW
zRSWzfytc0x28L+4RkiAYXoZjzzDhu2P2t10KuNmicdxjPLsyUzRpsHMLPJ5jwUHlwUmFvzf3kZm
oDMDJSMKqEqBGVNvA2zOg1UwZjtyipsGYAYhjzdE80uCeWX0MtTG7wxjIpcJrxm8BduM2ci9YwR8
+ftZfFPxwiybaMC9qqZNySPXjn8DOuhfE9FRkEflTSNw1kVv3Yz4MGrRmPimkbK7ugwB9THq47Fs
+0Dm46747XBwMQC05K0pSjwfGSrjuhtCa0r8Ig62VRR/0aNx22utN1e70TwGxQhXg2AsT3/QRqxd
sPsb1nfA9rBsjAIlKibo7BilaOx1uyyElTvx4cMWdT6TNBv6liR2n/iqaj9FNnabA0iAxXzPZS2L
YmfqokwfSAmH2k65GRldl/hJN21z4lTRMZ4fOst2dP2Lqu+D0mcj0K7izZhwPD+x9zesYtqJYYZW
w+35yGph9CQNkCnBW904U/iqYSipMA5a+niZzorygs93OsIFRb1wshtmJD7wJoMv7ZBlByOe7ps+
byX3c5USgDhUjeCGmkSgZBmzYgzlnPh6mHuG8RxF2C08su1lfsQRxH8O7oyMYAX6igVpqWmJzwBQ
YNqxi2yDM+fBdlb7H0lPYQOqTdLWpz4E6kcxbJuy3/ZDBPgTMm+ssHPJIMMYWGUdVxdm3F5KT8I3
oXdvrswBFyoG8Kt2wLCpwyWl35VnCSaPMfQ9AjMBfstHfZlTpZhQ6cadJVa8r/PaS43xgdXVTUa6
b6M1yuYKVglihe3SEYcyhy3cxTEYqgiRW+KHyveoMDwyO8VTlwxeMr5ePtJVc3RGSbiKugHfmFWg
NE33mnqvcIyUYcqSWUj2T1s0eF0mt5ZZ1pF1w/9Iipiwuh9FyRObRxVXEn/gZHZJlfGNUQ5ovtdJ
6LYjwM7HKsGsNzA5nKRLMf7Vh9WelrmKHePJj6BsRy+qAUZw+btWlQiYGCiN6tTAXsuPn2UN2tgb
BJ/V5EfUmZ1qrh2tu/tvRERZT10XqQAH9wEnCIgCf1Alj+WKCadwdE0UxuATGIbg7uZW2pdcNTE3
NNW2R6ebbsmkheUN8KWnzWVmFokIDi9oUVhyNHjAwRZsaB6A/FjCthm5/lzX7T7qmq+XSYjT8Yu5
AQ0TziC8KDyaQpzAi74nZg6BtXN1yC2g4PcIupljNxiU19DrU30rgKGSFWjITZ+0gbvhOHomChAD
ICnyCWWrVvZNK5ry4Zu0j5pSaQYKdZaV+HaiP87xvE/RNEGz2K10ZxjvMs1wcrX3+va6rhsoM3nh
WvFMYSsTGkuciRUz8eFbBLvUBlybSIg+OLQT0gPrU9MhyVSiE77EcPasYGtQNg+7y6eyevCYq0U2
Bgb3E8BhHkfl0A44lMrgjVtGDaIPlcyHy1RWxXxGRRAzeuZLqwttuGTRzuZfGHYDBN8uk1jzaSla
U/5wIohviBtskSghvgw7O+FTafC9SP1qha8BsHzrCevkTX2vVLIBldVrqlnL0ChgIgE99FGFkk6r
8w5dWD4lO5Ydo/6lfSCNxBasWVpw905FuDxlEVXzTOfUV2IDM93a2G7SFNvX6rJVUy/u1fnKZHb9
nQ+8PpTdqFwju4UhXKUKXVUBWKfFG2xL50EgCZXXFej9w4SjTZsiyoeCp36z6b8qkvdsXW/ef1w4
U9Y1UwAjiLZNkjuNUXnT+Ds2by5rjuwAhddioIne1BYUpwsBZRGaTje9NhGWUVmyUVgZpYXdM6ec
5K29oL+j02Hchtpp3vfzvtb/ffjzQVOWjzgj0jbJ0PEQ+jh2x2oBXA8OFkC9Lsts1VYhgNOx7Rel
SRGVI+kq5LqXnt2WY+9ft4W55M0PG9hsxctlSqv69U5JbNfSsnbG4eMtV83hOHe3PGZ/Y5zOKAhX
i4XI208ajJOXk2u1/1qwh8ssLD7rp8f1jIBwRcKs57zlEJY6GLCux6yKnMz8ysn94piEgImYZBHE
+vkYhJmGhq5QMdPOCjXg0YT+1rnPmt3cBOFNkwW70A6cDMZqR7WOS7hcvasGomCUQN7QDD7qXQEz
CIVANFHRp8S+ahh3DEXWgSjOx/3jRJxREWQ5M2sas5HhJRkin45uwb0B0G4jBRCFBuDAmTaOMjd3
HRzQwaqxSC5pgE8xYl8h8rh2BtArA/tODOxNrEdPR0tWa3h5FyDX0t2Zai7Luq145Ch1LOV7TP8w
zCR9lEo/9ks3EL43LiOHNZM3YPZFP6bksT0xUxYKr54BZtMAYINcBECLP1KLWw5WusUft+oTwbO0
azvNrehgS/qoZISWv58Zmd4cSZsV8JvQOuAaJmZ8EGmEk3P54qze/TN2BFMWaXDOUgZ2ErJHK30n
8X1EuJ9/lAmHgkDbQulVE7hQGnSe8RpcVPlRBRaamh+SvHPbDCWY+zxmXthu7kzpnPk6WzZF2wia
aFFv+yi8Is3KBn5n4mvaDTXDk9nbkkd5VeuQZPsfBSGBkJrmiFkEvAGdXTijbjpaTJ7j8EopKywT
j/yRyhzpRY8/2bgzikLcPuVBXE7LaEoaKfuSRZiZ7zdml8Ozx4qMyN6z4cBV4s1R+r2pZBngyxI1
PlWEsIGQJCb4rVl+0NpsX1SSV3X16f7DnyEWhGrewPUbwV816E43h1+tmH5pKXMol80myJgRTFwX
daOdLKKMUa85ycJW2a8LLlWnYLQ7HSGq6jju9pfv6/qFwjgFA0AuhipEKfWxUgxzgk8vqg6zyP2u
L5gXTfMhn9XHuNAHF4XUu9ru7qI68qNO1tW/ypyN1hyMY9nMFPPa1qCYiroMxjRYFeZoGFe5zat6
/HGZzbWGS+Sv0R0BrFzk6N4wOc6sn61FmZ7yPPWR+XRnVMvHTPVmA1FjqLlFeYUWunYCFPsRkARx
O2+SnmyDNNq3CZaMm+F2UqtDzdXtWMX+ELG/8JjOv06wmmWbZxjpxdeRJnXCxnLK5NtlAaw5NIjm
iU1t1YKjJxgwvTP1pKwwC5Slh7BuNjyukBecAOMC7wDxfL/PqWzacs2jOacpmLSEWXmhmIvMwxfe
UzdMOjcr7wOIM2leL/O3qsfqghVDUNfEMyFckp6mNTdVuE+m/i1DA2FW2YciHJ8SoEDOOTtR4N3V
4WaMjOc4wU5hCfl1+b6TX9T8TL+sgkeZFU6pjzkygHwlO5TuMa5W7fqKnNr2NlQib2Ro3K2vKlSI
8iHCdj8kD7wu8qKu3qKJc2vD95qD2aW5bHXc2tuPkWV4/dbSeCwWcdSoHaLMgHDUaVvE19l90ki8
i9VYXtVBBNxZ6BQRY2pMENeFjWi3wDboNAD6JqamjcLNQnLbWKpbB8HGagDN0stEv5ys+I6dUxb8
NTXFFqReIzC+w+zEDRZPDtd5+3ssf1fjb10HuFuODrPqSoFbqQZ008iMy//BO6b7iIk5CNS6Px4+
0UKr6M0abzcpXbO6KSwAsCnE7afZnTX0rNvZMWyv6riXWO/VG4YMEMW6C/S5iXnxNjOGvg8HCD3Q
/MzAXEyju11RO6bV7KpYNsS4qkZn5AQlRwNHWsfRCI8hvE2GaqdEN7Z0rkTGk+DhzXHN1IJ2SJvo
GPWvbKzQelGzY2aXBzXJNpfv7SoxzGBhpBB5ZyriQ1jFUGFKDrqj1bYbD5vawLo68lwikTfHkjdI
RkuQXtFXVl4v+aA43/AG8VzzY1KcDtEPo1UpuRVrzo96xpggxTIZ8aYsxKIM2xTNo6VqW7T7uinu
wmURrlveM1LC46XHPQmJoiGxwH5kdXGVaFeBoWxCXriT+QOua8/RK1/5ZdlLPLxVfaQW9rygy1P7
NOA6K6xmdg6jq1qR2w6vdVy5QykhsmrZEZ1pKEsD+knsiQRAbKG2HSSpRtbOCo8Nz7ykhzEPtm1/
j1Si06oyVOXV0zujuajS2WtioruMJQNo2vUh055ziilrPdtZhnl7+fBWCUF06CkwUQt/s2xnhDD0
ZuV9W+GJTsdpV0xAim7Rhek1JLSdtiskMcfqgVnIif5TfraERzpqw7pqB7xDaZg5qvbQx7XDZMnB
N1/u04OA5lX4tBQ+7afJNML7oi1hFQdgYrZW0x0CE+VYo1TdrLOchqUPNSeFM//kTbor0U7Rq9so
S/YztvBMlqy0tSpjG0+jhtFvyFg4zLoladfZ0NK6u64arKGwis6hdN7oHE7A5fNcE7CmYr4GmMkA
jhRHvkMjAEaDRuEFoeMUpPr+oZfe+DWX/ZyIwBDVSNvEo4Hp/6j06vyYoafrMhtrpvKcguA5Avhs
0NqI4QSL1NW6X2q/Y5HutKjzahj+u0xs7XyAmkWwwxR1R7TSfrxsk41IO4T7huaTwq1yfizH6dBE
13qH23CZ1OrxYJmNviDd6ohGPpIq0UICJ8BK/YRxtwawWoPuKtkIoIyIcMkys52yiEF4hv2Q940T
x5s0S/8jJ8JjRgN1MGPdBK5Ff7QU1WX5SallN2dV0c7EJZxMnmAYqKwhLjK41r6SAbkvWiTaiaXR
HdjDFH6bIfAwd5wb9ozJwp5V90ivuvWcYOspPY4a2TVF+TNE38RlBVhVbPRqEwOhNkGH3UcFAJq6
kuiIRf04rnyDobVGP8QlKofodEaS8zKxVfExtA+rJirreE4+Eit1GlRNm2A4n7R4i4HJu7O4XrqX
qayqG0OnBIZBMe8k6nSf6XmkjBnmBhPA7nOtoi5lnYr3eMh3l0mt3lRmYT4djxWmtYWM1ahw26gJ
RhTtgW5L+q2Owu0IFGSTX18mtM7TH0JiHb9Fx6oZFBhzKzvbqftxYw8PScck5yNhR0SbqNoGMdNc
Zb5hBs6QWf+PtOvadRxXtl8kQDm8kpKcvZN7pxeh01bOWV9/l3wOZmxa10T3wfTDADPtUpGVWGHV
j8p8DBLs+dR95z4/S5IAAFW02CG/CKxt5oESj3lSq7qf7rGvBx1XutrGPzGZwBO4JelW4doRkiHV
IrLHlnSK2rY6vE8/drtRgIst/OJ30ErPaoXKeOq93Gdr6QBhsRVrHnVHlzEj4Gaf+n4pYoq2rCqa
mb8jGdkToXYzHkbVYi33khJjKgAG7k+9WKf7CEA7VB4DdExbtfZUq6bu+qIZ02Ksmo3qxx3mMKzf
re75tFVEAdg71j4SSp3WqeL/hT5cfhVjTYQwCrthgD4Uyqth/pJEgIBvg5SHkbukDaaGYAIRNkYz
VIZ5uc/SAM2JsCNx4ejNdvYmfcPDFFqyxoCoQJ8u+rzmHu5ra6UnpqkMMgYC5bz2Actu+23+aTTl
tpYFJ2qRkw4ljlosyQ90AtMCmolWKBags9L8JkMdMcUg5aSQoHuUFRPI64kI1HWemeTRkq/ZQ0NZ
Y2rzuBi6bd6z0GmTyPaREPC8yb6vFUtaiDQfpvLRsCNjd8Y1JUROOVDDtXSvyMM+0qQ9ds47Ut2s
kkR3iyTm9MAsvY/QSwaQUzRBo6ObMcqqVKlF2qAJGij+KdFb/VgP70pr7QJtp6AFCH9raw06x0Kz
ULznQhD62GQd808GYEcY3cfuMX0QAozZagGySkHz5IX1Q4YkQWoCtk5DxnbKaJpHB7Hsd/rkkbCv
/8L8WMB6xy4BjABZrLmTxygcZQNzuNZYbvvSeEsjhRZxtzZKXnVoUXqQuUbTMq4WLV/XdwqZjHNJ
w3RDNo1AZe+PBpoDu1E7mNzYe4EUqjHAC8LOLx3PeuY+sybTLQtLtfdm9mpW2B3bDnaZGegX+HZf
ThcJ4SWIQAgQX5hiu+ZJlgotKw3cYCkdNFN7zNKvbNwKuvHnj05NxKQBgEQkLDNjZ1C02oyRFsMU
hSqIGx9tjalYr/5mZPqKCqN1pToEtdlhcqJA2ioynkLNJ1H+FyHrFRXGiihTExTBPAXQdcJDh55M
XXiRBaz8Q0q5CW3P4C2gWtIzUJxhfayzD2BuCet3ei0s5gkeQ8eiPUDWWvGTrr2OOjx64eRVTnJA
dZbimw+YOQzobO5LyYLzwZ4OhC0zygz0nZH83MqErs9F6Lk6kCL9wkPjb8B/rmgwz81aR2VEbkEj
VQuC0rhiqkRLOTWeRUZQ48cePQM+h+3vCJMEtcgCYDaR/GVkSEVUT5HFa7ZY0ikZuy5hkLEwCcNQ
1zrVTqXYlXmS76dQzVftqBfES5XfhVg+AFGr4niaRWpAeAfKASqIIMdQi9RBs2ITsyH+tKlk7M4r
yxdsS7SzjIcQu+DUsLRvNrXojsGEKCP4ogbQxlD1831gfas8MqWbSN8Z/VrhbZVYuiYZfgzZGqSQ
LHYUpRTlotA9IdvrZe5kXrNFfvgQd8rzn4v1JRnGXAyRbqEgG+f7esJLaWWkxOo58ySzZjLPW4xR
/8sJc2SyWQ+ZpkT5vu8SInVfLdZo/Q0TQC8z0SmDF+AsHxfZw7YOxNxowYRevoKAbn0Tu6/7JBai
i3kW/B8SjEAbQ2NOISZh9xIGkEk4dhWxmgntCU4cYvvGoNpCWeyEVH+9T3cp4kfOFzNCEkorGlJD
17wVGYLDxtAAspFXysoq0mJVhEpLQg+LTlPRhOlFoLUaBll77RUDI8iFQeMsUhwzMtQNSp8RFYsR
oJX3P2xJ5zCKbaDrG5OOaDZnvqvqg95C1nYvl+NKsww8RiZ3VA75xMuLLXV/Y/UGMPDmsA4uelaV
i+sdpK7GgwCqIEXaZjRLd4o3Smk6Rm9Rs6EiSql9aK2B9EP9R6vRXM/o7TEPH3tzoHL1oqu8Zqkl
kQYwAVYKgX1kUhmtqUagR/hhnu+zUiuJWanA0le9jt4/4iUTcEmFUZyq7+W8UyBzw1BXsJ+VRuUA
SJCmNxbufVKL7hX+FUOEChZKIFNzfcZKnsuhNGU5kkFfRinRHm1mRTgXKXsRCEa7QloP8m7M0Oht
GRu9HP7ChKM3z5whzzBoch7Jv7jjwk8jPc2qHKXLLRZOpZ91URCODi+dJ951Bp4iioWQkrm1sccy
saYtcWu1YIfJaqo8Oxg4zxAeEebStCEFdIQBRnK0tyH+MrExQ+aB6y0SQbIBrgiwnXiDXN+WJXq1
khgDiARPyAkAl/uQdf1fXAn6YdAEimoTzouxPFafTjlCngID+XVOjORQdNFvWcNEYvI34QI6pHQV
M6yKiYLBNT91BBi6pimLfVTVqygTfozyTykNd1De+3K+4L7hIVQFaoUqGnZhXBMaIzEE7lKTAyWn
8YhVCK7Q+FvTwNMi6m0tfbtPbuGersjNduRCqo3GS5EHq/O92Y7Ey79LMepMefnndgITuedCk4nA
7rwN94KKN6SlGHgi5Bo9wVlTr/x1qMUcL740q6mbmGGc70fFxOTM6yUVMYBED0WxrwVz1VvqY+B/
K9rwgFU07lQXdp5/RystzaKK1F66QvMIjZOGo10LhhflNKDInlFE0eBx/REYpMiSsK2LvZkXm7yq
thkPendBQjDgh5w4Wjtna8SoFqoWbdJGSbGv5jU+3jFQVz62iyppQLyB59oW2EGyGmEF6mSKYbID
IIbuZ6aRjAVSI5Iy2ZD+8lMLAjzZ7svhElOoqmOxIeaz0HTGGKVebb1pGmXYC6tJ3LSUs43eZ5Hb
ZapEvAJzfuYUqByxXGAOsTgqTOAOwNns+qUUdb++A0jbXksKJ55aLCuP5L8YfcfRqbiqeTwSoD3X
AtFIpiZYg1VgAsMyV00hxNswsIStmg81RwMWDnG+JV2eh2kMLJa6JpVVYoukLuolIf4Hd9A6ZauW
bUj0SVfcLAstYuSNwkkaLB0iCCKLZqA4BDzVa6JDY7VC6mXlPvGq70Iwt6hb3uq+dCxYKUwJYuAd
mTpMPrJwiKGnidUQqOU+qA8moDcqqwByBQ8Ja4kKcmTmucES/VmM6saaF2W5EVV7Bei5xvQNJeFK
cP6ck0sajPJG/iDXShRX+yRX6KrE/J8Uc9owli4EnQN41SJasnQ2A9Z0o1ybfVjBK0Zrc6p+p9Hf
DHEDegozYWiTw52wj0ylkbSqVYoKk8z6yjewjLf0nbb11vdPa5ad64cZmBDnLLeKpwUAja9lK8ur
egKSJx7pur+v1E9dwjKctCFdyAPc5FFitTQqEnj3IMfoxYsRfaQeZuz0h1j4uM/Q7d2AIdgBXA0e
azd3U0eG3oxKB+/+QxpJw3uS836eSTMUwHXyW0REe+xttTXDzmLd/t8YYEIutdRDP2jBQO/UtN3c
//FbBcRTBXj3CK/gdICWe33daFgYm0LH51feyrAy0jSvZsCxkYs0kKtF1kCBYLFd3GKZITHsG7iB
6skMXwFdLMrf7rOxdAuwIf+QYHyZJle1Xw46pNYcSda9AoDuPoFbYQUKFQzurBZwmKxaqJkYjAlW
2e/jGkt+Al1s95VUoCpfFFhwIvQTx0+eQ4prPbwmyGhHMfQYSwIUzb7qqDmuisKuv3WlU/musA2z
g9RxBIHHICPHfpapg4h65V7PPYWaaulthlT4yEQ0pipVWnEs5iy0t+wBBQIz3AZC/PlCLwLH1BOC
rFUmsCcovZ01GLVSEQdIfeXI3a9SaexBygXijT3Hvt067Plc55WdCK80jI9fE+68KTQUD68ktO2k
hZtmvo2dAF4d0DB+ui8zSzzO9YMZUx0DVCzaOUbHojaTEWBZRrVPgX5nYCcjdjeYqSt7EclNg+i8
oO5WETBdCEgheAk4bd1gzjWPcwVBjljvFeV3M0Nsc1qpF47v6veZ48vkyOhjBb/fDyESD0ePRP5D
Pm+U4xzegjzC0eHYEIGgV4yFgpghOi1lkmsE9b/65AhZ0DCTl3ITSYsMzWQAro04h919kqa1ZkyD
V+8DXVsXBnBRTq2Q06nstonGqQvOh8MIPVw4CCFQwFuJ7XTIR7yeZTFs4FtDkgPWRg3wmvi4L3WL
RLCHZM57zlgvTEhV5cLkmyqI+DivPHrtWjepX+/TWJDseWnkPzSYkEqQgCnV+kkDQBmRmkm0xSZy
OmBNxBiKTlD8VvqYDI0ccl4si8JtGgh5EWtBsxjhqzrV08cxbYA+8pxlT33PyxkvCh1eswp+Hpk8
dvtSYuYYpsvrZi+WjwmWQsraYMMiDbLs3D/ABU5QHzZQlp0zhcoNJ1kpKmM/tPsQEA6O0pfdpm5C
i+dEZu/NCBz6avBmReUbHVCs12qEJvCsVm33YzbRxEpe88A8dJLk9nFD9LR/Htv0WZ2yrRau9Hgr
ma9693mf01tRQdsV2ntmNFq8+1hDD/+IyiYWuAE7xcucAJ0FbiTIyArLvUcqOU6cwEdpHqtNNtow
ppv71G8vFNSRONSw1AK5JFa7mwJhYVOa3R4Dd7SzJpJgF6+J2V6d8yS7NSPXhBi7K3Vm5vme0e3j
aJ0lbl+4PUZ7/IOg8+501t/rO0WlHY4L1UZgFSNIv3ZgdehVZq13/b7pozIGiHdSbkUlM50MwLk0
nIBgaVmpR9F9XpFi8CVXEOt8df9cb40MPgLTNHjw4jWCuuH1R4RSqkcNJHifTp49+ECQiAYiVCpH
4ReuD3lZdPdAUVA0ZBPQg+dlo9YDjtHsneix9udRyX1QZBwytzI6v90BAIqtEXj8aPNnXAQjNWon
iRFXQBXUSnFXKO10CATMOild8r0xgMqtj2K9VpPxBY3oCicgOWfiri8UMK2YzgHEHJrCDZbJYuom
c8gNaa8BuGhUsQxrOhXJIfnVR3a8s6bnUY6IiMXRravF2+YZP7QavVP3lakvsbcR9ZDyMNhuz92c
x5iBsoi5RGT+5wO7OJBUzjRMFAfyPhzqwhkrsTKerCzqSqoFWo7BvAIVHY5JXBhUArgegHzmgQlc
NVse7lo56ZpkwjojoyMKRs9Sq8V4o0kAakrU0rLzxHDGKXIq/c/NMYq22BmC0UMkwjCld82vL0VJ
XieStFdSAVvwYl3b12FTnu4rzcKpohkInVx4PgDblM0VlUnVof/dx6lmobQRO70SSI5xPNIqeGj3
gCLgGKVbLYUPQzyIJrIZe5TNg5XRNJhGMcp7TFdiwXCoA0vrR1JpVXqIhjw0OZK88GZB9cs644Wh
wn9T/ssr1DWivJb2om6nJVUNbHMjhWIDPh8L3qxjijGc4Y8t/DVNJhQRI0+rejOXzmAYRf/Y2rlW
UmCQ37+7BRMBlFhIJXrxgFJiytcSEpd4VCDTJ+2NVO0qOmmNlNIkrzK8W5K4zCn6dbE3xCyayfaD
CSNoqQDoxvsfcetkEHtL55w+MCBucJ2xuMwUBqHDRwiSvEKOybQHYJ65UlQZG20K3b5VQ45aLtGc
Y3CAsiF/gmrcNeMAyp8GwOtJ+2E096MeHEZUAEmuWBVWfYh734o4TC6dNLo1UPAz0D4HiLtrgomg
1GoDLMN9lvU/gwDDikCblFO0WAJ2cp1FMRXympRxxZHeBWWBF4D6w7uiDYbt15WqQMaOX9g8dAkK
jjn0zfdcTi3aRHU3cpz4giUAgAecOOZ/0CPLoqNbaYpAE9sMgPHkPzcdxtjj0ml1YBEhNrkvM7eR
Jrwa6qdIu2CO4AY0N+6FouoACIdNAGrwvdSrzpWFSuQc3jIVJIrR1Am9Z/vyfC3MJwkWaI++6pCk
Y9Gu46LndYovXRFe7/ghiAUKg/OxXrilvm/yPjEiZW8m6bQXlfZLDfyGluik5FiVZUrzqDBab1Ea
mbXiglIBTYujOFH2XqL9GHrtZdSao9B5v+9fziIZeH0EHwjRgZl2TQblaJRPk1RBo40MAJ/Bt1Zz
tmRdlOLEScLNLoyJMsCLDveKMByOfX4qXHA0BaIm1L4uAxM+2aIxiirlW1mJNO0eFUFY4c8fs4aK
HKyGhKklQ2VZKw1DDrAuWt63w0c2JcTCcJvMg425FTtUoSFx6MBE7tIwmfMT1STUABCuA0RZxYh6
MX5E+sBbybtIBB1XKLTMqwxMxiDlYQV5HnwQUetWtMsyR9mvNwsz5Fi+RUIAB4eSa6gmsSMxVhsX
eaaV+gyuWVI5SxH3+FPW/PrTm8H1o16KVScw65j7u5YEcarUCEs+dSxErVPRqS2jK9fdiBCItFkp
Rc9/Tg5yJ6IWh8oIHtbX5NrGq4DpFhj7xKha0hndixqYa/3PoTrQd/Of4GOeFlUYMlNb9gChDo19
IJT7mQpA2P44fWOh1xOZNWzrQVMCC+9jJameJ4Jv7Lsm/IZHi4cqn/GrTEzeJN6te5gJAbX2nKSE
0b4+MjVC+dczYwNFxc86Fk45VhylqhtKvATBEiEN9Wx4BhXbptgNqVXfil4RAMJZzy3q90Do9THW
LgLZmXc99yndrPrs0aIptiKuB7BZjtx8KmZh9y3QME2eb70NWBCo/MMTFkBeH17QlBYepKCkeAcp
r47AYiqE+ij5JR6pnGzoMlcwCli1B7hu9i3el1DjqcT5yVEY0MyXA7cqwsc8zbNdZtYcxV2wD2gu
Q58FukzR5sNy1gK4vU3FHlFDgMo8EST/1UCn88/7+rpIZa6UIc5EBMZOXYexrHmZXMpAJoqKkmSK
XK0kBH9/7PoAE39u28bxIbZkZLwspMYvUgDEN0aS2JGFsZ1EEBVa6tLg/AVHGAEB9ArmQNBrfy0R
eShLWV83iOzUsKPACO6A/2GYnIrG4rmdlz/DPMCAz//9wsECdncyzaAD1EWUWs+YsIxcPQtM+z4v
N9IN5F4YbQywGSISiGyHpdADiM8H6NG+TX1SeeozFsbZtQJ3bqgvSl5zjo4dV0cVAQHDxd57xsNi
23CtJgr23psrTSahM2bY3Ec/ZLKNWrt964npmJzgmO1u/S9NC2UTCeC+WGJzfZIplDvOPNDsqdFS
7wsbQIKP2HlMvmfFLrUT5+WPzvSGHhMajYEYe10Aeo32Szf6b8UnsqXdN6spOYTYdqkbSoyMBEg9
x1kXDKf3H/5Acvqo2h/Jul/X64Hz9Gfk5IYSc29WFkaBGVn9ydbewpx4zx6tOQLPJmxuaDAqDLjA
XG2AxXsSv+JvQUMyAsSgnW8Lv+7fD5tXuCE0M3uhWmmE9v1pxLGFX++pk7kbLDMZbZnsOMq1zBFS
GMgKz4LH9oyPoph7GZYsnAo7PvrrB4O+paeIcB5LbMbvP/xckGH46RRfbTCriUqThuEYqmGNN8lX
+ukt/tU46Tswk/X9vg9JtxK2X0CAKHceJ5RhHtk3XzC/Fi5OtJsq2a80fEGUE50OpHallUm++7wD
nZ3txavjhg5jeqPILxqzLOYDDWjkeo+mrW4+kqd+LXEEnsMRW/aS8F5TvBqUcsc/BvTZW8cb9Edz
bBOPChNcTHkSRW0FKspLcNJpZJe26E5fXxyBn+3AnWNjLSAaNyOsawAZ77fygLB8lf62HNP2XOEp
cYrDticcgrOJu0eQMYE5ECR9PQXBzjXIQ35o1v5K2R5HYm120uY+Md4ZzsxfyJ4Yi73U+qCFNWjf
Awif5uzVd17eg0eFMYAalsvrGJMfTvJBaIlFfCK+GAeT5BwRn3+HPTmMH5h4UaHsDvDia256qakV
bGcfT43YKU4sepXdhWG+6oqeh8/ArqA7axNyAghvEXEilJl5vji5TJu6RAzS4WQQf9c9Fg9WYUe2
SoyV5OQewXvEDcjO9Gjwyct/LprGC9rKXJa6oI23N4pRCWi7yUPw4AWPndO+iZZtOl7u3BeQxQDg
khajZZo+Any9AK0236nTJ9Y+JKE9tpvEMT07Fh/1GgneTW3L0D519T8SZ6KPxjOyxKoTGJIv77Cz
ddqvfGJQYAI7zQpgC08ceswbgr1UhVG9UYySTk1Br0IhzXnHZnQqbrSnbJeghud8+PQr92jOcUGL
cd1cZsHcPGbrMNp+fZ2l6YVoaJ5d0PPBBTCoSp91guhYtl9evgSOjiwLzwU1JlIIlTTGjDeoJfZ4
LGKKbvSVR7bTyAtJluzYJVuMZ61yP4p1PRtONjqn0UpEZLJef3mOfuTN/LHDMf+5twueGMUvxKiS
who8vWPEkMRH9buS2ibpHJ6A8HhitD7WwwBWBoR2LoAL34xduGk+17ZHW8ILvZeM5sXxsfuCM9+X
xmIEKf8Vz+V6L9g299x4NBjlHusgCRPUdE+vPX3fxcdPxXYDGwkVJy0IfXlpyet9DTsntG5M9L83
xa4ORjuMnrQdzMnuoaax8+NHSTYH91MJnJNqR6PT7qm4e/HtNR0OdJ3RJ23zK6L3P4KncGwnggcI
L8WT5ls8FG7sU3+DwQG6Xvvur3XH2x27GDFfXiTjY6uyUqp2AssjfTdI8qDbOpFoRAybB7vIu07G
kGhe0ohlCUoxscOjavsbk/xSOPHJeVj35gqBXwmUULhYVWQMiNkXCRbYSdBr9XvzkMhO+9H90Im8
xwP0WSG6s7Zf6ocX2u8CErsj6QnOlZPsWb7Ci49gjEszVFJuBPiIV/tQ7YNHyXXb7yXpNs9vaUp9
3jzh4msRKZh/mGYsTJx3VW1EoFfYr++dXdLy55HSJx5f88/cnC0ywZj0A94I0PauXUE6jrVSpBrO
FoGF028Cwl3evXx0FzSYoytioFHkWIt1stPvqeF0a8vR7b30bduS3QHDqLzn7xmf4R5TzNlZjVVh
JhsExc9PwJVvY9/1yfPz80RK6m/T1cPmFNilbxfb8uVr/ZT/eFoHDv1GneGrc3z6bU1fnmD7eII8
83nvsxhbnsQmdhEBjuH0rq+G3bjhGJk5Nrnz82c/fBGkJdgGZqQFfh7Aj/5Kfdlu109PTxxvvqjx
/97l2fZcEEk7QyorE0TONX67SgiFVN7nZLZPLCNIbiEBjp0gOvY7XcukWElKm+sTRD94VmLJLmKZ
Y5Bnqb6hALAD9PugN0Jnpd7P40KNMJd5yvrILdqeamVPfX2doUhxnxd2VPkcKaD5Ap09gHFDyzMj
i1HQmti9JeDSd5+iTnNsKnfok2V/FTT5ba/H1X16i/7ukh5zeJ6IPGCHHueT/T46JcGODu+1PyT2
5nnzbNBH5+3DgOvRaLLeNquRpBlZ+w9r0/nF+Y75SXBzxIBqAXYhdkSjBnh9iXnslXpm9uPp/T0n
75Ot2DU9Teu4JIA5oWRPnO8RiZDleClosfrybd/uyY4jSeeHyZ2vYIFwOrlsa13DVxx+KPoK0FgN
SX8/pzRwLUd9XK2o8yK+fVWf8U9arSLnq9/1ZOqcXxytOZeM730HE/e0TdC1ZTfgNOwDVpKRBwyl
EbRS4FOAxkxWtCIvWGqLf76SQ0+GzuEdxXli9voTdAXAjlhpBbmXsan1+kL6SA/QQtv0JyEgQBXe
dvvUUSNS7MJ941h43DQreT3+RVR5TXZW9guD4aHnYOo1kNWIhwswN3uTJA4vEDkn2G+4g12CywQg
DAq112Skvq4Urx37k77SROJt/cyxSPYCuQMsDLF+RI9lbKu02GeWjb775rv/M0MOvUZv2aF7jQbe
W+TWGIPti+9hxF9oJoCrThEekrGldXZuAPRdarX+qxALQLnUEma1SSWV5ckaO/Mo9ooRErFv0Tbt
qbmRkV5NM54DWjBG81fNy3phWFEzn7/64jJSI5I91BX6k0JyjA2SeFuJRDnKD7V9/Mrot+7wEh3y
t/um4DbEuCbKCJ6oKJ3uGVJ/klflt9r1Hl4QiK7v05iPk71+zJFgFSDAClC2YBIUWIDcC3ppzFI2
OrET2NrKp0hgcfR4IbQGytwFHUaPk7QJ67IAHSx2ccPXya3epGO6KUhDeWm5c0fgPZ6Yy5Li0Yis
HLT6bbY/oU36oaSYureD2FE27zAf251PNJLQdmfSxta3Mlrwnfx5s/IDO/o+Oao7USfcW07k2cZT
vx+JZhs2bO7B5maIZjW+97HMJbdDjA5ZyDckK9mUzuFk2oYjb3SyLVYe5VzDkkRd3gJjUypx0hLg
g8y3PXuWw/eMchlaUuBLGszTxovayRJUnP58z/Pwne80a4MKB2Fb0D/PLF+LFROFl8ZYBkCz+o9e
PjQ7z3V8m7cI4TbouSbChOHwxzkaNECkPEgrip5Bzq0s6yAQFIBOgxol2yGR+Nj9OKbYCwtJ9X87
37/q3evfaPm/FJhjautBGGPM2yEFOjqRXaxNkiJu4JrJWVhvhflfOsxJja1uVIKJmqDmPrwnFAGM
a350r6lrcI7s/7En/1Ji3JbvBVo1JGeOHsJVZKcU8VhG+zU3BTHrxD2eGIdUi2KkWCUoYcPKqSR4
CvVEfdEJLWi08u1yx5vuXsj7zfL2D29s0ngs00KLLJzia/1U0t8TPaYPvk3vi8RCJu6aCmORo0CN
O0tHHVIjk/sjsMUPby/RbyHuKuY4Mi5HjEUOUdIXvfm2UtI6Lurhv46C3a7/7uSQ64CDnnHF2Llc
XRT8WpPD+e3/6T/BPxfEJAKS34TX67/wNsfxXZBiTGmfDUYZS2dSyBW5OQ3ePDtyhaO/odkqrWnJ
8dTLIn9BkTGste7LfpGhnhttBvtHfBi2Ew2QsXniPb0W7dEFIcZaGF6d1WqM3HrpvA8GIbGdUGVz
X/xmS3CjVRc0WEshdFUYWfGAboX3BNqUbDnHxWOCMRAaNiEaXoGc9i7ZYMUniTeoy5nOfS6U+Vfu
scEYByCNaK3Q4qiy98od6WfwcsDEFKIEw06JuBWptElJZQM1eTMR+Zf6YVAsK3NN1/nQsTHAre3x
Md5stQ2AFu9/GufL2KRGK+lBXpaQloO6nZDWGO0Q13ifxjmhcIf9s8hehMXW0LRNqoLIa5eRw6dH
E8Qsml3ZB/PRU22s/iWBc9w+E8sJV+LJzn5jOQPPFXBu+mzoLj6iMkIvia2zIbOIeDigahmTYv2R
bo7faL4JXf2ZF5kvkETOT5qnHZFmwY4BiMUFSSsZ6kj02/70PrkoLzTr2s5f/jxximoeAou5d0nC
BANjNOc9d6E3NxFhr4aLZI7b7eALqLDC8B/58uiv+5d5buhiLhNYQHOjlIptBph/vGaqjDNVGLE0
5IStoTTFk/Pg5qSzEZD6IRldwFva2cp8BqqF+HyftDr/9D3SDKuCnIVapsKYll+dLSDZiNm1yJ6/
4D04wJaXNCTCsST4l8A2aO/Kj+rLQL/HL8NR3VGa77fWZpY8301WxiMnelqoIOMmLk6GidFlrau0
dC42irSkEp4OMb5Gc/qItO6LeXSO3lHb8Ar+C/0uM1UNHV0IBjDQx3gYDJNVZRbCgimg2DpztcxN
bB87RqhBUb7evvQk2wq2Rgq82HjSMP/67ZX8S53xNlqKh3bloUIhruTVQXakNaJ4Z9gWxPjMVvlb
zhP3+Y5Zgjo2dgB2BF2hNyidsVdgzksFuxqpNpLdrvBuINpW2M4+jvduODdK3lDDDCZQcNFfjXO+
FvYqaYcuNlBYwpPL2Lmu4spbg0QP1Q5Qc0dhVTjO+ilbBcShH1g/9o0bKs/nd+cDWFBSBJV50MyV
rQZvTwmRQ7rCysID0pzHbVYSpSeovnLs9VLMpwLZ1cLcJpqJMbRzzfUw6WlQKCZynPJ2dBTXRWLv
+Iiasv/zvkYvlJ6wfuiCEqPRgAcQo3DOpsbrAZ04CVzg5JZIYCoAfaf+KSPx40QfQ8cRPiPq2xhU
SklE18ZJeuR2RiyJ1uXHMPqrjeKYYf5sPGlSkLqDmn0vO814VeMSoMD1OKwkA432otSSyKo9txPT
aqViBHvt9TEPouSMTc1e/OXHMGqNUZOw80vcgfISWZsko01HsEmxc1vNTgC4iTQzNUmb0OI1tQG7
FLuaaYswbjzskkWDf/kljIq3QOTEGiMD9avSFs5rnJWVka9VLPm1xWF7iAI6jkfD34TNDjt7ViId
fxiKfV9SllJrV5LCRJtVI2MNh2QhUIFE2rrdOWTv2TgTqu8QSTzxilxLvvuSaybyzFIMcpgZuG7s
HJHR20eHbD6PqYXo64opJkDIkLfF6wBMKTLWfBFZKkjfOeGmNuiYkDSNiTo9StZba/2KOlcPn8Pm
JGJKpnlKtZYzw7SQQ7/WRcbWxfMIUJLNWj/l5JCSqaWf4THaHLJNtKl++Y7hFIYdboxVa2fkQ1vJ
tmOm1OblOZZFH7WceSk2Brd0xigIXiN6WuiPp9fh/dM8fKKDwfqerI42QVQ8R8YhShl/I14XNBnd
L7zI6MQINMUnDQZGejmEa9VRUvIY2M26x/UcK6SleGmDpdAYEzX/8sqoudCP/xVrQ0MDQb0WrLWB
LdafjbVSBxvrQdG/2qFV1U1jWiY7M3MVE8gO3xRpCwxBJX0D2ElQu1ZPxGlnFJjdbA5NvCkq6r/c
P6KFpxggCeZpMLhdE6Cu106hFnVUWMpwPCmuSgVqbY+8bA2PAqMNU1GjjtcH4yldR7ZFkyO1ft3n
YTYSN0b1ggdGxCWxHS2xmnkgyg86rHhitGg0/vl99H5dn5GH3XJyM4IDe8IhFQ8N+aDej/s8nAM6
hgkMt84FXEwrYpaWscdJiRoNHgTjqd7KK9XRQOk53lv0t44mxe6JG4IsXMsVPcbyTmoDzB0B9KyX
OSuPLHmN3lx9469611oZK9EV0ZRyus/lgmUEshwmctBog4LD2R1cPJ1iSRm1akRBr5WfMqEmiXVU
K4m0zTrzkWcvPu+TW7i4K3KM6JW1n1tNBHIK1FAwDaJmTygs00jKiZW+AeeFFiHvvbAQb1wRZaTR
l0od+CKINwDl+tqu2kOKJ+JPoEt9C9H5eZ/B2Y6wQnNxnmebe3Geo9CkVhKjUBv41SnOA7sag/X/
RoKJGtV2lEc5AYm0DWlW/YiSzV8QwHDtDH+AvCeLmmkZWA/UzjJhxghIjZzUf95vPE9A/0uB8QKm
EBph6I3jycfIQGD3HNVdCOavfp4x9olitsqggIFQ/hTk2LbgaAGYxvFlS/p6yQRjH2qhLXxjvgcN
i4bMFjP+XkybzKJW8lPjQbQqi4J1cWSMdUikxAinVBpPu93hXHpH7vuU/DzllGzIz33n7OM9+ejt
I82c7QtQs2l2+IXcMYdp3tEy3skT5CGPQnyGOHWkVn72nYbNz7z3II9ZxkzUiZbpZSKOJ/SsozLo
9+6gyxwhOQ/T3qjqxYkyZiGywnbM8RZBM+Ph/0j7suZGka3bX6QIRgGvySihwRrKlv1CVJVtBIhJ
TIJff1fqO6eNsyjljT5R0Q/9ou2d7HlY2+n2EUE2T4zNjcSH/V7GVUdzlZElOUS4RrA9fOr7T984
vvu8SZepavxIWgHQ8d2ZabM6aW8ppFXYnZ9ui3TfbkUvfQ9RLM85X2/yXXHJjU4gqoj7pO+klCht
gP2KrxdcM6LL7+eGG2hNOpQRCUa11ViP5mkPEgip0Jxfb4fFMXOONx81QNe1V51VYJ65Rip/MBaf
7xxbPymeI+qM5p9xM1uNNXxT43pSy5css9PKfWwdJxnE66EQiLkrbJh+f8NbH6u3qI2GoyT1v7Ey
azXGzQxv1XtTCrUtJjFAwjvePvAkX4AonwPgH4jTGqN2SolxuyFKhuO1XAfJ5lo/iThl/5gxHg2G
sSavxQgAQsMx1n/lTUsMaTkLeUizPCKM0inGJbgIRgzTBUhQWV60hWiXCP8fszIZuwErDZgNAJjR
gdv2/SMNWjE04pAP926ar7szIpKZGTgZmbm51RNej2aqgEXhEAHnQaG3EE19J4jCRK/pt2JAxLtu
Uc4xCODajtLzr22+c0hprbQreb3u06cr6ReHzPR2jzmeqvB8+wMY/6Cot7pML9Vw9E+3iISI5J56
e/2rcJzU3EdmadmNVZRm9tNeStYVnapoi+Ysr7Zzb47/YVRH78AIaqUM4VyuyuH4/LwuVm8V+dXn
ZkjcmelitTJ82kgYlUssYE+QGGkBR/0ndXNEnRFhfZjNbo1wHY5tsVPCA85irITiR6BiW79FUBvw
zhtyPzsjzjfBCHpg8+HVMcLR229bw/lVrW9k8RGZrh2jFn0188NhN7N2PE8sT6rSF7Ms7LjaJE0q
GZS2f9Ldt/j9TfkxIJ5aENdu7c56Xf48LDvvcykQ87W17R8x4TVFJv0JoLLoUKgMXCXG3NZKF55T
wDIeW+kjn+2vyvGxVPN+n9GqMOqUWdFCjeP0LdF/zGecKvfU72MJHfdaaZ4HqLjvWnuNpUq81fPh
qM3zk3y+noz8Zj5mYeorATbSoDdh0Zz6Y1wxaYehPAvDMSgjYvSLRn3Oe+sxjamiHT2l9A8Ryuco
6xgUo8Kl5QFapzpzU7hgHfZ6OL6kkhU+1XbnYCqzSYl25JClvpxVdsAywRdiLhbYc4yyC1qcSnkD
X9/FuBxs4mpSj/mi0KhzonQAXyaaUOgYTcxxH5Ck3aWP3XlvGOsoFrULbo1jjpM0UXFxyguQlzg+
QKI2nvnrcAkFKLXA/8PtQ/avi+bdNcNAhQgfMJPMMwa6nHKdro8D+gqzH2jAxmRpLAEMv/S8xnv2
OI8zSR7b/xghAnQdgCi+fxNZj9I0jAcRA8xrxYyWpYXA/HPHsXhTYwj49X/IsHC8pZ5cdXUAl7hq
TDDhk75d7fCVP3dD/9w/XnNEh1GVQL2c+7QDnZmHqG69/XUjmMMeXBsmjhx2Hs+TTLlwDI5gqIO6
NaA+MYGkjMPDfQvEuiOGSHNy3i5cmNSV4NhLjob+6TQ0SAf2UTGjbwiSwCiPfplLZdRg+dVyKtK/
rsyBF/RMhPjfSTB2LND77NZdLwjxl4NP7NVyc+AdXJkQhO80mAAgLKNhVmp0hxd94tJckFVv2Zyn
muhYfSfCaLwUIcg412DEnxHldYOBAtPCwAvPt3EfjHHkMwEji4hFUZpey9gZyvY8lATeR2e0M+jr
vGiu9KNXu/50mO85Jpnz+3cGRxYZ53hh93P8foWEMiNm7R449oXK/3eF/PYp2GGPSG4xH9CCgkoo
KkFknj3Pe+d9CR4fTCAdFkOK5hw+RPLT+Bk5n7w9nInBre9sUDZHD3WOZ2k9YEYYWbjq5S6eagmp
6snO43yRidH675QYPVfjHFVpBZSG7frUmKfT29n0trn5a7t2CixW3bD5ukWsxonMeTrD1pGFIsTB
Jar84untqSVkZdsx+cHRzD/NM2UOOxEGCrmwlozCZPG8BqZyjgURjGbAMCPNIMPrY5GTpkXuiwij
NINRSrNKzO6W8sd+e4ytm7ffh+umtvarXTJYRkHoAgxquxzKHPYUpkZybikmgQTK51WzxwTMqirJ
2Ync2tPxpOJ+RV7sfIFV6R+YOtVeP8MBe2+6KXP1YaJp9u2h77MzI3ktZkD7vAp46Gf9x/MaHsNZ
kCfNXF3tF3tj8oT2L4bwnydn134rvTLCcwZyZYkeBxpy/s7iKMa0in+RYDTwpsyxZUjL41ZJktx8
MTMz5mFgTzS3vz8bo3xGDfjorsYHXFuO43xIT+7TyqYrd7H5nHKieu43YtztTTtrWl/g0VDZG5yt
I+IjuVcv81bo3BSYB+XjPf0Z5n/nj/G+rXC5dgU6KcfBbxzTOD6W/79Yya9vxPhdtc1w6D2twNEp
2ayxAX5Eg5acvWJjcadS6J/6p2P5osWYkgSTdrGU4/Ws9Q3IHDj1gRkvYh8izJsZFs8BTLTDv78c
Y1TyWKkCQYFk+H5KrDU+12Lx1JruR+3tEV0usextYN2D59j+Ei/9wya7agMwdGwmzcBmGprq2xKi
qGNsrPI4wsjRLnbGJwdUpoqVedRDcyIs5lvL63jjDRKNvR98MfYIXp/20dXAEcOjb52cysRsKyou
c4vYtnkoXGzP8pIOHlOMyVD7c5f0Zdkf5z9U5JrOIjU/FMvFStwr1o95T8j9VIzxwAXdWstViEiW
k9gK19VpCaSD3Y7zqSYGC7+JosrYDfEsF2FI6UAMYTPQDcCcrGubtmcsDDgUzjPy/CkLkRlr5WAI
lwK+JMW47t2XHD/Ib1TJkVOZXmhZ7xw7Qv3kI0lh7IhxVpRoHoJiQtZWt64c+JStxSHCcdbsAZI4
QEG2KSAdJwsTbUeyQOUf69XY4/Z1m6fHEyW47x+NsR9VUkmdqIMlH+TeQO/s7MlH4Lh2hmlB6PXn
7v1d4ECPTZp7HPVVRdR7gZzESCRWqirE95AUrSH5KSCcaG5ao0e/z0hi0fVZoLbQaJk8Y5/h7W27
QFlPIRgJ0vGUnscRxQmYBrziiCB1CqOw5gYEBxHlf6gYmmBAjKOJvenodvv6WDjow/whgCM6jABe
gAqqtg0eTvUUq3t5/OMTdbDvXDCuq5hfU212uT+bpf/EYvRKXMrm0jOeOsINBSeN4IgVRvAara/m
7QzL9+EFZQO0CnmFiWl79EWBHSYIgdWPu5Jgp0ANaQuz/kHNEYoHgHfh2b5JyzCixdR3WrnHKCQu
lRwNJ94WHnqeZ7J75wUXHL251+xGYlZf/vv55UPkqu7jzz/RA/n2+e/2dvTrYSW0zYUGy8/+/823
viWecyzdhYty/GowO8vebFIrdTxkeTzWJuqN36kzNkHT+xqQ/3hBHyPMw+IiYif9ilV4pzbN6heg
K7137/BD8LkLQlRnHugUu7CYXq71paHJUdyYl+C1Jtd+20rOWeYYPY7A3y3x6HmNbJYlYQ5Lq231
hYqqKUcGp+P2kQwyxuEqDjNcsKYvaKGjgSh3i9yqRjujs8xl7/G6FzxzcZenEUPXNhPCJAG9GoCB
a8f5PyNr2aq5tP5VFWDEG2MtVCNTtEynUB3YGdBM0X01l7tdzTGv0/niFxl2WfGqKlqR0CeMbkSA
KHRAj8RGvKRxMnKew2AB2Duj/I/Q+ZZgq16w3JanH+0blpq4Hn4yvB3xxNSgbpGYi2lJxSIlzyWp
V466QlShoRwMsC07OS25aTf9yQcqxRaf+0sdzA3MMdCqFLEqcvOvB2MtYOSFtxg2nRmPuGPMRlVK
TarG0CpkPzT5+QCyHIIX2/Q+/R0PX2C6CDaixgQWgh4PgMYGYxZ6BWsntTFAtNhXlvu6tJc9OXhI
T/x3jl2erBuhKgUAFYWeR2J8i9Te5nUhInuVgWG5LQ7HBfITaUFsfD4PS8Kfn9294schO+1svsgy
clOc5VmhS3eyp9MWmDWmBFgkYpjqhgb15iemeQtMmwse2jK81uJE/4K6gy/qTI4UYZT/Il1rNMfM
ehUf39YLcjNB/7jZ8JDS/hIuftFiZCiWkzpUB9Dyn/3aovNhEXH2bo1WA2ynjcD78dP+RWi/CDJi
VIZKKVxp8kwzTphNQOLOLRf1r918w6E1nSWNHpIJTeXUqOZzjXp1wT1hw29Ng+HAeXHtzU8b0bBt
eRzu6C/+qf1f3DF+qNXbOL7R6BuenKQQGQxwuD+vrsc1bdN25osSE7CWqVAVxQym7bn+rREZ2rFw
M29ApP+yQnfNVBxAeHHY+4ub/SLKuCLtXP2nmFrZteWfMaeir4iLzdfGNN/VxS603p95c2EcdUC3
HW8+8rV1fVZag8ayV8s6CeZa87aYpq6sm9tw+PuLW/8vf7iG9J2UdNbSNKW5zJuxDawFUVBzN+8Z
NW/cTKZP9XdJwTnD76TqqAPwwZkmn5ZjbWmIvk9dJ/LfUOREBQb8rVa2J5rmwbOAeedF1u7yg1dC
m64O/qMhGrtnD5OupVeNOkjovnOMCOoxZFiifsB922lf/PW2jKVpZ9pM1q5UYIFTgLXLzEOCrW84
HmPOI8PYF10O5e7agQwOyxln7KKdelP+nZIad47xf3QRFutrFVlkOv6MxW/XXb0ul8iLDrZNFmcn
sH7/fsEaywlTscYuX5nvAZLm5dJG+tzkvHR9ukA1+gCMiZrNgyoOaHXbAsRhscDO8wxhw45jlqZT
tK+3Z8xShJ3MW0CLDjkWcM3Zm+CYO48H8UUtziOJZiySJma5HtIUeliUVkAo7uxjNqYLNqPHYsxP
G0q1VN3ARkJQPNydMLFCcQz32DUjNVR1Y5vRE2A+Dzufixj8OBLBcut3fY0LNTAEmiGuQbUyDVv4
bS7DmnBYfGzWtbu8jIxdoldJfKM1KYBs0hgL0arbUqw4+2oeABHBa+FwTLp270GOCOb9DZlvjJKb
/1bSxWwEWPunOfCcJPK5xJ2LQ+w+ZpEn8vf8YESxKW4Yarr3AufLoCPiDnZA7ZBvWP8jIcbi1Geh
6GuaVudu8Ap3j0sT3oErGI9jRRyFZgRDuCW6fINgPPsFEFGMjfAaHS7m7h4bPubono8/ULE7wt3o
6dqZFEbqjErH83otwuWnwI93EzPz0Bs+mJ78qvEEhOOn7i5zRDJR9U40Mjyif8Zgr1lZ4XHHM0+P
oybtXs0a0QhxVaBOUrC1tiIPpY9tevosX3DoBCkFF4pYpsbu0SMyVuRcy10mZpD4m2O9+dieXG+P
i320/jhetnvMJvUy+fggxKwwaA5cMWPlH5JD73m8l+WEwrhpw0hOhew0o6p3tfzT29Y5PrUpviNK
TNriYnKCYZ7a3TOB0SP3cjRcSsr2zHOKMwk8oHBSnGDOx+R4AbZOp0ZxiNOoUAfAEreWstYLMlws
gafbPDJMjhQ3wX8aLo6jemikG+aemD+X6OFD93ghKEcH7qnx6OmG8L+GxF+j0x08AT7usWLzAk+2
ENfWqPJUc2hZ71ooKG0XsVP7v2H16boDb+KbY7HYatztUqg4uQxJiJYfWBh/5/DC+zRMsKEWqRyW
tIduYYibuhMMkbs2/TLovD1ziHGUmS3EnW8XnCLswQtwCd6OqJsGq9W9zeGnv3g5118qV/+EUSws
b18YkVxQ2W5SS8DxtrkXq97ltroYB7mErJeKm9X7HmtvlfmYT86bssW5rE1EoRXBpt99Sq/XzSdH
aye2nMc1B40tyjVNdIkzGjanP9eYQU9Md+GsFdeBKO5DF+1nsrGxztSRTwxYcaSfS5zJhYoZJqCv
FbjL7RPaFcc3x/KVtVhanTkUdtDs9K3Zv1g77/NwWcc5zJb/P1pHtmxXN/F80DEpAbNlASAbUTLG
PS74x+H1L2XWf2Tovq03siXXTBZvlUK/ZPQTY2SaKZ0wtcahwhMXJiZBVhfnN5rH4jJz4c1Jfux5
k+McmygziUt/1vRISDC2gqw8Wmqux7NSvLz/7sdHLyVmRqyGFSic1ulGMN9IgZoUwNnd2eKxcvGy
YHYErpGVuplTWJHOxBWSVUgSd+8+ba57dO45pMTHwce9LDBiKkyapOvgTo6W1c3JgBly8hOVzDMn
yOYIgMKEFpdZ2dTRAI6QTOYAuUWyonB6OpzqGiCVv4cv8gwj+pceRdLOBMyNtcWt6pB8IJ8m2CXd
xPcxhAon8niA/dMpi4zreAbucePEpPKdsBSKgRZSM2x4z05iH+fWBwo1Nrr2tFrCnymeDE9H9Bht
Cm6zcxVn+GYq8W+e8SP59Vgopvt/IwKMLtVYkLhgzxySjl0g5+0Xkj50HS+EvG7QK9v5/04KRwQZ
F53JWqI3AX1Bsli4gYOpKRLY/f4xX5NxxogKFdKRrOtFmt3yiIb1gwXUOJ7JnixqjH6ejePDy+Vs
lFSV5rvIvZB7S4BjSHmyxsbouO7xn2Th5AOziw7HfyAdX5lX0zugMsTjabLK8MUTG6R3g6yfO1od
P69+4dNoV/Pqz4HoYljia8XrxE2a8BExxu2qgpFJ0v8Rs9YXR/jtWTx+Js3diAQTpl/miWFE9yqn
Yor7F1T5kaDywvN72vtHRjeiwhiE5tJWaSTj1S7WG04rfdwAhkUA0oMRnrCwHws1lxhjDcqw63tZ
BzHrdLquUuJ3poLJUEd5FfRtufCqxuFQpH/+I/ZY81BmEkD1QDEBbn7uElSHCRomnrrgSTvvczF2
AbfXEErTgV400bGog5EoV0XLeYVmCdJSY9Fh/fX5MXc8IWSMxAzDI1leUy1WrmSWYPeE23LivR9j
KOTIKFqDCmG2iNY33zBvmB/+pMFdjP84Ij9do/kSRjZUb4bbvDRwix0LKKjr4wmBKGvtAYOFf+g8
UZwFHBloiICW9OOnnG7RjkgzHjmRklncGxCUK0BLKWyphjppZxqHYhuS/ul357TLYSmvwwQhtOc9
pj69rTCizpqTpMzblM6r+m/pR+WokNCdbj/zwDOmCxkjOoxNUYY+lPIBDyyTAAD3m7TDIaSld4h4
xdjpAs2IEmNXIqk2ulihsrmm44HAlU+gC0v01XAuhPN6kxHbiBZjVpRUTlXhjBjgap0aG20uOOaa
4DAF1uTQAuJQ42jdH9F7HuIYLzX9FkYff4UI3BZ7NEIwOlCYPtc+czw1G8mrczWY1T2oNea6JKEt
ujg2xNG76SB+9ICMIdHAUFPSynmzvKxwBOFT9tWUhDieuME9o09uDMVjirEqtyYQcNAd9O471BfL
eJs9Pf5KvLiQjeKHRKZMgYSzTW0UuVryGyO+Otmg1Lvz5ONjchyZYON5Xce1GjmgDOFYjrjJyHzP
raBQKX7gytillCbqeqmmj4YpO7L/oKsINqaV7d2V4zR5hBgjkc+NStMKEFrjmvAi4iDx8X6dMQxF
LEuyTgvW/hzoptXi8YfgWdL7XYxR4HyRjCKrJPx8Y3ZL62ZdavJ7WJYL0+eF6NNWZ45MSjHosXHG
ZkcqJqTKGDmc/tFYZm7hsgPv+uVkhU7+IsF8iWA2l3I9AwlH9KWnC5G45oXHBPM1qgH7vmmAqAUj
z+t18xZbMmAbXnqSubiKh2ko1Is4X2g6UPpiirHWup50V7kHSentgpPOqyf7dWl6j4lM5x4KDnQB
3BYwuuyeiTjoZ7EtGhr3paQ314jHMC9TE+w/YQ8QbogTP0wagBE9JnwQOzmt6arjcfh9weKOvITd
fMzStEcdkWDkTb62UdkaLf1UQBXAGNkWuxILVBtRb4NjTXjdiOloDNd+ZEM2AL3MIpIBFFbJBwoS
2pgpiSoyeBRUhEZlb2dLj/zg9/KAHY3IydZy7O94A2yTojkizwh/Pw+ytjmD/DbcIUTBka/HDzpd
hBkRYGR/dp7rrRhQfFJyXq3P5taJrebHguyFd0wC3twDlq8uP3glmOkq5ogsI/94bC3sh/nteLMG
kv6IXMzZVjWiWg5/kyI5ojP/XkLIjNtMSHXcMXx+1vDVdKvfli+Pn5DLC5P00BHDWivBi28FwC3C
+Ava3urrO4cM/RJ/uL4RK1RURkYdt3KvZ4XegCz3EU637O8zjGhZHXoeQ1SJHlGijzqihHZVd9FS
MBS3QCarK5M4yUfohuqCl1rdW0V/JyWxs1mSqp/L+QDx8zEUOv9IJKBfK5F7DVE9z88Ed1wo5vfZ
ETbv1k6LsZvtqxwRmQ78/nlYiR3ayqK6qnoRD2tZl4IQDPhlJNsfDtzjOxxJkdiZrQKILIkR4PSj
X7Q+OmcpbIenLXYcSZmMLkYMMUajiy/dLAE22DG+OGEWkqq9kBhgvu1CEYgoLiNLnvtBffoxG55q
2el0XvzxWFT/xLWQ6/OQxfSrrgWzeK2izQX4I72GGmFgawUvb53ufo4YZqzJgIbhVTTwrkq00IWM
iInZuNLv63Mjm4JCIlxMdJfS+80fbPV8mvPyvMkIZUSeMTJGpwXzTgGscvoZJSR6WoY8Vz7t90Yk
GBsT4jyzVsWQUewVA+wp8eHKCU7aaMufsn2wuEtZPJYYY5OoWShoF/oFre4n7j3T8nhn3ewr8UyO
YZN4tBhz04Y4oaNHoPVs0asPuY1LMFa+Wb81g6kfSL5YrQq7ceZb9QrwgsTiFR449O9aOzJ30XUO
qO0K0pNZ9a+NDTf0WB95DLIzWU1aFp2RUCd0OgXLRWTDfjvSAo07WuKwcs/3lnPHMy1uqYNK3gPz
yg5n3QB5HeVUMax18b64kWPzERKn8ALFBMC2px4fczqdeHyJKTuapScxJoxud3o56ewzrmQkq7mT
oUzGofTYsUtsD6eIVNzQpTaOxmW9iXPAq8L7fSF04nbzM8cxcosT3U7XjUbMMVYmz+d5oURQ89x+
Vj7rZXEhS+4u1+OAT7pXj0fCeDGiqlEGBHzYgJ/9VszbMm1xo/vx63EcxN2ejojcWn0oYqrdzv7z
8S9PjziMHokxHEXTXcqCHjW4Wo1m9ZGZ7DXFvQZ2W5Li2VhjKKrxch4aHlfwGBuil7M8a2s82/mM
II+4MFeY/UJhj7c0w9Eotp/TyNfbLaHfJ/kZH4af3uPn45gitn0jZ/NIFnp8mHXgOpqTckwtR7jY
2SpdS8pIoa+Eub8Ejf1XQLM9ZoAjWewepNrPxLDIwUCwwPZHxbkJy8nGAIP6PTIV26bttY5qx2nd
Lek0dr3KIqe6mICVxKjp7mCa9utm7xYqz+BMZuxfgs1OWOEokWSoNTU4y5O+Q6ZUdNY7bxd2OmUf
UaHiN9JMpWix/pWCQWAti84bBThwAa2M9gmu35jcCUL6Xg/8w91zjcgBOiTqooS+58W61sSUCN4R
1WI0JrlhNu8BGcsgzkLsYc1gGZorwUXr9FB48fMQHM68nI9nqNkxq2Q2r68NNW9Xp1oHKHZcXT4Q
xWT59utLsW0aScyDUKY3U3qcXXop12VLzB2fDEdl2bmq7FZJeiMhF+uW67mpPyVmi/4d9rl6Cy/n
y0/c+VZePsQi2AqJLFxSBSQ1DxVjm2CbwTND5503tsXzFezMlKEKsVhRlepUK8dR3c3hXX1HQ432
Cf/HnIgdm1I7WRjKGtKXoKEVPbe40ddaLQ6L9cB4uxK9XtqC89gW3mOQB9p1h1EdaVcSJXkYXEBT
xj0ha38hv2tANQF6iOM1OEaXbcbkjSwpsxgnloyaRAGpeEb9L/kVpkhwr0U3FHbLp4zaNpMMnE4B
WoiVObN9sn41cQVueYgci4u/ON22ALTnf8kxVr7Rcr3BvXfaSKAbhbvEP+oL5XeEw4WG5S1j4h28
Hcc1/uVjfRFlorumEEQjpadJhq3vLJyZOexx2v6Ta+Fp8v2nUHzRYSx81aet3M7oW/oA59wuAgsj
4xSR6orbbcDR4xKcruZ8EaQxx0gKa0BZFucABK8Yh6T7b1jQpACaNFKGX4FbwTq9xRH96UDmiyhj
7AXsJDWyDpF89kHSWXcdLm8+BQfJEgCqb+5Kn3dH9C9W/4skEwKWQlmfOwEfEAAzFdGfVhTqDiBf
HM6mXeY/ZNhs8QxEveFKE4/ny2rdm4ODelG+7iN6dJi7DsoRljvPo29nVDNZleIZPRHmOG/ZUfmZ
JCRwfuaNzeGLp3RsqhgmQp0p9FAV9oZCX3UcrJ57C7LErMHhx6ZZyIgMeOM908H011tS9kfszQox
UPQcUpJqVoBj1OeIwxXPcrFpohbgELXWUlOCy6sSOSkuOrvPne7OHZTTLY6X4ckGY0NyIwk7NN9g
iH2s+kUvj0Xv7usfmA42N2wDOcwS9W6irJO0xE1tnBz9RSG3btg4icwa6+WrdIHZngvgt6yLi73P
x38C9z0ZY1LUShElN3BYrNLNr8yCDalWq5cV3IHHG6udTPE1TcfNSx1nT9lgv8TRVakoYsyHVsAv
wz0FB5AmqAA/ZmkywBpRYb7Z5dYpaScBI3NWmxfVLnNbxSmweBEXflpzxHFyUF2dyxq9eYRbayxW
P5AIyvO8p9vyFmxU+ys3AV8G+29sPubWE8aTQ6fxQ2e+eQ8BeKrbnM83pW9j8ozvydRSR58L5HFR
Ncdk1vnj8VtOdpPGBBjxEIOoB+Q4OoD+2vnlfMwXtUcHetHazCCM788z5zHByYr6mCDjZ0QtzeZd
in4gcIp8xS686Mnznx8TmZKQMQ3GsdxutWIIEWicTo51Az5VXHKy5snyxYgEC6if1NculumH8dfF
IX4pf2M+I6zMd+6J5Cm/PCZEk7SRxW0bsdUjCteANYVgGVhPGBC6kBWNSb25zXk4Kk6svRoTo5HJ
iJh+a25ydAOxysa6ts3zHpOJiiarKuD/RfS32WqJGDYiYKcFOuagYSNbrIkO4LUreNnNCoLVCw4/
U4Iwpsfw00oY4+4i0JMjEr9cyHmXARf1sbBNqtCYCOMTQ/Ha3VoJRK7OyUe01thv2WtkS6+VQaJF
raLo34G3Ty8QzNgtucAQdy/CfrXxH0Cd3OirdWEdzdXZACORoL6y/lW6BGmg6JLB9jyRM6LE/YaM
+a26mYrGBtgFMXttAdt9fqTFux5ccqzfZIivKRJ6y+JckyWdpvQjzmRJnA1lR78fGDuJ/zGC8Yb0
LzybcU///3jFES1G0XosGKRBBVrPvkact+JJ8+LtDb046wq4NusQ2BgCPJhzBziBcGrcOvL0w47+
AEZYkwQbdJ2IP8A6vQXAQUSG4SEa1ngxz5SSjx+Vkdd5mOZyWoCOD+yX4iU8PNaHSZ0bscFIY57M
bsHtip+/IE8SFo1le1cuxvNULWfMAyOEzTnPAaYh4q0w7fW2IJHbmoq1esmwTWs2RFx0nEBxsvQx
pkhfdSSKQ5jnZZCDIi1HnBxnZlcOORy4O1A8zhiHfIuUTsKdGArxhH1vA1TMpbJ//IkmvdeYGcYJ
K1p/Ey+oW9OoBiubOE+vEOmFYxgnQ88xFcYNd4U4hBggAJUC08kDxCE1M9+1fyy90OGZCqodf6gv
YjQMTek61oQYYvM8w56VKoNYTY9o2CIanx4MIuflqGA9IMMWEY3AiBVBVECGzjOdbpa2UQimy9Gb
+1fP98URW0isbhc10AeNcuSsMwu98Kv5ZJIzQur32//HXP60tR0RZAxQeJYSSQ0lut6FFbLTL9lS
rAsmTz95rE2OrWsjSowJSi9CbCQJXhGqhGrD+akCqsGAERL/SUDnGvY1Ogg+6L7PbZ4icwSFrSvm
elHpQTkHxL4VPA3u6rD0PtWFbvI+H/UXjySFMVFAoDeSoQUdv1saDlYCXoadaO5UjCw+lsnpAGT0
moxpiiIpqUoDr/mcoE6PATvnhn1Gw3RddwNd+9x5uvmYJFdUGCtVzOv8ViYQFetqqffBvpsjW9Ii
e5asJe8lJ03iiD/GWslnKdTPNRTBaimOgbzJTzMVVp474M1TbsaGKMO8zGIdNl5A0aFdzDYXv/q9
+exQuyy5V3J4n01hgpt2JhZxesMblm/yC/a+FJnUNvlhuwUC/BpQGJ6uuDsU2mFqSm6FeNJNfz0q
O/td3GIlEq+g/lzZOCwebpx148opweWpYfcqvOyeeZPH015nRJKxLwEgQTMBR4Tp6BiM5v4VVvMT
ZyCeuR+So+MKY18uKXZFy0rF09oU3rWoycxWXrz3x1owlZqNrJiifA8JMBI5y4MOelfKblS7M+xT
LoQXo14/JjMZr2FeG2fHcM9RFRj1RmCs64OkY/LYHTYefzV0+rG+fp/R5aQWpHk7x++XtgX8aHos
o3F6C3uoj/mYDnBHjDB6HAGEog0MEMKQu2kl+3AZrgfBnDfkut6h879RjzfO2P5fDNUXc4xKa+31
EosyaKoA3yaCjXPOaEL/1snyXJL3dy6qwKRMzGWIsSDi3XTmMRWcc24DKnlXRKa/sm36Q8VeRY1S
bP2jMEPAWPNXLikPf3iauaHrmOhH7e0OkDYKTSWsJdRGgCujAFMA/veMqN5ZNKXF7YoDOT1JHG93
MSXhX/mAEVlGnc/XoTUiKR4QqULHxNh8+WF6je/JXMOsUn19xCGjz3KNWzxSDFLW/C0nspNZOD7i
7LEk8fKBBuuT/fLaO6IZkB/L5RITpyea2iCEQffr/R1YbubmFbnUDoaG43un5Wv0CIwNCFHwT/Qc
f9la9lRYtA3OKAIuQ1xwdIf+zqMXYKKJRgDMmkC/MVhb52tJJuHCLMxP+Sn35zaH2KQfHDHFWJxO
aeeldAFTiDxPuHqEYsJGxANeTF55ehIUESfb/pFdRl+C4dzq856SAgqO7p5k3KQIEztYeRTZx/NM
gNvWZN5h0R+r/jQuxGEprHc0PvJxbn1q0tSO/hrWQmnnUL0IOJ17st4GX24cw7y7//MPJSTcjaV7
qPnoozLGqZ5ptSjJIEe7tIN1dhb7xXmrZyaqYlFseTCKgalLXgFUCojxYUkvTu2eeRHxZCjwxTVb
yxQ6+SwmEWQLn6Cz3ypcCAtWsovtevQ36R2v93+XRo1I0uB5ZLKGKtb7Sw/Og4Q45VKIyQwxiGtH
uNbhqa8Nd5qA82U1xliFwRnrNjMQ9BUXwYeYoueyFPwIF6iAV/HOqyZNlwtGDDIWS4lxL3RoKT2M
yceHfut5APPkWB+O4dcY45MU0S1XNRBBAzUFhCjatNz6M8f0aozhQaleips6pMeKfcdwVMG04ciA
+8rDxOCZUo2xOs0MvnNWgZtnxKO4qXIjIXD46dI759nuZeYHesdeyE47rcV0b0AnBzozXmnYS4LV
QcVW3AiA7q4Wnzu0cgJzbnMjU44d1xgLowZNJcyueM4ExzqsaCfv6d4l1k/MbEb+NzOuMeYlVuYh
FJvSuhL/tJYyU3gv0GLHCVOiWv8uJ/wSebZYW2RZrWUJddJvlZv8CNcAYDwAvqkjsxWv2jMdZv3j
NnTGfkTZOS26HCZrDZvl/MqQ8WY+ME6jg+f/ywh5xBljPLCT2yczoOvQIcbzdkBKjRfkLY7x5F9n
TMbtZkh6HlIzbCW7m4a+CAYkLdQLeNcnuJQYu9F0ki41V8g/VqzuZUbgH63QLPC5dp6+zANN0xnr
oSVhIsfKeUBDCbMzgKaiINyIW3gzMzx7qzPGQ8qKyyyWIev+qVq3JPMKAjwiibvPPDl1MQpY2AA/
UPIsS1u8Xe+ec4JgLLJntmaYwSqrSdFbxZXMSbVCtPTun6ON0ZqPtfo+zPfoSRkLMtOMPIh7iAmK
PVgRnZuyj3vKFyuyAaO2CEozANix02EwVIrs0NQ9eNQQsQTNd/hISVxZYoxMI0ppMi+h9f3ScUrT
6HEwHtjKswU6JLiq+Jj56ZLylyayF4yTQRxyWYA8oUC5xsGoBRCe1/sXneB2mbF451CjQsM+ta7g
DMZc1nGN+57QjqKUspHUdtAuCAdlK1/LWBR0vWibme/x+h1pDofalK6MqTEiPKCIl7cGqGGrhmRW
ZL70iE64GepUXXJMhom4h0veYiolvQcNM5IAD9Lrf/F6TJNiMabCSGl2zqKsU+/xDwb8I2C4AZwe
3Sxug3xyAHtMiRHAvozFpA3AzxXtwXrAyTfstZt00BH5wydyFgPnRnnfaipDGhG9/1EjybioWdCf
VfqtTlYrgL/VmeIkIkF65wkhjxTj6lR9yACxAlK0uHuyDJQvuv/H2ncsOY4k234RzKDFNqAoksmk
SLmBVVZWQksCIICvvyd4b3ehojGMZz1vejGLMkunBzw8XJ5DLm9qDmkvX9nbf2eF7MaBIaF60dAP
F/jRSZmInqOvS7sNCQ+/Y3E6an6IzIPXAAU9NC/QbPRrrJBtPWwWm2C+wKxjSDTLqTFFb4tbKt5Y
GxgxDm5FXy6+zGI8OP8hzHuYRnIftfTmOTunbQmkg6Yc//tGzQAF2K8XTgC6OARjqqaF7E7TMU3H
3I4oF7RYqC4IqrFBDWv9C2mJ8y3p7/6n//othrkaodV2gtkX8F/Y7cLCPeDynmk7hxeNceSwt0GV
Jqk16RVEHhIeQtAVxQA7JDi4+wotPr6zc7t9yNm1MyIMBIQKFMK761GkpWE1AAce1Tz65qAssOXV
eBf3OOciqdeeiaw08FiZGURisBlQNh87xcs32q5bi+jExXhXnfs6Lk7FzgUyt0Lpe8G8XqmO2b4G
jPLqMPocEbzvRf99ptN1VKes6yro9DY9pDWxDgmiJTo36nzxWISk5Uf0byNk13AyVU9FsYetv7zB
ZTk6JgIAb7QC8gJHK2rNd6z9trk+00ozxVCX45rmj45o7yO7rEmzUs/G5vtkvFNe2P8HZliedsxr
KmiyDhwnCJ32L+BzoCXmxKm26UN6Bq4Kb/RxkeVvbhyM4wjbMi4yiVrjm9efksBBmAfKLvSEX7++
v7nA/cshye9vxzgQ8RKiA61CHMUjeXMQa64M+3rmOpDFmMRUZCCiW4i3RMYgx0s+6I1qopQM9LLr
QXO1jZ3IXuZz8+9FjWaSmISkk1M1NKEUDlB7TbBAheUpYQ2cAo6rWmp2aZiAlVQQvUgmqCr/vGNy
lBdt0Kq4xqp/rj6t4/W9qTE2tA0/79v9Uh/xD0lMgDA0uiAUpgZJ27e993luX4+W++snQaYPEPvM
vhKNGxkv3DVsUkmiZFo6ba4wHywQo7IuQ2s666jVvAiktOurbQJM162d51O1q/z/2+X84jmvpXgP
PTCAA8iGoooYJPzzYONxzKVULUU4ZC/YnCm9NXkfnccfYAHhYvvdNpoYp/KHNMb9h1XRZOPQibcS
bQlKMtzwH5Z3IZ8hSbwjcGyyG+fg+4/m0fSw8lfZwF9ZbZFq3f/MS6mPLkNxGSgUkqHfzGDm3uJe
q7riGononm13sluraIQjqhYhcfVtrSkRE0cidSaM7n9IZD5yK47xMIC645w9oTFsGMBbRTkYM0/j
6wFx9Qu/0LIQ6/4hkbmdYy8k4RQkIm1F7hQnOFPkM5RbuOTGS5HEH5KoX5+dZpHlE0B+U1hRj/rs
fpoc+et1ZXcr6/yFd1CmAIM2pkV5r5S68GDosiRb6A4D4gkm/KfgppQVpHkZDEojg9fDiKcHwOm4
oLo3CF7IxKbdUVRlsClQ++a7iamAz+zV8u1ksK/bFchuAIltRy/V0c73J6fnlQ2XRt7/+IXMR+ij
/NqAEgu/sNugMQGqih3sbWr81gVWII7GJrb5kKtEo1yb5icQGXve3PuS+/zjRzDfp07VNI9EHBPg
rDWC5V30JDyTJNxwi573P4x89j2YBzxJQqtsrALaIuvuT/J7fnafv+tPXnq/1On6QyPm6b5OE0K7
CBp1G8dZWS2Ax9GtDQ67rUYUEmGxsfLSnYWtAkS0Piicd+ApgUEIL0a6srld46Wk54/fw7ztcoqX
WO/pZ3acT/V9+tQd4LAA7bIlPVYeac1oG1icAs5SzjeXyg69CJdAvmQSlbrdjY/xQa4BCxg5T+ra
Dx8GlAnAzBW5IwFxBMb3Ltuv0Bm33SfPtS06mt9fnZ1+SYwwGiwTP2NEExFVEL9ZBd4AllUL1Gsc
N0oD9jsWxiLuXcMys/SsFvE+47oHidMfVyhMcBfdln3aTCkmc5C7SG2E7ibIQ1k8U4gUoiw+2ALW
ObDQYUO5sOByjd0O656CjEtLAcYkln0FBUsyuummtKdVSD73XlQRDaM3j1lGSgdBauWfNoNvPwKz
ye5iwGFRD0uTerTsTTt9/TfNqz+sjXFl1aWcrEjHnYM/fUP3Cjte4Nbjv1scJ3Jz+rPXxEjSECgT
OPngMEoVyYOQmMF37oSJF5U/rgEJJ0dICOg0rM2ofnAMbCGm/UNLxoWVlaX2YoDzRzFKtIXYU7/U
GFOiU+nx7g3n9VIZJ4aFw6yQDPqpHUoc6obY1n+g6Vy3inyey6S/+x92pSi6aJmSrBns4JPQCd3l
auBUs9GzSHZ91IMf4tYw3H9zfjM5zPkZgxTg9CDnxXOChKBKImJ2mNolR9CiJ5gJYk7vqgxXK7o0
9PToA59uOu89wmtwX8zSdC3Cw9/nxnh2VAxbLQggprNbxxsflW0AcMcH8nONl6Ugq3Z3q1xkO26x
ZNESf0tmV20T1Qz7voPkAbRor78CL/xKyDTYGRwQl4Zt8dLNhDGJQKcDC0OyqLuT3Ysd490K4GZA
nnTidvMX8tP5id6ildn9zqo+Ar0K9FLIbithkF1z3xufV8DgnR7jvzUj0DS1ghRhj+jqHdvQmHfB
+IV93z6WSlp/aMP6a6sBAiy1d92wHflX4ABPW62wpdytBWf1RUdd4v3hwJG6+OTOPhfji025qLNr
TM+wt7O9+dB58lv76FTP34LzFflc+uqlFsQfajIhZG7mUlMZEAhQAsm57LqOnL67T/gqLu24tOgX
Z8oxLuRyKUQz16gskFJ91MRbhyQD1tuJWx9cAmD8Qy3GiYhTgiWEHKIqp/Uoy2lc21gstohup65w
zOPtZDeH7+l5dSr8b4OODnFeASrhjl++2dfsNoBlKLIsaj80Dy1t/ecLbwJtKcmfK3n795kIEygc
ed1CRGffGICRbQsTVtu/V8DPtL94UDfLoRPqTiYya1GSTOZK5KkmXK7YVTnrm6Yi1135K93lzz+j
1aZNnVO3R867pQ1NzkkujcTq8kwucykGo0ukqoXc6GH71pxRkFI2KGTYJwwRci7gQsnmD1HMdRDD
oYkvAkSlJDtLj2j3n744V3zRI8+0YW5BGoRNZZoQUTm7ff9quFiVO60yn1cvXE5RZ4KYO2DWYqZ1
6ojIoFmhMJmT9BtdIezt0RlC2W1MIh0bt3PSs+tW2EH3hMMVaT555s00L10FRdJF0KehgYTSDK7K
zE5jIxIDTZ9oMapKbaUmDi8IWqz7KLKMbEzC/6kslP4lTcOL2Jr0tnnHoHcDDPU2vv19uGIIBSvA
nG+4FHTNxTFHq2hlMo4lxKXE+fiYyN4H+nRGHp9X3ImhxRR0LosJVIRRwCN+oaohB9697c8e4K79
YKUC4QTFc278tfi1fh8lm3xmKPyaWva/R6nbQ45gCJn2OfQHFxCrX4eIV0u55Xasq5xpyOaZmRJM
yA0M3O+YKJ/ptBEkNwZX+8bcblwf632/yENAHjeEogzp+ubgoJT3pR8Bi/YjBDqJw/m6S05g/nto
CDKzV9lshFqiJy7mbnPZ+v4xAn7vz3d7xCjkt93K3r9a4tXnMpmwRhiVRMsuOIPt21uEIjF5fdzI
q+CREz7xVGNcuKkIeVNnEIPb30mgtoqHQyv/CAVbbHzLeLh/kjzbZRH7DUUPQ0zY4eafQ0KJ0Fwr
sde+TzACjlSvsJNf8OE1F6dnKdJQZAykSBItBuvMafboRYI3JECyIgBZmbwBdA7bjuVAhtpGa4Zn
MEsx6Vwcc6p5j9fpcoE4BFH9w5DYyco+BFhjW98/z+Wr+Vst5iEMjLLsL9QwjeMJA4rYGL3/9xdf
2rkizPMnB1kMwC0BijiDbEcnydffNuoneO9X4Z673LUYY8/FMU9h2Mp6YlJXA1LczHEqdTV6oe2O
3nu93rQfK+76+BLSIq7Z7xNkHHeeXE2sSEBBNKoLB/Q/4CCikJH+E+UOsGl3/EpMtyO6yzvbpfRo
Lprx46OchrKZRdL5ZfTxHIO8Mb0SnWf6HBNhx9Sb0rwoZYUjbU9XB+AUGDDguJDFzHmmiEEVnbnH
+nKtxgk0LwhgKFQlAM5tukx5NB8AHgFuvh8nUDV/cb/dUs9//u3Y6XSlj8ehNEMcoNO5Ar4cqnY+
L2xfah7/IYVxHcUka01fwEJenI8sIeBpDp9E8iwSzE6EDmXH4oW39C/+8/n72ybZNuFgDpXSWDjP
riESCdZTTmc10EFAz/Wb8/EWWwYKeDPQV1ExWcNC9SRTo9eDlkvnbrQd8Vmi/arH8sk2PR5839K0
qT4XxTiTvm3lXrcyiT5pjhiuYyxNut1+M0oud9Rs0QPP1GI8iSlnLfgzCtjGm5O6zUqxHeCWcZKD
xahvJoRxHvp1uMqXDkIcsybiT311yl85Dpi+FP+whZkIxkn0ajVlaYPPc4UtrEL3fCG1ba6ND8ne
tDoX+mXZ2n/LY91FXYlyczXxjdBPU7bSqnqqcruqK1ewnCjfDpPbX0njWakDYH25wuamkrhl93Rf
7Vt4fkdt1qUUBTgzFBRNz9uLi1X3qodXoRvTXUheAh87DqT4PB7RTHYSTwO8lH6O37BDtt649Vov
SbdGlM+dyVl02LOzYcJAPS+qThsT6VyZJL2upslGqWkk33rOedZ5N8VgfI5Va7gqAr5CITuRhbXS
VXRYbZ43dUW42HvUgu4dNROraFln5PGIo6Z1kd1unQDsrCf+w8P7ZsNFaVya4Zv7AHYxJhamHKVc
SNsNMQHXZWKrb8ErD0JusTKhaIaC2gSwLXSW7lzvwlbpkhLXxg4fFaf2g7VyLFbDUaWkuw2SWvTL
0D9RvlKiP9833uX3cCacubNx0uuBWtQSohjAG+/2ur1HtHtsUdtq3MGm3fmVox7/1bPxWywLslFl
Ut2CDUs6a9WqWD3aQ2irW4xVUHKRf9UAnh3wrWM5e/OHQGqVQMIBY5Bl13slAf2W1Tuo/2+54GeL
FqqrKDIBHw9DO8x5agrAJ4Kxoe+GJ7u6jYT3+JOATmxz+gZQ6v2vt/wg/pbGHmMsB1WXjxcJxSXa
lAs3wyddUU0rB3MEHFmLD8hMFhM5WblVTZoCzXa7JHT0q6vKGKKtvef245SCFsbnvVjLdZGZRMaH
JU1QaFMD7RTSe4VsP2wAb+sOrmyheeN8Taf7GnI+ncI4sqSpgnJSrtLZu/rFSvVOIoddm/u5GPcV
5+kkZFdIaARnfGqBL5uCQWe95W0NLvvk2ckxuVYRJarSFTg5B2W62EWTGGuQmJbng6MvhuwzSUyc
1F6AXaBdBgnFpDeHZqpniZzr59Jemw/+D9tO96tT5p4QffLmbJb95kw0GzZ12jWVry2U3H7sPrzz
WBMwKRI7W0VEpLP6hxXPbfHuABNETWleBWoLbXGummSLNYmfiy3d/j+NLTklm+6z/LxvlYuNB6BC
/OVRWHb5SDIipbIgU/SRoWM87erGO6uxBd++VJvM5hfRFuPR3xLZIlqnXAsj0mCmLwDviWzMy09+
vb58mry08nal/vGezyQxPiVp/jpPrQQqBTocHvXOL/07ppJ2hWcdteOv4xmskt3zsBIiDAiVa/2K
7hUvv6Vmeu+HMK5GLlu1GSRqS0B1aPaZVwDS7+32USnEKWY5OF+Vc29Y/BIjbJoyS3BDW0zuex/t
2iIXlO23V0Qa3kb/RJeOI3ExU5udNeN8sqaLLWXo6E2V9iC4Hm8jaOp5arhZtsI7Tsb/yJfIEs0J
smq38SgpxFvxMNomsJlLgiU6yQeI2/vguq++Ckgh7NaAEBetH8txtryD5hkz46A0WdX1KMT1KR6o
jX1ebH3f4MJyM0aq0z0TYtyRhBH4PLCgM4DsVR+wiUBdS14rvJGFa/+39so4ojaQpEIxICzJ7N3W
+6w1u6p889HBVGpix/8GYVufOSGVCWtKit2oizDXLaJD5HUxsWy8kKsA1ab7dnoLd++cI8uQWV1G
VStj+qK8OOUm2l8SbH2t1/vCqW1BI61vI0jcZna0A+JmtvviTsXeGDbu/QLGK4V5kOh6N+KZ9nZb
sL7s9hf7MybpZk1B4d1stamI7L0/n7hbZ5wQRGPcUJgPZtGHcEM7B/O4l1feA7YEszL/jrd/n4XC
QS+BulXq8R17b4dZNcWrvPL5armWi8kpZG2n62dh272/wQio/7O3n45Pud9hIvU5AoYPEDr8yRf3
j70LxvPMXr0MV3/gJNSLlVXQsOo0G8IgPzsVFF9aQ6hHkXoqYYUF5mw9OJfU0WJPyMh1bb1sGtCt
bw+8+tJiT3oumLnCQx9ZrRTeBIsHjRQxwcLH204cAb6w6d7FeofVel5JcjEqnEtl7nIdZpZUA2zo
jMrg236XH9PQlnJM06mcq7UYFs4lMbc4j1sdSElUkoU5d9UuWrvHWW4UV9oZ7/fv8eIc6EwYOykE
XO1OLVMI22IFKay99CPa6+c8crq1XRp4c2p3BUqw3Hl0HxV7U7grXGzdILx3jzZo2ds8/x3MbRYj
JN5lQ5VuIkc4ZiOxqw1FMbqv72ImPZfD3F0pLOohtyboizWy/b62j2C98g3bJRu8bXQ/O7F5reMl
fzGXyaQsXVv2UT1Bt6GzP70EzQAMbG+4GOk8E70N4szcRq2m/2ei2/ak+O+AHDyYNu+lpgHIvQ/F
BA15MoU6PhYO0Nrvdil2sTGxG1l0rPWL37Okn+OeNCYuSPqy1qMA0oKGYLt+s+n9H9XmwLG+pTBv
/oEYj2LFfVu0oSSd5XQtHNGPniI7EHgb30sLQvpcDONCtM6S+8KktveC0aQ9RpPWR/L06gJaCYhC
Wz4gNe9bMZ5kGqTkkmT0W21bx9EA/PCM+ep97UUa5m+5VZWl2HWmHzuEMVyzDBvgEAcUJcsrtliR
AN8MhiPu3+HFFqKuY+tJ11RZ0tjYQ5q0SFKAYHgup5VBy7iJPX1eI+d5gxZ+gtiDW8FZipTnEhnv
1EqlEJWSgqhx22CIWMDAApJJVMIOB4HT0F60xZlyrIOqoqnrrtRIcIpqYWs4xJf7B7joj2YiGH/U
6L0AtgFZOgsdqXfaKxB3OjsG4e2/eslmgqh9zhxSMYlZEvfQ5Wo72VNpNw2he7RbLirbUlQ//z6M
U2rDyOiDGN9n2wcEUfbmEezO6f5wouhB3E7Qop3P1GKckqAIbTIIKt4q42f1LoEQIpecVHRQPOHi
JvIsj3FNUdS3qnEzh633sZ9IDXNABxnwBtzsgacW455qsbQAcIBDrBygFE1O6RvPwgZugtcgpLfl
H059dn6MWxIBEF2arUYrhrv+LB03svNMX977Vr5YeZoZhc7MhJVV3JhxATEoKKv+2+7jY7/GGgao
Th9cdCSf7W3k3xfJ80wsAmSfCkUvprAMIEDuGqSyshs1XvK4rRKCZOi/PEid8RVXs+kUS4S4lzeB
qGtMF2Bi475KHHfEjrlERj20UgIRUUKuv0RMTdi9zLOI5ZcRHWOD7lQbmsV4pHAEkUwKxF9kVIGP
t3HtrX89xbaPhxHgSzYISfn1s8WIcyaTcU5gcFTbKNRxi7H+9dE/jI8CIP55sd8t6Pqnsf9WjXFN
QzvIUX2hYrC6CVi/iVQeyLVRqwps3nANdQb3ZDGOKW+uvZkjezgDjF86BmTDTfqWzeG3Now7iuVG
k6LaoK4PucnbrnZ3QwRQX2WnvuX7yv9e8aOYZef+Wybjl8Bx1AC/Hlqh3PjWyKSNiOFmP8KKnFCv
5ryNy/72tzDGN01yq0dtBgWpsF28vn+bFsvE+t9Gp4uMTxq6a5KkCnQxvE+MUh+P62JFq+GY+yvB
72ZzxC2GzzNxTNxSmeo1mDSIExBNvF3d6pRtmxdguTgcQUsu3UBzlIIjqxjeZOxCvEZFNmIaA2u8
TvD+lDso7GNvkSNl6YWaS2EsYcAWQZp3kIJWgoWivkpcxQUfHkebxZnCuRzGCJKsvipjDTk3HhmA
jZzXmIfFvu+PHyBS5w2DLg6nzsSxD1UqT4DhzyEO2DuOFyKeOHt7g3SYYdmNBwwrGGRPVxnI8fI+
PlUaeXLHhwakqVgJXhW7Q/0KvKP7R71YZJn/JsZyclBC19GFftDB2Z2xYU9AB4uhIXhkgJF+WQ+c
e6cu+a65QOYt0wYjVdBjlxF9yH46EvUD0UH+jQ7D1d3tSbw7lnbmndfHI+D0Bzt5QY1Ps4HQnlsY
ZHUl1y3Io43eGQ+lb8kjzH8Y8zZV2iDITYkf9tJgDMTi4w0u+be5AOYhGouu7IaKHrW3u9iZSBT/
f5ENpXfea7RY/pjLYl6j3hqKi0jvKYZWsTiICkjhrM8AvBXffyavOinXFdbtX+qAN4LGO0X677NU
QG2vg9ZTG1fAOW89Zu59e12sRs4VYxyQnGfRZbx9pe3bRwTy56PhPsBaEzDNc8sSS6+gYViWbIGN
DugBzCkarSSOA0KWc9NtgOckey39aGb6YBqcIHYxopyLYs6tF7t2LLASc94CY/Djo3CAauNafu5g
c5njXnlaMUcI6OFo0AqIEv2X3ad6Tj2OX10c1Zkrw/jvSWuxdp5BQnXqXWwWUEAJjh0sPxG/Pw3j
ui0K0G+EEOFQvwHC1jUGdPgzsIvJxUwVdqptmCpVSaye2rPnjbtztP9FftIJJ+ysfo+rVeLzPs9/
cMl/q8ZOsE3AABrEqcOr9LbzgLkIX+g/IUSmi3u8isdif2euH+OOA9ns9UGCfgDGOJeHkISbLMJw
PUEv0Afdon2qavIN4HPhiU4zf3FscbGWOZfPeF265ZNMMuSPPiYW4BQxrIosgPf2UnNgI+a5GMb3
GlprBFMLc8Hey4WEu5b2Szg2+R+c7u8Px7iLzATaRFJDF5RBwJpN0g6gkgnJPafyW3vzjTW6w3cM
dgDOXViK/ubKMb6jQqzedCXkwlzg4833fiV+Xj55YnhnyPiNcfjL9W4d8/BmkV33o12pLabSEnw1
IA/7dHqGo9tS9jbXjXEluTREmRxDN5Ae7ED2V5LoB08x3vkxvkTXg7Sq6GNZkuxJRQfktrjGs47l
wOdv62DhmrWmSTtTgQnCzjVv/ZlusDUwPSDcs2xc7+j4uLG7rbqVt9iR4JwiR0MWvlkvNAEeHy5l
60nbcGPZtRd7W0AtcuQsv/6/dWS8CVrFcidNOMktOplDS64CHaJwUMsChOZn3qIbzudjXNzEmNkI
C+Q8WYMoWh20o6hpmD26ARWC+wzrGD+f/Id3N3JvyxgXbqLCuRLsGqtYaSNa0/Rch8nx1hgtBOrG
SXii8/1ArOZ243nfkfEw6XUajVLB+WI0A/yxygo87BcbU/7vlKsh9DDZBQ7q+x+V9x6xUM+ZbFSo
bkBJ7AYDBhJv7fmXD8icBxcr+bwjXZRmSqKpKaqEjFZXmQDSSnIhSKmKu8lDiQjTBqR2XjV/Aw0x
dks42i0d6VzeP460NdWMJkBAwtugeHghZ4yGO6NCNPtR9DY2FhUtDMLwajhLURi2nw1ZU2hwqUl/
6ilnVdSP4HSG0Xrdh4EB9Yp37Zescy6CuY1aUseScpFgnY6z/7x6J45zXgyO5gLYx3uyQlnLIAA1
L5pkYCwD+TP2n1zsnIDPiCNvyYPOxTGmIZR93QoxjsxsSB9i1vwXR8DijOtcAmMMnRYNWP+ABHSN
0bn7JDmNgAAieN/ouHKYFxtwZH3Q9ZCDzP4NyJmRffaNA0If4BdwRNGfzEY+c5WYVzuKxwxlrptK
Dhxj5kk+UPNwlXgVtcXUbC6Jeaq7po7AKztR54RpQekCiHa1pZ4/Ihsg+zp8tPul4GAukXm4TaMv
GxRV8Llqop4R0PFfNM41ZWs2ZVtFqXaFiI4O6CF2RDSOivUrZiQO3y/3vxXHvtmuQlHVSmLEAw5w
dKPYMyU+IfSyt/vb67CdhFLIL2Ue4BtprSs2L2niGwOJBLuJ7VoCmqSRObJTDef7inEcEdtcKJvR
Kq70EIHWkQCWarOyeWwOi7W8mS2w70ZWYBsZ94pWPN7edFsFTCVc0YMbnx/Bysy19sVWxlwe4yrU
Lk3Nnjoj5016E79L0qz3mFTNffVqT1gvWm1KiTzXETmcvrhXjfcZGf+hXSZ1uo5UuHMFdxNFbOT5
jaVQbq4f6zeGesxkEZaC1YnL8WJTWrX86XEFKllMOXMsn+cQdcZ39GMwyllELeRtNwCa0TubztEn
g//8xQlnFosTc8UYp3GpCrDWKrhlQHdXVpef2vvXfWtfjEdnEtiawdSDMgHc0lBmh3dXWcUEy8Gn
I908wdgCJvf80xVkq1teZ5fj6tnCQaEN0yQlOMTYP3CHIXnund2ZlZQ+rcUOf/3F0X5uozXq1ehG
9mdVs7MMcHco83C7av8hGvzbX7HrbFEWmJoQ3t4U1MVAaQIg2M/QfQdmyw/Xvqx5LzPHBbMLtAqg
xwcjoRFN8xQ/nXh40jwvxS6xpZLRZBjUoXZeIr5I3Xx1ITsSh0QJidoDL75LEQTwbjP3HBmHUaXp
oAASgpokWK6nVeRQ4u4fIBteHTC5819eZ5bwSeyHXJ8q3ADENztPcs41+IY1MIWv4aq+eK6K80az
HE+BdtXqRL7dN83bfURf4SF9Ss/lGr7q/8NFYBxIpcthXg9UnIMg8W33IvpvlpdIdliS4IiGWAzW
yfsuhXf52OKB0QQTIGJv3hiVF29/9NWz7242twU9LtIb53lhywW1GStjYUDDK4Zq3na7AG3m0l1Z
iXvg8V9wQgOTyVHqvG0nVbl9u+CpfEB5gNfXWezMz9wxWx7ozRIjBzQNAlo8kmUgqr+jt3VCu4D3
tixWU+eimAwlzetqVAtcM8x0AZgMuTnKtyFIUJ/MB0Ie3sGTArYecPVQYiAelBDPubDkT5gmjkJZ
gqIAhPAyp1n5vu1iQgoZDJ2s4CQxN+TkO5kFWxfotaTX0hHiOhuFapTGwRA9EKxYPvnk9aH4gbjr
NL6eskNFkfm5G2eLIA7zw2YilCw39MEwID8lBSZwVCeIyTeSAI6evIDBZGIToM7EgqBQ34neeu5G
mLXnlae5Nsr4lFEXDLAsURtFijGtFP8ZkyMO9xHnhSYsn5OEUmcs1ZDTeG8YHkHeec7QiQ6c47ol
qkPQXLVde5UKNq8YwTMXiyl49MAcnVIFot/oHI73uQYJGl6FYUWZZf3hEHi+TgZwpjzYj1h8IJet
8PCVXQm34rPUOprZjcW4HGDSpU3W3+wG9ax+jTWk9ZkWmYBf8f6oYReJmivHgXNSVXbySVCkypJL
CI3WrePEm+Z7A9D6+0I4IbvFeJ/B1NVEoRfC+Xhd3f/Ti32a+aEx6Y7UGnEa0FKPtxvW+xAzaBjX
ClyOGJ4Ls5g4pRfk4GJpEPOy01BS2g9I4n4+PQDkCRPGDue8ePUri/EgbTA1jUE/yhZJnPexux73
6yO2VgX/sbUHH8hLHDPg3j/Gl4xmqqf1rWKG7dxmPTnoYWPmhFQrF7PGvavYzwAYoJhknO9Hb9cd
Z20xDmZSxTEVG2obvdO/TjDyKx8q874Qg516CvS/tNtmD3gBvTNuN1Ahjk8/X0fPtoV37oO7GKlg
Gxd+3kS5mK1nmJehAwyNAKfSooF5IfsjUJh8JFoVofTUwHd74Y2/L9voTCZT9ezGaxEESSCfi7U4
+Y/jwztwGdzSuexpOHY6Ad+HN8m9nB/PZDJXO86ug2J1kOlE613V2xNRv6RNCbRfSjZIkTI59rLo
r2YCmfseXDsc+mTREDBUiYzGcwAaPvu+lMWEdSaEue1JqABDS4YQ1RafguO/ykJmf5653kapF4mp
489TdCknBQDNefgckweKkPlsN8+UU+O+QosgOOZMJHO/lWsuxK0CkditzUg3vf207WJnrIHBYjeV
d+BaI9XhH/d6JpC516nVNZEchwqY2r9W3y//auJ+phBbyzCmsVHFGIa3RbhwAaNoafvvsoMS8srh
mcNy+PxbGbaA0aShCAJI3OaUXG0Q3WBsaY96q44h4SfEJT9+QOyG8pzxRv15d5otbkRCdFEECZK3
b5iDo3NF6yfyYJL3EEuWPGCw5Wx8pifjQbCLdxk0ER8NKLQA/QQXMkj4nvSz32IdDkSm4Sf3aBdd
80wk40CaRgHgn6hDwS2W+vf9KXMufuTICZGQsQKfJKUNRAfjLP/qyZtJZjxJY5ZKhj6fDJSgl90u
etqlKw8hJ+Z1HP/B8B9syZbBYbrilQU4N8NgnEuYpnqZ5riKn2dagGt396869yMy3kWN2yYr6NOz
w+ik5wEWwX8itPUFGkNepLIcfs0OkfErhpnHYXGFxWw/LgfLLp/AVMrDJPgPlwBRItDcLFW8zajN
ZvemOJESRUoVaPSB/HGCUa6f8JZuEnAeHcDNyAvFl9Me9bdE5htJF6B3jFTiNlt/9GusQSHw6ne0
O8UrAywHezNZzPdq4g64Ay1kYU3E+UBNyjvCs/wEgGjmYnn88MUJuRaRyLDn8PdxMt8sUKUirPUE
rtn57I7Y6ck7JwQGWz2AgmVN5DV5IIP7I37brE5o239HJDvQ1GM1PaUEbxQnj6Xi/vlS/P45zEth
XStVSi/Q30lX45Xk6/zk8Ko5/8FO/xZyuzQzE2rrIsBIMXQu01X1qjUeWWE99QWzEPdvH0eZmynP
5IBO22inEsponyD+o9QRGsdvLa5nzz7fzZ5mIiq1CfMwjxTUu/d6Qjd5N86VrABixzGU5ULGb0O5
tZpmkvKsiKaqwKFh5gD/YX4fOZZ0dRxedLIcLf/+OipMZCaoB2N8ElUQtBVO0SnogG29Ck+HWCQ8
BgdqTDNjQ5Ipg8bZsDRNMVRFvJFqzySp0QW8G2XTPmSZp9WrjzEFzPRFsa+qG/O2H6iTYGVZIIsW
EVeJhqYxD4xWTu0wBm33kIoYN5Is2yosO/fUcOSEq/R4GEHY5DBEC7MpmqTd8HNmSgXDBSCzktw9
tF3/Eppj7lmWoHCE3DKxf0gxKe8cTk4FruafH6mTx6oMu8v00Gil0Nu6MmahnRW9+pkFWdU6WiIU
yuMAotlsmyRJd7SUyLT8tNczY1cGpaoRs1FMZAiWFnXORR30L6WttMoNNCP+MLUEa2vY3gUN6WC1
cPJABnhUrldMK9aCVB/zpgBFaVuV1ks5RMp3OZb1T6AKTvssMdNzkcrNIWtHwc3CIAcIn6Fgylce
eoV0SpmVTjV112Mydvn+iiVyjHwZltC5vXKtf8pFmX7mYxCfkyDKCqIVVXkI0knNbKCZ6TsFrDAg
o+qbSLHrJo7eolQWaxL0VxH7v9F19OTp0ls+lssyzcv7Mo3P4IcHLzxCjHHXgI5J9aJYFjYDxm4+
dTDbtSQqW0XcSXWcHfpcmIrHIhak3J7EMWzdqA5U7OPkV+EcinH6NmGk4ONqXIw1CDvGN1T90oz0
VV6WtjIK2BiPoWLuXPKylxwhKLPYzfquO4W13IveYCqJ5OSaVCfAaSpKjFtE7SUnIDbXny8T8H7c
S5GUAZEky/oRxaWWrrphTMBm303CoamECNI6Pb44odYYjZvWIJ8gU69d3+MiLKd1h8PTidZflXY9
DmEucazvRijEWJ8BqA/sXOsmeDRvDn5m47GcRBcZ6KQPOjBtBlsa+/JC1FK/Rp44WdcMhD2GeOya
En38PLPiU1uiNORecqVQ8dNLfAuptvoLjkvKfwRVNljESBP5QQZveG5rUtEkOBVN1R250s3ezTAK
BqQEPc4NIqVGuzNTQ8Q5o7uNDF4x+tpWRVncmSB+dZtqqn92KNvUjoU5w19CFRapU/QmGmiaBjoX
V2ha6ZxF3cXXL9fuV1NKnbCSuizvPOPSN4PfWk03Okr2P6R913LcSrLtFyGiYMq9wnSTTdBKorT1
gpChABS8N19/F3jjnM1G4zRCM7Nj5mEYuxNZlZV2ZWY65ja2PvKXsRkIcbWJhqnXj/NU4KeacC7t
rjI5djjXtZh2Rs9taCwumEGxl1CHOlnjIdTUl1HOpsEfWOm0w5GZ0aGv3rQ0/0sjtuhhYMjgy+lS
QJ2IldMj0KeKZZrh6AsV6i+zxkZbyoYdJlUSL0e5wo67sVV2lQu0H2nQF13AtUPBAV8mVIbeYFWq
3UkubOjRZRwj5jFyypG0WXkiozkmrLWy0Ufz1eSYXMMoZMb+XPcQVu4/ODctTA2ACTI4bANdqdGx
65qii63ZZ5weRF84EW9PXcOAVJveZBDtPJwtcpQQpCvQ9seNdWJ9nllvFXNI/IIJ+tgFljrwEhKc
1VP/VGQzd8x4JN51Hi/lCIaIWAaFScdIzbWpSEXDh2bUZj8ulfRo16GaXBfdiTZW4RaU6jsXt8rX
vJ8pJbgyi+kc0Yh5bpr6ZixwqRHxIxVzJwyt8l72Wu9SLBI9XWdt5eD9f1K6IASKWsCur1wVPpim
rA1FfEKD6Zay/IfRCkw3ijH13wrm+SFneuukulYdrhNe+33vlKUQaHKUFBsZ1y4s0fI4xNLQ2ceC
OUdWhkdEfzN08hlTYZ3JUq4xfu7bxJnN27hoRjvGyju7DNTz9e94v7xzTWxSncCdsQhCCCz4OT9s
ScxGYl6J7lvUJA4WR5qGzQfW22rMKy/Sde51Zc0c6MvRmea4dKTqm0MWdwn+lTG0s6F/q2JuOZ3e
5ndZR7R7Qub5Szs0wwH7kmsXubf0Nq9HeZNXUfkpRy+kPeVTcMgzVT2IsGg/XWfq8uWDJzg2uDy4
NnIN8yFlbJSN0RHfHKeH0qi+tqW5N1dpQ0gxJ5gigMXdEWGtzq2c4rqDXzP6c9i294YxBi7kOf7J
jW5vrvMlKYuAlKUDqozq6nvV/oOxzDBHvsA4SMMvksqyJW2nmyabM8cCXnrnPWyRYpADKjHbDRZj
FUySnBVqhAvhS+qxwWmC45DtvO5Lnx1HBqOPRbmwrdiYey5w3JIRjlWafk3i6s5om8kjPWUveWY2
d3ALmM061jp0ZKEj56mPduivg0e8vOUDKIUPj9kAgq2MVS3TmpqBafr6eKDJMNmBVO6Q/NQsy5WT
14jyaM2NXZLh0IeFk0+316Vz+wMkFcK0JNhdp4xEJkyZseUErMztxtBLOuzSI9WJW/OrTr5UenWb
c9NXmngkQ2P3ceNd/4SNazY4lLkJ+tww6UrtVR3oT70OtVdk/Zdat4qT4qmwnCgI9HrnwDcufPEO
dJDBc8FGpfMLH0yuWmW1xM+IiZ5XxefZFr1lHXjSDK+DFgdeY/TJIecqc8xZFjvMXpovyxAmmsml
YUDo1thaEY1aAGkift/o8o5Oce9Byhs4tiz9nudasaN9Lm0K6FGuY5OLBUtNVuYr0DUyV5ISP84V
u+F6np/Qa5ceRGj0T2kSZA9aMFiPouDVjjJfYwgW0TaXczYsaejswhsxgGMb0GlH/NTAyKlCPk9q
ei00jBPvBoz+kc9REX1uFHVmq9q55Q2uQVoIRsRi0NaWNA6taBQauK5IvjgFTtD/UyjfYold8tKJ
m+N1Ef4/eP2X4CLjH7SiiWqBYXUgKKvB1qp/EpEcGjN7FCWGl6jmFEfxKa+q3B64vkN74/mgwM1w
v/DFEBUY56TnJDUjplWGz7CN0MWaFN1Jsh5LMIBU2SF1acosi1tMQG4pBGo9CHiK46gzq9zwkfkt
netHuM4tL+Ly8cfXNiwuOywxAP7WH4sCobidj91J5Ox+DtLfJG4e0Cvsakl1W1bxyzBHnvFzGPqv
SjZeSDQvSIgdkdme1R+jmrxwYE/Xv2/j4Vpw3eGVLU4nTOD5MYuJ8VKNreFTM3J6Vjhx9V3lAIth
8NN1SovKP3eCcBAfKK1kqZsx/jMfQIlHXqm5itvaU5TefblOZY+f5e8fJJYUMSMVHQw/SXqX9Pct
aw8BvS0ld/8DQlKn0PA63Mu1w8DKSjZjUBt+3siHof6u2vIgBiT99L/Lj74LEAwohqZxEw1G75W2
Dxy1lTWqbhKG32VvlL5lUke2p3fjyDNNzKZpd1Yibz0GxJcI6DAilJjrzJgMOO+pFZo+VW1+E/Ls
C5yJ/ub64W2YZ2pQMIXlfwQ8rTOyeqIxPUwT3TebIHQG0Q232G0eznbNjM4uYjp7jI3NTS14eTuV
XedN8EXvByHbL9Li/c4ZXzJN4YpBnZtUwHiundk20qw+qhPiN40x230zN0ej6pMdkblUaRTOgLGk
h4khAHM4l80k4TCh46j7Wa9uZxbct213G7Id9/LSSMCLhb40TYMjNbGe69JOmZYsADQ/MRqvzYpD
VVIk9Oa7iYw/gsp4Nscd/Xn55ij2N+LciODwv9ezFTJLDrK3dIQ3WNnyrJdN7yZ5wE6CdbOvDWzc
0akbt0VxT/DusNYRXK68WwKDYLZIjPpWkuh3dczLxylt9HFHYV2S4chECazPxnVJ3Nj5daVanfRR
M1p+ZGXUTUYkXIouEzvMXAoFqEjQgApB4L+eTDzzLA/G1rR8MQaVj8hO/4lXKZ+rpjG966/uUgND
wEANaThG4aOtnKYm01EXTBX1tbJVR1pmMCgkJzdZapjHSfXTa6R1e8Z1iz8TQTjMIMHDeq8bflBf
Y8CDLC9a6se11Wdu1Ck12QRpYMu2miKk/8GlIashoZKhvhB7nF9akU9dOQ8V9ecMQwVFP3eHrmn3
gENbTHEJRxcRFsKodQgny6SfK/SD+hwTGIv5USbhja6MHX2xdV8IroWJ1WMcC1IXIMCHo8ussqVG
mzE/FnHj9L2V3rLUHG5EUEQ3skXGvhJ9uCMkG6xJnBtca5R9qCFXUl9YbOxlZ1E/YWXviiga7xDA
lfaky3aH1IZ7yUFL6oiPED1gDuk5g+ZEk9oKJPUrwdNjkU3aXZon7Ibpded3vA5vc+R/byaNmY41
GOouGyd9Fx+1eJLnjglHVgr9jBbyjDok9fwr4rEP0cOZM1+SHE77eGqt0LPyf1jqs1y3C721Q4by
gm1mn/iuT7913rC0Yskim0gLLH//cMllLUkYzIT6UcJjWzXR6FrRFNlwjcud894khVAYBT1dSIQQ
56TCUeNa1wnmCxYJckfNZhye1BSnhi21fjR3xqJe6k8Bf5LoFhAhzOLv2bkPnGVpGlVWYzJfK4Lg
c53y5q0cA7JjfC6ZWqjAblMU9JYBs+dMNTPToF0J841a1D+MXpqH1ERNyo6Tptt5kJscwQ0DpEJC
ha4bvQuu0TTVUu7LNhowGNVshuIwFOh83zEKm4QYZ6i46giC1m0weiVo3vS4KZjR/DUNeHZDNFLu
4V5WSCK4lot1Q9peIGmAJ7hSMI1CUaZgceDTUBbfZIm5XEI12mM91P2pGyi5C8dZP+WjNnkKmwoO
iSLZscmy7qXS01tLYUkCAZbY46oKjkLrre+kTdqvqpzKRx4NzO3rNvnNUf/bUfMbt24KyxLWgm4h
+hruy4cakXncBD7PwsApQmQ7WUY/0XTaufINHYXHCemC7YL7Tdf7RDo+okxKjcBvYb50WydR9I3B
Vqce0hrxr6pg1Wcr6qreNVkf5QeBSamvfYKZizssr+dKLbcF1xGOKiQCdet1raVIMXqAqEj4gVAY
KaXIiHVHGKzvijA5VIoHN1hCELhJBoerHrTaa6fgIc5k/ThEQ3KfJuLVqpV5l0Lx70SRG9cB9wWV
7mV4KxzblWdB9K6XbRcKX3Rs+sxClA6LLCyfZ+RCdp7GpVFEsAWop4TkIlu+hve13ZKEysvkfpCZ
w7JfZhvadZfYRSntoPxr5SIxtUjHC0SEbOB/z5XLZIZNRwue3RfigUksX5xtxncCrsuzWyoCSN4h
yQ09tc7VghUUvxIjuZ9zVE+zUf9t6f3ssBAppev+34WfbiKTggSHBFOIddY1JjOROdqKivQ+gDF9
TJN4yYxG3EkDqk54Ov3hOr2LpOSCFqFiiY5RvIMuOz+9iPCs6Kq2uM8zYn2akAVxe6vjGNU+vM1B
SwEhaWdXj0z5YpAx36F+EQeBOhx35KGhH1A8WBmGrgpas2774r5PQute5fPslcY4HpuofUu0KH4s
IlI7kUz0T9fZvpDQhTAcXRPeBGzFurRmdpkZzpks7seql7NtmmFpAWAQhLo9GSjnHLK5rd9UOU5/
+wpBGAoKiWBEYSjLrF5hrKkGy06j8r6bc4BB4FF6EKfYFunQ7jyMS7W40KIAFhoCGhjYoPO7VTRX
Rmpm5T2thsDN61L67Qg3DdsA9ac5ItEf0SvrFLSjSm0exsaTjkGGN9dPeo3Rhk+Br+AoY6LGB7Xz
vnDmg4sxiDAC3KAs72e9Zp8sDdgSQscFYcBNHEA336thyg+EFN2njGKvmR2nyfSMqYOpPcuEnVqN
8kMbyJ9GOOeHWU6HkdWag6k15Y/r33rxzN8/FQUB1EWQB1tr7zLuqcR46/I+CZTlpYZ4yOFlH8tc
mD+vU7pwHkAJehjFRmISlMRXVTNUZRKdabS4n6UeuxXrUxuhf7ajhy+VyfK6sNTEEhSrs9d+ayya
oIpZhSCcBm3iVn1uIDlbs+y5bYgaHJa3dLy9ztnlGWJVkmnAVVlKj2gwOxc6xOJTilfN/Mqaw/lT
XiWYZJwDBFQ9lmOhJu9vyVmo2hJIFt6zkGT5nA/SRbGvbW67VPjJ0AENxVFUFfdECkLtmERh89dg
igUjhheFX5CwYussFGCKTaVNgvuhkZixHRChsJ6RySjc8cwvz9ECS6Chw37C/Vs9XojMXCd5LPwR
ODyHCh7F6LtMkk9DENF4R1AuxfGc2MoKILcWUexeEn4H+I2NiAqrwUcl/lrbI3QD0g5YJoBj+No1
F00RzVmvcT/G1L6jOdc9lC3Vezu2ljHoA4ezQFsLsz1MluxggC4VPtxQ5KJQJ4GzAJf6XE6aQE31
QCPpz2J0yz64i8cYxfvm89zrx0r7fF0qN84Ti3UY44ZuCXKRRQzbqRgUPES/q9KJ2xMlqea0giVy
x124kBLLWmIcCSqELymjc7YsUemIQcrCJyy5iTnsNSbCaZ409spae4RWlppVwsRC0qLwU9a7Rv6n
GJ55Ge/YiotjAzeIEAnVsaoP87NXsU4QTE0UB2MBVE+rDqooPueky3Zyr5tE3tFQSGlLRCjnR1ZH
WqoFghd+18dAG9Kwix9ImOf5376phZn3be1IVyCht7oaKlOkjKQo/DGMg9shk7GDsm+zQ2Ut17Dq
kGm4McBcEdRZV+o2ajNsK0BodMcmp9QTp8O6skB5NZ+OY/iXqh20gKLjgCsgEYOHuTq5gU2cloD9
3aXkSbSjU7m8bd3rL2c9egFgBBBhSz1OIgEClMf59UzptPxZsrvQDFOXRCr0zEIG3mzx/LVHXHSq
Jhl+axGwnmbg6I6hOceOMBvrK+lY+MzGOj3maHRziQIsCwOwNWfMrF9FIc3GZsoK2Y7XsHZily+m
QGowARAnbNByRR9MEIK8QIk5xxe/8tI70KPu9ff9P9fPZd3KupwLMt3wTTiS98uC5RUVE61hIkvF
HQB4mYO11cWtHknNQUmmPqJqN7r5VFdeO1bCVSJOHljTjEetZXmIvGAXnApDVF7Ai+iBN01wz7W4
+NySon2R/djfgDK5necoUG7dhMRtW112Nps62ngWBxLbjnRAb3fU19pBAVNySXcLDlwmkqcrrQIY
dDaPMxN3FjaTFeVRN5pbrfuOPqL/ktD6jsgE7EXDxV0/3wF+4JiDaWfxY9K/Xr+mTYZgS5EmRGob
hcfzW5qNvG1jC3Q4nWxtZp7M4++lVXnjzA/XSW28fMSI/5Ja6RdMwixIFglx18ruKcjYK68O7XTf
Ugz1NYYdpblHbHVRGk8w8LMAXxghr4XuvVa/3LR7/UlbhydhFXUA8SDl66DMSLvY7AHPvkv7GWsu
zSy/bYpa3Iipe7D4pL9eP8DlLj7mlBfhA0QD0/hwVXCxVh4W6c0Ii9FBbqjlaCcs79zaiPe2NV0+
XBQgFoS3zo1F0NcYowSJLyUx9d8fjLisnJiGQen1Udt/bcKe547ig/GjGdCb5WAGWDQ6YzN1nUNG
o52cpJDd506QPHLrcAjRuDjpZohh70VimRhiNM0/SyMqPg+FoQxvTmNgF1k1z4GXFXpa3nVWZr61
RhlnmmtMlkUPRaxMY8cIXWhApqM4tuynQJYSMMDV68pMa5ypotodAPfVl57b7IbojqaOQbPzji9i
WngF8HUNFDPfXcj1ZJ6yYSoXogt9DKVsD9VDZec/p9o9YUvKniW6kA+gbskCapaAGQM2vqROPuh1
ferigOtj6EsF8EwvnoG/v7FqigXbuWa3+ve+Ct3CVKiRZV9n/F8Kb97qem/S9kCWF8/v/FP4KlzM
kLjRi3gI/VY7ZUTByauOqXHkg7C5lh+vv4ttYhw2DWhuDONfERvaYqJRO4V+nH6NTc3rpz999Dkt
0rt+/Had1NqrxG1izylKWBy3ufTgnB+xhv5A4Mbn0NdV5RrBaURXwhQ9XidyoVYYHAkUNrHHAF4y
nMtzIpJiVjcpeOzXmbjvgtdAT45DlOGqdmKMCxwR2AEl8CKRUoIzsNKSvZRBEGUj0F66dkc5lpWb
iDjayiw+DZU5HZOxGL1Up+GBhXryNEaiOUyRQPt1JPoj2meMZzIAX17ocLIrK2yeAjj4j11uvhS9
5C9AEmP/9/XTebexZ2qQ6RIVehS2F5cbLvH58VgBOj3iIVZ+hEYZ61YP/ZHeovKbPcmTjsWzP5rf
QeAeguf8Dd98nfjy25e0EUtDCeNy1nlVlgdRo6NEAdwMsm9OU/jzM+Y4SnUcB7vaAZBcAFrAHjj9
H2rYSX3O6RQDa46Zn8qv1O8orG7jcnKN2TpyKg5com9ouusT4eZfs/Q55fMOr5vkUSYGZB91QdSM
V+QrNOvUE6HK17PetqoC6LEAhUza22gssisywjbQJ0r/CeuvXWO5kQKU7vp5bzxt+fETVk+h0JOE
JpThvKcfoXrlU2sHmtu3xDH/FhK1HDauFNgMVPyWgP/8sKORWyUibuUH081Q/RmD2Q777xmaEo3w
C032+o0vH7mBzPmiqy3Ew+R9D84HZT3kZpvWRhf5euz3gjnYUefmAG/T7Of1I9ywQKBkIBAC/AqY
+nWAIoI4NBTcaL8/UNtwqvsUTcYRs0u32RHYS+2I/BkADMjKAw6CSsr5EQ5aSURhmRFyW8bSGmFn
2pdsj8i6HRZpTlCBFl6yMkjXrYuzSm9m1BLD2B+80Q9OzHlhlhe6mltjPMH1s9u6pI+kFvH8cEkq
zduuT0GqKt40zQmfc3nX1jvh2EVHycIQkL8CSg2Ol7muPjE1NXGRN7FvHKsX8xvx0Dtn1/zwXP1M
RwAa8y/Xudq6po/0VteUVBM1VAd6BYYwp6WbRihCTXuJzktVec7V6j0ldGqU1oBKPHuxdwDaSffq
Z/lm7eQd10MC3uVhiTWhkTlSuWsvXOOhyQNGYzSNfOVm9kTC4ljw6EXUyaGcpRPnjVNb32RYjrZo
68d50v5UaBvVup1s0IbCRBiF6BDxNQAKYP9cXCr40iXPMuXzR/2RvYrfzP1VuOSmdkL8c/0St0Tz
I63lkj+I5jxOpVyAV36Tn0oDnUf8Z1119jDuzT7Zkha8Z3gIiDoQ8S6+9AdCaVxFVSoG5TMsXs6H
2O7oaIdqx+e5KEQvjwA9DUj9Y1jTEn6ck1mAAWHezMpH6flZPbETcJvZS/bSf9b9ygncIsntCYvA
//4UAWjkwP2jAIDk5znVyMJC39mylB+Sztbgq6A72Uaiprd2XK1NrbUg/0z0HGKx5dpJ5QjmdYhp
7H+jBzbZ893whLZGr7k1vT1/eFMOP9JaWc1yVqOeaqA1OMvq+O+N/RVego0AxBl2DPRyQOcOEco1
H9gyzg+wqYnRIk8c+41Hvf/oxwGhQm0ZWBxYr/MfJ3pvRGGAZoRGtU+FnmHDEBwz9+9FALjZ/yWy
4gDRoc7msYY7SUOble1jaRZ2Ip/DWuzIwOZZIZ/PJcK0y9UVhlWNUiad8hXPlF1r6pFow169Z9Pc
A4YFp2LZGwFk8PmhjVVR1nWK9zoZ/XisIx1mUs7UrQHiRaFC/JowrBLVU5p6bT5KLxik2hGKS68N
XivAfpjsgKeMGOb8EywjGLGym0APxjRyNSnuajSNexEx/0xNSd0RE113LPWWlsLaWNSOUZ2H57FS
h8Fs1WOQLA9ZySMyNvMNgt/EUdg7vcPchuKFdwPAA5B9aJpeF8RZSbpqyMPE1+mfAucHl8BMamfp
eL0umBssnRFaXWQYdV1pKU351Eg94MhPwUB9zK/wrpPZsNNLrIk+FX1J9qxVYIie+j6Lk8SPB1l5
ZZCHgz3N8idTWeOgLBnZSgS63eZiCF2jHHbBUNt8/vsBq6ubtbhGcFMkfqOTb4ZGjh2hj+mk3QSE
DfYorAfFzK9VWN1MXRPaKHYCSamq1MlUF7ljmhE7BkZ5Ry1sfdWyZmYJBwBFWJei8wKoPMxiSPyo
pjYflZfOL7ykO2nKLWFC4Q31Z+T2kCRaxbKVMqMOaLaF9+a+qn5E5qNuxDcSiZrrt7zFjokUCS4a
KE005Zw/yRh5qJjIFOyYtadj7wb8hab66+IOQx/bByprhd2ZfAiaLPE7jwENEeVf9OatQDP0l+vc
LKK/sjqoVdEFYIsGCzTMnXMzmL1UQz2nvmbI3Kn7skBIOnjXiWwd2UciK2Ym2pZWWJDUj1LH9AxM
vv373+dI1yEVhmZtuD/nTGRhbTYNLWEOmm9G+qqMm1r9uU5iS7xQk0KMSYDxQ43qnIReZQEmP1Qg
ET5kwcuY3HaBy7Lb61S2bgNwWBgbwAsMup7cW3UBrUcKjWgWc/mGLjNsg6BoSN5RvFtxEiCy/9JZ
Weq6KQtt0KPEL7+l8Aa1yA70HNNfApuErVNX5Bhk6SktK3ue/JRHD7lu7bzXLet69g2rSyuatCsx
ihkrPjFV+jdKV+xN/FPe1cKNCi96vn6wG3YUXcZIwgPDARTC2vVGVBg3dFCJX2j+FGePY9o6rLkZ
ksiLyr32qQ1xRwIVqQLUBGFE1xj9ro6tEKsNEj8bZ7tlf8Imt1NOdx7VhkSizQY4WlT/kUF7H2T6
IZrotSoagnrCHYqfJG1RmzlgagwucQ/ZuskOksHo4AJ2jZGVZlWh6KpmNGCmu9o2itCZ59OU76Ef
N0R/qaQuHUpLG6K5emBDlceN4hxqVTBIY+iQpv4PTgxXj+o1UDwWcPbnbzgdGhW2DUv8qv4Vz899
H8M8Y3lk/em6sG3dDJrn0N8MUYPjtjowpgILCGEJVuAHm0OEqT6hY6ZHTNbaechbVwNFsaA4EfBh
EMs5RzQ06xHA3tSnGTYpW18lRupw9feR3aIqFkTvMpFkjXZP+qrHqLkGRBjGOwpPho96dF+leziT
5VhWpgilpAXTtRSTgLVdMYP+krHJQKdJAjuOE6+u49uEVW7b+H0RnqJOnNASsePuboV4oIceF4gF
LPpFH1nW1dM86DBOvvGM3oHOJsf8UWAMitv97hOA83Yu7bJktiAp/iW4Eo+SKLRaJQvBz4aXutqX
2cs98/a6DG4RWXBqwMUhSELr3/lhJnQmWdZPqT/rT8loc8cogfw7/LbKr9cJbelxCquI/CEQ/8j3
rl6VUqIAiNFM0bZiZ57IX5JDmtj8dX4LE2faq1lsva2P1FYSn5Oy0pA3hTD2IfDlP62ws3vSOPvJ
0eWX1uL4kdKisD7o17kI9YhqFk6wu5t5ejN+h2nMB69lTpE4fXIXq0NTul11Sg7Xj3TDWJ2d6PLq
P1AumWlmozTQ33RfRv7oNb+bzhY//zsiq9fWh/MchxzXNjbH7+pH8s9cOMHLdRpb6gnNygid4fwD
t7KmQeqok1Oa+U2rfhdow2lm9DWxxv3vyKxMh9aQMZq0LPPLht7keXQ7p9N3bqk9t2mLHbiA77B1
RBlrRQjQW2Dmc5L5AzqV7Q6NNodkCJdCA93Lpm1ZQ9gPwJ2WMYhwzc9FANARQKH0PPOlqZijBxiU
wrC58vq5bbwlgO8RkQFRisTQ2oMYw1pK7DmFwm1iJ6Lo+G8MB6VRoON2KG1llhlQkUBcoHiPIs3q
2XJRibQTY+qr7tQ1kU3bByP9WhXHrgT84hfpT1P8Mwt/oPRc6dSZ2j33YpPXZdoOkjnLwJtVCKKC
ujDHAeJekBuOoK2MD0MQL0tcr5/pRk0VISFqKnD/AGFD9+T5zUUNRjHiv5mPUYkHy5ndn9lptN9s
E3nr3KNOgvLKDskNYTkjuRKWOQmnxBriDFWP/kBOg0e82I5a+0k/VbfjMXf2JrZuPAQQRIe3RDAE
zMfyQR8UlK4XVPYEqjFIs2OBwV2oTmnR03W2NrQgBqlYy5S35b7WI4I6VqIDpA1SPzEtNPEe5xRr
E83nNnjVmp2U+YaxhFuLERsWOlEwkGmlcNsKIB2a4LXlmFJj91moMLtPZcdsssbbskM8maEb8z5G
L+bO3W2dJLqyMAINaVkkFFZmGskaw8jwH59bft+/db7q/x5AgsYzINdR44dcYsLZ+WWZfVCUURhF
ftf+LAHIJxRNkd0pQxOrRCH6+qVt8IOMLIAjAMEtjWard45hYw3T5in256h08urUYKVBPe0Ecxtv
Gd4hXGhAeRGOr/OyGMmZGQm1UA+znrO5cwn9wyRqGn+PHlk6vv6lsxKLmEdwDC2Uwzh9YQF3O+2H
Kl4A797RGRuSDh2P5P+iGiGDK4dQ6HSsMWU29jGg1BMIGNyY6ijN63A+s+T73Jf6zjVtnuD/UgR6
+FwmrEY3S3QgxH7JU8dC+G+ol7zKbEbSHd42BeIDpbU6TEuV63mAkmITAEo1EDDIfowd3wlS9uis
dKDsqnGZ7Rf7WYUKnqlcmiGM3BvesVVbgyeD/IwFACEydKvHhFa2IKEiV/6MtElbiQcd6NUuiQ9a
YzlJlHl9PgHWh6mq6BBp2B9ZAv8ZjL/HcPxST3uOz4bg4GsAZESDD0CM62tMhoaSQSHvhXptMz1j
7uW3qXlGD8RjK8adi9zQkWe0VhfZh2HSpTpoJaTxUuuHmddOTfiNpt9j6oGLcNC5rkq2CCJ6RiX/
PS2wHq/QSYUGYgaCtTY7sQq8HLMVgIxCvF7ZkUxdWc07PF4KkblYbIChFpgHjvX8WWDATzDqGeyA
VgqniBK7bX+Oe/WVS74WIpgDh3wKRPLCKW54MnfItftFGRxSSR+U+SVm1l00jo9R1mIsC7+5fpKX
rx2NAjAyqAdDoUEvn7NVB5olAQbPfLR82z2M2fgUis+9+mulck5m9QStTqat1hWZj34EvfV49zCX
D2wPabfHzMrCxGXQRnVewlYzL01pbMcNspRZldq1fLt+bpfPCwwtxSlUADlKzSuGDKmlQpEhA6ro
MYjL17ao7XJswBbAuBHbcQW25AKDC5CEhzOOIupK+ALSafAs4Y1HCuiAGAk2bXytrNap6vYPuqf2
EzsX4r5oDpTd4BEvLY/rwb1ayNuRzGXnW6mq3QYwTxdjuYobsxv3ZgJtkIL/gTkQwD4gCFiHGhz4
rGKK9N5P4sC6z8b026hC4zBz2h2vX9qigc/CdrgFgFYsA0OWxqh1trIOmKFVVd/7KMu6Gi/dKN1J
rSzm+AqFNb4iC1LW1CV4wWvV7K4jnQeK9WHOk/YGAEDlaKQ2DhZtpDsmo/7lOoOXCauFQ7gJqL0C
PEvXc0IiUeg5HNne739ZxrPl3OrcxigW4EQxJtOpsav3OsELwXynh1QI4jYUiNZdUyIrsElNgN8R
W4neIiCqMHq+c2dtR/tePLcVnUWGPkQVfRVEaCA1QGc8hLSyufE5dGvzwdgt7G9KI/+Xo9VTMztL
GYEER5D46hVTZG/jN+m1du3Fzpc/xE0OO3e2x9ry9w+shWEcVT0Bwfv511Pk6qe/xjAtZ4dR38ie
ovIME3ZOAF5/2AwVzm7+VcTO7BSG612Xggu9u6KwUoZFiaxltkhBw+5SzDANGoo5phiH/Os6nctU
wYrQSsGjF7wzKmriecUvqnHj+smy7PbGD3q7xMz+1/DraB4T+ntvaNQu4ZVvV9IqnNMQhOmjIUub
OMMhqpyvw8EkN/T0T/2jtHfOdFMOP9za8vcPYjG3VaJHOm6tJa+JeW+Fr6m5M0Rmj8RK1IsgJlOs
LJym+dSPPwdxX5jfd25siRYuFOIHNlbSDezjnGWL8MEBdjFETEaO9a1s7MRFh1l+DIwdRbGl4jH5
EO3tcMER1654wkh0ZWLQau+TeLRJAGNsljskto7tI4kVS02E5mwVxoNvjPZwy+7iHWO/x8Kicz/c
PNYv5KABFlr13WgfVf+ycyd7BFYxZWTqWlNZ0eAHyGCUt2g+qKIH88fw/0j7suXWlRzbL2IE5+E1
k6So2bJpW/YLw3t7mxRnijO/vhfdfXtLabXynlNVcU5UhSMEJhJAIpHAWn63NXfi+vm0j2l6uC+U
ozQWzz1tQrTfGmG/SfPKLqSKFuhxzHVO79dNKUDvAKDhXLEx579fqK48AckgzbE1wUBlgmaC8z+9
eCAAAbLqfwUw5gVInj6tm6Tf5J/o/6Cx5tfZouuc82mB28d9ld0MOri8gQnExIMhoGauVxPlaSAD
l6jfjNK7OGOOu6hyEXBUpdSk6js2ibO6W9nL/wqcJ64ZgV0yNGdjFkhLhYonavxqgPnSg00GVTaO
md9KHS6F/TiW2qQ346JHMXT8sggZvj7+uTUAVgm3X8x0ID1mc3SzNXpMxcHmyvMhj8FHsh1j//4e
3VjElQjmQCqKsjQSgJpuZOmtSD/hrlWxr4Em8CAVHLe9ccheiZq9+sK25bZsBROkLpssrVEs+VDM
twF0IRLvDnpbDh6M8Zz7TWhxLWcObn2nwIdgAlZv0txEMRBcMKrFs4AbmQ9W9FcSE+hmPA1pNOBM
TRHTBAw9ai44iUKFYCA6R3s3Yh4Qok1UZTCJbaEf6HpVoTjKo1mmPfrkW5KrE+lRQbtvCzcVB7ae
72s00BGZ4KNJytQkJQy6F1dZFboAYCSq7qlD5t0XdEtvKHrjVRqTNHjbZyzBrAatV9N2AIRAS07D
Mi1fzfxtrtFJ7T/P71FixxP/TBYx95Jcqy0t4v50UooBvfadXwskl5yyouhZSf5xexNg+S4lMYuS
4yLsRbUeNqA3AK6VEke0Pee8i/TPF+lZDNoV8A9eH5EYXy8I4FGhoZ26YdMotNyITlAsRMEbdDKl
i2pZ8MZ8b8WHS3GM2fVmZhTCgK2KlGStfwpyaJ/GVzl0JGmBTmXOkMaN4+9qccxujahtWkOCxWld
bGeFSLLg0LX2fevjqpDZqfMw9NaoNANgG3cYUNOpYdFuJ2bbqCZC5wic6u33/Z9JIa9WxfhVH0h6
32vQYeF0bk3jffFs7Co7IA2R0AwfkU9g024tjpP9HzS4wIX5bx5O9uGnHFI5OcWg6bO3R7AykZGC
ErAg76Lznj2n69A/lLQnlKa7N/oUc1Lz73eKi0UDMAJ9LsAM/H/SmUSjb80sEOvTTFt5dN/dpf/N
A7ogxAHl+zO4YvFf3sYy5vNDJpPYdkZYT8Yss6Uv+gqjhrsVqH6Fh/Wnx4uV7EzsD1lM7C/GtoqT
MgIJ4nqkW1cgrrtcdGThgHx9BZL5+zbLuOEPaUwm1Vd9BQABSLPnadZD8+J98VbEll5YGQqTPOHw
aeVQnFekkX617Z2a+iWuwzhteLybXFlMFNMKcQIYOWS9bF0MNcYU3KWu4PNwOHhctCyB5NigyK5/
79JxpPpi+/6L+OTh9e2ttz9AXs/ZJe6ymPhljXkW6cls9BLokU3wqtOTnVKbcxf5xpa741zsS01r
gfZQ/CZhPW7L5fsvgSxjG2TIxHAWxCQfMXkGmRQdCeh2OdGMObv/20o0TI6gDQDldvZA1RRwmSpq
oYBcu3amg73m/D6Twv/4fSY468qgZPWYgtTaAnu3RvKGiJ/jkrdTzLX+hxgmJqvgLw20eRkvIJI2
tjtnJqa/77Pse9oPGUwIBJ1gUCcWlpIB0gFBYuueSLfGAG/ix9toUdrDw38okQmAQxIGYZ7l8+bI
i8Y+YqwrIQMFG7jHo2ZlL3c/VscEwFPbGHFiZYp/ds/2vFPD5pzaz0/e4WvN0ySTmf6QxYQ/E/wd
vapCky3k2G5k6xsH7nvgLYpjfGz1G4Ce6qTqWFOMqWf/6asn4S/OFnEMjy1mamVu9GUGES9blQJU
hKQjoNRdbjSf/eRHiPjrp9+h6vK2lVS4nIaQMy7WR33xnq2EgeQ7z6t4SmNnFtnd+W7IvxBlmees
CDTsznYbi6R0kFUA5QBHLq+KefvQvVjUvOgLSWkgVFlrQlLlHO296w7kMV//TokDdmi6fil4KdR8
DN1TIhMlpjqYJNC2zpTKGTnaW3f5+GjQB3Qfbd68uYjB3bY5n74nkYkZSTUNaAuCxNOLLiwG6nje
wfKz14T8u7PxQplMsCjSMIxrBcpMCNiiDYLVLRePKqls4tAVIgbn1GIRU3/YCRMxKtRrAacPgeJC
f19v9+6yIdOu/k29r8PhX2gSvSVohQfTHdA/VLZg1wUW5k3UBulMlniTaxD1EFV2J6+azDZfOV79
M3BcC2PyGWCWq52UVPDq9fE42Ha9WC4W1oHC36BIjrCfR/C1MOZOBrz8KjsXs7CRFgQMzxGJ7CVx
dnWL3Jor7mfwvRbHJDVVrZ470Foofn3G1PVI5VVFihkkb7s5UdnXBvB/U/v+GnkyGUcP1XxM4tNZ
8S0w1uROoUqkF58qiyOGvZrBJK/Xxjh4lJ+ydJCwNvuIm1EPFACnHt1V7jx5Ht4AeTv3M/hfi2O8
W4oFS+pbLGt93Io6yT/EDRztvup4psi4dX7uTmGft4iRve0e8VrxILa0ofS+lBvH//VSGGcez0OB
x3AspadrkSbYI1CF0nGvtrSVkHDwVDdb2XVgvJbHpACGGTe6UEOerey3Zz8RyLT1DgdulOJYHnsL
Gif05Z3l7y3K/pyfeQY3q+XOMliUlRIpxqRX2B0Azh1hBHBgZE6/j52tOln0yGMK44QK9v4joLQz
lbPWti+nj8jtH3JeUOfsC9sU2YVJLYEjC3nG4biOfbW3dcFNX0oUFtYcy76RUF/ZAHvtEbSTkU0m
ZL1sbYFsSbDsKK5YTz058PaJ46nsoLgRyY1uBlCcYBEwV7cPEeTYL/ed6Hvu6541MPEgygq1KcAm
hQUd25f30bHIVK6A16fPF8cnh+rkLSVkJ7ytt2thv13btNpTryee/Z+el+yMmn4qeuM0zIZ/0km7
+JMsFSRWns1VLc9imMiRiKnZTiMO5p5mxO7jpUEtg+Y6sanN2UZOLGTZFVs8c9ZN2Cm+RtZ22RFz
M/5OnnihieNkLADWBKgvIH7OZqmRrW0uAKXxvvfJYhEDXZRwbIbnBCqTauTnIEpEEft0BLOsRs4b
2yJhSQVHO3TR1rM/79soL9CzDw+1XJyBxAgdbu19VK02lOYGtaUHy255BbzvIcU7/sASnoiVXIvp
rEkcKsE7Uu6CuPsleVyEy9NyU5I37mnJXZ6KgH1xpTDaoAkrvBchAzhu91uSbfsl5aa+PBNh8oyw
rsygmSClpT260wmKXk1GiPAMFH5C0wVXICd+sd2e9ThaaafASqb9i3kAToDXcktBNy5+V/GYnRs/
R0UT9H09J/RHe0LFa7CDxRZjx/dNkKc8JmBMuRw2vTVHyQyAODnn19nnADYHVJnMIiujs9h1WEX2
UujEXIECvTaX6okUrvXGq8rzpLEMCXldj5Z2/tYZSEJfLFf+bGUie7UX/4cpGvtUFJspmFEUiLK3
SG4l2xW3tVu94STjFQVvVPuvLIFlEmzH8wlg3RClb+G1+hlwQhbZJ95Yk2W4Ep/OuTMsKrjvF/c6
xAsaLJxcleu1MpY4T4CJhkq87ER0iREhO9sajrVoO4JOimfa0tLOt5xgzDlfWAxcOU/aJJuPsrRx
1In6Ak1NW5t4tyFekNKY8CEFSEkBADIXc+BokY3rV+qiZokUi7Oi7/6iOyGY7ZtFu9OYKUOp+KX9
sgV4ZPuo7aZ3FNtCG2kWt3bESQZYxlBgD+E2O1/A1mt3W/4yyZzMrXkIzNxVMSEEL6lZJmoQ09OX
o7F3bdnpWwePUZPjeGAXuB+wblQ6rt2BCSlnuRgTfb4yv2gS8vv1hI67RU/tQXKSs0dJTDzPsHl0
nrx4zOKdhKmKqWh5VmaEfsKAUhFtal+hy0vhbgdkwJOh4RnvAGybTVIM8blPRiTHLXjtiXBQa8pL
quY05qcd/pXBpDmdJbVj1PRz8FoPrw5KHOSL947CgvL/T+j/K4SppFRmdh6mAEKO9ntEa7rM6PKB
7EJKV/nC+5f3l7/iZme4zDWSXhHrEVnAenvcZlta2/QJZUSO6uZgcE9zTEaj67miTxUW9VKKBA2E
vAjxs0Q5G/ffVTDBqGtkM5HO+P2EvGwVW9rtcAfzPjliZJ2zjPnvF8qqig6zRZhqhQHUH5Y7rbcu
/nNs7ObTovmuOpF+Q0cPp5np0q/4mePCtxOov6ucfeBC/GhkgXpuId7du2S5cFqbW13mbRQTlE55
pUeqNq/wiAN6snFp8JfLh3DhkDfo9Gn1ZdlfHONg0XH+2+TB5D0P8SqYP53XfbEuAcO0TWNMuBIB
sWuT7NI38Y+6b5e5k6Dv+Sn2pOU/1yTg/DHFNSO+YoiMWeagZVYYdJPoj0E9Oahth28hOK4gvhTx
xjed5E1hWqN3stBcUgDKeYcc6fzPWunmZQOzbKaYAK6MBhTJ62Wf01zSBEEW/bI+xCmQS3LHLF7v
r3R2LMbx5oYHA5QSFrr2WIRR4xSMYlFXsj8kPugKyanlcXN+lx1+ipjHeNH1DvYVZhmmNoDKtTrL
SOsTckyXqNq/h2e6T/HGGO72S2n9KNBF7m1edYKuR4KVym67qTc757lbPHGM6eaCwQgJlh5g9ICO
7VqpSSGftLwtZZBQomSgVLZW8wZ8b53cGgZhgfSJKR5MljEy0gyDv2ETIrtr6HGygXlrGaTHYD3g
59zVyuu9Ibb1XcA5wm/4JnADVExnY6ANs3HMCR6acqi2ZxliwUdQdF6H+ZCWm6HfyH4wdwLWLXR6
z9PZzIHQDEANrkDg4tv76r17DTbCavUF5H3twb5vmrfc/koScygkWh9OZQRJZ3dtkNi3nESyE9tb
A3yDnt370m5dB8CSBogvbBtmvliQoCKtVCQIiGwJSci2yp1OJlOIwoiCLpnHjqokJ/W0E7boW+sW
z3jisjmmeauyj44VESBVAFPFbBazgWM4DOB3FpAyr+Tdr8FrMEznIUE3xEW2pCc3p/a07737C7/R
AAIEJjRpYhIKPYc/uvNiTWymUcxUXzkvY8tre52KmwQ9X4/lwtIBT05bg4CsjiP2RrIEXc8YhAb6
NoHVdu2IYp9kghFIlo/CuNOt5WW1xNjz64EXy79B85n4g/kbrBFw14AyYjmBMiHW86FSIMgeR2pX
H+LcX3B+ScleX4ZkIgLJPjr8L2UrRfQ1PuGdSFmJZCSeaRDpgXeG3sq0rz6ICQ+xZOVNCng/H6jz
u23qnlY1fQ89gRi7FAM1u9gpInLQOO40/+o9NTD6Dvoo0EIRakhPxHpMNnCkJ44p3cixLxaGXvbr
LZVadRBTDNr6Y2eDJeWUroc1Rrk0Tpp1K75eyWHybLMFDp8UQs46XrbOiE7I3rV2Kql96qS5TZWK
rOKCE11n/fzf+gNyyfXi4kbNwhZjoj5kTg5QqTrRLoIPUMUEVPM5znF/s3S2YwkYrJpalfpss/IK
bed2X5PYzaimk91KoY5+LGxumZYnlIm3UZ8K8ZRBrfZ5KTgD3eWUh9V5wxktAPDNIOIzki2ma6+1
CNR0IS36wPIVWyH5Igcknw0oERo+C/tm2b1qi/o5xs0TwKTaFnhVeu4mCQ3xQLecHst3DBU3JEn9
UFsEf+7r/OfqAZIhgp5Tn0E5RLZGLTZDmBVRFPhTZev1pjGyZaFaROoC2qapa/C6on/aE+ShMx4g
PBgSxDj4tSaGXJSbokoCH6j4vh8Bj44ceYf1N5bItdFeC2FuBDpaPq3yDCEvx/0f112bdI1alyvZ
Ukcyr1hsXXu9tV0UrO3tNvSi/cPbauVEu4/dbqessgfcxg8xuvNWq5NLV6sn+sEr3nw/5937xHlf
LpL78DSFeqDhE+2MvPz6ZaF63tkFOfbbiviL3QpNU9NqJdHJ8dAqEFIuQNBscj8+QANZ3AzwiVyb
CYxA3dLk8zkI8Bo4uV1HNG/y+rdyJKlX7IU3Xg/L7EV3xLGXmQwD7sl0tgJfNUsa60et4lwbboRH
bPrfBelMeAwrpSn6DhLObr481eS9IqJTrSpq0WgXvpVkeDlT2bvvPjfuvhZmvMErDLfGZcJkPPtU
leaQF7nqr+e+hIqodH8i7iNZoO9oA3N6RscMz3huNFchh0AuipZt9HYin2eMp06DuD71qo9LhWSj
oRTtOehS3+8+elI4rWMgl3v6uL/S7ydbZgevhDKeq+fgKlMbCD3b8JqauCE5/Qnspbs9rj8t+/Oz
8Oy+86oCbrPKKT3oGcH86uGfH4PXi2ec2xSkTmgqfIeKQpBbrFL7dAgPwcOSjMfc0V/VXzwu1Rsx
8mrljK/KAJUe46pV/fxE3kuF6Mtz6PKy4Bv+eCWE8ccwloF8oEGIbe3f9T+PU0qGBR7RDve38Wey
cqU9ttcqqnNjOMud6puLaP/4oKyEz/sCeMb53eh9EdnGU2kEogUJ0158b1AIUmxMFCwXRLU3w6o/
poQ+83gFbkxQYFlgMwU0LFgcDRYKLBmzQgDcHrS3leYZhtDx661PwPBChvXjwqALqtEncT0S0Ot9
HXgwlzfavK/lMx4pqIMcZdowO0eGBsT5FcetqI/kZbtM6MMrcUqye36KVhHGSA6cPb1RHL2Wzrgm
MrT8FCdYfXc8fegreObgoeESQd15eN0Uy91OoxGvDeFW6LvSOeOIuOvjz7POwR5GbXevef5SFwgE
G46DppLV1/hr1nho29xXrJvecrHfjEsqwPdCOQOy0Y4R4inwJX1akungONnDh7qJUYKm1r/ph7jW
M+OjQErvjMnALteOm9s+gt9CRQvmm8Gz5xt3YkhCCU5FpoSq/Q8GITDB5KEpYUfhPr+k9XKRks1E
qYP3iJM9El730Xf94kd0vxDI1DcKzKo10gSBa3sLepElbOjRtB91e4EWU3nOWSkKENzXnpuh9UIs
k3yDkKxDcz/Eor9kW7pgf0t38ubT8NeH9H0eeuI9iNxKvK40y3iqMWWFYQ2Q2NK17SZetei84bWg
1uMfdA8tGrw0fTw/n7cJtGwtD9reWJpO6qg7TsC/7T4XS2ecVm4iTYoyfEiCjpet2y2HgGAwZHHa
bDbKqiSrwkZnkfj/8Q57K1W60gHjuVWsZ5KWQHTlvKCfDXMVxeI8IuEVvQN3/upGxn8ljHFVNVDA
7luL8zrjhy7324JqBjmLTqLv9YRzXb1RPbt2HMZFZUERMCg9S5tolyMOik9vqxptjof5VdS+f9bx
FMlygWpA5g0DUJXMz0SuBMxGvLBhomee5+nR8nhf2o0Rqau1sQTM5tk8T8oZQc/cVitCd4QsME2E
Ybbf8NHcOdnG8r7EGy0Q1xKZ7BbYY8kpaSBRwwPSu7tIlh5Hws185K8XmEzcqSfQh6c9JJS2q3kh
kXaOs1vhuoPMh1fsvH1OXghjos1J0c6KlmO7OhsY3qDOs/3v/ODBtBfCIvUyVwAsKo/G9XZyciGW
CTmRlcWylEBsRtbbLYZJkA+5S9Mm5DfZ9DaueisvdD893jAOL8SYTIhJgR2cjgUEvxzXSElcV0KE
KZ4Fhyx+bxzcKldPgp0D2yGmPFud9+3OeWIyISZu0rpXe4guSPQA6GCCiQUcJhu0STofDn1Cqe/A
o2PiuiMTarLRjFHLhlBxHqnC3voZfVwuAnexk9FVxTFd3hKZUBNHSWqpLULNeq33ALx68uaX6H8z
HnHlhCzRWKOdzSQyZdWP3qIn+VPHG6rw1pP1gWeo3+2PdzaNBQ0eLEnQReDc+i8R0IeSXe9st+3L
eSPZv5YVHRry+IjzcbOTyeDsdIJ0fuMYi7cABGuU0s/k13+mYbZsFoe9NLWzv8qORLCdJKGLDaZ2
I0d9vC/qRmvStZKZONTkwPcZWigZHioQ8cNdDoSQE4W5Pg8LzGgevngu8vPd+lokE4069HulYq7h
zlK66R5Q1OIS/QweFWzL7tdP6QKNPNabsAFaxf3FqvMv39tnJiDFcaid0waLTc7ENgAx1Qj2o4vi
ZLuoAkDlEPQtz+9B6JKFH63t9ZP3RN/eXpGaTPRthxaj+x90o1P2WhVMoIrU6hyVIk4BfVs5vwTc
XJbSonMoqict+bwvjJcBsi8jpljW0VhD78kX2CocFNzcmuyXp4WUEfn32zyuaGxQzLA9+oF6MALl
/Q+YtXtP+0yU0qOkzcdYxaH66zfgW+//+I3OomtVMlGpVgqlD3vsLVh+bfIbU+67D+e+DM5l4QeN
8TA1JyA2IvJp4doFc8lE0oeIYqxEwLOhQPp2gUtY8xgTp7I8keTPHNeZNfRDg2CU0GdyXzC3Sfj7
RYlBDNrwFFsWnDXfaL/U3zTfciTcTEsuJMjXEs4AnUBPACQk0UEG8mZrjwLVBPJyX5O3T6wLOUzY
EbrAiJQJtihSvD86i4fXV4nOzZfIVXkX9tumcSGMCThZUxTyfN3yG4ucy7351WXP0oQkOXdqf1yD
1+TEIxmZHffeTjGRxjLHLq8l6PH0dazTl0JYtSZnq27flS+WxQSPcxTXgZSZeMklR5Re9jN+xePz
MxqdeLVHnt0xSY04NKFej1Dg+pTb01q1J9O2uVkqz/aY+JDLSZxGkjGni0fMGg0iSX8NDuAxTvZX
71l2aL9w+xFvyzRQUQHmMIiLmaghxhaOIjXSMLNlp3sEQhxEX/0alxjvk/vgPzvPT6P4X2Hs4NZZ
64SiTwBohgnxrZ2aqAyahAK7givp5hELbKn/WRY7w1WZoyQD9VLD7QKDSBYpjh6voHD7xnkhgwkV
4xlUUpocfJcw3sF6heaJhUxWnmCnC1644GmOCRfF1EjmGECW5W1tBX1ZrrwcnOxt1/LafZXbnvtX
dUywQEtIXomygAiITZqfpt7329Ypl3ZNXf/x8XFh0dLZLDZv7WYHFIvV19chpdw5k9s30AvtMgFk
sAIQxp5hmJabz1PkwdJtl/Ka10T4DbFzzyaZIJKc1LaNgxAOsO5sUEnjgjajdORr1IPwdrSiTzk9
HGweafztzOdifUxIkfouDZQR63s5bo+G226nw+55Nh/KvR3dil5zm48OtjZwI7MzeV3bVUrQp8AR
XOE5tCD6iPKI8HJaqkckWkg2P9f2/eNtthFWqTJ4n2aATHBBs8gGoViBuTZTNF8Fd6AMkOyB18Yz
xyVWAniWZq5pwDqLLAixBqaMwhDnNZFSAh8y/ZD+8M6wm+nOpRDGNro2SgWzKzTMpxP7vf5IdiI9
rrOv7fGEPimUeuxx41FeYLl5JbkUy5iGqhZ6UE6z2G1jR6d58L/G1HPgN6S2FwCDchq6glF+3t+0
m1WSS7nM+aMW7ST0YzYHTQPr/QZL+vPwsHGeKb86eMsoL4WxB09hNs05KzV/aqlZgdNyNX1E6cKy
eYgUNz3tr6QfSWtTa10gy7M6j+iFVl6Tzap7/uKPZ94s010KYrLTLku0qJ0FJXgJsjvbRT3dxZDh
A6YYZFfjYxnNP/h/OwH6+PD3i3Q4Vs1GbecNS4ibzl3e9OuTj0LBVSBz+JytsktrXFgh5mwfzYWB
524DbVzlOnoEVY1t8xLW76HPewtjzqApDlsguUMiavXHrYZS9VHwRODsW7b+m9reS2lnZFzhn8UB
k7bPzytnoq95iqZsCngb3vfcPOovd5Y5jBSlGrpRwffg1cnNnGIxPHaOp/Tca8GtHVUxYA7qRhUY
6mzh4ww8uHbIeggScrK1QKJMajfE+8ATz9lvJX6XkphNVTvBtOIWkqYnpM9CSg1iuR0iDdpAEU7n
QjaBMXFCzC2vv5TKbKwlj5kxAFvSjy0yJna2EBuUzqYHvPfMaFgyqr+fvPeW+TdZY1J1tHyiqxz8
X2ynU9difvQ8app/PEqAWwI+eUUkErmaZZdedQbIH2ix6OpAWy8LbO+TB3Yq8T6AcdNODZAmyqrm
ox8z+MhKV/Y7T4xomH2oIkV/bYFJgrFaKKfFfXXfPMAul85scgxaH2FIsfS8BtA8XmjFN4tuNi1K
z0g1iLF4pSL6IqPDxOMUunnBvRTN7DQKsqGeRhBd/pad4eyr8lJHq3sboA+ut+U3882yqBisE3SL
p6vi6V+9pIImZ+5xQiusxLb6i1aOhU+RgUI0QL3225fiMTxEKXl+7l8jvGt+cnR9y6Eu5TELzjLM
c7QG5K3jEvl5JFHd7kiAQcDyFe3MqH+P7mbVE2ujPSTo1okWI0a/POVfTLaBLFeRgT+rgzMEWdj1
qQCI02QG7zP8FHNLokoi49C72qqZ31ZGr/91OKgTQeMOz89u+PaVXCZ9yM5GFGC6zcB1vKd4ddCO
FUZa/V8TfO1RXar+75w4zmp6XzVbT1h+GdxZMd4XMDlF1ciA95PxBaGnvWIM+RdmWg8vR3V1XNer
z9AdPc6m37LyeTIABIagwDUws3Ot67EErkaGNjG/Tx5OvmzjQWdcZ+5cxjnU62ihvd23sm+sDiaY
XQlkljgCeTxMOwFWht5uKaMR3Q/2yROBifqcLT9WT8HuaeWQ6OX7fQlNA2gZaOx4kWCGgPMp86HH
fIoqoxxhgWoNwxEsckNdGOZg9bXgm6GbDEBWNnzz11lYnE8PGuaUpHLVK2/FZBCt/8oKN2kPcW+f
rIGcxJKU8kdVbrX4TGKEwBRIoF4Sb4DXnuX7zqTdsBTSlsqmfxZ20QTweJL+yXj9ojdmAbB5f5fw
/S5ykUCNZTE2pX4WfOmp/lKapWxFJFu21jYABvFBWFYB7Vr/vt5upYlXQpk0cZx0CZi9leALon1G
7uTGn4LkaGtQ7IwuJeaeSlvRfxbRy3LgdWPeulZfCWfOojTKjCi1sOK8RbPxU5KKdvigK49jaRcV
6IWERznnlL1vDABca5k5hSrFrNTBLAVfk2lVu4FJJZlY7Z9u/UuPHeVPdV62vwPy29DIpCImVrHE
yzs4tqoywXlKBUy+ydC5AkB9mf553M9Pk6UzCA7GSHvy5HE2edbjlXPAKzCXBFYKGfxGP6DNzNYU
wcIzBH5oUndb7Mon1YldwyAp3gt3Du0cdPTQbM9xym+LvSeXMa5zacZaJENuLS2b1/M6nFtLHmuq
eCik2P5WxINa6pJF7S783HYX4SJG+hxHy6fUsXQ0b+aLlCoP97XxswD9rQ1M20ARAGdiw6QmFoOu
B3LgVy/WiZh1QrpfeHz6VWX22XoSxJboJSf3+WnpjEwmUppdE+SRqqDR2vitrK2DRlfPPMirn09K
10J+VDQLYIdi8i7wUSTLPBx6BjmuS7uLHP0hWWDYxnwwAkcbiQhYIBcnMB75vgAjIfOo435e0uYv
QWs9aHk1RcL/uT6JrGrsUjnXsVwlwIP//td+BpQGgU0eYMJmFfEYtX5W3xmBjH7FSjtHWacF/nD2
mgbN1t1nuzW2k3Pe7TIfIds9oTooexwL/9lxeS3XYKZu8q7MA2g88NfJ1/qY7AqwfkcAi38P3Nfk
NDfLoctgvr1YD4en9PB04NjyTc/+q2iD8TATNGWSUpuBX2hErEkjksYRDtkDshoE7PvCfs6PzIvF
vCqo4S1dMthGjjZsrUZUI8Ffq4vgED/km8AZSeygp4mqK8CEo890IJhHnjAP9JZ18/s8Zrmevu5/
x888h/kOJqcEq7FZFJIQAE5gkVSkMBx5Ayrhk31yv2KnqcjXWnfuy/w5SMvIZCzajASQvZuh4Ntp
AUTZYeOmv333lBB/uSX9u6qQD9315PVqfD14XuoYHx+j/fGMLJeX2c6mzAZV0FqhvViR5vsEc3pY
YRXWwYhMB7MjLyGKgJPf7aNjtgPn5spc9NteIqvUqXGVVD1r1bzHqzNdVRKxeVNtN6Pa5acwlYhR
Gc5C0OJT6tTTmtdBpJqy7p9CicRgCtoIy/ub8PPuCpo3QHPi7jKvHYMO12GlNPtG6U14OfKUdoc4
6gwruDWwHvBAxMmmf9ygZlk4LQ2w0UAom1BmopEVlg4j0xo6Ap8uXwsmZqF2FicD+1no/BaECUlF
1xTsKrOo5hS358qIkZAQO3ts37sE5VV9r319yHbqdM8eSv4GF0zgZxXpWizbNNglRoGSZyKgvmon
0KUak03l6i6Sdvpyf99uBQ4wUMi4kOFfoHFn8rwE/AlFXEBWN/d2HDrPVbz+OXn353gBVgNSgtjg
SX0t9nivQlvNL7hNv24pr7/41tF/9SFM8leYldEWOT6k0om6i62VHjgyHcxDa/xuaNaSsufwGvys
Hs56vlg7465JOYrDlEDky3o72OWn676/b9frtVcCza7e5/Bine7HP35dkfbZyXxprgpUbziec36R
dpbGBA/cwoGtoIHeRMKk0rUHgaw8wQOMJvhp6LQl8KvWYrgvG1DIuq21MFOqD7vTmzXQvlvUlnvf
Dn7m3rMucISgXIqmCcwfM9JLS43atkcQNUiwzTGjBNL52O5dGZi+nwWG/QgP4vzmgiFWxxQy6GO+
Q8rFpSqPhSQpWkPwC2nfQbVikfNygB/Pu/h50KtgTSAtn6lD2VUF4TC2bfQsgwHZUmkWL5XkUApH
XQX4be4KNHN0wAEE4UuuvJlrZaJQ8FiuNHmtxc5kBZxs86a/YZ4cTNOg/7HApXX9RbIlnYsTejqe
J+EQNcuhOqj98wBaZFT3SmoWVK5e5LEhSn3sZDueDKebyPQS9x+GQTvMKBthYSsTKAb/CD09WSBR
BE26vjUUu0OP4YnLQTm/XbFmOVOLK2iyN2SAN1x/cGiUgZqeuvBZcY0AXAjpUTWQMDY5mVqiFtRU
nPy8qEIKTnAle0hDTkrxnZCyHwBABU1XNRkAEWzPodH0WZ1WWvSc5XjDezCBwG8jj8uX/Uej2v3H
BORpu36Zyq1UvTUlgDJ0IMsbv4qConUlrkCx7WZAKXDNhrbKXNtUnUL4mB6r58yiUkhE/VG1yMnp
RkfUnMxwRYVKi2BjmdRyh2Spv5YTnXanZRsQTKBLll2sIt0NMKH+GaAQ4TfbgIZ4a8+IAp7Vkx19
9KEdB5/3XfRmuLIUSzXR0jRbNZNbRXUbaGKgR89CTKN9ReKjTM1VRFPbBSI8hQPZ4AUFHMPDXrVT
L7Gd8nGVuB/Gh2csNbtxLa8PueWdG4ekgbcyoJjMdzZgmTCBO5Mj1QhHFT42baWSnCZaPrSGSLRz
6FXVttv+F2ffteQ6cmz7RYiAN68oGIKuu2navSC6927Ce4+vPwutcyWyiEPckTRbo5iJYKKqsrLS
rFwZJISJ9eyoZkbKrCT3WPZ6e6hl0ohLt+vepOBbYMY0uMHI4tNu8IAqVzoOYXCu0ZmcOwNnxF84
4eJHCq0h6vU8OpUe4TmDkdaTH9TpVdjqA0oKXmDyscU4mkTSyOTat25pdtB93xtG/U7/wV2C34Jq
9O1NSvKwiLIuCc6+w7z7VuY+V+GKvVQIvfduoedoqs70iPkz/iTRZ8jutBDNAuyK/8d9sNN3YPQY
SERUFkEg5S9nfS+XdVcG53h41o64PtI2OaPM0AwvTBOAxccqf2Rk4EeDVe3iqLQL7+5MZAaiGVRY
uOmZE9lf/+fK8AdMMpacz4TnAgCDllQYA6tgYm/lvmUmM2y6Aowi21Yvmz3cVaY89JlVeGan6tm3
9xRJO5eB22dV4VN4qEsiLSQhJgt8a29uv27SsauvK3u/GoXp62q06/okDPAwwQSPOy07uKze1sbj
ez0TICt4EaaZ0xizNDG73AosyrEZ6tFPziG/zTEP44t1zSY0CnaT7VzXgokJTmy54gTdP2M43Vjo
3hKC4T7BiUF0rIA2HIlFBYyj3UA3LUO2FaL03Ngppt08ux+AeMG6Gt1b48Rndmme5MxFvZFH3wU5
r3s3hLyUvWh47oCcfLyrkxJTpwgBInx3eFKyRLeN9EnKKZ6WpmewV3p6jkT79/9Hd9p9jD9t23+k
ULrCueiqlL0yPbeq07z0G8GqN9oayWqvXGWGuGGahbsz6QK9LEFTFQxBAKKFp5MKwHvUjCD42dkt
L7Vv9fVrmy0MbpsJHcEleiWDcgWzQNAat4CM3HmveZ0NN/KJsdlNOaAq9c9PSURwBXONAXiYhXir
+q6WeHzd1tkZvkQzmMh2YTamWJncK7PYSTh3VteyqGuWt0UYS2OFgW1/uhJ2R2c3vr+NwlemfpLf
q4ZUrRVn5uMFzuRZ4XjCv8U8Qfh2aMi/XWHYFEKqBUp+9lvSjnAglPcodVrGylviC9u2MpLIZJ+F
SxGPOvLZdXTymhXz4mlbRvoMuFDnMdfOW6mAY3W6FBp8QuJ0pSjvNfPaVM5YmWrltAGyLesBngla
9Ab4iSHJmqO7lCu91z7kKPF4TQoPd5qOh/NUaP2g64qzHxiS9JmlO7FZCETurS9EIIeADIKMqfHa
5I5eWd84rVzG1cbiDLZvve+PJWAGwYHtpNXgpC/y4fHxzIQ9KgjeBBnsUvAbkLm4FQc0nDCwbFWc
kQxtG13hSOv4pe03e9mpjPLAHSQ0ZmtRBH/zr1zYzNJlmwzd7YXGB+A2a8jewV+haS/CMOkSLuix
3h5gO1CieUj/Aznc6e3OrYj23Kxy0Xi86ntOL+1WKOXTK33HAr0Jobv+xJ+/re/wGI9GvOHAOLOu
0dhhmUSxQXJylBwStqvH4ueOWJuiCdx7zB2jL31eta7AdXVxlkYjd/WuV+2oB6pY04z0K6iJVLHk
scRfJua7XZZ57DQIQDjwBt4ec6wJtVs0A2Y0GUJvZagrpimnc7ypXorXBlRFha6ZKUNc1ohTkwus
JtM7kYwH4Gz0YDPIBMNGpa8iRA6XHwx4ZjFajUoMDfJJGZPRI9Vz/5PmpAdkpMEg6281IM246/1V
mazkb74iLbMqcjNHbLLInHU/ewCB5EQ6h4UpIGmjlYjr+UAdW6k8+4LO1jGJy7cwIV5hldFAhO4z
wGBR91XzrehjkA69aIjdUfhBkUmSQNpPUg0MbpagmlqyClHeqQC4Lp0WMCreYBGKohSmrLTe8JVN
wxmZZuEfSshnPz4k9f7Jvl0FpZVcEecyK8nlGS3tgWYoABwpOwGsXOO2uozfQEugBOTa6U8W697H
qDphaHGK7Q5EUVcVpvaOa561B2OQjbBedamtjc8xuxUZM8ut0iX+QRKesmflMzgIuRkIb16HiZIo
LA+m9yT+qV1TybaYkei+9cymtAV5LWsvCoK6nyK0y8RggtdIs6voKeKskVm5kcVLpNxniLnz/RDm
ZtQWRPT10UajhI9f8deMpIcyESB+WxUmW1pcS4bu2f9ufKPQeKRy8NdzB+yrLy1s531vJ6UU03t4
ZUmDuhLkUhXLM78OnR3z/tTYSaHHyKXZrAHyTl+X4drq409OYhPRq5napR1YS+V/aTo26u5xMpoG
4F2CCIX7jQauvqNoGR/EZGp5Fp66i/In2xf72vEtDiQQ3inZWilmzTwNZLSivacrO8kO96y+QXr+
HOtvBGyXGEnEYgYZeg1Z8hoBxbeSbN7CYPiF6HEmBanefCkVGA1lJkQVo5RnVqlIWl2mdm35mB4k
G6caWf6SvDmFv94ZKhdU5L0glB52hnsqrQr1GkFHZRu0IKrhW67jWtxefIpXsd0sWOCZMs3NSuly
pJCycgKbAd14iV69TSsdxg9x16mkqnS5+RgHB35HZoTROpOgGvzx8VXnZ169650WqKveRbIL9cdO
ayueBB7pkXQGGujdw03QAws1OUNwsk1KpA+XVOvMzDaCM4FTHn/H/6GbMshk0QwGYj7qBCRUQrsk
mb5jU3zJLxXpN6lRjhYvI/rc4Lqw07zH2MlTvbmwb/lzXxgFEi37+i8bEu2PskqSRJfWhZ21Zhjp
rs5UulYQBsxGjTVpTfTUnRjO7satS2ojMdq9x+vNd/jSwoisI8NVFtY0477jbDEiW8DLymNWNnXv
uW6ItUQJqvPQGX4P5/EiZxpR03jV8FuWLUhYMPtS+cdRM6TCh0JOQdWQfKFOVGXbRAokF7osmm6s
N6997+vKp7/x2qO8xOg6U22apGG4OXw2FIF+bd+1TRF5QHKYsDr7yO5UP37NW3K9K7M3AIPEfDWG
f6Q20GvBDjCxoCFpzC94FLNX9+oDqFxc6Dd+x2ZRdRYjJwZIFG63U0eOWm36BSsxk/a7XStlleQx
LX1BxVrZ9Y55Ck+jxX49gTpIJsmqnlrZkPGrp7Z98taAyidxEKvpMUlJbX7lemFdYmeFyQl4qohn
LUVVMxHBzUFQFwgdg8KQiNPHRQ6Xr5JQ1OX+8PiWziTO4LMhvYiAAL0pd7dUTmWkPWvvV6PD6qOQ
TrG0kp6SCPyrylkeNkVjM7mlgEmIAWJiV9TI05p1/9GDF3Gw2eDp8QfNZGymD1IQ0+FzULGhoAWF
6sVDK+P0FTzhjb/vrQ5+H7ymGjNAme2IET4SS1QNIB6dcZ9jIv2N1+kSgHNOBxFagpURrJvwpKnQ
EmhlOS+kGjoIzv6msFz/dcz+uBUABm6/EKfMyUIfraIo07hgkc5dFnkUdZ3s12fgses/cGQYZLiR
LET9AZnvhe2dLBTtMagTMhUgFQVOLRUD+krV9tlY1Geh26jcu3phwDmsKCD/0SPPFqSKqJ5ZVNGa
jxbSK3PxIHctmrrXnJwneZDm9bn8w31HgkCEwRAlktUqyKMCUumNaGRHWbL7fSUGJAXKICs36lKg
PVMCBiLsaguoS5+lXYahxlV9xmRh5xQeJZi5D8U+qkgWPykGv3DFZg3qtTzqHrdi7uUsB3kuu8aw
wYjfFZgxm4eouLzUnaM2hIt0liNKu1JOWrtgTWc9L40TJtz97wNCnbgmjG7G1E19bhIUVPJNLppi
Qdx+l9eSWWohqTi0ARS6K58WdG36ZVrXriVTBz6kjcxVaDE6h1WnNymcYiUhyWh6LCqBP1FljPVX
WvxJhmPVbHjN8Ya3pCb9x+PPuGeAmUqB8JAF2BSWFX4dpqsHLeL8XooVbMAAJ/gZLOiiwaek2A2h
rp3zz4u6f5FQwwksjpwlJ9moZmg2erWSHH7pCkwrvtsRlNlEZIIn1srpdl59ih8FjVBkMOlt9Dns
2sJEmlGdMiNDh2Ga4xeTbSLRUXwSvHNPamdk+erxZvx6f3dfANZRJAhUvO4KdSb8NHadr5LqzL1n
pvTcISFY87EusiYbbBCnAOJU2cALV701bMAtYrsxSvLhT41oa12WqIMF7xi4u/M9IvVECWzAB9vu
5fFXzllE5PT+/ZHUDc3dgtdCCdtUZvpQkACva7IpcpRpPQKv8bGwGdQe9AMFejSnsFBXOu8rcQnm
m1YlnkACgixZd0b0CyDQNIb36DQ4vonU3wKaafZmXImk9KBR0gjsVVV1riNkExG4+u4+DY1QWQgG
ZgqIt2ubgoUrhSubMMPs8d+1aaAaybcN2uIEA1l7E30RDphLtwKIzmIzBaX0432dPcQJ0fvb0g5i
yFvRcRq3St601Vldc0+dF5NyhJSweYqVhQd0eozvdPpKEuUfc2OXa7EPSXUKIvkuZSTLq4q3x8uZ
KeNMW/mf9VBn5gkh14ogUzsjpXZmvuVLWKxSYDiErZzqbOb4u8pdSCbOeIDgqhc5TuY0icdcjtst
bLrAE5VWAj117ZshbGOUf0jCgo78BqTU9t1IoUxC4/ZqAJKs6tytByKazU8xcWHnRrMqzNqIn72N
8N0jKccR1mpJgP8VSOe0Juv06IPt99FxCSE/ozrQGhD6TtUyFT14t+vWSgmZ25CpznH3FigYtd2+
tGhLDSwBMXTX9v/NNl+Jo/SnC/y4GBm3OhfpT5NhuIr6nUfBwnWYPUsRDUHTccqYs3K7Jnjg4Vhj
NO+50UjkXhIB3RTREiB4TginqnhZWA4JfnpMWM71DTOEYXP2XNMTMTG3Btn5UlvZrMIA9oN2LpRf
eJV+Q5hSFhl4is25NGKnNzhD/PHBQTqiLbVEm6SpOgFJHPUpchAy+gewjIPekAhPgFaY4oo3Sv3y
+G7OIH8A8Ueen0WqAVVeOg+mda6qFVnWnLlUL+zizH2zjeGZGqmsGjkuhSApjYZjkQWNhyFtN2i8
UiyRbFo0hvV6sYmXHvo5Db7+IOq0lWjUmlRMm7PCHQKZZPGG6dZBFBhqqHuipwOOhnSGlag6L3Tr
8Z23ZQzbeJWHBdM49wBggJGmTbhlINDoQKbn+lJt27I5bxIU2sEd5rRP40o5DE8DuqGRXI/NRG+3
Rr7mduXCMz5jl29kT9p69fi4QqG2EYtT6VFUH7ld3WcLb/eMP8VjZNIEdMP0EkWhbPIwilWejE1z
FhIAzfpdnW/cZhVXz6JrLajYZASuraQ24XDQw4gaB1B8+D+3iwlaTlUa0evOXmfU74AzAZJlA1iR
gvxxh0bOYeuBjUYlnbFCYfGx8Lu8E+oPIvo2gEyaxhkpNGp17DNxzOOiPWWh8z7iitXf7hPIvrtt
tvAa0Ir7K0lGlRBDWZADoqd8tnHjZnHIN6cm1vkuWecdu/NDTBLz65dwcICcXdhYWkn+JRAEjRNs
Bs171OsjBywf1qXanBge+WD0DbZitWDfZ0VMuHGU3oHJoUE5GCUep5EWtKc4QaWX99H88g+N++8i
0HwI+JGkoRBOhXiy5jNpEpTtiRtli9GeCyHSPa9YWMdd2WESAwgJjmbqc2Q14VYHG7nh2nESUxqy
XW5VW12r6+5VXXsrzkgNxlTMADNtCocjmp05+b5x/BWvd7B3CwpJPzTTlwAtJ7IiymJg/aYWzI1q
NcJZak8otAQrRFQq6Aj0hMG4pI3PrtgtnznNd7apUP3456JVDXkZDLFAYgbfQW0CG4dqqUX9SUYl
ITCHXYbp8OG+OUTiUapOYuO0/E7mn6XUDPdg2luQT5scrFwFtgrpUQGPOGYXUeK13C/CrOhPQeCT
ggHuUT2jGlWJTqUsRK7CdJ63NmeSJaCxAzgO4EOp81Y7kek8r4EshdXxtGrhi9juRBTrGPQ0w56j
+qW0iREigpMVOxF90tZ/3cqUhVIfyje/Wkf5a1dtYvS6C5uIs7PUdEM9r4nMrQHDPXL1Ws5MLgLa
sRCX3p57k3n7+dRJSaXbMaWCraoVh0cPLKej4ucdIu0SR7om6LFG4s//Rjs4gGpFgCmgoJRiBr7o
Rr7f9qdINepqVZlCs8k37ZoXzfwt444DeJI0p4320kcDdOB/Ix1TZhBcwxPRaMcVvf61wo51f2rK
g9g3pET/8eDquM66C9ijwOl8vkrVEnkYhwlNLiNZ98qp/cJ3TBt7qzcaeqHxJMJKwNsUKR2VgZhB
YNmzJzaPGJLzYgJfc0gXjMAUfdxIAYIDQGsw/rPoE0EV8vYmMF4k5AqjsqdwtEQz8XMj6CvdZw6P
N/WuVxe37UYO9fJCjdwoQIn+1D9px6zUq3XvVATl4JO7VRm99PR2nWy3H50zbPx1wC3Y9rsL/yte
wcMLINWUMr1dZqu0mKyXQby09fpdWQFgy6GYyE1w3NF8vNa74uHvWkX4sLCukgj85q2woZF7xCIQ
xuWnglspxapKzUTAFKZQDyqF1GO+8jFCuUryXdg0X0FRfWH6FQkHu1gy8rPnC9SkLEONEMZTV0kY
ozTjpm/pS1AX97E9hruSeY6ExVXfOR3YYoAjBZlHlx2MO7XFo1SIKJsG3Km7wEUUh5f0JKZEZQ7J
gZ/q+z5imHIwvOYJjAoi91p5IGnNus34T5GN0/ajGwkAGh4JC3AK3G5/G0dxM0YxdxqSjdYwoP9v
FeDc6z9h+cx3S3isu8zkJA67q6IxBLMG5LunLBvSqHcVFmSD4ETRXzfvE9Pbk3NyWtBTb98aA4Bv
/eijkXL18vpY1eZO91o2teeJUPGa5+P2xv2+qV7LTQHgfz3aj6XcYfR+l6hKgLbBwZvqTLc72oRJ
0NVKyp12WNs7cK82Yh2MuNOtjNgg/LftCCzRzonTI3PUwWh3Fkz89TV13g/6ZZFG6C54/dcHwY8C
sw9OmkZItYobxoXssiejBa1yRk6fu8/3911ERtJYnV0Y8b60N6vjcb9/AePW2+P9uCs+TOJhLzGZ
VFMx/vCuc7YDILmPKu6kVGZ1TnpYZrkkAnLwYVpg5KGg8/AiX9rxI1HStfa8IH46VdpmK0Dl4WEE
YdsdD1cytB7cy5I7CUhrxoB4l6vSj4FZetHaz75L0Kx87nnJrCUMLIwMoTsVyTQN7fFnTJbj7ivQ
CsXDxgkiwAG3SqGgNSnyxZ478bKVxWbRobL9lb/ykdV25wAOzWNxv2V5Wh7g+DBlaKNERY+yZGUj
qVUecdxJzvYRh0mo9threJH3mBFfd+gCGKWVEBu9a2muUeXn8FXE1Ds5snv5JCS67G1lifQYQBSO
JtsSzIhLym/gu2In63djlepDYuZLw//u6kaTqsDBxGHBICGG5293aehrsHuUuDrwF/z3cROgMCau
OLBsHS9gQ3y8RzOKoaAaCGzyNAH4jkQF2LcoZjCX9iS8A50OHuqfx78/c+Q3v08dwSh7RSoENXjU
/yIFIqFf12k3qmSvHouZeayvxdA+iYbyStgOWMYn4hBjMJqF+7uwTTS4JlEGrygY/D5nuIa24z4e
f/5dsQ5nfvP91JnX0tCycovfnzgiFfzp9uK6dXQ/INmCrJkH4EYUFVxoQpcruQZR7u47MKVd+PJ4
LUtbNTmpV9mfPHAlYZh+n7/4Fur1i702SwKmf38lIBiippEmlYp09KTp41ZFy5HRbNF7f5m4B5aZ
4RaU+Je29Uri6PppB/yaiBFEFSa9afoTpyMKA0DkD/B05mD1+9VlCUg14xzdnNOk8ldC0aYolEmC
ZWKAhUyYr5V6+Pv4pOYeJdgYpJiQIkTURMeZESNXUT8N0Nqxu/TIkWzd6s1ziEFym26h8jVzQW9E
UVoRBkGviOmAcW4f0UYxxUDnN0tkq0syKMXQWmQsfAEy2IJURPf3zdKGTQ8U9aCoiLAQFKD7BXE5
dXf8WGFrJuYm1QOqjgA4YIOmdtCX5NxF0FMb2ZUcarcwDYIXGTyjJw+la/HL8RzBjp4Bo90vMT1M
v/RoRdSeMVHulmmAFYGR310IR2fP42oVlA+IMEnKohC/nVQ68LHddjEntLRP1B0RM6nMq2mm0gmz
XQ+Aj4uWgN6C9LB0GWcswM2BTJf16jLKgLaXow9BG+9gfUdEMDtjwTmaue83IqZPuBLhSehYCBnw
+8vrnbdxjdbsHHbhmZyx/dcyaJBVCIZUOQQd4ik4NHb8qhlLozlnBcDFBt0QfGyFdnOV0ONdgKvg
Tuic4QH8/NhiLf08FSZjblGeiQl+vrqEz5k9DhiP/ljCnPcF/Nl/VkC9xKrL8bULAzA17Wc6tOrQ
6z9rzT6u4oUDX1oMZUyUIUvbHtnOkyENVteQ7LSwlNnbgSGzqD6iJ+QuURNHid82HDjtweOa6YH+
Uxn84my3mdd4SoD/Wwh1JHU6FG3cQYhv5Kb2j1OJkyG8+nXqNFilkIqhwa9niJR5YoFyR8KgqiUv
+K7ID//rRg51Fl4YtFGVguPdwGTgl9fUkSxuxXWLhMizduRqPZRh70ahg9HCeibfJcFU+FNuGwvH
Pmt2r2RQJh3nwWZBiLW8viI1D/QH/BXM8649nd++vLwswVXv8H303k16fmW4NDmo3R6v+ylYOTvl
QM5HzEnavO+N7fnyeGmzJvJqZZS5z8a87IJIg2v5Eluisx3B47a0nKXdoyy96EdZqNZYTehUerBd
X14er2HO1b9RNcrOD2hNxihdHM9u4+1T53Q61OB80BfEzCuaBgI00EPywOLfHsoYqWlZS9I0nTRF
h+QPmmPO2RLT3pwQTkLmDI88mOVohF0LppFQzXyQ6xLVHkwOkRGYAPRywY+YM5TXYuhLk6PLbGgw
FUG1gxViddtbAB/P6dW1AOrGuJWnMPUIAUDCXIoz//4nXA9L13LOGl8Loa6Jm3X10LMQwsaYyVjp
wkvmyE/c2jOqVfZfvPPXsqiLEhbgO5J7yOJtbuuuMmfJnZ8/EtQBFdTDgL6grD64j8Ds3GPGx6ih
l1QXnXCET7RwU+bUC+QXEjKIyOBovy16V4alltswKl1BQAT0LhjlW7pBNobkBDlRWLENRqO+/jcS
kXNRgT9HEp7O+Y+sN9QZRiucAj3b6d466+1+3e7JCujDF8n4y1gN6Z+WTutuDsZkQcHW82+xlGoM
mRu6TKgKmEdhSKweHlO0v4Hhzri8gOPtckH3If5brVTgUyXwmi15t7/ZWDoKuP4ASl9YzEVtlQwf
gJ0eLTyBr6+1Ee0UU39+Phy4/fHim755Wf19vN/89HzfyZ1gKmjXnTpPqJudtm6XsHk4PYeQjP7K
5CyDNzcHPfN6T0wOx+2eQtTsgCPWF1c9F839AlX+Vzp17aWWD8Kah/TXV0jfWFxEXEd2PPtjjVa5
I3hvAyO1l0Bus77GtVjqtDHZgqvlCmJdUIOpf9M1hpZOU1we7+3s5bnaWupI+yAXWa+EFFY2niYm
0l5HGMn5C07sbA7hejXUe6lUdcPELeRUa/AiZvquOzQ7KTaAr3r5u2BDxbnH+VoY9apFdVQzUgxh
4m5KlHWxLqzcZ+3wDZaxz84M31wD7vrU9d1jxe0mkZ8zbuJhzkmQY5BTrTPP6Q9oQD3jeFmfv84o
NSw8vNLkKt7pNGqwKAWjwCPJlGms3U6WIrX7l4v3/h47CpJUiq7aEydov5qO4uQ44vPAAYbOkigx
9T9/IhCWYxRwucrNGpDLyghNFeq/Xv29TAktz0rJJbcvl7+LNm/e+CD5D1iDBFQHDcQReC/OhgRJ
oMrkX/Jtj4E4p8z2Lf+tdKzKrnTPcf+ktkDWwRM4Fo3MQNu281hZ77DYvxbw6iMoLQr7JIvGGB8h
PMVbAQ2t8THZRWdtV0CaZ/mb4nmJXnGyLXfnBKACKo/oeEOIdOshFZ1SCnkxIqWbtzmZyKEIHKl8
4RrOunsCJ7DwwTCSCpSAt2LyTs3QyFdgetQ7GmCd0elEQDQMAKzMBc2bdcSvRVGGhe8YQU6UTDwB
pjY60lvq+IQrbO3zooQAYvI6qHYuquUZ8gL90Zz/dC2YsjWtClJWYczFU7kNTNw+IqNpYMmg3YPh
OHANcAIPgJrGAg9FxWhlFQbAHynjKa8KXRrewvo4hHYhSvZbHwOezJW6mC6VrGaWhpYhVMEBwsPf
afhu2otD2NYte9poklnZ7h9QB2VPSyzdMy/RjRTKrsVinbc84rZTKF28L6YhLSa9jFbc/x3+1qCs
UPzFKtP904vbPvWjgLlYkniFunFR0saKgHD0lGPkiBsLlja+Vj7q7Wi581KSt+URgOtKJK509nlr
4b7fL/hWOrXgvC6avmi57sS2xogOiKIWLDcL9Fx08loksrIqI34DWqYFufcPCOSqEujMBDAysiLl
cHTx0KiDmgGaNFhxu2aUSh+zEcjN3BSjvT9cSs0KPVCI9RtJwtwOTTkAzmvXGXHbv3Wz8J7NuAL4
HBABTl3FwLL+viVXHq7oebwSaWV/Uv5U4stYvhTjKmM+24vcgnrhiDe0WS1RRM6YiVuh1B4EIvxe
TgQ8i2FrU+Uqs2z0tt8WCgZUhqtheGdqUAU5atZ9Z8YQPnUcqAmZQB/Tr0Hc1el54UymB/HWEN9+
D2Uh2aLtAmh/fxoLY0g3SoSHMTPlFA2fLx73POh8mBmLWKlf3/JeLIhqQKGAFBPdfjnGXVZwbdef
2DXvEUU8KFVve7xkV/lnqH4IilXIyT6Mwct/1NCT2Ge7vHKi0RHanRCTpHjuuU6v/ZMw2LL4pAbF
gms1rfvRB1Ln1Ppoa6tYoADDTnjPNca3g8bfMCk/LtzGu2ZgoGOhhv/ZCuoElGjwGVB69ievfI3c
owLOZ2RB0Ysf5RYjnxQ0EA6GAPATtiBZlwXh3R1THULupYyPHG+x3seCTsxZJwVQPjRNoBiOprXb
V1MKxlwVPK4/aXGg9maa5BHxxEj80gZ1tFKp+KmBD38qpcI1Wa7fMCGQkihjf3WxmiwkIad9ps9B
EaeeOagJQH6UpQw1pk/DauxPcZTitKVUdFTM11mwBfcPjSReS6EsIhrD4kCIsWLpPezs1t10nM4K
ALd+Md37wu7OadaVLLoMIIelkDAVZEXMlkk+1ORndD/lTz7dBgLx0HDtR6twn/VHftgDayUtLHUm
ZsBakTCCW4QJJujQvD1dP1ALYUyl/mSAioobjaQ1da3UJSfcDbqoWq+P1zsTZt7Ko25SKqdKgCvQ
n0Q7ro+gSGph5iz406kNGL/drYZv/FkFGFIzYDpObBtLZbYZKMrtJ1AK3WI/5Eri+5PKfsTqU80W
OtL/ZhauMJChCzcKBkN2XPDURLVRZh9y/TVgTNGYOsiPgMIWo5p+ssKUE0vsN3WOZvzxMKZ2VEl7
lXFXldqRnHmu6sKpgfDtxI4MCwXcGf3Eo4k0DACKqI789u9fPVVlkxTiwBQdEESMKcWJ3kup5T6L
hWs3QbRXUnFBS2eU9Ebg9EFXAlVUacJQbrpTOHD7nqucIsH4pmbJd53u1dXtRjZZAlGJJqKjCd1T
aKG6FVNyUutVddlvh2ITuKWetuBzLT7KQhfcvyrSzM1S1ZLyQSaJCgt/EkUyMHXJLOUtj0UJtGHa
9dvaKHa5/rVeKixRButOALVz4ChqGSbo+20n7CaumdJdPb5QM3t2swLKVgmZGrNigxXIUW9iqDBp
ct31zEgCtpvH4AtQv+YLNoPSBnpNv8HBlTb0XTFGDQORXCEgWENvCkkTeck9nA6bUobrhf0Gc1dS
Bi92tVyEM1SClVl4B/Xk91ZaD+9TM5lLsrfH20iH3v+7KFkQBQC+AE6g9rEuxToRuwYHRfxnGP2p
6qSLQElVFviRjMD0NpVdmtl2PyLvuWU2aFM3Muvv48+gAyvqM9DwdHsFQuAc1LyBvkSh0w4e2gtk
UpSV2aIpOgoN1gOJH9K7rLxglyc9vN/t/7d87Q70HLNl5LVYPsiATp3pYqpxflgqedMF3bvVTa7G
1ZmivTYcE63qt2q1jSuDa9DfFBhR1H4WzbsQZCbbS3qmfYuRpA+tqqtonIly8/Eez6vvf5ZKWRkX
naGFBA9re3pezPQtqBFi49sVullaIuDBj3u8qDOduhMj3pD9XY2lhgypENKNiuEmh8I3BbjZqVVh
CBh4yzAEMDZA9NIWVta6jhjlZBxtOFi1tod7sHC75u0eQAFwN5EMoSHBaChqh1rDFW5Yu+qNzFtX
ID5BYwq3sNlLgigDW8poFMq7AbfY6hjdWTegdHh8nP+HUv1nLZSJZXq+7SIfV6Y2wOSHW8tZADeD
pbyNMZ3DAGkCWZBIRcz/UmNkP1DWgdckaZRElfMa0Q3Zfhug17WPc72sSz1uf5pEIgp6EzBpqLYa
zEZ+LFeeu6NXYikTBfzmICU+9rJnjxqoxOI3TwQjl7fwotAJQGp5CM1vddhHoydbipAjaF9qbMfP
TGsP56j61WD/o/U+KyNvBX2sefw9IEusudM67mwRAkHwTykg5aFZC/hc8sJYxvaqAbsVAsbs8osg
SCAlrAgftBbTnxl3SYtmn5sroVSqOG662u9iCE355EVlMiJhVFSYrdE5LUlg+SIq/yoqscPivvop
3MElPgo68vvXtk+FJxZVLWDjKdOBfFrR8SMH0y8lyPHWp0aITGScPrnCEjHYsFEGpwARkycYflST
tMzRTXZsfXBC+ZkTeZty/FS0XRO768RbeB7o1Ondx01G9cpyd2XoMZhxAbsmS5bkJkatPbuNLfSG
W+46bMmBG5zcbRdUfvZZAl85MrYgz0GX063YNMkSd+wmsa6HTmm7FkiceGiB0b7GXjJVlVlIn84v
9EoipQcYRc8DFQCJ0pFZndxnbv0/pH1Zb9u4+/UnEqB9uaUky3bsOHvS3Aht05KSKFKiqPXT/487
F79ECWK8eNHBYDBBQ3F7+GznnGlv37RJtCsuuBxfG653Q61fw7rgrAU6/NDVqbV5yBM/8bLr1AfD
Jr+GwNX31uNr1+LdcKt3T7SFKBHhTwfDSuYlRqznH4y/Rp00tyK+SP74pbF6N9rqNLMwqgrAgadD
I7zdsvRb2sYg4wEZv19mDEQdroUfPTmmBPcskLoAkVW7YcFzpJzk+5l/+eCfmd/PQrDohVttqb8E
hmyojU/pM3s4evZD41w4Np/P6RkTDF5x1E2RxQpXpll24Lqk0poPLxxsB7CIlzLun23iOTuM3+6D
iCR0/sW07+7fMndOMTcYIKDiwVAxuIEo2AQKN22BQRfuD7sZ3r5fti/nhPQj+PJNEB6uESL5bA56
oc58cF5GFBJKSGEbN/0JNJDfj7Nmy4RtwZTeDbTaH9vUrjnPGAi32471L1BFO9v5yUksUuyDdAKg
utv8UWngE0gnqCS6GX/dX4o9v54tyl6uieX1/qWH3y0wimL+BFDOfLD9mIJLEOT2ySU6ns93AhNF
ZQ/kBeDC8tdpzihvO+FzEEzUIXLYPQDbqVUm3XRpRb+cy7txVnevcsZlUa43H0pUnAnka8DXqZ6V
eYue0wu+0D+0xcfH+uOcVg+DYfGi0WYwH6YNtHVTvdGJCyLTcR/G8zVZYi+Nzn9ilQpwgFRZA/u2
FwTCcCWBI3zRA/982T9+z3kP3u1jW0WysuoQ34NQiZeb3O9IcGnWXw8ShiAAQM8+UjGrQaaBO3TE
IL670SChnKHQM+kLZusLg32eyv9GWfnO0SLbxjcwils+i+BuzARSTvCBuPM6glgFRG7OdIl08bO/
Dp4jpAHRioqrgHvwcWYuC+fBphgzqDZl9Hsss0BfN1EMBqsL1/6LQwpdBFw2xEM20MUrkzlbteug
ejgd8oqoByDi+VV+Uhfhdl9sFdBmqKvhXoNwf03boa1wjqquWg5NaWLN+lMTHZaiTb+3YV+4DUha
nfvr8cZgkPUD0DdaT+NSLodAnuSdOjSYVd1snR4qzyfwy2ljwL5dehXWTJ0wnRgWAHMwdUIw8BMN
UACHMagEZhceDXISO70xU5kuCIKM9E+/cVg8H6z0UlLr89Z9HPX883d3zK8l6L48jNqBO9IGj3FJ
3AkCjA+0LGNdbC+s7WfX/ONwq5MCrg/0VWoMt1QgAT26ipNRPQzjPr+rQB4dGKnrpIaLhDEDWezw
6/9v+PUJopVvjELXy0H/Dh9BblbKrRFstjpWGd1oyHifSVkvXI7P1/DDlMPVNdTtwhopxHIQRRO7
5kvrP88vYFeMx/Hv99P7eiSgDgEBRVo8XJkyt+s5XgsDx6S/L41HM39l6q+T/5GX+O/XlYb/zuoZ
jOCjwcXCgB9PTRgNfdHMbDmUfQBt6yKt2oLgwTWQSIQ2SQseqJwng3GYLeO2eR10d6F4ZJ3n8vGt
wqriO/614SLRvJrrwhe7mTVfDmwnU80SybaNhZcpv2d30T6P7/t7ccv+XAIcf/bdzsOiZxIYbBN9
SKth7drUZkRxfmcAWn3SoxEUbA0u0ZAyaIO9fff9jn7xbnwcb/Vu2HWvaxXCFs3m0Vjuu58yRv7U
TPwiJM2yQ77kghPw9cJiQcG74zpQ71kZhCZwahk0cjkMm2Hjp0d1gpLo+c/OBZLprYxNQi+8jl/a
oHdDroxC2DtTR8dmOZixdeUmwd5Dc9elTMS6WvXfmf3fKGssqwpoNbAFo/SpONkx6KhZvGxPd78G
8oMmFgpWCEgzCQFgJ377fhu/PKzvhl6ZgGA2ua5MmAC9gH7TbaFhocBUdmLz7vuBvsj34Ly8G8n+
eDHB6aYtT2Ik18xcGy1J9ZJ40CswHyRHx/pDw0BSO2S2SeOmsXaIFOK52+n+gqE93/9Pt/PdZ6zi
U9WJsJsiHKIo/1FEv6pLPNtfWrp3v39tfxYHFI6sPe9l3dyF+RN3TnabVO6l2PeLTE6AxCCuAtx8
VKr91YIK5eUdVzg104bF7tOCDshmq7c8CTYnQZy9haYsfyP2IBTpni+O/tVz+X701TqOtO8Go8To
/t6DwGsb1zHbFEe1BTMVmnjxAeAZVYl7LI/Gzr1Cip1cqE+uGe/+XRv0aZ39SASt/lrKsRa5JWmH
pdbQfTBO0yZE46CXdGlzJiGyEn+MNfhtASPim5EIdPRc8se+Mg/QD0M/oQX9Mjw4H880yl9zN7Bh
Ocgn3cfVnXoQN/bPYEjE9fhsX+nYiQdEJOJqPOn4+/v0TxFyfZDfj706aIHHQ+Ga/XJo05bMmZ2p
nbqZdvnf4dDdIu3iJg1xMhr//NHET4BNJ338dhYzf8yuHx9DCNNG8R0nP2n8I3voyK4gHTFIF6c/
D1CSSA/X6treeLHO7h/HK//ukk/5ld15//Vnh/qdc9cvPLBljZWD8MNBX9UH7pLvF2jdavXf8TjT
cUMVCmRt/yRR3w3RdILPvFtguyk/epIBEAUl+a1hmjxt7MU41mMPUIbohlj6TcoD2e5q8OiiPESd
zfcf85XVAXMSIhDo9IL6bvU4a3Ow5rawl0PR/g7YSfAL1vWz1cEkIwvwDFAXQZZq9fs5JGNyl3nh
Aa10N9WhP4j9RabLL8aANMVZcTcEiyzcwI9bVtidy4OxBBXTY/tkgtBaAnPNNxNoYu3dnPgEDHA8
HZ+/X7kvzBy6ntAwh345tAaByuTjsB4zB9HZKj9sGpYuz5AT2Q2/3Ae4VLyLs4bMO/cZ2odmniyQ
+ry51Dz3xeOM8SGagC6IM9OWu5q2UVNn7Gudg0sU6tF7+8m4rl7F20TsXfQaHUHd/dDe6AxtHVsv
dm7M60v6y5+NDAhkIhscZyYgExCO+7gAIbPyvLH9/EDrKgENVjvfeMYNEmRIaI72BZP2L0350ax8
HG3lZFm6sSLgFXNUqCUxTsVPg0yb6GRnY+ptiruO8E2V+ckEMoSCPNz5CZjWr5998nxtxfXNuJtS
M7E3QwZQC1lSKA4k35+Hzzfp3GSPHK4dBeB3WefqI7ZA2L2i+YGBRcfVu36++36ALxyVjyOsDlxh
NjzXkxEd3MzYeC9dBg1HMPgMz9EjdKruRWbdsEu5tC+86Y+Drh7zvK7RDDthWt2dvloynHRQaEMv
L77UVvHFLUY6BMKxUI4D8dX60QzHhtVTiPgHcmekb6/rFFreLoAwOvt+Hb+6uGfmJVwa8BAFEFT7
eG5zqUcdMMs41DPE0NnNsHOu+D0aCk2gx8xdvmXX88F7dK/oKb82Du0F92A9UVQUHbSNn3FkIB6y
1zSuVu0PU9s46HdDio4Wb6KBrIiciXK6WLYXJvvVYHACkKXDXJHKXp2Z3JxtXy4lPepuJ27wumxr
upBQtAlbLrSOr83BeV7vh1qdFD0rZTe8okcnz3fFFPbEaI1N2yFRRylonZAlMOmlEGUdXK4HXTk6
00wbJWrMTz2cwjIpjv6ugrXFEf31/an55NT9N5J7NveoUYI07eOpQSrSEQ0zcB442IrtuNnwpEzU
FVK6HE6LT6ZUEbmpT9FNt70w9rrivh77vMvvPAa/611Q7WHsyEEfNn3wl2wct/RY7KbmL10s0hRv
3w/55brCfYduFuo5IJP8OOIs7TzoDKyrpTPbS9rJJOZLKSHhlt/Nu6C4cCe+Xl0YTVS8YUPxrHwc
T1ajzZcKh2cp+D2fZNIOglgdJB6cnfPI6nu7AKM4mcKrVp5KfsuDJu6GbICkBwP1QvPHBvbz+yX4
lF38t+r/+6Z1byo6YBXoGbAGEfh6Ic6U73sAgeYRVqI6yEN5zcFu2xwLk1wSE183xuMBMR00QaNc
d9bUQ07143IwPYqeVQ09esRSx/J385z/aCDxF8T0MO0XZ9NB2/DgPM7QNL8klLdmu/w0+GrvrRFa
mmGDwVswDNUpujxP9U8wiMfVsTh4UKQnP+crkO/fXxs3g0HGS3IY55v0/qXH5F1A685KsWBRBRbh
4+SlC/PYjy49UpHV/aljt1N+Y1vzhf29NMzqQjtinK0WfNrH7u+whzLq96dn7Q78m4TvBpBo+yef
sDJMpmcVAg4SDG84/MgLtaN9dSGhtyYSPG8UahSBi/Q3cvvOGt/HXNtCnD2wY7kLs2YT7tG/vO+O
3vZopP5bdwSKhe+jZDk2tyXJTzmyNFvQGSoUqfgxQk3/+yl/dWE+fM/qBeAibKG306O6rZ6G8BV1
QCL7RM+/1Y+wfZy7BIdHjamh3rpDBaRHS4r60UNu5/vv+OIh+vAZq6UPIchsFDaWhecgLM4XEP3e
ukZS9Xunykrvwmif6rfYBQ8FljNtnXXmSF6dI1WzoKVyKo4MMNC4iq1nDTq+mSwA7bpkgcQgpE7c
05Qi4fB3vjIT1hJ5BSjVpVfi/Jav7g0+BOld959s+T+/590rMQZ8dpg/FscI7fIeEc71SBUEcibC
ttUJyc+jdykE+MpQeXChPARgCPGQ8/l4V60pcvwpmotj3R0AU5lAGbdRwb50N8XtJLZOtHHbxM8f
ePFGgeZm4QHxEGSsv9/xT8n18x68/4zzbXw3dYPX1Uj9pTg69OdodXGDftG8O9U3eY3q/VXfPNhN
0ojUd3tgeZ6/H/2Lt9JHXh891KA6Ro1tZS8nxShMdVAeK/85ZOBZ9mLPykn1KgF2LKw8Fc0lCod/
D8CHvUZfAkwLaNnOPJ5gUf04YcuzIdrG2+kf+LhDesSPoe0Z2+lw48fLC/7366+bH3NS4UAu5FmR
KmEEylZpgz6GBd7KHyMeyPMCzlE0FG97SHKOCIziBDBgckWTBomyEqmxS/HE2XZ/+m5kAyDGjZKL
tyZSWJoIlHlogT0OzUNhQARIodPswkX4ZHrPawMP30MTvW1Dae3j2nCQb9NcDtOxDxoyghuzKi9l
iaw1ZitAzH/O7QEHakLrBMWNj4P02hh5xNh8nOPX49WQbOMXlSy/+5RukfW0418TeS7Ia40VfHFT
0N6IJPN36OuNTw+niFiE7F4fdr8BcEmeB6LS+9tbhyT7wxD/+FuT/biB1CK5QWoIASyPt+emmmsr
w3+q5O8Q//zbp2feHh6P8V//5BJ7c1aXfRs2Hv5urDb3IbCvIYF8JblGks07IUWfHZzseUx+CPJ4
4CTt4//Ha7BakZULFyoTnagzxYpkS/fgGYn5exI4mpCrDHaRuJAP+Id1Wp+kdxuwrksagxx7N8Bw
V8dXSAeDieJJkt3x7XWX3R2T42mnUvxzSPf7n9nhj8petsn383XPW/zdF6xiq7qYIO9u4Qv8VyBl
Dn68ez1t/mw2N2kC6DxYk9OBZD7JSLpNrw/x0/aQEnJD9iT7mYTxpSN5vvHffc3q8fVn16XBgq+p
SJu+BHF3YbqfXfSP+xuuTP3A/KKMRgyg1Q7oXI5H7m//x/jt96msicCh3y1pdwVN4+LWaEAZIl5c
esnQX5rlytB3YVhYdYuPkM2NieZc9DrbFeixCXx0fwa1q5FfSQ85Y+OKovcHpeMK4r7NJefu0mes
XFSwheRUuPiMzZmgixxfThLsVlcVOUa44Q8Ely/GGXjZbECppMkhS2/22eH+2Ynjq8db3MC3S9v/
+SW20E7inssNSCwDw7Xa/3wYorkpBn6sbfTH7KDs1kmRtK+FeAadruzKpDYPFDQi83HMYxOIYiSZ
NdJmHQTv+YV9+kc/uTqNkXWmOgZQERCtNaAiMIJy9IyFH18MMiSJ3lFILxvX/DQlIiTetsTLBEKF
TG3DHRZIZyElOYxlolAqhaptedSP4lLb/xdrZCOqgJ9mo1sRzJWrNUI+QnSWYN2xEJChYLKlRzxG
kGlucjOL7FyntkfbzALxcarVon+7AqKQIpL1dRVwnvBZsI0I7SIV0VxnYyeNI3RSaLoU5iW0yOeX
Et8KtqHwnF5Ftmp10ifbXQJpl92xkT96p0uG+r6cLqnGfDZh50GwU+D8RYpozSIKoDVrhwiD+Oes
7UMEKlkZo07uywvWA/oTZ/vw8UigvoAz4UN28lxtWL0Pk7Rl6yhjeoBXw1yI57reQvq8sG/dnlo/
qTuUvxc2cTP2TWiM5Iah/8xz6PMM0KQcDPRzLQ5qBKNZUqjaelWita7n2Sj+Sl75kIuTY4TQ2Jn6
DW/gjo+RzE8LUn1PSowNBK9Gr7LJoAZ0UQ7KGOjWQVElGw2bTpnVL+KB9U7pxaXPJoe0OUejjWdW
fTaD/xaF/Eka1o57A38GTDwUCXcURLDL0dVv7VSGT0q2zIGWuOFATlUPRZnYAV+ezLbruioO2lrO
zcFruqmlBDynZvmXOUFOgfEL8ygY0GLajctGup6Qu6KP6nlTgLzFLgnr+/IXWMc8OHOQlNdJ6Q0L
PIlihvaLT/UyQ2qlcgqFPEjldsTymQ8S+a4ovWtXhrLedZEAIM5qigaZW2QlURtAV5+F6L332zjA
SoK+pq3COrMXvy+2+Ag03hhU6jdNcW7Qn+xK6BznnYUGexPNcGGAX0mG0tfPMswnXGdPF/6VOxrL
UdSdxXbMEtNdyytVk156zYFxXw/J0Fjd7VSb9HmBmuAv5dY2tHNG5R3tsoo0+peW8L4N7KjNStOU
BuGzq8fEmgewTclqAPa66coum5qwopByHNWfyfIiK/ECqXgCqGaLp8mBAt1mLpwqR9RneiByqO0/
rRflRgYOBQOVZ2FUaSHDCQju4LzRk9MHHgl5rVncgRWPZtC2qx+gjAAkUq89DXmbyvSzQCgrSgBE
6RbSofrSA6EVlGLTAiJ+5F0EMzaqqjkJwfg9/pbkEFsrnGJTqybXZJm5upV5YZVXC3MVJtYwnRVj
k4Py2DDtGXobkb4aJ3MG4xSQNn8qXxbGzpF5jaSq0na3kQCelGSWpvdWShVIokfJo9Q2HO4QNZnO
rXLGHEp3g5dP2171QU9U25ngxHMr9lvWYf87cgbgkaBvqFvSexPQNFKE4FrorKEkk79g0yjVvRlT
31YF0m7LUKe8YT265t0hQqLardRjVUHSm7So/M2JUXcFmNEin4K4eShyIIPGvr0dJ8d+8brWzUpm
sr8ekJIQUFWzlzUls6zYk5149mbV4RoU2JZN42rJEidwDZs4i9XP+7FQvXEMAI8Nj50B6FpqiUIi
ieEtrh2jGDP8nEYVPUy56d+OWMrb3tRRxrFTkFMth+ltoHNXErtAljy2zAXluEJq52lxi/KxNhgy
i57PcmJPEdJZ/UCxBjLHWSPB1PvPZj0G2FUraP8AHiEQJiln2YOnE7df4wGsiKMBW0IDv+54DKlj
qQkyWBEnQcclYEPTWD1ZQFNXMdLV6tckpmlnGfVcEFp77EoELGrTJhxoFJ/hatuxFCUGBCKHxlGR
IyILPAbyo9nI7Wtbjw0ntRChkS55zVKzVef3XXoG5IQtpB6qqm4fm8ar+8MQ2hwLVRUGDFpk129c
j20R932PbywWn4ex9mqriI2mAPOEK81oRq9mmD+gr6NFOSQHdICA4xyRWuDW3ttZUKlLxMgizNf3
a7Qi5sp6DABenBMkIPxfKtDw+pYOJEoxM4vqQRT19LMZ24rFYTE73tady7A98qhARTIom47Uo2LO
+YzBKES2VnsjBwaFVMKHuYI0MGS0lmAxnW0JlOavfmqiALCv3PRSx2ppcUD7a7c3qzlH5QbR4EhG
06ms2HVn7MEwRqOfWlY5ewkaSUdEye6im9jMa+fFt7R0Y+X0cgDqfzajVEzUVqQouvC2LwU8zLKi
/U74rHxidRsYWdCL+jkSjqF2YdSB+Nec+iarvRbsXmW+GNWGyzoKj4xFBbSyTI/aidHVdg+cfDle
TT0tz9khALmI4j4/dksrfYhBGPo+glTSNRLCFb8fbaMrD4bZSwt9gq6TATdFAbKDzX9BOXqciWMt
+lfXB5FOkSAofkJSfbyfIex8lu8Ivdu+D3QbhyJQD4vmqIk4zeR5MTDFDtBLQW0OGVQZoyXlUY98
ckGnvt65bt5BsjOkjciMgvsDKWkrH1SFsvvW8nvDzzpvzk+ThXcm9qsBkzbcOvg1daKtTlDRGXRc
cyAM7k1PoVbhOnnbHKeuCY+N35Tow28DXG9ToWUO0lS5VSX26NH5ytAjYwkzrcEn3ewIkQqqI5TS
c3x9bOF8NrGP/iUsY1ny/KaHaM0D/AxQU4CWw1uuatbOGE+54Qzkt6ZNbNnIIccM0sM/0AYd3Mli
ZD8QsY0lnmfLKYgXFZM6dGPe9tuqNqbbCi2a5aYtTHhA3IskajrLbKSm2etq05wHSxQLbVzvKoQ0
N9XNGDt2aUZPAIqAnSKk9kATT6h+ICFoPF8pVGkmkmOhA2Iao/vTGRrDiQWw/0c2NLW9YQJZXJJb
Zj7tvFZBex3FwQIUUl0/03sk4aMqqfuOjfHAHBPdMpP0+Z7OFQ1uhwKKgqSpzUDHQ2MOMBHn3uwE
5txDi5MZQE6HCRzuOI+65glMIWYTV91koEGaU11m4HpyRQpuPvp38qqpSevSC05oJzrnTZxgrBI+
GpCv6/yxxQUt0CuW5EiFqsQYpQ15xiYAcU9MHYyS9bRFt4NtwKGZlGJ6j70wT4ZfzvlVZ/U123o9
fppNeTT42WBJ/RAUoSjjIW8688xwU7VXtCiMKyOnzZsoPX43e8M8JZpxNBUsDBigtFuk4yCnKN1u
Fy2uWx+kMZ+5EagIIpxIKMcQ6diDtaGTNdyCzmqg99KpWnUKm47RB09r+7HWEnIQHSpn3ZWv7XlY
IO4EsVlg7FqzeBJ6MpHLdXMUmeB9wNzoqZ3HxDXgo8azXjTaOnTTP8vRMv8uA29EPAP3Mm4b6ld4
yRRr7E2uWw5PDx4o+nhqZ2CIkaU/bPrKKvbaM0WUyqANGwCP9ehtqW23FEwakc2SsGkFIrWqt/h9
PuUWTcw5Lx8BNJFjQs2cu4dgCJYyWbq+odnClET/p4tfuUM4gxDYmqpB/DRoFND7HHeoJoaBprBk
7MPRhJdVwYeCsxAG43wvKznY1wJfJZMhmJxnjdPxaue+1WzyBf8amab1rSwQYJIIzbwvjmVMLHYA
p7nrDLr89rQZstTKw/q2Rt1wL4cQkcpQ8Oqe5l7Z7kDZYd45U4gS8Pm9hWvJ7fAN6QT2ijLXPN/V
eRWCWbCm7UDGXnlsYzKxNDHrLeiOeI2kZVyIATyY0ujMY0TN6bfLhzAkY9FBdqzSBTQHDR92BQc/
mh0C3T8XP7Vp/cZyC7DyWvbqb81l/tgGA6imWphGHjuFF2rihEDrodakaJHmdQBh5GGpUeSdxVBv
YMhMyDyWAb0u0WtkgX6gtW/whvicVOEsfsh5nge08w0IKeZixD2aqgWE8DXFKpMQ4s4Rog8+zH8s
HZS3VpUvgPrp+ncEq5anbTfAMBZlizceXkb0bAvPx/tv+KIHsMCZj1HRMUQuprPUKUhCnazRLLrt
p6B+aiYrzypho55jRF5WLWb4TI2qPgyGGG5NZeZ5zN3cclNnUNZrxEzkbVjfltgOHbqJWXputQ0d
FmBDZe+zLKBmq1MGVjSxt3uzGdLCG0HXN5kL+EdQ5XfdpHO1Gq+xRPDBi1Ahqc4jZaDW1DbGnnoI
i1Nvqtqn3AYtM5L+cPXJwqEwTgw2AU3XaRtUSnqqoiCtlGQI7tp6APjNy90i8XppygShzCLgvi8o
EyGdDgwXD1jDYvArRe2feQyw5k5HGSQOS4iHZ0MZdRpmC8/PEcGXVJkqvXrnUVVUW8cYXDuxTWg0
3AbozKxxMfFm8cylxlAmQHsPmy7gINMSZl+e5OAikWLSs6dhOxzumTk5AdDtCmE0kZBLLAjeTv+l
F8J7dnSJoKNxR7slRli2iLH0MF4bvYpqMvpV5aECgEY7dPsPk4pnSUNOJG2W1IOltmJbodxOfOYJ
uHpjC1cYYnj9FfWAt64RaSC55Y7yYPdFHcGzssJ9W/QT+iR9tNmSJTSahVRmBO3hsAheqF04knRi
7tF2O801fGxXRKfJkW5DeEt9lKV6r/KJ29WQ1Qp5YU/wifr5d04DbhJniHiZMO1DmbqUjbiVVWW8
mWEfIMMWDfWcDFpxEfd+KCIcSo7+1QhKpPfAD7q3HR91mLqdCjrSGnSiRNV2cDRY5BXx7KJMQgDZ
RnWk1QU80RFN7H8VCjdggXAHFwpwhrXE5uDxExBmCNprp6r/DPZYXVsVoyING4UrWfoiLGIOrwnq
0UXlBAnY6zwgKEqBb/LcYb4xTVaqjWnD0MCitMEDTh67H0YWIlNnMmokVsQlGgOFrU7TJKlK+QI8
cjJJLAB+hxxvaupCY5m2VYEIagjLvbPYFY9NvxFj7I+9uO59lBaoVXojfikcWISy0+ARNowmI/DA
9bN2eHkXQO8KWaYC7rApoUed1Sgl2oQ1ZgtOOdyGguSuhcWq7ab6U9bKMjeuR2EG2RBGcxr5C/s9
991yp4vRBQFajgQH/kpZXmFlFYU3CF2x2kPgilUPjPvZ5u5PSzrSTE1V+kBZWpXjJzY6DiixBro8
wVpPdVLRstLbPGCzn4QI7H6EPHfNdCz9+lQXy+SnkcHZjxnBKpJCvac90jZwhwhnoI4CLFeAj4DP
sLq2MorobvR6R2ZuAQqxBEAYs09HCCSlrg0TvK1RR0VfvZIcIqRuSH9YrjuIPYIJaSUwPshaFqGB
aBVtldAJlzlvZRrMFgXvquNX22Ys5yAdR85+t3yobySy0RAXbiun3bZ11zb3TUQ5GqvnqqjiaGgi
eMxtXdMHaQlVbEK2aMgESxBO7rRVq5epkiFexs6LnmhdNwuo90wREHcBETTsXYOQhdZuY23BB9tW
mcw9cENaDP5uWEwWjyUoYxY8Ho7lxZ1hWSeflrDckzC7k7ItCee6Mmzce1DKSpJLw2YHqSzVX3mq
R6wIgCCqI2iPjeDrI32/9Uedz/FYqelsKW1gZBvmCjixunYa4uMIItE+lTmWy3abIenY5IaxKhAH
JMgMP+HXgTiwWpBvYtTrn5dQyinWrZIIxgwUKk+1YXbIwmgko0g0AduxdzxrKuBRQQE7sZwoAKIL
J8GOLeVSi3QVUAkkCMpOEorIuYWF6mxx5ZdQV0mkOfJrJ6qjhiA4grVbTOE68ehQt4ydgKLbveqo
DNJcLhUYVmrRojszn3vw9tICyjVWCW5JMUr4kuIMaSGzkxuQTOI+KgjIr6NsHyI8+WMu0vixtJ62
Nj68a41Hs3IdkuOsA/7t9zo6NYxGOVL9VXBqFB0jJAknS8C7rDAN6TDwkUhF7XDLHa9+jax2ebIN
ewbeYzCmv3a9TIhlnB4RietOYRzmc34XQV3ZgxNR4f0LHIpnvEc/wTMI0sHTa3kVUmAR0lYtbrIA
i1sIE00i0N/A6i1AWW4QTzdoDeNu5x970HuBoGzmASeGXcDG9hV2NOWlUaJCPwd9F49QzA3jMgf7
R8wmX/9wOjGBfK2kyiUIr5HsYWO//AzH3nkTs+MjeyM8+35o524krINvFIP+DJdZgqfVIbMvK7yh
kVP/Hio/ErF/9vCRGlQ1DHhHnXMzhuxFrLUFLACPOOzYWCB4yuvZMBB3DQHwPXYlT/kIusM0NKeG
JrysHedkTfmk4wrm4A9vqsgkg2vKo1TCQXqwkN2zbXncyQTUiI9h2MoiAbs8ANkF60xxjKrKZ1s/
GDprY8+jY29KY0A1mFW1wCWzcmfYoNIzgonEczRYQWxl/h9F57EkKQ6E4SciAm+uBWXa2+me7gsx
brESIIwknn6/Om1sjKsuhDLzd1kVDotv28vG3f6cRW3vFH7Dzo9D4CRJk08seWqeIuu0zZ0OWlkd
Zs8jP0XpYfQPnU2bMLfTuvwJ6sUbi2h0RXrMfOSg+eiJJj2Sjez/TrG58mz2btryhm7HP+5BNat8
U77+TNnF+yjssFEF/HFYc7+a1LezOhnd67xGa7HJnsWVsm7JAdbeGP/U0RWGNOggb4bMGfTNOLj1
lI/WC4ajI9fokrEQ1BYCU4B3kJVg5+7KAHLMsl40Z2mFSA8QPxl3aeWkj9PiZOthqumqBsJSuRqK
BD8O7lBLwXYs+Mxaqf51El0PYKwH1nK3S1CzoZfGKj1sNjUKsH8IzMm6bjMc7M4rkXuicoGWBbzq
KZsUrvyJuawu+irDzzZFTlcg5RQ2t6oO7+ZwStSlqq6jxdQZXrGSEoHUHTwTtVwi1ELgs0mmYpW+
+W45ZUO+9X1H0zumDbhnxrZmvfntLRi0cJDKOAEgDF9idzt3VEDarHC8G7YOKMeAlT6yJ0GrPGNq
u6g48OeiG4yrQb7FcL/Uq8tHiFbkBERIEM6zD82ftE65AyvrfgDqdLbwBhvQMEksn7Qy09AeMsyW
CxmidG0gRUv6n9dksTo4wza7Z39MKK2tRehfEOHhyguNiBhyjzP6Z+Nx0RXYsE7OiQ3a+ucaqPIX
HZmt87o1TS0O4zT6bNQwXtOA67rCuW09OenTvvGfAzwSDFwarJNPtg/Y1DXtJgUWsqtN2Hu6puoU
yTl+6yavu9VVH2MyHsMpIqEfh+xHtZlufCHxvvLcg97dxj+kbdYhkuyQT0/GWAthtZZ37Q6qkoOv
BCxy6IdtL1RXmrFIQIh/2sbQIQ1Dq1+rWJQ/o3qP/kxlu8ufnaTNfJ4pIdG7T9G2N3vZefUzn9LU
xe7OEaWNlDr/zo1Kv/zWg9p5YHIa771Riy2XWV+xX3zRG9FmQTJ1RUVOyJfCNsVhCGX6PukUs0Dp
boLmxDWlfLNjp7nWhJiBV/3ZVuRJ9ssgiE5I5xgYvmSz7PCkQzMPN5W/DB4xV0M8ybfeOh7PYtzi
5qlr29YpItpcnrQamte+Hxo0WExL299etksKPg5hwJiPxEPE9yogBBR79e6KU1nWTpZT9zTZIusW
Vevt0jqJz4Uta6dw6Fb1LeEg3g/A8eVhShjgrvmXWX2s1NZGD3bX6nfVp8piB5fh8hj0LhkJQW0F
4DXTIqN3NqRw9PxN4kZ02zZdltiYvljnxGy3G1wV1/Q1XYLOzVsfxKzs+DHbuG9AHoYY8y4APL7P
eQwvvVldcVm2AXXywVll7RNmqsHhReA4/M5xTRkkCUyob8du56Gtm+N+0fGy4KJNO5e0j1REuiDn
fL9+spCHVnU1wxAMR5zcgdjN87Fc250F2F3q4MUEVJ0vWbpLL++WLR5fFUNSf2xSLtIiqLpyOkWt
V5Vn7CHBjzChTeF7SxunaJbeftfsnKWJXMey3I47ErLl7Omtb28WtnXKO+Ola1zUbdK2RdwtovnU
O3fiTVvS3xD8D1ZTe2DgwRL9CwjXRlS3e/HNUoVLTGBzkH5h8vV+Eiw72r/NUiXlH6A6k7xQXwOm
ECuvwkQl6JJqb7rdw2FIILCanjZWAtXQ29fOZQ7DAaRL1cO915ZgWzACaBWtAR1TYbZfuKqUm++Z
HAjr3oZd3DlRLfSpHhP5NDfe1DyUsdUuLUwHYxNWqwe/USu/z5tplPtrRzvy4bT0ebmN4/4dJh1C
J++cwTq3WZNt6efY+8QhTTstxU46Vn9jd55PPqauGItqdofkHAs9RE8Zka0Eiozd/NtrghhZrtV9
dxhZiR1f0rVfnhI9t/HBzot3jNtwfyj9RvrHsaTzOzKdiTs1xRNUX5m1EfH1qv3r152bPGzDtPIz
jOBh9KqxiXPunbm+DYJNqddo8A1MxyBcXJZtR89bdSIEmTapAOhc0pqJxMdasUmx3/hT2r7XDcf2
2DsxGtB165fXaR3s60aT3dygawBlkJTI+DCOA4NRXbr+B19p+sygYR66RcffW8YjOwxhvZ2TZi/T
QxKL+WuPsiU4iKin86qnOKg4C8mEUn9sCBIetYpfPOBMAWwQJ1g/pokob7AAS8a0jp33DuTdOSDl
LLn1ZUlJ0ID/5pCNNhFg003IFuRywJKSUKp5jSbfHhMu7XdtR/lLgeI9t9tCO+a4ashDlk7eND0Q
1HG0DHy51y18pibs1VSIcHP/k8IL2Lg1Tt7PvnaGX5XfOeth3Ix4DemzwmJl9jbH2VfqRRNBUh7I
U90/117SsY2pjI57bSeTD9c+Exoj7j7qeGc2F3EN4xP7dfnR9XOE3OGK1y/M30eD8qGhpZ1aXdRm
a3SxdX2c8VaE6i2DiAaqWhqLnBA8ReZzPWY/bY288qZnBnjccRK+Vc0Gi1d6k0Nev97sU+8okGjP
1tuvqkzo+uumR73hAaDdzrLt4pP2ZHtTztpCqkENEVQBoslzZJ7njDphdoEJiuhrWhal6Gkpf2/9
un4i9oEgSqHEYdlKNmQ4LUWewWkdPwK+yP7gCkr7wVHCsSDvjf8rXuf0ce6nESLDm6Yud9Jl46oN
fPWxZG754oWEMKTLnr3btOxcGJ7NOgevUeD9/doD3JnGUy942yJWn3SUbZC8KvpcfV035ykx9blm
y2FzUNBR90bLnX+/s81tYLIFkmYI203lMY3gjclCMRx2SJq/VQIVcgADZa9Q5bFVib1o9pU8CKmP
6P/nLO8G65Jt54Fz51FPL80osZU86doGtwm5b+1hMs32p3YlZkpqM3itF+mJvGgv2EKweljtHMu8
gDsbQ9Oexrl0n6dycpODNsBdpDcbnu8auno5q3EAqVgajEFG+wJGeevNj24r2//0mE0yr+SSQCa1
S/wuHTkE5LQFwwfE/y4PmWYUzuXcp8OZn9p/rOqwgRHXTXZuAxoHqIgS97Nomlc17T6Ryd3CoQpZ
mTwwKxL9xktuh8s4tT0Mhy27t3qad1F4dWbkMVpJisrdwKZ/9jbAfbaKUr+iFeie2RZhntYq0pyI
+UpuMBsvPwdnGe7BB6q/dqtnJkiat18L2d4PovNBclIb3wrvamDZlix6C+o6wrYh+/g/aXY/O27t
Gss3E8C4cQbteLMuHCvlhv4nI8YVOd8ShGZbJYe7aa17ljWk/kxb5Po3dW/L5DgHkUWOFnf1r6w3
y0s3Ai8cFoZmewKmNGVudGB+OaGU8mRXNf5EMEHzk7JuNS7oLp0IkcA632rfkqupKeATaGQzTTed
sHo8tXS+b0kd7NMXutPVwTEGey7OgYOQNheJM50cU6npbp0zuOY4sNdTxgK2HVzBr8MLtIVfQ5i7
Qtys42blycQmCM714uz+pe0z8dnyqoUAtioKfgPJLt4PnLWB+qLFrBBaaKJ8gJj5k3vbtSbn4va+
wOFlfF7M3LjHntVyfIHKxA7TFP80mH6CwmxdPeIb0EEv0bO7JQ1dYVOO022009AW/jq2X7GEHC9K
7ij3KPsuRDgBwY+enCGkuTCelTpPjS6z074vxDOFHSjVOWu9fsJkZiewikQP/9IMHgoArl0+Emaz
lNMe80VuqBe7nBdi+dOnqRAoxHc8TdmqHe92osVXp0CsYOEH0U7yh6zgav6k/HJyNzau0+RqDDIK
JxqCFVaiEkGxq2ZkF4WFAUkKtfMX3nOnhdndWM7tj34FRuc+KZPnyMbhf+tk3fK4pN7oweQ3yXcq
PRIABnd1IYUh5E9x1Dr60taYRdBEM5eiaHLJQbZzuHUwp8sAcpDWnTMfI224ZI0DSnnCoxzPR44d
4ACUdYiYbrcSV/3m8KJK64jnYOia5mmOBiDSGBAFLUSI0OaW9jUkJawZSlJbmxAZUUnJFXkfhY3M
A+VbGtgpjd5cL9s3uGPLRImYo3MeepFMmpkvq0HUArfrT0GnscrbEN0R5GciO/DC1PvR+d6V7ugJ
2rkxVpessk232OPezqIl7+uMGWilsU8PTgJSqjOo3hxUPv3Ne2yWQzuuC8SkWeaqIMUjtT98NvGR
jSz04hzRT43trWrcNj3Uew07tiGkiI9bzPCac6EmK1apygYF4emMuqttxVB0wg/MU6VnD6JXQdPt
R8ef2/24jsLWz0ZVMdFGM0TUcxSg/qu5T7dkfdaAarqQ0bDXt8O4ie5JxW7tnrew9/VNpjSovZhb
13neW2PqSxP3WcLUaeRDOg/VQqK2k23tD3C8bmPeGdXwGijbuNfA/XBs3r0y6jLWnSRwL2vvRBHf
MGjzZ1WPbE+SngCqz3b3mny/R/Gh9pS9JvDWc18Ym2l7zsohAcZrHSzogzOavwjGQMXcoE22E5B+
or46dyf4eAucdT15TimHQg6pNbmzq7LOrzth94Plc1Blp366QLjSJWG8ZzTYyG6lKkldmjs0d4vI
kecBFtXRBhbhgj8BWwots3wNkjjN6To0FiThY5ETy46jL13UOL5Wogamp7zq/eh1EZaJqcmuoiJX
x/bcTenyxYhTvSSmggzxk2b28xkRwwTsQfLWcenk9qAg+VkQ6ExVRX4C7cRP2bHZ8uDGtXBOPFo0
cLKH+j0I3BlLMepxyJBU+Ht2QptWTvdZW7NMJUwD3R4bw65VPmRgYBQ2ekUGYZHwTSCNWz94t8fp
ZbsysaTwh8H0Y80a25yR4Tb7ea2ZogrTZv5ecLUE001qerE9KXwDD5MjmuXT8/dtJHApnnjTNgpv
Xk4N6bGVN5NlO1aEk2aH0o5t8yYEJE1ehvgLyMuG3wXXqvfywcohhDFKkg7Lo6ljFniR+hzeyhmd
7RHMujGncc0wgwJ8G+9Ed5rGR3AceV2i0e3ljW0q9eTAYw0Xi5+lfVsz8KwPNx1r/1ZSduq/q0zS
5c6z+JYP7DGJzMXqLr73hmSpz1VpxJ7L2nrElMZoUR5K02PSRlZJWNW6s7OyqJ10Z+SGV2h+OG4S
zPc+ErXsccmcdP0Kx4Cq4YSV9m93ehwSX8tQqVzxw4piX3QLI4lmZCUYit32l70rk/QerUiSnVcD
xXjp+yXrgEtZm13my8y7c4YMntdDIPzQO5Fj2drjFERlxllbEjQZ0RzWtzLVnE2NxMqcp8GN5T9v
cvcGtVaA1G0Zs0xAi82DcX6kYSeiY7s6ZXtGqGG6wok2b3ziRu6fR+FRAgcvGfVzz4+XXaQyffkh
V8dsry4B73x0SlX50OmS1taIrfrjORiz770u4VaOgamdOwhE9hT0QL4oMcfaa/9qE/tsfZiHQB0r
M4QQqEDx5Q3boKle3bwbSCkubdMfd6N77+RyLy/vDqzOcmVuoPzoNVNUieDUZX2zVn71BzBCS+eA
7iawhVS2jA8bNF5/s0IGQChnQvknR2aOPkVuRAa79du0uo2dYfHP0e7t74ksG/J7Oj72OTK1j2GH
o/NJGt1sjiu28x6ihJLNevKZr/WqemHQYEJe8VklzrgWkOPI8Z1tiSkdGYUafZryr2qSOVkuzrA6
6o6XHS1Duouw+y17ZrGD9ScvOups8+Mi3NYIpMjzx5jcNBbg3MVDst1lU8v4ZxeHXKYl3ENzs5mW
NUiuCJ3m5NgOzUgQDWGY+3OE5JcKSUl1R8tIoEr66KmDiD0PiI/NQdDwqIO7pYtToK0j9XotfeR3
DbgPTAYaLSw2GeznsZVT3H51w+J+y3DaJlAHVe4F0gvYJqWT5AuSOEzOUTp4b8xGhBzZqQ25ANt5
ah7hTYQ+Gwnbc9PK4PouL67h3W+FiQ/LGhtKtApR5U6dUtGds7usxjISC/itUzk+h2CPwLf9qGv3
wxheZyu1+oElUVXa+MZHoeJenH1oYWVFRTPmhFFw7R5m5lD811FWyBLlBCNgn5JHtO5VeGjGef5P
DP7+X3XddHIU0Csv+xCD12SrdPEBl8n+wc2B1WhiBn0JMvjQ81TO5od2ahz+2SDnVzD98SlLp6Zk
/JntW0Oihz43k1QskGOw3xEUTsE/2fp1dADooatpvMCGsKZ7DL8Yaw+BUZYu/0XObMNLFa8ePzyh
Hx34kG0I7kgi5xc8ytIgvBvj19lCtuVr1iqRl3LxebSVuz0QkrERv0J3wup0m2WEFS7WTofOLPWn
22T+F5PZ+LgJRN6HVWdul2+Ijr2L8tbor+OH7YhyPBYqd23UVQXU64ypMGmnB1KOK5OnddtUnNJh
+ZGgBRwuiUUm9FuBeK+oAxOOLQJy0dwCUYQT0Zdicw+rGVKEZRVn/ohsjBWgTA8cuE5NLsjCHJt/
ydbvE6a4eXROS7UhrDD17O1nxGTu/cbb0xUyizTtK88C8ikKaFzV3PhnEkAz1AEyFf5RBqBrxYpo
lzoTBpZV1e6gBqCHbmHP0NAQ/sfrirU6iZcWOCet3Zs9SB2s7UnQb+Q1pNGd62ZIFdXIJhJqAUUL
kYGpq1O8tqmfbz4NBy/YLNkT6vooEk0Mh8t4dZUQxv5q8KYNFEyIBe1ZVneUHPBysww79EWuucyi
3R5rBOMSMI4+gjSsligMBbqsj7TF7cVh2/P4AIuevWdIAPpjEq4OQvlZxFHOrtc9uGlRpJpbyAPe
BmdHWH0UjaYj0MEkkbK2QEJ53FQTasMxMT/SmNkoB+L0qrOOe2j8bs5Uc1SxCL3c3TcXok+s06tq
XdqNKEnll46jEVWt3cr44q8pn1mZ+TFYuvRfNLTOG6qc5HkrFXKDcUbwd8uHAfsyrd/3+RjrDdH5
lBLmxAhg/yzJFMmfRo3ueEik9edDF7dV9AxfEdQk6QlH+DAtVej5Nz00HccOftlDjI/S+KjcOdp/
1CnY7QH0qSGTegmIOe3Cce1Pc7xHjx5PJ8sZP6r1SA5b8tDO6WIOV2XNLwBywb64fWrmPJBD9Vq2
isZecMhuoU14DYKI0fIkm3l+q1nYwwYYC7V4XpYK2NfObvkzruSenuhE97IQ5QhCp2Ze9jzZZec+
yCSwl2CfK5S3dpF03M0CzMyX0Dk/k2RXDKBdg4Fm00FYfi/wQpfrQokI2Qan2Z4jV8yo/lVn3hwn
XCz7J0E+vuUSKMaWcSKMj0xbxyOJn0sZRKOzL6K0EsVXrNhFkYx4TE6B5ytzK7jt3mFl0j8qQut4
06fz+j2hqKiLKQp50XzUxvrSqERgl05mu70MrCwy935t5/ozCXWtT3zNkhtxCZyPbZ6S+NhWXMn5
1C+RudVDVaoEpUcY3GucHRvSLBVgd2widhgCJuzbKenKLD5tTTdc0Zku+05GL/0tV9+MaIJl8O4I
Nf8MJ8fFrgVN1R5lXK42X5s9fZnHrq1RSzIbn/q49RzM7BV5U8g5RshamXZB+Yg8s5mLZUuJLaMD
iaY3uBXWwiUD9po80THx8u44Am8vVrjfa7jVz+1cB95hCiyIY98ztT362T6qYqwagzZGOxNJ43JJ
/eLq/ZgAMoz68LX08YvUtnzXuoRDVXXTVFQH7rQjA7K4E8mSUt/CCjCaFgtLhhnc/lO64/IX209n
HoZOAd0kelvTo6P8ob5peAr/lmjsuu/QxSACNMUlVGyrBrQIlKKaZqOzswI0qurlGNdz1f3iAdYI
tRlU18IQpUESLoVZFHEQdr9GKuWTq13zjSK3Y2vZHqFmmrwtmvN9duNfqwmm6LRwiTbMh/Hk/PC6
q2MOIpqCLYcys78DDA1P3Yjy7LdSrXFuZjTSboF6r5nuWjIG97e9gtjMm7gFXIDzBRY+tqYT/Q2g
cjn/pSMK3dOSxsa/7YyR45PjKcUVZ3Z9naY0ZEmkVOChe/DKLrhbbDSXBXLBNSYrZ9nC12g0IREf
LffBBQUsyzjTSjco80Z/q89qn3V3qsN56i/RXInkdqNaOzdAxdCh3jDBysdeuHgFhbJ2T5UfwZZX
TGdAH2m1vDZzxtDuRuH0oeuRxW9jnML/eiio3uJsabyCutgToOpjcUdoUUOOLiKduOf3eHwcrYOy
PIaJ2k4Isj0+dWkRybORwyC32wMuDajxTZ4n5QzhPccxqY5mYZzPKw88/DBhuQjPXIn7mgu8tM4l
cz00fQsaMb7eblzzytXON4EO01uvFrW+ZHMfhMdBu+XveEZ/0vRRXxZalvXfyoRlcKiWoGkeTGId
cBnsWfW9TzzybwCO7Pc2JEzCnXGj9LVn6HcRnqBv684d5BmCY3jD9a3c8BAe+1rMdKJRZHgX96R0
T3Oz2PpGR4iBuafcWiNkDybWt+o5Le9dt6Q/9nXqj8+sSqmbYlXzVc3XxsmcfocOYwOHtLefelg6
7+x5ijWuaTlm3v0W75BARu42eChD5DAnL/F3eg5C+7ZkPEosF9OK3qdH7gYYJs21IW9sNCJvGLwR
WCCMEpIe4ej4lxwkx1JkofPgeaCzFW+vF2FJhpYe3wUEpDwJcIE9n+bS527IRPe34bzVeQr3PH6o
KGkIE8AWwQTitjr4FbXb1r/LCVYzr9nUApke0YppvanfI0TYv8yGEhOhT7Dhq2OsrGq2laY9CMZo
1XvXLm5GD+74znC3uF3HtdRX46fC9AZvtLnD1z6a7V25dg1eM1OxCgreUv70lVjDfBOLZqmmlF78
k80CI9rRBj3vwa+N4NDtegJFbOml/FybyKanICUIA6NOsg8nY2dz54eK6Qeh2l4/aUAq75hmhmCj
VTi6+ROOO5jxkg5Lzy4qGEBxnHW6f1gWnz4LnEqKdtlvkwcXpFLclmG5VPebz9x/RMfVdA+hq2T1
YgK5B4ruKWsEWga6K4uEcjDpi0XkvP2AGve+Zhdy6EiGh9Mf6wW1C1dznVBc95h0rEqu5IZIL6rf
SZvrtsvmobOG4TFGPAWlf3Xc4LzTzH/syjiWvUOlKPu6/QO17oLsIRtYs+dYERb31qcERrLBeKam
ILBOv5a5Fe9dAr2Dl0YIEFnGV+80d1nMCSrrxc+Rwi73g04YXuchFI8ooK/WajP7+uB7NvpSibuL
ZwhQmidD0HJVJN4svoGsAioXNCTqnzUa8E54YO5b3GbtIdqbGNeEvEqc3cbT6T2KBFi2fk1m9FHM
YD2Mc9Nl1OIR9r+M+NX/QH6r6iYGShpOTYxYiU4DqT031+Kxn9eBHHoovb72jg0NLzKYtN+QRfZu
IPRTRcPY3Oik3dez60r13Y6M8UW8B3Zj7Pe25pC09fTPRCb+rt1p5GqQXpu3W9o9D6VOf3qYQb4T
p1VIESsPi6GXpHNUyHXAHqq8oftWenW8uybycEogZm+2o19lLObVS5QeStRy0X2w6Gb92apoLQ+8
tgk7PeBRVZHEDRrnNXTQ/45ZQCJ/K/sAMnwy6Sdd9aAOMbYEUp7KClMamn8UkVlpDU8oWUtzdW3Y
+sBXT4+1dUs05di/F5cePVK2GGfh6a91DkAGezGY6pKGY4hnNLva7uCR6OdzB/aoxgVphY85LlUv
kdqCB8CKZQVe7Zc/0qQJjpsIEBS0CSPN/o8eyXwYeLb1VI0j3eipSlDQygOjlC78uO5JeWO8Y/YO
O7Ni+SpZPzFPg/SLslYYLWRYi7chi+sR8YiIVb5s7URsv7c5A4qNUr7g3uSwZf7m3tKnl2nhOlP9
xoaD0LnbfeGpojVraR9nkD5aXzVmYZGB71e0XfEsWCGOCjtXyls+WaU1x/maQPaVRNVskHOp+SzZ
Xqw/d7ODQys/blhyrq7HVFdd+A+0hufQYsAsL+66TrTevNY8JbMHfg5vGPEkw42tIiHarCKZQoes
DX3FN8r92h5NVYBTd84gNJHUN+6dbTKs7b5owvepmib2N6Y+Upy4qmbgtMpxVhYSres7nK9EldPj
QgD6b8qySHyl71gP04KN8k0+MZx3T/FSYioCiBpEHqGaXY/p3rq4LuerSzpyXNjcBr9neIDR9O+A
RtbvrfM2fTBbax8EM19D0StLc5bbVbQJAe2+GJcv5XFbICtuYNS2kZDAWf5BPj8ypUeRfOQLbA0g
HepWGJAmUCcv6wYohi30sBghbMQlMezqeXbWsS+qfmDgdzI+xDEKVforCFYMByCh6NBF6K+03xXh
s2zu3PF88zoItsq2V3GndgTTo5tKFxMvMsEcVDP7jJMs/i3dduD/AbQ/l95175limz0fIJw+qpI2
OQ/1PmAeWMvuZcbG5h1Ysk6mdgs2d0BQDrxCUUL1O4I1/+H2naoTWnpMgzwSE5xMUxrvEAW95X2v
MqLA6ZDW5KHZ3eW5ahz7XPuedAsUTGI6xyIz/4kJT8qhjRaow5QJ9QcUxvgDExJlKg36Lrp4Mzr8
OwVp+Ud0Jb6FvQu26FjHdfdKrOrGxD8F62M0wtBflQArfMc8ibfQqN4/kpKGdrLaTXtbsqcNT550
yXWJxyhh9veCUkqu4GbMHriDHeRfJUvnkRF4TjN+hyiSSMDB5zO3vxo0kUgWORHi1gvZoFuoKMqw
jlTsW3hxXcbw53CSqbrl7tr+I3UgnO4Zrtb6PIlIfhq2oEUovNphfm/HcHBOjezTxwZ4ktrauDxY
fhBkdZsLMkKUQIAKYWxDuDym1CW883BFThieehPqo5AAmR+7iKpnbeD07kE63dfOTXt112YxoPYS
jEHzqJM5UnelDK7S7DXz6mNv6NixInX7HzzEUEfMNjQzjH5wznDE1Vc60y/xO8rovyAB1j04bo/d
IOXP9GBhyA4vatdplsveL58Il2rW42ay+UU7xgtuIohi72epyuA9XNr51x56ekKotI71IexHxlS0
CtmSoJ0QnVMf1i5jD2GSIPe5UW7v7nf4YYb0BYO1fQtkhxbCtNOqi2szttzOY1IbHmOP0Q+/B0Sa
6dvUKdpRTUgoGx2UR98VFAuUVOUFpmD7sfgy+AR5adkbtC4twepznKZ5VVfqe0/TAJn35lr3gO2j
+aX2bPnKZOfwApoQQ4pBfvrXp0OCQZyBcXIE0mb71E63wuKt3IonSKAgvJ89wyyMq2i577G/YpLL
Kq4jBveuyOxgwkOVCkTTGzjEQE3YYQfXIHTxTZCOGZ9Cl97+JdM6y54TfEPo/BJdvTqAhtuTiXVG
OEPAOCMB3R0kt1g6S2KpHImeRmBTXXJ3GlRwCYMaFVrHHJEUFk4vy6ewmt9lF2046FaMQpC+SXnc
wsANb6Z5GEkDqKG3RuXM83kTPW7Wel37wlNNHHN7l3JCn88+Qdot92vcdhcqWo4DeGsbiIsH3Hs1
silxBI2IZt4fs4t8a31mtzX064vuuSxuMcSXKNybztE/6XYEsUswXs1jh3Zm+cfoJgnR6EvCgQ5A
pH1CXa/t44iP4EP7C/JZudBLHAL/f9LOazl25OjWT4QIeHPbQFu2JbntDWJbeO/x9P8HKkIiwT7E
0ehGmhiFmF2oqqw0a62Uu+JpQM0NRN8IqpSfa2rx58AymmCPtlf7O/KhKK3AKhX4h9xQvmmpMJwj
ceAQZkGWR5u2aPJPfdgnT0YQj5QhumL43vBY/25BqOgTVaq5pn4g5A4a3YMMvl8E12uYvfakuQMo
Qq00lS+xn0+uYDDcxIZ2l8bsB6Ge3eWgK1dBUaOkU6sgwhyL32msBnzRZw2tCcBWZeB9rl0/Cp4U
oFy0/vGr8VMh9/6nKDH7AbRi3VwpDpc5R3GETtN4otnu6AdRh9e8OtE2ogRhd5VTf/xjDMSZTqWM
4bkeXDi6Y+NXgF0gxz3HaNC5oHRlpFsYNTpAsxmC+Hs95qa3yjoBwCpP4w+R6106wEjT7wbld9Sn
YCO2DnQOhAzSTjRsutPdFxTiBhU2Yhhe0Ou3GL5nioK4rQkxT8Ai/C8AkcDUa/kYIq+KdMcXSF5t
uUGi2Cu2LoAnD6h4FRU/Rt5xYjAxUp7ILU3fTpQUdL8YVOUN2EkfHIAsefxrvevTvY64THYc46TZ
FWNZckroKAWcXVUHCk1f4AvK/WyBUdXtORoz9XspAztdGdTzENEtOyrdggWlByyRDmCKynD1rJKY
/4LrkdTbxC2lv6h3FPK6Z/bTsBtozzM1s/Wm3WjkAIw9omZjQ4NPHDXoInlOr7fI5UyxjSgfkE9n
AcLZKMfsM0UxeWr8dekXnG567okJRJsyrUm0VAVNuTJUP/iFB2ikFbSw3joOyFbAyZND60C5GL4/
YNgkelTRBWhZZkYFsGxqkzDRirqToQLMwuXlqIgGBSHVKohiHE4ba5X+qUWXzf8BccXzt6nehkeQ
U4pFTRFlIw4tsIycImW/o6BS0Kr2GzQVtBD8pK3LITO1BlU0ZHvMjQ52gJZavydw1amliSBuRybV
awTsxVA+TKXkH4HM0EbQCYbyKdJki9J5D1vskkldVTzSrIJllpiTuIEQRFJ5jpW0jtaNkWpf69Ab
EB0mOru4NJ6I5cE8fc2lAVpLK6ejt2uFYEgZcTyQIltt1NIAyLw4pVo0wTYownMQuAoFJEexLYn3
jYJR82k1eheUe8JjI+kwsVc4uDJ6SiDuWWfd6FKJKK0O4X7boioKknhGioU0YpOFheaaNlgVrfo5
JszjKx0qtuBlV4mpGl2/Yd4r4i83APlSIV3NoYFhtZV8OUhg9cAITLxHa0BjoXgwFVDBZIrkW4q3
1uHUawYUFfjhwZ5pfqbA3GZNigXi1NIvfui5PopkgACenChoc6jpqW64m8BlfE7qZKUsI0samkTf
KEC1Yvo3r7wCUCZN6647CZmlWk+g1EdzLWddR+QlBggpKFltuKtGkYY/Cgou2WF0CTjoMKh5+twF
bpIffDwhCT3TJ75biDeJ14qm/sTXxsmbv4U26byrbAwWjRtTjiwUKvsgbvaRQJ9/myod858nMRGK
LZ2XeD/GQS+T/ZB3vrKrqXN6J6uTRf2A6h8+U65GP3E6MTT6p5o7zSDi1NB12BloInwuGjkcHyoz
0twTHCMYVzIJKjwuWqIgIiRufy2vwOJBzFql3C6NuBUSyZrKRyk8UjyBvNNH9G8PAhKb/UpEBIbb
M6JSgI5RDC7Hq62BP0snvV2ReXdTca9gHmaXpKDhLEm6IuIbga1vemmETGzRJQB8EX7S2lL/IUOj
4b3IO+tRyseUgcYyZc6B/iJ0oTgJiWx4d1ISccvVVpHhDlfV1dT2Qn+KN4wbqX6qFJMRnB53/NwK
bYvkAdttHQSttH71fuH9jPgA49oHGS5SaKCys25KvfqV+B3hY6cGFD+NhCaSq3T8zcAdO7hzqjx+
y0dPcHdylAvljh5e/7lNjW6T6rpcbevK7dtz2pforpiACp5ai+Ie2Am4wLvezeGdogHUcVaMCPXT
lhN4HjNe2AffAPsDbhLvgGxQ6K7pdpe7MRnrYp3VRfY4DC/vnSL1nwqFThwoep9WJhSaVLd97Bq2
31lST3Vci2CbFI3a79ws8r8gOxKQNTSJdYTQiuZJp8bZOlYlzVgBtwCmGmig0VcUbZtsh3vP8Vlq
i/zP6Ps3il1SuSJtp0RXiWRgU+FKUtYVXMwn+vj0p5UiFi6D71OsLb0E8rrbWs3frtNr0lMuUL4O
AVWQqlMjzigMwkw7e5BEXaQfMqnZ99RQHsyxBjXdM6OdAaqI+MgPjZKb4Ky9CgCFSH+24EIlfbj2
lbxiaZ5bj0fZoAAKPb10W7urqEev5FYaSUgq5Ievcan0wdasTH8iahWFeJRbmAU0DQTqdnnZt70j
JmRcNvmvCIBiCAFjGVkFpcRrkVqgLReuvEpWMkeOvO4PsBtyPxfEKSKZvtGo26wyPKgkvNfbjCkg
4xp1MO3RL1BNcNDuaG9iZ9LnblyXxAmAHucsBvD2qXYLlY6xVVWOoVJlBjsnljckYALqWag1lEcD
obHPQ9b17jlj6uwXUxxKJ5Llpv02KPS9qaAPVkjcS9Oe+02zFsIsgqAAHMvWWtHQEVMbmVAkXqSQ
UuQa4AkgVwWRAVAXpGYSnM1S+5JPaY/jaugE84v1PNlb6uh+KkUD3jPdW+3JyMXBgVzeXoq2jDcj
SFcPIL1e/4bGD4AHhgiVd3T6SDZGCr7imixevCA4Y02MZZqlKyqQEZx1SNzSWoDnhHgHQGRAhAAn
oJfmI912OSnjL1HSxe6DGcdCD8g7Fp0k1BEMsCSTf7ZyDZWzTuvGU0HS/iuDZwBZXejCR38sNRky
HfSYFRDkRqFZCbh4E0q0+TlnVvWQiZIrM/nEKtPHXPWoo6RiWv1NpTb/mVEa5heUqUmSTsVg+Nlq
SWlQhy36S0Jpq1sFqatYf3RRoHmk0KDfelJkMb5pkOonZCT0fNX6ZkJWVOdpAlygUA69WtI9qVLN
9/aZXpmjY9F8ytdmIzNXxwR2/yBNUkPrIfPbC461jda0mACkSbgDYTtNblPOedIM3QNUABgTHRok
0r4I4IhZJNUAAcWq+tng+5tjQ0/UvWaVEGjkKaPsiLQB4hXQTpTjYBv6QrjTkwYyWKAa/g8oAyGQ
4Mrq6ovv9XrF9vTgvcKq0Td1Di33gtC73J3E1u1plcBoCaINYAaTg9tFUAMlWMC/AmrAP9DRaX4i
CVhFawKK1kAoyILzyD/L2cmA2yDsyVpaGX5wncXrgv5ThiYETBqKEkEL3MgllhJsixlj0aaMSZy4
WQH9QDsoFUF29Ng13QNeDiVPTREmJBHieujRtGPXXCHnI2TOwc9NRE28EfBfbWuB2igXrxJScCww
ioOOR82HnFHaEs46eaQGNMLRZPSYtulqy8t2lhZBUKTN1iibEW1O9WHoaLdNlWCZr8Pz65Cajr4d
xFL9u2sK5Zqo6FrHttVQ5TkNDBpEjCrVRReX6Q118QDSJlG/SkhK0P7VBKG7UaLyy8/AJX0PbjtQ
AtUJwbwAiZFpDFIbRFkl/RwYrf4rxtEAAVHoURhjq9Lp6XTEH8G1GbHTleDQgYPTct0keVS7+7gD
Q7lFraestlZHwMKDCJDDssWwjHLAzrqFomZfhs0hSxNYyX5bKqe+90TPokrtS8rPMVXLo5xS3f9q
gOqSrjUoRNEux6E2H8O8LtyjBVmS6kUuCOikg9bstgXEW+GrpFZtxjxf/tpTbFDv31lFSRsf+osM
Bg+aeKQmjux6xa0W6lTeN9QWTESYZPkplAMPKXhRJrguog54jzBRIgvJq8WDANAm2vewtr0NDhlI
QF1KpJlWWaM2kBim/50Ms6+26GY211Y2imoddHrTAlSuBW8PudgT7bzNBlhd0BAk4cGkeo9ul2v5
7s2NcvlXmAtesc/NIjfBplukIXB89e/4lBqJoZo+HYJOntlGVBsMxaRvVgGMKb5mIy9gDpEu8aOD
74di/d0UCbgpDkCFX2fBUChnDX06f5eFgBCYUIGA1EqjkseE4Dj0oi9otXTehNLVxMesqPLswhBg
ZkyUilpV18oqAL2N7Jm4hynkEbTLgqYUz2qT63Snm4qqR9uFQe8kla8mV+rmfX9QdMA/QqvocAEM
NXOhszWtSqjYa90J1enxt2q2WgAwtw5/fqw8LE3an3MpTXDdDEgQZd5feaY8HLWJZIJ/qk8gh5vg
SY6TdQISD4NAnMTVKHjP3hhvmkzam7vattmpBfll6Z48qSkDMhKZDsKYkNlPKPTUyHuLn8BYuwG9
a2+NlogDJOSU7JlYYXubxfECkzrru1UrMhOWGBICX3GmiCqwrDY2vObUxcWwbktGoJQAsWgFd8wX
hEkAnoIRnduoL5qNoBvfUkhre7H15YsHScFd0Lh9Nz9Cki0wpQy8N0Q0VOdS5lqDoI6fZc2J/se6
HXZh8sfyvqLUtbDZ77WGJzuovfOxkf8xZ1967KRGhp3UnMxbXz9n9tDvjZMmrGvbkJ6D9FQ6irdN
UGSwM8Y5XpKl0Sx3dvqN/ZloLhUQX0ZmARLqD1LqvGakqbaG0Df81k7dBnD5jtaJL218a+EDS3dX
ThXTYjy2zNrnKzcCZvGJdcMAltwem/OIcAbZjiduESGweCm1HE7BX/JO6s7rfAIe1/tB+St3wibP
ooUj//47UIETxWm7p1HTL6PgX80YKGuIni3iZSfaOxev2NBDO4XF48e7fdeIxPBMzrehS/NDRZNW
6WMoDCdJTW4g+h6U5jFUn/6BEXJV+gCEZvJ89niUekqtq257Qs32s6VLf6Cv30xfWVDJnq+Fa0EM
AiHQsCgsaubsvuqCVYmmliOnFHwppUfZ+GQWCybmJwQTkgiuRJckjaBRmgYnvdoTKW8tRovL4QU0
al6vSwil+q6MdwArPv5k88s+NzQ7isTQWm0Sll3C/FZHj5H7V7Z+ls3lYyt3vtib5cyuWsDQgjEu
pfBSlT/l4LdpXcalKV1LX2ym4q75UUyzki8Wq3bVXBQer2ENDFwvF/zG0lpmu58Lvev3gRJejOCT
q51d9bea7T7+XEubMv2EV7uPGluvWi2fq3OvmndmU8Twcaj+y9sy3/rZfBe/VaBZiVhBTNCOpQzB
n6+qfvt4KUtfa9q2V0sJYAsQfGnhRYGGEgl/TEDzbNLHRqZP/voB/ddKiCwVSZS5ObOVABDIhVzU
w8skR7aic3YQa6i4Hxu5uykm3XiNR1EH4PZ2JWRyoJqZiHLx84uJqGyI6qgU/C67fMHQu+dhWo6s
4WAUg0qKosxui9GmkugPUXwJ6iPljaA6QrRfB0AHx/zboFG2o9GFUOZmlC+u8TVC4VtJTLunNeMD
u7TQA/t46XM19fkPmt2tvh5VNHr5Qf4or2N00AJNptfrOaWQQ6pjmsqXjw3e+9avv8DsjjEDw9Ur
qkKX1trKP1IkJhOTxubil57Pn5svbHbRRqOgagr26xIhZJqAXIZrBzwI3Tdri66eBfky6jcGDIiP
1/dyIucn1lQMXj1FAuw9P7GNGUki7JD4YqXCBeokYLorKnvwAVDwE56iR+MnqWJ7TA76MUG3iTr4
0qCRe9/YVE2aclOwp+qzbxwqvtYMwPYuueM3a19gmArcfi1dWur0grxbqibpMjwDTTaU2TceJNMF
b1jHl6J+pOa7QjYtJkuTvrkr46ZuUNYCxRfbCx94PrvIkBndRDijiwRYuqzPXEIExqukwjRcZaY1
iSSyFboQTGgO20e9e5ayByqDIRWbxtia8s++iK/TXoCAGdAJy3dUGjdamyz8qndv1OxHzZxhHQRD
j/bbcG2gXg79c4AUgoXGWEP5Qso2H3+Cd05xMkZsraCwY8kMz3jrr3JkQLXE5QsY3iOln1VZ/vnv
Dej8/Wk2FEpM80yJmiUYIy0frh1tPEVBq1v49rGFlzDnzdlhDa9NzNYgtL1mkpoPV+KhlW4effU3
az6r0bpDv5u++B4RkLawFvbp/2GXTMwwNAIwa3Y3KPoigpi2wzVKz23+DV1ER5jIe9ZFMNFD+tk3
6E4ujXd7dyFZLJ/RYEQgk04IYd9uWAWhpaCpP14FVKXrBIIEdxLoykn1F+7kPUvMxpbINpmRweSQ
t5bMwnXLzivEq+rJZPel7YZ7BMRBSp0+3sAlQ/PvaKV9pHqxeG3QFzhDMxWoVyKhy8WN9/Vgmc4/
sGfIFOhfkhlz9kYPjEkgI+7Fq1xFq7h+soifUMgvkv3Hdt49iLI+1QhUWdY5+rI82yrNA5wE8EWE
Am9cai3a1sWzV5RoK6n0Z+Rrm4lPH1uU3/sOTBrENlQlSDrmDi2B3V6p3SBejQyB1VgVflaubn5K
Rno9CcJfD5qqZIeKvt1BrUbpt9z2w0avLRO94rA6JyE9rVGCK7xyvTB56GsA7si4aQe0RFZNnX+v
IbtAztbqXYs0xaqm92ELnXBOTC3cI+7pf4Nk7i/ctHsfUoEAgzIWJ17WZicRNE0G90QWr1L3lH4L
UbeU7LF16vKcLxzFO3ea3BaxSOosuENpPomV8p+QVbnF9UI+PMqlTa7r62A8KGZv5+jr9NBzuhF9
p3FYf7x377duciMMNTdxkgaB3dvrllWRzPSOfrwaurBB/wD9D2HTJgcfAFulfP/Y2Ms0xLc+8621
2SeF6C/x8rXjtfwFMr3+Nv6WnsSDtQk3rqPu5X3rIYW4sn4kR++5ec4P5cK78zLv5t0PkEm/yVs1
TX+ZMPcq5FcFxHtAo47X7uA9qjZAYnUlnLVH3Rm3+edzcE0Y7mrtq114ApL18eqld9GGzOpVxdQs
S+M/5MkjvTIeIYwERNgYr16FfBO0qgdfZzRDmHyVEpq/CD4jElf/zOBLQxdzamX8+k9+gUWhlXMt
KxQJ3v6CXtaAw6M8cq0qgctVfqZuu3d7pwu1PXT175ClAePrZrRqiGs/Nn7vpBHxMHtbkyZ51plf
agJvDCva/lclrZ7NQ2XYVpo+JeNfM9/+T5ZeTuGr7+zTdoezor+c6WylwpynIX9IxngvdJCbzPTz
x/bevyRT2YicgEKnxvM429dUAfdkRZ54ZYWHRnc3qEGjCpE/mu2CpbuOgvIvrF8eYx7/mSmKzv6o
igk+6VLoGcyPX2H1zGC4EJ6b4OarIhbXRWYs+ae7K3xldnZuEBlUkqjErGBUm7LdBnVpC3p+ikP3
2XVlQOVr36tOzAVHLNpB56sRukNgReuc6ny5NH98isrnl5jXhgqloSHPps9OUi9nbYZQq3hNuzjY
Wm3/l6lDHYx5ZAI+3tl7Z5YMSBMtiXlG2vwkJXKqAWdl3SoNuGhEqXkHcjLvPmlwmD829VLKnK/q
ta1ZtWss+7xQ40i8dloD1YvhMjb9550qpJ9AVZw7WRHsUO2PY1He6Go9JKP6lMTjMUTPykZqOlxX
CWhoDZ39lWGhJJJKCjwu8eKhF+2P9c0LJIQMhXJ0MiqIKFzQmHGl376pbWXwjXYhu2u97UBly9WC
43/XPGEks8EjqgP2lal+WrPFGUUYgD8tCUpkDWljpT43UfNF1MbQTuKUaU9K+hNN5H1WqN9pDp4C
0z/EZSbDI1Z2ALPHhbf9fQLC71F4ASiWMkXYmgVjhJ5UwN1GvNbEEqtOk0MbcK26YOXOdTUJEDQT
IAPpHrXKt/42byzGbkWCdM1WSLseum3WrcMLgOCw2CB79/EJen9J3xqbJbMlTH5BUTz5apYQKHL5
mBjnkRlrQLfF3cem7i+M2QE6fSFFlK2ZQ1AQg1RyGD1XiCGdvgkd47t/RooLwvyn/h8tTFMsWRYJ
ni1xtjAQ0WPQUJHmZpCPoqfoI6EK0gAuzsfLeu9Y+IKEsHhyi47XPOJDVige9QFDY1Oh2iIX47Zm
ttXWyxRvIUq/a0oXOYQWsim6PAWfr94oQRqSvCEBupY0wP/CGQtsL+jSX3qg//p4Ue99GIua0gGw
frIlmvOtQplaszwspSAywGwgtXPQrwh8Ms4sXmgNSFMA99aJYcwyNdPSTYlEZOaao1iNKiaXyNec
7hFEXxAfn5gvtVON59r4noAiCILPUB/RXN1FkDsVf2E++/uLDVZUJwvBXZu0CGdnJfWhEBYds0LM
ASw7IU7ipGKi/4ODQhZnqIQyEuDNmRXkzSRa0518JagXgcaoAArl1JYfP966ezf6tZnZa6+WsPCZ
3SxfsxgneBCCG7qugME+tnInLuWbTSEMK+Lcz3u8eTXmgosc3TVU/gyAI4XouUZSNU12UfwHxNJK
TRivDsj79rHhe3fgtd3ZVxxy6u+KMchXjwaumqgPRreT8nrzsRVJvnMmX5uZfUVFz5VuTCT5mmbI
GZiuwiBGEG1VSfV/goUy1KNu92RB5Rk97+CA+GRyiowoOA7oEiz8msnY7IIws95SVd4enoX5DHG1
TuH6d55xHYDuUGsg80VlZ+WVhrJGhbhZf7z46b7NzFkGubnF88POzs25tFH0SEUAsA2/KwiLUyuz
vf4m55zYGmqP1zz4RbVwB98btURY9ppq6pT3SDP4Ua98G1yaFh5bZFyDQtoJ6Wp8ipVrN0jHKHw0
9YOlL9i7s8PIVKgWoaBCIsu7/tag4oY9oMrOuspSsy5QAKmCWxHt0XJHjq5cFS2wk+aTqki2AekX
57Hwle/ktaCUTTiZk+cjLp2O4KsVW3BozFAd/FvS/NCsC5zVlRpuJTBxUW837c7vUWDkkzPoQEhu
ABjH4WRAm0IQqkA8rNETRlP+trRioeZ078sYJlmJpSimTs47O/sZ1GmgPJJ7jeDcgKUSK+LHA8j0
FmS8z2hVCkOwjb/qm2BpXvM7tMr0EKALLk2ZNvHUfFp7Oyo10FvPu3WN/Dkv93lk182GAiNC+Cej
6dcW4qylgAiVNW6z5KQFV0nYeUG1cOXuPEoAOAjiSc4IWYhE3+4O9BtYUlLk3SBNOor2WRypqpRP
2S8Z7MYJBK+YeTZaO06XfzO8hef3fRXprfHZQ5+nWt0imOHdotTcFANK5ygtWOp3dN/tHNif5C6N
/Z1O+9s7z8dGb1/hfRItVZ/dhmAQgcVqindDwgnmYQCsDSlJa4dSylKf5s5Nn4ILrh3QQtWY92kY
4TUOxmB4N/2EsKQa7NP+bHTWKtajdVZ8E8yFi7Zkb7Y0NWScCtPavFveTM0oJGXSY8OsPuj8DjKi
H/vO92VNBeAJWCOKNeTbRLlvzw1gPllH/CS8jcPZ28XqfvBOavi3ZQOj8LlR6bIjjZ9vBt07xx0l
ZFvqf4UO2kyCLQtbS3ioEER20VAtcsEuui1UQR9N8zgMlhKNd3v+9qcqs3yGqYpI9EdNeMs++9/Y
cPNa/Ck+IRe3jw+g0T65YNUXPs+7SGtmcublO0bHMsCwC29V901hpnfz5+PP/+6lnP39mU9FXM6o
dJe/r7YojZiFDVO4CH60zbf/3o4p61R5dd5HZR6ymm1Zp8M4hLe6+6KW1dnMcUmJPtwCrxMW9uld
LM6aTJX7QuDIuyzOtikttK4WIpc1GUm6FfssRn60IAce82xXDU27h/i5EGW9z9UU4EBEG7gDvDEl
+rfHWBxITBGQG0+NzTiTdbfldO4hPwSLsLV31xNLFFeVKaGmQDMPixMNpmLQeuKJirXT74Uz7N+N
uAsWXrX3J+OtmdmjNliGn4QCQ6+bQ+9EO8Cr8lJ++/5wTyYsmhqgKqb46e03swIjEQU1EE/1nuq0
A3tpVTm/vKt9QGfq+Pu/PYFvjM07Q9QrGZ038tmine9YtnyU9h8beH/s3hqYXdV4io8G8WVfujV6
M0fgAwt7Ir/3QG9tzK5rIVroInW+eDKeIIYksFog4Dz2Rz7fF/cS2C4r65zgStH73P2ybu6q20NC
2RjHZuGSvXtxX07hv/fOVN7uXc303yLpQvFUrS36CpZtHQLHWFjv+6RpZmU6Qa9Cvg56TYXQKCfE
6dao1m1MR/21klfUshbWc/9W/Wc9s0cPtbOkaUPWAwHtIXQE27jJO8FZMnPXT7w68+bsWiFfDN04
ZQerNWgeh4IgfiL90W6XjqO0tEMzj4QwBorCLZbcm7Vr1tMlhmByiz7lD9ZZ3it2sZG/MP7LcpSF
R2vpJsyiMebYI54mY1m2fTt/UNbe8ndcWt3Md4xFGxUQusTTuLE2Sb9TfhJ+2+mDupJs5Ept/Wxd
EWy1GsdbXN/9Y0lFk4AMMCtRy9tjWaShGmh+PB1LpAgPsSPvCwccyYbxTwte5X1yMV2BV7ZmbkWW
XWYRMqzhNG3isI52xs510p2/U9aZE68/9mF3/csrYzP/kmqmMk7MqdP+cbf0Qk7/3zcR82whM49R
UrQqFKAAp5aTGKwTzn3n9GubvNwJvny8jvvXTNcN0CMUAeiEvd0hBHESQUgLEQx5tEOyZZ0/RNf8
5Nrhgt9YtDRzUaqAGr2vYGm6YNXKdRAAO6QH1166VYuWZi5KQuxYLKY1det2X62CNfGgox7LbbYA
cL3rC199vJmPyplLE3tDPvmo3lHt6bk0DpC7/tdPN/dQaTNkpsaCkETc9/vQqVfSXxtFr8f/8TTM
HBKCIJYUKiyo3CDksKpW1jmyJZsBUwtLWvpyM6/UMPc+dSNW1PAqxpBGiAHt+iYuLOiu8/vPBs0b
K24uNIpusZ7emR5feU8T317yPHe8OKhAAnYJJ0cve7Y7QPVpj8JwxohvhxgZjsk/uKZvbMw2ZgyZ
BduYL0caoSFnVa9W2V7YL726d77XGzOzbcktRmBBNJm2heG9tsjjxzyKhb1/334DaPfqg+mzV8FD
BCEYA4Z4Fyv4+3Z9ZNSoE+KrA+THIZPEtrlkUnnvU9+YnD0OjOlSVblhYcpFv01+VbBTlORXjSM6
h79LfuHeu0c72CK7oeYBamz2HSXEAcOsNaZ3r9/n3/KHnltk/AgcBvctLO19tW/6mv+xNUdbd4wf
NfL6xVZyblFufuzwRhXlCOaIHeUn9yLZ2W95FR/EB/dx0dlObnv2Wr0xP/uyTOkrIUe+mJ/ceuwA
H325zcWGCQ22T5634KSmv/jOImBHkJp8X6DB/O+vYl1Z0qUYjT4+brCCYP6Qr9VVbzP13UbYeMHD
3z2rZKvgQikgaqo2e+jrivJ7XUXSKUlgWfuTEP5NIwX7OnY3zTtUyU0GoaQ8MyV31cH5NgR9ab13
EswpYf73T5jO9qv1Sn4RRAjMSjxnsh071jn9CcO6++bu6Kva5lk4unb2UxQX7L5QCOff+bXd2YM9
9pqAJgZ2q7VwQVm8dALHtMdjd+ZdPcqfAztBQpvBdY57qX8gSuVUSw28O88EjTNLJ++lFfquGoL4
C98erCe5tcZ4X8d/Dh6Dx8nLMm1pkxyZ28bUMf8xPZeryFlyVHev1ivz8+dDqGIKbkwfPflH7VI7
p/KoHupjsNtspPOW+bw/mOj2d+TopduFM37vVmmWrkLxhNzAf8/2XOsyWRwq9vzWrLVddfJ5893d
5EbklfywnCe81OTe7fYrizOXJert4ClBLZ0Q12NU8bqzjaduO4U06a6yhzWJJQUbZKse+n23nRJZ
dzfaFoLuv5itCAN+s5wfyXdCYaAu//4M2uylCIUAcvHIZ7B22sW80d2/NYdxwywYgi0m1ac/q19M
o9/mNnMtSOgLEouFnbgT6b/5CTP/1rlBiDgaP6F3YofZBE52cq/yfrTDXXpiNrUtPC8FFPdSmTc2
Z06HdK3SBUZksw15vop2ykuiDWneAa7SPVm7hTVOn/GDvZ8jDYxS0TrFLKXTd+XBJy7vOWS5bTmL
hpb2c+ZSasbFJ7HIwhSuU3aubMFGFNZGHaVzGKe9X1jXwi3SZolAiRqLO07r6tZTXu8SZCSHluUl
Vxd/4f2jJPTNzs0yAvIso0zCaee4LFMa2h8r23hMd4MDNn0pil48KLPQc5oPowouh9M/tk5yZqzR
y+51DmJEh3zpQVj6nDOn1NeTVLyBi2h4iNo9NDUmsTm1g1jVWt67OxcnINw0QuzcNjg8jAmn1rW4
q3cfhVdOYeapTA8dg1JnVxnK+1IXQmbKbi+Ts1Id9K7t6jr5AcsRFot5yvTWfnBT5qGrztRCK5lu
pnlzD8UZV7hmyubZ+1I7wKT56hfKfBcgbzuLybKr9hB/1ktntBlX366MQ+PE5/jM8NZ/WAN8ffb0
madiUrppaS2HIVt/rtYVNc7rVruJq6Vn8W50C2rYknT4HoTVs0MOyz4Km6iTTvpp/GW8eAwGFq+Z
EbJbLOTeC/Ze25qd8FJoOr1C/uSlDCg99Ztu2+5bZ/L/6c671itjG5+nZzHkQqMZs/rYhUxH+v1+
/2epsyOPeHjDeAPMNweEMG0Kxzx64RKgdWmRsxMd6ooboO+On7KJ3O30Etwmt8jsgss/yoRefdD5
k4qvlxCZxxZdd+qq7bPrtNPryfbJK/WfJXvALKEsAJEFXDY7lbESU2AapH/d1vBonkaH6uqazdu3
3Adz468/3rK7URsho44eg4qopT7bs6QzvCRlqOOJwYl/e0f+rNT758KRtsVRGNboLe3yU7bxTxmJ
prDVlmLWe5uJd0IawpBR5pt/4GZABylhntrJ4maYnFBwrzZiWQ5R+lJ2cu/hfm1r9nGLxhTjGvGp
07AlYz9Zdv9Yr9LD/0ceNN2z+UV4bWkWkqAK2FdqyKqMC2rxP9pnYxfyoJrH+m/5Iz0XG5UmgGsP
jx9v5nvYxkTKe/U1Z8kPfgbV3JYVMhj0lp1bYlLtwXXKv8bBs5U/4qpGaWTB5t0dBEc3oaIY6Tl3
8q7rSlGpNTLvnLBqL9nBW7OLW3jS4sM/cTDWK1uzHZSQkAmKsea07KZmaPCn2gNoXwhi772Yr43M
Nq/VtFKKUCR8ufOT6ySs32oEeB9/uCUzs73SyqqbxsBM3y2i9t4ekINfgeJeuOB335/Xy5nilFcJ
cTnkMg3rVqax216qm/LgrTMqVe1W/RIs8OWXljSLIGu5k42RAd4vPWTGalcOs5I57Us7tLim2Zsa
8MaZtONl3tQp3vfWk1vubXclnYovH2/Tvfo4HKv/nO/ZmxoxMTOTPBZVOpBtzsHap73g7wje/scD
MfPEWTqitDQdbvT6j1NNavL7LGrJDU678M45vVrQ7P3MMqnSp4mSvNLTmxbt1B/DeUpSUVN0kNZ3
xmxr/f7fvqIxy02V1pXqysfo1HIVKcwk9nhAws92F/zRCw1stjykWkSFUrXJXIA5ZtpIkECO1UGm
Tdidox1ghqPi/KpBAXQO3PAfn7ho6+LpyXNut6VPeycAemN7toUVypoJxAj59PA1v8rr6GFcIcpt
tzaGNRv52nWyibdL33byFB+teLahtVEoudyz4vFI2xfBXIr3zL45Jtf+rBNkKs8Lm3mnxvZ6mfNK
T4WynazFLNNYnSTHe8g3l/11nZ+r66fd74VvesenvLE1c/nhCP5ZDVlcs1apZAVUacNVs9MWLt+9
OOiNnZnXt/o+QJCXNX1FPfybaAvAAsb9/g9A39W3b/IGuU2G+3Fcl6Bq6p3dk15AProB0n8O86yC
qJatvuBjqs05KcpPURxtFzbszhstS6CXVNgKsN3U6Te8egMCcD+SMlTTlf9X2yU6/R9p39XkNrI0
+4sQAaBhX2HpyeGAY/SCGCPBe49f/yVGJ86STVwi9tzVSnpQxBTaVVdXZWXm2/owVekXwRXz4/nH
FnUJgOKbgGd5sqX/pGB9DdzXU2Q3pZ5QkzVUZvGRNbchgVWdgNIq8H4sNb4mGMqm4Up+H0oVWiBN
hn2Xkz+SvEg6MWeIZwGNBWqSTLRqtxPZJE2UcKHA7wW7xUseVUwk19ZnoGNN3kKu0WBxhS8s3pxT
ubZJDU6MBEjAxLDJHd2n5Ny8pGvWJIYDxSS9NNOX+JA49YGY3eqx4bmFvLZLLSSeIhkDqSF+D5pR
KDZYlfj7sYG5cBV9Qf/MJnWNQzLGk4UIFhiQMU6EyLLh5lvWhTZLZqbtoWrtMv9sUmadi69KYZSQ
AF7Cn8/5l+tvoK53MGhyaY0Ogz2ru5to+xmZnsnup/sJ7J1wo52BMgZkN4E2WTr5c1iam/FT10XL
N1CSawm/h2CsGR3aNdlxaGlutVaLNZAID4ZkEbPU4e6chalf2lTUnSFwOY8mgumm+tx/gplWc862
fUJhoLefO22pCjVXHbke6Y/3vXJASYaNBHEZPL10yR6Nz0I7/oqNNThRcDlKuJnL6T297bTv/99J
/vm0K9N+DWpqbsAkQ80JdVpGG9dHxz5NWZAPCCghefu0lDZY2FM/ifork0LJyz3Kp5O77WAytMAs
imz70gvintAJRKRg25g4ANBqRGimQ7lkAghFidP+gZREuGuto3UMtN+/S7M0odX04el/FvbNdA3S
sca1SeqaJDWI0AMPs4laLeAV2aZAmqfelGdpleuLFa1ZF3Q1QMrdQhGtbvwCA/R9ZKStveP9HA3+
jf0SN4yRG49Ht2Ru+verdeMFRg6SAObEKNNG9iBk4YKFn9v80fxRTlVtQ8hOuP/ZjYIumIGZ6Viv
6QTEq1L/AyGiBZuzRx1drCr01gQ0F1AejkGKBbwBEr9P37wEwhZG/grYbUFMSAg/nr/ZfX9lifJn
UZN1KilgiUCcZtQlETmPAHfiV/MdLF3FszfxlS3KgbFSWZZgBcbtBPr33bkDX/PCa3Zh3ugnS1V5
o4CWTn4PTU00+wyRBpYgVfPA6bnkpBYmjibuFAMvFmVfnt6zQaJVeyhC5INGPH1YQYzy8SLNPWjh
NhRJVUHMyd01NpMYxMSZGJJ9ErpW6+/QUaS2qeWOGVThvtXgoLC1QfLEWrA790y5tkttfanqUjVR
YLcqUBeXQN/t6QW62i0Fv5CyPkJkZmHrz5V8eOBiWbSXoYMOTH63J1qEuE7ORT7Zd4OZrDrcNAKi
puoL+tYCqA/26vuiyWkYVycc5KsimkoBPgfbKMrwdMezW0tS0/hy7/C+jpjCnn6Va2JNf/t6D0Uc
3vY3CwOdzvCdUWkqf6syGDEJ9UrKB/CEizzTO9Bpl0BHlhWhqXiDEGgQJULqUR6AuB/B1v94TemS
89/BXtmlroO+8ECMGkm9U/EgAGqNIO0sMSe64J7kGCrbkdUxrxyI6dt9o66hEwINCi3gNakTDV96
S+BnPbGDlsWeSbdLzVR0mujv1+FRhZI4iBWxFrerHytiJYwtlqJEt6gUfMf5QYS+owKmyDVY8eSO
0UpoxBX6wqxQz62/dlUBrFAymrhA9kXZZYROhPRb74h+a/08SSRlK7lQC1ZSA1LJmufFBolNxt2W
ucZy+zx3wsrg4CTHJoDrJFvZg34HGk03OTzb48+bmxYFHZ4cSB2gagUo1+3ntVIHwexcaZyyPyTQ
EcqDM/ZqL+BtjdZCMjgeADPDTlw/tjuzR9GQQUCii0YWCALTsyIXEL+rmNYZ2ZeKy+xRsqsMtMBp
YpIlEmjKoU4rAFvSlAtHJwhKG7dDRE1B6TzQe0Mj8pijltx2LxFjSfyuVbZgXxbOj4dG+9S/9qZ6
taoqcDg0MLgF04c4cqR1BlyCz+Cv54FFEHxQPAo6iz5Jk8Ry8QTVpvwZEjTyJk7TbGHXUdfV309A
/p2APljlWPqNnwtxzJeB2jpnxZ/Y1yBTndkZ8x2PgHqF9uMBk2kCKYejoO8KFAio2yDvT01wDG0/
Buz9nRNJQ3oYBZE5x3LNgBMt8iS9I3W2mTRHNZJDXdWD4hkEkabfamMGw8jvmFEpfjMSGfTBbZJN
lGe51cihojd10WybQLlEvA/hEx76IKMcgY3PzVMQ5cGZgR2kNgkEMqFkkdtMAyptBmQypjCgl79B
ThCieoMIPG5D4G9ATD8upKTmNjJ8Hoh8JKhEo3fydnNBGLzwgiTqnDZOX0HH/wTSNLl7aotDRS6P
55m+wH5WFUQdIv6TCHo1qQssVupuiEEb6AiuqQrrMHPXoHTUU6jB5t0fKMgZVZJAAq3TE5mBJnK8
5CyoOOs/H4AaKBhjwVv484FXMXGOLuBRhvSlUwiW2ysQ5PYhGYkcWWagNX9bjus02CSQWZGEL7Z5
zprUUgqIGQ9vaeidHs/G3BaXeFBhoDmCQ6mLiiAgei62AkSYHMb9VTRfgwq5ea2UNDk7QFf1sa05
DzKleNDvp4Crka7EDjJkCv206RwecgSjHEPUSdKg43OUvtqJndbTG34h4Jxf7CublGP2yp7PM77t
HOIyX0SxQ9eeZAs7b5PFlc2MgwG1Sivges1NR4MHovPxmOmEzN/FJphi7Gu0AdK5yDGH+CB0RDoH
hA5CuC6anRjvo+bI7rnaDHo9A81fmW85iGoKo5Hux6UC3+zdhI3+3y+YluVquzEdtMrUEF8wMNUK
ZTiDhcZbLq0DUFmkMtG5YdSU1rdCKLOJC07t/zH//zVOZyncnofuq4A1r2NrP4lgmio67t7M8fJc
rRZCp9m9DO8JFgesOEZMDdQtFaatYEtO3gt2VUfPkGtlhjNxXxbzBDPxCBDAYFQhkzWZfskE0NLh
A7bsnC793QV7yZd1aHKCfDSJdlDjyFzrT1b/y0zB370EagfQ5EwMjHdRRgZVmbrFZobg+qAA+WOJ
gg3FmbbRGVVrxZXS1OumXvm/H29iftY9XxmmXGZeqEqciR028bjm/DMEii8jxM9qgAOhOaP5EsRR
oLnLBi8Z423jdA0ZvbxWViqCoK4OdYgrrkPB8YtTwT7zbqMhYOcgCev2kIOEYIiwWuSGm3WyV59M
3aZQnan7JsNcSa0Rr5Wx0bxuVTPVQogwNzWgYAKrFRiFkPOXp++4Ol1+30FjmlS9E6p7EViStNFJ
BXXpF1e0kQ2IARP1cNqSp/izuqilw6SpSUYXMiFAcTL7rH+Wsj3LkU15kJpTP9odWfV1u+CGZo7G
xBcFjnKWAzUfS30lGBJ8Lmem2QCX4qZ3n0QCfanYGIRjAQXPx9tl3hjIP9B6gFuFnf79akrcYOyh
aCjiHEKZGzgb0mkcq0nRF5t0Wgo5xMfmZlYaY/vHHOXfJA4qS1kjdA4Q4jvXtsC399jAwnh+ItWr
8UDSEQIkBds5eVzpBSuZQ/oBFV5bhNJP3LXWY2szYeD1cH7c+ZW1AvKMQjVgOFsRkOLHP5tOb04e
5OaHUy5SyEkdQSwdV3D47LKVycuVHdfCOvVQChBqo6qPDCBt9VrBSXF7ltMKIdHk8li65YYP6n2E
nM3CN1EYov98kzylT4B1B/XA7XYRAaTw0MCEvclmJ1V284M/xCn0jmoeQrndEL23nPgbQbC8EcOq
TDUoYvkLYdCMg8ObBscDrfoS0P7U+WgFcNNBKBZLXDz5/BldQS5Q6J6HlMZ6YbjTFFNh/o0pKtQN
iz5TSyLhdBTysUhX9VvRAiIA6QCW2QRfpWiEe0i0IR5ZuB5nNxYi7J9XtISr63aeCXS8y5JjYLjJ
FI1Rp7xND7XrhfHNJGum5+F/zVARZQUR7nBQ3M5hh5USDFYLTT69z6Fw9u41NvRKGqhAQqBMi4fG
KNOPJXjuD1fc/QT/8wHUWtY5F5YxJHmdeN1brdNEWqBBJdeu9Pp0FC1i/ULBwtiHkA8yDi2EWvTe
hnCZJmWLnbSz20oQQHGhTE90uqrvuQNU/eQIiStgRKHcUYka5LKY0ojLtzC0odarVcK5eKsr4LtG
3R0PanOu9cZ9f7woNILj7xm7+hAqmVWA72hMggzpkyP0GN8w/9y5Sla1vB85O8m1NMaKnOVQb/G+
47vdGJ250qrBpBk1Rl1YowhZJ5+DCGZ6efxps9sF6T08hMDfijTG7a6swhCgkyDoHdJmb4FafA/1
1k8+HhuZXQcRCFBoLU9kI9SWUEg9iFyIdUh7jtGyFEQcLhsYUpmaUE3bqWG/cApmzxriQzCpyLhw
6bMGLvW2gwhj7xRdGm5INUYfgx+mC1DP2bm7skLNXa8SN5a5AnMHefidC13kbU58qGeLtfr8eAYF
Mue2ZNBOsmDPQpKCsqU0bFoGNaYQ8VRr1daw4W3eBpfwhbF8O3/DbrH6LyNcsxuosQ3HzPZ2r9F6
sNRfjeWtc7OxOBssen/8D4g3V80af7bmc2DFy+3KM8E52uX++VZquYnQE0HK4QFCHjr1g9ZzeD27
4ON9grKqphSQlT3X+/8lY3VjlvLsYK4hgVRjKzM5JKN/Ze5zS9ZKehQhwZ2ccg5e5vGizK7/1Tip
QCuLFCTilbh35DYYNlnfl2YGSbi1BDKipVt6mrM7rwoVFOhESNC6okteKAzViReUvZOZ3QZcbXZ6
4gzmS3qeVjf9k+0kK7Wr1eMBzp7bK6PUAFumB8CHpPCfTOduQ5dAbb3M0Elf+aIGgWqwEE9yMI+N
zr1ZsY7/DJUKKJMsrZTUx1D5LjP7lViDA7I/lqsus8p0L8Ym7yL7aTLJkteYX8//GqYflVyDSNMl
8NKsWB/R2Q9KUlNhugVnOJcQuB4fXRqDjrMYQ0agdxQV6fBTNAkPsJsA+Hv523tvU1+TuWfIrj6e
1h9UwN0OQioXtP4QLERX3a2nT1w+4hoPZgN25SVgKkBusQ5sSIYbcMZrsUeXims1LIKE1DNATmUI
3KlK39Xqo5DXzIfH/OH7rQBqb0lYerLMpWkmVYP/fhx1drmSadOI4CglrumFdtU81aGjCJCJXSem
3OhKBLiaGG3DRoFQKOSF/30C9MY+tdOZQE3BhYWlz1OA9c0k20WyWUOhVM6X0nCzJxkRARRFUE5B
9uJ2HRgCyQGhxK3hCm/8sJKad4mJNd/+n5b7HzNUuOlKXjqywvQwZixBeFVRMhCU5zo5ViJI2UND
RMjDa0GvGDH2mogNoQieliH+SOQVmx17JtfiYMtFLUj7uIUzvjQH1G0WMEKh8G3dOy0yFELk66lr
iUz21CDwfjwPNDzhb+h1Nd3Utu/dDGAZtsGtEGVWGOwi9VAU4XuunlR0cHr5dmTfyXhO2E1Yr9ym
MUKm2jDKrgCo7/GnzA1aQLLqR3wNlRX+duFBIl73YgYxI1Yu+g8haCc7AtC8ucTt2iQRl2Z52rT0
ib82SO20qlbRsVGIveMdKulE2FoDA2MTWEG2SfiltPrcXYESHOrv4FyDzhHltZWhJnyfuTjBH172
WflrFrrDTSHb3efjaZwzhFo0kj3QNgCLHLWgLiN2Cp93g9MXBWTe4MSY5pKX3WrMgqMiLHnrueex
DEQukjYQVIAK6+2qQVyuhk4mSohjJttRc+n6xEogj6w0G6Ju1ZzbkOCPmlbm41HO3UXXZqnp9Lia
RKIvD07AP8nVJijeosh6bGJue1yZoGvJo9gPWcpIg9NWb117LMve4HwriAVNiZwSVLGPzc2tG7Km
HKr10B0FC+vtRDKBWxAmYwan9pHGgQZ6D+awZqV0zcpHRe3fGoO4B8R/4P9QFJZpSS9PKfvQ99ne
EYbVUFot/0F+ZbwmRwv3xv2ZvrVDHzElCuPAgx1G3YBSfJTfcsjznh8P5v41c2uEcuV1G4vxEPKI
/QUecHjBhVx3NrAL22Hm4Q4zIl5LqJIgm0qnt9WIG9g2JHik9pzeK5+IfgAS6noTAu4eYIYjwHFv
0CRlhpdE3MrD94AMQu4zhojqeiGEK7/+8oPfAiAAwwbCyyseIjqZ4eGm6Rqwji5Ny/3+vf1eau6z
LghEuRvhcbLTMD7Vq8poJS2Djr13eLwAS5aoBUgA6Ki6ApZKee0r60gszMh7ZdVJ9J0FqmEBwTuD
QcHIcEEgHTYJ5yrUTYFBMX7UqxhZFO9J66+q3Czb5570WtE1zylrg723q1iti0YN4ItQYHXPQ6LF
tWt2DU12Lv0I0w8fmd9EXPP+QlXv3jehuxKYIDBTgDwcqoi3J7lrwffWV/yAOgikVqDvMEAlikHy
Igp/P574HxGi2yts8haggp84bkAhTLlBknFKNfUYOEKJKxoI197yMlMenlXxPEpmXhxbyYda6nPp
oRslgDDjU8481YDjBH9CcRv64VeifMv8k5C+S82bRHSm8aysXtggM27g+jNpzkyPy+HCXIF3WiHi
LU4aTbSwBBskXKMTOHaXusXoNnSEM7j/AASBThZKYMht3a5AiVspidC/6GwzDek0YI8l/fPzU9A/
T7vX19f39/fD4WNzQYpN+9OBduD7Xy8L7COPg95IbFLou93aB4G11KncKDr+DngETbJ7S7QqPdl7
dmDXW2K7Fjkn9riS1pyZHSWTteUQDEThpVk9/pQZnAqUQQWwyiMcwLuGJrENVE+RYjWWHBEFfM2q
C9NFl5nJvFerxcbD+1gAZU3cJ+Ae4hVQO01X3FVtgPNDGSrssuSwG/8d3AerWssPqQm96YW7klYG
+1ngqbGFyBx4cu/ScgNLQjI0quRk2hHSm1qnvx097bcAAP9p977xtU57eTyRPxiP26OGwYGmG1oV
U/xGa4DIjdzlOZ9JjrHdlyfnaP2y9uCrGiDxqn1aa6CwAam3NLiVc3VarVb6amOaNnr+S9142i7c
qzMPwtuvoQ6+P6Jszma55Mjg7wMZenUB4C1wwpWuF7t+EyObtFmCAC0ZpXmrsaM5dE1hCvDgfNF/
DZ9FbJJXshsPKWDaL3WkZc/e88K8T9fUg3mngY5sEOIJ7heYd2Nv/NoD735MDevoo1/rV6F9TpNu
JbpCQPhWHgzM+3Oo6R+8lh1XT+Kp0VYLG4HuG/u798CaDN+CkJej4Z5lGkve0FeS4+6b894qd3Fg
7V55SzXtsTN07vcTcJB/ho28BOOb1vR+Jv4xTHkVvx6QHuZheOQMXs/26jPEvYoI73+rJm+Pp30m
y4QNJk0C1ZOsL0s/I3q1KbKArXHCEm3cteqlGzVXOvXe3n2VAz08+9toWJja+xAYEFpIbqK/QcT/
P8XsK/8h9yHTBb2nODlWVDQvub2khz63hW9MTKHMlYk0UPu0c13ZYW0BlBWBGVqByeit9vqKatpK
WGToWLRInVQAERoSe4zsoHsCHFHeijmU2+jCnXkjs7BBQZO01BH7U5WgdoqgipNsIYskCqA9t6OU
uGLgvbjCKHUAL7a+rpqF/jn1tTM6tAy1xMqsVDsXdrEp7GoPNIQ1zUFiQ9HROsdGAPKCXjuJdqmF
Zvjka2AP0aavh9SxlqP/PtYY/RUwP73biut4z6xr3bNc3V8XZqc9M9ZSf83szrgaELX1paRMAkYu
ZcfILe/pkh2XqIJ+CgTUlAG5DTkSpJBxuOk+Pxll+jppZdmpwVRKtu6JOedQusSMmeMq+uUb4wp0
djb3Ckk9TdmCIGPra7Vd25B3PrlnHvPA2s3KPXTL9+qMC0StBq8XYBAByPspm19t2lBpg1SJA8Uh
aGhqzF/lGortO97UPCcG5crr46M/kwkFNuLKHHVGYA5KdWmoOA147CpA2C0ZtLeIpE20TwVWaPsm
Ymrw2T22S3MJTo71xi51Ujy38oWSYJiSrWzqdXYItF5rtdJ8LUD60B6W+ixn/OkPKhltMiKPBAZV
2R/LQAFHca84rh0aZFVvsbAgwC8WQrAlM1QwSpSCQ9YUZhAGrvq196TaIVqn5PeF6Zs5IzfDoZ4d
MQhY5aLrFOctXYP0z4qegBw9e3tpN9qNkUJJR8uQ1HznlgxPP5g+OgTqckDxgfUIy0h5G4TyWSwO
ilPvio30IYHHujQF8FgPz9GXuACFmDYfbUxAFIZCKbCxUEC6NcaGbsF1ra86pDAhBwsPhSKaBxj9
km7lXOSM7PM/lqj59Grig+c/VB3VB9uf6AP/uauIETXPktmBZ3AhpJtc2P3AwGOJRcS9SytbVGjx
qMckVZ10Fz5Lz7wx/k8z918DdLW/zgZucCcD0p5ZAUF99nYsaGkWduHMG0AU8NBAezn4vyU6fQ9Q
iiq3UqE6wp79KDb8d/knPKcmf+YX3pSz64MoAYChSTQJSazbndAkrgC2tU51SnAxn8MvGQyQFoqZ
na+NH/LC5M06p2trVI6jjqQ2EN1GRXpugouhmSR78p5AE7WVD2ykl79IqPGJtvTCnzvU12apmzxs
GMWFThY24bE+hs/CN/e7YbXHazbnoK5tUJermuUyF0StioDWb7XuQzwox/JPZtVLPF5zW1ycemTw
GkWDDg074AIX8pRJ6jpGBCbcU3dZ86fB0EW92nHmJjjGl8cDm0kUQeYLoDJofEFKEW/x2y0Ss23K
KDUMshtZK2wfT1Jx2+D+9FEV9k1f460EGACiJ0coQWy7T8Z6/AVzD9WbL6DmNq1rrx9yfEFpoPHp
SZNN3yKflS2tXw+8kRjqe3wJ7eJf+xLgIKbi2cQqJkMU6Xbcg1Im3CiLriOzo+VCVKDkNuMfpu4W
hne/oMCjgY4fcmHg/0XN5tZOKRVV1eQV47BqvkEc+lWMnrxK0qQ1wU/CLgQI00+78ZAQaoQctoBk
F5gfwB12a20gkRSwecQ7MQMnHHVlamSuWJo8aYj+eN2EuzOBNLwER0bw0EcUTRejeB/wmGEkosOM
B67YsPlWCde5qsno2HKZV9f9DoKVGu5ZwEy857E/iRDz5S+I0nSZ2P036300K9l9zmN9vHCoYOPv
3+VHlq1U5bkrdRa9Qd526AOtcS0XfLWVUQPkL4VaWZlxojWvUazVrSkVCMxBrZxf+mhLvAWEzt1l
ilHiCkVcCWFTHMlpFq4CS6Ep6ySdXpSpr7hmUQ2tUchII4Z5w5hxEBYrn889swBp28LOmbMMbSUA
cBUk1O8Qv4LYE9FlSsmReoaz+T5yNfSY5+uqxyQHoprYchWlT6I6LBX655Z26uRBYhbJY6RPqXuj
Y8rCC5EVA/wGOAnQL7iuxkYbMb2giTnfJ77VgNIs0qVwP3qbUDlCLlwHxzLb6Sy38hl99DXxUx22
42hVpeZJJ64BGjP/xXurSDFJG2iVxWQv8Z+g2Ce1i15Hu4nfPfBLiGDV0JUt/5ZuROGJVUYrCDW3
s0plB1WhBbd+H8f/7GBuypRPXUt0J5EkBCJCCqTjQpY/4f1UAnscE6Mpcm+VVzW4mNqYN6KStOtC
rJ7qWGINsEk/e1LSGDznKrqoQswrSf8k0wgFb1IlJBCN0niSEK0AH7jWpnK/fnz27gEgE9ZOBTIN
3bsYAh1PEp/vpNFT4guplHit8lxy4Blp7cdQuw8AYG97sAwTt7fUHGcNOfjcEpOwWpi++/gCTb2i
LE+PwSmTTDu3NgNQPixH18nDJNNqLnsCD8JWKDstQ2NBgZWMpPrkyy8Bt+B97pMvMK3g5S4ABivB
vdLn0pVIwZasd0kyG4J0ZNVxVsvaXW0El67eAI4pur+FxW6kaeffOliYxZi5SQhUAbf5rTuQooyw
UZV6l7BRFZNlUC7qXNY1h6z17SrgEohzVtVq9F1hw/tMa6GvBBLPY24oxEe3WlfUS+HkFGRTn4R3
rwrCC0gWIptOHVahrVNwu1fepYwEZNrCSpfYSNTRlilaJckGqwGk0IjqQrFVjwX3aFilVh2E4VoZ
+CWEwn2SAKqJKvYk7h4ZsS2d+vNCNsgbwH8u3LPi60m0H/6wFaTmdTRehnhnCUbXmWlgEogKCGYF
vaxGz4RCY5NjDAHLHY8+6XyVhCakFUJUx76H1hbDTSaaMrcViaGqL/LFE3SZWZrHKTyl53Eio5XR
vQkNDnpHJaLYelnSYUe9uJDkhpbRiuySp0Y+FAKYW+u3rPs9bMPRTqRx4SD9ZGjvbOP1iQoV/lTp
KGwgHd96Y+5deOUA5+Ea3nlgAI3T/HzTKDrfriLhVIsWC2EEo/yIIXPSvQjm0BtiuIUuhInGfXIS
nUQxOtD+MaYqLXNh31/4WNqrj6QCNaEpwMdQZN6lh185MpXdE5OARBPMIFpQHzlT2Cav4xvxVvIT
A69fGpzOigvL9FMYoqZq0jSf8lCYKOA3bk8gQQdl14iKd6k6aHI+DcVLWpi9Z7uZLrm/a2bX5nbR
vKdjqBFh5w9fJWtInC0DF9SLGpfayDG0ZhfuCjxH2NyMW0Ng7HFAa8Ihjs3QPWWRLpQmE60aFXLK
pvhEvlEhdZ/Vcx2uywpdU0juMr8F6clHq/7E1L0Z63dZ1XoPmufr4DkaIOCZbmpxCcP5oz/6aPDU
015gklZIAsG7SPtKsgYGDb39OfD2aqtHmyB8LQotXSXRK1qacGmjif09PYXZKhKN0d95tSWJr3xv
DN+St/aYswBkeLaRB6OBx1aro+TGGgFrDTZT2l/Qrj1M3SN60J1kcC4JmvzLFdZye4mjdZEegTL0
4e6GnSRbwrhP820MXGmgtczaU/QchePsJS2NXDaLflvagfyUv6FJ5fFNOHODo9AkAaCPEA25FZGO
eOWq9lhG8i51ZEkFVG+1wluHmgqFlsyKNT6wlVof9lmNdjUT7W/gRkY/10ZSdGnYC9XC58xdSzef
Q90PcapmXle53mXYJwLaY60qMjoU0X1Wy/yXetAFwRTYyFD4JdqJmdN5Y5m6EJuY78dEYLwLBKqT
BCoxJfj3K1kTJasCSV+aaOjMXhrujM+con84ew5YBZlOmKANmghl6fmXmj0wuHnCsd/7HrQlc+Ap
Uq0nEIyuBg2iaxsOQXOr4Dj6w1pVFglc7t5ZiNLB5jPlOqb8Gt2anIQ5XwgN8S+Queo0HlWMg9jw
vV20UAjvoOu2q+RYcTKuO3k1W28hutsbWTL0muRz/FsmNao+sHFk8AWXfUM/fgnqfQ8jxBeKyPiw
eA1CTpwWnUE/EoiUINd3aVyyKoPQUOVSB5S9ku28svymNStmnYat4WfnkHmJy51aWpEMuPLn4zNz
X29BsZsQqMGgmwLwLYly5BJU6gcpyaKLZEeANHGvsjXs4awiQefdNS+ukDF8j47iOlzKNkzbn/Jf
4FyCcdywBHVBKlZpgcXgK9WPL1JxSFWr9LaytMqik+xeiPQVyvsEsm5ot2APtWRWSmWkLvuW806P
zno/hdwgyQA0fetYIKtjV1fyYANTqcbUOhG/fQWcKv7CA/AuvTRN1tUnT0fg6gHICbHAIO6KLryU
kEsPN2SFXVUBxRPzZlKGqS5A1Wf9eIlmdjPqfIhERIAECILcW6NMCoxvwJbxpQQkYlctkcDMLcP1
j6eukYDvSuDU8eO54SAPL923TDb5oVX0pcT+T03odsGRhUC/DsBIyH0jx3Q7EEhZuBnxo/gyxOPG
C/fCsOFKee82u+JSjILZZe/5sGp1xBYGI7jO42mceaDg7Tz1bUlQJwTVF5V9SXhGaFzf9S8lZ5S8
FnZaNKDj02rjfVqGWlLa7FIz6/1+uTVJHa54UBiXa1X/Mvq5HvGNFhMODVjv4yj+ZpBkejzC+4QP
IO/wK8JEqgOJI+pA9UnWozotBxfidxCXacZKYzMQtXZypD+2dF/UR6oMvhXIPtDiI1VIzWVWVF7P
yWF4ydLtID157Qh6HPSa8b+R0RE/2taMU7OwuFDrdpJyVGtr3IPHRmsqLeW30VIF9z5viO8h4Iid
3D0ncyr1PXKdhyHPxOGlZvbdRMPA6wlzFp9cixm1PF0nRwUlyUGrTuSiSqeyX3k50ny9JqcLU3Pf
lDt9ioD0AeCiWAz6OZ6zfVJm4JS6lMJ3njtt+VQxJ5KI+uCbXqBJLpr6w4vYGwS1YmHjqojOohXf
8BqfmY+XaW77TQ4D+EvUfnDZ3B64KCv6jmM7wKQIQTikNqldkhDaIqjUrEK5AImngPn590ZBYjRp
jgNsSFTKqBhVPpf4QXSJfUVZCW3FrrvmnavbLVBII554obpgcSYD8sOfgJUHV+rEFXE7zqFwg8od
MKuj8CUM60HmtDHBe0OotOS5RzBeBSbXmMoSLHjuwIngt0ELPgTBkWu9tct3TR7iER5eZKkd9xyY
QKIEvS51OS74rvvQCgljEDVxSLDw+JsaIGk6dpAVP0KCw9dYEsB5LVwyc875xgQVO7vwzejyD6OL
X3Eap0RaMyJu/yaALryw6ftAJl6/CtzSvdYvlKbmtun16Kg4WfKIinCoiC5KLsoHOe0ZPYw5QJJy
Gc9dOVNAz5Qk9r/fpjJe+OhdkoB4pCOw0fe5kVWr6FIPIRpmHZcUhg9CwbDPcR6TpS16f8tiBdGi
g8IvcEK4yW+3ipu1kT9mGCPaVTkr6xReq9O+2IzceGaCkgEflQwJKcSqK64BfWIWolVX8JvAqJkS
VAjKmJoRMPZWU0nfcjgQUEAxwTYZ+cWW9unCp65plAiRtOHAgohnFBXk1CDGyJORw3Ik2waKPwpa
9TSFHKoMXc0btKaylR0t8tpMboG2iikiLK8ieYh02u0EsZk4EGEQo4uaVIY3VCu1eGZGPUkd5LpJ
aTV4offKtmIN9Pyy3lIUNB3VO/PT9YlQC6QaNNtMzbp8PvJ5fGGzNtgzmYIWaiWOT6HgXyI3YI/p
mI22qLiJPuTd+7/ei8hfoO4GhCZEIX9i9KuwUiRelPd5HV+aIEK37ZaIRleYQgpKll+PLd23jmML
XpuiPAnTp6obkSq+THS//vpNjq3aNV+bt0AHgYAZW2jC/D/SvmvHcWSJ8osI0JvXpJMpUSqjqup+
IbpM03ub/Po9rF3ckVKEuHcuBoPBQEAF00VGRpw4Z1cmpgYy/uwYJ4RugqO6Wo2ezTDTDZwxnJmE
AyijPHW92r2fSVMSpdkZ6enGKkQBzFwJyKv/+wvwygzjoCu9SLN4SLJzNsXoUt6BkykU92CPGddy
nQvvKGCY/xkRG9yKVRDynQ5T0rPoTgXR3vRfSkB0i9PAfY4UWOSMA0Ht63llRcWlqUTUg0ZuEHiK
P0mRi80TSlzc11GZnWdBRSTc/9Bzc4id7xi6YU5s6QCXDFZzUvcBch973B9rwdfC5QSw9D8fMH/g
xQcoVI2AIcyzc83nBqGqkdpBQnPn/jgXsimY4AszTFwRyAWQ+2WRnUtL9U8d1BlJKdp6Ds5IhxM3
zYtY79R8s2J14W66sso4Q1VvakU2MDjt+FV/ZgS1qcSS30cTmeBtbUo706Yfj/eNLtwVsAmdX1C4
4cH3g624mFA+EANwGLTZmUvwogSF6Acujdz1uz4xoz7i3G4QR1POizVA6U+gxB5L7GJgIXngIPHS
vV5KVHACFIq69JyCxe4Yt2MJJbQ0kDuTV5MKTJx8i2Ti0NFENLs+louXOQ/3GvAJhcJYWtTKQ1kU
bWFGNMlewyDuvxLOaPqvPhzBXEbqAOJZgZKWUDntOw5MHYZeh+gqqUDEapTodjBjKRxjM84FNXcC
ZQLJSFQ3pWqGRqF8jXIaSs6YFHKBfKOh2EI6hh/SGAWR1Y1xnRz6Jh1zs8hVXBey0uaDdX9tFs/5
zBCGKxy3IypO11MkFpA/qsoqPSPN0HK9pTdECMCd4D9qhjk8KKhm6yboo9NwMNH8i7bX+x8gLtxU
0uUHMO91gInyOAUnypnGm04BD7LbRSrJkl0TEEkyE9C2foLicXSgKlGibuKEDVH2XOeULsS1uPfw
FXOdtk9tgHnHrGfPFYT35JV5WvxM4KDBMargFXBDGzWgK5aW8ZSCWuw7+sNv4gculMFsWztRZ/WD
o9akh+KjpplV0Jm18s75XgaYdm8adWqOiNyTre/bqGFiU9TJth+3NSSCc1JphI9fViZ16ZhDcx2x
hwwoJ55t16vaIXvOTaOQngu6qdR9VyUkCR0kDyU0OsfSdzdEdovEfx8LpE/eaU4SfxeJIz6OqKhu
VltdejXA3Q/JPf2Nxk8U2IfMqiuODGsV+SX3gAcWXvl47M/vuutv5cI6GmhspGeU/Hsr6NTSqjLq
EwNTbqPWqpIUyhSbuubWqLMW3jszjBAglrlbx/gJLi4cU1oXfpWoMmZJ5YNNM0qQYJLo5ClZVa7c
3EsBAqqSGorJmg5CMyZeLrUqUOopgreXBBmk0B21Y6N4RQ1oxyfVWi1l8XJBxCsC7of8EJhrmDlF
8Bl1IHk58xl6oATDiTvSgjOrfVGpg2JB9JZMFg3X7rTZWbD+9tIsc3X6ehj5cdVl50olanXSlEPH
73UHB5RL9uXo0tpd2ehL0QIYcJF2RogPhDhzn41K1QhhOGVn2iNBAdgR8ZsPEUj2hnTiGyol+ilE
qBTbHNRooDXrzEymQPwbIISe/gp058srn7TkzwCmAVesBlyN9lPmuthUfCVwUcdxCJxCAxpvFDgG
oVWeRa5RDhJvhHuhqAKT57LI7MCZvPL2XModSHBRBl5lqJuDSOt65RPND0EMnuRnrqmIGr9rFKU/
qA9qO0ly87F10+Cx1hs7atcc+TzVN4uP1IwMYUD4RzYGloUMEKMelgeFjNVjw+eWMQFBENtJn5k1
X5iN+ta3D2j0J0HmKGoD14iHYmmjB38SUOULndQA6Zg3Rq96avG+CYq++/tl4RjK2C5zKgdPM2Qf
rmeHo60SC5mQn1sf6pbSNmh6EGYcjDXwzS1eVAa8Cc9xUO6DgB0IkmtDVdWpeglhpHP6UD9zW3D8
mwHg7E9PwtNnTcQ1oselhOGVPeYcDFPet3UIewU5hI78d+7oePqevFPyoJK3Eiqb5yb+/7i9F078
lV3moslzodGnWMzP/SceCYm8z8M/ueYqRQk+jciVa534ygEEXvz43HB7H59TWmlij+gr6vZFaRfp
Csx04fxdfdG8BS7OHwcNBx9v0vyMCvrcQlBaPZ9h149ECL+bcZVJZNEecGw8yCvR8clSD1GaRlpT
wh4d0Vu5QSaWbAs3fB6x5oDdmzwxy8PcQmP3lWluBmJ9ZXu/WWtQ/IFRMMdvjk3+8x1MrJv16EcO
DeyAPThKiEEkVIsJuF6x7767X25jPeTAu5Zkd34ePh4f13KzS3niK/vMNd7kvVQJ1TzvBFhXEBTW
D3jSFLE77gpoH5MQL8bIegw+7p/opTLIpV2WliiiHSgoIoy7M6lC0IGPF7iZ+nY4uZa0vW9sdg93
5pjtPgDNf5TqIcaoa/seFLFxe/Lp6xh8r6JmlvKXV8OaL76LbZzpiVxQCcOSjhl6b5CmQdtwv28G
vHtJLXvx7wH4xYO/lu5e9lz/7CO26qIEAYKKECeaCpuigjCXyR/4V37aJd+A7UyJxYGTpbCrZ1Fd
SeYsOucLy4wPw/YZhnTC7PLSoyoAZxc742iKq8Hxos+a89xggAWqgqXaqAeVk9UAgE+F28+ASMXJ
BHRCgEZ+yxU10ebCT+LUf8Q3XsFLUXeM2EPyMkMF0ahXyAKW7mus8z8fw7irvBPScBSwznF56CF6
hHcNZ0K6AD3ykART9pnFrSXNlnfxPyaZS3B+EYN5BvMsKQ9C7LSz0M07QMfCKs/IQmh/NTjGJ4ni
VMdGjr3k5BZ6HqGOcjQnf3P/UC4V78BhCVT4XLwDzoyZwoGfJV9KOT+/OhDFOoZWc4hG0mbE3M1u
BxQnm2HzbILnd604toDQwTV/YZqZSoPToOyhzU7XcrpvlOTQUpo7M2P5Nt/kk2n+TQ/Fx1DagZM0
pnV/4MuX/oV1ZnrVbhiSvMXA68/GLiMSKrhUX0zplbd20F2onceBPCILb61xmS87CRTwARJFaueG
zDySuDCLBjxnUukT1NqjVFhqhUtuQhv8k66/NiBdbFN0TW3hpeoU9KrxysG55WNBhKWh0QjwKBHV
dxYrp8npQHO+zs5jT2LdBRKnbQ6BDWAXjq9Jv7PEobHFJ+4kbw03OYAluDJzV3ZUfZs/CN9TZiPL
1u7jaJOvdakteTJQEyDpBHeGigOzLYY46MUh4bOzIbRoIS2Qv6hoDtNxCRqQdo1UduEdK0OVAyda
Bk0bKIKv7wpaC3IF+mKkhUe6mbI0JwAuPaKD3b2/4ZhQByAkVFBkYBMV5AhRlGav+Liq5S5OpINR
WSgo8LKVKyT6oi/xeVyNoJmyzf81hiZwlA8gVgp9gOtBFRHQ311eSofub/CUbXo0Tkve+Jq8JI68
Rqq4OLD/2ELT37Wtoe8mZTByqEYBRYn38ouK8uBL8FVY+kq4Mq/8RQTBjAol/mtLXICmCG2AJR3w
+t5pPse/ZUVS0bm/Umxa78YOEz4ALa2KyWwHxaVD9Bu5M/SWlMDJmcmJbupz86FtB42o5/t21yaS
efY0Ne/rE7oDDnjxxREgE9J3Nlmtvq3CBy7eV8Xb/2aPCRlC3PGln2KYuLf9GpBXR6tJcoqf6h13
+t9MMS8dPjLSaoyxH7nn5CmB6L2fk+KFAvto/2+GmNPscz0vBG3xMyb9VXjzORIhgfIIfmNhrUzJ
XNDYJqAoNaCii4o/EA4syVk4TEk6g1AOY6ubccIj1VbaYnlMo4pw1VcUVGsbc94B1wcAOGtwPSPj
hjwFeg2uD0BSxaUu9IV/UEIARerWrnz4Y0EjA+iykOYGgmWX1D3hUKsT6lMXcBblkEC6P8eMx5zH
ffUVzPEAHVMXgHPaP2jiN03cIj+Ciu9/M8EcBU7Ukp4DkO/QyaITo5Fl2A0oPPwLIzPPENYPACnW
86ORg6JdrvcPDRJefXlqq4dujfzz9kz/VM5nXQa8m4HvvF4xWaGckE5T6OnoknoXjqVk8/FXYxzT
XCVNvcLuNZ/Y6/1xbY3ZH7SoJ5QGhdALpMAwuyxHh1YjrzII3W58qBDPeQLIxmNILLg3HEKgarUo
9toJaKriGb3kwFwWKaEVteLyNasDgGcTGxksKB4NUkVCrSRRkh7jvrRjtbd9usZyMR/s66FffxMz
9EosuTYZgtiLZWNX5c/SYGyD9LEHcdf9XcM+LrH9dR5gYrQXIWuKrgzGxaQdWkflIYk9PWrR8vdW
QpwMhdRjEFrGI09CT0Ti5NtYC4t+GIKYEYKwCclaESyfgI4wI5SmqGn5oku9zqYuNTObaE+5FTuB
G9jga7YblHdHsya1ixjOQsbAVZ3Eap2z8KWvJErZ2uA8B1ffwriACaJDoLroUy/FOzo8IXsV4cWl
Sj3JOzzuP4QkN/MvSXFjHUIPUKZGSZBLN01jitx7C9L+31Fm6d2e4+yhIkr8lubPWWjNUkkBQk0r
ro7IR6S/pXqboOuPfzPStbf67VnRkehFe6rEgzbnRpsinhIqVrWaelVafOlCgcBofL6/VW4d5bUJ
ZsXCEunNNtVSL+Bx3fXbUbVovYLzXNqOV+NglkLW+kAFXU3q8a7y2blTi4qYPeYb6TDZhgKFOCKW
Nl0L+taGxjhoNGoqVKSwqnBWwu+BqRNXW+rm6WE2PPLNaLrCWwVQHNZ38kMQKH7TFB66Tp1GOwn1
swyW2SFKII1npcrWiGsyNIkbdivvo9tAE+7twjKzcP4wdtKE0rWX6c+/paK2dSS8sX3xHru/Q9gE
3HyQriwxq9eAEC4vg67woFymCVaggz+ZRCgU6m57oOBjWAkhFkcGejkwkQPXdNPVX0pZFhttgZHJ
v7gWZVfo4InlrwpgjUhcC5AWfLKMEOk/xhhPyQMFjMbHEoMDb2QcH6Xuj1a49bBah59n6WanoFAL
3kKo16LfB79f5Pu0uJrqpMN6hUNlNsJWDXcI2jVUtbn4IPjPI1C+aJmbD+GKJ1xeQPTwg5gYqBdR
Z9IIxoQkVMFVhedP2xqEpXjV86Qu3LY5a/yp9h/GeCWWZpPF855RJCTLoTGIxzu6fZnRNkk56KFa
etGfyclPH5w5nGSJKDakWi1xb3YblIOttcj6pwTFTPKV2XlrXUwy30R6R2Ot9Gj3R/5GytwM0RbG
NehOeZiKjTrY/qcYu7J+GI40Mc7oGhjHXxr68NVgJcpnkWs3U8DMejsGrVyqUulxG96UwDWFLoxt
5I57w05SE7JkkQnNFRLaIOECnyEFNxdv6nbxJq+2Ot9GeNerMf9+MS0TLQPKl1iNeDs5lVdMBHLe
Zo7WBf7dOFQP8ebvJje5k26vZS4WwjDsAJTegQxS5oTJtWVw+6HFIs9LD0KDSN/jdUoDMxmdWIQO
djlX41e81aJBsB4gLYN4GRmsa4MDbYMQr/LSa5R3UO6Y/HCIwb8Qq4CDoqtvjVtlwX0oIKyYaZ1n
/SgWzFZpEwcgt1h6GQ29xM9dzq9IgbcxOrL+ezcMiV8gGZCUQ46GbfGdQK0iRHVUeb/RZmQlLpIz
5BwcxZXy2lIMd2mHjZwDVQLSOIad3klf2pfpvcJuiY+cXVn9XkYQh2AOJUjd8p3R/APp4+fQ1jcZ
9De6j+DZ2NbO/YEvBEH4HoAcZDAnod+LPdNqHsN5ZZVXl7FZFLE5rBVXlyzg4YNMNlykBOzf9Z4R
S0jlKFIOtdcoE/YjgOt2rHVr15q4cAOgcG7MYCgdrzmWtQ88PL1QV23llVvRrIjkJBvelm1lP5KH
wFQ3k50+leZ5ALPWOTXXZMyXB/mPdcYjFwZXlLnYwToggnaWl8JJDCO64vUW8lJgGLgYJLNasjJk
NWhHKk/c5S/cO9DhhONJbLmCKT/oMx9G8WuFDWdxZHMj0awtABQgs3x1Dj67BsQWXgKmgjrbG8m4
4lTYdPiPL1cuTMyh5oUDVQKl0qE+VHnGRtzFn7Qi/i8VQNWZ2Mjfqx+BlX3c3/WLN+ilSWa9pkaQ
o6LBqMKt8im9Y0JfY6v+yPfRlgIFt4ufdOg9GpbxsmJ4fu6zdyiI0TCTEElBqMKsYBTEURMaOP9K
DgB9YyJZ5Ft86xpuHhwEvBL0eE1ffSlCQcoZaGCwUwBZwlIIKHkT6kkTV97Mzijazin1arJblVmZ
P/1maDMGEuNDBynP3IMpBKw5iQ6VJ4GzOdmkDlhw8Br2QVAlmTHwCtIXup3J33gVbT2/Ne5Y/pmA
iw1UZzkFZRMsK8fRqrcjUZ7SvXyczD+G1e21lTW8efkAyAiKbEDu5ggM+T9mu5YFWJtyuEy0nhVm
rYXdRlVoatd4iVn3t8sPQ8fVyBhbzIUb+oIR50FSeRn42uOvb/o77M3W4to9NQAnl49NFpjlI/QE
M9CagOTsN/5LP+px15+DbUOdNBDXrsq18TPrPNRdIFQ6vkmV3sfAEkBbLzxz4a9qCk0efOnbPnFj
zQJlD0fdaTA1YeXOYqu+0JO7XAEk765XAF1mI3oJ8AXt8Nff+P7fjJp5dZwkQNsnR9Fei+lVqIwV
73uzv+esC+rdMvJMIiIgZt2lkm+jXu06Tx8yu1Qfe2EnomEwHcFvE3zdX/ibOZ7VbWfaFjgJaJ2x
7EORJnVVpaq1V2Xpe5kETo4exqbrXu+bmd3c1faCmbk5HwBSDY/Bn/vm4uDkozIo6QQzDQ3sQnqO
lNIdisNAi5VNszSeS0OMv00aTG3WwdCgiC9xUZp6ZgBmXKxM28J4cD/OyTFgeZCjZp7tmtyUSlZH
GE/plWNI9PCslU5hrAHhFrYCNgLiDAS5SB+zXlyI5CSWB1p79FVOiWzWp0q2O8O5vzoLk3ZlhTn8
pTr0eiFPtafxOUCYp8iekDO+b+P2LIF4AEEvGI/RiY0k2BxXXWyBNk5LCfqJjSeoHMgw+koCHahQ
9+iPLa0iVlQzafzELPukMg0xqMjYcIndt0m2MtqlOUXrP+ol0MMBmQzjVvisr4dSkSqP13qSQvya
jz4TOTd9LbJk0MTfH/etZ8W4cVmhCI4iPDj3ma0S5/EgpnpQe1P5awo+i0q0jNCSRBTazOlBGooN
V57SIjyPJWQOhzZw28yighfyG0XsTdQiVK1DUyJJ+6MxatXa990ECj/fh/Qk+gNRZGK3clInfc4P
euV1tbFp89xUP0O0X0rSb2EHOo3kpdRIKG04fpcmkaNL23I8NKHmgoqOygc0CYbp6/0pk2+dhQJW
P1GQAcVGPy+zU7puStpR1xDj0uqtMiKzBWDxvomFHa9BBWmulUhg8GFL5OgcCMEwXrVeKUyWGO3G
QCWJuuIkFjYaaIJQv5clqAHfHN6oa7RqSprWK5KdMP2tDMOKwSclhhNYftOV7OyCR7oyxpzhtAjQ
uqLWrafU6F7tjmH52Zff0Rr4a/4zjCPHmuBamnWO0e7P3IiosIx9HRadp7YfnJQQ3ajRiCKCVfEg
8mcFpZj7C3X73MJjAPz2yOyhBwCkS8xplYagBNXX0Hlg1pDaGPWHILOU5r1tQTdleM0WoNVIs+ln
8cLvk23xYvRnA0REju6p+2aNOPd236BrEKQhEBSQBB1tJtdOLM1SyqVy1HlZfmrVbz17iLVi5UQu
2UB6EdjsH1w6S2oZykXKZVLeeXWMYkdwzAvkmfr/Nu+MIcz5DiwiynRInV4PpMx5tYm7svMmp8X7
ICeBbM/ijWvP5dv9cm1nHuyF1xd0QWnkFnZ0iuwZb+uxG2duD+hVvXKkb73GbAlnGs9WwFB+NtKF
JcgEySWKRZ3XSWpotsJ4FPNizZsvDAepbHDWAJSIRxXLstBUQTCJgtJ7ELdITKSaibyS5p338/UB
A0PJhQXW+amVEYfggfMAcXEqEz1tW915XMuXs5JEyGDLaDqeOazRfIRriTlWkWYUNXqbezQdZIfh
RR0QwbdbA9grsANl4ePUle+glNjSxt+lk019yInLTqPKZifZwUtY2gP4AICay02pei4iSLdOqWMU
oPx6uu8BFtYVX6ohQEXfG8JhxuPotBPwOKlALK+DnKhN+8juG/p93wjLjPT/5uMfK8wtXUI3ri5p
03vZdOigUC2bKRpSJvlPeJIh0aocgyGviFGcRj5/Lf+qoRNPdiCmm/vfsTBY4NNx7ueCN9qymc/o
C9Uv9byhXiyqIBDriLIyUBYKOQ8UFuBTEVHyAKIxC9/n0sCXWU+RkMjhQd+Tp/ilex0f2hNoflzV
Sklwik6gLQknu9mK5GtNf2jBvUHCAcEseu6hQcS6N2iCDQkH3S0PFJZEzUJTKPZp01r3J/L2OsQw
Vbw6QD2Dq5dlpFTTIium0aeekI8bNUbNYkBvef4mriXkbosVmFCQwIBDAAhT5B3nJb3wO0Obq3zb
1JNHzckat9K+fAa8cTuag5XbdE9JdArMv7G71oG9NI+XduffL+xGWdTlPFdN3rt1WnlELcTq12Oa
Z/fib8ti3Ipxjb9tENn96PctSYliPibOmrDpQnR8bYl569Ja49ASDEvU/Mgg8FAc9K0MUO7kNu+N
9afZUJdzVA9ZaahH1ZZvr2nNLBwIhOWgu0S1AcQxcDDXY530ScuroRC9kQ6Jmc/Ul9wbKESJ/A2N
2awzUbw0NR8CZE+F+Fo3TlFDtSEfjhG6QzQkKUt12vTFw0RtUV8JBW6vG2CweLgDVCfwzPxZp4t1
qIHeVcVAkL2JSyezmATZmkQ13KRjCcUNOVMdTuVB9BhLqnv//CxbRoys4eGOZk9mXTS9QIYWyUuv
BsZkAPYi1zM0B7nBtmjeI32NS/fW7wHgMou6AOuD2J/1SqB6irkpjmUvqtWDwpVOy0UrEc9CJDmT
wSKdhoAc2W2JGZJAtQw1RUP22tAuTyAX0drtpBPdzb5TL3soQV8899UOD3VmSbLTgvpUOAlohhHM
fjWTeOufrj+G2XWxj+b+xNdljz7ylYneX7Sboo0uiMxo3DYQFHWy6mV6HYF0atHyYHTb++t7m5gG
GxlgVahC8RoPIVrGbRV6NVBQdshgluUA+DQl4THa+1p+LkG4rXa7NDyI3S7Rd4pAtEk39dSJlY+4
e1pTwr2tVP18Ca5eESqA+g3xLKdUWqVOseKhgTy1JHSktU9JcOTM6KREx0yxO87NqkO1F3fhDh01
j+qx3qVP0zdkG0UivgnaBtArYyOB8RNnZOUiuY3HfhpWUQQHRb8Erchr95DUjViA5UvxaPvZQUa7
NR4z6e9fuf/psi7Kt5V1WToJyJP8xx5zP3MynJGawd7Yu9puePCMnU/Of7znr5WB/ajHXkeaGJmq
YEi4IlEmYGKNIEsHMU8SxZOOQ0pAKNCexskJniI7UeY++dSF9vEwPgHfB+2OYF+9GoIjHvpf02+t
P6D1RbZFEKxpj4q6ybnRLIMJ3GucG8n1ihu8vequv5SJidukbntNzRSAZHo0LA9kmsDMflqZ+Xm8
N/OB2hMKGHATECu5XmkxFMZAawbF86mZ1GjmkvGKeIpEtMmGNZmVx+WWGBAwXouI2DZwxGQYH2Jc
HYxQMirsjGVDaQqacb3iRdUnOBN8KxesHDqwGZHopo2OFKDwjn+aopUhL87rhV3GByjUFzqlaRV4
vtc6esmx4uW/WruZHwbDm4NOJnyv24GjSTEpXhe13qQlm15vXUkZV15/s/O+WbwLM8xmRrEwVKF6
qHhKqrjKkKqmRsvPGknZ1OgzO0q7ciVIWrgh54sKOXOsHQhTmPhLyCo/BUZI8dLyV1LvoxY8u8pT
jXtl4KINiEfs+/tzaYRQrBWRR0Q+RFCYmKxQE02aAlXxhhGNI8GbIg5u7D/nBUil62xlcEteaAbc
IgWH4BmiUddnIYvqMUIjCzRmkAGHaLKh2UWeaysuaCH6A6h1lhHADQSRB1ZKMOw4pctBKe+paYQI
A/pNyVOWvsogCOFlW8VGGW2DJ6M99HauTSg4JblTGdsW0paRY0i/wL1CWh6CDRkUfFe21GLAoKJB
fkavzd00zCQoXTR1IognPDCf7MBdT/wMbX5YXzRohCp0uEM8DH3O9H0Qf09/UjSAdo0LBkBJegmM
Tam8GfLM2R2TvoP85FpqbOH0zqSbGgjeAI7GN16vUVyDbhTAT9XTgUGun2Jxm0YryYhFEwoqD8j2
zShkZo8P+ZipHNJHnjwdB5BIATEI5bL7+3phq0HB4R8bzCwbQVNzUSurXjkNn6PQfnLFmgz9LZwB
DlYFSwPqNeDQAT3M9VTVdGqlAco3nkBrokim2JChbja+1ZXkj28BRN4pT9Fp4HSL8mcw2twf4uLR
vTDPDHGUkdqEY0AYP2YVaUM62FBtqawmiNDOqahAkRhUsu8bXZhXiHMgdYKcKW4zlmmQL1tt0Ciu
d19sGhepwNiSqZE6961o87ezjhfKMIhY8N4GdR/jeLUSrSvJICGqfsFbyLZl8mSYD08BcX4bxPl0
I3LgzS3+V/M4y7Tth92b/U3+PPw5P3d7k5KvkOw2z7b78Guzedxs3l/+Pj6/FsTaW4H3vt/55v5x
DVy2tByXn8wcnFIf+rahONft1JojaDTpftAqpxeOAoAt9+fnFnOCrXdpjLnb/SyYGp3KsiehGaGs
d4CGitpZzh3hg6scULGDgWSnP8Tl3tfXkBILx/fK9rxFLp6PqIFJTZxjbaT0l4w071Bb3Vp8zDZ4
/gQvlwNkzlbg82XZjprs7d8LMjpoFyA8MiEFEd10Cz0vItrgkQAjnWaeAiJCF+UBiQTNUqy1ZMJS
qA7KHmz6uWYgsac8Afe6lCa4kQP6uxg3/RzRBKSdjlGz5yFEAiLg+4u7dMRQPRJR1AOZClogr+e3
avWKA4u66lU+TxQ0m4UrrfY/rzD2dCGdDd8FtRe8jpjJBfYiB+AtVT1nu+XM7ctEvlVLJp+arZnf
vvV9iszKUok9N1A/b7Rt+v46S5nTp6+1lsGlc375JYwP0+koi1M/j1XZU8+XQCoY/QZkxFqZ0qU9
e2lnPrwXe7ZRg5DmGkacEbrLyPu7QT6OHw2YMuqH9w/nZatb3xnIMnzLME+fwzuEviCVi1Q8KAic
PxB7NRPncV/Y3f61M5WVr1v8ODTgzfzKPJpdmUmYqlDPoS2jer0vkY7uemlTZP3Krlqc6QsjzAxw
SluD2KFRvRG+QgcWVdBJFxGt+LMy1QueG9ol/xkM87JtNOTV2xaD6QJw13Vag5aaKqErkeTylGlz
CxN4fJDOul5PvtZzY+pH1ZMUEU+qh55uBGktnbIUi0MpDDUZRJNQ4mA8+pAVfRDmuepRHeDSV3Rv
lGcNZJs80jjFx/1pW1yeC1uMQxd5X5HrOFO9wNhPn3xslVVtCs3a82LJmaEl/ac4j9ubZb8Q+m6o
VQiqe2VJhljaNg0PKu/KGsdHhJ0jyq6G8XR/ZAv3ItYJiQBc4waQGszu1kvo2pSppHqGAjZYXQgr
u40Edyqh9IJ8mllN0YrFBQeKhvhZoH3mBQPy+npzGFTWsoCDU5Fq4U2IkQvrm5f7g1pYrisTTD5F
iwox5zv4EyGRiQQAtIwE0+Rk2RqV78JGB0k2wmQMCP+y8ON0ioI2EWCoqr6AoQmriNBxpetyzcb8
+4VznFpeC7QaNtoESqbHTtsI4wpwfHG+kPaVoW6ERWVx2oZK+7Sl2N5jClGLfqLg2kQyROaalCRo
eLm/OktbDm1xeMaAh43HI+t6QGKQZ0UzDarHiUVo92EhEWECCzhEptFklkWh2xXhygH+Ua5gLtWr
hxOTkuhKP+yEDA+n0cnIQSMaeY3d19oa7JmLKSKVeQQZk2a7T6fTr5NuPREKHfYHiAlbJnRdyOYv
NBzIv5iIi8ccMxEZB/hlmsJNVkb70kYzmafe5VaFkpU8E0Aqpbxi8Ydb+mYaLh5ezD3TSnzdIZOP
lood3b02Nt7UZosZwWsa/ySkft/rZrd7l0jtILR7+S5Mbp6uBBOG5oUCxGXbJ2yKrYqGoJnHGaKa
ph8ScMRCDTzZxq8qbua33mwcwpONYj3+m0lTJSREQD8BMAq7V/tGpiMtNLyAlUB2xCBV3SAr3kuq
bsVOzI4qeqZWIoCl44Gc6czeAfwfxNKuNyyiz0QYtFTzFA16IlvE9UUcmyL0uu7vh6WTjrwSJHrm
vn6NLYhktKNDLUQaLme0MPA5mFvSHtX3odGHlY2wdAb/MYVi6fWQ0lypK0Xh8Mhv6udY7l/lUXzT
IqElakAVM+zG3rk/uJ+8Drv1UN4WZoTXT87z2mSQ6rAZZZr33lozkBonEOkcKzVjvB7Q7WWmYJHm
SO+0lm4P5rtoCwQp6Q2KAfe/ZHGaNZSD0BuJPmO2sSkHqe6YyrXmGdyOUx95/tvAjX7fxuL8ApYC
5XXQfAJsez1YTksUClk/MDeHoANHDezUgM24UxTklKXTFLv3zS0OSZ+BHRIkBJFxvTYHcMEkRn6r
eXIWEwX9aIX+p53O942Ii+cAFRuou0uAUbLMpRoNZQ6cbppX+5SEw35o0eC5EejfsT3xKTh2HUNH
cyR/qlRk6GS36kD2ts8nCLFsIu5p7BOCOgcI0aGi5A+HICyJn1pNd+LXoMe3XQngTAZEFyHbLBN2
w+UyjG3d1C3VPD/MABWXnLDdD3i+BFuxtRTBVNGeYTai8S/WAVy5KCfMGECFzR7Wg6SDtUPSPGGA
1qymtY8cl2euj0TeSmXzpzLBHqdLU/MOvAgLagiCNFwMU6C1BwPz6CgollOzIHiEo0UJKLKnfDta
M91gRY643EAgbAYPvT2hdzElp8D9DmzyEGEWSGiY4e7xsTONfxG7aIB9ANEJ7BHUhK8/Egn0XEnB
IOJFk/qCq/1FrbXK9EdxTYCaVbKcMxLIis6AITzSUHQQry2FU1qmNDPgo3FTpduE9JbgULshR5Sx
NoJ1jMh3Tz5T8lBsS6ITkESg6ivY8HUEA79/Un6i5pvFufga9jxWeRmWAb4mVSmB3KHxTosvbnCV
1vXzvZp5cdiYkopMlIH+nA9OAPy+gL70lha2PIhmP40OSJaIUAGWze0NaQvcslWqe4hVSDEEr/FI
TMy2TYgE2o9wl81q1cmx6ZyGg5QK3nSmqhPei1RUsCByMagQtgi2Sgna6DWO6KV4/nLm598vNiIH
+vhxGjV4hR7NhtH/Ie08dyPHli39RATozV+S6WQyJZXKqP4Q5Zreez79fKwZnJuiOEmcvmhT6Bag
4HaxY0esWAteoS2gwJrfoVRMvXp+qZB1fG+hjuOCM+4jUTo8NZNsJ+GrqcC83m5cUX+TRR+WDZE4
0sUyLk5bnCmKFn4YZCxbxbnJ7W9wMrkoGcLZqdjcStBiwN251x0204v34O/+/DLtX79UW7dLDlaz
c8Rfc/gz2uYObjfe17YbOVsFlJV3rwFqhauL8iHiZov3U1fKjaEEkXlW/B/i+COb+cv9H2X2w9IQ
8jDT3e29/JGMYz5ZV/YWV1lUDqWC5hWzb/4U/UdP2ZfJUa/7sxFwaxelLZZO2ttq4lr3YdQ71rD3
shPiZ7Y+PjdyDA/N4CTSThkVNuA9L07HIxeYfqpLN5HeRgnaQR8JLbsoX5Lui9l9QoVFm+JjjKLk
7bGs3WBz2QlcDR3uVHsX/shsk07Iu8aERAUcXCXv23T6pPIKaZJPkXKRvUfZ3/nRryb9R1NeUT4a
f02w92jcUtGbGI4Oij2SUtuVrHGVQccv/27eZt2njUlfvb/mBZ67TQCvLDGnQ9vnfqml5jk5mcOb
hx5SQFXspB67+H5Sz8NGUXgtYw3/+f/YW7pPI9atoMRe1zTOlKdfNeurOGunXzRYaq3nwuRKgcVh
Cnd6/Iwau6dtMaYsKRP/uvDrb1g6zQBGhblt4jx4FzFwvOyTIYOkg/VTQn75QJuKrD4TajmKsZ9S
J+iHnSH+EMPqpQqOReDZ0mZ78by3lw6BAjMcTlRrQEzPnunKtzViIFZhzN7v2ahnpSQBk/8qCkfX
7xL/WG5p+K1g8GZAALVenhnGnGx8b6+si0zI/cI8pxr9mzvtSQMkd/aHt9JpkKicICrJTxtnYl7a
j2P8j81lsZ4kd+Hpfs60A9WGa2gfOMNR2MEyZD+Z9ldET2x421yUiM90jLvpRsX1I8MM/uVqzMt0
wKiXdVDP9lGcamr9vivQRk07h347vT4EY+009QUBuzS7V2W3zrc6WGenfmv8i63fDn7UaD32S6u4
U4RvpuIY4klUaPQMgg0HtLqfCNHhgqQ8R3L//fqi8KSNpldxrJE4huYKpVw3IXSOjHtBf5JRzoP7
//b6rruSK5uL+zlRCqVSQBifFWWnHnojdQwml4o1EA1bb74WnyXvn9s2Zzf6YUopu5oUSaCPWGJb
TC0qFcHszXOoiW6TfROBDeXx620jq+tGqhShHpE3s7wY11i1kppXsPRHUeqE8tFDiNLwdo1aO4K/
0Wjz94n/YUScEXDaJMh4nr9fOF3oANbXOALa1N3oFJ1Eh5ZJe7J9G2ZiShOvFgFDAF0VRbDJFeyf
FKGO+sNT/tC7bzOYy7PT08Pn3v6dOBkxJywuFDHk/efft2dldYfx6CRDwsR8eNgHgi7XWY8j14Ls
bHrs4DG+R9+N59I+HofvcVXafvbtttG1kISK5yypNiO8l3GTKOUt5WiMmrViZyjadQ/pobXgiMsJ
nqTPt62t7q4ra4u1KJsqjkqNDa3jEgv5pyr/HnlW3jayFiqAkuJZARsbcOW/buvK9Y9WGmeyEOD6
hS8pWqKJ/rOrT23/6vvfkuaYNHYLAlEMuY0eo+ycSsdBM2ApyQGt/Iysx3FmNGjhyxqLXaUUXxu/
OVThoTAPRX+8/a2rR3zG88EzJpEYW0qk+tLUlIXQmWfJ3wXaLs8P6UtboVhM2ACcWXpBX+C2ybUV
v7a4uBiNVPWjKJhPeMj72p+ENz+D1N9r6Mv6VcX9t57b+X9nchGct17eRsmIyTGOd5NKLN68Dskl
p7PYT/qdKmgbh35rjIt9ljK8qe6G2eCdd5fW4UPs/S79FyPU3SzsNhZx7eBS++GJQxV7JsB872G0
VlbqiqzLOdVJWFT3knnsBVsHeQjprfmtFTZWcDUfR9f0zHw2N9r9DQmvNnhf9Rl1fLBlMmAN827g
peMfiydlD9uf/V3dIVFyN2fHJfsVLTCns19rZzJ4ru6yZGNp592y8K6IF8PrQEhOZ9JS+kPyuxHR
cHK6bOSd4f+Ui/rYGKadE2Lf3kQrl8Y7S4s1TYQigR8DS4n3vREre36/SGaL7AUZLWFjSVeHpaLW
Sscd9+ByhtEE98uoC4wzZRCCiWivyr5d67kjiVv53L+Qmw9T+LetAiQExbXZaV6tZlx0k1+WoTHj
IMLoBHh/Mk56/mtyO+EtHnZxUEDz3gp283OUHsJ6dOBuAJjRnpThddQPcrxVG1vzSib9trpO/ocX
zBIlVMZWlQkpCd+0Tym/oYX9opq7QP9eCOnJyJ8UP/+iKF//xQJfGV1EczH1AB31Z+PcxRDVDn9A
G7pN/qelt4NK2sZums/kh0nnbqD0x+VHtvf9pIuComdhizExRE8sSUD9CUm5xdOxuo2urCwd3xQm
YjcVJNGkuzGlJkQFp6NzvY/tcNwq3a89QeByofwANxbUlctUcq9A4MctRurqWyO6PyeU3jyIcqIH
88X/kmxgXVaHxtRxRnh8wmH+fgInqYySLKpJxUdvZoMTV3/W9VdZ2IJXrC2UTnAChGPuX/4QKxph
onTpaJwH8zWczmazEXWtuZUZFfs3NDRR5X4/jsrovIaOBuMMf7KtlW+IB9pW9qVUfbvXNiAcs4ta
bjp6Y+bpon3mQxt7qfRRFNGaRhfnbpIrO5c/JRN1k+ealPOWZ15LiQFi/I81fVEoooaRyGCejXNW
myclfxRz2KCit0o4SdkPBBLRV680PFuQ3EdJ4BaVBC/PdDck1c6SDTRJvg5174j1yQy+GAOiltbF
65+DfNd5jgBD/UBiOryPyztJPM2tu1N9B1fECX5ys+PgvtDWC6OHnQl0e2QPEE+3oy2kLwby5vKW
xvbKFfxurIs8I3TNXghhhXGu5eClbw6mjtxHPtH9dE+bTn9qpK0y0dq+NDlpM6sIQIJlGa63kkqJ
qXSeU2MWohQfTaE43XaIa0fM5F7lJcZDW1xWoiyvbUeoJY0zSpaq3SWy5RgKzftiSnKl8H1j49JT
5jfsh/2JpCi1UjrYzCUuxxCDOG0bzzg/ftNsF9QFoMAvc1b+2/fHn5H7Myeh+o1/+zZlZGfOxav8
ddATp/t8e+grbZr0uNDnxLuEYjFc3O+PZQCVtNLLfIo67JTWTg031e/j4Ki3J3FC5jF2+nNTw859
JwK7mgJC+H0FYgS9ii3KjTUPgY/jKUFqGTGIxTmKVWUK+pEnkl+Ptj68qd4LNCR23D9V0RZ77t9x
LZfAwj3Q6UN8Zy3LLrFljDlbizQDVQNyh+UxCA6TcRwZXDQENDxyGcZuTMW/s4eJ/ykjuf6q9a8b
CzBHHbc+ZLEAlhkqvmSW5lkoj3oTHoVypzPw8QVhktA6kO/Ion88xal4X/2B9WTcKqmvZZe4y/5n
KhaXZykNQ6KMTEWQfM+NfV23py6E2E7bG5rd9c9zk8r0p0hiO81PwxaWfm0lqH1R8qYYJILLnV3O
VVjWqoLf+WVtnj3rG89DP/XcjlZDM6setTF1TDW2reg+bZzgSbEyp/CO4+TSP+NKW5+y4mosOAYQ
PsQT0N+wSD11vpSGRS/xnp2gIsnuki29h7XIAQv8ZsgQLBiAF4sd+Epe6LVmnhvz0BqudRSaZ0l7
nPlkyudCV+2yvg+3GjZWdtg7o4v17duwLr1MNc9W9qpZP+dCV6PsN7bxikuz5hwTRFbWTOwzz+3V
KpLt7wozFzi8YoS8it5ONgzVsi0UYnDI8HUOosPRfgLjaitxQ/OylRr3YtSaz7oh6LZUWP8ia4ln
A8jJihqQYCweMrVcZqnUsJyN8CiVB+9J0O4TUuPpy+2xr0Qb5NdA6qHeBJ5zSUZVN2WkljHzG5Ns
EXlEyPF9Wx8pBfiEhsGWx1hbzmtzi2GNUj56daWQSQofG/lHET5q8HH/74a0OJOWEBftNDKkqCWr
nttmsZcqxZbLnfEQ/YvgnQ5zlklSZqIlcbF1TLlJ4lbNrXNKP3EsvSotFULhWytvbYi1hsJ3luap
vdqkKvxWeZxl0OPIxdeE1pYxsbNKPdTe3ujr+xyV4PJH3fIudJstLO6qn0N6yKCuRlqIzqH3xqVc
qa02LK2zfFCnQxw/JagHeK2jyJdYsijtnbT2pbHuCuVVgNI3+qzQad1uhB6zg1ncNn/TBOSDZXHW
FH//EeqoKmGt1da5o6m/gdFj0qiTV75TmxupoZXbHKQBGEaNEBxK34WlLJfDJpoEiz6bzNX8hzFF
wzc6SeGz2X+5vVvXTsT/mPpAR5ghhTBYnY9itXhXezAU0DMOMuC2kZVICccmEynQsElz+BJVl3th
NAoRmydMPpWam6EP1n6Tal4X4aPfnxKgCOGpT78biIx75c6CGLE9AIBrhKOxgRn5uIrkS2YJWP7g
JllmTRKQdk2nc2KSQnzLpfIbKBfkaIx+nyj11gt+JUlBizcNwGRO4bqmder9nhFLiT60XmIlJc2B
Xqqo5kBJI943w8IZk71oq1uC0x+XFJt0kPAcRf5Z/gvSvDqpfUwOfWgi79wQZvrNvpUDp9/AB60P
7MrI4r6vG3kUQzPwznXyTxS9WPsss2HM1E/V9EtQRDebth7ZH68KxBSQtYE6gmKAuZxKOulH0aM0
cQ4UGhO9tzzUz5WvHrrgd5I9AEy5vWfXZnFeNfifwBN+4GDp1CKA9SGyziKNmuN0V57EMtoqTs5h
+XuXwpiujCycaq1Ag1Ch3XpWtXYnKQ85Mg2GRUeTfMii58H6qnu/R6HYOPMroRRmuS909PvIVy6L
Dxn3cR1PnIE+O+dydOeh6oYohl2d2hknZOz7oDtUfuhudmautE2+N724sKw0byxTqKxzRXlwiD8/
D7JNbcNFEsqLDplr/rYamAO6vZHvBO319pr+fwZOTpqCO+Ne+iFDRQUgCeb5lrLWzvo/EZCmR0VG
sJHbbCJz6ii+/7me1I3dtMKMQMpLAhOqQg3ITb1I4eha0VRhxuWBfszLKwxFgJ1/GY6O7I3gDFT6
ULnb+fb3yeY/yYcfqhd3vLdcwFbOeAS5vb89FWun6fp7Fuc3KlOl8+fv0T9rPfyfviPrO2TjwZy8
qZuEOPPolvtchSUbknqADgS6792gH4I/082Gw2QitBCCbAm1Qyl+6z1rX1WBY1Z7T8VZSaZToRg8
jOhKPhrDxLNJq50xdMX2t1jtjYREFHyX9cHY4i2Y993HL4QTmXZTVCnE+dq4cpqmpMS+HkzWOdP1
p0AIfLuq/Jfbc/7xWmcPKHhfyPrBBi8V63Mpaep+5DKw4JauS4GBvtR5Z5e8GTeZjlcXmGzAXPCh
yc9YhEx0/OcmEjQctFpxYunEk9AHUWuauV3LmR3RpqwIF0QyQ2GwBXlwTP2QFxOdQPGuNg1bNV/9
catNduXypZlKQRZz7nEEx/p+ltWkClQj9LgOwblp9x5ZOgnpi7rZOG5bdhbXbitX9VSKBFBCqz7W
YXak++1O5e0WbXSzbxmaV+Fq24RVAP9shSEkwDUL5dlDEDhbGJbVvXk1a4twMJTytLBq7lq9i3+Y
QQx2BoGW23tz9UK/WhptkUFSebLAks9IJs/xgNmpB5998/mXEbl++zQa+9v2VngaOAwmXQj8QUi4
xOVoRiQm0ph659gWPokgH4PXwZ1BD69woDe2ahsHHYqwB+Pu3MFUc9v62kmEsm5mOVChR/lL03C1
bIk6qDP+zTsbWmBnxH40QyrZV7EGrNxtdD+tBRLXthaelrZwSejSjHCsPxjq9zJ9LrUNE2tnfSbA
M4j3yAEukfNh7SUeZRXvHAyA2lwrkux2uPeUk6Tc6VsrN++2paekWwVLlHFE+kjeb3m9zKCImGrg
Wqn4QHDi0LriCoHwRyerXpnyg9z/qvqNF9GG0SVjYxM2YaGPhXduxwzYMjlW674SeflBj91MKFiP
BiBzOdgKOlftonxIshk+cxqC3g/W40jkcVV5AHPUu6aYpaWn0fEkt77Ttt6XqxvlytbikmzVrEgj
kYn1s3+K+NVUf5fCvwk4KRb/ZzwLB5x6tS+oEePRdHC9d/Kp2iG+NIzfo/gR9snc17aefmtX/7XF
hStWlAZeUBmLujdcuuZRJR8tmj6lmUc/fynI1cKxq0sPQ5/uKzk43j7oKwlaXp0Q3ssQgc/YlcVu
zVO9mMYU8yZlLVvS0Yj+WUg/FP/ZKj5J6dFqFFtU7CS+i0fFzf7FjX9l/a/TvfIz0zRDSorGA+Uj
2SXgHW0wjkbvpogA6xt33totAd0+f8PBQJy12KpRpWax5PPso06GhEFwuD2TqyeB1u5Zw0WHUW9x
P4w4Aq3VcGMh0ZxjNLU7hJrh5J136Lrd8K3JHXSeNoyuJH5YvvlX0+PBlCwDhrovLbNIJXZP2Dg5
ZKLUNITjMLkJqlFq+a0x90XghP73kNayfZQ7Zfm1lTY1Q1fn9uozFptYpGAd6z2fEbcKIk52q3+a
UHbfjXvtMLhQ3XkAWeD6K5kVYWMPrTl3A7kOkhWqOUdy711QbYb+kIc49zE6NvEb4lZgd+0CZfVa
cnJ032+v8+qJ+StDZMyxMDm/9/aiwIBeXmShwYE4g55+7tRTaTmqpzt59tA0oSNC01uJ8a6gxiHC
rNn+i+ts7t2W6b+EdXkJGc6KMRKFCWdP16QjRXurONCb4pWuLD+YxcbNsuZ1r40t4mRT7tpek2Zj
0+e5hat6RCdsa05l5mx5Z14bmX9+5QfMZBr9VMC1E254VeXG8vdEgY1b+hp6qSP1/jGFdslu+2lf
ZG42JFvnaF605QeweZhPEQUSyDfff4DXKnUSpIZ3jshdJqoDmselCQIIFAm39L7p9m3y0ywesxAd
o3BvCF9u76o173Flf3l/QyZKq2Sie6hh7pKax+aQvJTOKO4Lrfsk8vgPt5oxVnoOZvQZGEv2EDxM
ywBzFKNI6GSLc9PrhzQ+a/Kvqfpaefdinhw8tcd1GS56e1Lzs/SjHdycj7q1mbmet89y4olxCR1g
XCADsLhw5UZsCkivBdwmHRbjp6A9mSWsY7AO+g3ckkNnG7TBl0p0znPp0+1ZX+l5mGsC8Lygtgh/
jb64E2SzL2t8unCOHma5xWEPmTbpFhYAQYxzfDBP4U5Id3K/z5zyuPVuWXtTmIQaJLCB+fPuXZyt
oO3rKpZVYd72ehK7QbhP1ZduF18sOuh2nvy0Md6VfBoGYZelHdBCeW/hKwfPSJM4kYVzbYhOUwo7
8DLtiCR9bZvewSj+Ea3eUTZP18oivzO7eAVKqaQWrJ5wzpNPg/Qkt7AaGyYwSxvyhj08lsSttVsF
W9Tx6xMMCo6avwS9xjKZLQVhoExFy50Ppa4U2jRKpdOuMUFl2819q0K7ukXjN2/YxYZGQwjVFbBO
1L2XT6eQozaYFSZHAfJyxLEChD187R5ShdPt1Vy5+ExiNngcYJPXoWt/77OavO31SODS7XLzZJKl
MMP7NDWPph46kvLVgEr0tsHV4zIzvkC5ARBfWVY9i2ioy1GVcdMCZRAKS7Cq0fgz6KfQTOkje0Zw
3UGtYSfl0LsZcDgDklPJ4BBVu5H8LfM/yf5nZSsCWKm9oaEC2AVdJSbjQ4di4GuhrGSRcO4SpKqE
nZbxz0Ok4Lh480mZXY/twa8Pctrvyvy/x5a8t75YB03y/bZuA+FseFNq1zVYJe2sF3bZafB/beE6
V1cdCgmVegkIk2WZP0wqGeWYAmtogQYR2zptj6MSEmaA/E8KhJGkzTz8SnxHaxjMAVQW5oTZ4umV
Na3Qsp4CjXtI6Mly62YXq9nn3iXzCpv2A7hsyZsFUKjm93J5ydL7fNi4IlcHrs/smDqNFUhavd/u
StwnrRBmwnnQD2bZ7I0ydA1KxpzmSvmNWtfGbl8JfGDiQNcSLk5UetRFSFDrEIAPZHwQb9ZF1yoo
4ISClLmdkW/xgqz6KYnJRa2cc0ya6f3YmkH0/NivsUWuwmEvH4VAHE4dWC7XTPJH36JpP05y7a7P
g9EJwOhtjHZ1dql18HQBaUCB7P0XCGOQjG0gCmePnWslZA0CSlb3LUQoUfMWJF83XMnaTYQ1Cakh
2lspe763N1n9OHgpq1mn914Uu/U/qu5ojXZB8sHQYpvnt7hVbZxvt6Vrvra5WNEYVqRWkbCZVrY+
FXaxa8FfJT895/bg1uYSreiZUZqCsbocW191XSNolnCudO8tK/N9kcAECaNP8p1OELXxN0q2a/Yo
hgMR4e3JZbd4euaxJLdpzNq1hhM14UG41AeplR2xfB3S4+2xrXmCa1uLfRKHoejl8z7ph8kOW+D7
W+507QK9trA452XWGFlTjML5S9DIO92pQ2EngDy9PY6VgJumC97NiPIQfC1F+PRKb6TUIvTSS/1x
MI/+8Gp6p6KEgF4quUB2wfNtg6vDAoY2E8BTYPuL27x64mhqHtUzaOGcTWhSCZbTeCjBKOJB3NL/
WXNcFNTp4yDNoSCB9v5ola1UyFlKkFdoX3r9ITO+BVsdhqs37rWNxVEqE3ZjReL27EFg7e3qL5N5
NGKHKcxsww2VP9Yfc6sktzEuY7HNB7NJvKnDpiX/k7T/mNal6N5uL9KqI74a19IN6opAIkVneyv4
IDG5l2BAVs6idyRfXP3xv07VFmHo2oGiFRUUMngyejUXIblV9k3YmqJ/MZJedCdFG+0py7YoMdbq
ysS/AOQ1EgaIxS5u8DT0ZL8qCsA5bmkHDhVGWLeMXbF7+1xA3ygetyyu7fdrg/PPr/Z7WXuFJylA
WsrMgqB511k/u0qC3t3aOFirQ4PwBZAxWXcwQYsZNIugMc1Qp1RrtW5My1Y4/SjvaKHIehD5xV1c
PQbWfuKSGSUy8N6DHr2l08vGzlm7XK6/YnHqtDywJiEwgGClf1p4Gu6ab5X1mecHAPrBhg9dRDjE
HfLzEDqe/MCXCO3DFG9RF6xN+8zth8yPLgNQXBzMRIRYvJcH7wyNkF3E4ECjx3Ky7C5uNjzoWiKM
JNR/TC2vHd2fzDQxJyAuCIyacJGBS7jL9OhIe+iltzrSUS9xBpW4KT1q6kvVbmBs1k4OChEz2c8s
3LR8zNZRUWtZxvunFh9HIYCiYcMbrCwpB3NGmc0YMy7Y91u4043cMKfMv9QWfGOhj0Pgzou/ByVP
unozCFxZOotnHAB1SOAJ7BfmkkKq/VZJgkv6j3pHE/MF8om7dBc/Di90ZniffHhYIzpu97d37rwj
3kVFaJzOQhsAh0S4spYVAH9MIqXsjOACH/yguDPqQK0RBLG18KEw9mW/Ea1s2Pvrgq8dwzhlfZNj
TwoztCy/B3JiC+PFqr8ggehW2V0VPd0e4Yd1nFVcSe4xPkuDd2RxNFup8fPeU/1LVye7MlOPVX9I
4ufSUj97gnvb1odFnG2BG5oVpP+2GrzfM2lZ/D9boLCAyhxKeMcaQzhsYka2DC0cujmkrR/Fpn9p
vaeyV6BvRKo4le1yq9F/1RDPLTbkjENe8iGbZKgqXgz+ZegUN6LhyFSfosk65fLP21P30aHMc8cR
ULmf0PnT5gN/tTOSSIRRtg+CCwxNVY/uZDS6JDlcNc3vBiW8TxKwbfT40xfEHhHz75tjXdub11+w
mNS5uz5vhzi4gL8YvPgkdHe1jhqgmrpxjfhgkrqS/+f2sNfmd5adlHhiUr1YFo4MpagTxUqDi8jj
ErYGtYc9yjtt1jbX7RhwxgPY4yzMP7+a3a6mg1sbiuCiJkfR/zMTmkAKEfzXjLYsIs/z/5hZeLGo
pO9WbzDT+eOuCJHTi6FGi2unLuE32dqcHwO22dwMNwaqQCp72VpYlIhC8wrDXDM6Ej7sLQp72wvO
vtnttM+j8C2OpI0z/hEmNxtFRm/WJF1BkGbjWDbJiKeGLuwgHPvn6CE4BfVZOehbpbXZNy29s6mb
pOhnZRAy5O9XrSyabgikPoBEly6VB5+D8OiFnwX5EGxtROtDEWQe1rw34A6ZIbmLpfMFzezGpgsu
99++G3a9u1wk+2LZv/f7y2lPI9llf7Ffdi8oC9gvL5G7//MK0yFkd4H7+mf39Pr96fz1D5yE9gNM
NXdn5+28e5qcc7D7/c/zF+v0fD86R8Nu7TtoXd+On55/Q57+7Hx6dnZ3Gwu05vCvB7Jw+ElOF6Ex
D8Q/q0+NXR1Ve9pKmMwT/2FhriZrdiVXxylWplDp8gEbfkTso7c6gZ6/FRT8DaI+muFqJm4HIL7s
B4YjUa9i+EgvkhbZev6jU0M7iEHfjb+Qh57U0JHT4dAVO/JyZX9spsqBQtQR49dKf8lQ4OmFnEYr
xQXzdbjtuGZneOvTFluTFhjwVkKF47pDO+nHBhRjdX4h7+S5rOIZl+k+XRiSMJKm4BLD2BcnUAVs
ROxrBuiBRVV2DvC4sd8vYNvHatfnFicr0XDtJa4qGKvSvT1JK1531vzkzYXqDjHq4tGq5zHwds8k
qHuxnzRH3gjC1/bHu9+/zMd4Ifm8Zv79tLBOQQp7vbQzmgsFA9s4/imMV1Ny9fCLkCYwWNuD6haj
HRcnUfonSBKihn8BFaVidj1k+f3Edk2rlebIxHZdql7MQpNOitdvtK6vOX5qEFQiGB+EA9bCStBl
XUiRi6s6DmgegiPwiHpspDyjkB3bvLq2WvM/QpTncV1ZXCRpe0MxEsnD4vQLOLL9arqvPy9PsRM7
tfNNoKGWZ57d3H19eNsNzu636dzZP47KsHHqPjLjLD5jcexgRWniQPGCixI/iCYSDHDpTSQy53pT
mehgwx/VMXITo7WN1ryXlOAwoNAg3Qvm70bKHW38Wchvgf/aDzDuHbrIbTUosILQwUvggTaC75UL
7N2sLY5ZlPZ95+sCG7SEfFB0I6CELdQfVvI1T0oa0vPd7RO34vzfGVzEOXHq12KqMj+U+J4Cy3Nr
8d7yAlfIN7bgSrCIIQTJqThBs7Fki1P6Wg6DNkYrTnwrOyCZmatI8LTVbqqghaa9adO320P7WLOf
1579PsutzK1PC2+i6lUWVXkSXpTqm2Ti2aUGQexAPsgCTOGedYL2a2cJw0kPP6uC4LTN0yQDDOq3
OI9WnCdtXhKNXnNRCODR+zNeh5VY5z5jHwwpgEdyhDMyLf5ruph5uFdWFnunycQxa1BsunTRd/UQ
aYc2+NJkOzizb8/r2krCS4E1+ljgwFnEC2HLm6Rpx+jSTHR5nXP/zusymDO7n1ka2FZqTQ7vnts2
187Ftc1F/ODpXiikAjYt4ke6Xnfqzm8f80Bz0Br4702BsKX7GEVAeqHnE3MVqujlGPJCzKOL1Djd
LDq+A6lZqk9e8yhspoVW3aQmk8eg852qrL4YWNd1EqwHDdZScSeg4dhFc22wfxWKg+dLj2GH+CpS
uvqzEOxLMBYVnVFW+DpETHnfn8vuTy8ov9Kf6kNdO9XwA4nfMvzaUmgcCH6i+hToRwMSneYUyd8j
dYvLZ81/ABJkvoi6eTos/EeoT+0kRGV0CafmQCEMIJuePqQSHJBbFfy1UwQ/j8SWg94S5NH7hfGa
ME4EK4kucvibBHO0laZf29c6JVsQgn/TZIvfX5fhqFkxS2ERmArddIqmxzJ5QFLHBpPYNygrNP+1
+CSniHQS3fbUpwl4FvdyZNRQhaFadMl0WoaUzo6iOxKjG6dndeaurCzuYpUXETWhnpnTI8tOG/M3
mfottb/V6bsysnByTFqmS1YbXcT8nyF91CxXyr6I5jHQY9vM36Kt7uu1WBHu479wDmD/f99nV+dU
6pWRcI6pk3w3iB8SMbINFRqlbIvrdW2LXxtaDKwZtBqlSQzJxidRq3eSwf1/CY16n6nubd+zaooy
FHHTnEJdYhXpEh5CYao5TU3lyt2L1VLoFRyr+hIJf26bWnuWQ2MGeE+ZRcVJf78/TiLEG0h28laS
fe0pHbOjWYn2LHHjxeMu9iZX0WA2dkzhcxhu4bhX1g7bMxE3MQGOb3FVqYnaJ4KM7U55KYpjhtIA
Ln1LInxlNt9ZWfgm3R8Ei0x+cGlNKbcLkKd69KCgWD1M+kusnjYmdM3cPJxZrIHmtKX2FpSGqoQA
c3jR+n46DFJZ2L7QeScJKiFHlkbVTca42Qe64e3ppcqoa+b5l7HnqTmIIymErAVKGCelKyYG5PhF
1u58MdliSVo5p6gAUQbAW88vrYXLQb9M8giKCcQs/1DDeUGC/XejpvaQ0hSueK5UN99RVv9xe3rm
JV28f6Epn5seSN+ReVouhoC0uTpwrfZD8RrH6acMnjlF2Ypn1146cKLPRHYzyEtZJsw1ufabyIiT
C5w/4wGW/dJupwhRTf8sACeQG5/QL7eR9WmJQYstEdyVYaLrx2n6vwxey/uwU2QlLdMuuVTQ3seD
o79NaFffnsqP9WR9Fg/8HyPzTrxyffFkGEJjtcmlH+1yhPFdFWxYPUs7+pG7UJLtg91tiytbG4P0
2tJ1CR3QMq8SiVnoeXTGXKrKjHdsFvGxNiUL8FwWfDOkunzy1XSLGWhplEQlOMSZzBoYCtfkwkEF
uuilIQQYl17uQPQeDP+sAUcrdeMQKRv5kw/Z9NkYjSzwQNFWP4NM30+pIgT61CgY88W3ooVdWhJs
uUDcHqIb82IZbie9tSgwpaLtGZIT6xvlueW+me1riIDo8LyrELguBjvonjVklZdcFC+xyWsPAEZi
7d8YmXlYWEbo05cwjpQyiBWDHb9UWm3r2tehamxhU1F0dShXVhb3pT+hbCHGYXoZqeT0zF8+s3hA
jX17T3543s1Txj+A0OdnCMv3fskGta+jvpGSSxxL+9pETS/IPtPqpHpH6c6QDqKWnaTU3KtCg2hI
DZEeqtRbR3H5MPn7EZApgjCciUmXuHBJqoSuNZlSsIym23gu5F1O44CDt4W7T79//5NeejAet4e+
djJmkQMC1Zl8YllLpsDqp2bCZsmb4AUCO1Ke7E9vLyW7XNzC/qwejVlIhxc0aXwutvfzbMRyICrV
PMQJ0Y7C7Qi0SP/N5fKE9EQdD6fQGuyS18mE2kIR/JPCJPwvRizzgJ45TABtLb4BXRavrJDHuYjc
IY7Zy+K9T6C0Gw26kL2i9uwkH8LjbaMf+oVYXIQ1eAKS36fHeFkugRNi8noTqxq8LIL3PZ+O8pC/
JbJj9bB8wKvfuxCFKtZPUUtde2wQ0KDYrWgbuZMP6z0X1IFBzZqHJq+t+edX/l5scy8JQK0+a6Iv
7iu0WlAXcKdx8slUadBr5ml9uD32+ZBeX9cwsRGbAWPlsiZn87fh9sqkoAXCECtW+Jw3Y+DWgSwB
sJenjXvl496azcDox3WpwP+xxPOo1UzNpWIGBpem/9MUpaOM0j5rwr1ewFfQfy2b+yDs4Nw8h+W5
SZoNl/ghJfx3oFdfsHS8QNu0vjHDZz2BsiZxhfG+ix80tXijLNZ2kk2dMSGAq+VfA90NNPjetQW0
Z7rdyI+Cd6TPRtn6pvk99m7y/+YfuGgJzwxg2ovdXkwwuKct692nUn4K8//D2XntuI10XfuKCDCH
U5KSOlhsd9ttj31CODLnzKv/HvYP/GhRhAi/J4OZMeBSFXft2mHtteLhlKSS9KD4TGpXQa3Yc9xI
oFulFlI+TT8nZdG6bRPJRxHlz49qaC5Du207PMytNNtW4qeOUCL6KPJ2u2XWfgk19afQoRNfWVF8
CEOqYrcNaB3iL0w1/H4ajfgMTV5/WcROq3TS0/bcSX53yFVRd3seoFM8xugyoJF6f3u9q8v6tiDI
MLwwM0nYzeUl0eYwFIS2as8hfaw8ezHbF5ngqK9f+nq0jf57PUj3Qj6c/K/N/RA+dtpPvNccGjvv
0luB6P3XW34IhCCwckh0B3Edlz8ksPrcHIqmPaOdcR9ID+3wFQEglK2r0AmC6KBWiLT4j1aP9rSA
gEn/MQgP/se0+xlo/bEMzrmq3xX1N4YQQ/5HwEBP3zxNX3RBOg17NKJXk/NvvxZtS34MKQukQpe/
dowo3rXp2J6p7TyMhW11KoTMhj2lyC22n4OkQzv2j870CXXiByWfD02ruYhbZPr9UD5k9ULd7oWN
5uRw1WrWJ20aF6bUHRzMW+q7PlWGFt6QWsT1a5EZsa5beGTT7pwaWTnb9aCVz7m0iM7Kc9gBpgrE
iAyr1lPL7gIjfJSnNPLtakS0XIxoeZvMzkJgqNZy9LkqwVPbeqeaD3Hlj/mhy2rJi5OOYc/Kj3Pg
UYKZ/ZrjABx7GXTxr6rShgD27bo8j+QT38OkFqniynU8umremvMxVxIFqMCc7bGyreMpPCRs+Vg2
1Kt07tfAqiHxk943rdJLEgtKrTTTbf2Ln2r68fYNWocyiyWoFNgIKhgCYmjz0hJUNYLnSqPM2cC9
WvqRq/V/c+l7G06wl3ww90Yz1o/a23KQt6gMhTII/PY0vHthpHnq9MBgOfBhfsWNcI82NvWPe4Kh
nfeWeUBgxDikVSyqSyNE2mEhnIPIP2epj5XXD4Y2PybCWU1aUjRf+np7ySvHx5K0MCWCXHgoyHkv
jzGcA6WmhSyc9fiB5vL90J5HMtFIfb29zvqFJiRQ+CDLzgygFWv5PqkL+j7BQr3Esc0dH3a9BwpQ
DKER9uG8KRRc7qEbLWjnJxIuYa7t1Kzv6uoBgadDX047MdaGcV+stOrIZuWQ102qB95szo4szKIt
DO1voTV3GmtX1kaY8X5HKzeXNlUf0JpiHbX7QDzrlnnwqAUZs8fxr7Te61csL/SFt8KREqsu7IIE
kdBjXR7gVKqJEZQcYPmBoOk8+i5kLtorKUgv/eu1XS21CmB6pVC6sGOpMPUfhhelOvjdOcm+E0gS
pewY95WPWC22ikwEqTBU+qQcYx49mKiGwORvl5nGFDfgs2a2oU29beYbH+79Sa5LonrQzbC/saKa
fYoSWjKm787wLTDtGwZ/b6+1YfYXa62Msdc7QU1KK/BEkCDR4Kj9h5yEZtJ38rcNo79YZ2WMY9QY
vZqyzlx8A44Ab7d8lModu7iqEvFuXKyyckTE7CMkDqwyCF8j3fza+9mX3Jcf5c/pc6W6QhC9yDlD
d9rcobm4Mwh/7Z0uF1853rkoLaWWfKzSeLWGP1P2jynR2+YWpDGTjETIbxyR714PvfD9IZuFwEst
uCJGSYs+dbo8OIFUl8e+Kguv6sa9svXWd4PFABgF+E6IUldusc+EeRqiNvSGVBzsGCj9Q2ZMOU+/
uLfUlgOhSrMEkRRqaK9dOhAkzSOSjyb0WrWKhQNkGETNRZMBNCZp+5g2WVBDaFkV46maq+7gi0G/
R1q4cR2WrAzJaCbtVGb9L39DluJagilKvGAYov+UiOgj7fzhII2t4Exl3ex0Xq9qt3xUBIEtgHWM
GdHsWG26MFJrHq028cYe/TzZh2ySCiqKjEE9HJI5OcW+73R65MmwvN2++ttrg+JjrIRIAZjT5War
ZlK1WZMSD0bl9EtsFeJpUipk3CwlcUbg5pBTSMKhsoT/WmkY3Koqgp23cMO5ki5Q9KQ4jw7LuhnY
GmUsC6OSeIXVV9lxnGftU9PXAI9MKywqOgeqmDpKXuWR60dJuDcytLU+zyQKKPwMRjlX37s1/FzQ
8zn2xElBfC2u0pPWNf2rKAdMvVAHeBRDoT0ZeibvzfVsmBrTNjSRl8geBq/VzapmcZKSrstguJeC
pwLKuJPV1r6bF+axryv1dPtrby1Hds3lgkwByvOVoU1xJzdGXeVeMOfQn5E2F1nnVLhiBpr2FGGv
CpWYNUObqJ/yfZb5zeXc3/mqvBfNegjnwpNb0zWCzh5S/d6PortEPmfB7MBjNAim3Um6k0nCk0pz
u8mUx87YexI2PjDCH4wzLQIt5GKrU06asA1VvSq9ikJWacBiEBYnKzEfynrsnDjuXmQhOtw+6qs+
I7t/o82AbmYhlV8XK+OlAtHIXeXVhXnXBz+E6rnKvhr+k4WQMBAFLW7voulTIO/R6W94awD4BmV1
mS8N7erlsZtTwZy7lFeepOZ/WyM4xNrAKGuc7jy0GxEK1YaFHATTVZjRvVwnpvOM6mxReVMTHbKa
kXLqctoQHdX0s6LtxLEb76pJhYOhZ9SFQQ4slv3OloKo8wUGqymFBVnxLAl5fgqgwtwJULa2RPnP
Wm4ko5Hr3KIA7u4bVlR7peJAxXxnTtKpioNz37wO4h5UcON+YBmL4DbP3PK8rvaEAQnWYKFLhyJ7
19gC8/EPU0du1j5pp+ygl9/9+UOOtmpmfI+tPTO53itZGmwIdJgWE13PUYjiUEy6Epde2jNMHXwX
lYAa5D1O2rUixb59G64/3+Viq1emSwphSsqk9PIWPZkarP8eA9HVgB+TSQspKi8ZbLx8wdUSQh21
mdGbiYfo3LF4kB4hXPqj3TVOAfYSCHpvo8Fd7TXrrj3qsirtCJVROnLSlUdNTH1AophVJTE9jHBJ
JUx/xY3/ITPK59tneH2vL5daxbUdqpGLjEgCi14TR65pvCTpHqxpb41V+CrUsVDDLZoyFZkzXN+X
UQq5f2a6etG2X27vZ8MAL45u9cHo5AxZKVqJlwWVPRf3VYoBmo+iUjizuUOGtbfW6qpRbtfyyOAz
ic+FftTGL+1P1GydNNubrNzIPi6/0vJL3jkqDYxFGWesxIhjMTsjxC5WSn1xUsJPYVi7pfApiz8M
9LADsGqDtBfMbO6U1w6sKahLRVl9Qav1u5DmAwY55E4e1F/jZjiKU2inAcl48Xr7G16H65SZeGWw
O9J+pkUvd9sa06yPYpJ6aYXA5rkrT2rittqdkJz95lkVf99ebvN036+3ysONVC6mTGM9+E5t8ZC7
Ty+/Sns+ZFAv7Sy1JL2XpYyLramroEGem9SqE6bJ2uAgFo9Z+Hds0UudHNiuGZJmtrO1LcrD5djv
LL31CSneAZBbPiBjbpeHmtSTqcwKUPx6FNzIDlTPNKlF5r+SPRKATaf5fqnVvQiTylDrgqXG+evM
aICE3K3cH/0Clfi7IplOiuEG8wC1cQlFT+VE/lFvRrtBDvn2cV9pIy7u+/0vWd2b0FfnTtMLPM99
5Q2H3oXrsXWHQ/eSP4HV+hach4/tAYJxRAKT0nby0QHOf/tHbFrzu4NfWTNCP1WARG7qqcF/vB/z
f1C9wTvVfc5+iflOoWBvrZUl+ylV7cEsU88ITnlYMlUCmuVYVXb2G7JZrd+jNbnuEy0HvMwHAfRg
SGxNI7ZwrPiS0aXeLBznY8MggvAzAzSYzXfS/CJ0v5WHfj5HOkK6mTvXh6k76nvlwY1sE49EjgcW
SluKxatKU4NS+xTrnHBWQWBzGh+z/5hGzehX/J5HO9irtW+vh3uSEDxCMXFdlK4FIcmMNs3QqagV
ySYJHwM7j9GTcIK4l5YCkFG1dMm64m9G1wOJK1EEzlvVRvU/PHeMoBA2Lqnu1WRlE49jK1YYuKY2
RzG7k7nTU/qYFU9jOu4Y8tYz/n6t1WWqxJgWA97Oo1kUNK+p8FGwdhpTy11Yu0dqAIADlqiDT7py
Uopedl2DJ7aSwUXcm7KAG5pwpkHRNn4z473C0NZ6sKZyfnDxwWe5CrT0VlTnvK9Sz5/PwSLm+UfX
74P+cdK/D9bdbT+w+cyg+2HAsa6AUV8njFEYmcUkCizWfJliO0MsGx6zuB/ht5ZsEdRZoDtCpR3k
+de0V0Lc2ilsiwo9P4i9KVdfnmyh1HkU9knmCSIs6Fl4FoJjZiBS2SWOYB6Qqr692631liYbkAfC
Bm0N5akDRYlGaWSaOhIfNOERaI/j+y+B6ho5BDQd9D23F9xyfdAQLfeAo0WI5HKDatqLVZepGY94
qcd26z//mUL+/UvQfA6UPQjN1vbMRaED2yF/XM/GjkY3Q5xiZfg93w5g7tED+D5yR4uoQOSfitDf
SVWvoBV8O+qSiLtDVslM5nqaz0gD4FGNkHvzDLyCwmFXKN5UvSrdY6t87q3hOTX986DYpaYcGF5x
5A8BzXDAheXcMwGtuXP0S4geuq+3z/0NsbS6swx2MIgEAHYhc1jdWSsoZz/w08Iz8/g+6rXHuq1+
Klb5WwMFDbvkgMFpDLWrjXiqBNmpSURDOwgJXyW1OPq17oj1/FGIT9Sed37bRtCjGkCtKNBAhsVF
vzQKRa8HRR+FwjP0P6M/Pc1ybJsIVRSzGwgvObws9bM+J27Xh/bo36lm5whUhYX+fvZR/qAuffsH
LeutzwqJJbqZGkBMzuvy98RZrfrCEGSeb/qOpjIjqxr5ORpi2S2DT7fX2tz7u7VW7rruc1H3Z3WJ
BVyhO9GgdCoOvkndzNgjuN7b1+ryZUGUmpQZeRqU8KAwESx/EsT2mA872erW04v5M/kGOpDi5nrC
J6ZmZBYWbqwe0OFJ1BIgRYGgJAQ7ieh0ieiGqXKcmbkzsr2B/433j7XRFQUfSRl/XcGHRmGKsz7K
vKCrnSIy7pOpfrV26cGuYFzLTTdFusXUbyzItFauWkp6wWj8JvOUKD7XzXgQo+FDF3zqjJ9pYLmt
bs+66g5+dBc0ww9VfU13NQaXO7u2UyjkxAX6zXyysUoWqq5W5tnPMy8XpcjpxrB1pjb5H1w2Dd2F
Shpsjw4c5fI29FEDwLJlo+Gs/xal6lMztShifp7Q940m8awF8jcl146378WWrfIK8hICAVSviGjl
stfUKq0yZu1yx2gB6CCvFDAx1ATTjtPeshgMFbKGZVSYvs/lBuVc4QsN7YLoESXb7CwBhmVLPkj+
tFcX31zq7WlAipqa0ToGZjZFZyR0WSo/jIFCGNg0HyIqBTs+dXuh5bOhTgzH7GpPpK9VGxlD5kWK
Ck/yazSAR052mldbizCyA0iT8XuIMFdpssLsXlZYRA8CjKOH3pB/D3Uh2nqr70G2tiyd1q4MJgjc
M4j1y0/kZ0Uplj5hQy0MVIiei2jcObCNwERbrjJj+CJKaGtVZK3vTWusityr577wH7KxpSni00k5
lcLU+vehoJAgC/5kxa5AO+/E6yRmh9tGv3GglJ/pHSBztXTkVlcNDuupDts+B5b1opqUMjvbQvX4
9iJboQA0kPSQJQB7FvWiy8PMijQ0dXp5XpS5X61Db/+BQtv56L1+PTD5b3/pbIgkdp7UrYL3+0XX
JRWrNDM1zlg0aWoXNnwUSEbUkaaiOdTxfWs5Yw8T2cFX78rkSx09CNAV3973RjAIIYtM6gmkWBbX
h9sXKYM6SpJ7wNj0oxGF/qFmPAfKZ+awTKU81jrCbbNS7lXbt54K0EqMcC5DQECrV5cxi8ZCDvmH
x3NV/qjEdrjXi1F1UEUY7qPWXCxKik/lFI0MSVe6M1i09SMpzp6ZLxScVMmbHfe6dRg0PeF3R9oc
wNbift+VKkc0G9MSXRGvEhLzsS4s6dAQDD3IZSU+BJUVHOqhnFxNDcWX259hy8YZFFIW3SKavvLy
5+9WFsOph4M6Lz1Bm49+2d/lsTNV4un2KhthFa2iBQDFgZMyrlyTaIXz2M5F4XX+oap+yP3d10H7
u1sD3VqG6QAgfThaKiurL0sLdeR1rDnGMuErpjHx4ijeD7PyVPSz5lJ52Bt533BUNI4IbZacBlex
ur1zFo5ZnhQlakjKg5QzRA2tV2qcC0VytfSuP4ko+tw+zK3L+37NNUwyL5UWmiGaqO3wyQzOkfi9
N1+6VLzPKMWlypOKhnQjf5xBo2b55zooTuVecX3jBVj6ZcusEOzpPAGXZmNJvlAzNVySTM2OMH5v
ir2gVeZvWEVTSIRAJ0C3mHhj/caI4FuSvBroFCd3UnwQgeKXZIqHvv8ypF+kqbOD9HOaHPaUQDci
HfDixAKUqvD96xnKftJH31dIGbtUbg6Z2v5QEElxEiMS7aw0S/f2x9yyHzhtljEzystEPZcHKQpJ
0WXTVBBYdXNl65HIzCaMvc9ST9Ont+6rREfVqI8r5JAFcSfW2vA7RKrEdYDf4Qlfz5wVVLONOBLo
PFogwpvQQTUpSY+1cjcI+eKKd+YKNsyGOWbiIKZIUBtdgywUf0p6paxpPnZfpa614z1drY0NUVKV
lhl9JjpAZV0eZ5yCDOmBfnmxotZ3wQS9eqGN08dGSRPPKmQgTIIcwEceGDt9rQ1HupSnkEE0aT9e
gf8HZRwas55LD6I8ilRW+6Hvprt4/h/6t/gaJi8BjwAAW081AKHvpGFK6PXPoxMGuh0oh9smuVVz
A7MAdpQ+0tKSXr1GUGlkhWyBlwhy4cHEyfRz61SGa/q1HfTFS2g0cPYYvTtUpu236bHN9nTqtwxF
JqVDB1wCBrSe1Z10NUAgG+SEn0T0zj433Z/bm9xbYJXo9405M3eVVl6TP47i17Hw97z0YmorBwb6
esHbcI4EOauMVCuFUMl8PlSeHnPkZ++htlHdormTj4xqSZVt7jVNNp4/g1CKcIqqFzCm1Yp5WGVx
NAWVly1U1aF4NuBqVw+FAo3tTsCydXzMSi2TWRgKWcflPcvmUjTLoqm8wqilQ9HMohOk0U5jZms/
xCYSSAKVnH5tBLqYyEVTqpWnlrXTzbIrIlOhN7ENPdUzrI87OceG5ydvB6OtygbYszXkHAbL0Zz6
okYCmo5XMD4YnXpS8NB2uLOxLV/B2ZE4LbXlq94LlWSRrCapvSQ2q4NqVU9D0hV3ebRj5FsHuGiN
LVCdZR5oeWPfBXczEgFj06k1wV16HITQk8oT84r09suXXRrzDZNA84gUBrgTaAJpdaP0sg6TWE8b
hPGKL7M1Onlc7XQ6tpYgygKnA6MSBfJVsJVkwzTQGATI1fSQlRh+fOi7dK+/sWEHJmENu6CaROSx
cn+Wj/9LJdBUcm0+9kZsCzMETXrm9tHpthPaWIlgFYgMM3ZvHY7L7yPQZE0VBuc8CFFcNfrdFl9E
yAl3qUSvz43BnUUHBHwYtak1PkwWsjJXexDJ+iyaT6NmDt+Diprm7d1chzKsQk8TEA6VOPzC5W7E
SI4HKSCUycP+gzrkOfwhKEsqQWvd+zGsB+NolmgEN8LBbCfrcHv167PE1RKTghbGYYCQvlydQfKy
4MUsvGYoEZBJY+1Z9Y3U9YtxfECmMNzZ7QaqcPHt1FSBd1DGXAeKoww1eqiWpacMAdjcWWilD40Y
m3YqCcaHscnjp7khFDDrDMyw3vj6f3pfIuCUMzh2vL3564vOx8Xj84swJD7D5eYjPRtC3SeLi6Tp
C+yJHxTxG0pNXVM5hrHnljcSaFaDpwh6YVoXhMmXq7VNEg6o2izjYHKRuU1TVt/wMNpgq30qP49F
QUFbyCsIeHIhUv+D5EqVPwzMTIfOkNTwWyq9UKEVNhvlzqu7ZQXLlDIYU1w4NefLn9ZYfWZElVh6
UP5MwXMbP9eRUw87sd7WcSN9BtYMsDTZ7Oq44zrQ4j7zifWaRr+bgsI/aX4kHdIk1lzBjz7BRyXv
rLm5M+qhXGFw8OY66esnMY/VmHCircOjKAjZopX4YFRx6VR68+O2PV2H0UvxlTY98ReBurL6wlLW
akUus1hTTPbSBLGgZ0QodvITu0usA2Xuncd3y3kQrsOYQuaF4119uILwmRgAp9skn2TxeykdQuNB
CeBnbNTfsb7n469fYDb4brnVFxy6xhLhvQLfErcfEUq6G/VvQIn2BM22DAXKqYWh12SEYV3LVuOg
rIycfIc/Pg1pcGzG6Tz25AdyCsY93rH+zeV47xeiY0YN1zW1bhSirpywfjORTlEIsHu2uj+zYv4U
p18hXCK3rWTTBZJu4QWAs1ArXwWcC91grapS6dUfkuRv58rH2nSTX02HppUjvb7eXm7rm9HJXXor
dHKZRr2820nSCU3fqCUAT6apG6DqkGlY0x6F79ZFg34NQi1eMT7dyvbDwK8so5tIPdCVzBuxdCct
+DbO6idB1b/c3tIGFIiJYqbUmTdgxoU5m8s9SY3hh0Iisxh1WDSx7sKhOI6ywxRipDizRopXHuXp
i2F9EhMVoTKCt+FJNM5TdLz9U7ZsB6/CHPYiL3lV7M7bsVDSyqy8ajrIutdEj0392QjuNHFnoc3n
4/1KK6tJtNQv/NCoqPzauuF0h8JOf2mRzczzfQEXOOKZjTvvcahtdEE5aigsqHWSl6GhcHnUUTsn
JeFD5c3owEoUfeFzvE/r4V70NTu1JBqg42tcpq9zuVeV2AD3LczjBJNL147qx8rd1BnMdGk8V14P
qo/kgvGZujq39bfMUO0iPqfSiyb/EJkqb/3HpIDiNRM+ou+1k3dsfONldIz4jMI3wcLqZ8hRWtEj
4uQzBgqlI5xgAzdVcXdCo42LihMHPrDwCS7Ai8uTRoVjTkNfqLxONrwWlGAkP6LW+vm2wS7f6zK/
xsm9W2XlDqaimuWIGTQvTtMHXXfgC7WpvRzafMdgN7dDGYIDo49NwHO5nSEoIk2Lqtoz++4gmins
G/J9q4y/b+9ncxlDF3Vm4GFoXacdQhdUoz+zn1RQLOZmZRDsVdqeQmoLO45747Fd8oD/v9RiJ+/y
QkFEpRYy2NoLewwgOWtx4ISx8ClqoaitrNhOKjiT/L2m3vYO6U4a0D9RI1sdZNQbfq1oce1ZBKnp
XfTL30PRbtoEIEM6KFCBgna43JjmF4TdVbgkvLHNWMWhIPpVY+uQFDtXaWsl+rgoxpHB4zSXvb47
wq5qmmmK69oLgFNEqe4qyQMTyceq/XPbLLb8lsSsJ+ScJFW8savIyGoQ4h6DofakQuqek2Kqj1I5
zT9zTW5PdVkgMSOpj31kzMdZlB/aqNjTT9hyGwtm8w3VACZoOYt3e41hWK0ZOKw9SO1cPUNlefwc
CMdIUI9V9z9ctvdrrUxTFzK/y9qey3bq9T/mk9H/vH2eWx+OfhfCe2SpDPutnnehKA3fT+bay5PX
IEXn5TuATF96vb3K4nzWzuntkWGGkgB6zZgRpFo5NIpUe3DSFuVJUb7d/vs3AnQGVYFpyfDMwCu9
8uS61Qh6mxCkQBuXPYXs81smFA9izH9VZmQe0jYVbbRT/31wnBYl7RHwBQy1sbdLWwj6Rhj1gemv
tDuU1jctfDabnabElnd6v8TqatV92uWhJhIfpHQ9cvisRLqx+fSiWu1BFD+m4kGuTrfPc8vEl1Ic
uZxBEX9dvOoaKu78WeVxg3qtd3v1e2XZc985ah3s8Als3mhYuAliSXeAg6zuk9gHkdSbeu3VpfxD
iETp2Btm4NSqVrmMMUlHSYFmoMiC3G0CUG5dOlg//n2/KB4D4CBPpvG8+glW1gewIFEZbJuHMrI+
kMB8CqLoJAXSU6vvlO2WD7a+DIxBUu9EJQjTWV25mGZJ3UdRi7RvijyWBoVV6ks7b9rWvX6/yMr1
B00OWlYOW69Fen2IT7P1URjscv4f/D6y87Q+6S6BUFktI0CDE/pdScBujeJZljInm4yHJrZUNyyU
2L39mbY2ZQGX1ReFHmTuV97Qb3NGPRBx9jCDCp4QWOtbqR7cVKvufL1td5bb+FB0PZe+3BveZV3V
F2ODXnbqN17dttieblYOraAE2Fy4p7u1lQXQpLcYSMYo0N1eZz6Kn1hh3bWeEZYl0xZ/8xg0dxSo
ijuNs+W1jDMdzVlQ79JOVI6NnOVPQ2jkxzALTcCvZb/zZTc2T6MBtpmFzAYo9MrtVJE5NcYYN7xy
wM4C01b6ztWVHUezdflp0DCKvVRWyETWz7k8Vl1Yh52nn6zqwTcPUfXYGg2NtfuiKI6yEXHz7//Z
jFgThmrydDKvNetmYxgx08Fp58E2ZtJj9tLix7+bDnVFkTQWSUfSrJVDyf1sxM00/VtI2WkvpaTY
cSc6/76R96us7kOTBpVSz3XvDbNdTl+61i2kjwOd8tvLbJiCRvy44EnJyvlKl4+cPMZ+2ubR4OnF
7yF8CCVHaX/dXmLjZr9R6EK8D2LPXPtEiEkKkd7C4GXzOY5eS7DUfiIfLBiXby+kLh5p5X0ph4O+
oTS/JGSrqLuZxBHy9WbwFp6yh0hUfk9h+aGuvlIch1hRGTLGIpm2oVSdukV210mxo6vjnRJ/KuOP
qvWtD5xORpvoJ35bG54z5OJLt8jh4AQY7TtZ8l+temXsiuIhQgy1Pen9qx7pTmBRNflP+ahq5yFM
D6Y4P7bT59u72zpG4IG0m5AKRGJjtbkog8Zi9qXBM6LYzS0XIRu70V4jPdqx761a11J9xfPjtQgF
VhHXNKVlqhvdQHqWUuIfEAV97CvlJYiKj235F6KZ86gYx8JUbDNKdrzGYnBX35BMGppKir9QfF8a
5DiL45gkyuBNpyC+H3TtRAE21ge73p0Pv44sEfPjCmuwjNALXUdCUZ+OoxjD9ab3QGx4atrH2I3C
X5X0txT+3v566tW2IIJAtWH5ejSt11GygjT7TNuIFF4b7RH3P+6RFVzfZAR0gWaZVEWpwK7to54r
PWiypZCd1rJL/c0eVHRPJfVfVTIxPyb60KWC+RFkxvqljptZJ26MKa2kemuLYQNy2TyJETyKSebM
qegNT32S7oSSGwdIQUlb+h3MEhJSXtqFPxppM0/ku5JanWEe/C5Z+Y7/2DB8kCCLrqqynOIVJ8so
NqaeRESrHXQwbjpLhlMY2ZPehqlrVRDOInFWu0lNk0sOzcYd58zxob7YuYBbW33D4jI2w+tprW56
V6alWYhUYZBPPyRCflD9n7etcfkbLi8ZLV9m6KifY/sACC8Pk56L34cN1bGyLO0sUjJaHT01sto/
l6rUuoGp/vVl4KBitfOsXV9vsgB6asvGqIus1XmEXtMoERq1FwXpnUZNRg/PwYJ7S4IPivrp9jav
XSawPbhX4CilU0ot5nKbsgqYmtHa3pvARd6XChISshnGbti2072hFOLOh9vYHMcJOhJ4JFGPtgr0
0FgopKwvWK9o74CbfS19yHsEJIlsdeof1EQ93t7gtQdjg+8WXFlKnUxZUMpV7+WWcScz4xVWrgEw
a8ZCE18+MX12ur3i6kiJE4DPkQuTi0N5cZXgSGqgDKPZFOcqluAt1cf8XhtS01GleH5MW22v173y
am/rUURmnkYicmAO5PIToi9par5YlGeDiUCVvmtEb6Ayvt/e1RoH9rYMLJzMei7VYmCCl8sYamOm
9BxZJi44Qm7OA0y6kMPHZenMxqD8aqc0eekHOCalaTIefUkdXTkfhocp8rOdLHJlR8uvAWcEIBOV
IgKmdVXZKml1RrLcnAV1ao7SHL3mRvxZ1yBrsYJMvRd8KLpun8DGOfPcAiigmcY5r4sdedYEqEYq
zVnBghlWFkKodMMBRq453DGh9RjA2/Z4ASkwozfAO7I6bLXIFFidZSSeQikxjggB+cB2OwZerSQS
yA8inVkiranrr2GR9OZBkJDnsAtFCH75aLb+1zW98Jx0U23aWTfXkMuiha1AlJ4W9aGGw4up7jwX
Q5uJ5HKnZLPuY739ekS3lEVGlvf2KpwdeDeMymzOtZSWg50EcXUXGHPmFoWBjGHTDwKtjSA/Np1e
nBJhFH+AlmxlO+wq4ShUMRR2otA9xBG60qoPvXVf+vXO51znXm+/cmnBLOxmFHvW3zNJ5nAKc6M5
G/CAQJQR18+NEIArG9PZCcy0OgpNlzqaHlp0iHQ0AlFn3PnQb7fm3TPDj1jya0ohb1O3ZGWXt6qY
fFg5qaOdZz9B6zGTfS1w5XFeBop9YyRFK6LmC/fb744hOMXuWAMrbe18GoOfQ+8rYNOGtiIyk/rq
ycwmzak1LX6AxCUPaLWYU0n6OkIbbIahnv+MprFvnRz+elKMPlA+w4dLqCUq/jwf0rHzG3i/RvHz
v14dCcgRXHoKxc8F2Xy5yzqaJz0ZpvZcyFJxyOtGYoyZjKPXrN0K+RJ6r0+Ud4X4GA9M42R1ol21
5LeiyFqwlrt+kMoIIDQxEoKWb7pF4Puvo1GAvhTC6a5WOi6CPH9DxDneMbBlofUPwVtA+LIQjkNb
dbnpoKijUtCwr8IYrQMEXJ99PU3u8iGiShQjOhs3//a4vhkTtWxmYxdNZQSVL1c0GlWrE3Vuz/pc
wpxtEHa1s4oIAMzGB+xsOIGia+9vf9tVoPT/FgUiSXKgwxyxLmFEfYBcaCy1ZyQ962c6jhE0SHnh
GlU3HYgGm1MnheopnKbQ8Wc9/1+WJ9zmHi/zrGtQhQjlUtZ1fG69RL5Z1bLhG9oMEgob6u8ka7J7
XRUaJ+lr2aGsuwdUWfdyl93TiSFW40VcgOyrRFAT6ZSbvtCfdbGJPqV6U9q1KsI7a476KYIZ8aCM
0XQYu6JzAqL3Y9NWgkOY86KAGXLaSq7Inofgq9G3e429Vejz9ttI8gGwgvaTKe1emoPYjUx1SUN5
DgKKFmbLAEivGg7ZiWRX1PyeTXpwH8vUUnYi2OuXkjeSWjJjuIzMXTGE04Yqe7qK9blHFXC066Bh
TtQS9E48+SoXf8cErgMuRokgiKSGRj2cT3G5z9nowiFmBOVcgJ14TlXGxVS9mRxTKxkMSUot+nrb
5Je/cHWzmdDAM76pcUAMerlgFMRhPEdWfRbkeD4Ki+FRNt9rtG1ua6k7Uaah5LselqbfM4BgC5pz
N/p65rRSr9SJQ8WrFD5GfjoT6Qm+Msw7WeTGsvTRoV1fiKpgn1mdph7NwAeXzcnTd0kDwQZuPBPg
/QnanRRrwz4Jo7TFOkEqXqkrG6Vk1WSTzblCXa5NNcfQ24OO+m0H1Ks0ilOT77EHbESxBCVUGOjf
MN9G8eTy05VDnSd91/VnPJP1NdDSr6OeFocyzTQ31FCas0YldXrCVjtBD82hlEZPNVI19Ct7f4/i
fsOQkE9hvplUGn+9Hrwc46L0G+ikz0wCqy/hGMzHtG/2CvkbHpqqIhybSC0DrlwPiZf0Jv6Ps/Pa
bRxb1vATEWAOtyRFyUGy3e2ON0TPtJs5Zz79+eiNg21Rgojeg8FMAwNMaS2uUKvqD1UUyf0xUbOn
zvK9xBDdSUDNaL4raiTIDOV1UMONDP3KOqJqBMkZcCizvT6YR2nOc2Oo+2MddL0dguWR2uyn2ISH
Sj3c3o9X0mVYFYvOGTZS3LVrzcSs4BXe+Fp/FKU2+qz4QqcfMiHuLSdu/fhJj7v8U+KbpWWHCue0
K5YNkNO2rrLfSqAm3iAWhp1wjT0FZTQ+Uzf/USWNdCDHbe7qRJCeewVv19u/+toEYe5JNRYvn4XZ
cL4UA6Bl3VgGw7GFUDNoVg9gpf+ljFXplHW6vx3syl6j+Ln4aZCTL+W882ClPihZnS/31Fj3zlTP
hp2m6e82kH+Gfes2JXhOtd3K+65FRVIKJisUFI0X/3nUuNM7oyuj4Vjr2ucme5yrf/t0n/jkIe1O
wwTj9iCvLHTOrKXk9k4WXD8KzSEuhbEthmPT64cxMJAi/Zqjr1omO0vJ9/lvH4O62yHXnavlkqXH
8X7f0b+l7Hc+RHOCLJSI6XA0ZhOtnGwy7/pUxyYF0dt9q4r9HlHZ4hBEU+JmmvmdPLPdSdQ67cwK
99pkblHIryyr5RLkmFv+vgDeS3hYBHHWDEecouIH9FTb/UStei9zMNwJ6bxF/rkWDwFY8CDsP+7E
ZQ18wIPM3SgJHdf8UVJntwBgb7PzfgVK8Z1ctP37PQMwkmyGktyCWVstqKy1Wh33xPHYBfGPihKO
Nf8ptelLoFcbCOt34arVJU/tDTgr/Ste/GvBxphLKBatqDtOujy9or/5pWviH2LVl64Yz/NDIKeW
G9aK8QrFpXDSoamf8ABLdoYYRfhOR1qc2VOZv+mdPlXQHazyc8PAPJ8Krh3GvmzHRTLuUVuRvYGq
w8aOf++Zng+AO47+3kJK4BWyzh+aQjDMukmGY6waMWIFQpfe8XQwPweB4iV9Hx+CrK1f0sgMDqGB
0LIkA1gf9JyXbpQZXhkqI/KYuuK2NFL2dRVbXmdp7aHo8wm7NanFyk73bTE1P4VZLLih1fHOgQTn
ZJxCblKm91HfA1zt2y0JjStfB/Nyui8m2RdQjTX8d4QKZtVZOxyrBAs4MEnR57hvgteIdt1uGPo6
s8NG+QIreXLaWRm83JjGnTzVsdt3w7zrJpClY9O390hh+/cmB5RT0xvbW1qg7/NJ8+1cjPCvUypx
F3eFurGQL29+fv8iwL3oc3BmLSn0h11Ti3LS+Zo2HP259GG+CiWqTjiQ3j6dLvcmUUggufQ5FlGz
P49iQkcXk5yzQG2F1s0TaX4M5GLwUkPsXWPs5I1RXZ73lOPBxiw1QtKZNbVI0hulmedwPOpZLzuJ
aQyPCF7Nthoq/c5IitBtW7PArkDbkm28Fhl1KqooINCBpq3yuqRHU9kvOYWasfT3kRx8iWckXode
QzFalKfHtlX2ZTNu1bMvrxwaLsrCLaZ2I8MVP59hPet0wRzq+di3ezIwF0Wh8UXTm3tJ2E+l02yp
pi1Fg9WmJh7SJu+FSM1c/vuHdWPQVJryOJqPQzns5SiyFQmHv+ClklRnzreUQa6Ojg4IdkikKNxy
59GmbplwrZuPCEN0bm1VQEAsQWGna5YtTcZJAHvpTtVSddL1eWM1XVm9FNLhMC2va8qIq7GO1GbA
MTK3g+xN410cHvv6p/k/BeGVBUscQao1ArAtlbTIJxQ2a6n92UiZG6U/B/0txA3t9l688uUYjYVk
GUL3QCJWiQKcN0MaxGY+whQK6ycxPmndFzGZHBTFbke68shZIKIMhtlfoL3y+WcLR1/QxdSajkHN
20UBqryLQjdOnIYihOq039o2tWsZTKXmboRe9tlqfS5+4aDJWTULxfA8tO8XfSsH83yk09o7lOna
weEOMj1Wi/ZgjWFlC1pEcU4LM3cy0FYKqz7aeHqsu5QkZWSA4PppD6CgcqH/lapdPTYGvyKXXeWb
/0rlw9Vt2TVtB3Dz7SFf+64fY60y66DpQrNSidVFs6um9kxVR7rX0tDhjtn4sldOOZ7JlImobbIf
1pKQszTK41io4pG6yyMNAHMgr9P4t4JIYPtdLuuNjPqykkNdhbNtQYczpWtcFrX3sUiqSTpGWnon
8Gp4xac6sstc2MJ5Xk4jkbCKwdMVBAef7nzh6GVYNs3gS8cG6Vv5xax+9/q92NLNmoKNWbw2KA5r
aoZkdbRyVhmrXCu1YaWRfMQXsX3IaxMkiykoXle2wo/bi+Pymsc15j9XIW2GCxvntpJqI9Am5Rj3
ebmj29M542xuDejyoASiRm0dJMqy6deEktHI80wcRPnY9epnGQ8NsbbsSJudOt1yKlk+w/n+JhRH
ChQvXlkgic8/Ey8LXZ8iQz4iwPasiK4kPmKW4gWTuEejYV9TtYEov1GSuvxgC9qRpx1FRQC55uoa
QjJqSKy2V5C895FApZkhYGfRo5u5sTKuvOaItKjnchGQCq+hNXk9B2mcMbxSb6Wj1rc/+xYeYJfr
pZcVwbOk4gJbCeg+9QYOSIlUzTbHT2jPc/VURe1faqtxkNHEAH5Dj5PMhkrg+XRT6usHxReVY5nk
dp29Kf7X2wv0SgH7vU2y5NBM8YUdiqkFtTk3koLLohjHttQpDYIoPirj6sT5JTZy/TWqoiF3eWfw
rlG0OgWEDPiudZpI6Mbd0LWj4ISyVoROKoZIRlldm21spCvdOqRwec8s/lMwfdYUC6sawzIedeVo
lI1qp0lq7Luk7h+KwKrcCQ6Io82sekXxMQitzH86oZs2luGVbYY+GUuQ9tLS0lkdUYOWGN1Qd+ox
Nn8p3aLEdcitzMt8eePUvbLJkFLCA5VNje7Aupw1+dhcxV2jots/AW3pcVxNDUG36zIt9ppYxruy
GlNPSNtw34/Kphr45anFa4GyLBI2S961FugKhDKupX5Uj3CdHtQismMxfp7a5jCK0UOQoH2g3KnR
r0iK6COg2K1JePg+9/i23V6cV/Y9sDPSMtIZWEJrcIrha2NH5UE9clxDLpEyGxOYBzjor7fjXPuw
i5/Y8nhYoJ6rfMlCQrOO5VI7WghmW828nzANGfoATfuNSFdH9CHS6viUo9osArPQjkldA6b7FmXR
fSP+uj2cy6uU9yRcbTow9GDIbM8PjbosaSK3o3ZE0RzX1GEcHBw/v6DRgxxBBzlukrr6f/hUqL+A
mNbAFV+AZNXcb7hHTO04DpR3h8kA+mGmqle21Za/0ZWvRe+FTiMPW/ib65ZbGip6wz/UY1CWz7oF
ni4UH7X6d4UW9+2JvEy31CVHQFuE8vzCNT6fyKmMQqvAafeIue29YNyXSuSGIir00j9K/ZbL3u1w
V4oaxKPohHwkfVJCn8cDcteXXTtpx0ybxc7tyRxklrw07aVuHmtnrELrIUC897uZ5QiftzQl94aQ
w/qf1AoxoUGatFMlWZFo9zpurE6qKYsBFExCBLy0NvytylkIhN9Ih8IWgll8nAyj1G0lNqJ/bo/m
yiuE0ZCBMyRycIrPq9H4ko5nuKwdcWiSq8g2/MlOhWRfwp82RSeWMF0Rnzrw9dMw2ox84+tdeQUs
ZzX1QqLzh3WxUFXIvpbCztEIYkct/E9DCj2u+aaE8an9Zoj3WTfYbeulobyF4bt2XVER5TuSM3OC
r5v/Y5UAuENU6iiPv6JZc8AN/kyaZ4R8aRVCWFeAVctjCXN9f3var9wdvKooAINVJ59eo8GyZKEt
aJV+9HugNv4Y9Lswa4VD3lsYSshisTNrU8KmpRzRW6fbtbsd/8oJp1MyJTVcMNhAW86/eoXqMflV
Ty6KArIbjEXqagCInSpSmo2X1/tYVskodwNKkqhTwENbFwj8cNaUKSRbi+d4h+KtG1s/qsh/SoBs
+oozhQ1UT+ztgt7T69dAXWTJD1N+KLVTGbyl094KI1tCpryhiILwKsUUz2iRt1Dubk/KteWwVDGo
UwKjRuxpObI/lG18g+qRoqfKUZV++FXkVo31m06ka8qPS82hK3uvHpVDk2xpiV7BYi0dxneuMhYC
TNUq8lwIZkziREYbHGQl2Pv+ga/23SxHx0+BhT2KVXpQE21vKK3rd4cwag9+Pnq1Fh7SUP90eyYu
76bl55Bpcqvzo97T0Q8TEUFszcJ00qE57AbTFU4nefpWbFknXI3CXqL+QbPrsrpqJLMWoiR7xGG5
cMoZ0f4krtUdj1feKqB+qYSYf321L2LLgDAXizrO8NUjZVJis/T9CLHPZh72fuOXbizLmZ31U3y4
PYmXe3yRvCJXF1Fc4wm7yiJqsdT1ulV1sgjLKVMFWZvGGbLiNI+KZwYd7z6d7KJ9vh328uIlrAIh
YMl+2eGrrV2GWgiSTdePQv461c/h+G8aUG/dunWvju5DmNW9IQt5OomBqR+VuPCo879J4FWUvHuK
B/Xkk4mic+gOwgbha2twqx3Kxs2zjhTgyL2aHEbjaNybWy3xK8uSCUT9npwVmsO6pdSHXV0ZOnqw
Vb0UbkI9eAjHsrpL0zxzTaFsd2aJ7Obtr3Z5IC9f7b9BV1+tRRneCBMULnuIjC5tIsrxffE9qPx2
dzvSlVOOUFA3eDdTA7woF+etP2lDwrrMrV8RViWGdeBkcuRUPOTyQ1Lf9+EhLLfWy9UBfogqn59w
VdlrgNiJymEOaJhct7eDLVTMckyeXzXL0BaqM1+OM3w1i6WkC2GQaTqdDVeaD5sWV9cH8d///2rR
66UKYqnn/88Tz07b10D6qvtbikBbQVZrXE7rJhe6ZWeNklsbuu3H2mOp/vVTgKkCj0ePVgICv67k
BVaso2VncfhaQbBrqB46XZb/pvrXe7cX3NWPQrZBgsmy48l6/uWDvhwrWQiNY6wBrNSluHJKwBr/
QxRkGZduI8UH+PvnUcxKrJNFhOg45FJxZw7w3ajWxBvb9PKtgQouDXsy/wXGqKwWWKLPAI391jzm
YobselaJTmqlJm5gVnOPSs9sD0X1T4pSzkaafC0wkFG6qMuFbK2rGjiZTJMgjubRH2a8zvRM96Aj
ZhgDR/NujI30ILVys9eSvNjd/nxrbzmqWwu7DB4dKQGp0VrvSFEGEOjCYB618nUWv+IG7GXRcJgz
5ByjnyOI3EQ6qJqw67X7fqnr0CCFKW/H6mRbTXGAYHRvoqUVidG90Sygxs0+83Jrr/Y9njfvKRu1
VUT1zj9+kKVxaUQC+75N4zfUX8rXThB9Eje/elIFtXDMSklcyijqvtRniqEYi6DjGTqoHQquGSqd
V0mD9kQfVHTqWDW/xNYAHVLXK7eThH/GbE4+RaIwbKzaK7conBCkN3n88Axam3eXXama6cSpaMyS
E0+aK+Zu0X8Lxbu5+LetniXtx+2veWUzkpGQAtGsg5yxxgFP0WSVk58jRqUJ3U5KjZ9+C6judpAr
oAbe4mz1xTOafbJWIzaqvkBo1teP6VQdC2uXGQ8U8tsszOxktgMr9ObpH91/y+PQzsKnAKKR3z4E
+kmh7SblgxeZw0PDc6i2k2FXm6+deajkx6KBL7pLQhqqvV5v5E3vxlmrRcSkgCIBeggrcK2PLqi0
NnxOxaM4SwVrO639z5JeW69Rq7eZMyaKuJc7o88wbFPZ4KocWgHY4Hz606kRzMuKPt/soXQWAWsI
q+KHX1tRYBuyL6ISbqQ5KOcBJanQSOTWlTPUlkIta/8dZ23GFG1IIsWVkln9NwbAEbqyEuWi05CH
N8iY+j2EvaLt0p2gIarqlmHcZeBM48UKKJ+sn1rVGKatCVl1RPCgTAD0+ggQyKmG7EdbynNKQ3hq
7skZ/U9YJ0rf1TDxKUE0MvWLQkukjrPMFwy7S6UkdlBUtfapOajfglmpB9satfpLG2ZibNd9k39L
sZRp7aApAh4tmtVBsA3KxAW7CaDDl4XAEayIy7HJpqZzpwEpvXu9N3hf1jVF2p3WFXq0RwxKL++a
tul+ir0gyTsBMRx1r2tT9bOgFv5DD/osx9Ve8wPH6PJ5OGA9ayh2OstauUOKNf8sdrSKNs7bdRII
EwJDFtQOuCIX0t3qpo8aw2rnRqBSFonlvpDQQ5XKMXatovcfokFud34o/m3m+Z+gIE2pxmDBbKxe
DGItRWLRR/pxSg7dV7NQ3bnYSY3XRn/7/l8iIS/MbcnZDrFmNbxaDKGoKSWPBEux/VD/alXdHYWW
v0zXaS9z1vAQgYy6EJRXl3IWlWopZiL1FYEdoLmyj+bXsFeULU7FRRVpicSe5XzmcQe1dpVepnnp
z33fascp/j02zZMSV/uhf4zyzG577Wk0lb2Yv7SJ9SsZthQj14c4sRfVYZjerBVGuoqtVdYszD6p
lD8t0l+xR+vSznPt3ohrW4IzKSGa121kIssX+nharYOu1ooCACpJYd4dlfBXmH4R8J6L/vZRssRg
9TOt6Hjyh1WM1NKbBHSdfuyq2A7b2K0haQQYvmxcF+vrmzhILoHPpK7Ao3yNhOi60JfkWjKPUpGb
+7QxYV4Dx3bgeUme3LWyG6R64CDD0YAvMefvjd6Untlb3xND7h6mbJCOk0/qkdbI9E5aqxwFHW9E
oU3iO7VH6d7Xct3zpXBLUXjtVgitEU0qWqwozaFlwNo7zzyiGXdCtYn9Y5QGtpLMuR0K2Zc+ED3R
f/TNfaU+WLXhiItaiC88DlO9y8sJ1FrnlJmrCZ+NIdjVgWTXgCxic+v3XZR3qadSd0MjkZ8GCEhe
/b62TgKRArV/lKS3kI8YV57UvCQ7tQrcXJzxqKG6pHBZSM1jUW992XW2sUQHPYcpz1IJ0daYdrnF
fEdpUv+YwSGzi0gQ7dDXN1Kaq2NEAJNi/LIHL1T7BSk0SuR9ubiH6o9i0MGP5YP/JviOIhwjv3nV
gsHTAslDABjj2i349Pq9xiCxAlGwCaPUgzD46k0QFjLdFHLDo6nmdiBmnggzu4EEcnuXbIVZHdmK
7oeB2U/CUUaxo9X2QvlbioyNIBfFgWUwCxkARwKeh2Rx5+u5SXFxSHxLONZmspeH3kb4Vh/o52s/
6h6R7hT1ELNsnXRKt+BAl8coymj0cXhZgbOHxHweOotbAUZHHJx8CY08wxVU40B0TX/2JWz5MLKY
Fe2fVOk/C137jAXqvwNaw61KzjPey7lORfg5Sh1z+nR74i+y2WVO+MRky/yL9/JqTkJqzoleZcGp
b3boeeCk4SgI8lSFl2p3BuRxeDdB/inD5RvN/hYtRrn4tBj64IjmStlBAubaxV/iYmdZn7rak+N8
V46HOO4p7NZOVN6bjbphLHdtMrlyaRUsc3khCQK+K1Z8ueQ3C94EQJpI9JK6CHnF2HBMkakrTZhJ
MI9vz9blvUTiLy7SNaQV9IPXkxXGqgYlOjhZkXwajMGeUGfAFXGXZOHd34Z6b5wiiCZTMwfJer5g
UskIpBSv31Plm6bbGrHXqNK8C/KfMCe827HeNVTO79slGLBAEg3gLWvWAqgqRRB4aGIrH8+trSdB
ndp+A3vNkeVYGu2ko7OuoMY52oJArqOGVvpsCDJ8g3C2poeiQv9FnE3ZU3ooELbUS8Nvq06Dr1lW
NBub6fIroGyCaSEZCQpuVCxWU0PlQsrUOcVVC1gC/b1DkPv39PoW7uXG/rhcauexViV1Q07LClIT
1uhTujDY/cEtpsm1kCLw8tD8Hgvq7IViEt0FYtwcbn+XqwO1yC3BE9OeWefplc/qp3KRnoT4UQw8
vXhM68i1uq0u1pUEE0TvUiyTIG2A6lt+yIeWCNXsOrOyODvxNnO6AAng+kup/qHwsJvp9Ka9PYT7
KhdcrTA2sujLW1TDbuKdLrO8qdcS4Yo5pr7VYqbLL2s/owcsPWRaorzcnsl1hQmFIgT4WeMwZdAb
XrOAKqQ2TGPEcVbr/eh+pEPnAK8tARSNcsTgROVLRh0R5/u69jd217XYi9QyxwXWQXQkzycXcWkx
HwUMUn30qgacw9QqcUIBnRqUrhJZeSmV8vvfDxcwMWUt1s7iPXUespI6WbA6BZNb3JijmTWr7I34
O/PsJU0LFfnr7XiXD0owK3RcIfBwXKHPfx7PlKciV0YNp9ke4jtljyEMBLcsxiF/rscilvdWYs71
AbRRYv6+HfvaAloEsLCeZfVSQTyP3U5FWjXNjIl3Bo9wnlq6p4qau38fZQGhQjHiQIAycR5FxhYN
TJKIMXmbZxzFovRkldK0UY68ku2BXQFYC1cR0DlX23mYIBvELGn97ERn0Ta00GkHqFP9QYRDEIaj
J2jBrtXtMDM/C353TM2tROxKzg/3B3AvOfUiWbxeraJBi8HSJpxhoWnYoh63XmVkJ9HIfsla53uI
LoV2UhgcR2PrO7k6/zKq9hDX4uT5uE/s8zZ9RRwscxLejvaCUXSCVu52hpKpXkTr9e8vStAxlOCp
K4D2XnMYq7nOowSJnVNrCR7CUE8jCUlTP9ebYs7X7gK08dnGUNqAZq7WQCVaiVWpy9TUni7dN/tg
Fw33May+Hba2t9fbtUMDvM/CD0ZfBhzD+UKIG5/3b4JBr1p0safJFcZn8GZdXErH56AfpKfSGJGA
StKN7XRtK/PKZzOjISSj0Hge2OgUK9cztpOYvllWYgMCykhChvs82HI7fncRXaUdlgWOl2cmb/AL
4QQd9Uxg6wITiuXfS9KjZCMHknjQAit7DCHuu30Lr03MhHpnZQLHNUq8LsCzeB/rdeEpSmY98kKJ
HZDHimMMUe+mQS28ZEEA615qzMNktYbbNKH2EGhVsqeP+xRUpbBT47zcD7ES3IvKAC6/rfo31Qwn
ntVF6uDZWSHVqtR3k9zwQC8M06O858OhTNrD//ClgctAQ0eBhazmfML7FGArtUX8HYX5jUfLayj6
tiQlHpvJUZvAmUTAvbdjXkssULhD9lOjL3vhSpMJpi/XY52fkAx4qCVEEoVHNcyPRvvjdqDL1cRR
xsHMGxmWKgv5fHBJ20YC9kLYdJM94SWfSanbcooks/GU9fPr7WiXG5TbHblYyEKUqpD/OY/mz7yF
Lb3MT4r+b28cFqpQVtv18EcN0gdA65+wWb8d8QIvB8qJ7hHcxsUTlBRtNcBgbKNBlDBU0UIc1MAu
T21hJ0Jk/W5RRZrtAp4tD0zFqguHWglkggE3tyclHItvYlJoX2RUiibb6Mu5s41CVzq7FBPlbm5z
+UfR+eVnK9SqXwFwkt6NUyVq7SzXwz+oPqCTc3sw1z4W/ACgN++glfUd1wd5BThuyE9CC5GrFG2K
4oDVptfEHByti7fiXftcvDxp+DF9/LU6asYwaBKeiwWICv1ugqB9DPLJS/GnDX3xYCkJXM8tr9rL
cxUGFOBQ9NjwnGC/nS+RqdfxIp+C/KSjG1ZaXq7/rMziHmxCE4Y7iwLA7Tm9kloTcKGeQ2BZEJyr
1NrM5MgApo2luyi0NCQQCfiegdK/D4bS/wLpxeydTEnMzyGQc51ELaWEO/YFGnGhNgJ8vv17ro4f
RQ82B/wvOAbn45/n1OJxV+UnuUsSR41pFYZ5jyFjn+T0Ea3iJVCR+MJO19qIvJxj54c9E7FY5XDs
UDRbR+5olYhiwuY0R9XtdcFJkr0Sin9dGmCayfbpRjF13Cnn4/OlEYdBf8pPg3RAUsFO4089/Z6h
mB1DHCCHJDtKMRuo/OVcWQ+N3B5CD3yNZSmfB5WtpE/FaebcGRArUZ940bu3P9u1yUOvcCFBQm+n
HnseocoDyw+sxX4epYiCBDA5ppv9/2v7X1kg26AMwAeu39Wh4UsKiVt+CvBQTiBaVMKn0f/sA0cK
5k+3B3R5Ay0yCQgXLUwK3vGrRLcNxkqZRoUpU9Ld3KtkuZ2j5PNO7pst2cDlm68/D6AwpLh4Qy77
cDV50VS34WJonwjFgx98FssvomqrAT4wpDW/JvNnY21Ju11bEkDUlusBoRfAsOcx4R43QCIxGKed
6XuNoc1ujEKId3sWr1Q0KWaiiMiWQvuAxP08zNTDMVTkpjhJYYk7C63j5zCvHH96zQ+YybulqdnJ
VvZwbTFC7mQLw0Dhql0dab3SJsYsQ6JWjYcye021+1rcKklcO6c+xljdDRRz8j7sMaBv4gn12ru5
hBGPJjkacgqsxo3VeG3lf4y2/JoP9Q+0cmtDqQNs0bR01yWykxulrZRf46Y9aMqWVcu1tQHGBsQQ
KvPcDavNLA5dHAs9jzxNAzESt+R4yLtvdQ2v7DBIcigIWyQoYOpWY0pHqWrnPClPgZ7nu2Y2lAr8
eyfvpzGLDjkaVRuTeGVYjIknMixDCCxrXt5sxWmZp115wtIk9AKa3zaSP39pN01Pih4aGOLlzWAC
ZVhtrNE0o3gy8WNRR9l/6jv0msxSMNyNjXVlRSyEepj8yOMQaRVGANme4HSwuLJQSR5eyzF8TMRX
tR545ZbPKd3yVpnuln8jxLVTkDgJsb/BwcIust6j/eD6obpRK3tHk52dZJQaKelQ9ONHwYdffVMe
n73WMOZTb3Tjj3RKotgpY+jO7jCpxaGtlEh0OloZsatEieD2sabvVQUenSt1WaXZWMkbvxIAEr/a
ycdZJKha2WYV1o0zxZP6gqZYDVGhtsKdj12RsVPbcBidqobKbE9a1cKSQDn4t9DJauAJMMp1h2bt
8BZ35jh6qe4P3aci19vhUJd1otgVIkaNbQyWHO0Co1/Kl7mf8Mdg0gFVlCjvbny55ci7mCPqbJTo
WfQXZl9yYpWDVYY6WWyl3OlZeeeLGZX6ZhDvcqCNjjG3xmRHYdjIdlMjRNJb4mJMOESPJqYEGyIu
lwkgt/ZCSQJ3A7qO2sn52YL7E+9QoDcnPlNrF6lyV2Stq1h7KVXQsA3uUbD2ZhhfQRK/zIO/kRBd
HNbv4al48bQEFrtWO47yVDI7I9VPQxN4eaVLvFEiJ/SLaCPTvTixl0BUDBY/ULqFa3GBqoq7uJ9L
/VSYOYgYhGfSmhdEZtctzPv2cfA39uhGQGO1Ra3KUsB6FfoJuofdIeppIQzclK6kqbaRvAnW142V
teQkq5XFhQ4MG9w5l+26VRaZRtgOIrsPdHi/46QqHpRI/TN3kDtgFGD+GBWz+tpU0Bb6XCm8chj0
vbA4B93+Jde+KdBtPipnIXFWSwq7brXHdwtEWS25nbVXpR0Vu43veT0IcB0+KkntOrUgQct0lCX1
Uwu6saErSx+fc39ju25FWb1HMotyTeDnRGnuWyqbRr5XtY0E8HKhsPSphtPcpNbBH893ICqvCDwU
qnLy4Y1CCJSlg5/cIXDmKOlXKTI31uV7W+Z8nbDT4JjQSll2w7roEYo4/tRarJ5IoTIHMPCMPPWk
ibssepGT50n9IcpfRerUopo7LTWrup88nLCPgQqHKN26Ma8N/8PPWT+JWj0YlaDh5yjKo+qj9ak/
ttbXVvbG+GHINxotlxkp0CqSDqAPiw0Gs30+2az9JDY0wcBCXNQfxyQ37KAEE+mTzXlATuuTnAXc
BVwpL71WTk6Fa7p3e39cZCL8BjycEDqhFYiq3aooIythAjzUME4p9yPtLjfJvv99BNoA3MHg59AB
W+b8Q8JoLnpW1tyYp1IUVCdhs7tiWm65y1z5cpQowJhSj0GoaX2kNkXTFZjlcqR2gycob6CAH4Xo
qN5hnOnyTP/rY4WKCG0UwCbA85S1sE8fYfzaCwnTZor3mkwdPcfvVS30LUfby01Pq4+HC/8EPguQ
9nz2MHIuJRlnAxyH+4e8aSMwBdGL5FsbO/EiBYYA8DHOeuPLDd0KkTjJMNsmcihJ9BVE8q7c8t++
cskvkYDJ0IHgT+99nQ/rIWKJm/2iRpRzKHhm1yi2GASp3QFIdv3UF+76dvYPKBMjb+aPgtd1ucbx
k5u72wvzQkyB57SKDR/vC01ZkvDVrSiiNikYgY9h7iTYA7ZtWfY1lHd5pr76cE6rvTG7VTk+xVr+
uRzHV5qEC+o1TaqNX3JR3VvoYVyWS+rBIbhmRuhBBSy2ka0TbxSaylLe3FWpMRwmJU92JN49DFRf
8qo2MO78SZbubk/EtfCwwZH/5YsolBnO11ioV2Vs5YQXBgtd1aBxS4M0MI8NvOituxnFcT3H+1bb
GPbFw+EdC8YRSGFzQc2tzr+mLkQtRrrk1P2qEhvUjP8wqna2UXG6Ojrm9P+jrK7NiM0fBUsU8UV0
+ufuSx879Ejeqq0ezbIVV3cZ0Lb/BlqO2g8LG7WfVs1mAimFTanwa/p2+zNdTheNAZ7BFDCABaPv
c/7/j7mY4Xxo3Umdnvzou0ZRMprfzPzO1zYeT5dTplKfQ98GuB6KTGuwoD8JCTJi9XiaLTR1hQ4z
ldER/G+UWKtBpfYpOAhob6Q3lycQQRe0GX55mMivmS3ToISDFsjjSdI+gXEj+0Dq/znXp41k7co0
8hZeYtHWQahx+e8fPlPTidhqhcZ4qqBgIvljd2YOVx98vvRZiqqNhOr9EDlfFSq1LQqdFDxpUq97
7mho+QltiunUu5ymP8zKHk3OcKdS7U61E91BnMbe//jyuftW74X79CdQ/HYfeeFol2/jW/lS3ufO
1svvcqnyo1hIaKNQ57soq5SB2DX+EE8nWEqPA7COUsCdKt/SW7821dQuIfWodEou3nOjGdcCbcnp
1DRQ2IfnMATAn9stAtx/rx+wvPc/BlvdYJ0JCwP3lulkzCHL0xGL2rXE4Kik2Z9c/VU3j71QPhbl
IRI2VtS12STpWIQ0FsjimkssCqLa+0k7nUL9LjKEuzyxdWBIf737AVT8N8hq9895AZFYrKYT1du9
oUZ2OkwP3WMQ7mZh67td2YogxvmbethC/l6lbCPkRstI6vmkxAB1ox9KIzui+I+hbCQdVzJgxDPI
AjAeAbIFVuR8L9YG+y7Xu/kk1GDijL35XWwhtbkFOT4a47s83cjbLlEjqGp/jLi665JBThAKIaLR
zZ6pFp+65xlFNod6FN7LY/E4muUhH22534j8/ghcHQSLxD6wQfR3Lx+JEHK6SJSH+fT9+zGyvePL
Q2H/fIrsJ8vO7MqO7OPokuLboVM5we4u2SXLH+zQ++efym5syYYwtXv+9O3xtfjumHa/++HbX0J7
smW73vOA3oc76tp25Mr2y4Ht5hru5539af/4eP/n5SG0//z+c3tFvpMcb41odbPWljkazcCINLuw
n7yHh96Td9MO0LNj/R9p59UbORJs6V9EgN68kmVlitUttX0hWm3oveev34+6wF4Vq1DE7E4/9GCE
UTAzIzMjI06cs0Mj5RGsi2ttvSd9Y/2sn6Dc1JzQbT45h95+AK5vHxR75bK/vb4fZnlxCUdxNei6
P3+T62Xptir2KamsHbl9Pf5VfQKbV0+f10KM+ZcuJgJ5I3XubIVM4Cp+g3q+H0sJnbgoIiceCtu4
iFeu5Pc9t7QBJQXNzGDzaG1ZDIxeUzH2tFw8SXbuvKEsxB/E/ZzE/vblV2CL9kn9vLK+N44B2gP/
1+R87n24KdNQ7abewqSq/NCd+JBsBIeauvP6fXbYn5Bx2PUu/a4wxSfnn3lSjoD2bH3bwt0o7iDp
0HObu0Xe/ejXiFWvlHg47S++bXHaS2MUh4bEt4mJstWE4iSm5qdx7sbuv0ILt5GF1vGMftMGvywo
0qxDXYKY0R4rWNOmftcaAqDnkOAaCK91gqDIBtJiU/J2ZM7WMNS3RdetRDjXbjILfnEZ8mwEvvf+
Mvown5UHu29cltNJF6Z0Z4ZwMZiDEh7uL9v1ql1aWVwUeWrplDHYAR1ykE8G8hdbFL1YN9kUjpan
9iuvh+uXNysBuBwBLIXmnSWojOSO2gFYFE959GB07bnLD1l6rM23sn5WR28laXIdmr4rXNIoO18b
iCRc+iSY1GqsIl86QYlcN09W0dlpgZL6ZpQ7J5OUrVH/uT+fN3JUNHoryIdCKQAUYMnfkU5q0kix
jsn9YNnqlNpRLTlx/q3+GzS+DWFR9qi3D+a0UzxkE8j/aUQ3XpqvLOyNl/PccU4DFun6mVB0cQQo
WmuSYNCkU/YkmIdJlahcIFYz/kaLgH7hJnsp9WwrGdv7E3Adxc1mCRSB11HFXNYwo6TlUmtN6RTV
PNHix1j42SBmHbqh8P2+pWtXurS0CM27Qm6kaDCY6Say21+i/yqLX7My3gQPHjym943dCD5ma2B4
IFIkASfOX/NhO4qd0cD6zrjqcTu5Ftsehh1PQ5g1kuBM9SAO++NzPtw3e2uMzBeVfGrsKvmHS6uh
BVOdpmbyyTTogLV2QXM20Cj2nDb8JYgrE3prjPgsIIVZPwVGocURXolhPEVmLp9S+hP6fhPWtkrL
QWluU0KO8lnoYjtBdOz+GK+PoJkdYeZ4IoOsEOtcjrFoAn2cokQ+leIzqNw2rrfZ+Oq3/UrgfWMu
sTMPj9CR8vriEig9QF6lXsmnoagdM/8VoOAYhQUQRW5GS3tApOb+wG5cO/PI/tfiYvWSbOgmzahZ
vTy24wShlNzOuu8gkATFKYdy3wkbtbZQUzVsUqK2EFg0Am1y/rUZftda+ehZ+ya1+xKVK9ysDo19
5uv7RDYcTaGDKdjd/+KbHgAmluNipuHE6y7XIo9SudXbUj4Vwi7ySLNE1SbbAd+XSnhgS9szIEVY
Yz6+dVQR0qOWR9ZlLr8sjqpglArgPx1+F2h/UHVzBivcisqmIJkg/uGVj+JCZbcGhP6pdbg/5Otr
duapwNupI9IOsmw2lrSqn9qqlXm9mBqES3W+m7wkXpnYGxcRAnlE8jDGwQ5kLS6ivionMw08PCHK
XrxhOpWT4uRhuxH0DCIJkeVUKBvUK4fxrZmd+brJXYITZTkX66kHVV8JlBROefcbItceC6OwSTRb
4flg2mFmK39rQd7cn9ObZmd2rvdtBrRqEVUEXSkXdSVQqKGDaax2tTBuBj0lgDnq0vciLr7owk4O
nyDnXAnpby3nR8uLV0ZOw0lsxL52yoeygi2hrx3QgdPKkXVrObkG4FVBEw8l4cW0KkmoZJEXaKfI
A6oQQ3PQ/BvLo4CUhN912/5TGRn7lTmdX7eXIT0hE7gT3tnEssCfLremOGmU09myJ7+2xW0zvsiw
9JbRvs+/iImx66fYls73bV5PJq9sk7uOnPfMzruYzBHOCAHlm+mUyJGybdtQP9aCUa2EhLesANoh
VpqpMa924Biok5IHxXSSJx5CY4iQHhT7a3Jc17cM9RDAmbMqGZ2ZSwzuYE1y4sWxdPIiRf+Za9a4
kzqTi1TzgsoGqBStbIL5srxcL0LAd8bU/wkGF1t+lhateOkRnoC8oXnDawL6TuGHFPKyWXsszA53
aQwlAJPQms5yHHJZYQqyAfApmpinKhVtYyQRMPDUjz5r/t/JfFSiFWe8nsxLcwv/H0qhTy2g5qAm
I0dLRgfXdGrtS/XfMR6XhuaN+CHqkilmqY0vGiDi8t9JkTwFYTTZrWzLRmALxqMgaDMldeuq3o8e
cbf7/j/fz1ezOpdYYPTgrbIkCDLMQrdiIsJTCo3An9E/6j+K5G8MGeV9O9c7gGTd3FRGFzo9Xkvf
TOowKAU0Yk9T5b+l9N1wJXjpyl1w7Y8YoeMVeAUJAZLal1MpoVQ6mHlqnqwkDR2wwoyJ8jUtR03/
/zKeD6YWcY+eZqZeQHBFRdrMbEMtsm04wHH9/zBrH6wsnLD3p6jLRwZkeumuaSbkdNfo5245wMc5
W7gf8gF11vksTGpsMqHInBRwQWu8mnoC31P05f6Abu2qD9aWFcaZZijXaU+ippHUO6v12o0/NS+j
5T/F1Tit+MONWgMOQRkcug4yjVc0tupUV2GnlOZpHLONDO+i19TPtSVtxcjcTN2D1bR7tFWPqtw6
4kM8JnbYSnspb39akfe9+Bx3xl8r9mxl2isSzwSqj0Esuami26O3MaBSwwv2I709uWp3cUfw9vn+
hN0IV2dHlklxcQdzeSzijKkKIbIHoXcacm2Th8oxrNNdHHAbyptm2Kjesa1f4kZIVlzvHXJ5eTKY
BnkZKqAEc7xyFx5eJZE+Qr2knJqxgovqW2Qd6MtP85e0+CVCK+Rrn9Tgj1z8y5rmuVc+d9ZLF38z
zOSxE7Rd/WeKH2SU3NuDb9KqGom/70/M9YECPg96YgIFrm+qSZd7vRZmvLtQKKcOvtsNBXoSVpG4
Bky7Mf20e5j0UHMfz/z9i/jALwWBLsFQP5VKYWc1sstb3lHGV5Rwq9fezYJq5UC+3iEU4eCzM6F9
gdD9ve/tw3Vg5bSa+V4FPqtDnEIwy29FSmZHjH8IpdWthJLXzfv0BBCuQ9NB2Z9ZXBwwahtD6RXq
AB5jeVtmE7ACOduDOuPNaMlvIDcjRNdNcoJdckw9dlDTxHuNQpwXHhW5UGCWSaoHVerGh7HS3u6v
8Y1MEy0LyPGQHAS6S4x2uchmK9HN5wXGyTelx17Qn6rGe4Fyws6trzJPC1ThN3rdHrw62cGUnKpP
mvJQS+ZW6lx5Dbr+Hgte7oj5a+ZWZeD3M0Tp8mt6YegtzwPjIn8dCEFMuCN+WNC3OzS7au1b+Fvq
HetstIf7s3B1QkPeCCaM+eYehlNncUK3eizXsJlZp6nLtmPwPU8hAMrPxvQKAfd9U9fufmlreT6X
YEipBWFLgd7vq/evcod8U28CeV+a9lp/0+xcF/M5G6NnDKwBsBcgJ5fzSQeHmmZRgzFF39b5Czoc
toDse0JhJ/++lr2/2lgLa4vgQJE6v+Cct06Z/q8Za5vWUjgZfsw6xPcn8SoKwRASqzQVz8wB+O3l
sKRKH4XECrxToo92yYUtBz+tdo2H7dZw5kwSFpg5zFxa0Xs/Qv0i9E6GvImtDX0AafBoFithzk2H
AJoLpOudhXvZb1AxvD4xMDMBdfg0HZrK9lMnop7WJY7/8t9njiwZ6C7g6UA6Fp4uRq0aFULk8YCp
4CPaSNmbkq6cKVf3Bmmxuf0ExlPCUF5kl/Mm03yii4UvnDQ9rTe9lgu20svp8f5I3lkSFr5NLzzI
FBl2KUBEi+VpokSN2yARTt6X6iy9qhIVN6f9O/n2OO4e9M9at6UTGWb9FbtXT2gZlgryPNI7lBqK
k8vh0ZlVCZkiCiexeoqAF4yaZtfxTwS4uyazVW8jF6D/pBWXvz6ieG2aHNQ8WuniWPLDo6wnhFqh
+C599nY3/bGa2u7aN0P6jljaiq3rU4MiB3lUDgwmF1+5HGEZdVEsZFPg9tnfIZRezfZZjNsNUEAI
JdVNv6bOfN2mO9siw8T/DQqf9sNLg20V1NWEbJircj6l9a/WiUUX1Tc6wKB2mZ4a7XcPLWbbfqZV
C1lcWleE5hFytn0412K+I/xkFBCpW2yYisrEGqPRjckHc0nSZA7WeBkvXG0aJ92zwj50Te8pLnyS
TtpOqP8W3nckU1fOgyvOWyIusqb4FdwCbJ9l712nUd/2EBJxs+4lyn54/ZdpfBqhrPb0ettLePSf
UrBDXip0wme/s8qVIQRVv3WFAjfXJNoKMjjN3Nzhr8HBr3c20SB+P5MBc2OoC8cQG9q9xlSJXCkE
q11nZKOTwbNWdtiVagMzgItziFA9AN++zB9Po0fyFBoWV5PZzE2zScT4OL83C9gMfeHc5OWxLcSN
8c0bcpucixwAfwHkm/oIACXfxBRcNy+RsdiO0a55R5IPEFBpmzRc25fzgXl5CgFmnlVE6B2eSboW
8ROQUc8IRjF228Cpsxc1r3blrCihv7Vyf/BSBKdWDr4bzgj4lycrxRxKn8vGiiCTpWQyzNitrIeg
epXac+g/NPUTHQEr58A1soFayvwPSElkdAkkLvclfOYlNNNe5gZ5twOzbYfxaFeMtJc1u/Arl3QD
buht4vGr5GXP5dD958Eyt7AuUNYBMk4Ly+UXtGFsFL1XaidBsJxwBOlRw/9GJUFO9uYKXOZ6YiEO
nmtINHHN74LFUvr6GFeyGXJvZVqzC1MBpMugyU9eLtFGptaqq7arEiW3jUJTSgQwUzkungdTEkxp
aMbCKSwkBEnUoDedzPKl7ZTQdiCOde009FJ9vX+JXZ/wIPCAA4DrYDtf7TAp1zupkAeBXJFZTU5W
hJru8NA3K074vPbsevQsKpKhWItbwGbpmg7wDdeiYkLDFelGIMhIGl0uLJmsVJX6iS/w/CC3hwQO
GlDHwVNGut3pMjZql6TZRoBQ2M7SGKYyvToQysp7rYE+7v58XAeUJuhPxBsAS1LaWz7S+iDMMsMU
EzcQB2mbCfLgYJOqe9GuxQ83TJFepTeXyj6wjGXDWdYDwqgCK3brQVE28QxsHSr67MphXGNUvGYL
YkzwaoHyRpGAQ3V2vg8v3VwA4Rq2UeoWAE0aGtrMsoZyt3K6R51YhXNDHr6wj584RLpxk1XGoUnS
fVHvDC23q2rYjWn5VtOyLK/steuX3qzKQ2wBTSCh79WMS0qXBEGTpq7oWchxc9VL+25MN15BE85P
qWodQ9spaCc2+8Z4TFLhP684NIHm3AuLBhXny2Kzc7qqjZwbqeuJD2qmsueSTbpWbrna3HS3wC4L
eY4566y/h/4f5t9XW/YA8lvENepDoMpOW3+y4MNpNZeq7u6+D18/JBbWFkPSVKFt/dHP3cnsjmbZ
26J3LIbNlwiCWJhztJOsrEWK10H4bJMwfH4gsYjGwibhWN1ZQ5W7NTQ5diB1+TaSs080uf6q1LHe
cVmFj1EXwnHfpuNGGWsQO4YBhbVo5ZvCi4RfQSas1YJvzTv5dnjAYOADtbW4t/xOGZuxG3OXahRe
FBp0qDedQcNF9DPok3I7qescojKb6SISYCp4jsA6S8KMIH1htDIjve5rPXezHokorVblo6/SqF72
qU8qq/YPpu9zewmCsNHj1HvUM+FHLhnlsS8b89+KM8wh6dXXkEaZ8VFw4C4fr6LZ93RbyrmrvRgH
5TEqSCvZnT38U2CTt8Nj3tg0fq6heK9rtvMkMHiddB7lvvds2AePL0So6o1Szd1hyg+lpNv+p2os
NnVX2xZikLH+0FrIqW2QzLs/4JtLPr+PIKsR0fxa3CdWOMKqMvmFK7bNl7odo61XQsEha5O6jzLR
gEl2yt7u27w6yhks/I/scBKh5lXzriZQaxWmKXdDUsh0gEWInBat4FS0n23vm7qKvGdTFG1BvBH7
8Qi5PMn1aayJtaTCNbyfivxFt77c//1XAcHi9y/2sSQEmp5FauHKxsb7GjUoadhV6WTJHke5b2re
BwvPpDVv7j7ilUlhbrFSCXrtkZcYhRv/K47FOY5tc1O2TvsaqP+flub1++CMvYRCWWIphatZrmEe
827TxM5Qfx5fBG0jNSvn7w0PvBjXvCM/WAvlSe+TeVxq8qKFW0n7FPzy09fVBMSNpZq7DomQuNHn
vy/tlEjZxZo5slT6ZoSkuP9XEjGJ/gtkqE48lJv7y3XD8y7MzcP+MCzTEkaCQMxNaNpGr+0aPOCW
O4CEA5oCZwJBmHL5+y3BNLOQ1L+byJUt1K/6+BB7/7zyKJWOjkJ1BxHM/RFdxx6kNXjO88IkvQfH
/MIkXJFd48c4O7jJqXgOEQWC1OmJZPMf7xUek9w8RtAfrHUb3ZpJ9Jvg/CTVByPnwqxM0pJuRxzE
zB4Dwd+qyOndH9mahfnnH9aqDkSY6kws0M4obNPYh+xsJIl/38otB/wfFiKAxURvi7OCaAmoiIIV
2C6l10Q9KjUNiodo3Lftyp6afXl5VlA012G4J34iJXU5ID1KRisO89L19V0AR3/ySU4zezBWGl1u
zdtHM4uV6aDby+t6NoMjNNlDIB/uT9ktA/R90dYCgRNK2vOUfliYodHHggdP6Zpm7Ujpc7Ye689T
sZgqdhC4DZNXJAiexbGQIPeqkaeqXKN9QIyFRi/92G9iQnzF2InhWZIP3egM2+Fg1V/CQN3KdhTb
vVO1G03aUVZJ1zq+bizexRctT44sKtN6MChwCM1BjMXZF+0s+NeJ/7keQJ4MzgeGD7EFTaULv/eF
nEBPMmp32EXml6R/KtZqhjcO9wsLi6skStsG4mwsKP3oiN0/3XwMiWelyEc859N9Z5l/12Il6Yzl
WU6JElLGpejVIOpJWaRF47ZQejvkGgPeDVFySCLQFv/dFE5JCylMR5RDF2FFr3dEjkHduFMvOar8
LEUkHsb9fSM3/AAejDkSBx/AJl44P3ZHczKaxk2h545TqHji+JeRjw9lX6xEgddphTljas1CSmSr
yKMuzqaorzlike1wkQp7lOr9aOD86otivBj0PaZqtIshIvcE9VAL+j5I1tikr8cKuQHZeToQAUpC
rnm50VXIsVFfKWuXDwHj+jeRXz1hMyhrIr7XPsK7GbTrOxcsLr/wR2RLwgjN6dqVBLQ7shxKcHkv
5GsZwOujnuYRBkT2b9Z6X9INN0hbyFk3NW6mRnYvvebRUZ+cUUFQY8zoJz3e95Qb5siA0bMKRp1/
lnXYoVGUBjxEQ0CtfxXaHX0kXe2I7WvlTKW4Voq93tOQAv6vtatK7ACENoikxi3/+Z9QQTCC3Zcu
WUN53HiWX5pZuKQEBTYiK2Pj6tnvMaIl13isyh8ScpveJgwJNTzVbqI/92fyhh8q6JKQy+Iv9sTi
7O3zerCEVG1cdQ+N0ef2aQ1mdB22MaoPBhabGrpQq40jDMBY5uiOZOsbZZ9vwt39cdzw8wsz82d8
uDi9OKnSCl1mN0SmV+0e51yUV6wcUDccYcY181KGDYYW9MVYpCQtijH3Gjcp4O6A6aYnAeplIOY/
eUaxcrrfWJlZlQbVSzAopH8WxpqOPK8Z9q07RtmfCbKnCPhcNUkbrV97E98IdGFie+/8AmA0Zycu
Z68ZRb1Xfbl1g6N/Ko7db/EBlet98xA/Nf+8793KPN5y9Qt7i1NJTD1hiESpdZtdcyTyeFWPxZZe
uSPEuv/ZLy4szbP8wS+kXoyKRhGxpH6x/PJtsuKfg//f8ShkjwCEkSMnwUWudmGm1fQkJ4xp3T56
9iJXU/yXStsKwoNe/dN7eIN8So6WdIimFFr7/HPmH+6P871b5jIY4AvgDYAVF94ScAKXA51ED/Lt
Nm9dy0xgILZ7UbED/1HOd552nqbNlGROZdhjAPv2uSEHV1hPawjW2SXvfcPiMJHl3BunoWu5BUjV
Nk+tkjyZTX2oq5KOk+nHJK4J8tzY9tBA6CTTQOVwESzOzLyV656GwtaVx0Mw/s2KwC7y3crUznfx
1bA+GFk8LroMBn8zHlo36R87Ayym5AwaTDTiZ2XYJ/6x0r+FL/dtzqt1ZRJ4Lj4FIOwqSM/lKNVT
SHBx29BR0AdFXjD75mlr5ZWbdiD0hcSSbCSgYL7jw/aYdCtIE11p3TCyfvWIOJqB8JZG30Z1jb7q
5hkDIOL/mlqcMe1kJD346tYtdoQFzaYx7aLa5fmu7e0g2dByUzWb4cea+MqNSI+NoStzGwyQVjRl
FkPsImkSC4ZoRflTGD83bbYtYQuhlLMBT7PtJ8rhfIPUeTC9DV/ErHbvL+Y8sqvF/PAFC/8R6qHS
Q+Rb3aSrzpHcfNGCtXW8uQ8+mFisYxuZVp8BqXJRe9jWUmBb3ZOqr4zjPQC/N5DFEqZtOUJHiRXl
EP6sodb/8xZINp3KMNyXdgoQ6bE7JKSPyaJ+pyRfH4q/+Vs2ODotvqhsUgMenOjvKg5lbYIX14ni
BWHut7jWKGebTtoa/dr83vZeODtpGwP5i3LEpRdJkBMaqOghHS/bakx/+xBsquNvedi1nR39io/y
5/tOc3NnfjA4//zDzgwVqJZCfR7TQ3IcdqLTKytvuuuq33xpfTCxOK7bPhRRZbbmK0N9Tcrn0Idv
xkGhsWgeSN0ftUR/yEJHpdeI/qNTbGpPvk5T8VAfxYK6vtrZqkBHMUqZZr+SabkRNl582yL6SUri
ud5k+OW2aErSE5/0T1L8hZ5Ee9DPYyWvvChuHhOgfUm5GABWJHHh20Edt7Ui+J3bNp/FEWCMFT57
4YzQkp+n4XNG4n4iB5iK9b7SxMMQFGuMI7dWnPgBWCsdIAQtiyehDvHcqMtT7wp9ZSv+vpZ7W6l+
q2vaMLfOilkcDIEaWpO0JY4wq+Efii2pJ0ohzUJq/W0qx5Ww61YkgPoltDPQNM0kgpfeq6DkUslG
NLjlVG4j8cmQt0NzHgZvUwzbNSnnW75C4yutnDzSKKktztfUagVP1tPBFeLO6YNor9HzyoleNtlj
Fxl2CUW9OG7u789bb4GPRhcnbiVQhk/SeOC19jeId4YBpuq7nh95uN039F7nWJy6BJXIpM1oQqCf
C8/sO+j8cx1LRu47VVg7mVkdWrF5pSV948VvavYja+wyrN2QdlJ0wfe69KMIf+VC91MPzf0Eg5xe
ZdtBSpxC8XYlkm7tS1Mi7SOma5H9DScGI04yACSOYVy9JCQtCFAVYi1S8dDmG/07mpr+sLXGxEmT
t2ab/g7pK/8LYd7g/Q5Ku1tJ7MyTsZysj/YX5zQE3EMN6AxfiORjaQgv5vDfuQ5ASMMFxkOJc4LE
9uJoNqpQSrSyHNyJSwBJ15+mctK15jnN3WAy7ZrOsLz9B1x+a0za2gTPzrwcIIz0c8EauDbZuMud
lbRaq8LlMLpJa/WObI4HEclZurMV71UIuzdRgTnLb4R9WMrlNhBR5G6NaDNMUr/y5LixxzUYpZgM
su7k+RfT0Am8epo04ktU8UeZ/xWt9oyUs9ML9Mj9FK21Bokb5xZoR6r01EZI+yxf37Ava2rfdCOl
x8KR/OGgFtvO6J0hSOwpgJXVfwDaNxa/UvVbVVpu9av1vYckWqNNu26FYMjAvdFWmKuSV4InZlab
iV9Po9tkbgQRXRvYsvJodHvT2I7NrjOsfQEBFvTnx7lPVgx3IsS40t9M81e8/datRZspuBFq6Ghn
iYujrzNlw2/FcXTr/LEtiK2KjdXZE8DLk9xtjefJ/G74a3Q/t1yQug3VA+J5IAOLPeYJ0wgjZTqh
XVVsB6SWgxaRHiSmJkoFgCtNEoyyHfuTXSBH7xnWWkLuxgrQgDGTxCF5ygos8/h6mA+VoSmTW0bf
IFV9qn8xRY9lZJVO2UNT5RWOIDrFaNMuUwkHv4Wjyv/TZdmfIH67fzxfHzhQHpI/hnKVdaC59nI/
msqIpqYsTm47AKfVy+kIW8daRfD6VL00sojUpDjTArQnJjdpHnJoowoqXNtVJu5bVsCqQ8YAfwuX
9uJKC7peU6qmEl0t8p3ckO0ktf8l3et/nzCaolk3MMLc14vIzowQXNWEUnT1cXzsZSO0FeiR7tu4
kWCilZxbk/cmfVvWcl8IFRBKuidFN2gfvOGAzFsoPDfRKUFtaSJyUyzfCdS1BuJbvoCiHxVqgHRz
PvzSF+QiQiXIwypCnKPdT2O8NQCKr8Ttt5YJhloIJOgWm8kiL60EsaElnEyim/P7q9jbA997QQH9
VxGE2/vzeHNAH0wtBjRZWSI2iSa6kjptu/EZLYWVwaxZmH/+4ZljIhitlKWKBXEEWljmtqUkK7H9
9cVBDuUdKE/lCp9bBNZBFMpGpaXijImJkRMUy+dcmlYGcgPRNFv5n4ZnuiGXUUGYd2lbGOyerIMn
z+JN1NrKg7zJHprn7GexYu563sh7qaQ0IH4C8bPE+RhB3UkMSnZ9RCGaap8g43x/7a9njV9NnEFG
E7QFMNTLlbFqQaijOlFccQKrl1Tbng6/FHzWfTPX3kwkxYNrLnhzgy0LEENFijZvJtUdC1hrxGND
d9OkPYTxGp72hiHOAvqNZoozniWLM9QQUrnrY0l1s6bcRXp4Ljzzn1LTS9Kk3+6P6cbi8IhDiQ5+
WhpVltVS3m9ZimaL4XJT2oH4s+AgvW/hhrcBYAMTTfmQ2i9KBper04yqlk1NbroGOL30qSnHT7Un
cWr3ll1HbUYTiPBLC3sQF8OzhXjRygdczyboFE4g2l3ms2hZgQtpgxwmNbTcoH5uWxFpkWe9IoUX
ruB/V+wsa2/D2Pl10AWWKwSR44WR3YH1la1jl7zdn9HraHYeEOqjzCbl9GV0OYyiXI1dbLmF9TzK
DyQKbA+23zb7JfnSkdb1z/ftXff7zu4xP8Bp0qBHzFisYK5rWQxpjeBqQQPZrnyopQcx78+VKdpt
2jmQy8DBRVf5szV9Av5v18KfolcIZGBkAUIb/vew7vKD5qX4cBRbZiMbiWgKrvypTGzhu9bYR69x
/NfsoXuunoXd/Qm4MeGguWC1oQqPHsdywhXIzefieHA2cmEzCb/iVjlUQrkNvZF2LiB4q1DuK1/C
EB2Nszg6pWPK1JcDNLXe92S/nJVGXqwR9RbBJ+XcGcK/Hqn5+6O7bWs+03ga4VDypa2maqs0MHv9
1Jra+BDW9RezRqqwKitjF2lKsjKZ8+F18SqcyV9oEgArT1zMa+DSXFWgyttUGlT83aZo0TPQ913V
vai691Xv4jVrVwmXuVd47gmhNAmcVVwcpX5RqE0Nn82pNb7rxreu9B+1ym6MEl52Uleq6ajt2oRe
jxCbxFbsUOprrOPlCJPKy0nHQI5RdRMkvGVzJrbcV51H4jkZNUezaDK7v4bXW3QeJ5tibjCjtrQ8
x/s4k4o2bsxTWcE/jc1Dbuj1PvdF6QC241FpvegpiIVmH+fZj5yUgwO1W2FrwaS/5FaJJmV9Bo3k
uZ4+JZuyW6XcurqkVUp93GXzusMVuITMGL1ghfD0mKdIaOgGhubLb1NoCtKXlalQrhwMQ1CgE9ly
XFnLqUgFqUN91UcG4Jnxfp2aPWTZHVK+zRdaYuzwRfk3Hskpqs1axuPqMmWIM5cZD1w6hWFkuFz4
urLUoGsLFACipN9JFY2LdP2ZKzHidYMCZnhKEx7ybmA6F+GOZvmFVyWqdTLESv85+i13jRSo1ndD
nuq3skk5pMfet75PMFSUduuFsW8LnDXFbhh7OEzaMDCSQzDl3T6tzH5NROTWNKDeg6A4QiWkA+ef
fzidTb8W03bWlYJBdnpCeCu3A3ns9yvrfMOMzg1IXwKgYQodi2nQc3goatmjydxoiseJ4N+ypSoG
V4OIra1Per6PjdHcqnGvnSQFqHSmF77T9Gm7FczI2BatnKDyHK/xKV6dOQA7ZxbuObs4c6AtTri6
HIpYjOLUTWU5+aSGgbT3vaT55PlS7QQhvY50BsGLaZYjfVkwY9yfmKuN9m4eqdVZ5BL48XL6Awiy
2yKgDclIrU3WieE2nryQpGb5n+GQOqeNSeSoUfyV0aW5XOmxDBNIw8zgjDJN/ydJCfC7UKoOY52I
tM8E7a/7Q7t+LGNwnty5bWB+ti5e5LGeaW0S+uFZr3+rw2uPuDOklbvwSyGjFheUO09wBHWNsezq
hkRrmSMLJ6MbgxN24Wl+gIpcGZvhOVPU6iCXsr+rpkbdxnpd2OGYrUlgXMUbC3uLG7lHzq7g2c4o
jcey/4woakwTiEaO1klRdLs/p9eUPVgjqgH0TG8H7AbLU6tpgqQmE33uHZTpDtY22XQbSHE35ibZ
wL0Jg7rg7HqKoj/k3+m5lRwtc/o1WPRs5SIsIPqY4x3CWbpykaG/dCVBQvmypUH6nGok5TK0gaMO
mhRVe4Of9C0OfHMlDrmxqIR0xtzZMzcSLreJ3KqqULZJclbCJ2lCK3w6fxnrYWV2b3nshZnFYSCV
tYrMUZqg2uDv6QozMv9R8sN9Hm9z33MSqt+tYh4KyVx5dl+dQkzox/EtohBkyZLBiIX4LKJqrw2P
UeKWA5x7Z2pQNooAelRs73vSrSX8aHHhSL0QNyqbMzlX40mwqg1Kpv6zUOwqRO7vW7qxdmS0kbAn
pW/weF1MqiEgQSmHcnpWKxLqXbhPw69K2p8mud7ct3Rj/bhkoOuciYSIsZYkFWYVWc0kx/l5zA1Y
zjSHeQwHB32xKI2QV3Iyuom0iKa4FcOzw19uCFDM4LTeiUeImxbr11d5KPfGBGVP3fwsB2ecbBjY
DWsnB9smPUpJaVfiXgqTg77Ku3c9v5e2FytpJc2AjJWE7eElgFAwyQ5p6zvjt5UxXsGV6PjhATs7
qkbFcMkdnUV5Y0ZxmZ8F6VxrEL/W/n7wniLrkYwxOVGYEs6a8Pu+1feH+PXM/q/Veed8iE/GMRyM
LM/zc8cBF3+pXrS3+FPkdo/qBuZXJ9+Dqn7Kd+Ijrbvu+FScom2yn87iZ/nzuG922nFtq16f9xfT
8O6DHz4onVMHTVvnZ6kRNgK8PNqgOml1lERUXqbKQeL0x/05uD4cLi0ubrQqGCJfnJj4rv7kixzz
03NW78pwE/YnxBFptdjfN3gVlBClgUVhE80Je2hALue8SYusI2LJz3ADOZ0kbHxTPqTZikzQLStc
HvzhTiMTOD8NPkykVZemVeZTcVY8myhL+LmK37nOZs3hJv6KQiXpLCCMlyY8f8h4rgflWfBgT6II
0W161FxtRamVbVPy3+ohFjf5gO5rogzpN/p9Uqf2jeJ4f0Zv7FEqmpBY0Ov9/qi6/JBs9EKiFq04
h2rPe22WWn2glwTa9TXCihuzSnaA+rFG0MFberF2eUGhlrRccc7b0c7E4VyBQ4toHLk/oHnmFtuS
txNIYe5jUh7LHhFLTWNt6tLybGZJtysDEfLndloTML/h+TScUpSFt46c4NJKHUxlXIVjeaZsvdO8
/gGqik/RoxCOPyTB/DUm0770V3bbde2TIOOj0fmjPvhl0Ptjm5t1eR6F/Bj/H9K+azdyZNn2iwjQ
m9dMmrJSlSRKar0Qkrqb3nt+/VnUwd1TlcVbxOwzPYMZTKMVTBcZGbFirei1rJAVq3Yp15GsGoim
tACCb4eCZhzn+lV4uj+zSwuIJltsWdQUgHFnjkUnakOQdkJ58hrFboeGdl1rNVy+clcumplzLEiN
o2jF3ljehJyWUcjlKeBQ0C2Bs+Ma3R4L9ff94Sy4SyCX/7HD3E56ECo98A7lSdG2YlmhGf5FyECD
fsiTR/Tlr8C75p/Gbkt9ppqbm1PR78asnd+2aRwoVXUa6qw5y3mkvrZ5bFBUDaGFlYuFFQnRGsnd
kpsBaAIPjrlT8JY+SkuQai3ltDopUbDhGxzukijCN3KrsfQEdi68r9opc7hkjbtyYXLBoY2yKgBK
qHwqzOQKgCjoBViRTpOSQ8RRf+lKPTeHLD4raGgNG12jBodK6P0lvT37c3FAhFG8Q5BDmbfWxQGJ
AUJIE66uT6NWATEhJMFrrarR+b6VhWBu1mhFQKcgO4FULuPJsjLluTCVMbh0jDd1MKo7pTRCU+IU
H1Q8fP2Ul/3wGnEt+rfVlrNjvH83Kx8x363XGwofgfwQVPPAq4/K2PVY1Vhv4kQw6pNUlSKB8Dpy
bpXxKYB4eDuNQDZq3cwf4ikpzZM2txK/MpCNjf51A+ecQkJ2Eq9p1GYA2br+jrwG/TuSJvWpRSbC
Anik2UxRWq5c/Esre2mFiTQ6vULRKkRyEVy1vYU3C0jXxrqx7k/q7SGdx4KLdxZcA1EDY8VDN3cd
pphToS33UuNFoHJSvyMxcHzfV2igtisQn1tfB4MgxIBJILZxXq4nTyzDVOIMGFT4EcLqgfAtCl6O
lvVKW/Gqt/c8HsQqioEigEszGuHaEjKcGloYq+ZUV7+74VWCymfqVt6KT12YwCsr82vk4gBmyPwO
Upk3J6TuoPoBhkISQCcZLIepSDI5RltIBrGn+6vG7g2EIygKo7SE+xjc82wGb6zQ8We0SnUCbqaH
mGEJyuAkkFcewje+lDXDjE1simwaSh2Adr0GFxTIkCDK3f/xoGAq1mct+DOO9RadLvm/3COsXeba
nfpiSJAqrk6G+tpHTjO6Q/R6fwZnX3HpS35MzHOISBSlBtah+TIqw0nt1yct/hBrKN8DTgoheAvt
LGD9RneNrBCIRq+s24+cNWsWngNglZnjACnv691STmlVFN4Idy3b0WPoir/Ul/DY7bxD9lej/i5H
xkgmGq23ib+LhhWXwu5VEY0ZcFuokCNZNJd1rq2PkDr0PA9llTAhynfWB9tIV81SUExVNlZCpxvk
OWuM8dZFEohB6gvNyUiQRLJ5MAVARzAb0XbWQdGKTFw87oYB3mkjZ4OmWpyY1QFt2gocoYqmeKHj
CUY3d68XYrLxylrTaRKH6I5TQ6iFm0VX89NGVBPgfKRCrRNaTt309/4+YZ0IRgEAKFYKqEZURVjW
LLwrfbVJpu4kjV3kcCj/OPEY7NGEFG28scrW7riFJZoPNq5aJPOAYGCOXFjkvZQmSX9CZ6B4DNOG
c+sx1bZq2AeWx3U13EsxIbHI1x2V4oIzi0ICj68adRTPO5Hmk7iJigK5Ro4TtxGMIfRKVztu2AQE
5mUmZFTRZY8oC678eiv53CgPoC7uT1HrGUQV871iVPWvZBKqQyJFEhmQJrRKNQ+3aNoRdhVEP1aA
kbdHeEZ/zeV1wL9wyzL+PeszqchzsT+FvdzvkPZ54ECl8C5XRWOF3JA/tqHnar70IKxL6f2UIq8P
8lxCgudHNh2vWhb8nohjgjq6NJwiXywfq8QbbEWURpSPgokiRuHtWEJLYCtw3cGYoPSrpl2wAcy7
sFK/6D+jJMoe4kYSadRzoOdMlB4JDKioSUOtkbiHdmQSlPCzRaXtoERXgrWpix9Af9jTxpA9ggcR
SGZzT6EqPz6p4WTYHd/5G65Tn6u87CgaPi0O8SHp0wbKTlmWrzw7F64HVGNB3wvq5jnGZwF4mR9X
ScCHwykwvtpcNP0RSrDBK6SpNnosngYPaCzRRiD4jC+8fywXjsmVaeaGQJEYGi8jJH0zUXlQYu+5
UoX3wYgf6m4Xc0i53zd3E//O2x2l97nvHRVxcNNfb/e6APfdwCfDSYgiKH3JZgRSXyBkaSJKJOca
KjX5lisAW/Fle8X27WV/bZvZ53LWtVqlZcOp00YodpVozJlEs0uclvtMPY2KhmeOGfg75Dp2+tDW
eJ0CMi0la9DHpUn/ed2AjRadJWzoZkT81JVDhfWOWoIuVB5xQIeevrH+C8TFSvCxNGpcUfhYZABQ
lGZmXBuNWqq7CQcs4lB79BRho1RG9e/3EWge5xyNhPcTemWu11WXgtTQI304qaly7gLI/spoEPwt
G6B+cVfWcWH6UISTAeqEv4LvnH//IlLMNb9BEUkdT2FTbsJAIZX+Wo5bGY05Y88RwZh2Sm08ZtDl
C1B3xlhHIyC5tqm17wzA76xKnPufxMbi8N14qCLpgCIWEnPsHI9D5SlFGU4n35PxOm2HGqy5gB+H
Iy7i+6Zul3PGS6KfAoPH5c2+jg1oZkrZlE4niMj2JETwb3m5lJn3rSwEHbiK4I7AfQOgPJIAzBx3
Ssb5YSWcYr9rrCQJm23ByzkpdLl3+pETzyMK9yCF9n3bLyXNRE+8ZoJdVzeVbuocIfG0Q5Qava17
lXBIIb7paHyv0aBqocgYCK10NkDkuxLwLsSFSJTAtShI9aLLguXW6Ipk1Ds9kk6jn5rIWMhWYLbG
X7klamEroF8baUSg2wcajNAEwWL2Ps3nriLFWjJxwdVdf8q8khfbFHVxjVNSfIq6U2lmB+ap+oxI
aJdroc4cylxfodD6QBwNUAZIP2/oUSSjj3tByqQTrj+SWuVOMCP7W9p5+4zGz/c3xsJOhy28+OBK
QXXLtjNMbc77qgBbDeL7rHiFSGllrMGXbmPFH/GSGVKL7Qdw0PXMgSK1C+oolU5V7IK/z47G2kp6
iDQGa1M3u6WbqUM4p0C4fC4KMJZCSSr1Rs2lU/JL5TaaVTpj5GSVjZwat5ty2m8UgaRrZNMLZxh5
UFBco0AA9AxLahn1ITZpOCmnSlF3YznKVFFiw/rXKwU/PCtqzigdnWU8l8Q+lIe40k+N0FWmFjcJ
GavqMDXhmqL9wp7AvvtRtAHlESLZ6+WSxS4RB1/UT5HChaaihY0pt3JqGjlobe4PamHm0HHKA7AP
qje0kzGXGS/VTRpEmn7iSlmFlImoQwFzWNNQWxzQ7MtBQQkEHWtF42qpKQZOP6W1VG07RKEhbpE2
emsgaXK+P6IbW4h7Z20W4A2QRkF543ryNM4vkiJMjFMt8vk59vxcsjkRguykQnPeKpXorTmAZVDT
lUBfPG8KJgYK0f6mF5rGIdZPiAG5HMP70KQecrlO36ZEiqfTWNoy+rTVqiR+5Tn4X1bHoSzpr6CV
b9YS+x/nDvclOoKAImbWUugNJay7xD+POWgvIHn1N578NZGBBSNgHQcpMV6A6Ddg03J6CUl3ztCD
86O14jvWfjKz63nOEHDt4ycj4qBr19iNB5xhMBefPfuti7tDa9o8RV9jcB7DN3iSrSI/cu8x+LNr
cMolEKiWt0r8UgQPmT9SsTr6Ir8fVFrpxkrQvPQhaDXAdsHLBOhjZnvyQlrXEZzxuZGjTRAmaKKp
mgKtsVpG4nCty37BGvJw+BsPQZTj2aYqzhO4BMwM0bnsJoKDCVBhZ/IBaNut+6du0RCkWhCF4wIB
Ru16fuFzi7itvOis69x+mvqNkU5fkR5TzV9lQ5in6OqOkX7EblBXkMBghpfutS0lTWQdTbbROYyC
01D8SieH757bxOmGLwWBIq+SSIDsE1o5JuTMgBZFiYBUUF+P/qhccro/8htyBngbJGCwlrjFUQw3
mKFnaSuMNd/F5xHBnxPWUSYRw+gLUvTBzoiM7GkYoNwtGshaR0KO3mMlDrZ9p/R7TGVAfaVebYS+
uYZxbQjAK8/tiTP37+y1Lre7UUBoeJDjs9cnLxAAfYz11hr5jogveSVRKXcylJURPXY6H4BrfSLJ
2jPpBpMBd6jMeimYGKBsdJk5cgny6fnQeJOrPE5QffcsHQEASZ6TQ7eZ3rnSqV/1rWoK+1Sn6rE+
RrIzDKamEM93dNBbgXG3sF4DO1VIdF7T0prD7cs99PNxM+AIDx7ttuHCzwdeS8KOd71SrSi63Aua
Q8qeFEXAEXEA2jSeWp5AyrFcOSnCkmkRZX7kx4E7QB/i9doYqFZnvdDzbhAR8TzpTwNSZ5/jl7ar
YscQ7FCmw9/B6QsqIen4EL4Ea20t7J01Dx58ReBHAPcfsiTMAZJRYY3jUOPdREl6yB+m0E8tBY0W
XhdsV04H69VnWxJiTvwLIRpKZNej5ZWyDYY6510zJx8l+XhvrY/6vSC7NXq0G34Y1hKz5+sWZ1Pi
U95NSWcqJCY5mf+rtQbT36iOQWSKTiEimTbkeHYZOSlOG5L2ZTT/rox5aYUvx8zMb5homdqg5c99
B+MhPuIokK1zIhOtzcMuotnq7cYmHNmhM5dK0fhgm5D+12BjasTsOmKWdB5fZ/mU0t5coza7ofxi
bc6TcOFiotqHpCpeL+7+aH99GQ/OzjcpT543a1c368tYQ0y6Puy1th3K2VBnm9O+sOUtTc3uaK4E
jjcg/NkQkDc/OCCIqbHMx0qUFnqHR5qbEz+kH0FlVW/TUwztHo9QtNK15u/oz/2tsrRT/hfRDWI/
PF2YhUsiLxereuBdW+Go8MRNdHcG7Pn/ZoRZKVXscAoTGEm2YA46GDgVFDA0w7xv5qZhZZ6/y8Ew
C5UgzB9EAT61lO38Lfklb/XXyDgHjyUpNSvZ5zkkJGkSWY1uBRqR/5uNAjZaMMvM7ADowL7ekX1u
VFI69oJrgkDHI9AcLdE1kdj6+4NL43/75pxHO9el8eycn+0G49jUstT13pNHl8uFbV7vhZS370+o
uOSnL00wAyo15P4mThrd6dmLyWv8+WELxN5We5AsPDUE740j8jAZebA2mzO68n6v2J9vIvaSvLTP
+LE8Buu5FmGIuqtUVkrMj5fQyh3dDJ2436mwDOey4eBbPEv5vdaJME/gPevM2eCFoU8T9K+5RTI8
6Gq+abl6rclqHsE9G8zRgPSEKvaVNrrA/4Ng2OL5rV6Udu2VL/fnctEQ+FKAjgXA4AYholSBAun3
aHKFwEUNymj+5pMtrzHTSksrhlQPCrjAFoCakFkxVB+HNNe90X2VCO4B4X2k79W7+f4okJeBpCAu
IU/9r5BaVkEohKP2z259omsue2nfXn4Fs3JlrKVRFXGjC1rSQDly6r6P6L+fz0sTzMIloQDRrwwL
J/Ngj9dGCsZraH4dJnHtCXVTTJoPuqGA2AmAcRU8SIxba0JJzIcsnNxoq7ynG2FfNST6SrdpQRKZ
hF/3B7YYNl+YY3vrlbLXwTyNyeta0tL9ESw/g2ln5janjkYPVm9a7i/v8e0bAZtlfT6fW2KsbNab
TCszZPaR34PNJpWnYHLF8VhqYBQozrxu+vlE+lYgSv0Zot8qXsOpLYUUc0eOMd/BAKayD7tI5cM2
aLjJbXe19T7YZj46CWchwUyfza4nuXV/rm8UHTHOK4PMRp1GoEh0xefdoQSjnOSTpqd5lxM9Nocv
SCITHXybGZBH3bfvO0XxwAmPnGSqiChVp5edKrSMlsiDQf21ssRsmvFM6DgEtxFKWkC3sfA5NUcb
GZc2+DSBfIBUVf2s438Jg/wZPRJk8ySg7ZxtuYCEcmRUXTsHzJxBpo3hDq+JuzLFCxEOunH+McJ4
pDgJ2kYVYQRVJRMgABruUgdbWaWmPdnFIdsqB7tXqS+aEq5tB42O5XOw4/fZMbTXXn03qN2fIYNV
AuRVEBS4IV6HdnsnArfNu74mf0ctyCPrbdXHFpf8lb0Xtbcj7k+LQqXQk2yNKO4mUTAbnwGY6MdG
Hh7qmVjyi4hZy7MhksAQ7vbQDx3a9xCkRTxFtiJOdu2A/EwCLtJMsHM8x7niNYnWMhVLewqkripq
aqgBQFvk+gPaZEr1LMBaeNFzq74XxVl12lcdZDSBLb/Iz9IwolTL07F26oBMmdmAbJNbK0YsPFZQ
CEOQhq6BuUI/32EX04BZKgCTUXkXyHaJP5Wv4BkIt3VgypVZjSu8AgtX0ay0hPQMGPpuuws1vZ6g
W+wLrqBDTwrnSIISfb0SeS5c7ldGmBtiLEtxiDoYMWpnUF/RhY5OhbR7v3+UlrzypRmWjSLuylqU
OQ77B7ocmvGr6V7TaB8EZ105JoPV9TkRtvdtLk4f2tBncCtmkCXayJG44pIpEFxJtIyHzl/58fLi
zP3z89khNXHZDS2fi67kQ9iS1LwcnpHOKkTbh77ErP03Qekmi7LpU+ir9JmDWo5M/M7PSjNCcD4Q
2eh4jsh+CGa/fiwSK1K8ISG9gRePFUM3GO2WOtJ/PCSWajJGQg2JWnTmIDGIdJ1CeL1Evq7wmpnE
Df1uv4c0aT8C5Dh7MlQT7gU85aHWrPdJJ1GwnhgiRY44RuGx7oXMEZSub2iB6C4HcAwvEMhUpgoQ
CHUKvkEpkV9zIdNlc0ShvyYpZJBzpxgn9Jqpk5KgTFBy71VfDYN9f+WWd8vF1DKFibrLU4ilYOnM
psa7T9ukaKmDJjMdA5I5940tvVSQ3fnPPvmJSy/ONN9LY8mB69iFSKNp1xRtWNvJDjf6H1uk0O14
EknzMB50mzeDffsSkWQFcnVTX5+d6+UXMNnGlpdHVSnnncqfdM7ieNLV4Bg9lIlVAEbAW0Ox0TP0
v1ZgYHqHOofZqRn4Tc5jYMdNB1j8yUhicn9eli6/y4+anzgX0xLkiljmKhxDUlvwP/xEE+9NJGsF
6yW/fmmGuViAvZ6KsYAZfySRdNACqzMcCU/8tF45sD8ttGxYogB5iAgN8GVUFK5HZExqlyUAL+M6
VzoaIp22D1+7beuk8KsRKQ/8Qd6AkXCT7KJz/1VQ9DQi1beafZp3773vYGY2LoIs571UcFNwtZya
whz2+iGbiEX16u3+Ii6GpYAUzvsLcBzUta/HzAfJ0I55JriAhqiOn2wE8OMIpnH233fed/1YoIf7
ebNidOElB7DFP0aZNfWmMh1HNRfcYIvgrCaZOk8xmoxA7fXYuVVho3R03+aiM55Fm+fqIf6Zf/9i
t4p+4Cl6UwhIN4i7PDPb2hLXtAoWT8SFDSYE8f2iTgsBNjiJ8mc1s/jMzc1cJ+O4Et0uXl0zYAVQ
IsBAWc4QrFmm1EBcuHrioN1cUfd8vhJczPf6zSZEuweYguB9QHJ3PWFNPvXSAE4nN88tkBYhnx/5
h0Il/EkZtqGycvbWrDFTNwZ+m0g5rKGGjGq2+OjN78+4oc9r9G6L/uRiXPMiXmwE9JDEvtjBkp6Y
0MTIglMJiZvuKyr/C/8IeIOGqBgdZsC5XRsSq9FHT1QpuuFf4MpstQmJEP3K+YEI6n9zH17aYgaV
IyXRZ20lutMjj5gCODpO+JZQAjNymj9Wu2LtObu0AS8Nzut5MYsqlNyBFYTBGFTlUbaRlPfkz/0T
u7QlLkywuQJ9gpKt5MEEmg1Tazp8dPvsVRfMYKUJd/HddGmICSaKfuhGxYchBRSjnK/TYHr1wBBe
fQL+Qkr/YZCf2+cyaMkQqiv7fjGSuTTOPBjAoex3EDgR3cDYTR56jQDWxwYh2TmjYbFypleHytxw
njHUdSdiqHVlJw36tbZ+ceLqXXEI86eJH2gC1fV2U69RLSxeM0hfA68MPOKMrrjeL3Itl6mY1KKb
BnTi7AFsHZrpy5uqeBxeElvJtkPjW3qBRpedak+9eX8vLZU/ADQFOBH0LgKATswBEeuc83BGebdr
aNU8ZwUdzYEqlpTvhMjh1UMtbwfZNE5GuPJ+WkpbXplmjgonjlXT4N3qKt92vFFs0NiiYH/gyGQm
ts1RDypeFA1L3lY7y5sc7AU7cS/yRMQvzuEc+TBR8CA3zv0pWboQ/5kRiK5fr0iEwnyPrCDvImFL
kPc6rzWCLZ1f9NUCBYK27rkee23A58pi8PpKcMG5PzpFYAI1MAAR8AJA50qAvJh9mKlgjDkZA0wI
s7xjrjSJLw+IRU3hyzMfGrpD6v7s0bVG16VB4fJAWWTuQQQg+3pQw1glsd8LgouSfx93Gw8S2oNY
W30XmxUwUGFzSoo1fs3F3QtBNnAJAZktQNbu2mrhaXw3Fjre4JsUhNwPxmihk+/VI+nJip/3+X4t
tl/KC6MxEYTFiJgMpNoZi50kdeDYNQQ3JvvqcOydBGT/NvVN+en+Nlz0DDOgzQCA7qfJ/XpsQLbH
QVB6ghuOHz33h9O2vf9brbeZVTgVOjECk+cBI6Lhr6jfl8LKJb24nhfWmXFycj0aXj5bV/dt7sif
pf8W69vKh2AxBNJXrC29MNBFi+wQ2NaRBGah30NY47fGUHRHJ56oOBbUIOX0LmWW4LWkjpEusqpj
Fm/S77q0nuXEypE3y4uNsgUHxeD/zXxU2Kdf99dgPolMqAesBMj/4B81MCwzF2A9odEm14XRnbMI
UxnaRrJW71o6oVc2mHuuHdNOFTPY4GrZ7rnUljn5oNZu326G6hj5x4Ezg0qn6MSyoQIrVP/nL2CO
blaNYjvFKDjmowUooQMNbAgMy9aA6Ezg9o3n77sSbSVeQ+p+sGUj3Zb1v0Qx4iEPhTskZlANl/EW
YbYbKHvqoR340R2l7mNAFwkXRSuLecOPxdpg4k5dywutnDDTozM6IFHcBtva+nj0CX45DRmekGPa
yo8q+bV7bslaInip7IAhgk8OVeOfc319nqNWEYZkQGXz/fjx5ZO5tTJ1mk1MHVRUXdy7pId6UeCc
11hp5rm72cX/GGabhcYGBXLoko5uOzm1+qC1n332nqgrL681K8xZ0fMp77sKuwhd4hCcK9tTnepo
REfOjUcD/v2D+f+ZzJnEGbjXufHtejKL4P9NZksb83h8zOzaCa2JPBHM5i80aW5L+/n8u1gJl5Yc
Ah5+c98Vrm+QrF6bjQZeGTtIGbuCuov9J1HNVhzhj6NjF+vCAhvcC9IQVchqTSjPQM1XP4JUFRiq
xxdszoREr8bROA60Id8pHbBvIaZjQuZmG9AXVFf+vBFu1zgKFSiS7BR9fKscsz+533vfxywzlzSK
n4X4PqCckF9E1i+xIzt38qN38rYpdawHN7Jiu3JSO7GQxaU94eyMIui4vwWWbmK8Hv+zFixePtV7
A/XmaXIB9JIpdIU+MjM/Tg9j9N9stktLjINUtUqoS2OY12ROymDSMWR9G5gdARril49S5TOixH6f
OWvyhj/B4L35ZoLFGN4kNdQf2x8vE2yjN4UE25Qg7CBY9IGcvlsbqiSk2fw5vBWkIs9I9dLk6Jv1
fhWesXhdzXBzcKiBbRzcOtcnQJZrCdpn04i5qF7QWZmfdbOvHmTpORUESKxmrQ4tbaptV1Z7jrrZ
ebi0y7yTMlVpdTQ+A7PhpEA41H/Q5ktTe7NywJeenXMby3/GN7u5i/d7F/ZS78ewE5PG5ncmRBep
25PfK8NZ8pbaTN01o/bx7mKG03lSKJZqz8OM8v34+FI6W5/wkTm95tB2JRvvYeW1tXhcLi0yA5t8
lHuEHhbL4pSBZ7uUaZ8gnbhVzO4QHA3lwVuDayxOJiI64IDRPG7cdCBx0MMu5QEYtGNnIvX3EcaO
vzVU0sZUt1ZmdGmDXNpiXjoh8sK6GI94trXk+N7rZk616WhaSrdi6aeXmt2K6IlBYRG7BLJAjDvQ
g9Ezyl4AuBWdra1TagcDp1DYpVuHPPlkInZt07/ZUfdJ4pz30sur/PBqmHkNV7i2qvNxu/2WnxLz
zKDA3u1RPU2ZIGPUx+jdP2tU2FFomGMH/cXhX9m0P+QC94wxvr/XEq/3q3k595P99WF/tE7v6Dsb
W/fpyaAdSfanlz/Wm/VZ0rfKGdyEbkDMa/rP6+/NmxbFOZpDAhZCFHj9gQGMOUH9oMcJZKQFt+nk
bD/GqVkZCTqNp0m1akCad4rYBqYxofGe58BcbHgQt44zNX8N1YzfKijNOegg1h66PEzwx4rekSZZ
e6zxFwlb31jxYIshi44uKLyNwZuOz772LNwUgimB8+a8gumhi5PIPfV4M9qYuBuN7Tn/+suZm72y
bYlO10AvC8ld9GgA/YAKDkAfLMq1zAo96HNk4OvJmoQvSXgZORvCtcpI75/DNUPzhr3wnzr6DQMP
yX6309wPGW3CYXcuMKFggLhvaDGcvxwSM5+RKuUYEtIo6KEx3/eIR0B231vVr0AnioWcCti14pO+
hy4TR35vXu+bX0o96OBNmTmKICFys5xp1Rl+ksJ8Ufk00Y6K9EdG03sbQr2S++txFeXBndKBxkUl
dbETfCuWp5f7H7G4p5AfAGkMytZALTJOvckK0JLHjeBmvhPvJ2J8vtW20/jk5FiW/+thtztrv+B1
hFVW04ULDLRmaBBGpzqSL2wkrKecpE2VPqO2YnJE2qW3IDwSnyokmM7SqSUr4d7ScoP/H2oZkIZR
wWnGLPcQ64kczvO9l9CFPpC36m8GcH1BHghKIRk1zBKNutL2dbO5P8lzTM94PRBQzg8N9NAa6Ga4
3tHlAP8jVSLvZr1tZB+l/930hwSCGQA2S5HZiWv1kXkk9wwyR0gRM0UfkGhzo28hP2pCZar6GmPT
wjHFQxu9mTMbrgqHdD2oVOQ5NS9hI+2OY2dNNJzMrFlj5FizwmxPWc1rCETBylSDTOgxPMcb3oKc
yDfaoohsqhvciZu0f+ULa2W7LB3POZOAFB0kCtC3yNxVoRpAKaaDt9WzkPj6syEc8tRKYwv4knJo
Tch+kOGPpoK4hCa1m3/d3zQLsHg4ByjkzY0FiCZZxdOwkIW0mxrRlY/iWfueoRix5QhQy3j3QrIB
CqG2PGtaAXstACKuzTLrOskBl+k5zGbVWR19U8yArTsatt5vqo7oIFoqNNsw8Qlp8Kk88chzKKZ8
6F6N2Cyrlejk1kfgY9AnC/pDEOSBSfJ6k3V+X8d4y4oI/7YQv96vFW3mP399UK5/PnNQkEKX+gQK
gC5Qk0TVtmDop0gtUmXaZxWESDjK10cjMsFqkU/HplvbY7cH9do+M9lIQgwdqPJFAGZJ/jaA+fjF
i00vfYq9z+kzVh9Be6L9zslIAGNd2V+34e61beZoFdrYSaWCsScJRc2qqwvC5afhraw3VUY0S67X
Sgm3hxkW53ZnVC4AZWS7VlqxGWOlRK5dQhM8QJt8l2pEA4u/DHoXVX7mYilNCVpOJ+hxZoEikaSK
VZXIJQ90YRwkXeAABhAdpzQuCpD898NXPPXjZ86n02/QkZSpdX+S1r6YeRKAgzFBuz3QQZUcEL5W
N9L0lMfBHmrSNNLXmmEXdsPMVgzc4Qz3lH4eQxeRjyA0hZ6jQ8UNlTe53OrRS7rGrX97FYFeAZQR
gEurCu5cZsO3id5L2djN+Bdwb4BhbCzrLRfEpla8Sgmk5cE0ma+lP+YfypwyMLIATzEzFAMixcwi
xLqNFuRZAIjEVeQEafIJXgluJZoTFnwFZAVRTwGzkaDzLLFZ1sup74WB6Kp1uCmTXV2RUD62AUQ9
E8/uuhKyBdUEgTs7TN/BPNOm5zQDlWr0vYarWii8ILcH6lJp1rjBk3lehYuF9CHLrcZdKrresXiB
uqepWNtwV+xr04KavJXJRHq5v1EXys8wOYO+0SqCC4NNB3CBPra8gjLdeM5JjbxwSmVTeBjoAyj/
/4vYDRnomXYfRJvgSvjpVb0YIB5MmgbiAgAIEtxCgDAWv/lPkaY0pLqAvmDSQlWaFE/92xolxMKr
DZVIzCzQRmAtQG/m9dyGo8p5HAIPN8gJaliQ3dp422avPTRI3O4ba/en3AJ57+LZuL0/x/M2Zbfx
hWWWjQK9cGnii4XkCh3o6gqH70naA7aJrnjTC1Y8z9o4RSb84KCpnnMcxsn/LczyQTK3/i6laMHz
HitLRk+Oh+QhNJwCUq7V0haP0uVImdx4o09y6sWwXZyGhrROZvp7CY1OFBQAlOtJu8f8UhCar53h
hTvpcnHZSLlB9N7GGgxrhRl/yjR5VIaDQvkXBBdJtBJcLCSXsJXQwwCPO3foaMxWyhok1nRjADpl
2A8d7Qzy21fswjABj+6Dz6leg8MsOfgLg6ympziBEivoOly5ABaPZBCJiBj2gL5iZdcfPr23XYL3
x9rLfc0qs5OQ5B6acoBVSC7yGa1bp1X/q5GhV1/FUw7su6yL53qxbeJIAtZGfG04eSsJk9kIEVFE
t5SIzm1TXv8Qsr+1ZyeiLUYbztv09cr2mdeLOaBgypphprhFBYFdzwQi7gUfZpILee1t8tVufRvz
uRY3zZv/jhV2EQvw+aPpC1bkY0rkj8FsHeGjfM+3KOGvJe8Xmv5x3+PR+qMxYNy0NnkBF6SBCmMK
Gez3JrTVfjeMaD+hZ24joMJtxaQwoTtivKgrHmjB3V2ZnmOjCx8/1JMS5wpMx2i8MWgYnsBklZP+
K8hX1m3p8royxQQIUSXwCQfiLHcPuMf5rD2D8Cmj8jcqmqvwi4XTgN4RPKxAGwv04A+O4GJYraj6
uSHlklvZ2YtI7XTzFDq1ydtW/gvrZ96/M5ZecVfm5s+5MDdKo6eNHoZmmpV51N59q86odwBn+/NG
MZWXzfS8YnFxf0JwTUPGXOGBY7222LZFWKZFiwH6ELuTLFE/Rl/hGYQWRD511RM/HeosN+vVW2Nx
wxg8UjmgqptJ+BjDEZJcYEATXfNd3EFoT4voQ0AGt39GQue8tpAL4K85dwQPDQJCHlEIE8o2etyO
QVMA8JFaBW+Ch99rQzPhE0uUYstPdDPzEtdLD0URkr6A8px0FjQER0EPVWhXSPbBtEtykdb5ppkF
tg+xaGrBcy9QuaLqhxTg2Wfy3e8E9Y01osLFgw2hOsROKD8j+8xMVgBC26JXWtF9NSFA323+h7ov
W24cx7b9lYx6Zx3Ow4nTHXE5SJQteZaHfGF45AiAIAmS4NffRXd1pc2UrXv67UY/VWRbIKaNPay9
1qYM+liF4ULkxZuQXumnYesgjwuGke8PyAHCCyzch6GXt23gVklSvAfyUr9EES7swuSyDz3fgqr5
ndpE0QNyYoGZ+w8P67N+F9Ojnb4HbzycdKgogCRQh9v++azMLGXIe+DphXwIsissSDS/C9CueTn8
BzH2HA/8PdRipe0kB353wlC3YXhvnvDUL8EUtVPhPMWxeQSF8i4asnwd0KoNQmoIJyDWWYyGrJiT
NiWePeu+fVRvndMx7G+MszK6cYL1VgOnRuZnl83++trY7xvfj+5ovPWRZ72+TFdHjM+BiGjW/fr7
WxYb7YwSNlVxAZNGHyg4alaWie02j2USDt170NKj1RmYNpArzU7dBxPXW9wppTsZ+866Kjyf0HUa
jXDbaJSX++/P7iGvGDzpv8Za+DJSGfVEMhXGDeS8vndtBtNTvlciudrSR9c/OYnr4C04MuqhnNin
URcmtUcVoi0G3djPqXnpa9vkxD7pb3w7vIi228bXV4/TFGSxFbQv30/40GsFgg9E7FAYQJp4sbZ5
0tFJlDaiADfo+9Qfrovh4fshDp2SmfAJeTZAUqz3YPbD9jVTruV6i8lVEmBZD1K4AoShJ9kRb/tA
r9ccUoBd4F09DdRXn4+J3qWuQxRMZUCbl7xN79DZe9GiQ72PfZ9sn3FAEa4+9/6rEj0ZrZ/JtXZk
Ne1Dy/nxGxYef2uZWarlrrFnFlPQblS2lbWmxuTdeTzj+65k8iaFOOKrnXi2CJlI0MxtKpmzG9MJ
PXoe7zsSdQOEHtG5wSVoqEt4GeA0LdUnnZgAzLAexR6fc6W1AiNVMlz3IqFoi9UKSLaoqUWfK9sk
1cpOCDg7FfE0oRXkTGai7v2hmcQDcPJiM2mj4CHxFGvv6K19w2paXeis6ZFO6PSaB1SC3CYwqG3A
pQDSCJTxNJMPBXMa5DC1uo4Vk7RoTXc8AMGzwt1BwaSK68qZ4qy20xcdkkdpIEwL6lS0o5o/kb47
camubKqaQtel0mqnD0BVLyi62St1iGiDLkm/7zVAmmnWPKrV0Ki+PQwiCdBHWz4RLBWEFVRN7f3v
T+nBF+PX1tlLUPWQ9+i4hDLnvrjhLsDHFtSwwT/FfGWTnSaRB/rbbHVkzNmFWBrzj2MurY1rt5Ki
FLrPtnaQXZ8XYXqprbVA9yvowFlHLuKBWhxuCCq76G/Gbf8NyY9WUeoVNMHpjLJt2K92uzLmAAwx
/946ByXUI6sDk4d2FQQKW4dHXosDBQ8MbyPviFoHOCuWTbuWCRFzeyTm3uzDXrmcwIJ5a6KBp/HV
Dc6UY4DBpd2J8Uwew6wdCtw+jLx8QVKmk3qycnPv3et1UPpGs9bZlvXrtr844g4ctADwLSCXBpsK
nt7PVgi9mqSBcJuJYPjekzvRo5h/pKpw2NJ9GGM+Vh8sKqmlDj5ojNGsdqegLwOJShZevSardNsH
fnQSX7/FzubWPRqbHpwcoIwmuLgBE303fx8GVoxJkVo6mfvTHMN8fxlmx+W3u/Dhtxcem0Ba1zHm
35b76GSfAZj3/e8fvuAfBlh4To41FrZXYwAXQhTrDIC/e9aj1AbxsNGp/cm4ZML2PbYduiNO27u3
+d3cFk8TdwgOIMfQLNrtfp6vgKLyBw4cDujXtlu+OTs70f3w2in8NDz2LB7ynmb46b/3bPEkjWlR
F2mmmnM7wE6+/UQ8ArJsNO5srqrTdf1290Buzk72QHZcxkbt/0eX/tfwS7SootWqMRSYen+vbc/n
ACAJr5xAnl93QCWuiyOn6KCRQcAGvx/xKcDvi6UeJ9ZqWg6TWs4EdzIgVthF8ubkOg1fkmMEd4fW
9uNgi7X1xqFIJ2kZ+x0Umk+coLqKtSNG+wAqDt4osBOeYYEmEPRvny877cu0S0Rl7ndIHZ6qqyC+
fInFsZhtNkvLE4qYHikL652Me+mB4l64IHQ29zk0QN9WT9wHeTvzn7zT881DH2VXbhOeQT7F3/f7
Mrz+/moe8hABwEOnkepZHr7g8xQrRxCD97q5L+wnLh8luyHKo9Sj70c5AFTFSn4YZjFHxTBoZbcG
rNf9bDWzoIcWi+9y/+kGGom4D6bvb5VL1x+2QRfYJdj88pX0ldALQWYkUA34/oMOnh5gNoDm1IB0
WL6HdaZzVZeOuVd/KufVsLbFBpog6GywL/6TgcC6Ckw4tAKXgteOzjWPuZm170LXXhlPahJTGvVl
XHtv34/0Ttz72zlCTQpUwuAEAXX3561U0lSpCcFQLGojx1eup9VkBNXm526V+/U1mmlf07mOUvna
ZfUWgVv4BtyC5ALdwnkIrrP9999zqNKAOjBoikBcPmOg5nP/4cVKCNib0wxHK9wNwa7ZMh/l9qC5
q07J1jrJ7EAEx26sfugl+zjm4nl2LWRVuwpjwtFA9sOBIQLD6Hi9wjHz18/+Nup4EMUzJ+VleHtk
wocu8qziODOjgMXVXZiLtjNnBgLYW+W6rryVUd272ZUBFp+RRjwJCyh/unwN90vB6T6WID/4xn4c
ffHGmnk/MdOV89R3IdTI7hwVLbm+WwRvoAOLj8x1PkzLwwavwJ7xu8hdLzN0k5uMmpLb5p6gTaXb
8HXaBDRzwrLo0a/thmMRdtnz94MefMs/Djr7SB9OlMglbWu4t/DZb++THSBW/u689Tevw8XFxR3b
bo3gLIjj4PaYuThwrNDLj9o9/HcL/LgL81XyIinsllh7/Q3kIcOwFiGoZEZl/f0ED/h4n4ZZ3Bhm
plXZjTWMhTXV66lwsaZKXgQyMbtjzsEBvxyQa3iyYGwHN/cyZE/tsoYOL7f2yEX6M4Xk1fpiHTR+
5l8DZ3rkaszX7tNpweOG0XAv1Bn39P7Qfti4clL5UFnpsKdulYaZwMTEkIkjr8zvidd5GAfKBbA7
cwVgcQEHy6VWk7r9fjwvz7TQiMkOmfFXsGmt88Da3XWRGbah118emd47n/dv8/sw8OLuWblVUDDN
DPvUPkuaU+W62xhkk2croE377tHRX4gMssDeohmGrcps9eQ9VmZEEJ57D3rb+l1IrniY7/heik2Z
34E3otKDaputm8RvoStXtiGKC0qU3rBzVgXQ6dprxZ1LggwqOH5TnY/12uIBRBTMNq6vbX7RaJ0P
lVWp+EVMHzm4SVpvleqIc824RvvtSQ5wZrElWjjoIQlK1A99CuSd5UaDAaiI3vnl2Th31e+4RXw0
7KAQ3il3YBlBXgCaLzvzqWiPtpzPV+m7pVw4kV6So1DsOv3eQqP9bcshVgV+2K0Grj18jHNpKVGb
Re7V9zfvN3/g/eSYOkCrM2ORu3w3ykz2zryB2io7d5CrSlL/GNPcsTEW1qtnKLw3NcY4NdfoSqtP
9WN3+jejvJjF4vyPYy1dnuKagb07pOcdYAS3JY6Iz0+Tx+8X7HcczGKsxZEfJKdWr81j+Wjis1hs
VJF1eZb4ta8FfDWcasG1R460ER5cQsBTEAPDeQOJ+OcHgEibQ8+2xKBdK1YiqaC3opVjxIZNQ4AG
GrvxlmbqMSap3yt982RRzEAPMswYcE6LcVlBHNpj64ripzqhj0xHl8oZzbUZ54tqmwFCyHFtv+T6
tn5Vzxs3BM+6b4qL7xf9N5u9+IzFmgPPKKlKi2GuxNOVghJ1gyknUY56Dj8njrH6frz3gulvl/HD
vBeXsbDYZI4d1tvkqy7zLQ8127zYNGbYPTPLdyYwqjMwsgX2hZtHZFM6MXvWXvshzBBiR+qLBoQf
u/v+q47uxiL0a7NcMCev5qPHqrgUV5YWZE9pfeMFhPnmRtwP+bbEklC/tcNSOc3lEXPxe50NO+GA
NQGuHpQMUF/9fCCoTlpBamvYt/ZpbiNHfEEvPCPoGEzug5VQf4wt6lcbboFsHq0che9dafndaKyk
C8sejWhKsZDLHXyjWBvDzobWyFEMzCFTOr+DM78knPBl9l+iOmbq1MZHNr4NgVZsoH1JzY3drdNx
XeUnpfWz9S4s4/rIBh167kFNMDNYQI4Dkc/n1TEQVbaK3Y2QM9hq+VU7jcE0go+X5xeF8XO0VVDt
nDT6SkuKSIEmn+39bMQRROoyFEDzIQjbXfTQvUsPQ5rv80eUSuK0lkDz0725vscJcQvffUBguWZr
ss5FABSZjMsV2jN2yRVQT6G9o4B5oHCP/32/ILN5+HCNfvuUxXoogHsBZT+pexVwc6Mc/FI9A8g6
IUfmvIwBlgNpC/togBqhLxUM1IB5MNdexuTC5bUPzrnIaqxVRwJyaogOJDY/paBHrMXCOv02+CKV
kOZTb7JWVfcdu2GPCbme1JO8j3Mt1LqVrRxJri2egt9Gmw//B5dSUxW3UyS2t0QxB7rEwwAdERGS
5pyUx3oujq7r4ronlaeOzEJ7JN2oUdquuBpTEYwgwimCDtY/tiIIiPrfn5r33VoeG+AtQHgA8XEX
asiLKeaNdCYdu4lyaO+uoVexKlyQ9F9mQEZqT8eYZw7OcqYagqmAEgkgmJ/HE4UKzlJA5PeFGVlV
AKX4YuMZMZcXcCKz6q311g1eXC15PjLRQycHzyu0xkywxABb+3ngqeROkUi0hRkiS25tIYf1qKOi
xmiq+wbJ5E+Z9+RWcY1io6mOjJleQEm85yx0m6pBL/y0KzUyrFvHZJcV0GrnE9NZBAPxWMuCxd9/
76HrjHI4+owgNGR6SzTySNSMVQk+N29XAm9ipq1ZaLjHdMSWSbP3Iz77G8CR2CoaRRZOad8n7YCi
Bug6mxDVoqC4AIfmBbm0o+JlWHdg/1YiK9o6q3wDZbGQbNQVR8EM1KOXZehtwOUOrz1fKUes2TIt
+tt3Lc8J0/TEMPBdjv5qkyruV12bRyOSO2n60xkQzBg0+MuG/tfz+N/pK7v417lv//k/+O9nVssm
B83b4j//uX5FS9Bjlz9WP8LH7vFH9JJ3/zP/wt9/8fnv//l/RNs1j1X+SH/4onl9FD/Y24/rDj/R
dvlzu/zbTz+Fwf/6uHmsT/8R0S7v5KV4beTVayuq7n1YTGP+f/6//uOP1/dfuZH16z/+eGaCdvOv
pTmjf/z1T5uXf/wxx7D/9fHn//q3s0eCP1uLR/lIH3+smkf6/NrCh//Xj/77L18f2+4ffyiW9iek
nxCfzvqLM6cUTtLw+q9/Mv/E2UKfomvMEmRIdP/xg7Kmy/7xh/WnA1YoA53Zs4IixN3gbrZMzP+k
/wkFZajJqUjyAxVme9of//7GTzv5a2d/UEEuWE67Fn/9nkj/ZemgEOKA3wcpUlBpzqKXS4eBd5pe
cjpYoI1L+nIjlEnvAmm6dRF4bdlDskNv1DbQK2usgiHnw4PRZCYajFHVD92kT6aAjXLIw26CKgzY
cFQCAgwQCK8tV2rmCl5cucqLbi7wW1AiQw8UN6O2ka7n56WtwJiI1H6EQFaGzv4mS8+bVmH5CoFi
CoW+ulNEkOh1Bk9fm6DpLuSkbNjQtG+e25LbviY5EOtJ3Vnx5CTmGPQNYTwiRCTq2pQtEOVNARqd
oE2yZLwWIxhChrZvxwCL3zzgtGVdgLSZfcnZaFzaKToMYiJZ8QLWf35Vql75gGRqP4DnOOP3qd45
4D0a+0I5c+gwxoNq8MYvMi5fic5UPUSbl/MMmevsvhOQkwI6gMiQMDwnWxMCcAY6+uiUBAyoiT2v
PIDezVIpoDU7KOQF19smt2ra2e5tC5F0HiaKaSPo1nrjpqdktIIU8oYdyGstQeHG9JUWdDYk1n0h
FbvxITVl5xcqSdPSL72SDL4khsAuZv0IxHAhFL4r2wwNQV1TTs1a0Cb3fC9L+Qn66vkLWHLUPFCl
UfAVlDjcxu+KykDCGryGMqq9iZ0RAQ11ZBrbVpyAp3qGstfgMj/JNSAffHsSHHaI2Iq1TjyrPKd1
32I7dZsAcE9oATq9jHYvGRDizVaUqZJsdGI09xJuxSPVB/PFzmhL0DdmSxTKlfQOGAk08JYuJTzS
a9MGrWHHwYFkEE84aVAPbQvJPqS/dqbDzVewUVNyXvLWREYhVyAR5/dkLPYdhKIRPY0UD6xCjGn0
dYG1BZdrXu60zC5AcA3H2li1VS3sK8epm9pHO6a6QeI/1UI6Okit2pldk7ByeJrdNKxwkXTNNTmM
Pq9xz4LeEvV9Q1Www6aoiD/pLHMhwt6DSAvNfbK5hz64Fo686Ua/IbZ7ybKcKSuQl1XkEp1KaeML
jw3KxqzM4Q2iAHDXK0gUZo+wYZ2LS5AYzilp1Sb1idSQZ4A/0Rb+VFE7WVFC0D7ZtH0Nb3saoSoH
mjlUe7Qq6zy/d2jSBbzlFdAARZoW6yll+b1K7ewVIBCnDKjt1JoPPkQL0ZRhDAR7ZbB4BLXMZTc1
5ojMOq9xmkqc9zB3zKkLa2aaboQMkWuEeTH0Waj0nvmmlCmaybSiU+zQK1y93dp9Rh8dreWgQTCN
5rocDBPODVp4gb9QKncKqPBMjt4i1o0RSseJFiqpmkEgieniZGhGVvuE2OlK0wFIj0eFkvVYWHUT
ZpXaA1nBk/s6SxslaKrOPSNqmzQhLF93UyFFAcFWIFhv0tQrS7/XR+cuJap3VaNmcaFKBZRexlyz
SW3BQnwO9KUQhTIeNoRAEAFkmkzg0nL7Jyxkfud17fiYWNJ1N64n0iqApeYQGB3hOQZJmdBz8Jz3
WWQPOu5miszBhaxqzfCJJhIzILIsqa82ILMAu6TlAf5DBlCFgilDjEFeUCdOJ7uEzJWEjNNJlYix
D10AgnDqe/CtRE0Olfd/eb3/q3d+lz83rGVv3z/u5/Urve6a19du91j///CU42n9+inftNVj+2P3
WPU5fWw/PeT4u38/5M6fDtxzYLBRiZgf618Pua39iZY0xNrQ09NQkZnhlX895PP7j6o8JJjBswIv
AK/23y+5Yul/wr9EAQBewczEAuTS/+IpXxT9FB1uxnuHxsKFb3JRJT0pkY4ZLUDSJu7XHdRgcis3
ViM4xn6qbansHaMa7/MShoHl07ACE4SN4gZSA0olvbU61XnUq4l2WwILd8xrxfw/BOG/vmwRKGZK
AeJ91yzjysjIqW5KgMHHBt40iP12Oi2TQG08K+IpSDe0XlbXnTHteyXTVrqagsJZJmA1NyfULVQV
/S2JnvPQANJh7TB3jCpQAlx92Pe/3KOP7tAi7vv1pYsAWgUGBhayLGORaAAQNaLxK5R0feaU2bNa
mdmpbY4s6qesRMY1MeHu8JYdSbF+Ofoyd+C2iddnDZrwuW6tYIOHUMlTK3I5XpQm60jcsroKsmGo
w1ob+lObJ8f4kT8H9X/PXJ337kMwz6iRTxD/KeOJpngBa7vPL9OUoX3VAtTSGjz1Kjdy6QHx6BzT
HpmjlV++568xF/mh3oOfpGhoV4JKLVkNBAAk5tJqxxL15ciGfjWtRb4WvUwKUaehjJEoz06nmmeg
TaSAWNj5EBcT6imFWfaBl0o1cGpCYzL13cpNp7MSIpyepYyhZ9Jx55XtE+U2JPRyHUVzRUuObPp7
x+GhRZhD3Q8LryggUW7toYj1spiVj/Misl3WrirX8NAQrdKTwarKE9BDkcBJ7OzG1gEbTDXuRUyo
KS5vCgWNpnIgYT1ComfQ9LN6EuOpwWu5UVtPBAjuIXIxymPIrq/2bRF9knbIO2jA0XhKRhIUnsXD
EVIra1o719/v27tG/KFVgZX9uCoiK9PKLAYWV71anWSOwSHC4yqxVdXjaQ/nydebnK2VFjS2ECNp
NqLh5KQnWu+ro9Au3SaXUQZ9t3NW4j1Wsr686yjqbmmdidgpZBf0OnTHkynla8OCntU4AhFpZVoW
aK3QorKSATf1MSJJoq/6bqKnZi/4Zqzh/NUWpty02nhqpgDQteiMC0WKeA/A052eCncFHibjCFvH
V6u9sOuFtKYC9RAIJSeTGrA6d0JpT4CN1tI5kj/8yvKoCwvNGwAePTliuZ2iXeUVV8MetjroqDir
U3I3JM2D2WU0HAyH+y4x5JGNXmS+ftmAhcWtlUQ4ZmOyuMxtMfq2VZh2MIDWC9FP1r+S3gV9kFtU
jg3ibVmagag1b916EFf1uT1aajx1GpL+35+7Lz9nYYLr0a1BlIlaGvRijO0wlT30HNucxFJaDrJh
5gl10yrilmEgbGBDpGhlCYISPsa9SbpjnzHP/vfjbyyj8Z4CMkBUjcWpl+Yx1Qu01fSyCZo0Qcfn
AA97DoKk2sFxHrgbTY3nrl13OoaM+5xn+/euoIno8/UDAMOEcIxSxe7Qg7QMIRl05ioQ+KgQHwDN
cxp9v96HzzY0qT+Pk0gXN6t3kcAqRrJuJfpoZvK2UNX4zfcjzL90aCUX5rWpPG9Kaq+My04UYQJo
RFiUiocd1MBBahRaVOhSu/t+MOOL84Omks8TQnwpqOG4NAYVnHwB4TdNfe448sSGZqi3aq2RtkAS
2GClFsjknlap6gKnI5JR+LXpgdreRRgflXbd2BulLXeFPWB18i6xg6p3y91YNXaJeEqqz5beJY+c
JJqAeLxRPJSyFQ+Z2qchyTq2soStNgFsIJrYAYsvBn/oHFAySJp55RqNW86F6gowVTMv0XgwV/xV
X476rhW9PDOSShfovRfeppKtC/8j15QpqkjiuL5Ky3oMbbhoa5ui7zrMDUNcKGicQCbYoc55arko
gBtDVpzmnkBuYrQJtXza6sqdNJsSSRuFjFHnOYxsJR/TBwt+xWkuitE96z30f1j2aBpBYZHU82vE
hh6EbIbCDrzM4XaU1TRdGZAg6NZ6xuwbQxQsx8zY9KYkhfI8FLkX6YniWsidU+OSuwhx/doDdXMD
HPSNbNHEF2lmktcYVNIkTEEoAQpXJpp7hGGDglwIpueDV3SCyCoIpqytnNAFoqAI2yKaj4VRnVTq
pFQ+HaF76Xc2NBkDTRfFY4FsyI2Rk/K8RAi+4bQC6WuqI13TNRZ2HppVNVApFeTgEWSbQx63ss2V
kOpeM2Che2s9lVS7t9W+B0dsXbplMGh2eW4XjqecZJ3VvjLbqt6GovZOG+7UAg2WLY3gJLBIc62+
DVDUA86O0y4Bp4ElSBlozejeEHfCLmvlUF1RQinxrVp3oaWcE/seDHisRNbARHmMG15Z+06vkXvo
TgINK6fc1CKzLmntZ3qqkNgbM+O+kHYfG27Z7AtaFI8Qa7ef0ahTtL5ImaR73qn2s2f1kE5A1DJ2
YYGQO720c4PyQKsVliEF4cLh1EudXZmEkNtUR9EhmCq9VOOSC3RoGlqnrjIQxVgbWvTeplRSBTwj
aOeJQGHD73NoB163lvQM31D6Eswkdd4nYOUasDBjpopLs6NwGagACCpw81a/Fqaip2HeAVrna5KC
m6W2bDQEZZpvN553ajVMhMgEJJGGdFbnuw1QOm6B4MlP0mJ68KTFeZBBeYkGejJ217y2KPUtUyrF
ShV1Fwyuma3NcRA8MDOvu0w1HOtAJC7OetWlb1ZG6843rWHO5WmFFTWsTFHQFxOPAdskq7HldXE+
QIHhustGcd+oSt1FoAXDMcTJQZ10NPBYQ82vuGyzDF2ILWiknxiuGvedqnGuE1HTN8Vo7Wc37bUu
BMLGekVblZ0HGhcNslRc9PtCafUCaTbHe+r6tssCqzXoK0vNYp+ztgIqH2lAoO1AFGr6mmFKzeea
AJ5JTcWZQOn3To5CrHSlETd2k9et3yapselcltRRYimJFiSZfua2bpSONRJttRD525hadVQQ1/IB
za1P0kqON51GkPcaC8IfHZym0s+I2vBYh0rMqhwyMOhUzDUe+laMWURTdjKgDrThXdIg+VloHFpi
Y8XQBSaLMe7MytHRtKxNT2i7q7tYtoWcIj0tlG3STkPrwyaQqwSKdDCaXf0AuIEkJ2qdqLtcGNOG
Q/XU8Y3aYbdmW2DjhSfdrcansovKhq9MVxmQpQMrzpnGcXuxkTy2+DDa/mAxlLe9EkTtGjrCQkly
VO1oJ/O4l2aHNtHR814tpuZJRKpBfSYp8mk+4kmr3FBvFE8cHitduTVsJxjBtJQENpJRO+mxbgJE
urFRwe7qwm+ok62TOnU7f1Bq80H1OvLYVwOMLURLoN3pEZ7Xvl2WOM8t6lkJTDhMJkTCvAYNc1lm
gR3VxDX8/gX84kF3F45DJzXmjA3KsVNS6CuelhRHoOzDEnysR5yjOQQ48KK7C5+hlt6EroCUIRYA
xYeRt+i2B8XikVaKLzyfJYLYTYZsIo5NY86tBnqO3g1riHfaVgP432U6HFmnwykRdEt99hNoP7iU
axqNs7EGSqdTh7MqVXYpRAi3RLHgAksNbfLCwsb3iX5k6YyvZrcIq+hIRi0DP0FMEpXflm6OCdmg
8m99pTKn+xwMJJmvqUUKT2BIwZzSVAkzfKckEzojuFJuu6pppZ8kefmGCge7ZaituAD59I2yLliP
wj+IX+BlKBJv5ESrsT81LM7WsibDRU3G/r7xRgvOs47kQpg4Zpb4RoL7t1ZL0MIGjsI9mFRXNpca
aMiQ3TabzgrGru0v80SUt1API1Ba50K3j+zFV2fW+LwXfDAEsvUNfP5OtlD0MdJNldigjJuMJPz+
Wnx1ZvXPQ4yCtFDGZixGLrdBzUwacVpIGX//64vWuL/ddXcRROWTzrzJ0WkMnfEq0miJkpeH/Lyw
UomyEmuvK8jYribdZD5SOWYwJoZ9Ihq42x4DRrbUrCR0LaH5hQlQWQbHbWVORX5b9462VvSOhGMF
3q/CQpMWzA4cw6GcTrjptmdqU5hHjucXp3NJn9aMudNwty3gs+nBWCig2aK4BZmSv4yGdI6M8sV2
L5siUmfKlZTXZZz3hrlNUcNDbh+O92DDvfx+QxZ1+r83xFvsN6WTrVTGWMXAHGWrZshAtpRDZdiX
THNCBy8PoCuFvKAUHeG1YN5mcCfIOaV68nrkE+bTe8BMoj78KYPi1Ern9UiexIro2KZOpFzrHkTj
tLLLL3naoVyHXOOealQg6jasXcGJdTnxkkNpGEcTzLVk/f23fBWDLYJq2qR5YgHEGCtwmKHeraIq
pVqQh6mYEmiEFZHjyf4/SpcY7iKRiUSNUxYdngfhGjBuNmTRmMGUyGgSdvX9fL7a3iVvwIjyVpJ3
UxUXYii2qMG2ILpT8rDQzX6VT1KL2pTNnozXbjhC0HWV8HE7y1xH33/BF8/HkovJyayGlC7PY0sW
6nnRm8luHOriXuHKBMtN2jBH7R1bT7N1MaVy9f2w781ZBw6Vs3jepSPBEilMkMIVBX8pjKGzVjmF
snLmDPVWQMcECqSpSLjfczKgicJsHzukKlCLELJX1+jkN2C8vdYB4eo0kmjUBrA+wHEFy11mqANe
QAWc1BOF/C84FnsZjW2V3igVKFV8FASnnWkM2iu6fEpg8Tu8LtXgMAQ6ppHATTPpsc74r1Z44WVQ
sy4YXNgszsSoI7TM5nRxXXWRGIcWdFEcJ9q39To1faom9CVrC5YeeS2+sFDLJoqpYbSzjSmNPWqT
BzsFJRUKk2OIXtb6GF5xvnuHdnIe+0PaWVAKP4djDCQkAIkt7fKyKh0FKXLkR0vNbkPdNaByatZv
YJcExfFY0Osjp2g+LYfGXnghSIe4UvJOWed5Rk/aGmCIWqnKHaIeuR8LFzk92xFr1CCMxE9qPR2R
EOoJGiGqflaRVlPYrA45ojQ0htw7ozJJjLCxpIhzayArBVmX2CC5Vgcj3sGnUnXJPchn67UnVMA8
FJ2gqsQREjZhbsoRxdShlue8s71jYnVfmLzfGuG7ASWtqkSvNcPPV+VUr2oIAm+NygW3aV4W9zyr
0iM+61fruXhtIIpt1Myt87jUp1fD6C4BkGkRIxZnldJr6xbUBz/N1DnGEfWV+XMWT4tqF0D0uahT
UZFtNVeIS5URYH5miIOj5/VKtJm3qrzyMZn+L3tntls5jm7pV2mcq26gVZCokbca9uB5CjvCN0LY
jqBIzaJISnr6s+SsqnTsyO2NSqDRNwfIi0Q6bU0URf7/Wt8Kra9Qf4DGjZf15vPxc+z1OPiclE5e
dcskyp0n6ZII1oYZR1NxQ+qKn+jKHDnEIT19QN8lmnRT7NCPU/ucEztBbFJ7XgX1cuIlPzJCgoOp
dImaEhwxi+1Gt3ZjZnqdYctRXnSD0+2nXivssj3r9W/dssNI1wbiMpRHIrbDBl0mkbEDyEopTcxk
h9nnhziyeDsM3ivCZkK0A1qnNYp6N87SWXHUwDI9juWyzUd9avS9RyP+xexxiGGgY+9P1oCZy8mD
5lx0s5vIoM1TBwKUTWO51qWKZHkmbXXtYDNxEwZ1nYVO2z2qhjjfW1Mj8apwfjRYE8dN67RxNNoP
zCAMVsfAn3a7qugByGHl08I5Mj2R0LhWIpCUZFlTPCtWbqwBKR7tqp5CrHymoatFcUmX17PjvwrM
bigjcGh3fYvudMvc2A7hxlAtlppTUNS3DR5vlgPXm4XClOelkkMiJQnSJcifw5H3mxAb/RMD7djr
GhxMt2MFMR4IXlgORB1qKqJpRYzQsSAJqjZIoT2LtgX4+bvBMiD59pX1jcleJW5d2bvPx8axsb6u
UT98bFod1HRxHbaTdcieSbg09wvpq4Qo20m0VaL2MbSe/vH50d55pn81Qg7mw7DXVgsYNttVY2hf
hoFsMzdvll0nh2FvJlJsx0ASrDckSb0QqGY+oe5aE6gccx4AtjO1X2hhUaxLStgk/cHeeGaCWrH2
lucA/Za1TyhSn1Qkxb4RwqQZWdOfn/yxW3Uwt1JNpRVyxXbhNMnMJY0dYyKar5bafxp5yW+XClWk
z491dGQczKTzzEoBNAfbkRqbR8+d5dauxvkl1LM+55rrMx2U8ryoCoD7Sngll0LItOf81NWuQ/Av
ntQqff04MERJObfsEVe76sNmDs1WzZmdnLi+I4sc/2CO7eVANWFYDDCHoUROHL5DOviQhQu+wnSa
wvMOyDNozBY4qgBaix1E7Z5YYR35hBwiCG1n4Z3uUBWx/Qq6BjU1qV0KnpqGDCeu78iUewjHQGVP
eMtsFbtwnslXNyfTJbRurzJaGp1gs3+qqHdg+/r3dtZfr/HD+xvNDTRFQVjsSmRnx4ham29ds9Tn
ZhjHlLQ52UZ+ZW9MBXnkIiZ+2xBlZTzgqCAFnUCrCP0TqGWtOdMsdM9mZGiAvxjkf/NeH8xwUBm7
4xzhc10NjbjNCWruzkIqtKV85/HzsXTscR5MYXyOWiDEFN+NRUm3UCPrpLAj/9pTnh9/foh1VP7V
y3AwbUlT2VPochxCCnkWGgdiHKukG+LXdOt1nCQlc1SGvlx34ojHLupgsoH6tV+6aOQ7PD4wPyZS
nmHIysSDtvXESurAGf7n2DmYY6ALZtqrKLaqoVU8oM5dbzXy12+qYbVGM8tN577V9zhuv0envdiR
qegTn0ULhMeNSifPKTM/nMAipFOVek2gEpRrRqQWT6eqsUdeJO9gGlK0Hw0acBzVWB8lc+OXySzC
edMG6KSFfOm3nz/hY8c5mI/yoLdIyDB/D87so6Nez+dLSyFPxr46Keq5OvHJP/JcD1mxtG4gFOt9
jnKjWvbYNInYyqmVDWsCweeXcmTmPvTjtui4js4ChYLWBjkpI/Uux76Zs8//+rELWP/7hwnHCTTk
2TVtdkMAb6cHiEyWE3whohmt+793iIM5o+zb0VUVREyiAckX2OvwSnbLNfS75sTn9dhFHEwZjM4q
GuYKF1HQ6LorW+jM2mG50bo+9RSODaiDKcMq+ALqJK13rM/HxzxHUE83lc4+sJE3Aj3ouP/8Zh1Z
lRwGLePUh0mVrthBbHkfyO6KCRnETmtVqe7y2EaM0YlxdeymHUwXS4APi4Eqeuc1KGCThi+xCHsH
TYmCnjjEMZHGu+jsw+gaGWnGqNNiJwTEfMaa8jN74lYidEO2xkiI49e+GEG3ApDVFeKAtM2zoY7C
rAqjk+vyIw/vHXb74TSiwkdZoME2umiROB8bGo0yWdEdz3nfQjRPZjHsNckVhYpDfa9l6zz7SnZt
opXnvo6zZc5oCZOzV2LPAX1chW1ExBz0Yz5/6gfY3X/P3Yc2u9biPrb3EO66qo9Lsdj3s6egjxDT
hgzlkI0TCtvQH0LZG7RRIt2ZJujVqw1lysRehewi6LfmK17hMZrKa9BSD/snxZxoO/qkgNo9nzII
MJe0hmkkE0wgJQ4JMIORF72uZdzCuRwrD9mbaMle6JkFT0ER6W3N3HKj2HCOJwigz2jR1OOMXE22
TB1kkX9+A458kd/baB+eUNX1gnQOBgo0FmQvnAn7FCogvrUHbBYX8tNaOuzdh4H+vYn7MDRRlY5F
p9xjOx/SiKStCmCj3XncOGo6VXc44GH++VAPJj4F2W3hFku5g7MDqZdTNW86hi8eXJbsNR/Q4WnF
YqB47ZesbXL2TQXoWSFaWaBpt8xnFcmrOI8Gtl0MDBq1pPllzhTf1NUMpSSjN61XVbfl2L4OPuWb
zx/FsZflYDKN2LR4C8VZ51EX3gIfi/ICZoeE0AWyriH0TkzaR2a6Q757yey6ZAEJtwWdb0ARbbcl
lSoG8CaPcZdglYFY4vNLQlTxX6/4VlPAx88ctLlFGYEeuzMLtSFxV210zvvabuMKK+4lnWy1+ueq
gCZdbtWXDm+1Qj8MveHM9TlPUSuAxiuCCGNAkCMdnDicOiyfwBxs4sF36RlagzohvrXRA2MoPTZ4
kRKLVeYZj8sN4amx8u1YRnJPODaBMRxq01uh88HAbzwMN35v6WuUh937ynWmG9UH/lvRN4UDxL2u
ZALfaXBpIOzgMbwwqkgQU5Ffr2TdNtUWNXcMYgWdsi5o1cZir9AdNC18Lzm5akaHQ0xVl2jtERjH
ADHrBBJBR0DEfRdF33C24UngaG5OmcNLBjttFFY74MbRs7RCC8kwFPCRMMslDGjIwYjqHwGqdukU
+laY8smV3wZt8+8RMlfsxOoHijYfnG0zTm3Jv9t4rR5hVLwbg8Kc+TO6v9Kh1x0DlDVaZoIMvAHg
4EQjFQcNOxmSi9Y0th1XduHpOKcSChdcH39TVQVstWC5nwSuylUK1dmwCfq2+E7CQaLrmguIM31e
V0XmNp7z1R97clYVTZ8VRST7rV03qEs5BJGFcWkQnZZEXd7vXAuXww1oG0mEdUpxU2Pqd5ImV8JN
oLOYfrR2N+o7aGX7OxEKDfFJRKt8VY3R1z6XlZssPq12zPbcNm2cIIcNqZtrC0VvNpirkVrVW9MN
/tdqRskhtoIyzBG36onHSHAbbH9SlE+GF36YTCaa8lQtJgJgYJxEohfWvQg1Y15cymppoU+d9d6Z
hKtiG/qUBCqfnmygeQOkpVpIgOYUdC1VjAFpvs6O0zLYBXX0pSM5/2lBS8i38PzVCMyqZb6bxkYA
+j00ELp4M4RNsWdcAQERIHNgrrNReduqnM0DtpcNRIGK92KD7ae/QBNee9O2NMCyuK52SQYMqOcl
fhHySxPwxcG23Ni3hhVLmLQBHHWc0OILQ44nv4ycBoYYu5tsd4+4NNtBYjarmqyF0ZDue2k1L3z0
gj6Z1EifTUg3eQTNRALz23wTAZwMl2JFw61GNqebML7SRwKpkQ7uVPLCVN1cblDC7L/NmrPv0l7g
ENeVWEuWBUKXAmnTM40udZv0yC7JOlNU0Dpxh+jERVnrFm7HLtphLY+GcjRYYZWpocMDxafae6Gi
UF+sXMJ+i7ciPBPEmaakbBpbxkCFiOug9dXXXPX6HO0lsK1INPgiQZOW3jMurRIKa/S+0NCkg7hD
W6HdNsLyX3UwdynGApg3Kq+BnRnLnn9RTY4EPeWXWKGJesItoVKyjI9NC118D5XJZgR2luETnXeX
zEy83LhWJW9B6rbnJEKRy0+WkoLXMkSDQlsH5hYWt8XiQ52kTPlgwSgJQ50k9ReI4C0vnsoieomc
FmWFMvD6BeaUVfEGH61/vSB02KRtqYMqFeGYb6E+HYrMorm/bHpUjq+qeip1PGEG4TDGLg6mmk5b
8BNVEvpMVc2g3btW56SVC59I1i7RuPHsvHuASQoCf22HF6VrymhT0Hp8W2HdFPDxcNnMnCJ0yDgG
AhrPA5Bp8UgVxURgNNBRoynijuZSezJCOlHeRQmZcrYbcinImVJL5wF8bqDD7YqheqNUG5A0jKM2
EhXmb9QbbExd5TjjDvVaR3vXg+IwrqWPK8Dw1efTUrIohtzNv7YRI8RiOoxmX7sTEiAiyv1bvPU9
NLkF7UVSYyTP6cwik7RLo4YtQ8vmxff1ZVT3j8wO+JA6yCI6n4jFftT4fYwEyOPiwGn4tQfO0Wte
MJhjtOg62J4D4u+ReeGEG7fAPJXRhUPY0Nh+eNtNsuSb1l5L3FMVenHQY/UUF53SOda1I5pEsinn
lFLB0GetHQepcX2IGM7ZkGo31vl1z93wuna188BbNPGXEvSHuCddgKEoYJ2ObVT6cqgZG++iglIL
A70z+c1kV74Xe2PnfAtbqtrMlxDvQZ3YX8ucjJcTn79AAbw2ywEGf7DKxRIQKhfyrZqCdk4kpJIt
VP5l/VzRCifX8nJ2EpF7wxnKyfWSOBiy6dy1CO2aeGRbKRnBQoLG09wVgk7PrPXkvI1G1yJZUPoD
OGo9NzM2GhWdY3zSbeibWgaUCW5BrGnVvMA4qh+WtqmvOrca4R622dLFTWN6nk7IZtNJgIGzs1sJ
PH5btoDM2+FUKCQIKe5uO1gQXwu8u9+wMBhIXKNv20G4KvPVfcyGZW17onVu05yO6LCH+d5TDSq7
EEqoC8hF/BjSSBd+cGLFkIAiPWvowFLyibz7v1RjYGDVEG11I+onqIlwagg07Z4+XxAdYIz/vTQl
6+Lvw3rbhkw4sFBi3GrHPDDk0ySzLmC3gUU4IczWKdE+z4BZ5THBLLKvemOfm97Ad+yVTerKytqU
tv7++ekcWf0fwlimhXR1p02AKLoW0yTTwWZYGnlFedFuIV2tEA/O1Ybho3riiEcWuYfpSZjmxzIg
JawcligfCZxMqVtP+EbiBdujWz+dKMod2WS/N04+3GenBa2AEBNu/dFrsqIi1SXWQjrtCC9vP795
xw5xUJlYQGcphy6MtssyozREg+tqmiFyzpdTIqtjRzhcPIvacS10trZIX/4yCte9EZXTQMs02yeq
Hscex0EtApSCCg097MZC3pPMgDNx3k6tAwQQbbeOiqYTG4Eje47D0MV8cD3ZFWCZsrL4ih323nIM
1OZ18dbzdt6XwRieEEe9VwD/osZ8CAgPwOqx4coodrmCp7RvK3YT0kFfow0WxMu4ZrAGCvpkKZpL
uOTcpB2Yk5GimFKnH6wdVufY8pkBH1k+lhcaDNpHURsXNiTXpARL+Sxi0Gt6rTWnTIH2AVl8kJGK
BzcuwKobHqITHKBqDjlNE+6NJYZknL060zosNr3T9ykynaprtjh864ZdeZkjlgKxerO50FY3ZQX0
n/u6QiCVqYD8wJyPyE8j6qyEWSENFTzE2DqNkD3J+VTBaB1Sf3XX1gf34X3pWSWg76msbR80cu9g
YZRh31yk8FnK1Ms9AdrHDC9wWVpnko/2XeE4WEFEiCf5/G1y1m3uX53BwcyYi8rH97LJt37u5zAq
tJpdoYfpDvEAP80W+KqepAACUJAfPSm/B7mDUJRoMm/ACcyAgOViRqJdQ090XI64zd1Dsh2aTaUK
a/RDJo/ZmYGAMKl1aTZ/eJWXMbwZ3OB1inr3opo9f0c5WheE217aYTlx4zp0uoKWDA8/9+h9ZS3l
t89v1ZE99fu35cOzcgsGCrRlit1Q9c624VZ3CxncKdDnkSnhN/xlpJUztCTf2sOkL2aIoRMscs0G
CeewyMH38R8x1v78Eh50JN5hx8oO6BZqKMCBufPqmUpeUyzj9wji9SDqwaZLl4r+zU/C+hH8cNuw
i5iA7cQBsTUDvAoms5+o7wf7sOKvnz+YIyZT9x0X+OEQxvZk4fk+3YYa3cDGde20rYtyE3BHvoxB
CB3/qCuMDznsOCSB6Vi108v7wf+HbfFfzqr6Pg63uFcDqBb1R6rF+2/8C2vh/oNGNmKdgwj5xuAu
4HX6F58q+oeNqFbkL6DsRRHIjbH4T6xFAKjFyrpAUrEPFpX/gU/l/COCKxL+CNAw/JAg1eA/YFpg
H/rLvAc8VeCDwIeQa8cF740cpgUwQoZAOAHynTvuRHFHlhA2fSKgsq2qICo2kVN12NraOYpLkGg+
1UEznfssNwT2bCHynScc9ohyG8KiJJfNEpdeVZLEwe5yA9vZ+q8k6JtM+MgBFbqooYM3WE82Q+9w
BGkY8SysBUqVGtUMhPWEEs1tL6ztKc2NX5/PIH1/9yYFBapP51rF7hIWKi7J0IYplt+ErJv3tQck
YIeKG666axiK7DaZO+wTMtFOw7ZRq6eo5ZKJWBBUwlK8FxrNfKsOEbARDd5LpDVsdKZdgMdQARji
eyZDVEO1PVc9DNvNUt5iV7OA1MB8hDdGkaxo7LYCpNPIDbABQlk5fDVRVDw2ljHLxh7GekqcYqK3
Hpvyn55S7EvuG/llcFtcDnRj7tOgWHGHSMEJ7q9R1ZlySQ0P/Tvcxlo5N6JBswvFGnC3IKiqC6h7
Jp5H+46F03dUzcUT9FnBM+dNpxItiilILBp0fdo6gqu0o0S3abmyd5yVwkMXQ26wPMnvzMroaZmq
Vu1SWT3U7xAfW3L1gJoG0D4ucaOr/h34444R/cpXClAFvtiQUqbrbdfZEH40KzGIYTeExtjKERp0
xesYknjLSZHGrKYMhZ6gv4StCwgi/o4jkpQBTQQj6nAfvQOLUAxtvufvGCMiVskKq1a8EYOn4qd4
hx717wCk/h2GJN7BSKgXAZIUgkAGQ8Y7PGleOUogOK3NUw2CAlw3AC0JbdDngqELAKbI7fgPe6Uy
Ve+ApnnmdZcsAbNGINhWiFPwDnTKq6YNYvkOelpcD9An+x0AhTBzwKDyAZChtHmHRC3j4ofnBWyN
UTzBb1h8bxxl8TPQ8KafdeRN1r6zEK4YC6hH6ltWdR1qxkFFb+d3SBVxCaBrnjV8nSoI4s4cr7LF
PsiH/H7Uqs2xDppsxEAC1+b3L8AyBOJ8Jou+RxCnjp4acGpR0OXYZqLFhXXcDqvJ/B6+VDYmympc
aPJg2APJuAKW6s4KYMISsLQ1UZ9g07mYXeETdqVzdOpjxIkwWCdlBe9b4whXXBhizKXTklClxrZB
kJNsxL4eDn2IB2jHlvEmh30yALmBwPkgbIkCMGQOE+BJQVt4ZcKlEM1m7AWa/c0sHHWmmQ/mlW2h
OhiXdeNNKN/5jCUwn+kL2YILk3TGB/HdgriogU6dlDYeEehi0IP5+haiZHUvqF0W2WopG/dmqOSD
7CaABMZ6pG+NCTw3FbS0vsOwV15TbosxblG4tHAzhfvdQz332XTwdsZsYuYqxPYXFYq8mB66hfI6
sXtYI1FNChcr7pjQVloAjoV/J333bQAor4eTSgbfIEJGYbH3/fk79nr5V5u47Afkpe1PVDqUG3fC
XzwUHruZZ+2I3SEWurCvxJKGxQWQG8NwHrl5+ebbboO7h/bQNbAtqNZNLKiDq95DbRJwhAUsIVTl
oxe/QbMA+XxhNINoUlVizyJX3fY0gBaUCgdiYbQv+gZirwJ+6nYcSJRY6Hk+dBN2jlntueflaJBy
jV0BMgJRfvD9rVw4iP0jZ+Gqxw/lni60Uhl6pfWVT9pueIG4BKWleY08QWRdFI5xEYZ5nfVeGZ6Z
Ug0hqu2tBrMT6dgcUyB62MswPGPvgv838obeSmZ7sng2++YSXmbg24REfWaCkwrOtghFr0RNefeM
hol+Vm0zAcS/YCkYI66Qv+SaKpjxhU+nuDWQkWZTVOs6oQ1BuNQs+rnfRsOAiiCQcf0TkW37QwfN
8tbMln0NHTAQaFIMAUpzSFDByJ+kJWAxrfISbh0uZUxRpAeFz+mgWai4dH76xkfTRdUYiWmOx3U7
wpr8zKt8RjSxe1aFTYRcxRJ13kLU88bMU6BjCX3fgzfymcdKBt49wR9EPu4Ekw509a164SogcGYj
P+aFmxEFoNwrCEiQHLv5GK56vJtLUOdWPPM+2hOdO16sof591GPoQzoKszhLsfsPL/O6YHBXD7W6
JxbWhHEuPKa2sGvUX4Mc17eHFZ/CcTCPxRamV46Cv2VATRhDLXxUqHTxYME68qThUxwRf4plAPwh
aALfekLZsVXP3R1r4CeC0dQpUDDTgb8y0ZETB8UQSst/bMH+ZwX5XwSLruMLyD/oaPEPPKm3X+lo
6+/9cxkZgGXqhS4wppGHlijKvv9eRuJHQEggOAArTEz2zvqjfy4jXfIPpOjaQejbkPIQAMP/DUfD
jwh4ZiHKlij3AfT+H7HR3nXuf26ffcQVIB0TQF8HKx0sKd974h+2IL1CRGoHGNpmcso99Beol6rY
5JD8YllITDr5dwSkGV3OVyyClF2PW5xUDEYJwBPOpQjL7dqC6OdHDZQolgRJM0GdgWIE4hB2uYzS
yLLOOox46r554zMNK1iF1C4q2BPqYV8UkN95HyBMU+ycwU4ak4Si3cADjIUeT1DfjZmAtHwsnpgn
IRYfUuAM11cXyuQKzTkXjXj3otwLwKFgAsdSKzB4LWe0Meq1KtqIB6zHv4IjdrcUxdZwKyvpeB74
oEO5+OyUqcLfccyQfhgLWGfNrG0+EtN+3Q//fmMP2/N2AI13Lgd8Qdsz9LdiE9x4CvGWvb/5/Ei/
7ut/P9L68w+PsINzE55pPEJKQBz5pp0TO+535dqvYwSNDTtAhQZECgzIgwP0oQVMiTADKGCX+CIn
dXS/lLDI5rDgxyWcAqRNaIfFdF9edcW529abEtJ9Ia5HqIqxls5cyOyHqjiTlp8G+km5Ev6lxwkD
p0AhWY5QEuD3xdgm698a+/mC+msXh8Whe2vNMMu0IhEjZt25zdBeyKAHXUUwGRq+MSShO7jfYhcd
g9Y/62Gh/PwGH1Tf1zuMG4DAArwj0HyQ36rwa1cAi7ZhMwQwPrR8O73CEJ5Q9aRajZm6gRcGOx+A
S9FnbnBToAjZQLSSfX4evw+pX0/joOhWI8U1gOF+2AhgMQNK49kFqyPE9sonJ8bUryXk36/4oPjR
dp4G+nbCtOAuKQGpIPcFNlSnrmidGD9U7/51nAA7ZjDF/d9SdmkxwEFY4s5K8lB0/l7YeVwZiDPr
Dt++p4FeBM6SjN7ZYKu7xbpqW53J5YlQniwe7nVnx22e5TkWGvJEZXEtKP026hHc9a9TO6ime2Bq
aCnUsLFDPykmxIgVABXhA9v0DLx9aKwCK7M0u/s7D/nPw2Lm//g2U2ua807jIWPBmfpIMgFXPpGd
RtTRqXi23yeOdTz9eaiDKaqBXqaDLG3YzFhBQVQQs/r584s5dYSDmaNQgw3UCI5g5uchfJDqxNT0
128ErFo+rsKlh3p/kF6A4w4xySrnepxfVYjRAWQMPZUG8Jevw8o2XROL8c09eB14ONKpljhOjwQA
qrederSX+xP36l1U/duIg3IXOQeoREFY8eujlz6zbbvGiKuHEjOc2aA/HRccy8nFRindRk09hwxn
ibG43fDgXPp2vDB0s0P3cWI15tDwJ/H5NdQxUEFAIqKs6YselQTNaFhrpmvjm5ukzDWM5/5FPX0R
QAp5VbMpHDCOi+IaQoS0VmVWdf7W7t7YaDa2qgB6Wa7G8NXu3yxIN8qwO7M6+8wprkAqi+EJBk3Z
JB6MqEtmuW/S++LAGTPsgWUCP6FM+4XudYPzD/F293hr4CQCl33DlnxjarCOlm6fQ5NR2CFY0BCy
L4+95Zy50BlWttqNZq1YZEDvXJHmBwI8nPaFD+FP39OPoIjdI/fvbgy3I7kyfLpVVfhTKJoWIKhr
yMJyYd9DvgVkHmIIcONkEUJjPqQeehFc0dir7QwKujQwNwN8bZZ5Hko/tjx3i53Etu2WuAMrqmRX
BIBJDJGbeiyvSkkuyv4NCuB42YW3Y/+6evrwbVwvAayZTe5A2WPdqfZ7E7yy5Vl5T0NJ8XH6DsnT
TQ7TbjArbGopQDAQ5wDV3BoB/BfNsB/ZGCkulyk6h9N6a4ovpu83fdmercXoGrAxuDnsRVyKGWX2
sb1YhwuIED0HIskWWxBE7vB40gjfTIUvRf2urAetqyBvkZqA6cnvzQQyM7dDGTOnvEDr83KtRcUW
9tSuNvddb3YqlNupv88L8P7m85rItOt5pohJkAR9XkNP4VklVls7G4VBs34eOJ72NMRh6ycu8SGK
GaDXszA2XqxapHOBedwCZudtwv/EYV4emjmNXqC3ygJmMk6dfT96+5Cdox4X+2GxBz/LhfrLMfYG
97xhWIeOl579x4qgChJhgVzJkN9ZdgnhUA50LvLr6nTU9KHW19JHAw6Q7Rk5dVj2jeqFFNkghpiS
K2jvjH1je+gJYYsrZHHX1hpMfi+dQDG3XP0V8ih8/by4xY52Keu0Vci0Y82GCAjdFNy8ObkEEg12
Qei52uoKisvvpS2eubdcN0F7BV/VnTTRBaLGU9t7dXJ2FvrAWWEROqpXBcxW3QyPaNqD+fJF91i7
FF3C2pdx/mFgVLI7yB8nCG1DdHBH0IgHeU8W9KbtBQF9IHvfKKQUSfHm5F7sjvgeOg5Ct6D0g29l
ZFvPoF2gu60TYCVN+dVkgSxRQr0xJ8Eyp8KxsqpYLroKslcyntd9mxSku5xY89zhrylCsgixfsTC
GcTCQVARG4EOlbgPJosghwoCkB2sIp3FYwVIU9HXO2XVGJD+puyeEZ1ykys3K1ZCrJnTgXXJOIrL
KLo3SEHJbT+xbAjCJqgwkAQkLSQuYTFJZBKw6nao/b0xkHDM7r5kU8aHZlMFVuLb+aPrDTuASeB8
AL8FopGmyGpUaTzwJFALuK4sbOxbGyKmuos78KYgmganfgF/p94tbQAE+pKsV1hGI4T701aTZ70q
rZt7uF9LPJzOXMm2ueE13xdN/Qw92S0fh7NJ5hcAI8JebbaTdWEF6BZDeieXZ0HK1MVT8DFdj/OQ
aR9MNVQBu3bj4EBO12282uy9vNqAJbdzc7WfOMUrrDeeopmWYFm2NIvsGyw0UziQsFeANM4iyVyL
HbPShZkLN+ozsLS3ebkWLdkTxQRlleNFTX7aE0Xg201B1TnUIYkVgKrCLnzOblEfu3L7ZxQK7wY1
7bW+7CKZQpSeWcA1z6TZrOE5drNvCBKZqnLrYrozYroCAelxyJtEOJCeB/raCevLZaVAo0eeQ3FC
oDXh8n5gevf5V/DAFYUVITa1If5BhRcNFCTa/PoRtOblPUtt2Pi8hVQPuwBIYn2UgdqIxjapNnWD
LSEiI6fZiy1VpkgvzbyoOC+1fTlhrTRE+sYqHksTnji13xaEB2d28HkO0SmpsCCDirVGlt6QX9s5
aIViiX35WOFZUllvxvE/cyz9fj8Olh6rq2iYZTdsrAmKdO8R0M4tdHSnFrvrWu+Xtcd6cY6HjhKM
PchOOWivonjowBFd4uJCwNFUsPMtrLbVeKPsIWuhHW4nmjnGXK8LAPT+sxlwSLqoc91HXxkeReVm
KLJCGVwmoTonkLr6ECyue/TC+LGHcQWJwxevd7FphH/En1MXf7W33/zCx1sT7E3wON6N/GF03Hii
LCmlg1CHDDBFbAk1dHn5ALVqGdttmTne1y7PXA+rEyYzhT5CF5nNXKAkGsxXgzveeBAgRu4PaKRv
CkverO9c4OhHn9VfARFN/YXdVJJmFa0vc3DlKDOPReBkETW3siPPBtmoYXEfsKWOp2Ha1PNyLy07
LbTaAa7xOJvgK5iFdwu2JjYZQIRCMip2Y10ofk5AaSiF5neN7lNbprLGQgMfElfghS7cU5vTE0/u
fYv1YfuPKTAfZrtah+WVjTmxGO49a7OWcaIlutC4x8ujOlOy3WLuzenr5+/rOuh/HTfgcb4Xo9CP
9PxD9oDso8kfPBy9bbdoQG26fXHFa/8CnOQ/huj/gzLjQ1vjn8P0hV8imY6mOayn8/oh6+mfp/f/
M25p5TycqkIm7Wsr/9f/Pv/xo+IN+z8fm9rrr/9RjKTBP9CtBgBq3cXAAbH2x/9oaeMnKENSH/uo
AIbuD5VIy0HfmhD8ToSwBgR+4Xf+Gbj03+x913LjSLbtr0ycd0zAm4fzcDITjk6kKFHmhSEL7wkQ
wNfflayZ2ypUjRA9XT3dHVPNllQSDRJptl17bRDR/x2ZcbwBnZo1A/2SjF+T0r5QiPyylUwEAGS0
e5DgyqFNuYhN9bXkB8AenJKWIrs6CAi0bhkHXoQ0i3yVZf4JfDsZy/J9ivL/EtVPKlIQJ09XlvrY
geZWIVW4yEcYYzQC1B9ApAhYfE88I5W4qE3oWRvtgU0VnjSrmn2HBpeCKxw9WM65QbUKahR2pslC
3THiRZ37ynl1hEwK7SOKFFKG9pRZvyxHPyoceE/RgKQruh2tw6VxaG6y1/5Je++fcldQN0O2i+KH
QfWz44y3OwnEfTtDEyENXtqgPoYqisvRcPhxeEMW+LF6BO2fdie+dSExnqWSGc/FY/HYviF+i34u
4zMyGOE+o8HRaYc3YLIKGVlvlN8juOCd42Ubv+jci6mAD1s3Csp8naHwT4kLcgqtfUiF9wFQ9gwg
7j7ewpD7sFe3X1b3Y5T0Uj30yaJPicOMtGwUkKPCzTHuy3oH4mvRXGoC6h+28Ec2YC/emfftKrsZ
D8mDYoNcOEFrKlp1FIAFC34QckkpKa/PsCNh+IEQHFhnvPE3DnMSDPqDhjm3QcxJ8OgvsEHmpILJ
1d9H9fZfJxW+joFdhAKASCZSRZZuiuiS+fUEmSJyvMg5K2hPedYYUAoxyTr0iz1qkGaj+ati0N9e
bSKkf+PVJj1AvlxOU0G3r+kKgu/f0E6pI2iXu0h1W6q7Az3bKo1ZjNbwFrVsiHg64qHRiAHJwnij
3M/PvaTzgz2RT9aHAVxgWB+2H2C1Y4mMreqq7tkWbZh2qFpDi2uUsyAupt0P9LQSU3JSaXdjPvWv
IPqTb2VQG6EfBzhfT0QA+nZR7i0RfQRpMLo1WpU9Rwvgi8ClisB6dZu9BbuTRDMd3j9NboUNihBP
y+hWPKM8ieB78tYhDvaPX9SS9CBhzuCmAWyAcg9i2HDr66OdNDbywSdkZW6C1ekdfb2EW2EdX58j
gno7ZRFsg4fxCTT1rUrzzZl11wFqlVO6OpJ2VR/0lJYpWRlwxO+lQ/PauWBvujsvQZ5/XRE9JdE1
mDBVjYgauUEDpYIEFUjJKehRUT8DftTxAZ1Q0eQM1u47ylGC9/IlfylfaqBWAv4/Ev765lUEkb5X
dzYoIZOGKuUtj+Og4THPI9JaA7sFASAnf5SXEUPd9hnohZC0+xM4nVkETogl+HjTORt6dpkn8v3n
Mv8Vl3lOmhgT9Vj/YGnyta/0D2GmiTzAb8qAgU5CG1XXS2Y4pKoLAse3s6xuh76KAOtoRs+qFZkK
ijrHCTd3yYly+BGXnHBn/eM2kS3WNU2Ukc6YqIhEk5PKQkmviyAB7VlDb+5GO9zQfziEcMC+36J1
9kITc/jfvtAlvztVArrFnRJ4uChWn8wi6q1DoMYq1QVb/JEqZnEmOVAKFH2nPDnqe5Qk9qiJsRqd
KuhJ5KBvBHgRUN9GAG0ybQ2se0zOh8wflLBchIIqUhWAJAClwsrRB0jeelOBG4vqJkRyfETl1jG5
6WU1dVA0PBfrucDKP7udyQLlTYJ8EJiyXEuhGZqnEbGnI7wmlMKBYd1EWxUa5CyNGGetRaNPIt73
Ee2rLRTHERDfHDX16/wpzQjCQsk/uyr/y3X97jH9ON2TdQ1As2fFGcY3wLL3hQjfUN2cIhq5r6/M
e90zPfm+hG9gXp2fu3Xv1utophxobsk1nrj+oPf/4ksO8PlXt/OfXnK+4z7ZkdpEMBdhlqPxHcy8
6glUB+jQWz6BYiJcz7Uvn9ta2sSb+D221ty9TnLi//a9TlArX+SwgdIwGUX1/L+J1Gq6MAUuNVHd
+3uRXl0BQEgeHm73+5moxGVxpov38ToTcRKYud5Z/DrDIrg++SGtiLg4uuBx9Z9Lv/ZVmO06hYHs
N6QnruAq9EhKAttuVW5y8vS0YLbg2gsdfwSRw6Ykd6iJJjnZoMCbWLNG/YTn5duJmcoXtP2JqgLy
pUDNwzXk3xEY1p3lgAo+tBPUAFLRr9F0N6L5rlxUV4CliSo1KnK8NfzPHYy5sVxKgz7ImeB3HMvc
hrno2w9j+Xc3zHf19ocNc2Gh+nAdLQwQisywYToHyC990Tz6UDIFOjSQMrVnOexm53hy6M9x1Ygi
mjK4J9a/ZOhfeZXeVBHVZKaELIwY9B1Ii9DaJvaUCKw/N+h/2Y20YhXgCnCX5nA3cyfmshAfJuAP
PzGzK8bxMR8G/FtX7LIDPhEplxrLD9dr9Bbt3yPskDyjhYuKoISiXkll0rsCbCkB5TTAHb/xJE7E
5e++S2YnYSJXf8QkfC+AaBmyhRwg1IalT4nglDiRxnNTqi5jjwV5LJ2zu34EqTO7d2JG3gKbAEvB
zKsHugMXL/H2+41CTTIwbznQe495tzHxPl8YxeQz/81u+GVQ6sQWS1vASEGsoLqiaxAAdxAI0nfo
OOCg9avbDqRDWg6/NYti2SxwkO/1NVB7O/TyfsErSyp4A47+yVHIQXBeQSH0oDE0o/KOtPISgrT6
7RHOye5o7w4plba6PSwQL/F8gQrUZLqvs4T2nski90QMii/7RNxtQGKnX4bO20g7e6SAx9hv9VJV
iHqzRWhKsGE7vxXrI1O3J/ImUNdPXMNGqQHTCbUfUEKDj0dh06vJ3kC7TWxakwUaADnhM1T1c+Ci
7Sg+FQUZbkRfttqaZKutyQxbs32AB3yDlhiHzlJiN86JiD5aBeHPKl7ROBaN3OMqv4twSZ1p18aG
h8vA8ePfxe+nRevcdbRf4H5eEvqis9XDmd1tTHKH8Ba9215n1FVxuZwU/pkBf0LcOzy1aiKiLRa2
SfByVFLw2JvoFH5OFpv9bpcRUOA4GtHtZWPzxz2gYmT52l8B/Ou0tGaNfWLLlr4eZIh+UJVAucf0
VcP7wKNi1yxfgTnauV+2ZJ36yAozKAh2pvfrJdiIWWUjOnQVrpb5in9YyWon9M+L7r56H9AzpiBn
OiziVeyjR/WZIvND2kVMBaffyggfxqthoVzxy/IRHilQo/QA0DAeCXndPGju8cokT957Sw4HcYfW
JT0RCalW6IuAOS5tQJbv7YfEP9k66ezCf2gYaqvYuDg7xhrTLNCe+AFxBzIQL6feGfc3cxK4afjZ
QZhY8WU7IkfNTyeog+0Ud4obWDt+4Ubkat2z0clXZ5ttDReA9sVD49vSAkN0BsembMbqm5MU6sRk
/49Iirn5mSh69HesTn19mR++qY5r4+psrwXSkIo+goiZAXNFF0/DitogdHHuciI6wXa1WOx3M9Mz
L7QmZv5PofVTaP13Cq2J7fh7Hso5+TAJwP6e8lPmmIpvhDnSWrpmXSBX07ydoJ6OY4hCC+immtVM
dLl+bOzO6ZzWRj85Z8TP7NA7QOy6Z8qfGxYVtOTp8jqekeLPoabPAcjYlxzJMRco1qAS0xzZDikI
YOzIjpkADJVx3XkAfVPAJhkQsfgZwaLWdsj4gPDXqJ38AGJxqpNVy+zO1had/RQwi5k216S6G/to
7L0HT9eqY5Jzxl9LmjHkaeCzw2JAp1UGabqJSUhunxT6BOjlxcWH0eC+ZdTcFtCO14m7vVbZCYZR
R64LupLBBrCyNtWL4o50BU2bk9V2dfegIygQEi+F+XAoCOjkLlobavp1eQDFG0E8wyCwAAeqkV1L
XvncvPMB7d+hvvE8isguRsXr62tK4wWN7cQJnNTNYLyqZHCAU7L5tISsua3Y4OhOxkqXGwUmNVjq
fq63sZ4zaz0x5SNQmuYBGnq4JVavxey11MQXX3kFqpyv5LJjPMPJl1FdnO3Sz33TRd8bNtiKIyL1
CMI0WsIKj2zNS53ADh1QOzJ0DcBChyzBgivMcEIsP/9b5YIQFMGM2InshqZ4Hq920OXUHr3MTfBs
7yVr+LylxcSrrIBJIzojTNDEqVbDPeC4+F+9ktzaBmTeH+2BwdI/2jKRnd5Gg15Y06D95TeDB/pd
Y6sdcRs6vgYb1hszYHFXNqjpl5WtXOmu5IgIBKV+55TsSPFOBI5rbLDEKRzU8HslpTnwNHbokepG
9MeNsitWlS+vTi4N7YDlFAFgMmI40iL3IkJgntsoTXcy2zn7p81pIzooMVjgk9Y7BvQbDRcZ3lUs
TWxhbnqemEhTGJIwDGl06PB7ahesxyeimBG2dERV7OOTfcJULBF3ggEqu4Vt2jq+0KSQwWjnhweB
Ac9YWavI8SyKfg43w1XrkMgPfBqS2A3nts+sqJgErH6Kir+sqJBELgqmNv4HtTB1do9glEgiE6Ki
cxoIisbW3Q4Cv3eOu/4fiuGIsyRDRvBnUNnqcvkgMdEecALBw0QHoCRALO5krkBfOjis2LS2H4G6
7L6BO9Cy0c4YqJLxaGlKU3fB8vVpffb1+x77GT1/EIcdF8MVYAcMpyKwc0eB9Qz/Aqd3oEj+4yPV
K5Fs5PvwGhyOC8s/uScXh89RXKCvAAItfCT1qXk5OZB2czAUY0Z9Tgn46y4Gcc25Vl0FIQF+olsK
T359plw9trb2Mjqg74NaHB0w+fqgI8WsKExhXE7yh07R2Zy2bsoyzB5afNgpa9zYCTFvAf4dQFIG
9pEdWY+fgV24oB20U6dxK1d65rIXRVo0h3yNWeGGe/6+DOgU/tpoF0H5AlLHqjXeB9krPfNPkLzY
qfD+kGFt7IwemYAJ75aZy1/15ZXNG39FgUfo8O/BInWiheRVLn7iipFd0cbNMO4I65I6FU3xHSVb
+Mrs0sGYcI85tEDqtBgBl/pHFuI+Mhdf68zl98MjF8EiZqNX8PE4/CfGiTsp8Cp+5cvXFdcT/H0Q
tpvOyyByudg1YECgxxyN6DbxM9gMq5Fy+wGlQjtt0fjpdXyt3hc+xDd062nT3EgL1JI7oCZ024uR
08Oz58YMgEoMNCpujlVQKRgWoOXAYIHYkkl1O3WLi4wu2GmDptCQ5ly7yFivwOP7EYS30IyAhtuo
LqE1FdmRxNcalZBQSBhobreRkzigG7FZvAthnAhMgHrnqquCQqidoz14qRtApQ3OwDI8d3IQSeAG
hYqxdg5X1aHL4xQm9pfBYju/HphEV6ZTvmswLEDZugY9NBuItkVudxGwfQHUj4sWRzR3zevYjRjU
/BF67UhhlAw4Wza4yamGmURKxkIUqKDCGtST1HIrv1k1K8PdryuoyhpqbH2GDpUx8Jom7F5yNNx0
gwlq7BLbnp+vox0B/AQWYRoACLX0luidSw78Dk1MDIaM4TMPnSChdnng64Rzj4Icu2UFQlulbexQ
jYdrWzaB6usIMRA1GOmtd4Seh13mIRTuN76yaFaSK9+rL/pLw4aXADuzYckKGHPPh1+Nij/uaBOZ
wvzKyBKhHLYenXuns4U1lhaWZ+AqbrQVFr2b2vQ9h3x4f0/p7hXpdLq/3TzF5Pb2TF5h9R2xYLT1
4lt9w5bc2pPISK55iKUhN/wqoDcmKGaiFsxDA+GeDMbhAQwADGEQxrdZZZ89axtghcGFirngAgAN
3rCkGjPxchRzs9w9e8WywMJwWchn64ilqbAPBoK+VAS7g60AvEJ47+woi9BbYCW5OY4CdOw6vpmQ
LccWOlJQgeDfMd6QQriOdgU7kxpu4RuuhIlTFvq9gNBQ7uK26EZmGh0wMSsaejy8R2zLtVG7dhVc
vRd2AiMCXendHA/g2nALXFAr+KuFJUSloo0etlSYCVmAg2xG9UxCOmppokFX3yBPconWVbZ88Un4
geUWKj8UyKBc/JP+nvse/EAXGygfBw3TbM0ZWX2jORJTqbSSIGDbTbA08PvJF20FlD0eKHVwdnW6
5maqtiqdZ4m0t5BiDHRZXLpBqnE5BovVyZ1k0boV5B2s191w27r1PmXtunHBPo6/cWkISbwsXMhp
SOYYEhj8AZDYwKDZCWKbqJe5POBmWCVVr/qdvJf30ap9kDbaOlkFvrbp7goXHO94l2XzECkiq1tU
R0GGQ3ZzSU8wNi5loRkSF6xIkHwCVCr/bBQz0mClElR82SpsWGwbL3BMHDK+SjzACNt6KdkobD2c
HbwK4dwO7zlvwVns90tIZjfdgxsan3XyELBlCNydbFiw+W3AUtjYiEvfne9qF/T5sDsjyLcEn49d
YMeuCfES4xAPUNojdtNTTSnM6hrbE+uEFQzd5jmFUwOS8h38OJx/7gLFruQjGopdiHApt27xs3P4
StcItXLVyUUzj67zfyHMCJVfAchTIxgL7xQbETaDG10NiHEK+MTcBesvPuXysGMI7QobmCvlFpMB
bn8bDQ0xTG5Ug9PaPcPdKt83wEI6xooHaVHxBjEWwHbHUwysSfgOd8PhlniLEGuPWeNvBx0ZfAUL
PodC+BHmx9WCwLbgpgaYkRRznlJlm91BzPlHmsGdwVphJ2QQbdzhheMJxChPYJzw+dzdaX2RUEhw
HCfjooouM+MJ+Ejj4bwUfNQWQhrg4aSLzj1Ry883IsCS+aFbaGssFw+6k/BJ2EGR28e9juQAttIG
zeN9fF22ogm46heF2pPyLsEQuBOhbUym4Isr1+T26AvXUMzL7Lbz+iVXzHzD8U8Q4JocL0YFjBIn
Z5HHncERh+gZnnfjNyh/iAj0EB58NWIIbdlZyY5hv/CNHMEoOLshXEAYHZiCbDWu26vS9SInpzR9
axGoNrG66K6KleNiLMJWBuMKeA4IfcU+xgTx2VavQ5fvau4hV3d8tqEV4exgr99wNSTc8Nfyv6Lv
jcf/DToHV77mmpN7g6ELNwreIF5Nse1mDMJZH1udBH9/+tg/few224JW4NT87/9Ic+7EJFxv6Aa6
158RjYth/HLhjq5J9ImLSXk9B8oEs8mMpuXPf8hv/3RefjovP52Xn87LT+flX2HBeQT0s6jZJLMj
CVkWWFx8A2qAmLTvGrCJZ4oA564xAQj9W9eYd8ImqYKfTthPJ+ynEwa766cT9sc7YbNW9CRR9Zus
aGNGHk9LNESxSjKrR6YE1GOXvEfp88R5vlKueGKVI8eQfyQIViC7Cwo/5BDR+AkeKlLrTLXBPo9g
amKPiMPw+PaXqBFweiZ7eeNx2YS+FaCceb0bFwhvo17S1lwQjiB/AuwcQI8FQ6cphJd5oPoSGkYo
Ysn94znc1+ydTnBff907nU1/XTLpHzyj/9L0l2R9d/PrCqcNFtFmYgohP9foLSd3J775Ea1DvI7H
3A6H18NAnxFULYCCOOAPJUM0fQmY4BnfFR5a5/E+xKH8kT1fj+SqwksbiqD6jUCuACVY5Ff5VeOa
29OdvFU2yrrfqTfooY2AdgXkiIF0VYPQEtluty8pUoVbRDVTskUoalyMC9EHJnUxuhUDvS4QdgWi
o6Ej0cIfAGatGK/66OFchw7BuzsyLh5SYuze3/ch2SMNgLEK7DViu3fkABTcA1i+Easf6IHDNgVn
eVgi8L1qyZG+vsYU2A9k/hD9P9TsgNQG4oIav2FAOIEKaflP/gy/+90Bc3GZI3zyycE3vIKDCnav
n4M9vh9F/7AyE98+jRIrMZNWBVaZP5ZI+dDHs92zgtwbxLlBIc5dRwJy3ZObSy27C/AysVcE+JcV
EDS3qJGxA3JkEVIePG3XIbnioD8ggnwREhO4lxgx18MroDbDZdbegX2J7feBfH4nlxTqN0b1hzuZ
GNW9MghaLyMfoD+W98c3wKzd88LYR0/6TtzJu37b2CCn60OGzngofRQt0ktUGImxNvcoDlRlUIbw
apr+uXjRkeRjaBCAhoIN2H4TisJBeafb3Zl0D5+PW+GRvs/GPTHUrbYx0IMdZ2PYSOhcwt54CjSj
LxJyRiwg0ToK6G3mIKZrCyzZJ/twLROeuYuQEeIxbY4P/nxMlwK7z8Y0MetPdaAqSclzK8hQqRSZ
KKRCFOe0MoHj4vk8AGJI412wJiDKIyfJRl81Vbo7Owtgl1AxhcwmsoDNJSmjYM/HGCowMcgRnZHC
TNfIGcFqyl3tASWqM1sBXEAzc8qf/yCXY7RCMiIB4+fZAhPj5Ula5A3WHPIzIGXLswM8PwQuOWDF
gmsOX+qQiTsekPsBHu10xdFozW2Knzy9zZPMR6SfeTqdw5l4+puD7Pl+R3cZZN/dGr2EVabsgpva
WlYqqxSSI/A8eGg25jfIYKJP5apHlO5Jvxptj0N+TFpC3SPxi1U0kThtkPfrnEs6DUFoPuLU7y+w
JBBvAr+mXnG8QmcrCxEmAtgVgSNzz8vX16P9/n67esvc6y1opfOc4PxBRkUM30Kcwf27xRog1Hh0
nMe8ud7n38+IfCNvjURB6/HfeRaIx8qRXkRwHUS4iCgiZfsbt5c8KZFo1Tw6Dgq2fEbECwYB9boe
n97zreKBDhDZs4iENIIogeBdLCAx9iUdSElvRXKbsdvbfYEkx+UOIRN3r685au+4jPz8HHzfQvxF
plwKND/sI7HPo05pMdDqOr1SdVhdQJq5nVtwFJgLhjc2ruS7mYvOactLhdiHq/7Ulv8pbTm7HyZZ
mx+yH+aEsTwJ9v9xp2VO7F6QgR827k+x++cSuxML6U+m1ecMpQtRxIfd9Z8wlOaMzinV+p/F6Jwz
+6f9+P68Zr/BownfmKqGIXNGMc3UlYl01IoqAOkITD1z99gBuXNV9J5/le+bteQB5M3egKSwU/KW
rANYcsAesPYWMHoaLWBeeNkC2B4CsA/cu5eegpEVWDJwVrm6M64LRGJiAqBet04uuIqc8iqD8NaC
5R0lNNyVbpGTeFdXZJfC00Ox5owpO3t7E//sL3Z7F8LVb1bP5P0p0ZvUQB3v14a6mTVZdOIGlohO
YzctIDLqncHuuWnOsbA9gzFO6xu4H3BAEi9Z6hesaEXbNceBxg4vE+nAXgNSXtIaAFoBt8eLB1h8
BZCVk63BWI34F8AzyJBzwCWgPFTBmga0dwNUEBQS+KtdTXKs1v7ckJu9uYm18Je6OeW7yO8PKzc5
d4OYBLmsduDrMBDsWO4OiGsc7uFHA3snIgriulsVEZeOXqKTW3e7K1EuI1H4IzPuBFdbn+2hyRGp
jmAySjWM5MrxF/vP13D2Nic683e8TY3P6Gf3OQkUoJthpLc1QjWVzbGkyWZEkMaJIL2eefDl2d/I
5Olh5QaoH40W/gYhG7DT4JmrZ4Ad8bKCIobGwwqD/ai4ja862VZe6Z6+NL1sH6B3off57PERfTbi
SRhhREO7wuwxYnDbOksE9D7/+EkLki/UKOaHPThx809JoaJnJKRHbYEMiiQDTQ7PvJhMWqlUxM8c
CEzN4whNjkRPmeQ50pLDxrkHHzohu27QvvO9RlU+Ihagradoe4johULT69GuCcBppDvbx+vPBz4z
L9bU/+11UQhHzEu2e0Dp2G7Owf6+1vhlYqxJCL6s+vCkVLjA8oQq4hGoULBl0QKxPYRQBXLDd8YI
3/sZcVXHJy4q2dDWhGjOM5o1kjf8/7YF181tTR5K2LQ1wShR0MYjhCG88EVNrqELUeC0RxzvXSQi
YHnvM6ur8Fn4ZPdYE90glKMQiyFuAlJlwODvLXJfIQDMo8WPa/4XtLPgcFYo+JO9euCLJ7g1YZ8v
1ty5syZi/M9/7iwuST5Yyr/23M1t34nAbX/49p0I3b/m9p2I699r+85oR2sig3+VdpwTwJdI1oeN
9qcRwN8lzDNNJKIMUVXA/DiRwHkiSI2mn1X3OUR5UuMWIO5BsPEOso7uYaLcQt4x1FLwJNVM5YIk
coHxrWD75eIT6ZyOJ7kQlB71tRmtNjEqikbUwg72+sLsdYUGhF4OsD2H81sopkIvWo7z3GsohHpe
1vugRu9C9JSEIgfwGjVdXMKDU0PxOnZ8ACTd2WxE3IfM3mPcReeaS/SdgyeToSqnYArdi/jn4Pcu
LzWKEbCPHNFDH2ISoIoESRoeaI1t2Uvg/2RObKNRCMWTqP6QYUDLTGQye+J2dIUnPhe24N2cmZyJ
1B+qCCyUR6wMM1BJjb4WF4m/LKB6BpiV/FcRon/9iI6GqKbhtTWoNsZfDHL/zywWr8LuUVuuOFxH
FITXBjxaeGeFP3OriVfi8HpE/mmPFcFzXx7hlr8G/MFwCm9QAgYQP4f5l0hmIGVoy0gOmqiIGmmP
8i6eZQflFv8dcH9UJKEs3EDFQHcpsDjjXaidyonlfkHvSwsJCqoHH83nU/Yv9NMv22min7JAytoi
wXYS4SVV5DkgfkWvbwKYejANG5Izh/+B75HMzv3Hx7uB3SkUzHUljJ6np1cw2ECHx+R1976IsOtL
GmIzZGxubWc3/kQv/Tdt/O/SRn2USBOlWqF/UVdmWMWLOc8jFfzBF42bb7Fz49+ghgi1RCggvxj9
Edb35vm5gmG2ez8cQD3w9maC+ymBP3z0uYWHetrV4v39HbWEe4++C0jH8sVdyISfZ7pHiV6EEp0S
dXi5iwI3nq+NF/vQHsiMzJu9u4lG/2vd3bzQmuj6n0JrVmhNzJI/TGjNWgoTH/OHWgrfNbTRWVtC
QxtJVi7BiQ/m1fGoR+nQQxdCS6EjJo50AQEPqruRLJ50RyTpYkZGf5dyFm1W//8lJ7cbycJJj2Vc
MjSk1140wUph1mjAcnpWQ5SfdlLnZrFUsyTJMicfwZGqSqAaVRNiier9+Qyi/SrLG7TLK7dZJz+X
Ibps5UPtakbSEOvciXMj/q7B8MuI1Ykpl8VJoh0bCE4wkXSowwUkJ6Slr5BhjfggWh13XgkakNsn
DkpYbALw889o4EuU/xuD7sMQJgZdhmaKg65iCHCsuYi+DmxeKMfp7FLCaWF43WAAnNAO1tX+PQUW
4nMbQOZW0WcjmFhNWd82SVhhBGvuHb/u1pwQ8coBp98JFsrqdhGT3cwl5+Z9anb8+Hm/MJl/dtcT
e6Ip29NZEHDXklPBkgMurKKIfSHUUQFWULkjzgsnRgCTT0fObIM6Pm4aZmSXA00QMQAkBg9Lwq1f
DWF/RDkAUno/fD5T35d1H7bHRLX3ZicIco5hHqCtn7mFCasMZidCGtykvWduR8FHVJItJ1l8UUEs
xGkb3U3N/RBe2O15N9wS4EM/83gMRSH64fC+f/98pLMbma/5B4Hz4zfy7JJONOkftKRzYpJ3Lfs4
UX+8mJw7rRO5ngWJck5K7MGMrLcr7/N9M/PhU2zzr/vwS6OJT075BR/xYVPGvYJGqmeoJJyWBgdY
Ak0JiEloso7vTmTFq+Ajmm4KQKpaUI6BXwN0XyXZgJyBI55eecbhwf78jufO9BT5+8edaWnGiJiS
yP8II2JGG10m78OK/QBtNLtJJjI2GyO0Aq35JhEpqMQCAHlhLUEDNJRT33KdIJDHnsHndzWA6AYE
QBLnuAEW0QWWcY/afDpjmcyOaSpN/wxjmsjXH3mYfodemf/XNqf6KY2e8r+Rtn57av9WvP9tf3o6
Rc0pemmmTTT/hO0xeZ/If90e04mG6GM3TP7qL90wBckw/y4rosp7p/2zEaZkqH/XFTRRMyVDMdEh
EwcxL+pT+L//w9tdqrpkmZYqymhRbFnYff9shSlLfzcUXUdvH1GTVUuUlV/TClPilt4vAlpDP1UR
0H5VMVRJlmVrCoKpzDQ6aUBeHwalGhZWgO5hSo5sJXrI9qCgaGrtKlTy8SrRswHtw812IwBW6Sd9
2NP+JIwv6RBnNx/mbfvl6h9bNUrc5p4MSpN1XRJVtC5CkHey0YU4CAPxLBgHVY4V/6SC5qhJ42Kp
joZFOssE65FQ5M4Yy6adRmkQEaFEt+hTks00Z+FG6GQgpilrBlZIES10Lf7aVDiOsnLMrVY6HPM6
tcMgBA0R2kbPqOAL+unry0hYTEVSsZ5AwUx18ICG48eT3B0PwjEN0PhMAWA4Q/f1MTR0khxPptvr
p6UqWyOVm/H81pc14PpHzfD1OImpktRoVi1VrdtnaKej52Pgm+fj0cs7S3ZPTYTG71nXL/VU6NEx
vVIdSQyb2+xUZjlpstiy1byubPTGDNzPV3LCJ8i3FwpvJE0WZd2UVUBFvp5AbTjJWaeqxkHI82XZ
CkyL6k0hRasqR8siI/ck9PjRB42VBdzjMKLK0DG1hYHfV14YtLYqHh1ZAddTbiyyrHDi2PD6otuf
0OC+FI5ohwzidWH9+bC/XXY+agCSTB3dAPHPr0ctH4NCOZ9O5iGU9coTzMQiQ1k1M5Pz3aug362q
Y4OZsjhVe/2x0M0oNw+D1mrUiOWRDI3RO5/fywT3elkC3pgFTQ0lCQ231cllAqVCT6lUDu+6dIh2
rZTqAfDufdfRJEibHfrEV6KjmHF0GOqyLZgln+t1aIo1qNcSNQd7WS2fR/uYKinKaMZWyuxCR6/M
mXF+ZzZkVbRUS9VU2UAHrK/nPEnrtFGM7HiIy1KwLQGVCfLQaOTz2fjeUcM+VDHhIu8hPT3R57IW
g/AkHA+mqUheV0TlspLFkoq5dkIPek2iZROjvWFcNu6Y9yYdTpW8t6okf9DkaGBCroFctA4j9K7N
X6Owsbxzn4/b+KQnRA+7Ex1aXVlZZSM47diNLC51yRnaLEcDq5O4Q3vvfiHHcrH6/MYuA5/IEFlF
DzRZsnDm5On85Vkky+2I+ROP6XlRD7gTvR6eoYYS19TznLZFCr7fvgS7V5XU69woKlIUqXotxJK+
aMVAoFqURDMTDqX3tQQ1cPo1HX2dNQky9JJW+GBOan2gmmgsH9wFshos+0gCP5AgKkvzWBXLoVYK
CrFWr5usadnnM8IttK8mhF9Zt4BMUyVFR2fNrzfUSRlbPQrj4C4z0V9AsvS9IcRvdX4U/FOsz3Va
4SppejUdwTcdahQK/YIn+3if5yJRlA6nzEqTmlqFMbL2rKCapsgaVlYlmnRGlTKjOLjjN7moLpmG
YhgqNyAuRuyHiwYFLA6rsMzDES3yNmFUGjRX1Bzd4vLi3ggtwx7U/E5px9HVunM3c2K54JheHfIE
XdllQwG19ERLx9KYwLIrIb+CTkP36/QxFAtQ7Q3JXMeUSWQBMsxAnZAsg94G7QwlVZ9cqlItSUu1
yDoIXd2iVq1qdDfIpfNzV7WhV6GFtnE2DU86V8+mNQ67Yyt5Y91rzAqM907MUFCo6MVWieTHtj+O
nlCpDzCuDGcU5JYMctKxIc0FJ1WT90S1oo2iouOzlCfgXdTRvaeIjvVSa5W7URxEu7TiExkGWbWl
VjCWUVNE9mDW5XKURPAWj7qtGu22Sq3aLzIBdXRFlD0NhQbuNVE7+UV9Bg1kU4L7q44bKqkj6JSl
QZw5ed/ZkYYG5aUqsCRl42L5fdgcjaH1Slf2xiHXasuRu7Sys+yIGsEqQwGlbiK9mmVzhEPf2ZGG
JQLXJSq8GdgUExprgVgqpW4dFKXQV32nK0wycsHLIEv9YhhA5zxWJZPQufLqWJ3bmQPxnTPPW8jD
hDKxZZRpEcNJE1GalCbYJ6EikjaTT9tO6TxFRD+RyGhb/3MRc+mZNTkCpsytBMVEe3pIuK9lTB0l
sW4NoXXQozHfmq3YMiVSRNboDRLVoXZ2EqMGr7k5KDTpiobop/Ow+H/UfcmO5Liy5a889J4PokSK
5KI3GtxjjsjJPbM2QlZlpkjN8/T1fRT10C9dHh1CNtCL3lQVcC+CLg5mx44dM9v5EVdoWcCyOphk
Ty3hWmLLsUx5O46El+SUlTkLmk6UD3lF62Pa5JMXCae5s5fMebBng6aBU6cOvS71TWvVeqdtyVu7
Ly3OAWkUXcduXe6GSQc28bISp6ml2ZEBn3oqKcunZOYfu8Wi4fsf/sYFR9IVmRXAS0fR7UD3ZB7Z
UBSOPDVmwkQ3zMM8JLK0Hogzu8csme2nUbk/3l/zCqXgsxjiMXg0C9ZoC6bGbGwWRkd5ai2N6T2m
+N5MqdzxXNdBmbAt+BJ08seZ4lptXZcYVJ52ozmXpBq8cqmHsEud+XYcXfdjJJr2hjpquovzGk6t
ac1RU5vcVUZ1TzmUg+FAxmonErqOyVY/yuEm2RqxIly8PNzMKgpIX1rgi74oQpfOw0MyjEtA0yi7
6fhsHbXjoC+0qU1QGznetSMdj3Wn551jf+uXcApPIBmGdVO2xc1lSbM8LktzFgWmqs2Z7m5UWQ3P
CGCjvwS3h9BMojiWnKkbrvP0rhgG6tWF7o7vX4ZrbGOjvlBIrhR+C8L1yy0BH2PZU1SbMydJjWaS
XUo/1zTWmIKdaSTTVtTXeU0e63Mn+9LZ4aheCz0urQ9DVMpW1MewDWACLohsNqF+YlDDcI7SevHL
ynbCsSxjX7K29gFRx5uRRMO5Nhk6WKZLcYSgrP4kaSHPScSmh34a2r+4q6rnlNnxp362Bk92WXPX
LnCIQ9HmL6aVbVC4mni9GwlvmKfmps7sxU9zTo+J6guvSC20Z8yaIZho6u44sWuTwpgNiwLAbq1P
YvOJtMz0XFIrP9dlNAVVk9lHmdhuUNZqOLaTPe3s6fX7RnQNtIpmBwKR+FW82mRLWwmNI80H4zVI
kh4dotmOm7qOyQSQmc0V3vcaXr5qgH/zzW6dFdminPI8u7PEdHN+Z+fKBlBYptBJZieol6kPLbsg
zzkf42Nt2h+jsa1/kjQzt7LL0Z9TtuZkc4w4f/9SX6M6hOkYzAYjjhDoCmqVeUa63C7Ss21iJyji
Mg3KpnQ+WBVq6t9f6vr9MOEALAMsYDWx9ReN01eTXdrFeZmL4mVsyurvfk5qT+YV+oi20nygdtcf
jFrEnoW99plMrKGxg4ezus0NoBwxS7pd7DY7g3q2P8UcBsIREwmtzp3RTGAs/04i6viAj+WPDjR8
ICRB3UlL6R9f8DVis/H5sCXKstYL+dtNqEeuUYjBizOhJPXpEGE+mVsGolCV11rV7lja6+NdwzGQ
fjZbWUdrE2ZzO8+Sws4xr81ZpnPHl+TY5lZ33zkt8qhSDB9qOuKh5w2K6Zt2fOot/TLMjbkVU4ZS
gIgjutGIkAudkztTTQA2yYg+uZmJH1uJES8Gg2iOPJdzkOSR5am5n+4dt2o+VPVodm7QNQSAEcfO
QQSqhJTbaD4uMyuieavP7TRmn9sE42UsFstgqBt1HOy2CRaeyD3Ate7Rpd0Fc4B5Og62Ef/clgDk
pZRGR1lyhq9MX6KMirsyGqxjwv+S7t+NVTRhTpL5Plny4SkpRL1zZ66NFBfABXg0/5LAm8vbdrY1
Ymx1doZ77AI2V6036mrY2ds3bgoiaLxKMDIoR9jGz3NuicWtRXpmVpuBm5uG+zSpxNFmbrPj0t9c
CsDVUo6N07Q2wLHRrpjGPsvOWVnmXiuiOnAS50vCXbGz0hvQykV8junqFOYXoN25fG/KEJfwOc3P
YxyjYTj4gQPpa3QRHh10J04Jpga0/VciKnmYu7l76dMJffT7UYeNy0yoCjXuhNHXp+naDkgDJakD
bOWuVvI3C2DSiTQsyfGLolYdc/B4/qLIXrB+/VJc8F6uRBzN8fmvIpTfVhE0onNFx/w8yMo8DGLA
iB85FYcWU6JvFOt5AC3GuHNRr7y3dFDcKZQL/pyB5NyeKy5Vtmg5n4lwfva80YdeLiysksUJ06bP
dlzXdTiG9ZBQBnCWDqfuNplhWbHsrLRczn2emXBy1RCCVgUPHtfFXbzE1CNLh/5bztQ/FP0Sg6Jh
+U5MeHWc8tWZ4WW6oCyufoO9YlMZMfs8ChtDk8QweWmRuDuP88p1Im+Dtktgjy0kbpAnubw04IPq
wiJOdR5smGbSUv5gTfMYlBHrQyJ61D3xNrqxzfTpfZ99eaRAmkg9YW8tIVYy2dpucUrZ2PRStV9i
7j7QPvnQjsno5ZqeTJH/en+tTfbg38WkRSGhEzhU51Vv/tulndnc5bSK+y/5whu0b+p45RG3SY+u
cjAetVTzMZOdG9QShkI1lD3HeVuEqSD8tuzs6MCWpjhaSeR6fdFh5JUe2mOad42fS5Mit1DQB6C7
CKh3LgIEUuh1X8zyWPOW+3XbTjue41XP9t+eAx8kHcAquHlwJAz/3FgfgwdIlmjpT3NF8rucpMh2
47I8RlmdozDA2KGax8F3SA2SPQZv4thOezMYJEkYz8SpE7YJLcaqsJDJEEoXHjXNi/Rkiaw49vXY
POFuy7ts4jLs2jH9RIBmQ1nX6EXHosZL0FrnHlmNX1OipmNdRM7ZTkTtgy1P/pFKs8TrJjRSooVI
7xgGx93LuEG9meY0NJlVHaZ6RNsZCqbx/bO+fDb/7gxqOdb7tULi7ZDPrBvpXEvRn8Y2QWGD22Fy
yoil3l9lA7zXZQD5cHMRXFtI7bzWrf12o+xI56pjkXWaB2nj+2fM9JgKFvRDOXxd5hQdsBbDD3VD
+E1kZLbeDHMkU2Y8G8HIQ5s3+aHp3S6YHVHt/LrrPWAgjoEqcHsZGICNJ5ARaebcHfHjFDoBMYoe
V0iBqT0XePWEsQfIRAtXISEEELyxykWiW2p6bp3kGGOoA6BpwIa+8fqMZc/IYONbaaRl6Dhd5WNf
6r8sm0hvITPmMXALClbeu35USZp5PU+fkHgYd3ZiNV+X7wRc2so3cMpBbLubd8K0GSwjCT2lCecB
wjTpEzPa2BM++Lwv0HGo5vrYk/iHbPFM3r8ll3BkvSTgOXATGQYmIrTeNquoolKT0o3tUyan5K4X
Ewa2xWAtc710O4dxfRZrEh+0HayqhYqmjR2PumppqqxwTogs8gPrKQYwlFnhO5UdP+bA6Dsbu6oK
tjuLeBqQDpVTCmzOZkEHeeAJft8BaR+xb3POnFurcapnRVs0vgOlECQzhp4j0+/cErJgjEqTR4el
T9OXNG2mPwIIrzuNaATfTxkgJjzmpRvTVkoMNsc5mbGaA1DimAaCaMhz0o4FRY+eb398srjxIMQF
sowIHdYX+PvzL9BHJa2Fc4KBj+6BEnGHyok+odQs39vpSxf977ch/Q1uEvknYLvNM+NRL/Ohxx3u
21I8L2CJg2EkH9wxdsOFjeJJW5V1tkQiDk6WYeqWamwfIesM1qb5bJc4heRvlHqXEmONOMVkj4nu
OaQ3fyPeGKUOVCBQo1zuh5vluloiRk/jYLOPzCmmx7EtMWeo6tHVDNnfQ56UIiiHJXl5/yTWnd68
cFhhF8oYhRnwyCFdrkwQP8WsUBS2zrYPY2pjbI1cmts/XgVshgVUSCX+JdeX/tt5c7GwdDGEnWSn
qZdIsKmtztKdo37jW3B9V/kGMssuUm6Xq4hJJ0rHGT+1NtwkK4vPDRv2SOE3jBIDepcgZUCFgRK7
XISSpqRynPmJutq9jS2CGUd9Wdy7SWF9+PNdkwyyG5fCMIltW5Y5hVLIWbBUV2jMOyuQvCycvN/x
+G/cPRC4OBfcPqQvt2kLBGIaLREmdjIAOsclFuKYlwn/MM5jej+X1fRQWshdO42yds6LvtqVze1z
XSYBz8EuQuuxufdJ6XbJ4LjsRPtJ6dCKyIxBR3kXf88y3HpPw6k4PqFVcm/MkHxpOiI/gsaq79zc
yH+Ai+vHKnPVmeq4KfxloNF3UrTkQ+zw6rmrMtl6pBCHjlnIsie1MJFfZMnydz7rhPsWt9LvCzAn
Dd3Z5NK3UxcsAfK31YNabEw8rYcETmCkKcoXK9l8p9wBH0kMl/fFIHkohSo82CAEp3MfVTrolmpq
PNV0/J/IROJvVQ8o/WgXB7WmMe9m50Frg6rKArxmkPG+KkMqWre+bzLw6b6RjfWdOYP4gRGgFQ+n
ZcIYpyQnnZ/SssaMQp22n2bWmU8O6yuGrF4ZvURO+6jLtMz8zpkL67bpmPhHuRLZGFO1YwjAOJpj
ssTgjxPapuiLGpXJveLpqLxImQFzkwraPaR1VBVeDea88SerEN/mEdcSKkJbHnRhKORAswOsHGVD
u4RtNjltUJdO9lQDiR1X6SgGBbVs6dBGhjfnLpVgpGrkxPVhrEe4Uz5Fxfclh16oQ64svi1GG/sX
ObPzY5g6MF+AdTC+beE+1cjnmUNW9UXj9/k4pV6pksQBrVU28JCLtsyNbfXRpwHbn3luWgyneCDu
L9Vn5MY4Sfm8xim3sKo0vx3iovnhRLmMPSev0Il0IoNtoYdp1H+xs2TC8MzI7b5U9TJijhjt+q9y
kvwmsSdOPe404keqs+XBmdoaeedKdMBmZTKgpLUrUsB2M+unmtZZ7fWE15lfsWi5ZcNSIUHNivml
ybujmCdm38xJmwJA9ZGTe/nUzF+HmtjCt1DNdZfFTjl5U8k7yBSSeBq8zI7qbzbuI4Jl2qFIOae8
9gVpGhSiQhvzaywnsGvUZHbnWdbinGXVpB8jvSzKaxLDHrrYslDAPCciDZg7yWe7qyLfokJ/pXnu
dB5k2O4h7oqk98Flt4jYlqXciSAvWY9XHwxPD3EAUmnWmkW4NJpkGcgAThPCOviWL1M5Q/Cm6olE
3oTL76VQeoV9wczhfQO6LYReESRy7yD2kS6TSJxtPEIm2mrSEY9Orhz5Y22i+qwKYqfewJtfdcPR
y7PskzBGVi+oxr4OhoxFN3Fusw+SmyK0ZQVZQo3YD09S3qWlY3Y843ZnkFiEFRdIYzIX3ncba/RN
ZDtlkXanlA/mKY3bLJRDIny2tLGvUkY/Ao7ssc9vLcrhkMEhgFUE13d5HBZwmbT6fADaFYmf2ALV
4LGNcZsoW1UHMRQ/3j+HLbpePxIcIRKW6yHwrfhoqOx+nkg9nKKlPjYSkf2UzDGUULS5gThox6HZ
l7ywXBPwa+C2JiZBgoJmvPy8mhXu7Ax8OI3LMB6Yu2DsM/Stz7o0w00Cz+C3vEWHAGXQMz5PohuN
GM+PGsf2kyqpgw55bF/oTIX44XVYIO/okzJPQm2S9lFFAuPq+nne8YZvHAoUDCt6ec2wbTUMLGtb
pbkZT6k9u4chZ/KFapvisRf0xq57zBMdnT213xsn46xIBhwsYi1Ioy+3CvTLmHV1MZ5U3dQ3syTk
ZoDmz4MOdQySbsh3gP8b662qQiBOBL9UvM5C/g0IDmnWtY5up1Mcux9NYtdIiMbcTyt1F7O52Vlt
/fW/wwtcBLk2tAOdjSge+oTN13WLHkFTTae2IX2otY59VzV7EcYb34TvAZkE9A4WcFs8OTgxGdOp
nk5FV6NXMp/zu250P8IddPcI0fce75vLCZyVsnBkdJsyA1yzRGzs6bQkTe5DdILh7JBF386k+gHi
qdx5TW/sIUgyiGuA0sD+bfWM5TSMY7QU82mUTB8gWkbfXhHTL39sIeAdhIKhhq4M33Z5UoVLZFTk
fD5ZHf/Os/5F2cPPeJ5+imkodmL9jUTz1T5A7OvAHCHFrK4Ev7GWYqogIDnlYu4DO01Q3yrIEg4J
WiDOotI3IxCXR+RgbofBoOa1cKZA6CL22wxDtSuL66AARnh/D7aRBQg3BWsFKhFN/OApNylBZTLS
FDPtTyQehkMlEyfoiCVvrBIu//2lruiHdS0BKwl1lmUhDbmJYpCg48ZEsj/1gOAexNvkc62j5GGs
3Cp02hK6BWeCJlQNmHih6Hw3sbY6RkuV3XZA4sf/m58DuwDKHkkhJEQvjz+jJSSLTA/gA0h9u9hw
vVBrjE+5ZpM3L+Ce2qF0IMaHds+OJhbk/VIHPS3aG9MX445+yr6+89gdzp31xq/gYbM71VDmsegI
6GEoru+tASUXfAKUVdAkBK69GI/pHIT2nEmvys3wNJkIk5xlAiw7j5bfVE0olg5TSJHO9SVJ7ed2
yWTIK06e+rbI7pbMRjN6G3wapIBT0Gudel1WjjtqoW1stx4zDDsohfV7UD5xua+9yoeBQBZ6srMl
8ctSOU8pQ4ildWd5Uit0Kkce4Z4l7PT+iTpvXWYUaqx2Cr4FfODlytbgNPDQ5XCC6agCxHXLZ8hU
AY8nYX1yhgS91BvGDyOv52NrT+lxztU3k0T2h36pqnPJExESQEKfxZY5ggsmnkopD5sRiW/pEILq
BIWbyxlmxTaaHdx6iPzS5bm3KF1+kVkvvRyPDekn03hUN/09rRzAf6GXsHIZpmg0c/ZCbBv96Nt5
3sF111eIQZ1lI7uPRJjjbJUlqe4goB3NfOJyTg6LU44IPA3fOd/rXWYwGCBI19IFYKyNGGxuSmvM
jbucYl72PmkG4UGJVNzWqOneMRlvfBAmsEIegXzeCuE31gmtRxExd5Z16qHsPLbLUB8ymUfB+/fm
rQ/iQMOrfBvmma/O7zd8ECNFi0g8pSeoX6THUQzlLZV6kTnd7SyKv3SJDaCYhh5XuDgopNE2bzx1
RIP8Rw32faA3Vkpr36X5h2rmdy7Iv53Nu36HSHRTqMOgyQTBd2XawezSJmqdU+qmwiPxjO6es9s8
WhT8XtQl1s1cWuU5s5Y9juUaLWBlODsXWkmk2bcbupCmRwyvnZMaY/G5jdl3qi3rBzGqD5QQ444l
f+P8AEogPUbKFcT9aw+b386vZYXsqnh2TlZu0cBqjDgaif6QNnH7L+9fFdyI6yME7ELpHcOtAEu2
OULqTnEzJ5E4aRnft3VVyNA0XfzQlSCrUCHCxOcp6drUZymRnyjTFoRUbldLfxnd4k7ZEVTm5QwQ
iu65AL2IgbgDfkBm6Is1lYVGXG8l30DXxl8agZKNm5bRhgYOQ/zqJ6qqwI3neeLVjRwqrysm7fix
KUcXLEUxJiEjgBVwosyZPYmuo3diTMVHaCHhu+xKeS0yjaeuM9AsznEJthdQFSJ1clO1ovwoorzr
Ua6gOYpX6uFjNWal68cjNt6zwUu1gbto+6tbUmeCKmimXzWrP458StF00+4SjNvJSfYtYWnSHyWK
DzovhivNgrKdoaqvDH5bPLXk1laW03g660wgKoFwuLe6DzyBOB+cyzzYNwwu7HMPoP4DOWnyMk75
gpkWooq+zHOqFOJ3a9B+DfXWnVWXgFNaDxGgsJWjr23TQKXfQO6PIUDgtChcTtYxry5VhSyD4T2o
lBSUq5+64/Rhri0Qc3wx1crhxOl9n3UU2sYy/Ub7mfwN6wACDoVhFexp5t7QdIHdtyt3bD1epnry
lJ3kf0EtBC5m5T25X84L+VZAD/q5qVmKMjfX2IWXwXNCH9Qs7RfQtyO08BBSfbKsKb7vSJwdmznu
PrWWXP6igozNsdUFRR/PjDUg3di4uEcJ3WfiZ1CnTKHbDpp9KRZTR8+Rigc0Qq2MfobqwvxZJc+K
XhmqaSCsUNA+IV+wwUoU3HOFmprlVJjW74Rb3RRpKg+ddshhxjvzkLiigbCSnad97QAwegpZAjDS
wIyI5C9Nc214mU2aqFM9QXyKpr4uMOJutcS1vVqrYEG8rhlR6Nw2b7piS0SGsiMnwLPujim3Pdpj
SXzJa0xm52wPCV8bLKwH/IvCzzWAYxuHM5aRFgbNRU6VhIg5Ks3kDa3z1KLs8LBnr67MFZZCugsl
UGp1BZulaIRy0akR5GRaoe+1oktIwWgGluiQ2qkdTLBJVPwx6Uz33LGu+BVXcR4oPjpB4lZkr1Dt
Unq53qP15wiFxw2BDAqILs8Tmb4eMMEmp2Zx56DTtXlpm2i+Q4GA8Gonqg94+tpbWMzvGrcCyYnb
7XeL2eME3rpYUIHCCyPKRN5mA2JoQVIT23F8Rh+aNOjZAqIy6iPv/e1/46DhCRH0QAqEsohtYRhY
6saMonNPttao+HEyHbazbR/dqptu3l/qjQ9yXcEs1IShDOOqBDDi7kzKqFenJOvZrR0XaVBpKNDf
X2Wjsno9QHelUVzo55DdXEvaf8dKuRpTOaSo8WG2jjyrN+39lOftASZ4Dm2FxIVbaDtc4hH9qsuF
B66eyU76cFME8PojoKXhbFWGA7G5G2uU1E2aOnGjz5EeIOxvRRE9IMqZMWzLsDKGeGF1k3aUE2RF
+urLgtLa6g6vQH6xFUG9yPubshqhS1S3Vr2gBgV1++iEv4XddVpbcaRLlDmKZrF9VFzF9cFeKl4G
mkTGCaus76y7to5V/MdLI0kHXy5BJSLy2RbLx7acpgJ280So2wcGOSsfunXlt2n+LW2dn5hbScL3
v3ZlRS6/Fv0H1No1AOUUcAWb8C4hveUua716Pc3OzwzC4LXMoa1PmmUECoaoHhykEFRX+i43Nkaw
FZCK7WDb69uOgmYoGaGDhZwRgo3La+iWvTIGIq9TYjEdsC5p7xhBKcL7n/oGaXO5zIYhWlwIT5Ic
y9SqQqYKnUo8AdNxL2qbvgiSY8rYJJsveQZVLMYkLgEiFuFlqdFPVeOiFLCf6+e5TuROCLZRsq4v
AJYUrhFJZxv+ansIfRvRpTcWORHbLQ/4v2WPzEL2Jde6esjcRYUp6pMCY/LGL+Ieo8HIMv1F7HpC
dXKCzrXxGO8En29tFmjv1c5B82khJ355Jk2toiUeprXexRmPKepTwmjFuQRdIvx2HpByKdCFrpPj
T+iJ1XPFRjcAToTNn5jjM9lmXqfk+MeGEfHbaxYIPlfBeF3+rDKKbRcZJqSBBmf0QJfmQYW6vJ1X
se3Ws54IIscVrCAwgMhk41B0jnrHyVQoKiB58pnUC/llG7uaQ1PTzIJinia+Rio5iHtnweyRqOiP
jpX0sVdpJ1GezVr1opDu/UCgFhFBWxnu0WSyTNhFk9hhm976uWg9gI1BsQvYar6x41RHwi1SmZyd
OZVPy4L0HJnT+AnWHb0VFghkHEHaj62OzB2fARj0POR3zBKpl7qsPZS1VR0tF1XNvG8SXy1m6L0J
QoWdh/7WrQLnjD4gyKZZLgShl8c3C1Bd2p7kqZoXzHDLchd8qF0/MRTZ/x1P0fBDTw37VsZZF7S0
A3bn7QQVKEof1+4ZKN/lJXgc8EV7wvVr1AiDCyEV0lagu8RVBdaS9IShUQpKL1OC3MnyDUIax4sZ
QR+rUumde3wliIVehgLIvbK1LsPpXe6EIU6tVb9Ep8qS+W1qNzEyvi2mD48Gk4H7LveTMo+8Rs/L
sY15fuyzKH6GdgBDHPEsjo4oMJOVNsSzBpQNtoVGj0gwEh/r3p69DCjmy1DL7sjVaEEVYeEvxzIJ
leiJH8d5dnrfuF6bcKTLHAmFF6TvyNBubGs16NJCU5X0nEJAcTMKLe9oWX5/f5F1Ty6d1Sr2At4U
UKJDXrrZM8YiOpHRSs96spWn45wH4D77oKFy3oPa144RAiCkRnAVYAggxL08HzsxxUziKD1XVLte
3Vt2QJKieWjysgstvI8bAlz1UFZNE6CLuHUnomkArdhTT8OEhfGSu8+ovaShzN02EHESh62joiNH
iuxTbC27lfVv3GBw/pCoKYhvIdPfvC3Qt1lcFUtyBnR0IXqOTPY1n6baXvt9jukqOamfoa+ozryH
O/YslWa3Q9NOEMmwuUe5D6sO1VTqhzGao898FJH2Cp7kH2FLJrCgfElPg47UhzGv0kcywRZ5ywzi
IizsSn9EpYWFgv60JlDY9k70kKiozn1aduiEE7et+Q6OM9cQYBpckw7EO8Ueu4HKzeQL/Ik7mRZ5
h5B7yD81TNbo6d3NtPHdbuozMOc2CqnwgCmB6mHongua9d+sOi4gt8m6Ya+k7a3tBAyDD4BwdAXj
lxeg5ZxkcI3JmRdUHxTPm6ACM/X3mJY6xNpJ+P7lfms9qOPRKArsyyotv1yPRDZyYowkKAVy3cCp
KxNI9EvyGWtUaM/TtBOMvwH+kdZck4Aos4AF2irYy4mIpaJJh34erQ3yZpbqrHsxfx7GQWM2OZL+
jyjzRyVwnmUEsh/LoKPPUGQR2cG99PqxKRDcaHWC1D6yDGrzsPEXuepqMpxBrjS3BbPY51KO6lCN
1Z2LcqI7YBD+gvoBdNCX8T+1hn7bKGjYrb5pbhfK49Ca8dTUREfg5rI9ghpNwmRc/kLkk+/0FLoy
QxA5wkVAkYD4jPK1pdfvUZOEuHzKkg6dEXIgSAOKK128Mf8vVPz/oB/bc/Wz+NQ1P392j9+r/w+6
r631/f/n7mth233/Ubb/cfj542fz+l8/fv7Ho/mnKYufMBK/N2Zb/9C/jdmA1/4TzCGqMoAKV9U9
Dm382Xb/838gjPpPuCaI49fGCg4izP/dnY1a/7mGvc7aBUDiP9Yc5381Z6P4X1z4MZRxghWGYXL/
pDfbJqbE+wJUxa2FUAfVwvi7lzdmlZLlqirSR3Sv8Knswjgl3mCBQsxtL1aff9uul38d4u9N1za+
+N/V0Bhp7TsHh2Bt7udiZkrmZEgfSzLcNL2D6pgd5udqBeRwgF5QbIt6TQTLG1s1DXUNVV3OHp3I
sn2dj7mP3PPu/CTsym/uHiQRCvtwppCVwixe9d3OpSADl1n3WPGs8tKes7Bu8v449pUO6wX8rawp
28PSq5vcrAoQAx0BYDT4ra2yqTOFqUqURT22gEoPNCp+VWLOghTNeW6bYpyBNlh8i1rfJJiXCoKT
SsvJLwb3T/tZr9+Plnm4l6DXkC3bjnVRtjMSpH+bx64w8lAumJEXOQ39SlIR30RjF4cqs9mBGQdD
mxXBFA1QJ2E7tINfWwO9naY0DefMSe8FXyv+DWBJMdcVWocMX8uClUFfjugJUPfySHOIxzzjsuHe
RZ7pY0R0opGjLjs/yyf6IYMz37lEW6v/X9+3OldARhvB7+WrWHqibHSiaB9l2QVOhO4qgMvgMeMu
PiTobvUhtybMhOmTMUQRMgSOw0qNQ30VUPTvCoU9f4Yyv/wKTn5+idBmI3AnF0mEcuhus1G6Ow5z
46DxcxG2IPTEtV9blPDNpc+LGV0g4Boe0dHCPY6iF4cJgihQ2KMKeYM84/vP+Ho9FOYh9oRpgp9G
dnazPXUu8oU45pEkf9WJAzBkkP4IkAzfWWgbPuLLLlfaBNWjNYtpcrESu4NWep3Y5vqlD9CDoV4S
7drjxGvuyqDyf/z5FyLLh+zb2nVDbiFWZRE3nhZuHk13EIt+MAWSPXK+n9mejOs1pXH5qtHuBSk+
B5ko2Kwtb2B3Om3S2TaPHUbPm4/JZ/VcPLh3uPP0a/KAAejH4mF6to/iUB1QEflTPaoPT9VTeWs/
Y6Ql633+a8RAj2cTvL8FG+TzuvW//67NpUqhNDQ1ChsenfF+pikk+m5Imu4YjcshMZjzBkl5oncA
zJX5RrsAVKcp9JRCngS1epc3iy2ktqPeTI/Q7f1i6XzkqJPauVRXt/d1DYQhULXh3TibaIT2bWUV
TjY9unXiUYkh7T1MEHuZ0p/v7+CWPwYfun7Nf68EJ/47HEsSDeF1g5UcD0OF7iC5Dv7hGC3aPu+F
BFeHhZWAUlFuCG+O8vYNJxajkD5zI6yUIInkRCMk6ahEnb8Py9m0Q5jhkdZihxxc397FxX1dEwVO
KzuKsvoNdGDZ4kQD6jYeVQaeCbpj1HOFQj9K9anNqM/rHau8t94WPJDOUQPFejpCRiArH4elOMT0
l9tFt7GqHu10Z8G3LiO67DHEIIBc+Nfl8Vn2IKbaLadHOurpdsRp+yKTy851vDo6hXwtruKqeATb
ojbGNM7KPht5Wz+JAUO7NIoOjAwUrB2K5r24R6edUt+iic4O4XW1m6/LAv29qoitbdn8gnpANiV1
/USU+WCR9NBFxl9EG9Z2+Rf6C3pxZ//5l0L+izZaa14HyrzNc6gFoejXhS+tUZMCCukWObxDy9Eg
739R923LjetYlr/S0e+sIAleJ6bngaQky05Ldqad6fQLI2+HBAkSvIPE18+CT3elBWnEyKqnqapT
l6g4uQUC2NiXtdcyuzi1q8fRrW/7cH/9Fp5dd6TCAN1gBgyAQBQitSekol04APm3HKiTJpj23qTd
zi8soKHrH9ct6Yh83D816AOiBQsPLf6pbWXAWefkRJJ75944OrfiUN6i3GE/pTUwWrG1w0T1xvGj
0YyJu7Kd6o9+fxn/Nq2MWk6I0UvNW8+cLHbYu+ReAt7tIRZ0UetdkAH2lQOAwpqoykVzqpwD+mS0
hfRQNJwEJXNmkPssMONCPICHaMfEcocmVGm3yJT+mWQ9/L2Ka1nD29reGdN20KPg4aPNm7G7wHi1
1tRW9XuO8QSEeOofuOSA9WjbZvvNQKgJgt9WpONm5BLs7wuGka+vQrnD0x1CWxxBO/4CB/bZAJ8C
11C74tmhBq3Utm77V85KdlMslGyvW7qwHlhBEI4EEn7F1x5RDkhAJXNJDxg6ovc5YEvJlJO1qp5+
r+D1ATAmoBOx1ajFW+j2Dg2VWYsCLi71MTcIqPDygDzJqbG+03wGXNRkr9cXpfsrmEOqizFOhLcY
eNUjMqebilyC7fKISjjgLPlRVCRCaSVZevuTaKxonFau84UFIlV92y7UvRChnbr/ps1lW7RTfySE
8WiwxN7NJGTvMv+unfyP15d3djqwPMSZaOsSkEGhyHZqrOe8RpOh648D3LFDBITWHJBRh+6K0NrZ
2cBjA0yXC3Qg/oWn+9ROWjZAapK+P46M39HxrjLD3fWVrFnQbhMI6opyTmGh9YFFM49BXa74ugvf
Sg094BjbqHHha52uoeGTb0/Z0B99BG+GeWv3e4Ou8STorU+8+PhSv63oLA6V1UMmt4QV57k5+mYk
v5Q8NiBR9UjBkBaxXyJN+Fq/+cyvaka12BT0VwtHGb8/AtaLMTzD2qRoiQHytvZeXLhOuLtgXAIQ
Ff+mv4p9aLR9oM4bnxskp/zBSQ0RFSXkhMAsZQzQ7BLTz+snQ4901BdFPyyEu0bUYb+14N55jDyz
GNiHZHcMlthuI/9AipseFBxZNEJkdVzxgmdJvDIHrARYOBRFMygWTo+JJ1Pg91y3wwa6N81DJiGW
Su7kXXmf7eSu3JPb8Fa+Gj8FcO6/+Jfra710C94b15yH01WYwZhg3MTMJ+EPoGhNrlu4tIMAygGR
odiKQ137rUq5mKYKFvCeJLkLRhoQs5LMpfAc8pAu9Suv6YoTvnApXOWiMDcAjhmUwLTziaJeYE/E
EMfZshImpwegrz70Vp9Y3IknW6B86Gy78nU2y43Hw0gIFwMmKxHd+f13UZJHZQbkRyCb0ue6MEgy
LX5H5dGy6tjv0mSY9264clgvLRUvDmYIgR4D/eVZtNoFM8WnX46WHaVo8lixQyL7R/AyH0TUfp8+
d8/1Wrvh/MnByt7Z1E5Nb5VgyxEZVoZxnA7ECBXmaOsJ1//h+uFR9ePTaETRCQNChHcbGRwQC6eX
o5UUVc3GkscKjmaKvDaqgsT+6b9OLKqrpP9AnuUaL9r5nTi1qfb13f1PwYSSleYiIfYB+PT8pRnW
mKHf8tyTIEtblva8EQtNfAaEypFs+5jctfdzZKBUhHzxztgbCYXsKd0tIqI8ovtuV/2V78KnoF65
mmsL1Z7Avm8yJAmzPIY5vbXnG+BYV1LTtwD7bKGqRKKQaRiP0C6itP1yxMC2PC63JgbEd/xz/nPq
9jkHFjsSO/Yp+HSwNsaj+SMdI+PReCwO3efyqU3CjReld+NKWHFW6kDfCQUViCuA+RE4Ib2PIFOw
Y7VuZR7Lz6g6WOCW2Sjmnk/EiPyvayndxbv53pq2zWUD0m2wqcDaX9NPl+zddhf2wAFGDrScygg4
jOWG0226kojozE6ICU5XqW0syQNnJAJ2q7/oR3ebb52k3HsP/l3+iX7I72QbmV/mlat67ueVzRDD
HAh9MWCuRTuAmedLZsCm+Zfjfyinm2rPyCc81mTF0FmxVa0OoHGAO3Gq1DDH6f0cW5fj1fKW4/wy
bOk3/0n+CO/4xzKL6J35vHQJZh3AkOYBHv+yRqp+6cqoaS60bVAGASXsqW3XSMOQLulylLYXzUZs
y7Wo8UI8oJb324S2eb7DGh/YteVo3rqQ+Zq3y1/Nh/qDvetv632xd3blTetsyKEu9rSJ1phI1hao
BfiLyCu76nIJ2DwzomY2tu3I1hj7LhoBq64KW1H10NUSAgb60hriBUfDwXUQZdy3K3HNpbdXsVD/
jwVtGUYFRoeGwe/03WdJyzu2+DdtZd5cf54uvIOoFIGUB9ENqow6DzilI4hLlBsfw0O4bEfxpas3
mFC4bkVtuOZDFZIZzyDSIQDXtfMug7bgxZLKQ5Y5hyXbjsUz+LsfF/khNJzNdVvnsa+KlgDhQr8Q
Qw563hXIYrGKsHYPdhGCgTd/hvCVSe/CNEWTco66oU7ktFZyuOAnARQCilMxLRO0s7Tdapdy6Ip2
HMFhYt00Uu4XyFGkgfHXaOwXf9hUg7dhdb2duu+THSQgs0Gms8YKer6ZaKMBwwuBCMBSz6YlvZwA
bVia8wEzucudvfhb1P6hwtr2T31grLUtziMbpVSARorSK1AtMe1lbMAhY4jZzo4pUtFoHpwNBxnL
wOp9wNJdjnrVkhZgm8v3QfZx6kYobayhpc8uCTo6AGgC96gI08/I79KpQEs0c8IDbQPcQadB58Rt
s61TZnSlKXzRFKAyAWDyQOzpjE2kbmdBEawfUle6G8bAk2n2aRAVvC//9Agj036b9oRYHNJGvcfA
5sGkY2YuRyFlZKITNOe/6PwM8uMPZjXFnXXMh5UWw9mtUSZVnq+AQOiQaS7baYndAUywHPsWtDtu
fTOHVkId8oAKSrzYw37p5U6KNVUfdS1OHIOq+quhRlXZwtS+ljlCr8lncyi642S3drwY03QXslRu
5jy3o6IwD+DQsPaTt/DtdS9x4fDCMsoOmDVQGlU6QAIdL2AhWdvDcrnj1L9xIWFmWEjLMzf/jsbO
JivM7ZQlOHi7KQ2syAPe+fqPuLB6fFM8HyHODRgfNLfI+m5ecr/tjqU0TLD0VE65YX3YANMZ9j89
083grhrrYbK6taqELptrQuQHtQFcX7gtpHb6TLc75eZYsrE7dq5B8yj0DLbjfhkeXZ/X9xYApHd+
mEuIOi1V3AARHIlBYmgxtLoNZiQhF1gsX0wKNR3ZQQ4FygRODMpXuaW8yGKJSb192Xlz5DdVu7v+
2c7eXvXTlYsD67mtyuKnEQxoJGTesbQ7UhGOG4CuaDIbXrhyI3Rs3NsXQuEOaS+aDLCi7Y7TNnKu
Q1SIiiJEmDRYzcZzx5eyLKy7KRA0caR8zGrWxaIgwaYIuvYPe7Rqj8A8DCwt8Ez4Dy1Uk7QGwWlq
9kdvasa97Fi9nUXAVj7n+dVHQVRdAsyYq0Klvs4QsIUA3F/HvvecDUYVq28ircPYWxbxqWTlCBKb
kd4EExMH3jrs4/XdvHQJcA9B5gK3o5oCp7vZOaIdRsBjj6JwnJ1Xt5hT4xPZNWjGWY0ott4EMKnh
GEt83bD6gzXfA3euxk1gGrutHaPASEHqVArvUA7o4IwhaXd2L8Y4xbmPjcIkN10Z/vhDmxiiAAUK
AKp4MD3cv9PFVuhqWbmfEdy674ZxT0UaY0oysdhnka3RdZ89WJotbX2zqCtjbFL7GNIqLgPnLpT9
HffXmvxnn/HNjOo0gi8JdObaIeUyC6wRiiNHx428XxmqjUtk3Y9frn+4y4v5bUU7JeD+HgazQNQ0
tfMN535Mp9s8kyvJ9dlZxFpCeETgQ8CfghLq6fYgNypTU4JnQ3RbT94s5HbucPM3Fn8Y1rRJzoI1
FC0BlEfKickfB6/fqS1jWJjJ/BkresEEhMs2YDMi++tf7exqKxtgoUdDNgTMV+9VWiDm6wd8uGPu
hEuU9uVzOcgoAKZEOn2cWhzcdYu9r7ssuW74/Hk9tazDS1AcGi0ZtibyIwzEjJzeIE6KITDbVfQj
N31QP/SJ7RmbAfDc0UwwkLLCzq2+38n1Vr8AOGkgaxRrqx7R4HUPymxurGPos61vZJs8/LJgmn6s
HoeMrLzk5/G/sqa8tGJJwXSutpsdglPozLTWkc1WInxv1xRs0+d2IobiszO/pMx+yfknFxPiwigj
OYJpibOVoObSkUIAB2YNtJ2sN53h92W/urJ4WYDs6+hKI+n7V1LRyO9/mv0ai8elcwWcBiIoOCxM
bWphmyzDoOi6zjqSTwVUKLvXlt7xnyz92DpHQHyun6VLqwJc1kI+g1dYoXBPipnUtJa+LC1yBFXm
R1+ad2BxvB+66qUr/ZX7csHLgOnttyltF+eCzjScbYJejf0RLCLbcZjv5nmND/vS0VRJC4DKiGTw
DU9X1FYgcYDeIjwzWBVijGu/pBP4CwZn/ExKcdNCfm7lG56XZJCbIsoz8fnU7Lien0IaeAQfSjsc
TRCUvrDFGqKpg3IgsfMlzqqq28Md/mJm6W/80uEbUY+bKZ8+gGuIR6mJpyqlVSI5be8X0BHcN2X/
A0yjdEfdfvpyfcPPi39gWQO4w4S7fwMlajsOPlHbSgc24JWc1Bhh/bUNh2bDBwhTZhh+jx2EoncT
Jn+j3BzMDfObabO0cgRtDeg2RjDcRdUI7i3OQnt7/ced750iBMQzAb4qRA06kVmH50E0FUO0NAWY
yRiKDwV4g5LJneWGeAaUUItmc93kGwj21JWhmqYkEDEsB1i7PmwQ5jbU4xTwFUM5/msWjPlPUQ7s
0yJAmR6hEi9e54qEPJayqr7ykRIvGgqjRFkY/ZtPcxvQQ2A4dR9xF439aAFH13PJCuO1aU2rQtrj
AxtsLCF9JdSSTSRwSMIoS237scgHE9DI3Ja3ohjcR6exjT7uoDUcgCOD5QWIvcr0KQA5Cv7g2Zag
Z/Xc/lAbDcqZlkXLr6ieL0VUBob/6hS2eCytpQRPVTOK70vvobM7VRAdN1HWBnCXedNngEeq70KM
3RTVbZUdZ4F2xsqN0L0KWrIAVOABVlrdmBnQoiOzyXogR7z2CNedZPNmsUHqlA8xVO6u757uU3RD
2mUXhil60sLQGJhgYgOalh3DdF5Zjvq574+IbkW7MjXqPHyqYcU1gaEFyQXv+cqbrn8xFAhQu8Mb
h7FFcI3qpUKwt1hDbRXTkVXFIcvBhkvDAhzFUEOpSlTXrn82fUFotQLpiFsGiQKwuem0BEUNCFvD
pulIc1R2FrPp4z4A5v+6lbOHDOVVFFiQX2GYECwu2mebPG+eLIMCpJFPm64XeTQN/sehFWAnJNEy
SbQjgzoGl9QfngrkWTAMLnyQtqo5WC0RCIQ3D7ytkFw6XsS7OvJbGk3ByvL0s/dmBd15lDfwOfF8
nj40yOcAYiM1ihzGlNjjMbBoxIHguf4Rz7cKa3lnRTvhBU0xoudxpKkFA+NemH5B72FNV0kfG0Z7
GFZUighLSKH0GvLoSmHmQYE8cUgTVvjHlstoGH6hjxuXsoHIiHPThAK+S+Z4sZaIkHnG/yNuGmPt
KpwfG8Q+6B6j/YbfhXbR6XddKgadASfNH2aDxXXogdK3SWQJiJQ9xKnrbNvhEaOKK1fi7OnBAAyY
iMGVjYkAEDvap1YdaHssaB3RB2iTu+GWzrcuqJecffXlT/cTTxtKDwoVrgq82n46Vddbdm3QB2YN
xtaUHlrjrr1W+jurryDDQvqjZKxQw1UAx9PlZB7zKcPc4REjsXPklLYFlI9YtpOaSxUgE8a75aC8
03/rF2QslDdrwDr94OIXvDU+EPGZqIDp8q+1oC3UT63hOAF6DYKnSoCIu+IrQeWaFc3HQAgQ+GZu
Dsc5xPB2BYA/Ji3Wem6XjLhQplDfFDVjXRBsFpjPnFHDPZLMw7NZmnXzbEDAenv9aOhvgPpieCzB
RQh2Yczua0fQR9ATcNAX4xL69RZz6h1kVIwuwTg/3bZ92644sLNlIcQCWxpCHjBjqK7O6RkhjVO4
NbHaY+ZNcM1/te7z9QWps6y9mzAAtDIOguKd0W4yYnOPmxOGopmfRSFFHIMWUf753zOinfS5q3EC
wLh+pJjXL9ovQn5q/TVehcuf6vdKtK2BuHkHjktEABZ/BcVbROWy4ud1r4cY4+RbaW9W1eYeeNBJ
ewSv67yv+sjBRS3QpY7SYfOHevQoxGjW1HrfYVggEBswgKzaY0WelHACF3coYPyhS9WNaK7OaiB0
UKjtb35gPXLfOqCSR4a+YmZtbzQXoJRjBowkgTlm+k4AOKRrKcLaMVZPx7uPRWgYOlD8a4+QsoyM
6sF3n6zgr3/vFGt3EfPfFS0YbGQL8MDBN1J9dseVivfaOtQRfLcOyj3pywlHrKgg+G4BmgUVydV2
9Mp26IBTIfuib0KsZAooZuvzqHXW2OPPHOXp6dXhe6zHIprWbo++Vdy0vsBYwlHYIEVuvl/fFT0o
eDvBeD2V+CtmRHWopzmAMcvtcO2RWmwC9Gpc8eovZOOHH9M/5In9+0q+s6XdloBWqV9zlcp0YTz6
H6zp2avy5PqCLh6Bd0a0u9IZJmXCVn4MZJiM3JiBEVv/SvqH2YDfn027MIMow65/s2LncQNm7N6w
I5iOx/rPjzQAlGhvoBCJZjnR1uMZdhf2hgnn7zWxAyEI5MsRlJmuf7ULvhnFJKCJkNAqymDtHWvH
vkibrm+PJETHGMk1GKWhcRcJgq5qHKylmxc2CeYQkQMTh6LEWQsOxH7oxwsc7/YraKuikpQQa9le
X9NZURVn+8SKft5mlzEUg9oj9BNV5nJoHsrHYolMiClPUftD3ueP9lrieXFpIA9SkRQ6GvpEcjlQ
27DzEfsVsiRNxS9vnBKH1Svl6Ytm3tUftOfaD1AhRycCgUfxbQbWixmHcvx5/QNecEInNQ7twbYd
qxxcAzaKlEFJ+bGznvsBNNgVW4kMLu/Uu9Vo1wlq02Iaerg7AXIDG+28SAbzfSfsF86yhPAAXbxx
h4b0RxciNCwsbief7CY7W3lo11asvVE+L1FWFcpDFQN0RO2EDJhgNyEzv6q9fZaQvp3Od2vW3ior
KLmFEZX22OdgCEzqNBqe+o/+TfmcsphUCfpgvIr5Nv1Dpkvlht9vqy5YXVoGK0HDDA9ZsGRgaTQt
j9cPznluppnQI9YRaiWoW7RHEB6EL6OMrO9lG5UDZs6SMNtW7soBWtk3XTs+syy+hIBCHMnsJuVy
b9MS8NJ6Oxj/kuf6vWs69JK6JbwnhSVqtxuH3rbltLXKz9e/38rlDlUA8i6Mqaox6/q3HYK2pTve
Qatkb66Jrlx4+U+OgeYdU6O3HU6wR2YldtbURdLLNvYoIqM8dFa2u76kiw/Mu++mdvDdkqymo4ar
vtsEjvO5TIEB3jWSJ6HzDBkryCmkgA2t5TRrx0JzK5P8H6PAscOtHHPxHMxfZL8ybKG3ff++UOiZ
Kfoh1Y89XRt0cut6HBCeDzXflq4ZoRQdeQA5+yEkcgd+GOWX61/zskUo/yGPxl/6eefo07UVk3g/
mzBJi+JDUy9xXYNu0g0+ggs7boc1sNEZcPzvVf62qb0GQ0ZD4eXIpWvHiAV5AYlwEpAJLOZ0yzmI
F+y9FUK145b88RArCMmUUgo4c9F5QmlJe+yKApoRDTHcg/CdSPRjRNDpWpwkMH+aubUSQJ6dVM2Y
ts4py6ygZpl3MIfvPuTCQZ8QAWoVoQx4yFJMXHRB4g9r2pTnLlMzq9956hgWSWF2/CsA+Z4Te0Fc
Lonokjl7CX/lf3oflTngdTAxA8EgMIadnlnTCIiAtqB3CLNdKTY+yN95ZEPNd0zSHlRqKw764kd9
Z057EKTtVigKwhzrkumJgPky3M7f6jnidTT/un45zk+qWpvC0yqNTxuopNO1laQiAVSsvMMMY1MU
5skyJJ2xocMmHSI3se+9zXWTypGclIE0i9pbbrIFioQcFtslfLTrJ0tCcD6bki79LKGpct3Y2etw
akxvIZphnbd5j28JEQAGEktP9Q+7+ubfs6LtGDNknXYllsT7bVaAaBPtOG79uG7kzI9pS9EutgDa
mFQelkLzameDIHiswxvSzRsoFSZe20UQ6lvB5Z29CW8mQcyEFgCaRPoDHrSyQ68rdQ8sSKOKzbFb
Jga7zdcGty7v0m872n2mjNmTlIF7oBlGmcihMXd2u5IErK1F/YZ3j6rgTFo9D93DwJ9YNSZgaI0C
DE3V7vb6Pp0Hq9pX0544mZqE9+iBHaDqYD6GP4ZPtRnRD/aefR9/CKhHRkEVjWuR6to31N5viEjM
Zofe9qHuN3knIqgsQMPj+fra1oxo3oK0VlaAK9w9OEa4CSjdFtWvvrA31638P5zS7/OguQjDBLQG
Wh/uoa83k3M0mjj8FvxENuN9McxkpFuvWXHx10+HbWounvdAZSO8dw8t35HwjkF4BUME4Bm8vrI1
M5qjkEvj5CzDJrlZE4OAMhbLSz0ndrhGr3vxDcH8x98396x/ZWK0qiALNgq0ljSL4I/UsPcOPCSm
Eef8T1PBkxMPSNTp3RpMw+RlgK83OD9Sz7lt2u/I6GPRkT+PN6CJAwQtlGrAKKBX4Cp/MgTvZzik
MS6muPo4g34soj/DKVkneD1/p5RoEvjR8erbmDM5XZSzABTeodN7CAl0XsD7i1t7/TRcuE2woLp+
eHtBoqgd8xDIb8hiwYKZtynqb6zfLhw0e37prj26K6b0EMaovMnJMTJ0qLwirttNYXcxoX/9W+vR
UQsBVHhoC0TKwURwVELk1uubuPLXzvbaWrSH0C6AUiIT1uL7InbQRjDpNz6tjbuc11kAggMoSmGP
1NigXpzyQlmB79x0D9an6qAI+8H7gNzcSVyIKjdR10YQ8AXxzb/yDX9b1Twsl4vJQW/sHrgCGj0N
7os37K+bUK+pFoCdLEw7dlBib/IG6hIHu/pc0W/N2mu+8ufreFRRD3XVQJbrYBYQQwGCAHCDFYdz
+Qj88yvpKmqynTkYDrEEz/7KwifPuzGXNdUefRkuLmaAfBHwZMXJr7NfQ5ciHWjWjg99IVmCwb5f
xmyuzQTqilimuvoKIwjeNkAGz2AjAcB9Fuut6aE0anNOgjk1XoOgm17KRY5fc/CcAkDsWQNoLFiF
2mXljD0EkuZMfM7HsY0lgMdVRIUFNPjCbPFqeY07x0BNZAxpWBp+IQ2F6NGM+vISVeDEqqPK6AcD
A/LtsBKi6qG9WgzAubaPOwOshs6/EY6kGTJoRT3kUC98mup2ioqurVB89PO4hqi3Yt9cuTB6WPxm
E1wfeA+UJo7+chM2VrwNyfAAhz39skQhYoBWaVQLcEW60F36WprT80zclVukH0HYVaq4ShsBIjU4
bafPA0y6Vmua4oGHVnmXVwWwyCNaAGAcW8s/L3xW9UVxCEGkiERNixoWBvijkK54SAOQhObp9MsY
wwSaTE8DkffpyKaV66WHKWpt7w1qHrZwwZvbEl88oNWRbwQznsLKE5G9YHKq79M/zDJgDYsCJanS
NzLBTXT6Ja2g8YrMnMVDmOY28viu+Oil4jNnfvqz76Y1ipELiwPSxgeYGvYAeNA8LF4P22NZLR5c
HyQ+ZBmHJANnW1zxMk0M3gYroeVZNIuJN6DeACoFAA09Fh0Zlrlu3+SoITww/y9Kso8u6DbLxrkp
TYRkqZ3MbnBni+q+aJsPDjSArnv7s/sBwBt6VCD8AJwEVM3qHL/Le8IucI0CQ3EPZCleZ6fP9ouZ
DTG89GfUiSDv2eR+VDRrhElnUwlY9YldLXwSqSfYMhOsurC+zIuzzV1yJwwb46NNJPkQ9UDOdn26
L4QFxOpMMDezVkk5c+GK4gQD4wCPKbpTHdLSscA0qPS9B7c0g4QTt0ZFbFnrYl20gkOD6qKDsPTt
S7z7whZ2t1MTZQ9Q8Gl3dUUgGFNi3OL6Pp4htRUPLtqAGNy0QU8L/cvTjfQDTkY+GvQR3LHjs10F
QYFd9MNjyGdZRiYmZEEjCwzxHDE2QJ2vcQl7kamz7EOM6d8Vy7DPel5uZWa2t7Iwir+9/x8RqP9/
R40O1/ZP1r7k2/DtP37VUGtbDt+qX//1nw+c0TcS9P/Ydt/qH7/6byds6Ph7/2ZDR7XR+QcEtRQh
k1Joe3PRf9OhI3x3/oFCMFyOhWo30KH4u2reDfl//afh/wMcVaAaxNCQjyIc9KD+SYhu2P4/lEA5
pomQGeA/UZn7P//7x/y/sl8cPwviknWv/e/3bINvIzi/gz6Ft0UKA2Dq2zEFYEIL+oZiBp8xIH/3
go7ptkXYcTeIAjDVCbeu7MR0P86D2FgWRFxBdyVvx5rXG9ssGcqqQRsVbjMnyFBAOgNVzq3hOTQa
JatuW89sozmn4xOtPCMpavm5m8fndqHfRDGPTxAMcXamizTNMDAw8G47/nuZ75elVYKxLFxvPL8Y
ZVTCini2Ti+FgCoYb3y0+Fkjgz04CM3XBgUW0FQZu7cfaiJHyHqaPzgeXZCY8rXZMnJ6/fET8AsQ
M6ONrURSQFp9+hM86oUFaSzzXubT9iVol/oB8+sFv5lKY1MH3by15tTMk8yxsxdoVCMBC5rFeykH
aO6EKT+YFn8S+QLmP+4tjogGHsqbqgSgOQL5Z/0yQlr5B+hyqmNByvFWkN6HvqbpFvuZCCApclns
MQbgfOi6lvOIcUh3RMNYzH3U9gxswDYLoYY0GIUPH7tW0tAc/dv64WQx8AbeYUWEpkUnXZuPi9V2
833lhuQjy4ZWQucrNMaIO337l0VzkJ94/big85F5N24akh9T7adb2rOUK9lLMkUrx0J985PTjuMA
nCtIQ1G5BIxe+02IE7MGPKH2ferYbVLmdf2zZjljGNEqIQnTLs5XTP+4y6bsSHYssma+ZRPY42LH
RhcUaSuU1A3ks3zlh52fFR+6azgjmBRExKqnRj3tQ6/senHf0eJ1UM2nKVjHp6pi1enqoQuEWfu3
wANTzfA475/8KXUzTJq38t5EShF3nUCEA12lyHTzT2XbDreIFeQvK7eNTS5NoD0r6Nhvq2aonirG
Mxp70JBRezYVkTSXdErAQwcm5IoYOzLICWFn3WKEI/SLgwc2zoRYywCS5Dp4rCBiVccgOPy2uBwU
FHO+ALbYW9T55MxB9epX3St1J4kRQQoGecxJKgG6uksEpLbLCPD2wk56X8Bw6bU/cdzKBG8rW4uK
tCKtOrVwGnC8GEFDDI+mzuk36qSw8VbO5j0e1eHFLhdHiVfXbocfS4zY4LTfpt60dfqi8WJfjv4n
L28rEF9AUytMxFMdk65gP1cOrjqYp1sH5nmcDszcI+XEXNbpz+r7fihFEy73dQNyZCOV9n25eFWS
2mTcV8KUsWEIsZd8Ep+l5FB/K1z/ZmFl9bLyS86vEMbxXeh6Q3AUQ0D6UIgFFdGibgwTwkO8TYaU
uRmm8Ak2qegdKFEjfNsWGS8gsMHN5RVXrrMj3uMDlrPLm03p4RpF4zJ7yfVfdhq/oy+Go42YDoxO
AFoCr6z524GwAXJl6fTol/W3xsZnCty8jMEijhBytlfSPC3sejMHykzFQPzGRK6TVxhj0GUQCZ8e
K7t9wRtg7rruPi86MJHXU5kUbUiTHHAic3SaG2K+tOF3lKfQOiMIyuauh6ygEaxhb3Q/ojhnUP5E
WSpUE0J6UG/MLmTbhGc+9jNpvzozy7dVsdrWOntdURNAsRW0D8hdEHDq0DPDsN1ybDPrcTFBaTn1
zNj0bQVKsBTh9DIVfWRW5LXx0zLqwXT1WlSiXsueTvNs9f2x0YoWzQpcTPvq6ZoMEQv19bg8jnM4
7/y+brbCMfuNb+Nu5H5wmEL/Pui94sbHDB2GNab03g/KQ4U/N+JpCHiBSSYZp066RrWkZXbqtyGr
eNM8xnaAQEpLJWXRu6PNUvYY1paIyyENYhrMGAlwehqJnKpqgA+RgXxwP5YQjo9B6ul+6BFFrSUH
ust/+yU4CwHCSNB/6mOuTlbPc2US9mhVFtu5GejzMApoJUFymFx0JCu3Ke7cykELDxoya3ukey3d
upbrOXY9Ersw2SNmI7qINL25mU0ClfWqbp/TFry/tMYoFOhKQP1qCNAkkXobQDr55rpr0LjKsSFg
8cRBBf8VImbw3GjJ7lxazlzPRv7oNx0mkxCqJ81cDzfpSPhjXdQ8yXIA22sjreN6/Mrd4WuPBuDc
ecOz6KX/UGCg896Ts9yKHO33lZ93tkuKZFSdZnQT8C6/nad3mSIEWAgOREEfSTbmyZz63aMg8sad
vezOKgTens4cD0UxhHfA8LlbC3rSK7/htBzw9xfCkBoKID5SC6QDpw9MQOsiJ1yAHd9J0YF3zY9O
tvANcvl03w+WFfExzQ9B6zcP1xd/5raxduBSUOlRrFkQJD81jKF9N6tkCsOt22/JiOORVyWNIaST
b1GQYStnQaus/vdKQaqNMARMuYDCnBpcWFENTlcUj27I+nhKC7FvvdSNsrby9nRol6jpOxsqq+m0
62RAd8KsZWRXHtk23CJxWxTjdunaeuNOoo4dVFgTs+BOIpp0ee3zykvcefjsdY21zTySrXBgXfxe
iGCROCqN3rMgjmI6uKMjfbTHkW6MksiEsuKlgIJuZFWOE1/fHvU13gce6uZAx9LH0wrJBwwAn36t
YDbT0ZCseGxz/wnDH9OuqYIcE2n5d16EH3hI1tCB5y8riDVNFMCVDnKIGVctJXVLKllughm8cDvU
LFL7xVT1IIGxCmCsQdxA/QG0u/yjIW08tgXB+L7pYTR93HUoJm7sqDfw7a9/h/PPjhQd6YkJeBr+
mz7/XWf+lBscHsTq5yB2uP/ZtqdHOQA6JVO+ppNzwWGBOAPtBQyHInNChHH62cEtXw7jMtDH2pAu
izsQ84Dgyc1sM+pm2f10ausBZeitNBRKk9mYXqWoJfax2edyN1HDHCLbvZmyxX1GA5Z9wwd319h7
3n7F6eFQ5PSYhFSUgiA/1kIuZANVS4UsgACvyHGaLfk8TCLf5yFDC6JGkb2KHMYZiUb0AHGx07Ta
jLNno/nM0uo1LMb5gxUy9iNAQwVFOAtCQGXvjU5i9zW5rwEI/JB5xvJYM9d+ub6jb5TY2q/HOECA
zUSpBX0cteXvvK4fpBwJSJ09snqRUdoG7YahP3FThzhXdLRIgvzCjquR2klWlrt0EeRu6ZflxUut
8GYRtgNWlfKma2f0/MYiT0xrwCQD2jVe7vuRHZTi1lbP2mwMcd9bMqbwpuGcponTeWHEJ9eJkYX/
QtX5/3J2XrttM+G6viIC5LCfqkuWLdnpOSFS2clhL1e/H3ptYEWUYeJfQJACBxiS077yFuVkli8O
7sEfUA6WG8OI+02R4FCaZfXjUMa0ZeNeHroidXZFZiXroXbFUeB/uHca0qKFb3O362EWYOWDRhJk
X9Wc4sx/Pg1Go6pv96NyHaTfcPZVcpOZY7gAvXm9VOYzQJZFewuWOWH7LB13/UrLtT71nyu7GDaG
Ke2jyHJM3riJNiXco5WMi3pbKdr4ATEoHYXPsLlAQv0YeNn4CJ8wPyVuAjTakD+EnX5qYkyeuWU/
WkP/zevSYDv66Vatim5fiNrbe4J6k9EyJTjYFQtX6PRRZm/DwTUl8FiV2rR5bj+aozZDyYpSrnqF
reBYiuTqjsH/r6beVPDeLW1xhKEgQtEeJQC6avPj0VMkhS/VSq9hyMbyWpuY1u9J2fXsYlQ1RIPA
3qEeJjdOqj6apZku3EDa/Z3AE/CCuC8BtiDAvX1RtQYS2Q9mei1a+2Mo97TcFW9Y2T8jA0PA2t5W
dvygjVsXJnE59Ge9cPdd3zzK4K8vQlTr3AXmjXYfvfBEdBhREpscYebJ2FhgXUqrKL2Ofq0fdI9C
mDaEYjdGBnAT7GwfoMyqH9uiSD90ZpXts9oa16rX5hvVqYdt15UVwhCm/D02TXfN4lzdSjBNRFqx
85+XyXSPkLbAbgF3PD80AScYhRYb6bUFdrkdOsymQxdI2Ps7+C49YpUItHpcBqDALKYv9s8OTlRU
WTCNTa9O0Fb7uOn8daLp1cYbGmdhqPurEV+8Ka6GjqDz19lyCNrQUvPOja5jmPobMQCbBuNL89kW
0TrW1aXJfuPV/nc8Suizu1EYUVS2Vhhfo8Q5hk7L9tfrhyp2D4GhbaUePGaOPCW6XANvWYXKoWiz
facPK6ctTn6/EBhMb3e76ynrTxcIxX38z+Z0bD+tayQky+QqY3yapUmVy4iCfZe3wUFYMQFi6NQr
4ntzHSn9YoL31vB0x+lZTtVD8uDbeTZLjIALs4+uoWGMe8suyw/eUNiPtt6dAhT0kO0T+mNnKI1Y
GVoDMnTontJM8c9ZW4FjU/B+Pg1xqR18lZpE5qHgrsjBf3TrKDzXmvfx/XV5v1MRQEI7AmERuHJ0
MG6fN5eWp+sU9a7VCIWVGUzXVhuZmwx5trWfZOOuspVL7uRLNOP7ooWgaEHJZlLvoWrwWq//Z0fY
SdaxPhCMoKA47Do00FrHGD+1rfitOv74pdbwtdZLVV9HbujhgmCmC7H0/cLlCaaVgmkxHbt5wCGK
HupDOwZXt6peMlmKK/xHlH6yLFv4yjOQ0pTkMBRfmB05WZBbsz05RFFXyCZnqD4/RDayDYoT64+N
klcPdlo9SRQznoK22UiEHVEo3PglwDzaBk/NgLLff55zTZ0ke4knSLpeM7J/vrxAi21s9CG86tij
QlSPqyfHis1n4Yxfw7I6lFaWflDTJFrglNxfyMQv/wNiJ7oDzn671tAzKApbVNFV80xzr1j4kLmi
dRfO8/vjj9mc6grUw8AGvaYz/7wdEFFvjPUsuEZl3x7dyMc/NYjldrSMD5U2LHghvLGGONkNOvbU
XyktTT//ZzSjsOIOikx0VQr3Y5KV8W4YqadSQeiO78/a/S1PfuzQKAeDiG7NvCdRiqLrKxSqrm2n
/c5r+MyaJ8rPKPb+SoZa/Q16ackz462XY1DkNjUkh9DSuH25vAhT0UWonmiRrpwtvfrsI4p7SCz1
z/vv9sacUeGnvYrcBLnLnG0U5H07VtzNlyIU7U4mtXWwwv5PIzr5MICFWtgAbyRKU7GctUF0MkEP
ZttRk4lHkUlolzHI7EdTaOXOCcLxaazgarpmCE8yag9BbI9nenXOqaB39dVt5KYMC/tYBp44lL45
0lspbf9XU9f9vpH9Xz3o4xfgIdU6HeNwAX7zxvxzVE2LjBDCZVZuJ0MEKNJasNsuZWkbG9nK6FnJ
jXNtE2dmpVJtehc5yffn5c0PBZ6BljnFSgqnsy07eKHM6qYQFzPO9gBSTnX1MW7+6or4Q0B1qAMk
mgdvZaQpNsRuvYp85BXzk+HtqyxdxWb7yRkVlzPGWhuedoi6ZuFMuf8qJIyUQyaYkA2nfPZVUg99
JISx/KvI1WvTuC9Vp+pPhXDOhlqmL11WBAvh1f0pNqWobIcpr6CUO1s7Ulb4xBaef6WCFq1yN3NQ
Ptea/ftf/r5mjXrBP8PMKw4ZwX6XW7Z/tYqdKOtN7Can1nSjNT2zr1Yyfh2dep/6yrk0+p/Ydyy1
bxYfYPZlzSH09bB1/SurY6d0oIDM0FVX5IO7Ropd68aPSuJ+Tb2TB8kydccl04r7Q4GwhNWOigNn
F+WX2wXfeUVstHrO6VPoaFghCZkOzV/Nx6A7rb68/7lfq4y3YSN3NNUdynh0a+4aekmtR2EoVP+q
F9GLqhGEJRKt8SFLBfwMPd8ZQ1T+JWnxH6Yq9DdNLZyH2rCyg1FxFMeYAq4Ic9xzNfjq36iWFlZG
CSCClXSKP7LyKK43Y/GZ0kJXoSvo7xU7RmHQMPr0QXGDIN54aDZuUB2MtqEvEJDrk+ExciCVCXOI
n4STyJ3XptZPXSmSdS0H7ysaY97ZYZIWjpq35p4dhXUDjUUExefhiqcXjRvLMLw2YJxOVjr+AZ1W
nDyh7PRWNCfTbqm8jyFFLdvPtzSytU9Sl4f3J+U+NqW7SkZNdo0DDfaitwugVg3KvaUWXE2WIYri
8V93LMJ9W3bxmSyn2Gh18ztNavXvfx6XAAJIsT05THL13Y4r0K30s6r1rz7OrauIQP85b/Br8AZx
VQnijj3a3Icsqu0FreU3Sq008Kg0krcRUtDTvR05V4AKFzQTrqqgaQdU8W/tpdEm1UUi14UPkUcm
nXdypfJZ7Wv3eRCD2GscRpeoDoKtWYWggqRxiRz7+f1v8kYES0mR85UqKIqzaEPdPlqooIhMeci9
RK74ISmDrOUXASwA3Dtuz3Eff7Dq+NxYZJudSE+NHf+pUFd9HGJ/ibb7xgk8FVuocmIgBu57lkvn
8MhLC4tZfArj/oebT6g6e4wXVsF98EPHkKuF4IfCtzZvAgE5o96LtdQlzZtLmwT9uYrcct+1pbUE
YX/jEsNKkmyV6i0H3RxZK7JRDy3ReZeUSts2dtto5xd+tipsq90Uet6uEymWJArfKBuxwfl6k+kb
dg/zGc0KEVolBC7I8mj1rYzSMNdVjpBeboTfgPfaq7S1gn3SDBy/USa8TTd6z/roBAeEggrkSkvb
XVe1VE6aauPLJB31b9UYnxdW3nTOz45mAHvUZtiJyOKpswt37JSiHdXUufidlR5yUViAj8doXZei
+cIB8iPTdHnu60E98VTO0SlwdI6a4NfCc0zj3D7HZEhh0AkhdqQLMN1X/4T6bgwHqC48eW3GTH6x
EGI5kkBGhGJltxno7G4skrWDsLxPijF025Y4ftMO/VoqfbZJ5bAVfWSeOwXl13pMwl0vcUzLhl55
SJJgSV9repqbp6X6QLQICBVJZQe90Nun1UwK5jmHyVUt+mat9iVF/zr65I6ju+5H9z8vYYZD6Z5z
mmCMwHr2cWJSBa/zdJ8UuokAL47prlecYuOUWbKzgqzacOkmC+fl3UEwDQpWmkMAYoE9jxBKlrAN
otO/dlRi1pSlE8xB0mHhGnptys8+5bQrp0IBMvjYs9x+SvJWBPFU6V7iKtpTJqGina2QK1g1zdEN
UQzw9U3q77vmT9I+5Mqxj9VL234SeR6tevmg9PHGR5qnD7t9XkQ7U37C23VlhC1/GgsPeweYInRh
TxP1cnhBOpkzqcsMm7EizZVLTc9ga6ct+uBltJ/yoI9A5+JDEjbKZijdF3uozFObIomcJR5tK7VX
M6r8qn0IQakfF3bP3RmHTRDTxWyRLyPwPSs0kZHHXT8M/rWhjb7zSy88+CRJR4gDSClb8cGQtIFJ
GfwnR42iPaYq3cbogmZfg5/yV7XjNCjr8tHqIfzj04p8BgY27t9/zLtdg7cQ80wFkc4iBZtpxf2z
x73MbxFzVsVLV4fuzmyvY3rSYgpRaaylm/fHur9SyakINNig9L0mBtvtYEY8xkSL5HFScaxLmRsX
O+yx94xawkZf2qfAqsTDFO8auRM9IFShQklWf+pNiEA1rcbd+w90n+2hY8lFJ8iLBUDZee/fGRuX
EES418ao3H3fVCMyA6pPkRLU0EuDKsZj2brf8FsX+w72ExILhVA28CaZw6JP9yixeoi9FtVHByzQ
L1koVIPhZ5XFVm98bzW4zl+wyiitv//kd9PGg1NCpP1CFK/dpalGjL2YpnrGdQy67diH9loR+TO9
Oa4Lej//fTAgm9SyCEKmAW+nDSAW3KnSNK5pHA9ny8yytZfRaKwxtDig0SAWxrs75Xg5ii8GdmLs
UtbK7Xh1VtG37RpeDoO4lRRocNmtunTKvTkKqxCvcVYieL3bUdLUkoVTWsYVdbN+3coC5I2rFwsF
hdcq1c1ZygmAjAXXqIoZIpWl22FAR0eoJvb2NdVEe1aVuvmUx363aarOfHH0TJ10osgwIntU4DDF
3boGa2lvOwVIzLbRGg0RdsNqrznBib8ag8H7a9eD/dUZKu9D15Qor/mZatWrKWBdJwHlG7I4tctW
bV86W2Hn/pMdp/En1+sAcVt24zxkmRGlK9Tiql3mZfBC1CGP8aV1zfQYYcW78hX+vQbCKX+4QXuQ
KmXcteuVsHNHXwRyVVhoZkN1TsSGBonHBQj2MsZ6zc41pd7KuNd2npEAeZd+2Pur1k4gMXFt+Qt7
+G4ncFNB6QMKSFqOF+osNiZrGYNGuurVCLNwWwEARviuMniqJN7oNBoWFucr+flmQoHT4xg24S4J
lhGMvZ3QOjXjtk6wm9Va9eTY37RW/143zjkMEvDJ5cqPToXzPQ+Gly6JVxrY7iJKDnofrjx3TcF0
K/T6IPAYUuw/VfM3Mf7QD6ZNLGgJhytZJLuahnLoKZtEPOv0KNAceJA0kjKKdqnyyWmHGnl97RkB
xl2uZVs1UTZ1t9Aav0sGprecZFfAqFM4nNMyGoL3Tu0knpBDS6Yvyurc+0XyOwRl/f7p8uZIMCT+
pzFCV/f2e3a+HrROYIyXNrJxE1ONB1Z2dhzrOtm+P9J9tslLUVCeTKZgRtwRooACap7lFuMlN/uX
sDJ+VUny7FggAPO2OoRtrq+Mof4bljgXmtUqiZJrx6UcB91GOhTw1WJhMd3DbKYn4lIkjkQXiZTo
9uVjIUJ1UPEpDSq7XseNMI65aIOVXRuevwInJ7el6K19mmjOOWpTejXWqUpNDZE0JdvYGtWS1pLO
k61Lscm7pFzotd+dkpO0I9RHQmuekXP59gFzleTPzm3tooxudDSdgggwrq4LEzO95u2eAn7HRmZm
6JNAdLwdpe3cWhQoTV5i8r6dJrou5upMzGNHLLqqA8/51uTuVc9dcbCSsF97o+qvOvgoeysM4J7W
srEf28D73QUTGCoMA6Yy1uJVqxjpwjJ6BZ/MnpbOIcQnrkSAyM4sjIkjQ2pGoDQX2+IWbN0o3NtG
aO5SdAcLMo8qObmmMjyGGGSspFGpezJ4dOIzRKU9Xy+vCVJO+1QvLU4pgHRan6GDUZa4cmhlM6wD
iRzGqDXpuqXBvsKY0N+3ja3YK93PeKXcoGymJojjGnm6d/Vx52Zp9SsWFYbMoEC8Y2F6/iarh3qf
uUlG37WDBTTY4Y4ygjiyzrttUEeoUg0iPNF8/JMOYbNvpV5/CIfO2eEG+OwMmstClFr4vetV91LL
PN/R0O+3Xms+cWufKz1y942CYvr7y+GVojz7wLBREGR4TT6J0G6Xg4zLUI31ur9YueB6c83af/ax
F+18bwTxX6gb3EQ+V1rkPdF9ty+hYWB1qlrhtRwL56JLss4mtcN9EfTVfsQV5aFuArgcld8/SaAl
D4MX239wGNE3FPzVFS671cGl+rqwsO8yaHxipuCfX4B+KHfcvkhr9bE5BEGHiU2nbQOsWjYsX2Cd
mab+YXX9KuoQach6aOtd3JfaElJh2jfzDwkcH21WrOYmGdXb8dOCHkeFXehFRJH9WVMqAM9275z6
joiUAGTYa1FYfGpMv/peKWQpDWpbleZ1K79xlrxiX1vrs6eBhwXaCoHyCXE7O+wGXxdtI2v7Ankv
OqpWkbBcR9M+W/3wMjqN2vJ0dbiJo1an1B5VP1KIpb+0JhleaDhUH/XWs1YpweFjVKrucxEX+cOg
Z/aTUqXp5G8W7yCEpStHqik0dCva1WPUbq3eF7vUHXDCklVAVz01SvMowtr6PuA38yGTUroLa/gu
LJmAmsDPic6ppd21fnPdp+RZOs1FRzURNaIquoC5ifZAf7V1WXTlQmXgPg12EQ/nsnaBy4K7mVtj
dCDrJY4NzkVDFHJny2z8TgLhP4auxNkkLtVNVGrNjtXf7o1+LFDVNtrfTWDnPwDglVtOVLEWGCgt
fIi7C4QCAipu9KXBAd1nKkOrR0aGvdVFImcI9TC3jlJ0S6Io0zV0s7TomkzJNr1i0hRjjmnSQeGq
IhzhHIv6sc2F8rkW3SnD5+Tn+2fT2wORKVJABEkxb6RGaWAmbYDRKHLu2SMakfna9oJqLysRLaTm
99npZLZD9YVu+2uRfPq0/+Tm2LnogyMS56K0Q/o7A2j8TA6qfrNKPGPcaAzOyRB+1ZWk2PRFPgWI
qfvBVwdzhURM9V1RlAhQrrQOQzqkXC1K9NXKlfbQkYS3K52SIhQg0/3z/he6u8tfecG0toXLwucA
vH3qoUkcvDtr54L9BLqAqlatrBCLsVXftd05dgb3UTGz4dNYxEtOPnclF4ae8NoTpQpO8VwWrs3N
gEQP/1qnGaOt2r3Yva1uOjTiytoKVvHgLVWf3npZm60+FXkci7e9fdnS9EM9jhXnwu6MN2OrWJtW
Zv4T04rlIbS84OzQW6pXVtAvVZjuU0telxo6/H5QNipPcTt4X0ZuEOeVc6nDQfugZoir6QGqEWPp
5I9x22gwWT13NzglUuC+44wbM9HydaZXPsYxBWGDX7Tnzixp1RWD+h3aEPyY0BpRbBkbFDOHIuDT
jVAhm7hWz6OJvZcZBS1epdxagTfg+mEGaEKNMDgPdR3Yr3QEf8siqOEZDcmurcrhomCc6VPMwb4p
UuoW+yEM5ttUMVYS04JxBUAyPJRqGJ6CcZRrc4QsbDje0csKeYz8tn6M8Bdb50VnwEUWkDNSpx/W
VqPqH99fvPdATrY2cHdojnitQYWZVQXwcdPCpIlx/1N0Ex+hFhIjFk2PYTpiBmXWIl7XfNoHYvpP
RZ1o66i2wg3KNu2RWPFDWItoG0DAg8DagBPw0q56tD0j3KqaWAIr3J9FPCsYBbCPFNa0uRCU1lqN
UoUJ3S+Een54TrbVR6jc/hi+vP9V7i8zmhCoAE12L4S8c/mcfgwluJ9av2jjlWDVOw2dbR9qIT8O
lrYQMt3fFwwwAUe5MwGrzQ9YO+/zQE9MnB67oH3Sqtpcp22vbP7zG3E5M0mU0oHgzIE+Vi8MugiK
fikGQfzVNhgIpsHPwMBvwPZAHrw/3BsvBYyd1j5HOQicudRvoaUNPkb0KUelo89pNx4tNa9rFubp
HmIIcYr3QhQMf0LQIbN4c8jLrrHIDy6q7383mwDs/OChml+pdbRSLfkQDn20G/uk3EZVajyLIP7w
/pu+xhm3NzE9vQkmQgQPrmluaYtv/dhpxahf6jGOt3qadIcxC51rbXrPwCmGb1DxuBLMMk8+a9Iq
1hZV+96F8t1Eg/5YiuBLaA7dI+SF5qEYun6n1Kqz11Fa37nSq66+lvurYDTao5d0FO7a6mFIjFXt
lxC0KyHXTps+RLGZPyVgtfOtDY5mVUJd3pR+GJyiTMuXYq/poJ29Mwor9CG4p8mW50lyGQxF6bqN
cQnTBtV72+7PSU6IpceJuPi2U3wpFfdKRYoTj04BsAbNbr+9/+HvUg2iAYh7hFok0dBSZweXGaAV
VKa6fnFgJh0b08TEGl7lQ546zQbBuB+1WWc70MoXqxj0hVDljZMIF6+p70YeD3Bldg3mmojCzpb6
JQnMs2hrkaAJjAG0UQJJfv8939hKZN7Ii0Fphiw/L0ZrdjgMSpQ7l7wbwp++m30vsLFfWMVvbSSm
kThykidiEU8n4j+hl2JJVVGwLLjogwW3JukUEI7cfpMqIi2kKjrbSpsjOpXZezP1/hQxlJ33X/Q+
tJjUu6BSoEBFqGnOcrc4UnSn0VP3gsz/WRjDkxjS9Nmiar0eijw9uxFXYorp6fvDvvF94S9M9R7i
adiQsyNkrKvQoNroXnI6QDvp+trWlziM/h9GwdqCs57FCkb49vumWtoGZeO5FwXG6TUJ1bOu9cnz
+4O8kRPBDGN/T7z8qV8y+4Rm47sVbC/nIhP9SpcQL1K4Oyc9kPIsLaN40XNjeDTs9nPk9+qzGaTm
zqvsapcYWXeMbb8+NWa9cMHdb1RBSXWygcFFzbbncN1CG+gZgcvCcG74rrRV/RAVMAc9N2+jdaTW
SH9ZHbzwiCPopHiGs3AX3a8rbleX4XV483z/2dIuHdXXYo2swsCy8dRlXb6paown9fi5qFDYzrIN
RcslaNM0obdHJBwBAqup34I6wvxmSoJQdYZCsy/2mH9N4ha4GUIWeRe90Lr9oSttu3Ak3cm/IN6o
kQvTeEWfjr7AbPLjNtb8qlTGC7FZsx9KM9xLdwwn+Gb5qFn+znZK7cGIQqRe9C7dOlixbDpwDGsa
90ueVvfYkwmYQKQORWWSVJ1nRaoiOxJUjudGZuYWF3tquU4Ypd9jOisPVTZIjAcc7bfq+jjyAi4Z
xnjj9j1QI5jj+mdDRVFHeGO6LQw1uEpdp5Skc6//540pYKnzfAQqHHxzdm8UpqVaCGJKzQitq+Vm
j0nTBAtb4B5uhyIiS3wieusm+OfZ3AA6biKNbtnFz1PsVYMA+5QorPtdOtQPQZxmG7Meh23WqGLn
6s2HasQzSRqe+3fhhHhjWXJd4uTMwpzCQf32HPIUVPaEVLRLN2jx0Y/G/CgNkwSIElKE6rwije9e
MLQbK2vifVLZwzXUi2MDc/Bb5Uvn0ZUo2JDzlaQ1A0bFR1+k6cltlrLq+1OD0AIpfAo7QOHvRV9p
+FZKpFmXUSjjH79CLilvNQxnjNWg24egjz4lWjV+z1G8WlgSr8WT273L2JMWMHoeNJznyBqlGfWo
c3vr4k5ev7Z9rgtdrmIXIS3lNI6/yvR30fa/8shZAVA7ZlZzcihIrLKROA86C/4xffRo19WqdR4i
CzUBDHkqE7VI97+JX0I7gd6C9MUEoUV6i7rJ7XwGQQ420A+Mp8Ax/mZtKJ/SxJcb12iD4/tL5z4n
mrIH6O9TuAPlUtyOpPpRpaSyQxNeQ0OwwK5g1yV2vq0AXGynxH0hHLhvXjEWQlZgb4gyXZgDtwOa
ak1DpE70p7LzHMr8qbFXkhA6b5hYv0TmmieryIJVN8X7ZuzwmxdsKYkYHxMrUHAMj+xd2RYhUnzW
UtDwat4xXyIU2CnZTyButDJvH07hdM8HvbYuvvcEKECWOLUPwa/A+Kqk2iZEcKmNrYc2y864j/dr
hHhWsfhZm+Oz5VcPlXKwHLSOPirwjRXZr1z1qRSPofNstSBug4REXN+ULr1x5J96ULh9dajzfavY
S4v9jcgP2gVRNN63gpBhLp9Kcj9mFr8osAWfg3IyFhhLzNSiRj77nhNvKkQ6vjaWVq1RpJL7SioL
DJv7M4lMAj9SGgavueJsZSH8JVw/ssTF6kLtLBPlGV/3bdMZj1pbgPYLu0/vL+XX3GA+e6wqgM+A
/ZAWmIUEvlZbZdD7ZMNmejLMctvSqAjMfBNX1TZuXhzQ/oYCJF0Nd+OQrZsAaKSVH9Mi/+yr1roY
X3pHrlXzFHjn3PBWkSIvQ7+t42Dt1OKQ6LgFYaue1S/vP/kbFwnfCt4Ux4gAKzm3wSrU3M6CWBcX
0ur+KUAq9cVv+whLnUpbc5dxwdutvzUNRd1XlWFuvRDufzUCRH//SYw3DmgKPNTh2KDkvvMrrRdh
hp1balwCMYI7MB4iPAtlKq5x2G3d+EWLntMm2jhKcCgQvGQTgRQYtopZbKkZXd1gJwLl2srPvXIC
OWmWnyNlX5oWZ+avUH0yUdGTV/xJPlp+cSjc7NDZ4nOYHS1V4b/4Fzuqtp335LVoqiEPvfIDgBB1
/MsT5r4Q4zN0+g9JhhuHWdMHGRX7c9a4j5NoAKnLEn3/Vfl3tqLIg1/FXKiwQDa+PQ8sdEpMTbbq
pUSVyVA49kdvZcVflL5bN4Q+oX0doo8U/CqajbhQ6CGeUueg/zvqX3p8nvz2QjWt74Kd9CHMQ6LO
M/XYOPr3cQAKYWfJcxfGlxF3sPpTjqiQah7en9A3kgd0JWBGkGIif6HP3RQRjEFNrmzGixGY4zlQ
BGoHZIvXVHrpLhxFso+qvHtsci/aq0rpAUaP02EFn7rZKKaaPNht0hwDv3WWyAr3KRoABiJJTlq0
v6y5Zn7XxvogQQRf+jo8Rbj5rUKrMw+akzirEfsQirtp/Z1AdNgRxLW/6mwMd+YYqSvXzT/mXtp/
bctq4RB56+Ck6Qu3FhQDjYvXDfJPytz1wjOiBEobsZB2qgzxjfA2QEU3d5/bNAj3loV9j14KMGpU
mk92oC/JK063zGzVwTVFQAgmMp/Gmt3+reJGZq6D7/D1+KChEABGAMbWwxgES4HGa+54NxZFPXIa
9JPvGCOmZ+ZuW3vDpXKG9oTO1nk0iuRkQlt79GOU8YoOmgyuz8E3HzBtDQooZcG2wfjALZxusijh
VpR62Dy6rdB+uIpvH0TpW8/qMNqPeuipC/fKfVudUgJLGuwSx7xAxO92UzZaHDpF4faXRk1P0Cr6
S1jT+F4FqqAeGJqrhBN6ZfW28VypQ/CghjTOPReP+bqN/RPCiOFKOMHwVJVpf9HSyHnqTHvbSLs+
4zJUbMmg9r5fpQDSivja1MpP30KTZeGofSvyMoAjIiZGkAdg5PY10mY0wr5q9KeoTDeIJHgbYDyX
dtSbtSuNhcHu9xpRF3kyfSwgT/Y8sAG65wRmUehPvdJo60LR7U1RlX/eP2vu1y2sH9rFnClkPVxo
t28UR0MkgaImF88IskvhVC9D6JqPYyz/c+4/DUSLlLoW6v7qrE4H891rDVElF9tXsoNbtL/LxD1F
XYhisxafM2L/VRmn/1nDCbi6STMQ8gpQWVbf7fu1uRe7kZrml9B2/c/6aH4TQ/DRkDFgFtdpDnGQ
e7v3P+n9vE1DwgPQJ0uWOy6dByvbTsc6vyi+Y51tvxDn2lwCR91HahMCkPyVbAO+qC1u30vt9DZF
4INYB+jHNqoHh5prHm1tKxWrXoh+pSRtvLCN7wONSWsfcRzoaiSDc8Cj7WS+h3a4vGSD2e25gpWX
ShrNUxk5P9zSONMe16hB68M59yhxLOyHe24Ac/nv8NPj/XPMh3akjFFcycuolqs2ffaSRwVUVtdi
G9jhXqWaH720PRjA3fPmZ+60FNOQDSqzDwV2rNL8VBC7x/V+LM4tTleU1b87sry6fohxmPYSuEtC
jW+tBPItZNxo2kOgmn7+zwO7apZJZwhxrO8Qjq49V2wdN1/yc3trKdBxIf/hCuRwne0sVYUibQaq
RAEn9o9JGPBx4uzz4KTZaoia8mqPxlIc8MaYqBbBHuc4d3i52VSIYrCq0TLTy9Tet0C/Gmb1Yirp
JtSHbVR46zKQRFs/EZd4iuSH1HVe8lZZc3mfkPW/Gnqwz7qlPXF/OoNLmNBGLE2AfPPKbj/mQyNj
LbtEefeltuyciohqHUcjRVWjkItp8f1HAIHH6Uw4RA+Gg+12eqUoi5B3bi5Ja2Rf4iTxd2XhjJ/D
QQC5EiHc9MSIuqe4Et6xNtyXjA39KQsLoiEbgcHSA2O2ci1ff0nrLDxG0h5/pK4ZfHz/QHojVZkA
9By8xEfoJk1y6/+uwzw0AYKVEmVzgpdDhSvlue50q1obVvy1d+url1W7MqfEt9IUK/tUjDiS5+Qb
C3fA/QSR2HJzEtGCSaMWefsckaP5XVKBXlRLZEl1pVN2TeUW+1yadAu1fEmk7b7ezHgEHdNRSY96
3pgCcVhEOZSsS9ji4C7SQm7N2oke09LY1U6vnfMOXYEm7KPNwhef4pnbEA0MCg1RMHhTB8WY7Ulh
j7ritHZziUPV3IZZJfbtYConr4Lhkdad8hz4PZQhWaOOBqX3W8hPwUiE5mUEGr/pUndJLueN1Up+
CBAKUBSLYO6YEmOLqKY0bS5pLawDkax3Ms0i29Cly78BtnW3bdJ/e/873B+A3BVgYqbCs4la1uz2
rQe/K/KwbymEk5I6WmxjzoPc2fuj3McwIJVeSSLonNJ/nH7+zzEbFbh5lElZXBDLqMAPptXe0aT6
PAZuuNBvfeuFJv4Q7FwAAszx7VCyTorBcTx56UPiBg9MCzWhcly4Z187ibfLZ6L+Aq/gcOW7zRWs
4IOSzmSq9xRVdKGtIcmOBFDnLDWttcCHZitz86dSxdlz7Lv1S9arx7IpIR3YZNnJ/+PuPJrjxtY0
/Vcqao9qeNPR9y6ARGbSJsmkJEobBCVR8N7j188Dqm43E6khWt2rmUVVhYIlHuDgmM+8pophb9BJ
cIUkrR1dm54HoqNtL3uhDY1eQU8gQaK60FN3FDr12+9+DdYWqQmkYfCf1A1Pp6jSG2MEROHd4jBP
rSaGu5frWb3rK0q47w/1i8SPQGQOKkW+P8f+4nPUKXq+QGLKA3SP54ZM7yGsOs/tYx+T8NC07ITT
e6+IAg18c5qlGJt6ZfHNQ7z9VAo+eIRfOpW72d5o+brN0BpVpjXNLTVPYduboe+G1mh+7Mwk3Pdx
Hu47ra4PXaBc5x0+h2tTsNzWCmpO8ymDwjH7S10iscIxNMLC7I3bFsHnq96Uy4uw9LeDNyu9iZGb
RezsQFEn8vP4c9jq3oXQQQFsyDkeCqHDXSgpg+0YyE+Dl/X7PJRa9/3PdPaITA3JHyVxljIX87yp
3uxPy/fhjYxqeNdZ5feg7zXqLmZ1IWpxflAqQLNKmLVP74951oObHcoophKnEnTyn8WgfoYQO7zy
6C5VVP/Y+xYcIy1CRSah7WkO8K/RUw32giI3zlAL2TX66akT61Oh2YFWrCUFy6vv9XHw0PwZoZBx
nc5BC5wAWJ4Z3vWC9TWSm6dU0XZYyGLKVebdypqc3+1kTc7v/mawxRYkbw4p2RvhndqG5pWHCDdo
AcRy35/i81eCvDi3cwlwCczPblep8+Vx6MI7ubHSRzPxyEP4yk6FGc9eIqtcWerLY55ShwR4kVCG
nYY6z+KYl6nphF7GW/W+9nXS1PhCi5vCCUZh7ar85UhzD4c0ldtrecrnqkAO1w7hHX4hpmZn6HfZ
ydApk00CGTnvT+Nr//n0a/FeRL7A/+ZrRVy8Vx/D5uSYh0EgNU6hRFvFnDtYITKC/TBMzuS1D0UM
8oiSOGwcw9X8cS+m07ZI45txGuFYUBhPSGIIbmykVba+4l+jKHMZ+vFK4L+MqOZvMJPO1RmUx52+
eFak9Awv0q3wLihGGRJIZj5MjZy5RYcWRS6G/SYfNc9Vi2Et9/zVN6HZpSHnSEZLL/B0A2WxWVX4
14V3YaqpttRGyhU6up7ti2r2m8Sj+SXpDs/vCRqFa/50KGHSR60KkeIKQiPFjnbQHcHq+5Xvfr5J
510KLI9lRqS4bG16QSw0UedHdwXcRhoGMaEYbMLt+6vrV5uUq4EUjaWFiMn88zdnr47QITTFPrzz
LO828b3uUFGXvSyFfrgN0VK7+J8MN3N1UbvA1WVxIQPewfGkYI9C9UCHVP9BmFm6lmB+lRN5cN8f
7PxeYQapkdMr00DMLmsgqK3KRTSIHHNDp9lDFLyUYolcVxv1uyQ17yK5/vb+iOeLUEFugYl8rTKD
fD2dzW6Si6BVe1rhqg62OBmqLfKfrd0pZb9yup5VOwjQJMg7FDw4YGeo9elYcadBqspkDdiGspVr
bztQCd0MZg0luW8uhb4RNmZgftXyo+zL+yG8SdS7fPgQpHd1BexQvZTAMcsBJdFk2obCIDuVkX3A
csGzpb7ZmomCmlS+8thnuSaPTY2PeuUs1QfIZ172bxZcX4T6YJFiHmJccuwoVfqNpeXEr0FkbuJS
Kz5FqAbaetPot5LYdZedhNJLZFjNysr/xbci0YGaS/qhEQosvpVWNZUexWhz420mXc3t+f0ghPBa
AXCvvPT8TqcnuDHbBwBV4HAiFVm0nNDw10orFYZDFvioNqEcuB3EKvv0/uI738qnoyxeKPeLQq88
f6SUaYJPV2TcG0xpFys0tjx/zf37tWu4fKnZgQ16OjaBINNPP6QkIL5jVvV48DNpK9TeY2HKnhPX
EAsDXAEuy/6zEPnXrXSdRXd6fxmVD2H0cYwOmnctD99886BFd/JsrTo6bdk5hX4HVO6QFM91/LWu
LtP+u9/4GAgjwrOV5e/m9HVqr/PmSxnho26adut97lEXH61Ly0TTpUH7+6kp7vzhOrS+9pZi93oF
63qPa59jSUdFuxemR1F0yW6F/r6x0AyLdlr5w+oueukjuvkdJUmcN2wj+CFYTq6ldhft9Vlr6Gvm
f+qF2M6ib/TU4wAaS/1shC9Z9iOFJW96KmHG5VhfSvKnwro1W1BQ8iZDTlgAw20kF5ierEQ7Z7nN
7IwJ2BQlY2rzlBCW829q4RCQS4EgbGlTtpb0ERV+7VtjDf5VKQc+6vCpdAFlQr3OgfbZaO8aa3Yu
Z05uPAVpxYwYJHJH4HveZW+2cxoPJoQurz80FRaVoXgZFftRa57xj6BYFCQvNAKTzZRo3yS8F0Xp
ORqp9mV2CxinxEVPuezC6Tqpn8zh+yS9WNI+MeF0CLet+iyArsin4ibOr4ZmG+XGJzWX77X02Rjo
IKOO4VC6WzkVzgMYYMLkpjQ8uHLP6L6aGARGryfKQQ7hYCvBo0D11Akh6mzVTMuukOy3FavUVoY9
a+kqr606MKGzHxxAh0VILpUZMmfaMB5alY8UGXW5GyYEMBPNa3ZqBCoP/eFOegoVb9ekWXKMW0W7
CfOkuIvzTr1p2tZzdOCxv31hU5rBKRDNUXDNZ+DIPI61IMFq9lAjSpsjYL1Vu8zE6CO3yxmM9v4R
dn5Q4vDCWULpT7FmFOjpasIu3seUOmc0ZG+3Y9FmkGCHNUDEWYOUyeaW5uifZTQRPV5sHQOKriwV
MtT2VLjwOJGbC+DMWIAeuzRlDXYB7TTN8SXBdyIfhOYkfY287JueF4qdVfURvdFdFSdON8C7V6ZV
u/bzo3xm13GrU7cgcVpmg2HEj5sRiYOi0HpkvhThUbOE0PFwMzrSZlF+vD/v53chv5CpR84UNDLQ
7tN5x1mn1CmPiwdZgJ3dWEG97fx8cBV9LXb+xf6Cqc9FpdFMnCkupyNNqToFgg90wUDybOOHQBuh
/ra2F0zXfrCjsOZ967X2w/vvd4Zxnb84MQdIIgDXgMDmCX9zTClpDr4oSKZDD0P8YwpQ8Yr2V47e
vjQeMorahyArexxvyPFVQfiWNwL6VeFYOI3iA6cgz9t1sFIvdFjwtphUHYZRffzl/cc8D1hN7lNO
AmohM7Z/ESeEmHtEY62j36F4OeSuWrrPylq/LdQpdPpQi1yla9c6oL/49hRBQCGDvSabWepLZsi5
VV4v8UXImKdBMql4YwcBHKBbWWVnOEG+AmxzUJDQb0iflmKOozAC1TItcCtypG+kTsT/t5o+JEU8
gbq0GvVlrNHpsorkni6AreOQ+bmwtGGnoq34uRriR8Xvqm3XKMpvR2hwU3RyOR6PasWSRibjEx/U
Q1EdaG/46CNpgl0MRbpyvP1qGc7dvte7Zf7Oi2WYlAXgGa2sDmE9gSxKgvHKRMTPlqAP3jSKoG6j
oXRFuQm3BCL6JjR65MCz6oBehOICzMq2eSt+hno2OclswDLGw7D2kPNVcxrYoYJF7k7HkJmgLne6
V8ym5c7X2/zQtE8hol+XsldVl2qi9U9ZBmwm8y2IkN6oXU948dw1mK+4YloET63YX/bpb9tOKrNs
HvgGqgp00cjuT5/HaGTkwrWqOARQ0z6oWl/cTmb0lA6h9STUkXHsRrD7QmheC1WQHEw90J9lNENx
H+w/RWFF36QUk9+/qmZRH2CJ9EzIz5dXVdvgfdPWdFUTPygewzoPtl0WT+77J8L5hUhrhOsXTDra
D2A+T9+9BcfdlEDtD4aZBtftFKL8q4/myuqfl93yi2P+CliACgDyIYtzJ0lAOohlXkLGJx+CUFm6
palNG10IANoP0W82SeYPyljUogkcFcCspy/Va2YxDYWcH7AWa67EViQA7I2VXuL5scY5Q6OXuGV2
YlluNbkRfTJvvUCow/chl9f3+SAl3yxUGN//RGfScbwOZae5jcWVPUufnb6OLE2BkQhWfeAiQ8ij
lby9bEQ7ParHXY4uxPeikvdh04xfumEMHaCurdPKSoxatPIYGdmaRtkZZnZ+oLk4NYc3iEGZi/Cm
aMBhRJjKHuqg37eqZptRgVQX9sIehOY0Fp087ZVjwEbe5Jboik1vbSaxbT/hujizP1Urp2Gf97YV
oF1jocB7zd817ThtOjfqEcXlbtS6L2YatTbykuNj11jiRZ2HlSMmTTXZgRICoUtS5ev7kz2HBycr
lW4O4QkhG/kGfeLFWVC0w4Ti5ygexBoIixpMYTabN1+2ElohaWqGFx2IzMdcKsKLUBQm5/3hz781
LVIk02iWqzP5bVmUM5OgsqYokQ7JkMaPnmnti2ga9l6ibEFbgnjvam+H5NeXrIhiR8s7fWNg6SBP
QwNtps9WGoFni5zHmVlLtNqxIzhzsvElvaG5lEoHGvjJZSL7wfUIBfC5TL21fPPsJJqHoucI8Y71
hQTO6Sr32qAZNSuXqC7k052gGbUzyPTJ35/gs/CQUUw8WqnJwJaATXI6CvSCJEDiXjzMBGEnkZt0
r+RSj+bYOBzYWtWx1LTOLRFdX7n2zngCNIIo6pLBUleDKrAsXQMYLzvTauoDds64yqVx/STgFLIZ
0l6+Khtp3BuB9ikTASNGuQ9+Eq+/w9gG5nE0MJSlodxhH+J7xwTB8X3R4fWbV+UXcOt3ZOmijXRl
czlaQ3oQgpp7nLLMDzWZOSeIJMr7AumsrTLgydoXwrYAJbFJMk34TNtE3o6dtWY8chZr8rpUYSGs
8g/NkkUgnuSh1eF4TeexrJBGpX61MSbMPqNRwixAsVq0rYx4t/J556P9dP8y6tyiAU6IM9CZlaYx
mXHaqfWhrqsdyA6j/qhRARSKDpi02xJbl2rsyPkurR7RxrH7/rKBkCFkT34EPjy99+t6Mx+zhapS
67z3ekQj5GLWQNsLEVZW1nPRy9u4iTZJftsEAi4IWyScg5buh5TuC0/BxxKxnbBxTDV2fZnpD9A+
vIF37seaIzT5Juj6bWREW9h4eyPpXbi4GxTxUiAKQYXsZxbsBzVz6yjZzIFigjBiwl/zNDce9o3q
A/oEsgLG2HQVrdpmJmbY/NfvRSygza2ahBtPuADBvUsMyYn9ryJPM6i7VpZ3tTfuUmokiEhVXRBx
MUKPf/8jnKe/FDjojxnklXPdeNmSzvRapFdViQevnexCmDDfxWMQ/TbrWlBG/zAyW7uBWGwj60kF
/6WeEKGMy8tRN34ISplfJFpmbDxaFA5m1b4rwDrY1JWp3JC+rQkLn+legChH+otSF2uGo39ptmHF
picJiUyJSWvyfVaE5TVKrRJFw164Uidfug3EJLQDYN1Sb6quWDWeWyeKdIXv9WcgDofMoEU+C8qU
zhRH/dZTrOxOSae1m/f8jARjQIufMi9dB/qQp6eXPqmNUo/gpQqqBZsxHfztKBvl/fvf71ejzMQF
mjUEnrSuT0exClHrIAe20P1M7MTyPt3oIipt74/yi6uOaAbUGvJIc0lsGRRWbRZ4olK3d1ghGZd0
wj7L+CHYVSq/DCKcPkVNsX3sdtTlnLiqEbExognnbj8Or5hfaSVGPW8ckJyCEKClTPoEP3sR1eRp
pVW+EBd3lZUpjpLH/cHMUO7OQl/bhmXwjEFx5/aA/JwsJ/QSkF92wrg5vj8v57M/wzhey55QxCGC
ns6+FvpDhPdLdjdZxrOl4s5c+GK+cg2eDaICh8cBAyknesxnTZLMqn0MPyLhMCG8eQ0nkepfPeQr
p/FZMDWPgrQhix+SEgnA6atEIctUkUbhIKj55DZJV7itnnd7qwAHYZpBtG3DXr8QRtPYgREUViL0
MxQToEjQzxxCc80DvvliISvylCmR1mu3Wh8iyI47qy0NONaUeeBvyDxVWFrUCW0rpIJvjiiohen3
0eoUO4yTO6VGrqyW49FBFOdT1HUAiXyhw12xMuS7wYqMvUnb+Squu94esXt3318IZxco2R+8LsS9
8J2ZtYBPZy8f0rRpGi0+xGkpbag+ZXCqIgpGfbOrpPBCD1txbU+eXZ+IznBXz3qyfDK+3OmYlTpU
TCMtnhQnJafB0uSuj5APMYZc/WaESngx5NSmpWnSbvDEwObS04uLegrN3YjEo/P+DJxFn9QmOY55
GKJC+seLaoaFzr5XhFMB38LEcUULlU8losI/hFFQV3b/+YagcQZtHjY0d8lZhhoMmurFAnCFUsji
rdHNcCWkFFdGOYs+mTUWJUyU+avSVjmd3haOw0itIDp4RpttowAb1BgJsy1S5/7HMu3DT3HuBduK
ttfKyOenG6Jg+IbivAXXcc4iT4eOh95TW70pDm3faJshENsbXBgiPAijba4O8daH22lXSZBfGPgc
dAg2OlGmdl/f/6TnR8IscMSFC4CGIvwSLeYZvUqvpk4PmgZOBFmRZtdohiNFY39fROOIFDoNnlzt
kVn2anllFs63FEkVMvkAKF+FPhYxaS/jFDGJfXqAXhPYGaSpndpq3YYd+BB1selmUrTmq3ZekwP8
wPljimQ11FiWFWkkUSeEvkz5lotLdQlQC5dIr0g3Taz6n31BTPeBOEHyz5E9tSn7BHY+tEiy+3p8
kxWx7OTNVNB8VMQvWtGy6eMiVq6URLR+d7/N7GpkMWBY03AFWn66RqIp68xiGMRbVZA/0CXvqDip
6Pd43cr1c/YdwGeQBAFvoUwLr3vejW+q5UIKXqLIGWgSDkaafjawnsxy5CeqKv7opd5aL3n+fSdZ
wTwenYe5ADUr8C8W/1SpWUWrX7yFftrYgTGEju4nycpbnR1X8yjIRpPrUH6m+nr6VlmceAjG9eKt
IKRoYeMPdyFzYtuU2aeVCtd58MRYKnSWVz4bB8niaCyGUErTqRZvA10+KjOwFoOX2FFBRL2o7dDt
ulq88Qr5GOq1LYO1L+248q2dn9ItzQbz+/vb+lWpejnDKjgHQgqaC4SOp++utGYVDlYp3pp+MW4y
PfBc5ECiSylXWjsRPWsXiUG8nzwx+lHouGPa8JKDL5Y8Kai3N6nlYqpV7yrfaGycx7OtR6tip5tJ
uUdt8vugJ8Ee+KSwE2PtxYvjYlNW8sgxJShXWh+nt+GUB8+l7o1PFfrt+ySXtas2VPVDmTWSw3mO
BavalddcZNajlLWrDjvz2X06AzQxAecQb8Biwz7+dAYMI4+iVi5gGEqtvtF76ON9J93HkexYea9t
GFPf1H2Fdp9i+k5ZCeVKwHDeK6esgF8TURfIoLncevoInm5Esp/BB5Ez4VLRhOtW8Wu3rIzhKkWv
77IOkud+6qKrTERHEJPJAu5BpOC3EafhdZIwoYo/STvcabsfepOoG6+uXGVIoOBHhb+vCHJ2EVe2
WxL9uL00iNe1mRaXZag0jiggv+9MI6zKaVT0m8wLVdvMU+FaUqQSz8WMs95AtynM7t5ffb84YhEH
oU4+a/og3L48T8pBKKK2jGHZjIqwVVGj93SlRmwjlEqOy7Bpr1PBqjZVPO2Tfjo2ZbJJFOxvxa7W
LtKIHixBYOMd6X9aG4oah9bslZXT9fzQ4yHhgZBWEWNwEZx+HdMHR1WZtQBWXC0v6zFANjGBvRSZ
YFTCKhrsulPElRvv/OSjUkvTiZKXxcW3VN+LsCMqZk7GofT96YhuWHUjBtFai29e2ydrfyYgKWAy
Z00QRNAW9yoaziUvgYiCyPqXR7V386GP3aaPSgClqz4E56cfRQVEugijqO8DaZjf+s39YeqctFoy
SocoLtD4Lmqdmkg71E95rwpu6VW4Eyjh7VhL8kWkBJoT52jHy8JQb+QoGY7A3tZCu7OvOz8Sgl7E
FhxsNFROHymr0QExRtR0kKB74p/USdIi/ZbmwFR8VQw/jN6aGPvZt30dEkQ7Aj7kOa8aum9mAZPo
QR9zTzqMoeY7DdKnm2jI+98tAaOERM9yFnqlSURR/PTFRBHp6piG6EGtJH9rTon51CLfvk+FXDm+
v4/PgkMiM4ahE8UEwhZb7JCo6COkh5HSE6u4vQ3jq9aqMAO0LCFxEBhSRIcWuyuj+H4JUXhl8HOE
DEZfrwKSVINotywxEVOMp1moN+mhRwJvh/yit481o6IgIUmQN7G4Et2+FB9FMyjcrk4knAryzk0p
ittFr3mO7+vjypF+HrbPDwXsmHmZaYVL3roZdwIXe5AeQkWtLyhqi5s8z61d7FeaHdM0uuhE+SHQ
BicWI5SbwnjvyclaWfUcC8ZjUB2ZJW5II0gkTheBAqQSk58+OWSldDOKoX+D3qbiEmUDZJLKfJPA
6dhYrRhvhgyD7yTOVoKr8/1FVEHqQPJANeHMKiOd/JirpYMn3qpHVRX8iyZCOUsIimaDnpebKOXa
lv7FW4PTAiANR0fEKEedA743GyxBsrOp0zw5jEVWIcVaWF+qQMCRrokpXfamCLyDykFExYxFWpdu
PVgUCd7fFOe7/PQhFnFFSo0orqo2OQhxKGxLXYjcJI/8D789CgR/ejw0aCHiL+FhaWNJQpxGwUHu
AzB2oiRs+gwS0/ujvDJSTy8KyjC0DKFuIwRIzfV0RsNRVMtmzIKDb/UbLnOstj4mSriBq7QdtCdL
vou0y0b5qPaZY0SqDYjWtpJ2MwrYDbe3hjeiyRziVSjaTfgsT/Gtkl1q6kvrq5jGH+XggzfgLBED
vWx7x6yBmpTJnsh8a2b9B4hQ16bffSyqLzk+aW5VfEXx+Pe/FyRA7kCwDVwES2YypJ/Wb0PZP+Cr
cmWmgoxfRL0a8cwZy3IiTUCEyAnOJIFlvI3O7ECEUgaHGPH6faGNhuPB0tuPVr4NBMN3semonN6M
LMcAS7fPElmywV3UK1/0F6tzZn2BbwY7SzK3uB1qhD2sFo2RQ99FCs0NDAfFuUL6/ro53/xwy1g3
8wmAZO3yFCxaq/NDI/MP2VQ99uJkHcvaaB4FDiqcUEKDFIcF/PDbgxJOg1Ihrge8tQzogxoQVWAi
LzSJdXIxYRZxBbAcDxZv2Cax0G2IRNfcTs9flJSYiSRVxVIbgvvp/qjVIaAr3GQoq4AP1PRI+yia
U7Mxs0HasIz8q7BMk937L/pqxXG6mBgVcBJAExBzKFWcjmql9NHKscoOjXWYcs+RAjwOtQTVsdTO
YRhM/baFp509DmBwxf4xEcjmVNfrLwpvX1Cr0uPbpr1AvMU2zPsu/KKWlqOP4z4e95KCQw30L7hZ
ab5V+sCOlKOU3ijBrWFRBva1+l6fpO0oglmvE3QeazvkWrXCdOs16a5GLrOTmk2DZKZRx88pwGd3
TMDMmhWAxaDBMaiv+v37UzJnSm9nhJIEFTocZ40ZeQNA8nRGjIm9LfZh/5BxOexLEW+0EkPIvZCL
Cr05dBQaozPctFXXjsjXqO1kaPRuASMRtM+eDpQSToc2rTSYuJSSB8QyZbtBhPbYJtpdJTf+BR4u
tNB85tozU89VIra33vbqPmpAkqf6iGRWl8o48+rhZQ5owMni1NqWHJkGBq7HKcV6a/A+vj9ZZ/0+
5CXI/M1ZepBVdGb3OAx+HKiVLtyTeu8RUikuc+BShyJIalcotGovtPUm0cRiI/QEMOMgmq6nCtJd
ZIbWfmhwOW4pqeujjOV4JynH0eyqTZP78V0qR/LKcj9DCc6IHUj5GJRwgtL8WGyyEpxenraVcj9O
4TFrsAbKBBmKAYTNJ1DmXwSvRY0MMQNHlL38xp9MzS51q3VQIfa2JXZVDtZKnTN7yty/P5XL4xTo
Ht29OZWdWRxUi08/fpxPQm7lg3zv5X7gRrpQb1o/8FaqR78cBZoMNmdw8enUno4yFEmQ9dNsqTGG
xRYbPrZeWTYXK++i8GvermQKbYCvgHcrr9nD8m7oUimRmkTQ7gNDIisz9Y8JJglZUKfOYBj0tE3x
GaWAS3pC39re3+QdxuixVmqOGkcv+izgMdatm3VR4Y4DisCW2VRung7x3sos6RIllk8VFj92GxyD
IAzQUTY/RJo4bDolyy8pwOscG6RGyK6UjuxLgZupRnlteam2D4Iic6RJiLdUbRlRTA1kPRsk4TCx
drJSVR/NWE94FKN0I9FMVq60s33O7DA1tBo4dQlQX9ORN8FlWPST1eAheE8Q5GpbxOCd0ekuQpf6
/9Xg5DfBBu7fofjSvIRHb+Vum9fR4tPMsHsQPXOdkvTxdAWgwtzIQdXI9yBB99A71crY6OpOIo94
fxGcscheXxM4BmpVMNSBgJ+OhC+jmXIsyPfFtbnTd/HtsC0upC0UbNt3JVvcpo6yKz52rnGv7YxL
cZPt/E1gC9v3n2N5sS4fQz59jEFv27ATS/keCWFbQycu0b4oxa6SdeCmawuf33UyuTNv15iDMkIW
dEYWr6wqc5klQIptkDLtxjD9j3VmWStp+XIPE6kzCKBq6n3c2EsDDCKtsvKSFFR1iNViHkahC7w1
XHmV+eY/fRVgfnOICecQzwh9cVJofYDO61RkB731sXaGhI1WdO7PlH1vg5LGF3oG6V0JmM4R4mlt
8Zy/4wwy/Fnmod69pPJRNR4hqDJ6KcY6tMoxn1OvNVfLxSigwGb4Aea8c9+d2t58jL3ZiGlCSShF
keJAaTdt7Qn87z4h01452l81M97M5c9xKI4jEEKRjD1/Oo5RoZsB6C9FuRFgUtKY7a7Pi3s5076L
kyYhWamHox2MKElBsvM2Y693N1oRFi5OS/oeIcN6U0pBb4udFLqx2WzQFwTp2SvBVhWTHVnhNo3C
jYj5smP5xqNkxDeRGFsbq2y2o0INPrcEbSXdWURKP9+KphENrhm1vdRWGKGUe03GW5WWfz+q1IIr
vpUGS9RG5ie0VR8Ry0ISzd/b0K/jqrSPOMUJt+jdns6mZfpDW1pVevCp7X2wij679Nr0RU9Sz+6F
gUZa2K5shl8sFOAqwJeptvG6SzhDrHKZ9GWYHBpDDfbeOJlOosCbej2p/u3b8O/+S373c0XU//wP
/vwtL0Y6u0Gz+OM/D8VLdmyql5fm5rn4j/mv/uf/+s/TP/I3//7Nm+fm+eQPbgaxdLxvX6rx4aXG
deh1TJ5h/j//uz/84+X1tzyOxcs//vyWt1kz/zYEybI///7Rxfd//GlxLvzb21//989un1P+2q59
Tpf/98tz3fzjT1rtfxHtckby75kQwPnTv/zrJ6RAhJTsFVBZf/6R5VUT8FeUv4gxldnMFJcc+hwM
Xeft3z+SZ/4NQC5kCzkZ5T//9Uwn0/5fn+GPrE3v8jBr6n/8+YpS+6/9iq4ddIeZoMDDcTvzm09X
mP8KLel96oFa0TyaadvuvUqJvkpdVZm2r3TZp1A3AmvPXZBc9FNfYgA8KL5rRZGGBVQzVvsQJecx
gOhUNrH/kFLJfFAgoB2i1JI/jdCBHyWt9r6AsVJc7Bnsgi7GrZSLY7cd/MzRxlj94AtDe9UInfAg
yKWyCQdv+CB5TTTZ5gDIO6iM8psnDltqhc19OMQxph2VSnYiq10eOL02mZcpjSksBxrMLMK+L681
HXzZ/2Dh3oTfqrzOfzSnq/R0tf8/t7zp37+3vi/q5Ln+Y//yXH3/Y/zj5tsmz56T729X/Osv+Lnk
DeUvqrlzrwRUJ8fIzLj4ueQN+S+wsnQPqLXSQUTD9T8XvaDJf5GYz5VgUnTKA3N74e9VL2jKX2Be
uZ5ZpJSdWPu/s+xPb/wZZ0Oyj8IiCR0RBhHM6aqf1LqpvQzaoiJ65jazpumSY39vBVO1y6SgtSUv
DredVH3OrTWduOWW404E7kOBY+4lIUizNBOyGsARueVFl11cV3eFWFvokPRe/okzJH1OskB4AHmf
u53hNQ2KdsPYOcynFDsoCrlBlnfwCgrpKmp1wv65gX4VBlkibatEzJ9QfAUyoeQwD21t9MxvSZeM
l76lTw9T1E+PSlTL37rMCj6MU1D+ECKUv5NpwExIahEVlGIgM1PaP5MSPA5g4WsnnUwB3eFQFp5G
IQsxtw13WdZCGdAVQolO7oEbaGJJby8QPPFgoAf0s3D7W9fF/6e7bs5K/u+3ym370j3/4TwnL9/z
LHw+2W7z3/z7hmFXsSnoDhObcJbP0I+/bxjN/AvWDmE6u4am02xm/vcdI0jmX2gpgGSAgIGq8iuP
7l/bTZb/muHl1CNfOSL0VH9nu81B35tLhs7C7N8OxhbSKrttGT7lptH4ql94D2nxtY/A2X4K8pVM
4TT1meUhGYL35ImB854BEwR6B2OgDt6DEopuVDw1FmqZ1rPkPzbdmmTwol/1czDSvBmCgG7N68X9
Npj2QqsHgCMJD/gqBs54a5XuUO6QYjEwLlT32U5eI1v/6vVg7HBkEkQAKF6ksmLUSIWKYtJD+yP/
kn9Qj4Fvrw4yn3rLz2Sp2FxKmJwRDSwG0YqoN5VM8x4K4r3O8EEhV46q4Sfnr7kw/OJ9kA6da7+A
HznXFkN59E58wLTeQyNmjqB+KJInvShszIzxEl1DrZyGtK+fi9YWdFSohrBTlqJGRjXkRY4R8zEw
8QquUEPLVwoAywUOipTVzZUGEZ5/vbrAv8muenwQsiEY/WOBqDcgONHXNkLbu2+2/t/B29tg7TQL
gVO4GGWe1DejqKVsdqM/+Uevcz3B1pVP3kHfznobVJzeH2o5ZfNQpBxAxNlWAB4WF6RU+zDVLD84
1kVXOXG8LTWMMd8f43VW3q6310FmdNxsZwdJn+v+7fsMvaJkUZEGx+o7thvj4IzFtsouhq/5hfwV
bYogd4LBlj9RTgfI2P+eaNPP6aSHxWsSbxBiz3PwZjplMBtZI+fBsUs+jGp5DPp8n0vxtx4B05U3
nZfz2Zu+GWpeP2+GQsE/MqQeJ2r08SBpGw9UhA7lVr4ebtLfKnuev9Xiy9VVpxkpQP6jpHcXVTA5
frNG0FhuXr4buFbCMxAkVGaWdFpRB/xlJRVvI4JwH7UrLaSMC9CokaR9kK2dfeeba/4+lGY4aGcY
5RzMvZ28WlOKUZH94xDIqNhwuDYba426/qtB2LeAQGbBEpiop4OAmKUDWHFG5EH8Q5D3KNB9IIlY
WfLn24qYc+aVMnFg9pfEx8jMKB8GcnAsGy16VCWoP4HhCcHPJOUkuX57UPxyGGhpRARE2meXoTiM
lQKXKziaCPqPU2k6Eknbyrv8asZIG+fQAiw57e7TGautBLaA7nOq9pXbJrdBgvRksOaR/YtXIYCF
z49BNkDQJZQ6LSd90mA2HKXEkXB8cypVWGu8vvLlTrcn5cU3gyxepSnTAugHg2xuDo/KXlZt61N3
UDaq4++/PtxNzrgBkbIpLtWrarBRArsa7fv3j4hfvids3NlATiYLWjxCXOl5EGD2e1R80tcmzm/9
rHH/d2MsztugTkLLE0u+mJrsTex7qn6FjLL2Fv+HvfNYjhtL0/a9zB4dsAfAFkAakqIRM1NugxBl
4L3H1f8P2F3/KJEcZmjWs+moLlXVSRz7mddo53tiioEwhG0ZHYbWqjeh0XltXV+TfX57ELSV0fcB
67xO3oamLwYKFXS1knofR+4c5vv/zUT99wirh7YdY/ovU88IXHCNHLhhfmWiVh2D5ZpedAj+e4hV
A9Q0OxtXhjE61Ft1h/jwbvYi55i5lhf98rEofo5OTz/M3eA94DjzMsiO/2y5+l9JMP7nR0DCAgRP
Qg3q6Xy5jHDo21qmP9gl3U2AH2EgFX9/FS1U53+GWOubBVFVSCHyuQc8261oh7fW9v21WlWc//MR
FBNehRcwP1nuqT+eB70qzdgfNA7vC0zSHezUbbPDHv3eePCP5ubH19u96bGO4jm9T7bqvtjWu3Az
OT/f/x1v7so/fsbq3Q2zuAmiRIkOljjk3RLGXkNqrSRML790tS1TRYH7npjRYXL9HR7dv5oEDrc7
tzSZTFc4QNI36abcASVaBOEsp3gMtteEVN/8TnokuCC8Rm6r75zbWIrGwYgOgah2Q1dl3ynY+b/e
n8zlP3JxIcPBQmoIfQLaEOdr2pZdSBwvokNUPPha7KbS3dRpbgGX+f2B3vyaPwZabR4lR3K06JlS
msSuZpUObNMrQ7y5QVW6IQtmgHLYuvUyUpuZNV7Gw/0Lrjxb5U75HIxOvzc3lTe7motVkIv63aa7
C7zU7ZzO+Tjsw1v5bv+/eGMI6BFGAhjAr1l9bIdLtxHOWXzQi+ZBi7OHUSk278/nK7//fOUWRMkC
ayVoo1a3utdE0UVzjFjDIch781czS/1Bice2dgoAYoNr6MP4tUfz7Hc5DumXaUbkrkm09FTqfXwv
tFF9Rk43uq1hUCOPMUla7hRx7//Ab7LidpyLDApy3Fb3nR/Lv8dAmX70IpMjR9Dvvx9kA8kGhMa0
2a0t7gUnrHsJTTJEPo9ppeIKguFP/lHkhnyvCp//b9SzZrtonBeQR9LSSpxKnvRxgTqODXh5JX/w
oQTQatFm/XmusvAeeLvAgWWkMr0Z4S4WjpXWUDrUofdxPqvVIfJ07JJSx+5Gw0cNfvF8gI1bfJks
eSz4S4CYqHZKE2hWRLF+v78IF/UJqqcotvLALCJkizfC+fGZTBFVfj/Yx66xUSdpRVw0940NzdBp
0q4/dlMyRR4YjzJ25o7cFRZ4Y+m7eQCSDMTO7z69/4suMgYIMxSnLEo04DwBQJ//oCzXyzyK4v6g
Gv7DVD4XuvF7hoiR6weejr991RSU7xZ4GbVVooM1wHqOoiQcxkBmMNkxFZg31+ycXr0/z3Y5mucL
xQr+CZqRwHXPv0cudTXICj1Cjxvfemdq0/KrAKr4s5j8tnEtPZefJa2WescYtVpxRGqYt3Ucxr+z
KAmeOrsiyFPbBN2EXJrS+tQFfRO70aibn/zWJ/elFVn89C01e5LGsfzddkL+qTZz921Cj8l2fL/X
sBkwxmZ0s84qkbuau7xEWtNInkVlG5UDKQm5ykZBxzIw1OyjhRHxCSlbLQR0WqH4YoRanm7ge6s5
nlBlfh/UeZsiN6Mkxm6MSMydjpDxL+m3PGPchbBD2KSQpZca4/nkmVLVhG3VR0fJKqd72cLSS1a6
2qX5XhR0blKs7cxGurX8QnZbH9+WIA9+BEM1bEJbXKNvv8qMn68l2QUAN1Klhdh18XOoxXdVVSTH
RE4gIGYK8r++b+2lScbjtFWCO7rpibvwTg91WZpON2nFSZPjSnFGvWs2TWX1D7Xhj/iOgJGei1Q6
4Bocbm3oIhQGB/Pg++lWGqbiXvPVbiuPlbJNJ2O65Y7EnHvo5vs+NW0vHPTe0eNWu3YrX9QfSNXp
/pNEa2SdpO3nUz4g41TbrSIfbTNdrqVCb3/31mLXUhaKehcVkv4V05L5RlNqbECLtNU/Dhq4hH0t
g9MMSL+PuTXV3zsxT09zkoefeOmUYzOVKD5OKOhM7lQMyJhlGe/0RJCioUXbF8pxQv3loxElRJZm
1iX3QobW7cyV78suLsvWL0Uzxy9hvagpU5CJftHOC0pXWGEnu6FUVWDCRdJXLkJEI8jJZg5+lX5h
f5aS2H4Km04kDk7OaotXlZl8Ufuo+kHP0R8cpSzlTxU11cMgxe29mnSd7vTCljw/TUz9WklzBaRn
X3PrQk0gkKYOvXSwzicZzaIUXmlsHxOBwGdTVbDSOjnVHKmypfuuNvVHIiXpLgvj+b7ReAdQq7E/
v3/TXgQ0NIZB1sGMo4AH+3QVI0qTjTie1idHRHGCG54rwzPUKLgSSaxoJMsZBptA73kRH+N/1zkY
DvORZERZfvT9UnGqoRMf/Bi0MCoO+4SPduE6ZlMgdr66aMTMLbpDmZ+7UTMBlwgH46nh3G3/+tsX
m296imjxLPn8+QIUbRAaKGHnx3ywrG3dFsZmnrNrEkeX8RxdE9ry3F6UVnhqVqk6kkZKKGjQHZE7
bO5CgYGMJQViby1Jezklh7aosg9KYOqbIZV4YaVI22SBkbkdFPQNhuSjU2lz7tJeQy/GhxqtyJLm
zVnybDVYtXbDmO0Fsm77rkElp5f68q41qsq18GVzZ/xgIF36EZZG2jXA3rJHzy7D5dt4pelP0jXi
qjifwsAKjArV3OI4QKXzGmFKbqPLFJgRsN29v1qrHizHBbYPOHCU6xbaz5ol0c6d3uvVXBwt0cZ3
9EPFxiwhS4wxmk99iuxI1qfJ0VZ82y2BmNy8P/zFQVmGp59sqrD56EGsShVCpIU/IRVwJDCV3FGM
+FqHUXelLbVS51guBU4IEAtOIgIddOfOJ7QsI7kp7bY6lnMHTKHFLMlJ5nbeJJUId2oWIQVMseA5
yHzBq67cA76Ayavo0l5NadxmHeRJfB6U27QdVWdOIvN3hA2qm8zV6ORE0SEvdha5lhyo27HMr6mu
Lyu+2hGQbHEYWsic6LuvdgQs75ymb18d7bGbXcWoobvK8NWMxji0pRE6qtRembSLPgfJ/CJg9jos
AqerpQk1P+StnqtjAiwAyjdSgFY7axvoIMwR5hgOkSzpbpIqV2qab30s/AvwjCAbKcOtVqtVcWoN
KugXdpIpjuW3FqD+eU43ep2XXiLr3aGw1PLKqG9sReaWoh/NN752/XDIdabLjaLVR/yGEbgbI9/V
p/Aahu3yaJNOk34ihQliGbmY852II4He4nuiHJHeidE6CV/adon8h8T33j9al7OILC1raPEIkQca
y/f+UZHpgqYvRWhoxyDnaNl27G943+fdJGXCFTBfPEPCO+X9QVd02eWksUWRjaL7Da8ROsP5qGqA
+qYYCukYRyMACcm4aTDvdGwf5kaLABpK9SA7jhDCt61vVQ7qDM+tr5eOn1wTtblcULJriuLg7tnH
cBvPf0qtNXoEm1A6hi2NLdQ2fo9Rd80DYtmL5wcTAYJFfg6flkXBfjXLqSZnSBrBkQMaZW+EWqCt
oQaRpxVWtuljP9hdmeDlV58PaMCwZp8S3UB/vuAjT7olyUZrHptIfCsqbRf4deLEevhx9A/IEzg4
pQFkQcsyTxTcnRCQS6orR+Xyo5Ff4ICCVkdiFZGZ85ldZByJw4V51HLbQLNumm/hU5h0BYpp0dCS
r7wSb6bS0GCWLG8hlq+5ClnO88VraR3DSJ4UD9aK+jUHS/HUqHPcO3iy5s/6NCP0l2qjMbuSWuBp
7kep/rPl3f/rcuqiZ81rabLbATqsocpZhUGSaZT2UaDb68iBJLlzqvx+f6VfDVbOV5pmNmEi5Tc6
wBcOtFMt12nk69kp8st+coY+Y19ZcQsNalZm10j79gb/aEXftXqnD25SmVPiZE1e0EuNYgGb2Opf
5BLIoauH4Rh4lj7YqVuCISKptMpHOS0Ax2t18mXOEJVwjK6kxh0qRgBiXvjWEwlZjpBqPYxIeoja
9gYVXvtkjAl8mql+RPWqlr02xYuUFDrqb1Sc7htUBH3pE2mzmrtx1NhfM6VGtwoQLTCDwhDo0UhJ
JcEEmNVTYc8ZNSY7lyWnCf2cX+aXXeDh52Y02ybGZNUpE9t+nFSwTS5nEFZsWBbPqVzJP9+f8jf2
2SJozWZCvAhUp7Gqm2GVLpq+astTYBvdtrLl0rURrMf3npPo6rGdIRadFnszjm+NHuRkEJfJqfLb
a229y7sLiDOooKVPCZthTZrAwTUzS6WMT7CzgrtJBJDhdFFfu0wuMlLahmTbaBQB1mE9Vi+tbDSy
Uid+fBoCM95XkWzdBbgqU69ZFF+Rqdr7VtRsok4Kn5VuMB022jW5qMvLBGFf8IlIG1OJAFN4fplA
HRP6XKCGLcPAv6eZPZ6GsZYfssI+atNY11cqwW+MR80cAD6UFB6GdchZoncI92mMTlkC81gKg34/
q8tLBJtnawThtW7cJcCCdxjEJHTSRaSU1Oj8A0nrEYNAn+40Flm7n5q2d7tGDzbgi4Xb5BW2L/PA
4bML4YzCTreFbyHS6ffIyFigakczyg/D2DY3YRCEXkzScKUPdhnqLb/wVSwMvNHFlMBUCjuqYfHJ
UlgCo7aBUzG8S6in79uFbDH2XYWb79Wy/Bv7nC4rgg9LsrzoqpzPjVzhWotofHyiTBXuB4LMLdXE
aw3/VyzE+VVqoR1NHXyhu1IDXRUFRCiPem8JwAQmpSsht5BAUQDbGhRld1CotW3Zm5qTJKL+MBld
cmsEsenloax5A8gN7/1rZlnw9a+BwADnkioFbObVLVMpY1VLeZ6cosx+HJPpt7CKo/CDr2hSPjRF
//L+cJchJ3EgOgZoRVHSvmjeQy2bzKgoktMwG+WdkALjWbLmL5QtlSsfdplMAn8kdYWfAXyNx/p8
NdvAN7KsUfOTMdvfkkBun+zBTB/iQZ/cWmmGjeJrw03WKo0XoX+x+evvJGOgFoC7IPZvYrWXrM4q
ooRO58mcTfk2W5xhS1mAlF9M9N4fCp7kxRriLwKzBhjJghdY674LJN9RCPXrU8kRLfdyH2mebFW6
oxVxk21KHXVPt8i14dtsTJq886VFeqfq4uJ7XqRxd2f6aZrthqhXM6+csTd0VIxuD4qFqPukSHOw
EdqsbjVR4NKjRgNkdFUCjix3obaR9Dx9EBEr4am1gNrYD/rvOKVW0SslbmgCF5TvY+K3pYNUDDmt
CWEXtSukAH3OMhGBF9RW9NUuuqnbmQPYv4Gs+MVSkcJyLMSsnsZu0rGKSuwIsW8r3mRCq2u3Tc3h
g1bm9rAEGtOzH/LPOT0p/rOdx9oxJc1A3yj1q1OD/Y2Tcxy9cMGx3cpljrKCwac1CCMbfedokB2E
2w+peWgKo7o3jc6wtiFaGz3BguojwVsBD0cquU/3U8kygH9miZ2QCt6N2XXqbUB181hUkv+bBBgu
UjR2MuTKSuq/zEpHz2k2knTTYTQxg58zx8zFCJC/IwOZgQKB73DgyIgKyLtEKYfSDYo27FwZYhQO
UO0UEmAWg7mzJZpNrAItAbDZ0/xYB4n0tbJauXVzXek7AEQV6p40mjA0GIpYpbtiLDIh9NtC1SFi
hIxMCSrZCHQmP8+GL6CW9ySY6HqkvnhC0IoeSdnEqurkttz1DtxmbBKxbRK+l4QiHR2/x2eNmxp9
5k4dU9OxekVqNwW1KMtph2q685HBf4ko4r74vZ7dT1MQovFs14XYGFKQVzDqs1l3khy6lNfpBsLy
dgesvM/06MQbgcFXn1qLbYnZaw82wWWO41dBbsrGyL+mcxdvEaKZb+RxbDZcAcZtADX+ONvYeQaY
eHnqrAOHH0N/npAtGR84fDK+BU1Sa86iJpZ7UWEmtTtndfRs09I7qIhEtci4zcFtCMPvHqjT9D2e
Ex3753nMrH1sdBiMNJKJhGTQTcq2UfLsl2VkPlrf1NSPte3bLKMVhB9bDt7XLvHNr2VnVU9SO6W/
ui5N8Sd4ZbwFOv5bcDNtTxJN8FK1TfCZlqUkPKvM5acZUHPhNA3WHIOe7JS0KpAm0IDyueRd2Sez
0Lu7SkzhzqpKCAo6EiYWtQk5ytyqKadPxUQ2zxQls3DrUG8SJ1CRg5rsiT7OSFyDI2BZPReJKn+r
mtquefuj+rmqa4Ql6oYg3Zlx9bm326hu3diaw22pCynfxK2+qac2OU1QbR5KJRoklMQDRDYjZVZi
eKbFyAhiiL7lkiUegzkPXnJceDj7ktAQ1EfShYW2H7G8El98uuE1IY+kUISQ5vEbXVRy9tkaS2cQ
gRZ7dZoKm1KWUlQofCc96sxjMf2skJW/68dY3VvNwDRMVYhPHmaNQx/JH5JBFj/D2spzYKOd9lnW
5gEjDp+dF1B0Mzaj1DdoTgaF9inizxrPlgvbcqNUdMd5JMw/JsOsDG7T2vPPUUkU1NHs9Geg2gXi
5KIsD3aQmkfZb+YX0xh1umyoLLtt3qe7KUCLJNC1nBJtVc6/eyQzmkx66GP7xpYzJCJ0v/kp6FV4
eobGtAoa4HOgJ6Jy2dgqXmgtqt9SQGYDftyvbjNoeDLpXVTT5LOUCf/zoEd9TrUm+bfaV/4T0dpw
CHxp+pQp1XRr50TrjjT4SCCO1OcoI4XV9CvGJojpqzq8IEeDW78s1FFyFxIOS+anaNcFRYV6HPFL
HHj6zN7jjkPYxeGejD/mVhJ9kIe4UDzWLrecyGrRylTwrblSvrkMBNEqJVSwKbu9MhJWD3jcSkqV
TNXJF012GzQGgqCWlXosHf6WGIN43dBP+y4wrkXlr9WY86DIRtyFnJ2upECzbtU2qEehJcGUdqeE
5Dp2fZ7dfahjYJR0qjF4coFrDKXZFgbyOE08aSh4oeIpaVnppjmu440vJ/eqHqupMxiUmuTExAy+
t5ubyWzMfpsPCso91FbrAsdUo320uaZNjwlZpFCHOjqlQZtPrqoSfzYKXGf4RzYqhKE1CiSKkOFC
zX+kiozIiBJ87EQq+iuFlUsMJLNOeZqMCEAvCegqV9BRI1BtrCFOqlr6ThdP4uPQ6t8zW6sfDDQv
N0Vd5K5W5dEu1obWq7NsdIfMRKqsiDkHwmzdwlf9D37j9/cindI9f79y6DSHzhz4456aQrErQc/v
+i5WN2jkWjeT1I/PWa2JG50i85Wg8DL8XAo2kJFZX4R77CVo/KMOGfPUjZNt1Kd+ZkqTqbDdKMTv
sMuEcWX6lvhytYf+GOoi0rVVJFMCyaxPWFngfBUhhQmpzL4S/L3xQdpSTqTztsjtrtUURhll5Vw2
8pMvld+H3u4eA8uqXE2SjN/vh5lvfA8oIagMNPpAK6/7QCXY+C6IRHGq29F0Rmq8jpHo1zR53hiF
MHbJiohoKfyu0pHIj61KwH0/hSPvXJv6BFBC+Vsug/i3QQM6gmhxgbhcne9Jlnza1H31KeG5cIsO
8/SyBXnx/oytBFfQuyR9XRDXVM1oK9E8ON9tc9Ea7aT6/afC+eZVDvqgTuGabun8RpHDvYqiWO+F
9XCruROijFABYzjZNRzVJV5zo4204UJnrHhzKzvR9v0vXLKYP/f4MiJVfdASaLdyWa8aCEQDAGr0
YPgkSvux1QjPtTJ+SZPul9QUV+qu652xHks9n0w/xvlU1aX+U5990I0fUXx8/1teIVDvfcySZf1x
N6jKQClxZPrubKdybKf1uk3v3bzoburgJOc+h+6O+81Tt6GTeLJzhaWxrguQwiFKQ67IZYtA+AVI
CT5IIXJVG09JlcuK6yfFRK1vgpDvIoaNBS7y1wAEkJ/HubeIMGfRk8kMwRPJKeYc3YzHr9zM+ZVM
dmUTAsmC38X9QkBMtxLljVUqK9dR6EtFNZ38LBq/dErbOYlBPmtK4XzTVbqPLYTmP5tFpNHKseGn
Fir28FIzPE55KbaIWdaPVdV/HJQm/QA7vPWmSsaIQE+S5/fXcLVHXn/qQqGlzYQyw4Vc40ySSWgn
xpM9m5LXTRWwkpH88v1RVrueo4xtPI8ImT2UP7HWlm30XpMQZzZPEwH3xyiTZDcpm85NqL3tfTH8
xwv4/6iu//Xq8vEO1TXqfp3zW7lg/s1vlUDb/Ysq0qKvw0VLQY3b7t8E19c/4oU3EZ8HhsIYvPJ/
MFzR6kUCaNHOAPMqc438w3BV7H9RkQO7QoWFziFwyb9huK6w2cStJIfUnlDdIoBaIMvn98lspGaQ
2lJ5kqWlooJmAmJD0KGVjW+ExosqoSbaRmDtnEydqMd0vYgxwVWVHQ2BGWuNaERGOEIB9MOAHGzv
qHhAPlvx3BJpZu1TKFdDDaa1bO7LRg5fALYk9687/f92HjuPu+N/3nmfvufd97Y733z8G/+Qq2Uo
1BQy0DLgugYr+M/eU4T4F8JHCGEu9VT6zmyv/7/1tH9xkYJDguS1kAuXbuk/W0/lPwhJGRkcqI8A
3LlT/kLCYyVMB3PDguFFqAZsB1lTyLTnWy8eVDMpM6s+9MYoPuOiPuG7LOs7aYIY01pU4sJI0z40
TaLeRHUX39V5on6nLqe6I9XZjSQ11b0Rm/NjoNulpwXa/Ejwae6ABBebmS348sfsPv37lf2Tnra6
Ul9/MIAbwAE0kmHNrgKygKIFwBEw4iCNZy8d53nTFyUMK7Wxt0oaXiMMvSpn/vnYLzMEXm3RXaBU
d0EniBujQ9JZbg59ZMuf9Mp+FNk8OWMmDZtutD4nqV7ctnka720zgjzR0XXEFSSl9mFaTin190mL
EEKcDriDm3b3oR+QnK/btKJgZzVOgVD8Vp90cxcj/nCjheq0f3/Klmju/AsASaGzyiNEQZ3Cwvka
U1EUvP9Ze4gNyjl21nFjxEHk2lqTIhRpHuS4bvCA7g7vj3vRl6QX+Zps0OMG+0O/5HxgaYz7bM7H
9gBaqrud0GneqUEZ3WVd293iNVw7gyl1N0XgD/tykiQPtYjGs6z6mm3HW7+E8elNgtfiKVgnPykq
b6WfVt3ByI1mH6eF9sEK5/5D1FX0tgy9eaLupmzbRq5vTCMGV9UkvqMXVFWvzMkbi0HLCtkcmxry
4lB2PiclKD5Fzsv5QErZ0a9KJ9ceuuFUsYN25pSOx3psTCdCAdJViIoeOE3JJotIonxqNzed3Fsf
h2RIPwMiUe/Tpus/WVKaQhu3td2VH3t52AjWwf0Au+eyuVhALTOVNAVpfrCqIbo3w6r8EZYZ+K08
au5DbYCBMtZi1/lTfohLUd+KHntiioO5spWLZNxqhZi3/DGiH4BwHqWICOj937hs3vPNDV+Ec8mN
CLNYrHngUhdUekAN/6BHjbaLSwxyZpX4MraTa9Tli5YoEQRKERwhk7sSsO7qINElCG1acuqhr3Q7
dyx8GmYH7iWUjTZLI9WNQbwde9w58JoMZPmZEtBobqNuitONXdY1tHQlUhvEJZRu3JpBZYg7KbKV
z71WaT/fn5jl5j6fmOUXwrTWEWk10NM532iNURtzGyIVigRetKt7f96Gel/u5HZCqrWPcdRM5+mG
8mruUTe8ioa72OiL6PESWpP4IcS3ttro9LTsUlyGDprSG1/TCZDkLViQRnWKXJcPYPMnzWly1JjA
yukJsNaUaoxnxim0nVhujG+ZnU6512Kce6P4pZE6I8qsJ01PzR82MveOOTbGHVg7s3FFMqFyGwpr
zAEzhuaPqBY6bKgQUOqmyazunuE12D32EDc3NSiREn4NfqPOMCcKYhVjP8xe26nz7DZFnmWu6o/6
sbcro3QCcK0txk9d8pN2h/3TRNjGd/wJnz3XspLmaEKGnMGqKfOvBOhW4QSDUCuv1CcrwtqgTeQd
SPaZZnlZpv3WbstFHnfIyl3QW7QgrB4BQaxWFyjmnAJp3yj9UuiesJ5D26BTwmYbIMd9R49ZAlKB
yFbqZODHUK8rYtoSndloiRf5EYjtvCmPWJpGdEO6IPF0pdZoG9eq6u/6Fg8Nr0rmWLopjSG+GeS2
LraVmoWPZZNbrTuogyG7eTOk11KhC4Q7expQCJeegQcEl8rq4gtyvRnwfzEPIhvtDZ1C2ck6gVCS
VOrfCkgmT3LNN8+FYRzQIgx/jmH6dy4cRDuI1ZA6E2IjbMtpXp0JpSjCLCxa8yBlVbJT53J0cxo0
Th/kxT4z1cF7/wxeXE6MR9C3KCcisgRc+PwMmjgTT8iIWgdJioZ9GqaJZxSBuaWyfo0peHFVozxA
fYqLerFpJ6M5H4o7NpYMBFMPdRFChgiNYJtIcHjGRg22mQo+468/jWeMwJG4iLBxbe4NeLijLmvZ
h2SmczZXuuDQJr+QylWv3PBvfRl1PpNSH5cub+b5l1U6WDE/k/3DQFfnRh7swAtKyd/3PAjeUPvj
tfLKEpac3ZwLMF9fiisEfIgMr4pxWZnIZmTn0kFP1WKPzpa26ZEQpcnNKc0FLxp2OaZTjfm8qdJK
32NpUF7ZOesaz7JVwSoCM6csSKN+DaXybaVv6kIyDhNkidSpJJCVN0lVybUHvM7yPWPM8LuofZ3G
NFh+e3BbNmHg4rmpnebWiCCCl/TWr/2w5ZyuZgc10AUIzEOI3cZqo2laZiVx5dsHI+qEO9o+Eud2
fqNUQjloMIzvij4yHVvze0+WTFr/uJY99CIUVzbgZWBOPLfoHbDtSYbI68/3BbdfJYrISo5pm0k/
/KCJvhiFrT9Wodb+7JiMyVOmFgpahaHNd7XgmnPlLgoUz7RsSfliN3byKWxTfBM0I/gUS1EFXd4k
7b5HN1k+aSof6EWhacYuqRr1ZXnKmOYy1bXAjaAV5M77Z+pyp7PHkWmCgYh+I2Sc8y/q6rIdKQ/5
BylEE74UheZ0s6BzHObdFi7gtTP81njMG/scmgGGbKt4ptNSIWez8A+2WuMH1vheRKFtjrLHGu3V
KxvnjfVacIHchuwbhCvXpXSqpo0aotp/yC09PRRaGz2qfgCvAYNMN++m4CasGgmCgFp7KC8PnjaS
F2id+qPhZr4PWuCfEQCvXaoa6d6OhRU7oU1VPvMDo0EWtrFukJCdN2lZzYAPo+oLGK1r+PS35ozt
xr6n7gPWcX05EDrIHQUZwrwAUyrhf+vj+WfTqy9gJTbv74fL54MZww0TGDhZm/GK5vmjzhxruVoN
jSEdNOBcbp5p38KhhIFpaF/fH+gyP+KCXQrKbAWaRLTwznfe0DVthrd8cCzCqv1WTcX8XTOmIXAw
vhwkd6owlnPz2G8iEu2+n51AacW3Qcns2clAc5RXaLhvRAv8IIKEJVAgidRXh1vHki7Kyjw4pqI2
96ZUDE8thG93qEF8ynHTbtpKTj8A7yg3lu1bj6Ql5ZW2sn5x04FJBA+2WJQs8kHrSQnjGJHeMDzS
vMfIAQzRxoimv9VEoJKDaxClRqpE5C9renPeYNycVCNolARt9ZAAzIvAHlw5fW9s20WukkRuEc6n
b3a+wFldIHWv0gppm7kC9NwcwHdRf696T+mmX+9vp5Vy+xJnkXvyhFL1wqgKGvn5aFMuVMmqy/jI
i+3lgZxTmBw77HlBs9TKrg5b40FPe/rYfupn8UeA8bgE1aUyPQ2UKuUNwu/TKVVL+6m3pOJFzUv9
RvhuZVY7LRONRrAMcNuFUFDv3//ty/k9f95ojy7luNfeJRyJ858ulF6ygXLEx0ZubmNB7xdO26lI
9TvZSH+oCmZl7w94eciXAXEUZdJANK+fMSMOkzlstPg4WGNEUCEFWz/t5E3p9/aVTfDWUNQcKTZD
cVnS+vNvS3MjyLROSY5DOdlOOFrCG5TacCYlvUZLemsoOI42W0AgQrzm0ddqjDJxw+NM/Bt7c1UE
O1En0k2oKv2VCXwVi1ovGWNQEVS4j/FnOf+sMQT2reltcUz0qvtoiVr9giOF+SJojn3tlEn7qfWd
dB/wrTomYHlzCmsJrEqWILkCeyCSTn3BtCdxTZNsqIPiR5LMeuIGUgxOAYmYWqVFZFTEgfPQfvDL
pJ49tqQ2b4Ymap7yxCh0zpEewydI2/qrkErxUte+gP+gjX3u9nULUCxG/R8/YVkZHqW2Mm/icMrS
D4Hoxw9yEwARmQMxkNlNtdA8E+GPAEJjOCCiOqvCjexRne5kuvamy+NpfYTfAD6wV/283daxjNyx
Lsrqq5TpEM1VPwy/YTaowWuIizrdVKZa9A7yRMNvZQg0nq2q28YSFVOnL2w8UKWuTAM3m6bioZbK
Bu4R1AlC+6DvaycTiVR5UWw3H7SqlWZkC8bxIVGqUyv5PoZb5jTdpW0pf3v/dLx6eK8WF4AAhFzq
sIsd7qpArWpYQSZKXR6zIAsjR2GvDi6qHgjGjoZh+nhkzTEKR5MlYNSMVvLii3pS3Cqt649FXw/c
GFplfp6J2enT5q28BTYfh07vj80NLVPtJp+C8lMa9AZ6uHn0kNRhAYe809qHHnJyumktrf8Yidj+
0SAN0bhqNgxAPXUz+VUZchQ5BQr5ljuErTJuwl5Mv7JY9a+dqAvqMPcD6SRzQZeIEuaiuPxn1zmG
C9cCE6uPeqLaP4y85Rmumy7OHKUvy55fEYVsoRApBGeSy1LeCWlAXVejyG+7uoK5kF0AqSvtqm7Y
QZL2An8iLB3JpB/pFXWlCifS5K/tiGg7YDQ9v+e7yt7VSwJ5J55xCnESKaGQ3aaBojl6ZuQPLavg
VNC6xM37S395E0NOIwlaZGmRiVtnmDjgxqbf2eVRHlVpq9i5fxsq/Q9+d7kJrcm8MxMoOO+PeXlt
UR/XlrKVRb2Trsj5HCOA8//YO4/kypEsXe+l514GLaYArqa4JC9VTmAhoZUDcIg99Srext53M8u6
KpjZSese9zAzIggCcLifc34lB1/1zUVndB11rYy3RmW5G01Oy9PfX+q62f66sGntrqNEVFmg0B8l
zFJhe9LoeXdJdDSEjk6Oiz/P6yfN87VO+tNVrjNL/foQuc6vN8QU2R7stOsuM6YyUa959+lIrG4S
Q1ZLh+WRzEh4AaqYN39/d3/RvwJOmTTR2Fox7P64KS+61Waos/pLT+3xRXNX7dZttPR2cbGpIMRH
P7fFUG4cdsCocArvjoGp/yNPU3efySr+5FT/y1+H7wa09gqo/elYH9RACVk6wwVq6LyzsupiSAkz
zx6nr0ubssY1b3nwGr3eSts1d/O6qIcqLrSj0Wb1J9XtX7x6DACwdcLm6OqE8KHPc3IUwdas9Qjl
katU3ZQSSaE+I3z9Llr98O4pJ2EesJA9BkMfFnOXeIifMjVdcM/Rb7VELd/wBqRy9ktr2OSNs+Cs
JBLsXxqrP1b8rssGd6Y0CzttJGO91EpOI0cjPiL0xCi9A7r+oQrSOFu/jWXfj5HtCHMiKbxLnWhd
jB6WsliqyINHbURGqtpiLytpf4szIqaNQVR+uC4y/0zO+pF5AtMM+xWEb5qJGQso/4fydtQ9ZSXZ
Ml9gtsY7Q/UcnUVvdocuXbcDw5xdbfb9DW/kmQj3/LmqjXbXoH0KUqCxbZXkC3OLrjnOca22Tdrr
xymJmwhm8PxJV/EX9hcsoGs0Lx8+3JOPMlR/0Z0M8ft8STR3eSm7WYUQSMsyyApipGWfi6jwtP2a
Q9zUWSuPEJ3Focf3/di5iX9vpP7wDrt82P79J/tx77s+w+u3wScLoY7Ml1+3ilaNaW879XLp6jQJ
2i5Tp9FQMJrGJf1fXIr1iOIFNhjF6IfXlQji1rHPXS5jRg5eq9ldOJlxtRvNVH6yAX48Ra53BfiB
iyBf3NVE/Ne70gYYfDYyksv1eAyVm/YXcmu9MMk7dVuXhXerO1Q2f/8oP3Zb14uix8SiAtwDqc2H
i+p+N0LiUFy0s0q49LMZSGsWG5UwlNK69LM585+2Ny545bbQuuOPBCflQ6uKW2Q59OOgXareX7Ym
Fcoc2gmBX62SVmQUcbfTrojCSoSouSr9WclmfMZ/x78lxFR+ssT/4plfxUxXX/jrY/+oLh9bnzgr
ZrkXZpYED2Tj/NgweAimqdK3nTTmjT1PyyfP/K/2gKuNPSRKCBUorq+77r9NSzxpmYXReuvFjoU4
rb5dB4WVdRHGfwPwIzr3oolpSWVdEthYaJce/C1ioNSexmm4FWAeJ1ta2sPYiuEgtHa9odxvos75
NBLoLz410DGgCEgXOI19LGrxQAJfdpv1ItOsesmb0bhWV/5Wqr795FO7LrV/PwRYGVQZFNAmS4OZ
8oeV0egzG7BV6hfLHdcDUMVyKBfcPuwSaUuyKI1Gg/SVOS4+Tbf705X53HAxwK0UNvqfKnf4JBoD
aH+9OGrRjoM0ljM2P1/+/kv78+2hNmffIkwWqxPM53996QvmevS5pXap26KKFP/5WmtWFfhWU2zN
vp2PsqvUXZUM6pMK50NSLy+OrfvasF+rRYwjPjqNLCrp4DlibtWu1hINnrAeK1jjaEj80cAM0soK
Ga3rqn2p+4TKeWjGeYoGrDywySNMbwOQqWlh6ykkWOucts9Gn9r7Gfxfhk2y8pOQbt+ZboNYfa2X
9edsoCkLW2SQGIVm4xOGFe+2vZZnT0Jf2LIMEjTzyCp/WqvdnHwIJetxyNxkhtmQe28qm71d7aBA
Cs0qt16dNgdGTfpG3JW+i1TFhLfSfVJS/z4x+WUF4jBxVVfCsbPAij5Sf71SXeE4p3jOe607IeLS
xii3m/nGXbIywZYNb8V7AXRRofSzqofKrXMNOUCFQ4uJ59MYzmvV2IHVwZIP4kHUQ4j5zxdRjaSj
VjMqMlxWMhHMdV1Hea1mPwCTr5qTGAa4E8uc5DDnqk49rhhUJFvfGGy0TXEyBLothixk6NPvgVOw
YrPqLv9kuPqnxo3FCQOGcTHOC4wSP/rhN6KaSC8aumfXTNNT21bjXrfzJgvzxKkTdqCmIbA5Hbs7
2pp8n2BiN6G5dAgJtjohuqBBeJKGcknNIjDXUu0TNEebUnV+GuB0odsRKobl1utwyQ1cv2jayBNT
+tUCnBo2nizyrVoZoIRx7cr7YtIZNFbOag1borOtTzr2a0P+6+tm4gfOCyGDg4/v/9cvEhCjVUXi
Nc9KdXKL+x77DG8uPZJ8Ye1YJc2mIvxsryWpNQQwEbtP+sY/DbORbeLBjm74GqaI5OHD6WthSNyP
XqaefbuY9kVTdZvGHYo9skc7WhN7PIipwObXw0QSi7UmnBonJ4KzWnZ/vzn92VYGF6A/UCp4GFcO
1q/PQmlzhi1dMz8v1TS8u/rkQZsbUrtA1enlZZi0NiDSbLTG26qtNEaJWxDh7BqGwuOvHB4qU7mh
VizlHy/p/+ia/6F7HAH/PV3z7ssox1/Imte//0+yJpRMQBBoTj55kcD1HNv/TMK5/gnIFeU6Nd21
RP4XWVP7B8AM7TscQTwvXJP56r/YmvwhgdHXUbIFSG7//vH/D+iaH5jCkIT5pq6NDkwKKhxqrF8X
FBqVMkUrHp85DanrUlxk+v4rPJFl33rGngJIBJjKQmLJJwTarnaTedO7NSR4YNhr5JemDTlFpq/2
EmQrxZnTCpLfXesV1TEagmFY/tj+/2+l/Qc6+r9baZdRduP/+0/qmR+/BwReUwB//yd/LDZy/TwS
lzgQXHxSwBv+a7EZ9j8YVLisJmgVHuMvuot/MoMt4x9wIPgj1DKAYmz7/7XUTJufRyEE052oA97+
/yjj7NcGxr1O265AEVdngHClXfy6zqCp9k5LrY1cIX8f0+lGlf6p6q4W19MnFRwQFz/sXyfGHxdj
m77eD20xS/vXi7Fbk+fe2SocOCrXpyrHQubY13qGqQ4IVR0QzWfot6nt5z+hCNXeroJ7qDaMzLy9
hlaWkQSqPLzldEx4HoTXjfahSJK8Pxud7dX7OkMfv7Upu8Wh6ytnPqHEH7q9407urZkhl74v0sG4
sftsSO7qNM+WaELl3Z1Se0m67WoZZRqpyktQhw8rBj+60CoZ6Lm8evFhJxTNCBT5R7YBhmPFtlns
GDcP5wxpo75VZlGbx7GFdITos6uqPTrtGEsjQ90vychPGmamEnyMVfvuFx46XKTY2J91vYs3g1RE
Nwf52JvnvEm8HJHPhHeeI1e/DTp+ALStUlHXNKumR0rLNeb8sODE7TTP2oF9pBkjAPUJufeqWUVH
Ddjo1Y1qM7u2IsAmiMo5PIDhYGCHEIMBjLYfTC04ZOj1uo/n/dpkVEuT0OawT3iJwPS57wZ2PyYv
0zKu9WFtlPWai9wKLJWIr0lebXRdPLTomSP2sxZR87Agum7FZspiPTCuQGRpiT4wp+tPQm4dtYIr
Ks/dZdOIC1uth6XeM7W/CswdMEO/dR8TYq8j0h1ffEE5NMxOuhGp8ZaO7sVZ8sfWyG6txWkDMoe+
22B5wTIW6rCCQmUQ37as+EO3ePbBp1gPsqSyEcIDcxRcOsiz7oj4/OgvWhaqGR8LTysC3Rx2FBFV
iGtpmLviXs3THhB8ijKC5cu+llFRTA9zl59WrcqiNBfbvoJb2M91NJJGGbGpe1HHe56qHsl//0Of
jHwzafhjzXG/r9bKuDVm+9GqDQyhjeRL2hvHxU1uW6/EOrB3VNStzEf0ut9anX32VBnl89hGuY5Q
XB+3qycfFz25K1Yp9rCdj+uSBLE3cjG3R4WVy1vHyvcmpgXRXC94Zyz7danv9ZWrt41z0zjqbBvp
D0jUYZJKeZGjejKBIe16uVvMMoWsB/dyUCfNivfCytfN6FOm9mt8WM08P3glMUuGm0VYc2OqC0mK
3ykLm2HKGPwtgUzW5wp2Tllg05m4sxfUwypD3cOhwiqqGvS36iICDF8tSZkv0KcqjzhjdxAyuDK9
/DQFt/a/64LIw8THoyHr8l1q9z/6GfG0Fis3mJb0iT4YF4B1G6/6jAUXkhe9ujhFw5i780+Tsd6Q
E3zG7W4JYBWFatXuGPrRSCz2xIUKa1vVeR3GbTNvY7OpAobqLyDRJeYvmK/6a7/zyjGwneGNX/TG
8LgVf9C++YJABS1tzmuW/lyT8WmcxBLovtrJzjnV5fiGQ/1+MLMusOorlcXuv6bSV2GKZfrWHGsL
F+RYRMTv3ArfOLkLN722uBhVTLU3aZHntwPMlmhx8rPZNtbOb9vzKiDUVmn3HStGgaOcAs3r1v0o
Gg8SoItBsrOtGq85kdn+2Oo4fqWzM20wbgMt7BoZjFJ6OL6sN1ZiyrAyGjjdZvFTLbBwaTC+rgWZ
64PgXuPbYl7sQ+yreBPXdijL9kcDeZn5loDwJeytbY1MdnKBMUc2B9LzoaqB2UHfuVeryf8ZslOf
au0uE87WvM7jFtcDca3UFqVI6KXVMYWVkMTFScsrxjf+sNFU/NAXo4XrM5+q4VYPeZzLQGb2FCq7
HNDS2S9MujGicVUaDpPlhZTSS1TNzlPcuGfDLrxzjNxmM7S1wdjbvcCJ9feYmW9dMb/0HbOyIen2
eSo33tQdFsxlA1PiSm0wPwpFqq+PBcc06Gx/ixbE32VFm+ArUZW7aah/LmX90jju93payP/U0mjV
UjPEm8oMMSPFq8vOvuGzF7W1hzWWP0N2KsZhk3TG1uI/gX47O7SIMDjUShxnkK0NOTh9HyZdob2k
VZzuR3fcxkm7scw+w88tfkAwdudU8hthCNu4YUjbZKm98b1uU/U2PaCHQTYpupdK8yOjn9zAwScn
lLbs2XeTO1zHN8si3Y1Tpcx+Zq2+Y9E3G12bpH47l6sfwtYS95pZ4XUBizowy7wLzLbj3apiWzr9
0fUFIUBxbAe5r05NVx671uxD6bs/zalga9ALjGDmxCg3GSRnj8fSHbxaHLu81k62N2DXfrVqG3EA
2Rt19pCU8p3J9G1T6ZfBrFjWjbuT0OWmcF3dVyLBzR89uQd3NaSTYJ3KWyZXt3WK501jQg0q7WXr
9d1Xv00vxtRYP4CWNBCK7t51xuWh6JZyN5vZlsPv6+o27wO5fqhhuuWQC20fG+Uc2XG7T0d0dnnd
ehs5NYfaEYDLbvyVKcJ+6uyfOIyboaFaDF6stD3jEjqddKc1NwWQIkdkXV2SmBNzdC0rZKpv8qB4
SbU2P9durqPdSzc+OPLVFgR9wEJQVKbf4vv+s6rXfuuPJBnOi3mH6bnLDAmxqJ1hDSLWasAb0+aY
leP96PeJwfRO1lFS1a81tVrYtr13J/OCesEfX2Ifw2yncMugTm0R1FW8HF3JpDPx5UGTBeqfKjvl
rI0Afg7uiW7+Xg/1eGAY/+YtrQ8otP6WtNWDYJ+KaXogRvjy1qhsIzKzwrphtLtiLDFmAcMYpDsc
L2taHHGzerAbeeu59ZPtYV6t4+R9PQAhT6UGIRj+Egdmhcs3Uq6SOdb6buOaFOAqtIsbojIaU8v2
ImEmr6tqfOjImThZhkC52PoRQvp33I7ZPXVtvHH8fGFbd9yNP1Xi+2SW38Z5bu70OXu0s6HgxVHy
+J7QX2CoYKVhZzurbUTYrM47pj3tFgmDux1SXFR0ICFYtotJwuOw69cZ36m1mHCuig8FpvpelR4s
Y7xHLPZlsmZEXZN146hKRQ7+/GPJ9ErY/t1YLXwni9eEoJsjFBOdktl1CeWCtWytJ71AONLU6nuj
IQkx9VOZ2TIw/eKLU5j3q/Tv8yG7tAo6iVbeylTDPKgtvxV+F4gYYD9pHC3KVuChzD5D8XkY1mqH
uc7bvJbcLiUGhRzbILOgYC61L4OXNUEz2i/cLVEj3fxVTcaz5hKqkrnTqZL6xWchVoYmj9aIM4hX
TuihZZLdV1XFUvSlCpu+e29zMcNGjY27hl9mPuQyoSizWqCrnSfnNn3IvCtbJvWEO4fKmeof2VVc
eEjTK8jJCKN6TDSjILSQA0gPswIxWiTJZzsBFGvOTuhxLchrgd++x+pYq7/Asilep3wEmAsWNLqA
tGicbvsRUyrsxFC+o1vjh1huXff3mjTjzyDUX4GMa2dy9T7UuBoINuzID5BCUhs8vjJlGokSil1B
GU2EXm+5qVUaJ+EC4ihDrEL6+3/rFM9/9D7/LnK8Nn8fWiJEwf6V/w1ZFg7KB4CslQOqcdMZoW00
IqMBEkQOTETX4BqD5OT3WABoyRit6KiOnIr3XlM8Ii9f/D4CeCie4G+rnUBU81bERrqdLL0m0aQa
kgiiIeY43iIajcpwtU+pxnFdmYULOWmpTSPQpK3R3zYJ1mKYrJz//u7+/FTpbPHaRVRpIpH/CEl0
tZu6pXLHcKhk+dLbfvmitHIvKuyzSc4Q7pvTgYBu/v6qH8aCv79MKKXXMQxsC8Qf15733/ChQqwD
ubGTFjo5RrMRzFHz2ex0q9/Kea7iQBqKSJ3GzviS8Kehy5gXD+iH/aUMWfO++GQy/it28cfqAigE
dIX8h4noh18IMNBWwpBEWbCaT4y9vdNc9OKWqJfsLNpW3HaNG6tQEEHxyaX/1N//PnRAdwxycXWX
/DCY1FPhjb7ZDiGk1uSrSryW7aJeZRKaRs5bl+7qeJ8AdB/XNDGcSH9Q1DtkwjIL/XDNyZil68ZW
Eo3leqzcfR2PWNy9/f1bBjj4uLyuZpHgaj6QEBsg87cP7zmvsthNGkhKaXdiGH5JY2qfthhVBJYS
kwQ6oaEQ9nFOC2jD9gE7PxVWOMbul7JdA2qs66GY4ns4sMdAnO2Ps5v+dJCqxskIKl8NOdVLYxYP
hlzTCLOKnIIxfR1aFzFbZ7U7yykjFz/StXe2PR27vTRPTWkf3cw5k5QcObqMHNHcgYrtyf8h8U3I
A7bYuHbkA2P6agkG5XFYmiT15NRnNwAoxmYVuKVN1XQezfhNavHGt6unpm++rWZ18pSXRrQQd6Uz
vUp7PtqlZnBl9RqP07vRz++aal9j0zhCLD8JtrYoH3JyE2juZr07qAqoYRb+JZmMqEq6SIu1bZE5
OzjgB03v7n1luafe877l8LHWQZbhlDASWkmoxX8vf9LT6g6jl+2STbve9WCUeJED5IXD0m9T3D2l
g/OFbKmbqUj2y2Q+ZngqjSqTfGE9ZstUZqZ85alcGjWOATlAW0b8u3zJjpWw3yiPbnuR3KXVEi0G
f1kkiPLa8VW5dAo5ln90R9vEEjs7Fd8KDjcDCjknlPrRWA2SuMoPimHFu3I6xoQuhHwakWji59pL
zMBrhw003JCIhMfUNN7sAmHCWL2sfnMcK0B8aDBa0M791sU0KW1RO8XFoYEYqlr/vZ5tIhD5hvPu
zljy1ynJroXpvlDTNovVl2oiu3c0GwLGp6eSZLGuMjfY9v8mHBdHOpBpnReL5u++78tLmujHyurK
aFAkdlh4UPMkmwYJYE0jkdfvTiZmCAz0/yBXVehq6RPV3PM09F3EOAxjODK/QwAf/WEU9PbTgOVO
fUnGZdp2HclkWSzLb3ixuFup6YSvNLvVqE9ONW4abSL9D3t43POyG2t1j7O/qiCueMcMwBE8MTFY
U28nJMZydTHs2nLFfBbF7Wj2D+LKmqxnrKfrIb8zvf5EN3pPaBNLfqm8rUgtSNXtid7w6K98Z+Pi
5tsWTzNIjKu7G2WJTWhiZPu0KpZ7kKwblRe7OEYHAxqqhgBDuX2p0q07wsQWJgpWS4pni9HUwepG
8cCIBEtRBS92EK+Ie34jrsgNV7GsoVZVw2Hka9tkTfY++MMFKLQKZ6SpUc+zgKS2Yz/A/m4BbkzZ
NOqquRG1Q5BUcc9zjeqmQWji6H7orDM2GwuM2q6Z4eZKii7NWBAbLRJgF7F0HyOpWY2XZV5zfuJ4
8VuOl26Jo8pWzavXchJ1zLhu5OTHYUONhjx0KCPAP88M9GE89XP3MzbsI25aV8p+k246fS0CV1q3
fuo/Tv34inXO4wRnJukJa3avaYeuyaCq5WsPmth6s6TWHUWX7levnq6qQMir/m2bX4le3gUmyaZE
PRxBRRBEt2mBo+x7zVF39py89wioR73bwdfY65W9a1FADT16WEw6X9dmuctG/T727S3+JDeyyb40
7XAspdgYYowUAwLRzdsWT6J6Ke7HJfta1fombbQ9/vZnyAEYkqynfknsAJH5VvObXefB116/6Kn+
Oq5tfrwSXuXOqkqRvvZSU7thwm/SNanNJ0n2VT2KTTMBOHLDIBxD1m1G19/plfMD6qtf0m232rbU
F/T0ebYeYhsW2MaB3/HFrcnKiWUCeU3m9VPpZvbjOOWSeSwP3WdvTIz2pAtVPxD+jgqf4Mrd4q8F
M9nixaIxY/EvxYvvphiy9jNCUsPIL7pfdGcmuPj364dViZgZhh7Zk/gpRsdmIqdmO3LMbJgOWBDF
m0kOZ7dtkPrPJomEyICNYzqMjBnjkinY7Gm3TUGZTv4aLT4kAhvFcFAC/x592iaGnEp/1NDDxEGV
uc9Q2cdN3lt9WJaTca5zvfRDg7s8efB9Qviaw9cElvwxRyh/K2J0jkGZFPgyufD1Em+4n5hm7Lqy
Pzh+dqqVZoViiIeg8RBGrzG9zTI5txnQ7jWe6MabvPMwGVYY05xE8LD6MI1pyZIxP9aJTtqi2xBg
N1FYpoV8GXrzrZsJ4hokqm/b7Y1QOp04ml5318/Tw6KGG2upxRi47tB8M5bhu1kN006PHWJt8CWB
s9/BIQn0LB7efU014ezWpfhapticQklnBKnIxwmWpnvXprY91gNRMYGNyV2AY7xlbbu4N+E3qmG6
8Wn5+juZuP5v8ZS1jxnuBAlhryDkGrTnYIn9tQ1zzRlMZJbCgHWckSmwWTmKNzE0jnoTJ+DInVNU
t6tsOwZSVT8VIeJC1l5vYxIQXFn2PwCsa3OP6NckfWaq17tcQr8OyTtuM6b22XRI6G/uJQmKFUeD
yNYw7ppV36yqw+qx9vLvcsrjZ326CueWqT5Cr00I/RzrazIBHAeG8eXb6Elv07VWcZn71bjp85n5
MYvHkRSSrMWDv7hOurX0ljy2xLsxuLejKRrlMGWd9buy9vZNI4Ex6Iii2Cy8k9NRErYSh/lR3FNV
uzvkOC+KcfLsmWj1VgOPXa3ONjmjwVAt7c5LBT55mZheU1s+6v7YhOnExgcP1XkghrMMe+X6b2JI
oWiaBEX8rBlvXlCm28OmW6zd5Ii7am0oR5y7GS/znZpTSgRfO6F6h8E3180uZsR+6C3JkBOaRP8o
hLUXHZaQNXj6cxHbD46pGro0wx9eRrdomIMPHsZJrZD7q1WKFdoyPyvCxy1H3fYWzrGG6ghGSuY5
SEjmwule3tvsLdvJnTjSEF0vodtXlbdp9MJ8n8D09oa09fssW5gtI7rtj+20Tgd7EHAbKnU2DPsH
Pr8NZBdh3ZiKqYXHgDhwmxxbnbjnxKrw8A10AJXtvBA3V7bSYoTvLLtYaWSCaCfTHn6zluq3obPv
Rm/4JterZ8C0NciFiURt5lvhWCjpSzdVB92qre/KTuubOFm3uUukI3WONh/kKONdgvHL9cRUqwVB
UJUnaAeMIgWWsisQ1AlQBnuKHndisjabyJrwS4YE9RAXV23IWjqor+z23LjLzouz/qG25WZaK33v
Kn/TZGV7AIzQApZoA5+OUMI6xtpEH+VGdNMQ9LL4wolf7Udt2uAv622zpvgyJLhVwUe2o86Yzn3V
Rql3tWNgx06m8Ufi2I9IyXp6BXk06vxmMqZrDux4Ljz/W5f7ayTya2YrecnKHuD8rhJgO9H3eYcX
sMmsVRQsPpFMt1otyyCf/GMumN6KdLiFLnNOChFma1/sLbwe8Bifd7OVqQ0JoKhJypUTMJP7pEZM
LcZ1JWkgfu7KQoX5WPIX6ulS4hK8MdH/vGFuXusM/KkbEBXir9yPxm8ThReiDKpIc8rXfeMkIHJ5
pk+btrNWnrVvZ+dxAuTsV0wd7BbGdWF7Z1niI+6OAicmZWtvzAcHEiLL0KorN2iR86N/pGYNAATp
Wbuyxr5czF3ortJ2DzyFGgpctxDU4O6n2VvDEjfqb1KmqUoCkJvvWd6XO8F84H6ozYeytFDz1J75
pE2CFNvZO7d9WW3tyqp/c6b+Vs2Vwj0j3U2mWB+6muo0sYvnzs9fkJovgR3nI0NK696NNRnWejcF
hblgs83AFcLBb54z9JtKG0gwmz23v8fBXf2si66NFjW/57lyj6ThwGbQ1FtdxDQIpJXdVAkKbFLn
l71NA76F5tCGcU+ZinAli3r0jJEVN94WVRs6VIUFPXs2XHX3rtGa8nvfVvODYRRupLvtxvy9vY+b
w2p3uyKrHqiswX2rYVvn4mWt3atciMfdbhN/hNO+6Axcey/MJ53DoV9DAk43vTbDgI/jdNjNYvS+
DllDnyiImWPn5HtiIz+kpcoz9PlzmYWkhCRPpqnKp8WypxdHDTVfMIPv8awc0g2CdqhFNGNfullr
SvhxYTjnYCTJ6FpPYhBKzkdjiu+QJG5G5e+oqdv9ambkJlGKNv29s3b3s8w3hWgfUaBBD6yMndaY
41a6YBiy93/KwmvHYKiHV2sSKpxml8zilA11jsV20TNOuaYVIRLskugavPaNpoXGuBqbNpmqXUIY
0d4BoGFr+aL0Pg84IG8bwzrpY3NklPMN7MDaWFm2yRKCCz2HI3piGhg4bqswlu5WxIbybBrmiVBh
9FIqfyrr5sYEZ6w8YyVTlAQoadeh0QJguYm86zBZPc+Wf/JdWTxaZU96Z025ELvlQXXTuXSSnizn
7q5j9t8FYzGPYdVqr9kyrPi7mIdZadhUx7UeScP40pXGsw0R/BGomyLKGibYWIsRuJmceTBFwluu
XuPKsMEQh3di570ARMA6ZNl6IRezefCvnvQdZLPNZHtNMCx1vOXzOdi934QZtlZbM2cM4Pyev+vM
WsRgT7+DVDmHiFretIYS0Vc12Iyd35hLXG1Gm7p6Gm8XAhMw/O9A9OvYORmOMrcGKDT50cZD0vuP
seCxd+5PDP964nf9B3d2kk3W2ZQ/zZiElqAtR4nl14uxK72h2JTaFC41xn+rf7Kdpjpk1nAVy9ME
5WayHss2Wza5SogDytgpHERPP8xMnCuqb9xBZWjr9Rezd05dlctz0TAPUO4LTjwBbQTVEBjwoezN
o16D5+hm4vHxypdugfY6AJY8Wl5+LgB2blVSeUxtpyY0J5zPxGjvkoJsnOkqjyHCdXVPHdaETZ+2
x8WJi8Ba2hXJ1dKHPTztfTLihhar5Ak4QQTWwOCbAmQbt86QbLVcPGTSPoxCVW/YbSVUWw1iCmFy
v3UcyRTosJ1wQdfU09BJyAxJf1eWvXdRdg4sXaxJBBEi27SlpnM24NDTWf3L3I/zfvRG5+gXKX1U
v9R7aSMPTOt4bzTZVwtTs+/NZDXBVNv+cS7Wr5o0vKMPYxM95XuHZwlRm+17ZcrzSoLEZkgccXCr
qdwUU9pHVYGeMW9/xKRNQ4G06g3i/i8E3dbQgVHKzIDSfTq5Gy+HQjD3Xbi22THtOyMw5uRcZjX6
PHx/qDXEFpbynbugIrlOG7DZf/Lm8Z4nlEWEm+9nNe77EYAlxWsK5/aFKCi8b4gQ2DDpvScevaGo
xpSXyehv2nLVCFgeTtT6TwC+MRANliuGdU51Ze2NInsr4bfu6HkF8UqyA35C1T1Dld5NU3leEozg
k3L19n6FC02bgTyaWve17RlTDwMINdX9XW9ZZ0bDXQhn+74nM4ocOJ6/LeyvtptzCddKD/+fujPb
jVvJ1vSrHNQ9jeBMAl19kcw5U1JqtOwbQpZlzjODDPLp+6O9zylbVbV9NhoN9EENsPdWKjNJRsRa
//qHmWSFoKnru2wwF6d9DhxdilNZDLssJ8MgblV6jEe9/JrnpbHreQmumM8Sfimlg3uuWKpXZOre
ZzHgduPRqcuuvjaUxSeZiXyIjfoRO5XHyXcvUYGaNMFuI7UMtQ5trQ3wRHvQ7eRG1qRnaCK/Zc78
2e6phXw7PdWmmpCsYBjSyuSkqx6Fh5PlLQvGiANb6Td2nX0ltsFYJ7a2jjOz5ulhbl00ArZPQsCx
NvhqhdKXzsazaQbGwQrYkDfTzIkykbi8tvhnqxy3fJKSH0mEv59diAlNqj10Q/6xsuI9V9FeCZs/
TPmF/M7n0c4PfkNX62oLhNgq7KMgUPCM+Bg/mbIIgM4YKvTaxm7qewrgxxyPlBUujrdpkjOaqttT
2kRXphj3Mh3afYh6eBULeSFf9ATh98rzu7syzWu0p/aTBaknaLW4oE9amPc26Gp+k87xo2sxL6qT
YUu43oG0gBfLU49piijVhwWVmMWz0+bpE5Rxh4w4sY25MGfg+Q4Yr6hWDqc24QvpWckSFgXQInfc
Sg84p7w2ql7Ei+nW7MtLIl3ed3i2KVC7NKO9KJADR1kVGNjDEKlngZuBIil7x5z6xsFwZCJ3m/To
CPaRekEIs8dInsojravtmPsDfwWQxVPyfqjjJwRkbyxu62SRf7Nm7JMjnmw2WVdhAVZ4t1k+3Ls8
ub7OcHd09WHrDf1el+mNo6goNbsNV7bStqTtpSvqLwboNPPbuE0ujI7J4YUZQcXiXSaraICV8mrL
iHJT9E727KcGRHAzr9YjW5A1MdPLe6JuTQdK84TDwoqp/UsedWfYcsMOC7ptTS7JuihRFJZquDRO
U6zyzr4GNrgbPfu58SHP5WjfWV3rvvTXs1NsMdHs9lXCC9EYH7nHJqWz4+8rkq73o9W2n23Vvuak
KezosWZ2RWIgrDkChslNIzTWcWn3x5GteG2YiijHVly8QgdJD22dsWV4M9n5eRLDmRnTVdQASZmt
RLsrlHfn2tPjqGjEzFx+KohRZzBl7oQTHiHRpSsxcxBWOgV9iOWSKLz4Gt9GHzac8+JJfeLo4G2L
sA43nhxvcVExVr0L78nOmz6AIHDM/PFJVDibdDSsflOccbVK1onIHjDdDHkgyn1Oi7yWaWgHjDuB
QjGbEc11PXrXdWieREW+cpwnOSw45McdW0As8/u4FLvcYvA2Dx4FUzMcCCU4NllHDRUzdB3Czlph
qlOu50o89RaneuyRNJ4ahFqPUwM8buTrYUzcFSFLGp5WdDLw+gjsY7BKClIgfFQJGuQOaBe3xoxK
J2dkQ9JMeT81o81hGXn7SKchMBcjQjEb9ib01JOmEWCYqRc/maFkdaG6EfjXcVwV7GrmJfJjazV1
pbjrLI67VWYk2nFS4dehhXJgNHPxReHpcuX2dR5I4W/0MTxBhDNBPslO0sMZ/NqXp6r1HShCaOVV
J/xTXOXmrqy1Go+W5KZLBbhYaAM4Jmw2kysfupAgpTyXGuy9Wt9qrRYwVa1vQh7ZlYV+fD117kDd
6UGo62KtfoKf2pEwVnWXKRfhZdT0aoN8S6ozQR8QTPRMmhiceWoVD66KTl5vb1Lz2Wd6t60kWYA+
xT1ymLVjlDdpwai4EI171mKOd3pGzG0owIXe6tAls6ReF6T+nMw+vbNDAOSmsF5yUlX2Ay5Ce+q/
NSl0z6UKXzutcg6NbT8So5ys4EM1K93LvyJHT4KYlEuCCMZPcwbvYo6dS6YETlSGfIocqTP1iSBt
kiPAQ9SHGztzPgFVjpvGJ6Cm7rqVYJiwKbEvOltaaK0JDsWINC5fGRNlQVrU9xnnIwP2lDNe5Mce
l6itjI0tbKFy3bbdt9kemQksn7fNncvkDJval9Op7rR9WSGKUxWoXzpHyX62q4un9Keo8NsN6+SM
1L1ca2Hz1kC2oZpqh62oizcGPJ9s2DgbEg9Pgmt9IjrnkCKvhaf4qhfFeN1WKJOaGcCTLOoiyBSC
4NReaHXW9DKa3V1DqFEApaANhkqvAiRb3hatjn0uqF04S7JjreaTnPoLS/t2Lqv4zhhNfxeZ08BN
cgeGsFo+fCnxgltrunFjx0l6ZdsEWbMrQK8Ezrizqu4roR0JCGDWdORNNay4XaqqogocJ2G+o/e6
Uezsgfj5DW/KITAMeUuja8bJSUMtijkY1Mxwwa5jvaNvzep9Y9TX5UweMPIuTI2bFu5czsSjd8xL
UzOrYts5DKW7rWPKcJCeeQto14D+JXaxNXHjqHVwlUGnwXVpC9dSmzZoNLl5w8dBc74UtWSC6FZN
UFf+o9F0PE/+vQZunkePoBA3vizy6wl+Kz4kfrNnp8+gSFp7BeEMKhRWOEZsVT3begZYZswUg6ke
rtWsGat8bg69X4NpFJ/s0N8BgpNlZOdXJd4Lqzxx7ZWL4LGYIYf5oYJnPe5aUixbk24lmw2ez+HJ
H8urwaG1cGiWgC0mGQZTZ7s9LKToYxgPzxho0swBfBJ+Jbb67CN36u5HXcOGTk5roDdgW3+DSGvX
xxSVUfe5iAfBgKu0NuHIg9dD3UstYoyasHqCI7Lph/IwpeGVHMSrMo27Vunn2gwNgAa8yvypj4Lc
HK5LaD2+O69Hy9zIusVms8ru8qLjme4hN/KJv0FYvRZp3O3ycLjNxpHMCyeDXlmonLfEHMU393jG
nMIWTpidUqNl2fBi4l7M1qLjRFYewsZkWSngp3q4mPHnwiRDCoTmqJX+BgfeNZ/sI5Pmh7B7Gyfa
XjqnWCsCq32N0p6zywdB1JJ4X7nW88jjXbnokkTE7tQUpwj4tCO6gbZyL1X7WcfXusLLrJ4lQFLP
uNW7k4ttidv3V5lDsJgb3yjwAZ6aA43Lzq6Tz+7c1SsDCschV+6+t3XIkeoQ69ahcON458fuPQLg
dkU63KnHs3fbAIHTQ86wIZL0LQ+jb7VdfANJvYS2dUNV/jFL8pNeRyVxW+ZTJHIonZhyQN6yqN1n
Da6Im+njGWcryLM2JZ9ljI9pMd1ShfUrI9a3tBwnH5MHi+gx1nFVOdt0dDwuDLgvdjzzjWEl8krv
J0C2Yhg+NYZDWyBlc2dHdXhveSzGVTYmWTBZ+jGrW2byPdlhiUkir5VqxEUrr11j5IlXS671zrcu
N6JHP2qx9JkbCbGjxz1NimI8hET5suuZGwOc2EjmGaqqDjuNQW8roSOMwsXEvEgHIqt0qJNZXO4G
B3vxpYdPvDgMwtDFa3Bs7qsSmBSHWWypzBznzQC5BzEgs72Brs/XTWtCLsi96NthiUm1iUMNIKWo
wI2AZfKxHnamJT4Dl+LCQAlPRNZ0M7smW0Qt9B2V3WuXu/6NZ9bPs8UYR4TJdR93JSn2fQcjzEu3
opcbZHTiLokMQvsm5zxDMID/sJkY9/SWC8e5buv7pHFSaN0FK88aVyKDfmzW2lesLTwi7EJG9B3s
MGXX1XVc6w4Fib+DmrwTah42rjHHMFnt15aW6XqIrAc3jG9Dl1KunV+BMu0NaWvaZrZil28cAf8t
TZDpRl8lVPK11rnRYYqNGyeNntzJOuR+fd/V9nGsScLAspFtUhQvGEcHOBAEc2KYTE7xvGwjIk2L
tmawIaetUh1QAMDszkyl9iWd2cF9DPK2dWN6QJYNQc6B5xTdCuoyaJ/X3Vr5xNsTj3Uas3ifCy1b
M506ozcg2A0aslZBak1DJ9vHPaKOinYwkOhkNU17nB2CpicytZTBbK+QipEjyU/oVnUulLtxZ8au
6HM7Er3Q+doGPcbs31IarHstIsc8Nu+LxZVzUMM60sqPUdm9NllBwVYxEHTPS6IhxoVpoGesV6u/
EPdobNzcRTyQy01OPF4A9C5XEW6+yDwZcFKJntIaYYUZTS55bkW1EVZ7nHGiJ4Nwq/eh2vQGg956
9udt18jD5JnFhnt+TKemObQVEHkaatftkB41y/xYlHAzO80X26SLLrMphyttSj+1Sf9Yje506Dsv
BJFIoyCWKMZqu79zs3JLvFgV5F2sAllmrBJhbds6czc2eAmDPuTXM+ZKUF2bk9DlM9xuHjN+TbUK
+XprT8/bYLSKeVWGqXtKe21by9LB2ykK7/EykYu05RkKjQyoui9prm/HzAnh8ljqK+aLH6dO8oml
DWtTlw6DOuZqNFTxjqvREgTqpc/KEm8xU7Z7aygREZQdG3JmzAzi4YRMiuq+5PpS3JzsFDaxWWh+
MGXzJYkj886Af9/jH0KOnMbQOmihywdxjGcaW9wj8rmzPbsBpEMq78p7wuFGruqWhjXzM2bnDadi
A4ZB0OUk1wCeh7yKDfhVzdHRZueAoysqDFE80PfeZoVTrBM/N3YdkQsrtyTcMIBRJPHDk2VOe0+8
eAv0W6MVdzTd4gelZQyrmO8Unbj3s79NahcScQhhsvyElxtktrHRMeQaLDcCWSVKwT7l8YJ0CcSx
axN6OVKcrGiNGyMXdnY1ORVvUs6KQkqLLETmjRTJgzIAJzcqQ/dxZLrvuxsd36kgGYRvslxMZuIZ
2qN4TRE0vbiGO1WbvtJrZ6M7dEwbexxSnoPJkUxNoyq7GTKteBskFY3W1GzaTc8vPSe2O3Ubl3Jx
kbdkS4C6T3FBC5Wmbw7hJuVTqVjfCB3gEq2xhpTyrcjxx11h1GnvmYbO7ccWqDXvq/wJYJTrHsl+
+f+oh+VYmlM2gT0TjLYqG10zUXvjUYGVq/hqSdNggpPWCQeurNbhUBXFWcXe0B4ZCkEr0qPJ/xS1
JAdslTPM/FKI5V8avU+n19EYBu9VQTZ5isdQJBuLNcDHwlh4P0fNWN4No445nLFEruCE7k6BTvzA
TqFrmK6E9HNr7cGiLncOpmzNBvotwgvYV1A0PNokLGBaJDP3tj70OyN0ZbvFp8VL95yZius+izHc
Zq0zuRcko75/ymbhyU/UekkVdJApqyDMC+GtRt8bteeURG+xUg45pizU3hEADTEAnNbNtBHtTKLk
OoHOvrHgiWVLZExITdaa8y6aECTvmFouThKhn2xQU+jzbsiJx21WQyeTq9oh6OngSzzxwImTqvgK
HhOrXQwuA6sodSSFbUxGLbpTYoWH8Jj2yFoClY8Nw1bUSsV9pzkOJRVzYnVbFZmcjkxii3KNkt2w
jpEVJsbV6CJKAxdh2BHWKaBI1prkCmiToHNS+ji8gmCVI4WWV4sr2hVqeSGyFMxaZIa4053Jfu6j
dpw2ZiMhKJgdaQG3RqvlJeS5dNx6kbN49WMDBHui0XH/W4iaRyG7uGV0m08hHZ2sK7nyLFwsEVXQ
Wxg3OvTx4c7JZ8fadyT1htt0mFiMkrRl90zIJpwQqK9twKU0aPtVPQ0kumqVx3wrT7WbpKRiP2eY
qvC7WhdPIlHOxsHWnMq9np2c44MNHSayr1cD0va5g6sphg5gVYsHjOeTKmTjgDYY31vZDAQjMqd+
LNsothmX5XN11YjaO6Xweb5qUy05Me2o2jNUGM/Q469Sg+HjivMPlsmgDQjQ66KLg0qVNbNEe+of
Z62yrpUHQX6TCq9OdoSbzOgeKoO0VLgEdb0lYjln/LmMK7G05CgkV5n4y7hnJuvFZUkJRFB5goWe
oxdfIIfoX5KU42RlDt+pl1RT2toye9t6qu1BtNtFW11fGVmaKFQt9Gtw4rkyl4JtbIEf629mSZzZ
rkw8Nkksm6Cl4R03mAevc4yPGraXDNJmFzFFPCp61KjzZHqAQUqvnhq4962HtB/sfe0lSAiko6k7
gt0fskTBglUGQq4RQ8XRgFDiFOO3iPfNrkuQEmC2OKdTaa1qCA9FzJgKGaT10AFxNLCyMkgNBtEm
pAN4CUYIwJfxq6saz1mVaULycql7L0WW1xdF5OfFtjTQnNhImcaBXS1+PdH06KaKZYzTcW/cqJSP
EzDgyg92OmLgmaZW/1oZBuTuVsncuBqg9e0tQh/sYMYRDcmZXfRHioWMSUwn2DiFirKjjFuCp9Gz
Q9aiXNa6AEI6c1crMbi+plBsmzocKgQF3+nlOLeey6nQ053X4cSnsnZhj0+hkmvAqOYaETHbIyOV
x77vkJeYRudsuqrJmn0y4dsZ+LWC70fIgPZgo86J1qlpmvvQLOJzD9h7qQRaI4vGwA10yAfNtncL
/cGYfDnwYQVGPrqWH7oQIz4ZV/plMg2A8pqoY/YpUWI6lid1dKh0k2WJjUlvAU4Br+0cWbKrNUU0
3EDCqp4h1rJ9ACYRc+zPFlWlKea4X89jxN5I54R1Y1FM5hsyDzNem21iBX2S6cM6DSeyZM0I3rRM
GOMB8ZTtthZOdW6T2etXuHBUh0J3hmdnwGMcXEDnDGoVoHJVVRy2lcd9UpUzfm6dKi0Cxyq8iv7D
tseV1endVTw54guUJur9WqvAK6w4uoFTw8ssdghkJUpUEC/93I9XDTSRbwUc48BP0HAH4agjifXS
xCPJcQbL3LC1qHablOi0VhNCxnSVS39wNnVJDXIUHjHlps5qWGVxp73kczp8gjYEbdcb1QVNseet
qe3zJ0aF+bQZ9Q5mJ4ZaHMWjF8FVkQ77t04mSriuu8r7Jroa10wfbRZlb33d+x2HpokNe4l6ofA+
DZWqH2bbkVe40mhf2oYHIUAKwLNUYGG1cDc6574rHcidkP3Qy5Gh8RLOifUMm46fLQ2qh4tHh4Vn
Hps6E5dQi4nkritICJ2bP4Rxd7b6HIdoum9q9K5XDyWZ6Pi9Ny38UbewYJiodNY/u5mh3ypNiC82
OdPnfJDFl8TRm2GV2uijtUyngernGrwnl8UdUxOIdUKrzTVsJlGtstoaDp1snW9JXVNETYKKpC9G
YysIOn+Chhoj+LHjiDszQ8kpxCBMLHeVfS/zBjzOYsRyDe4ybIyxbvhGZjze0eE+9LltsFlZI6Tl
3p7Sh6kNyzc55C8Su+WNYxGsBDvsjmI/uhicRLce88LslLotRHCVECzuxD7S19Zpg4aJKMwSXFpN
t4kvDRnXZ7Oq/DVIYuqiytT6a0JucfwbYz1+TSI/hC9iddVjkie0lAQ75wEjvgzJ7eBxpuhzews9
wvvK145uLTOEWNRHlXa26048ttJNXiuYJhrgn/S97cA4mPGea/cWrLJKHhIPuJxKQEu2cQScC3NQ
8GinucVxZpiLCjZvJ2DEDknCdUoz0W5mOM9qlwNosKC+qxMwM7JRaqE+XWFuql8Mh6R6tFcZz72u
8KCGDFrgdOTljBqmzo+MY2mPQCiR0aU3epSnoPkC1fCPFxLvxdQW6UVDxHw6nwa/9j9LfAtfxYz4
aw0iV9+5qmLq0uGICG4C2eiQ4RNGWqoq2GLy0uQ5hhkY78zQhGfTubD3u7Th9Kk4niEb2fyYWBYU
RrMTXICGRKe+MUp2d+wNVjai0duwoYchW4NqO+4iyW8HHkCM2+NiB16SGV9a2DRrW0/tk2gctt3B
yv1pFYOFHcuGPJ9VD1XrVU2D2W17aeclDsJm8UZXEV5VaH3XbqKmrcBsZk2ILm5UMmUG6M6gjCsl
Mg/9i6a4lnreZfBc2xyHRN8YulWHDLbcoIDMv4wlDfuaWUL+ZEItc7cTxEosTBPf+QYr2XBWZqQ7
TyMrmb2MSPoRcaxr1cHsOcZwn5mez+wOO1u4o43erP1RDMbX/vvF6vs5np8AUPInVrDdQ3iaYAu6
ea/AW0PkT+Wsk+5TUjw7xLYjB8Tak74APIs/euEVxHBtLUYvCUrfV5dW4NueriBBIzngs6Hsz4oK
BVeRRqX/6HhRtEPYbd0bFRNTJZX9FDsmlWVByUUiLo3cs6WrEgmh5UFZcvr4Nu7UfA21yrgdZydq
14I0d7YXdJrJrQMnFtTeFo218bWI+gjzpvjWlRj8Hs2+IBOrAdfIGRY9xb6LhiBpH9sKSnLrNdlX
fW4ijmMo04C6ztWsV5TriehwBNNI8uHVDqLYBgl7vi2xMQAeEwOPSznlLKA5pLFbVRWjQIxWK3mn
Yyh9hFqYXDPefNXx2JCBiHTf20QD/hZPlZFNzgaFBjc0Jz0eFVnbGxZEyVhrNz+O/zGREKsRP7K2
Etjs69qa1GWWcVwHXohh62oAXhlOOJChLPeVTTvpfleY+ctZc1V2Wmduiyns2hUif5Dl778A8JsV
UaGDhWuQVp26OE1EzWX6S9vmSJtTajQq/omlFCs/y3yeS6TquggUyVtaH0DIEl+y5VmBUo+Y0BZi
2vbOnBpXDu7k2VU/eSrczsTnnGzZ+w66mIELhCcivwSBJSfU2E8q2xOwgUkgXh02fIxZ0hYb/Thk
+zpW/PyPXSDStdA5eoj3SVrxsgZ1fmsRtoswlR0MTYE74aduDokXhP0IVU7GVggyQjoYbwYvFiZM
VfGWeDxnRHe682DgB+eVsrLEHvIm5HmICgxLKFEA07LjjIlVuB3g1Qm0f04xWQE6WwD9wPteEXZs
PuKx6OesPoEMmMUFYpqfBr2EihigRDWybYQNjb/3Y6dvd7qzECFHFupuDks2r2lmXRwEdqNPWpE0
XQDc6zDFhdbDUw1B881vOVAZtOkGXhxD77gBAX5ORT5VOJMWFdNUBYmTcCfxnc7Lcz0pPd3LnPde
tVpWxmtNq9qPPEMOWGal7GijciUBpMIW+onpgCAFhuVH932HaXrg9310xHY3QQfhdAJFc5Ih3WgM
Y1p41R5y3XkGKNmRpobqewUj0Ogf7aGGnUtdxKRINg4UKeT9PDmpO+RPP+5hC/bebfMuyuR+KDPs
Xxt+ugpoVv1XJpODuQMAYhgscIu9GImdS3YVr8dSIBYC9opUqIDyOLQZXhGoAVMapfgtDUPo7hyV
CJQIY1G8mg64Jnv+NBEkNk+grPbYi4eobK3mXkHLCY+09Tx+VqsYvcCGyp460+eRT4BdyGNzs/DA
4TUaNxAswpwmMcYLA0wx79aU1yjmfalKf98p3fxMme89Z024ST1t3g66fT+XOQKYRNuFox89RYmh
VlmVXw+jhaLDpOcBg1j5BJjdYY3HxGMscAWO+m9G639CpMduaNuc1NteqI/f9Xl/yQ4Kq1X++7+W
17xW9dQmUdx/N8X6x9+uktcW3dq3/k9/avdWXb8wfnz/Q7/85u5/f//X0Vu1fulffvnL5rsx0618
a6e7t07mPz7FHz/53/2Xf9g7PUz129//9lrJsl9+WwTv82fnJ+K6fxIyLp/kj9ctX+Dvf7u85C9V
908v+MOXzLQ+YBJKyiEBHjjy2ag5R4auf/8b9+qDTmYLOQuujZZ2ST/8wyrK+4B+WLCJI4Qkjnux
2O0q2ceYUH0gbAJbWuYRJL3Y/MBfSZB9J2LFE81C+oyRFUFMZEK9j68YcFIqKkjhZz8p+jW0dCAe
ZngoChcORD1xeJsT3FBw6J8u0L/QSL+Tk/LGNm9tEZ2BgJUv8841yvczJ8VWrz2XBpAH83AnMDWj
3HcGuUB//laLzPsng6ofb+VbXGMHD37sHH9VlNJMxpMcy/ZchT5S4H5wtsp2kt98IeudD9byNgZm
6Y4DSUUQ+vVObU7rQ7VHSClaT1yRROvF247QkUeXGf6RIKtxC0qkkxzYKg+cP11AFceK84APPb4k
5GBsRquDRzEbDURmtBmIAPWKyY4xY8EC/UvQrFUq/Vqb5rYxYhdZWT9Nj/owdR8zaLVfhyTWPjHq
g4k+N75NYUuDAi8EAYWv4ukuLQzj0YKv/qmPdPcUxeqLDdXjti1L4u4HBfFmgq/NjMos1GfgFa36
6/cCg18Xb2E8yizyk3+9F0sAi6GPoj83CZl9VPzzJpSqCP78jr/TRy+3guEbC0Tnf1gAvLsVTiqs
qBu9DqA/fhqatSmv42asd6YTdr+RRbv/4umCdkMwD0lAhI17y4P+ky4dBy2V0J11Z2JSt80kAiMi
eiA0tyljQsnwGFKXvfIzDmZwlclut5zBTAvEyuvl2mvp/14ykR7wBXyLNJyCRjhe/o2JBHA0ruEn
Bxkhs/Foru3iybMLWBEFsZfwwM2z3l6G5Cj6oO7uQrwmYgaSycd0OHYMeErm7Ex+XLGJMoxzsAfy
UrnVYGin806PMYdwPnbhTVphrpL1gR+eUwaqKr2dnDf8uaY5RVRyx6aEBO8YIlSt9WvYHsGI+Q+x
nMYw8scX18xvvNrYl/KuTdvfXFzznRj8x40kuol8dwa26N1/vbgyKcuhAlg5V3Gi7/jr1gGC2aYZ
9hQZdN2JCJizE80vRVNpO1ogssf6IX7AvOY6oTra2ouFTxFDzK7aAiVuyATBh6FWUH0GxVC2t2kn
EpyN4UGZtI30TWgzYtNkiKOSwBv1rzlzs0Pm2sPJrwYXI65ukXM2MNPRbdybILSHDGyM24MzF1FH
8W8MUQ1Ogff7l2ktUTzeEsuEM/mvFyFLDQG5zOkxuIPb54ZJsmUTmo64S9koSszhmz8yr1tcGfC4
KMznqCuNQ2kqiJSj7wRDiCNdAsFxbbfwPjTM/FY6HUdQ2qg+QnaYPWoEfrPMio1lMQ7989X43cX5
3QZs2oYBoGPYHkfXO6cETcZ23Lt6fy6m0QpS3JpwofOdXV9P1qbzxhLa+5SdRg/1Vq3Lj25q/M7L
9V8cNybPkSk4aQRDyHcP0kikN613Js+ap9jefC09aURf7jw4Qb/ZfP7lW3GeGmw8Jl962TB+2hBK
K26abpbyTOu1MFyYoReNnkMYG+LfXdnld72/sq5h4Sjr6jYxk+/eS2DM1Nmy7s55LfrrwivovdLC
vB2HfjxxMUyQwdkLXKSJ51gX9aaWrbUiCdq+mSRUjqhLu+t5iovfWMh/N7/49YO51DWE3glqC1Lg
3jlQRkiSx87Tm3PUhsami+GX2M6S+pt2tYclhinXLvAkvYL5HDaJuUZfFe7tchy3zKWcnZOP817T
8hH+0yCuI3v6XS7pP1c+aPw4qJG1AkuLf4qoI7vQAZeoz5Xqq7uibCtM2lR+dLCo3LlTnB3SbnbO
Oizl3zwg/3TTLIoeHsSlRrA8/Ex+fUCaiKm6yyAFU7fOo83OaqadXvhXT1qLoo4ikv/ohDXY76qe
GgBsaFRqnQqBABRjQ649Koztn6/tfzpp8fz02ZuFoJpji363rpwIq8B8GuZTMek7yCrtHqEaOhPd
bdbaaP94t7/UftzUb+V937699Vcv9f+A1sFYnGz+vaPxoctf/uP+paSj2ORv5cvPTcT3l/5oIrTF
b9bGgdiz4dSbnrOEEf/oIiANfLAZzuP0iifEr22E5n5wmFUvpwdOKoZBmfJfjYRmYW/sYazqLhYy
WNL+lT7i3R7Po4YRkOVjg7NYKfO8vXvcZlWopKjio8jiAQo1YUHQo8s5bBDfwG4vHi0bftIiX1d1
uIo1sx2+mLo0qk1qwG4zf/P0v4vUcBx6Jr7S8qUtA6mW864sM1jbiExLKMuxq5hbNYhogyGtixZe
lzlVyas2dB6+spVdDPCQu9le+NrIOOECJhjNlNqGQTtAaIgn3u+2x2VZ/GN7JObewlV6SRfhQKf7
eR9FD+KKY/9gwo3vU4PUqLqQjXHMejfOd1M/obTC+K21YkbkdIHWHPR27jWXtMyVv7WZ+rm3ehR5
4nef69dNcdmvMR/2v29PQidw4t3WZJiNWWpOcoQtkVfTZhbSUgxSfOl0mwbLAI95g2PgQruSIiub
JzWazFAy3U9cTBAGyFgeUjHcOhiD+lA1mAhOXfpQ6Ln7UR+yHDJV1qZJjFZmsCXkq1Cf8JL7voD+
0i7x30Mg/m+gjP8PUQpjgRb+/Vbz8SXPk+4/pv/Ygu+922mWV/6x0+iu80F32Cp0fKrJflhQif/c
aVzvg+7py5bCdvGfWIWmmx8MHTG50LGj4lBdsoP/QCuWzQkAEEN2um9eaFPC/wUHdf3X4mqJ5SHj
iKScxSOKBtJ/X1eMrkwSXfSPqUxL8HYTYrUqE1eg2lJyxxiCibeKomxDhNXwJUsL983DGBemXPfS
kSNynSuTWeAk5h3znXbz0wW9/FjBPzu/cdV+WtffP5672Hejr1nsFBbU6Ofaj3mCQ+Pv9I9N2l9q
VANHZAzevM6KxvpNW/BrFfHHW7F1L5WEST7Yu5O3H9wR/uHcP04a2KIk93ITiTg9/vkXWm7ru2/k
U8bimIFijvv4PUblp2p2nMnPafuCNroaJegzhtZFPF5UU4Fnd12zFTCCxlWPx86Dnk/e9dxoV1mb
n5Bv2itHj8gWlxnTzjm27wuPK469BoOracq2SE0zt6lPGfvyHt8ykz42DnexJNjHJx9+9+ffRf+1
m1wumS94aAyPB9jG7P/dJZtCy2wnCDFPLkynr64szcsY11AnDIfGMql98Fv9qKzCZYaIGQaOTijC
IZoXvc0crZ53eYcCopQPtjWkG3Iykh839f/B1vU/rgxaCtB/vzfdvxTVr7XP8vP/tSPpH8CKwD0N
5iqUmT/vSMYHindaH5322FwyH/5AUJddiQqbwpdigDLHMFlBP+1KbCCUTECyKF6F/ZeKn++BZ/84
zvlEton1/RKUyIcgnfkdmBnhXIW1yAzf5f9wdzXLiSRJ+lXyNjNmq2p+BEiXMRMISdUSKo2gaqzr
IgsgC6JIMlH+SIXW1mwv+xB73lMf5jbHvdWb7JPs55lEdXqSAkT4dKlLbT3TCJmHh4eHh/874sIo
hfdDTAdp3T0txgt9N+0iPbmBJhbVCYrJHxcIWBxVEbtB/0kkzqBrcOUebcZQsk8FVcdRd/L4iNza
yGs2bw4bU8pURTgD02xnSwxchmUc9D8/HXzErCk4fHx0yh1W6ujy3EY/sOixewf95RYKO0rH7g6n
D/M2WssvF90EVabjeXNxhAJ5H297G92Sn9B4AVVJN7p+OD+7R6gMU9zIB9hdaGRj/3KAiPY7jeFb
KFOM7/DIo+djsz3xES27R1OsLU0l16QZZlvTBGB4ow/xiKTqZU7MhDhZ/XSPOVdeRd+hlCJBM+v5
4cNpjqd2Ec9YpYrkTYxggNSEdc7Fsxd6cXK/0NXBHBO8uv40CM++1CM4xWrTKRpMzLdZR6kexxkD
W2liY5iPcFSrk9Kefw+SGtre1cPGctCsLJaXEz94+OVL/eigfvZ4d3zfbC8SSMp2Es90Dz1b63cU
Y3+cI3a3uEfiOZoyoGAQlUdPuv54ica7fttDmP766N5DGQDKSVsXSNkOWp0YPW7mqOQJDvuHaOPq
IfnocPk+QSzzrvOlDmW3qxc+xjMtH0OUzs6PqTFpozELMN6qumy2Z+j3EnemixaSuNEa6/M7ONyO
75HCt0CLhcrd3TXa8FPp2+FicYkc1vvb5vTuy8fpxGvNOgdRQpXvzfDT4Xz2+R7VOIsWuvY9UE7J
C8+u2Wii/eTRYRV9XYmenJTwcKGp2pfml0E88T/doZJtcgAqPdWOLw5md/osXewPJIdXqFKoaS2U
hZgYgm+rQNdNoP14EOz3R5sB7RYbSwegMsmeopTG5TZB8FSMoc1jhM9QZ/QG43pgrFWhOXqBPzFf
NJpvKrCQGvUKkp/pB5IVS+WI89z2N+9sPV64DmcT7u63mTAkQ+w2X628qac/FYBim4daDZ8pudDS
/6PvX9fmoddb7h4+CChlVfiPsq0WaVDHBCaaZkN/kf5AZ3tdNKCYhBUDHCLUewzfzXGB91uI9FZo
gjn1kaafzLh7RbyPAW2Wez+o1d/U4ZxBq/RWtklQk90BGJygzCEcVa/t4Nf8ei8Xe4eI5cOIhY6Q
CjcaMJfffBPfw9EH99xKAIBDXhfzw49lyQFIdEjjMYYEazSAMwLf4WXISPT6XgBEkyxpcNB8g5bq
x004ArNLQDGjPCO0Gm+QPAIPK25K+oPvXxcj0BB0Kyl4gFwYDBuuQ0cmQ49+CjSoQlIcwc6rvzpJ
ULPefLX1BpkjYAJ0Vs9++OZJEhzDIUu+uNd18BRQsDt4nCtCSKhlKTL9MTyHTdyLNHKMi/GCp3+H
R/KbEt1BtcE4VZ+1G+Wyybb+gVEx1wGsVEeaGQjtplX55vJM/5RyzTLgmRpJn/86CqBS+vhFqtzm
viBVP/cxGLnK3/I3LI0tS6/LQTDacx6XFb3Wd1K6R/PLC+2GKhxNl91UHV7tOkuJO/kU6pHKR7MQ
qDAfaceUbbfaco6DNoJEkCwcxQWwUA/IU5RisCfcSDNEaxhiaAexi+EaC9fAIDaAc4imPdqgeR2E
8dQ5mbtFwqJG9sgS9kkSxaHyCnRoVShXzgbnPuUsluFM7zkkhw3sd3QTOMYIjB7Bz4J4GlyBcMoh
sdJujRuY35OguAqFMTDKCv/ChwjFtbG2SvJbGmm0I3eDZ1SBERHigDsRSWXweSCwSlH84nb2WKit
PNwhpx+r2AVy2REQjyIfApfpCEUM2B80O4SMzdfmYu2xXM+NkEEUqzk/KtQ5NZCLiZAV8vRadTx+
ayy8z2IKLSncoUE73RVUCvqHvL2IQiHfVmKhjgr1cAgGdK7deOqGnvLHjJhwRiNzF1Ssw0iu1JBA
DOU9o/WzxCyTwt+cHeuymTsxXv597ugzEWLkev5l4K8Pe1n+AK9QR/lqrAzhs/fYfCo5hh2v6jmy
T3w6cQOKAJP5/uz57gi4535BbZ2BQ1CrpF/Zgu0ruAidG7zWoesAbaen0bYeBoYBTSthTpb5uD9l
3vs6dsclsgXjju2hd0AIvFJl70kNb9WaepG8XAp/u9cG2/QQKkirOTpCrPnZk8Dd/00vZ1fx97nA
SGODP8L2AucFEDEBtNT8r7qkZBklma1lvjG/3KTGtdU0BEMaYqYE3vSA7nh3OstFmDARnEYQmV6Y
Y4gdoZ6rJ6RnxaFeMHzJTfksL+wI+m2oOBEoidIaaBQq1zNwUtqSj9YabKjuDZQUKI22twX6cxCO
CyQgS9oWLMYTKB0bOCm25DKwBXvlDpXPRWaaDWEL9x16YxnsUmSbApLyb9BbQwZ1XRNOfpOOO3Js
XyVj7ZyEash1udpGvXRX4KgkYy81shXNDqwfJMLZ6c51WNR5a1QbYnuEf0c1l9NW/syAonOEfms+
7o/+L+7cZdyR5vnY4nsdOGC6P0VOUYdpSMi18wBgnX4yHGsYlXrEriKi/BJieZD4Q4dSZwtaN4Lt
KPmhLGRbGp0ME6eXRIwjV9AF2PLfb7v97u2H7ul/OMQ8bgiCFfkfFhKcvnW00kd2F1zDmCa9bVtl
j/WGJ1zQgMj8G+b5/3EMiBMPUp/LJYG35MQfB2HIeAuBbWuWJScOx7UqIN3arjfRydzgl8o2gQuG
wQsgbGqOXLjhkzsJHnQxKdWsub8ABfKqoBauO/eSF7+EbUyEhgeAnWBdQN6fuv5chewdocROW854
G4IM3FxtCjBcN4qLvjH4uq2x7Ty5oymnLeX12RIBfZKKRKDyU2uwKgzcsrdoo0NrR6XoDDbCyDVI
0tU7ErjR53oIM7qgIVIqtS0tzlGL70fu0kAihKmGwBquG0Jh4WAl6AA/DqcuRZdtke2EATKbmGio
VgTgXiQ+ZA4jAgLj9vi+Ha0JB0TcBeDGyuPYUpG/LXV/dsMCgyGPUwAsVNaeWnJlu0rZ8LYIX6n4
ocAN1DrAGqyOp0lRNamux5iSF79tfS94ULMiygI0vtKQ67HrQ98tuH8ob9aaIMkXdz4MkCdrYJH0
QUKx+bi/EtHDsDnQxABK4VLVpi3KvcBXBXdvQ+CK9Ei2G+xSZJsCp/dMnAPVQmap/QmM0Oaj4rJC
4mlGRnhB60kLVG2P7QaB2GSiuJdNwv1/G+CV4xcPWZH25KUb7RYBUxGFLSVQtwqpGaJVh4FF7Iae
Mubj/izRXxR8xGmuqTXCDwoGXTg2+KXoUnG6NeBHd8wfj5qEi7T/qOOnLLpocMxQFrjQ72fkhmfK
JQLNZpn9T24VA7rU/mQccLNxPQMkefHz9AHK1Qh819Exkxi1jQHWHfVtSGQ8UO4k5AwtYdX03bDo
NqUCNFvGgxPMdYJPuIbMT4juShK+9CznpKdG7rho6aE6VEKfu0SfsAdGbSS6oSGDgGL79b9I/JeZ
Zq1DpBIioZQqJ+HzRIb11uW+n2stC23autby+NPd/teE9lxPPxUkij2LYwgcuiPcFvK+GgKPTNdD
6wXvQcEbZ9Ak8UplWrb38jxBqGGOvnAGFAFez1R7ufy7CPwxpQrl4cIxbT7uL7evQeBQTRKGcXVj
VH1HqXqDLIw5B7vdK5Bn2O4q8Px7+bJX4f4/xJ07CZMhp609K5yA3mCE1DnbVuEw4Tk0AtfjxJ8k
2uO3g4r9ba8dYYvrzG+HgE01mLqI8E3Bxgy0RIiyo5ZQ+8ueKQnbtVPgjrTRg2VSxGkwR/dWnt0r
YWIauL5z6y6SoadHhiFIeFILF1v2QOZWMSFMIlgIYT9GPlXCc37XE1z3kPZIZdBm30SFaqVuPu4v
6n8GHxfOD1W19nBhCyKJnZLLDKwU5YaAgUWaeYQENhVz0AJMcQOvdRyQgsH0UDRmNUvtT+ks9e5S
Y2pGKk2v3QfNJUhFwEGVrXKVjArOAwkFfQDzXo/VOEV/EAyRD23IQodbk/CRDpJwltGnA74MojJh
iG5EZl3b4/igEVRBRiRZB0jedTKpAFuYnwy1hLMVOOhtHeto6nzQ4USXCnlE+e2Xed/fuIIAI7fh
q9Qhu9c1CT25A112pDhLtQREXF9xrahG5UW2p9mnPNouwuzwQfBcw5pEhDK7xlBh4unXXz13vjQY
00XDcDPz0YL/aQM9hRW4swr92ppicih7BZw/Z8HLvxisaRNU5rvVVPl+mj+VKNkq/RsS5r9XKZY3
Qc0QsxEE7gI0eLjX84crIJ/R7y56hLWYB1uVgAv3N/OP1SRke4IRjmOdx5U6/9gKmc5UjQ0UujMS
PlmjT5OnkF68DnpsMJlLLY1sET9158EIChqKi7avJ8CBHfTeDzHwxmCeEkuAWTqYJ47xBXmwEm/0
t+qFtDKy3MaRyBntqIXrfHDDMXusN9ao7ejHOf2sEWDl9ghVJNsyTneyXMQGDJ2ixFvUvYcHLoDc
8xxqDO4ymdIUYJMuVLuQg5Vw6KO7OJp9cXEtoRCRB+NcYQIaIwS11bA9vnM15JeQGiJYA50WnoHt
LvqsJ9Km0pN1RkBbGXtcO1//GbvO+E9vH4KCioyRSvbgL11/yQ6tpD45eXEc7UoPi1oBpg/bY3uF
es94yh4XxHME4OphgQoS9lkP5YETFcHzbTAk+VPdnmq9ndmQThTEMRPCaGRlltlfh0d6h3pkWkc6
Usb2wgFsAajALe7hIR1xtwomvkjQICHDmttg6JIjBbmYhlGVeOZ6AeZQDNe8YxKZuNcaKr7ZfMrB
Ek9GCpW/F1UJOzcTwwdtHUUqYVhLuExvv/6aYOIXUwvRY9uss//Fu4VlUgiEUKMe24vXd5ejqet5
LtM40Q1TAHTWfmGtFQfmAggAp0QJngVVk/FRkJvXuXKDQnIKNQe0JjZSrIptLiTqLvsIkTGOQ8W/
PbaDgFtpacdSaxJ8/Z/AQefzr7+mDtCb8Os//JHmoYtaXYDWKNLShY4WaRNe2w0MlP9UFNA1akxt
C/j9ZO2CS6TqtuHdRmmLc6YiphbVJNJe0W1HF3T6mkhqBPwwFMsxVKVHpSbxwH5cs0FqErHDj3o+
VMNHpm7VJEppsxY26/dbIu+1rUNnAGWOpZKi5M8Qff+36mS4dNnZYUQQsp0wD+aohcQtCOrt9tT3
88OmPZ1+QEdsaQOrxmv2iKe9sH7Ak/g0gX8B9cn80RZ49E6QrjtU+jMH3BC40SFKwbkyLmCgoWp9
4iF5IZoaDFNBL0CI3lJRLSMDK4HwNCkemoAO3oYnn8tLGkVoq0/AQT0MxvzMJBSKfqidK7QbYE4h
Cd8N6rZ57EVCQ0HC4sS5pP/pn9waoqY2qoT19Bal1AjccyJXqTev7ekBchGqwLX4WS24aEBXT3tc
L5fhZPlUFGd47+1BZyngGI/JXd2YXWwPO9OtSmALXOlLdO6ZTddJInCvr4rDniXCfkiyV8HaFaHu
4raMjNQphGoLvCxhI8BlONYP3G+RTlqzxhguzmXxTksEha7dBfdYVFsCbpYb5E2jiLYsawljsewP
8AblmGuMLFGvfYPWt3qxWMt82tgiccdgIXJlJmoBsWH2nyoWEjm+g6nSxcI+DEA16+xvNA3UZ71O
aRhOEqA1vIcGTqZjSWAM1wKphUXuqElIpPdPQ7eEHBJZyR+0G6MmgNFDQtS9QweU4MF5GyM1Y+H8
5HQRAQ7iZHUz88thWLtE5uVqwUvM04umsOZ/csx/6rJFMRxOQIfoL5Bl4S3L5A06uEroPj09HqOu
rKsiFpfPugw+/yBFO8qGFdX6UwzphjYPqn37z6ypU/6k0N8ZDWIF3HsUOFsqHFCovf/7z/+OZvTp
PFwiBAgMLhDFRlZ0GVHRW5KGBBukLAQMRqCGB4iQ8rBgq3Z8XJfI6+67MApmht2jn061Cpawl7Tz
N2QqKeZ9xEBGtNoX4MbTYDYOQMCBmsGM1LzQB43d0UxY4PAuVaJDzTrjVCuoe8LINftzuVEHnj4Y
oenMQRTxiFS2hsDZo1Z6YjDNrJ8Ue4FH4Eot4mlBrcnQ3vpwfT8XH1U1Hv+IyZbUhKsYYpKotYcd
9inwZiWvShO1vmhPizmHqJw9woTU7fk33+/cs8bvP6BHMZyQ1cPdJxJPcRumW6GBjERldztUTzzu
QJPMbA23DgwKpvBLvJqdwAuKeWsSymJ3hLItXvkr0W37DDVmoyklHRYy2CQiRmfKmz1b1S7wzJ4n
cNsyvyJeWXu+6EPngr7PWAODpO0Bk+mNStWlgZS+rDSWzJaTb9yQKwLbher2lLD3YVJENp2eaIvs
B6RiPKGjOzu4dDbXZsjf7xkom9TxAz4K2bAWNHctjjeWSJRpoytesTJbwOHbJ3EblNaqSfiTOwEV
+P350kWvCH/ylzJ7SyKxM3VbU19dVCORIC5bR6KHVycIjE4G6ze7biSEJBp5nenPOg9Twld5hj5F
1AXbDGlIe8foUbgeRNk472BHQ3/1FtJo5rUgjURniRX8NI5Ah00VnWhekI2JohjZmB2KxMOAWm/m
t5JorH7hoifVikPTPfRGp6i39Mzv2CbQatkwxf6eiEsY00Mk+BhI6bspkfTVmYbwRqJNQomhUpVo
kXvtPjod5ZU0JJLo0nStC7XrEiUdH5SPWhSuTkiUo14ruDnZCUrcWSLwRxe+Mt4wGA2TzFL7s92N
jkcoIy59XDDgSmABtUDfEtpCSa2HjKvIK+YsC1xHPFIRXDjlISSJrkFZafGF66H/xb85JxHq3yPk
SKfCBhX+FD9w4AbtJP6UK5ESJuwgmEE3ZZxak1AlBghscmwlgtKDBE0CC8gKcObfcbw6a3JwlsSI
FxhmJ9GLMWjm4/6Xa03JrEk4XjsUIaQGGebSGkRTLQf13K0WBp1hLi3cmYcNibad7/NDpDCryg9C
512CgAf0xVI1rkVO5gpNyIUXjMaFbzWEv6PhUzI80Nbwye+G2Gdzb7f8X3dXjbVyY08ZMi/6Pqf9
lk0uZIBXaG4oll+bLpfHe/suM2Oc/FHfZrsaBDZWCLoBGnWwuykRwb9NokI6Q00i3jP4+r9ILV+6
+SuJUX7m43OiJE9Jc8K/T2u1shGT5ljSs/qX80XZ3qW5v2y25Q+4y5LBmj/eLsvmeL6yXW5h6dVr
MPJgZP71/wEAAP//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microsoft.com/office/2014/relationships/chartEx" Target="../charts/chartEx2.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10</xdr:col>
      <xdr:colOff>0</xdr:colOff>
      <xdr:row>31</xdr:row>
      <xdr:rowOff>175260</xdr:rowOff>
    </xdr:to>
    <xdr:graphicFrame macro="">
      <xdr:nvGraphicFramePr>
        <xdr:cNvPr id="3" name="Gráfico 2">
          <a:extLst>
            <a:ext uri="{FF2B5EF4-FFF2-40B4-BE49-F238E27FC236}">
              <a16:creationId xmlns:a16="http://schemas.microsoft.com/office/drawing/2014/main" id="{DD006614-129B-4241-8F0D-65BA2F173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0</xdr:rowOff>
    </xdr:from>
    <xdr:to>
      <xdr:col>9</xdr:col>
      <xdr:colOff>632460</xdr:colOff>
      <xdr:row>63</xdr:row>
      <xdr:rowOff>167640</xdr:rowOff>
    </xdr:to>
    <xdr:graphicFrame macro="">
      <xdr:nvGraphicFramePr>
        <xdr:cNvPr id="4" name="Gráfico 3">
          <a:extLst>
            <a:ext uri="{FF2B5EF4-FFF2-40B4-BE49-F238E27FC236}">
              <a16:creationId xmlns:a16="http://schemas.microsoft.com/office/drawing/2014/main" id="{0D0A7A26-E2C7-499C-B265-A5259DDE6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65</xdr:row>
      <xdr:rowOff>7620</xdr:rowOff>
    </xdr:from>
    <xdr:to>
      <xdr:col>10</xdr:col>
      <xdr:colOff>7620</xdr:colOff>
      <xdr:row>81</xdr:row>
      <xdr:rowOff>0</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8964D19E-84AB-477B-83BC-1C452F8DF2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12374880"/>
              <a:ext cx="7780020" cy="2918460"/>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80</xdr:row>
      <xdr:rowOff>129541</xdr:rowOff>
    </xdr:from>
    <xdr:to>
      <xdr:col>10</xdr:col>
      <xdr:colOff>15240</xdr:colOff>
      <xdr:row>95</xdr:row>
      <xdr:rowOff>167640</xdr:rowOff>
    </xdr:to>
    <xdr:graphicFrame macro="">
      <xdr:nvGraphicFramePr>
        <xdr:cNvPr id="5" name="Gráfico 4">
          <a:extLst>
            <a:ext uri="{FF2B5EF4-FFF2-40B4-BE49-F238E27FC236}">
              <a16:creationId xmlns:a16="http://schemas.microsoft.com/office/drawing/2014/main" id="{DFBDDAB6-BED0-4758-B9BC-028AA5D41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96</xdr:row>
      <xdr:rowOff>297181</xdr:rowOff>
    </xdr:from>
    <xdr:to>
      <xdr:col>10</xdr:col>
      <xdr:colOff>15240</xdr:colOff>
      <xdr:row>111</xdr:row>
      <xdr:rowOff>7620</xdr:rowOff>
    </xdr:to>
    <xdr:graphicFrame macro="">
      <xdr:nvGraphicFramePr>
        <xdr:cNvPr id="6" name="Gráfico 5">
          <a:extLst>
            <a:ext uri="{FF2B5EF4-FFF2-40B4-BE49-F238E27FC236}">
              <a16:creationId xmlns:a16="http://schemas.microsoft.com/office/drawing/2014/main" id="{9D4DA9E4-F19F-4A8F-81B3-C87CAC62F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111</xdr:row>
      <xdr:rowOff>30480</xdr:rowOff>
    </xdr:from>
    <xdr:to>
      <xdr:col>10</xdr:col>
      <xdr:colOff>7620</xdr:colOff>
      <xdr:row>127</xdr:row>
      <xdr:rowOff>175260</xdr:rowOff>
    </xdr:to>
    <xdr:graphicFrame macro="">
      <xdr:nvGraphicFramePr>
        <xdr:cNvPr id="7" name="Gráfico 6">
          <a:extLst>
            <a:ext uri="{FF2B5EF4-FFF2-40B4-BE49-F238E27FC236}">
              <a16:creationId xmlns:a16="http://schemas.microsoft.com/office/drawing/2014/main" id="{D3C1BF86-3694-4AA4-9D21-EF6DCB438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15240</xdr:colOff>
      <xdr:row>1</xdr:row>
      <xdr:rowOff>7620</xdr:rowOff>
    </xdr:from>
    <xdr:to>
      <xdr:col>25</xdr:col>
      <xdr:colOff>784860</xdr:colOff>
      <xdr:row>16</xdr:row>
      <xdr:rowOff>53340</xdr:rowOff>
    </xdr:to>
    <xdr:graphicFrame macro="">
      <xdr:nvGraphicFramePr>
        <xdr:cNvPr id="8" name="Gráfico 7">
          <a:extLst>
            <a:ext uri="{FF2B5EF4-FFF2-40B4-BE49-F238E27FC236}">
              <a16:creationId xmlns:a16="http://schemas.microsoft.com/office/drawing/2014/main" id="{8A71A979-9A57-414E-AB12-2CB6ACC01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7620</xdr:colOff>
      <xdr:row>16</xdr:row>
      <xdr:rowOff>76201</xdr:rowOff>
    </xdr:from>
    <xdr:to>
      <xdr:col>25</xdr:col>
      <xdr:colOff>769620</xdr:colOff>
      <xdr:row>31</xdr:row>
      <xdr:rowOff>144781</xdr:rowOff>
    </xdr:to>
    <xdr:graphicFrame macro="">
      <xdr:nvGraphicFramePr>
        <xdr:cNvPr id="9" name="Gráfico 8">
          <a:extLst>
            <a:ext uri="{FF2B5EF4-FFF2-40B4-BE49-F238E27FC236}">
              <a16:creationId xmlns:a16="http://schemas.microsoft.com/office/drawing/2014/main" id="{2A4D4AAA-AF83-45E6-A8B6-38E2A739E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33</xdr:row>
      <xdr:rowOff>0</xdr:rowOff>
    </xdr:from>
    <xdr:to>
      <xdr:col>22</xdr:col>
      <xdr:colOff>769620</xdr:colOff>
      <xdr:row>63</xdr:row>
      <xdr:rowOff>175260</xdr:rowOff>
    </xdr:to>
    <xdr:graphicFrame macro="">
      <xdr:nvGraphicFramePr>
        <xdr:cNvPr id="10" name="Gráfico 9">
          <a:extLst>
            <a:ext uri="{FF2B5EF4-FFF2-40B4-BE49-F238E27FC236}">
              <a16:creationId xmlns:a16="http://schemas.microsoft.com/office/drawing/2014/main" id="{8B367504-A7B0-4E49-8164-DF50607E4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7620</xdr:colOff>
      <xdr:row>64</xdr:row>
      <xdr:rowOff>320040</xdr:rowOff>
    </xdr:from>
    <xdr:to>
      <xdr:col>23</xdr:col>
      <xdr:colOff>0</xdr:colOff>
      <xdr:row>78</xdr:row>
      <xdr:rowOff>152400</xdr:rowOff>
    </xdr:to>
    <xdr:graphicFrame macro="">
      <xdr:nvGraphicFramePr>
        <xdr:cNvPr id="11" name="Gráfico 10">
          <a:extLst>
            <a:ext uri="{FF2B5EF4-FFF2-40B4-BE49-F238E27FC236}">
              <a16:creationId xmlns:a16="http://schemas.microsoft.com/office/drawing/2014/main" id="{242CBABF-BF73-4CD0-B536-3E96CEF36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7621</xdr:colOff>
      <xdr:row>78</xdr:row>
      <xdr:rowOff>137160</xdr:rowOff>
    </xdr:from>
    <xdr:to>
      <xdr:col>22</xdr:col>
      <xdr:colOff>777240</xdr:colOff>
      <xdr:row>95</xdr:row>
      <xdr:rowOff>175260</xdr:rowOff>
    </xdr:to>
    <xdr:graphicFrame macro="">
      <xdr:nvGraphicFramePr>
        <xdr:cNvPr id="12" name="Gráfico 11">
          <a:extLst>
            <a:ext uri="{FF2B5EF4-FFF2-40B4-BE49-F238E27FC236}">
              <a16:creationId xmlns:a16="http://schemas.microsoft.com/office/drawing/2014/main" id="{B5B82672-55A2-473F-BB5B-EEEBE332A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784860</xdr:colOff>
      <xdr:row>0</xdr:row>
      <xdr:rowOff>0</xdr:rowOff>
    </xdr:from>
    <xdr:to>
      <xdr:col>11</xdr:col>
      <xdr:colOff>0</xdr:colOff>
      <xdr:row>17</xdr:row>
      <xdr:rowOff>176645</xdr:rowOff>
    </xdr:to>
    <xdr:graphicFrame macro="">
      <xdr:nvGraphicFramePr>
        <xdr:cNvPr id="2" name="Gráfico 1">
          <a:extLst>
            <a:ext uri="{FF2B5EF4-FFF2-40B4-BE49-F238E27FC236}">
              <a16:creationId xmlns:a16="http://schemas.microsoft.com/office/drawing/2014/main" id="{0DCBA4C0-C5C8-F064-37B4-A98DB7119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xdr:colOff>
      <xdr:row>20</xdr:row>
      <xdr:rowOff>8964</xdr:rowOff>
    </xdr:from>
    <xdr:to>
      <xdr:col>11</xdr:col>
      <xdr:colOff>0</xdr:colOff>
      <xdr:row>40</xdr:row>
      <xdr:rowOff>8964</xdr:rowOff>
    </xdr:to>
    <xdr:graphicFrame macro="">
      <xdr:nvGraphicFramePr>
        <xdr:cNvPr id="3" name="Gráfico 2">
          <a:extLst>
            <a:ext uri="{FF2B5EF4-FFF2-40B4-BE49-F238E27FC236}">
              <a16:creationId xmlns:a16="http://schemas.microsoft.com/office/drawing/2014/main" id="{7DD07633-B0CE-0366-6DC2-D600A23AE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784860</xdr:colOff>
      <xdr:row>40</xdr:row>
      <xdr:rowOff>171450</xdr:rowOff>
    </xdr:from>
    <xdr:to>
      <xdr:col>12</xdr:col>
      <xdr:colOff>777240</xdr:colOff>
      <xdr:row>63</xdr:row>
      <xdr:rowOff>0</xdr:rowOff>
    </xdr:to>
    <xdr:graphicFrame macro="">
      <xdr:nvGraphicFramePr>
        <xdr:cNvPr id="4" name="Gráfico 3">
          <a:extLst>
            <a:ext uri="{FF2B5EF4-FFF2-40B4-BE49-F238E27FC236}">
              <a16:creationId xmlns:a16="http://schemas.microsoft.com/office/drawing/2014/main" id="{FB687977-87D7-29B0-1EA2-4204361A3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986791</xdr:colOff>
      <xdr:row>63</xdr:row>
      <xdr:rowOff>163830</xdr:rowOff>
    </xdr:from>
    <xdr:to>
      <xdr:col>10</xdr:col>
      <xdr:colOff>779930</xdr:colOff>
      <xdr:row>84</xdr:row>
      <xdr:rowOff>17930</xdr:rowOff>
    </xdr:to>
    <mc:AlternateContent xmlns:mc="http://schemas.openxmlformats.org/markup-compatibility/2006">
      <mc:Choice xmlns:cx4="http://schemas.microsoft.com/office/drawing/2016/5/10/chartex" Requires="cx4">
        <xdr:graphicFrame macro="">
          <xdr:nvGraphicFramePr>
            <xdr:cNvPr id="5" name="Gráfico 4">
              <a:extLst>
                <a:ext uri="{FF2B5EF4-FFF2-40B4-BE49-F238E27FC236}">
                  <a16:creationId xmlns:a16="http://schemas.microsoft.com/office/drawing/2014/main" id="{792D6C22-F67B-D053-0225-5B1EFC5E5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416226" y="11755195"/>
              <a:ext cx="6346339" cy="3619276"/>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3</xdr:col>
      <xdr:colOff>4483</xdr:colOff>
      <xdr:row>96</xdr:row>
      <xdr:rowOff>170328</xdr:rowOff>
    </xdr:from>
    <xdr:to>
      <xdr:col>15</xdr:col>
      <xdr:colOff>8965</xdr:colOff>
      <xdr:row>122</xdr:row>
      <xdr:rowOff>80682</xdr:rowOff>
    </xdr:to>
    <xdr:graphicFrame macro="">
      <xdr:nvGraphicFramePr>
        <xdr:cNvPr id="6" name="Gráfico 5">
          <a:extLst>
            <a:ext uri="{FF2B5EF4-FFF2-40B4-BE49-F238E27FC236}">
              <a16:creationId xmlns:a16="http://schemas.microsoft.com/office/drawing/2014/main" id="{3D730B3A-8ABF-7DE3-2276-911BDF392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990599</xdr:colOff>
      <xdr:row>124</xdr:row>
      <xdr:rowOff>8965</xdr:rowOff>
    </xdr:from>
    <xdr:to>
      <xdr:col>14</xdr:col>
      <xdr:colOff>788893</xdr:colOff>
      <xdr:row>149</xdr:row>
      <xdr:rowOff>170330</xdr:rowOff>
    </xdr:to>
    <xdr:graphicFrame macro="">
      <xdr:nvGraphicFramePr>
        <xdr:cNvPr id="7" name="Gráfico 6">
          <a:extLst>
            <a:ext uri="{FF2B5EF4-FFF2-40B4-BE49-F238E27FC236}">
              <a16:creationId xmlns:a16="http://schemas.microsoft.com/office/drawing/2014/main" id="{540B5822-8198-82A1-6834-F8E3AF387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990600</xdr:colOff>
      <xdr:row>181</xdr:row>
      <xdr:rowOff>170328</xdr:rowOff>
    </xdr:from>
    <xdr:to>
      <xdr:col>14</xdr:col>
      <xdr:colOff>779929</xdr:colOff>
      <xdr:row>212</xdr:row>
      <xdr:rowOff>170328</xdr:rowOff>
    </xdr:to>
    <xdr:graphicFrame macro="">
      <xdr:nvGraphicFramePr>
        <xdr:cNvPr id="8" name="Gráfico 7">
          <a:extLst>
            <a:ext uri="{FF2B5EF4-FFF2-40B4-BE49-F238E27FC236}">
              <a16:creationId xmlns:a16="http://schemas.microsoft.com/office/drawing/2014/main" id="{A2A2ED88-02B8-0DBE-468F-09CE2F149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4481</xdr:colOff>
      <xdr:row>150</xdr:row>
      <xdr:rowOff>161365</xdr:rowOff>
    </xdr:from>
    <xdr:to>
      <xdr:col>15</xdr:col>
      <xdr:colOff>8963</xdr:colOff>
      <xdr:row>179</xdr:row>
      <xdr:rowOff>170330</xdr:rowOff>
    </xdr:to>
    <xdr:graphicFrame macro="">
      <xdr:nvGraphicFramePr>
        <xdr:cNvPr id="9" name="Gráfico 8">
          <a:extLst>
            <a:ext uri="{FF2B5EF4-FFF2-40B4-BE49-F238E27FC236}">
              <a16:creationId xmlns:a16="http://schemas.microsoft.com/office/drawing/2014/main" id="{2645F4FB-AB98-8EF9-78AE-DB36BA1F4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13446</xdr:colOff>
      <xdr:row>215</xdr:row>
      <xdr:rowOff>0</xdr:rowOff>
    </xdr:from>
    <xdr:to>
      <xdr:col>14</xdr:col>
      <xdr:colOff>779928</xdr:colOff>
      <xdr:row>246</xdr:row>
      <xdr:rowOff>161365</xdr:rowOff>
    </xdr:to>
    <xdr:graphicFrame macro="">
      <xdr:nvGraphicFramePr>
        <xdr:cNvPr id="10" name="Gráfico 9">
          <a:extLst>
            <a:ext uri="{FF2B5EF4-FFF2-40B4-BE49-F238E27FC236}">
              <a16:creationId xmlns:a16="http://schemas.microsoft.com/office/drawing/2014/main" id="{FA24B0BB-F7D2-B6A7-7D86-A6ED16FAA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990599</xdr:colOff>
      <xdr:row>248</xdr:row>
      <xdr:rowOff>8964</xdr:rowOff>
    </xdr:from>
    <xdr:to>
      <xdr:col>14</xdr:col>
      <xdr:colOff>788893</xdr:colOff>
      <xdr:row>274</xdr:row>
      <xdr:rowOff>8963</xdr:rowOff>
    </xdr:to>
    <xdr:graphicFrame macro="">
      <xdr:nvGraphicFramePr>
        <xdr:cNvPr id="11" name="Gráfico 10">
          <a:extLst>
            <a:ext uri="{FF2B5EF4-FFF2-40B4-BE49-F238E27FC236}">
              <a16:creationId xmlns:a16="http://schemas.microsoft.com/office/drawing/2014/main" id="{B2FE4C96-BF4E-8127-3FB2-D560FFEBD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4481</xdr:colOff>
      <xdr:row>275</xdr:row>
      <xdr:rowOff>170329</xdr:rowOff>
    </xdr:from>
    <xdr:to>
      <xdr:col>15</xdr:col>
      <xdr:colOff>8965</xdr:colOff>
      <xdr:row>302</xdr:row>
      <xdr:rowOff>179293</xdr:rowOff>
    </xdr:to>
    <xdr:graphicFrame macro="">
      <xdr:nvGraphicFramePr>
        <xdr:cNvPr id="12" name="Gráfico 11">
          <a:extLst>
            <a:ext uri="{FF2B5EF4-FFF2-40B4-BE49-F238E27FC236}">
              <a16:creationId xmlns:a16="http://schemas.microsoft.com/office/drawing/2014/main" id="{6227B071-E25F-4F83-A33D-19452E05E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4481</xdr:colOff>
      <xdr:row>63</xdr:row>
      <xdr:rowOff>161363</xdr:rowOff>
    </xdr:from>
    <xdr:to>
      <xdr:col>17</xdr:col>
      <xdr:colOff>277905</xdr:colOff>
      <xdr:row>83</xdr:row>
      <xdr:rowOff>143434</xdr:rowOff>
    </xdr:to>
    <xdr:graphicFrame macro="">
      <xdr:nvGraphicFramePr>
        <xdr:cNvPr id="13" name="Gráfico 12">
          <a:extLst>
            <a:ext uri="{FF2B5EF4-FFF2-40B4-BE49-F238E27FC236}">
              <a16:creationId xmlns:a16="http://schemas.microsoft.com/office/drawing/2014/main" id="{C6CBCDE6-8A9E-FD6F-589B-8D53C4CAF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2A8E8088-0647-447F-BBE0-0A0ABC3087C7}" autoFormatId="16" applyNumberFormats="0" applyBorderFormats="0" applyFontFormats="0" applyPatternFormats="0" applyAlignmentFormats="0" applyWidthHeightFormats="0">
  <queryTableRefresh nextId="14">
    <queryTableFields count="13">
      <queryTableField id="1" name="Número de Mesa" tableColumnId="1"/>
      <queryTableField id="2" name="Nombre del Cliente" tableColumnId="2"/>
      <queryTableField id="3" name="Número de Comensales" tableColumnId="3"/>
      <queryTableField id="4" name="Hora de Llegada" tableColumnId="4"/>
      <queryTableField id="5" name="Hora de Salida" tableColumnId="5"/>
      <queryTableField id="6" name="Mesero Asignado" tableColumnId="6"/>
      <queryTableField id="7" name="Tipo de Servicio" tableColumnId="7"/>
      <queryTableField id="8" name="Método de Pago" tableColumnId="8"/>
      <queryTableField id="9" name="Propina" tableColumnId="9"/>
      <queryTableField id="10" name="Estado de la Mesa" tableColumnId="10"/>
      <queryTableField id="11" name="Número de Orden" tableColumnId="11"/>
      <queryTableField id="12" name="País de Origen" tableColumnId="12"/>
      <queryTableField id="13" name="Platos Ordenados"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2C8E7CF3-4524-4C95-90F9-3D4794C6D2F7}" autoFormatId="16" applyNumberFormats="0" applyBorderFormats="0" applyFontFormats="0" applyPatternFormats="0" applyAlignmentFormats="0" applyWidthHeightFormats="0">
  <queryTableRefresh nextId="10">
    <queryTableFields count="9">
      <queryTableField id="1" name="N√∫mero de Orden" tableColumnId="1"/>
      <queryTableField id="2" name="N√∫mero de Mesa" tableColumnId="2"/>
      <queryTableField id="3" name="Nombre del Plato" tableColumnId="3"/>
      <queryTableField id="4" name="Descripci√≥n del Plato" tableColumnId="4"/>
      <queryTableField id="5" name="Costo Unitario" tableColumnId="5"/>
      <queryTableField id="6" name="Precio Unitario" tableColumnId="6"/>
      <queryTableField id="7" name="Cantidad Ordenada" tableColumnId="7"/>
      <queryTableField id="8" name="Tiempo de Preparaci√≥n" tableColumnId="8"/>
      <queryTableField id="9" name="Observaciones" tableColumnId="9"/>
    </queryTableFields>
  </queryTableRefresh>
</queryTable>
</file>

<file path=xl/tables/_rels/table1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BC35931-97B4-4A56-9B71-16C197F157D7}" name="Tabla4" displayName="Tabla4" ref="BB2:BK769" totalsRowShown="0" headerRowDxfId="60">
  <autoFilter ref="BB2:BK769" xr:uid="{DBC35931-97B4-4A56-9B71-16C197F157D7}"/>
  <tableColumns count="10">
    <tableColumn id="6" xr3:uid="{21DAF8C7-F787-4190-A172-53113256038A}" name="Cliente Nº" dataDxfId="59">
      <calculatedColumnFormula>MID(Tabla4[[#This Row],[Cliente]], SEARCH("_", Tabla4[[#This Row],[Cliente]]) + 1, LEN(Tabla4[[#This Row],[Cliente]]) - SEARCH("_",Tabla4[[#This Row],[Cliente]]))</calculatedColumnFormula>
    </tableColumn>
    <tableColumn id="1" xr3:uid="{D7C87726-8B0E-47FE-AA24-5BD851516534}" name="Cliente">
      <calculatedColumnFormula>sala!B2</calculatedColumnFormula>
    </tableColumn>
    <tableColumn id="9" xr3:uid="{F931BF68-7CD7-4A3A-936A-278BBE30F2E8}" name="Hora de Llegada" dataDxfId="58">
      <calculatedColumnFormula>sala!D2</calculatedColumnFormula>
    </tableColumn>
    <tableColumn id="10" xr3:uid="{07F9A1D6-CC50-481C-BBDC-111B98597640}" name="Hora de Salida" dataDxfId="57">
      <calculatedColumnFormula>sala!E2</calculatedColumnFormula>
    </tableColumn>
    <tableColumn id="2" xr3:uid="{B034ECF9-5107-4158-AA88-0A246E1B429A}" name="Número de Orden">
      <calculatedColumnFormula>sala!K2</calculatedColumnFormula>
    </tableColumn>
    <tableColumn id="3" xr3:uid="{98E77807-6387-4B8E-8986-1903D6E10773}" name="Propina" dataDxfId="56">
      <calculatedColumnFormula>sala!I2</calculatedColumnFormula>
    </tableColumn>
    <tableColumn id="5" xr3:uid="{3D5310B5-0A58-469B-A2D0-03AF7BC78F7D}" name="Precio Cena" dataDxfId="55">
      <calculatedColumnFormula array="1">SUM(IF(Cocina!A:A=Tabla4[[#This Row],[Número de Orden]],Cocina!F:F*Cocina!G:G,0))</calculatedColumnFormula>
    </tableColumn>
    <tableColumn id="12" xr3:uid="{CAAE1C05-2F3A-49A9-9050-EF3706BD2B7B}" name="Estado mesa" dataDxfId="54">
      <calculatedColumnFormula>sala!J2</calculatedColumnFormula>
    </tableColumn>
    <tableColumn id="13" xr3:uid="{CE2CD460-DD9B-4527-9CDA-D3E0460278FB}" name="Tiempo Extra" dataDxfId="53">
      <calculatedColumnFormula>IF(Tabla4[[#This Row],[Estado mesa]]="Ocupada","00:15","00:00")</calculatedColumnFormula>
    </tableColumn>
    <tableColumn id="14" xr3:uid="{3C32B39C-71ED-4CAD-BBDE-3439AAFA3C94}" name="Preparación en horas" dataDxfId="52">
      <calculatedColumnFormula array="1">SUM(IF(Cocina!A:A=Tabla4[[#This Row],[Número de Orden]],Cocina!H:H,0))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E5315D-2FF6-450C-AEC9-1444381EADF9}" name="Tabla5" displayName="Tabla5" ref="A2:N769" totalsRowShown="0" headerRowDxfId="51">
  <autoFilter ref="A2:N769" xr:uid="{4EE5315D-2FF6-450C-AEC9-1444381EADF9}"/>
  <tableColumns count="14">
    <tableColumn id="10" xr3:uid="{16F52C46-788E-4C01-AFC1-394D29EECB03}" name="Cliente Nº" dataDxfId="50">
      <calculatedColumnFormula>MID(Tabla4[[#This Row],[Cliente]], SEARCH("_", Tabla4[[#This Row],[Cliente]]) + 1, LEN(Tabla4[[#This Row],[Cliente]]) - SEARCH("_",Tabla4[[#This Row],[Cliente]]))</calculatedColumnFormula>
    </tableColumn>
    <tableColumn id="9" xr3:uid="{E376289F-649F-454E-816D-307238E7BD79}" name="Nº Orden" dataDxfId="49">
      <calculatedColumnFormula>sala!K2</calculatedColumnFormula>
    </tableColumn>
    <tableColumn id="1" xr3:uid="{BA3B55BD-9CAE-4DB4-AC2F-402CCC793220}" name="Monto Total de la cuenta" dataDxfId="48">
      <calculatedColumnFormula>Tabla4[[#This Row],[Propina]]+Tabla4[[#This Row],[Precio Cena]]</calculatedColumnFormula>
    </tableColumn>
    <tableColumn id="2" xr3:uid="{EB56B112-DD18-4B0F-B4EE-1C0BF9C44955}" name="Fecha de Factura" dataDxfId="47">
      <calculatedColumnFormula>INT(sala!E2)</calculatedColumnFormula>
    </tableColumn>
    <tableColumn id="3" xr3:uid="{6ADF5220-3753-492D-BA0E-82EDA95B5695}" name="Hora de Llegada" dataDxfId="46">
      <calculatedColumnFormula>MOD( sala!D2,1)</calculatedColumnFormula>
    </tableColumn>
    <tableColumn id="4" xr3:uid="{C3320B3C-2F00-4392-8C10-60ED15383D31}" name="Hora de Salida" dataDxfId="45">
      <calculatedColumnFormula>MOD( sala!E2,1)</calculatedColumnFormula>
    </tableColumn>
    <tableColumn id="5" xr3:uid="{0EFE2842-2610-4507-897C-C49DA585E9A6}" name="Tiempo Permanencia" dataDxfId="44">
      <calculatedColumnFormula>Tabla5[[#This Row],[Hora de Salida]]-Tabla5[[#This Row],[Hora de Llegada]]+Tabla4[[#This Row],[Tiempo Extra]]</calculatedColumnFormula>
    </tableColumn>
    <tableColumn id="6" xr3:uid="{EA3858FA-3689-4CB1-9F1C-F091039AB52C}" name="Tiempo de Preparación " dataDxfId="43">
      <calculatedColumnFormula>TEXT(Tabla4[[#This Row],[Preparación en horas]]/1440, "h:mm")</calculatedColumnFormula>
    </tableColumn>
    <tableColumn id="7" xr3:uid="{CDD33ECC-F778-44B3-B9AC-8B583AE6BE25}" name="Tiempo de Degustación" dataDxfId="42">
      <calculatedColumnFormula>IF(Tabla5[[#This Row],[Tiempo Permanencia]]-Tabla5[[#This Row],[Tiempo de Preparación ]]&gt;=0,Tabla5[[#This Row],[Tiempo Permanencia]]-Tabla5[[#This Row],[Tiempo de Preparación ]],0)</calculatedColumnFormula>
    </tableColumn>
    <tableColumn id="8" xr3:uid="{EA4CD629-8BA1-42F2-A428-28F6B0AB3782}" name="Orden Cobrada" dataDxfId="41">
      <calculatedColumnFormula>IF(Tabla5[[#This Row],[Tiempo de Degustación]]=0,"No Cobrada","Cobrada")</calculatedColumnFormula>
    </tableColumn>
    <tableColumn id="11" xr3:uid="{77AF7627-C5EE-44D6-B21D-34DDEAC8D848}" name="Ganancia Bruta" dataDxfId="40">
      <calculatedColumnFormula array="1">SUM(IF(Tabla5[[#This Row],[Orden Cobrada]]="Cobrada",IF(Cocina!A:A=Tabla5[[#This Row],[Nº Orden]],Cocina!F:F*Cocina!G:G,0),-Tabla6[[#This Row],[Precio Cena]]))</calculatedColumnFormula>
    </tableColumn>
    <tableColumn id="12" xr3:uid="{7724373C-6C4A-4A08-A446-7D2DD9D96E66}" name="Ganancia Neta" dataDxfId="39">
      <calculatedColumnFormula>IF(Tabla5[[#This Row],[Orden Cobrada]]="Cobrada",Tabla5[[#This Row],[Ganancia Bruta]]-Tabla6[[#This Row],[Coste Cena]],-Tabla6[[#This Row],[Precio Cena]]+Tabla6[[#This Row],[Coste Cena]])</calculatedColumnFormula>
    </tableColumn>
    <tableColumn id="13" xr3:uid="{D6397C3B-B111-46F4-A4C1-2FF5085CBAFB}" name="Porcentaje de Ganancia" dataDxfId="38">
      <calculatedColumnFormula>IF(Tabla5[[#This Row],[Orden Cobrada]]="Cobrada",((Tabla5[[#This Row],[Ganancia Neta]]/Tabla5[[#This Row],[Ganancia Bruta]])*100)/100,-((Tabla5[[#This Row],[Ganancia Neta]]/Tabla5[[#This Row],[Ganancia Bruta]]*100)/100))</calculatedColumnFormula>
    </tableColumn>
    <tableColumn id="15" xr3:uid="{5D450F03-1E16-4E00-8FA2-7D8CB0EBD5B8}" name="Mesero" dataDxfId="37">
      <calculatedColumnFormula>sala!F2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72EBDE-6096-4869-B454-59824AEB70DC}" name="Tabla1" displayName="Tabla1" ref="P3:Q5" totalsRowShown="0">
  <autoFilter ref="P3:Q5" xr:uid="{5972EBDE-6096-4869-B454-59824AEB70DC}"/>
  <tableColumns count="2">
    <tableColumn id="1" xr3:uid="{EC7A48AD-CBAA-4CA7-AB8B-CE58A8683308}" name="Orden"/>
    <tableColumn id="2" xr3:uid="{07E032C2-DF54-4F0A-B6AE-F2A107A1CCCF}" name="Cantidad">
      <calculatedColumnFormula>COUNTIF(J:J,"No Cobrada")</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69D181-C4BA-443A-AF47-DD66152BEF65}" name="Tabla6" displayName="Tabla6" ref="AY2:AZ769" totalsRowShown="0">
  <autoFilter ref="AY2:AZ769" xr:uid="{A769D181-C4BA-443A-AF47-DD66152BEF65}"/>
  <tableColumns count="2">
    <tableColumn id="1" xr3:uid="{2E41D795-9008-4264-8523-506A728307AC}" name="Precio Cena" dataDxfId="36">
      <calculatedColumnFormula array="1">SUM(IF(Cocina!A:A=Tabla5[[#This Row],[Nº Orden]],Cocina!F:F*Cocina!G:G,0))</calculatedColumnFormula>
    </tableColumn>
    <tableColumn id="2" xr3:uid="{6D284B67-83F0-487D-A5C9-A6321E6F50C3}" name="Coste Cena" dataDxfId="35">
      <calculatedColumnFormula array="1">SUM(IF(Cocina!A:A=Tabla5[[#This Row],[Nº Orden]],Cocina!E:E*Cocina!G:G,0))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58B7C8F-134B-4BA9-AD15-03D18D8FC666}" name="Tabla8" displayName="Tabla8" ref="S1:AE768" totalsRowShown="0" headerRowDxfId="34" headerRowBorderDxfId="33" tableBorderDxfId="32">
  <autoFilter ref="S1:AE768" xr:uid="{458B7C8F-134B-4BA9-AD15-03D18D8FC666}"/>
  <tableColumns count="13">
    <tableColumn id="4" xr3:uid="{34F2580B-78D1-4B6C-92B0-F4A00B337264}" name="Cliente" dataDxfId="31">
      <calculatedColumnFormula>'Conjunto de Datos'!BB3</calculatedColumnFormula>
    </tableColumn>
    <tableColumn id="3" xr3:uid="{2100C845-99DD-44D8-B767-2FD19655DF44}" name="Numero de Orden" dataDxfId="30">
      <calculatedColumnFormula>'Conjunto de Datos'!BF3</calculatedColumnFormula>
    </tableColumn>
    <tableColumn id="1" xr3:uid="{ECBC2606-2B9B-47BE-9365-9DA98B3DB8E0}" name="Propina" dataDxfId="29">
      <calculatedColumnFormula>sala!I2</calculatedColumnFormula>
    </tableColumn>
    <tableColumn id="2" xr3:uid="{8A77A936-37D5-4553-99F9-D2C98854B450}" name="Precio Cena"/>
    <tableColumn id="6" xr3:uid="{C92171A1-DD12-4759-A84E-5E5C03D6C39D}" name="Total Cena" dataDxfId="28">
      <calculatedColumnFormula>IF(Tabla8[[#This Row],[Cobrado]]="Cobrada",Tabla8[[#This Row],[Propina]]+Tabla8[[#This Row],[Precio Cena]],0)</calculatedColumnFormula>
    </tableColumn>
    <tableColumn id="5" xr3:uid="{A938C317-059E-407A-9471-07D12A5D3D10}" name="Tipo de Servicio" dataDxfId="27">
      <calculatedColumnFormula>INDEX(sala!G:G, MATCH(Tabla8[[#This Row],[Numero de Orden]], sala!K:K, 0))</calculatedColumnFormula>
    </tableColumn>
    <tableColumn id="7" xr3:uid="{9AA6309B-9135-4135-85BB-A628697BB384}" name="Cobrado" dataDxfId="26">
      <calculatedColumnFormula>'Conjunto de Datos'!J3</calculatedColumnFormula>
    </tableColumn>
    <tableColumn id="8" xr3:uid="{9D33A149-D66F-467E-8C7B-67962FFB49DA}" name="Método de Pago" dataDxfId="25">
      <calculatedColumnFormula>INDEX(sala!H:H, MATCH(Tabla8[[#This Row],[Numero de Orden]], sala!K:K, 0))</calculatedColumnFormula>
    </tableColumn>
    <tableColumn id="9" xr3:uid="{8D7E535B-30E5-4FAE-A4AA-C9BA1D07F2DA}" name="Fecha" dataDxfId="24">
      <calculatedColumnFormula>'Conjunto de Datos'!D3</calculatedColumnFormula>
    </tableColumn>
    <tableColumn id="10" xr3:uid="{BC2B6EC7-8457-42A9-80E2-8851F9F8B28C}" name="País de Origen" dataDxfId="23">
      <calculatedColumnFormula>INDEX(sala!L:L, MATCH(Tabla8[[#This Row],[Numero de Orden]], sala!K:K, 0))</calculatedColumnFormula>
    </tableColumn>
    <tableColumn id="11" xr3:uid="{64188AA0-8E43-4917-99D8-2CA820330770}" name="Mesero" dataDxfId="22">
      <calculatedColumnFormula>'Conjunto de Datos'!N3</calculatedColumnFormula>
    </tableColumn>
    <tableColumn id="12" xr3:uid="{FF4D3237-12CC-47AB-911E-553F8625E672}" name="Coste de la cena aun no se haya pagado" dataDxfId="21">
      <calculatedColumnFormula>Tabla8[[#This Row],[Propina]]+Tabla8[[#This Row],[Precio Cena]]</calculatedColumnFormula>
    </tableColumn>
    <tableColumn id="13" xr3:uid="{82704D18-1C65-43CD-8205-C1CDFECD5783}" name="Precio Cena2" dataDxfId="0">
      <calculatedColumnFormula>IF(Y2 = "Cobrada",V2,0)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8B666F-CDE0-4999-927F-E5389CD2EE40}" name="Tabla9" displayName="Tabla9" ref="A1:C4" totalsRowShown="0" headerRowDxfId="20">
  <autoFilter ref="A1:C4" xr:uid="{528B666F-CDE0-4999-927F-E5389CD2EE40}"/>
  <tableColumns count="3">
    <tableColumn id="1" xr3:uid="{D3F9CBC7-CF15-48AE-B86C-E0914E8B4F1A}" name="Tipo de Servicio"/>
    <tableColumn id="2" xr3:uid="{60100E89-EF18-489E-A0EC-FD913C0C17F5}" name="Número de Comandas"/>
    <tableColumn id="3" xr3:uid="{74AB16B8-9399-4A2A-ADD2-EADD8F2CA762}" name="Ingresos"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8A41CFD-E41B-4115-A787-F14565E0ACBA}" name="Tabla10" displayName="Tabla10" ref="A21:B24" totalsRowShown="0">
  <autoFilter ref="A21:B24" xr:uid="{A8A41CFD-E41B-4115-A787-F14565E0ACBA}"/>
  <tableColumns count="2">
    <tableColumn id="1" xr3:uid="{E5250DED-017B-469C-B880-7231F7407349}" name="Método de Pago"/>
    <tableColumn id="2" xr3:uid="{76F7E90B-608B-40A5-B5F8-7DCD2DA9AA11}" name="Nº Transaccion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A64186D-6320-4EEA-AF71-07F67A631471}" name="Tabla11" displayName="Tabla11" ref="A42:D49" totalsRowShown="0">
  <autoFilter ref="A42:D49" xr:uid="{DA64186D-6320-4EEA-AF71-07F67A631471}"/>
  <tableColumns count="4">
    <tableColumn id="1" xr3:uid="{6D7852FB-2070-42F1-8C8F-907B3A8ABE4E}" name="Día de la semana" dataDxfId="18"/>
    <tableColumn id="2" xr3:uid="{BEEDE051-84C3-4B34-AB30-64830C884B88}" name="Desayuno" dataDxfId="17"/>
    <tableColumn id="3" xr3:uid="{0D8AD970-FDEA-437B-9F30-B9D75FC2F499}" name="Almuerzo" dataDxfId="16">
      <calculatedColumnFormula>SUMIFS(W:W, X:X, "Almuerzo", AA:AA, "01/04/2023")</calculatedColumnFormula>
    </tableColumn>
    <tableColumn id="4" xr3:uid="{5A2DFE40-28D3-4E70-A987-CF31F7D21B18}" name="Cena"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604B92-A2B7-4038-84D0-6B29651B4DC0}" name="Tabla12" displayName="Tabla12" ref="A65:B76" totalsRowShown="0">
  <autoFilter ref="A65:B76" xr:uid="{83604B92-A2B7-4038-84D0-6B29651B4DC0}"/>
  <tableColumns count="2">
    <tableColumn id="1" xr3:uid="{492C1A41-8A0C-4DDC-BD1D-C42CDB84E1BF}" name="País"/>
    <tableColumn id="2" xr3:uid="{4AF1340B-2A93-4F5A-88E1-99F7B657A0F1}" name="Ingresos" dataDxfId="14">
      <calculatedColumnFormula>SUMIF(AB:AB,A66,W:W)</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1628AA5-B16E-4F82-AF8E-5A21F18019D5}" name="Tabla128" displayName="Tabla128" ref="A79:B90" totalsRowShown="0">
  <autoFilter ref="A79:B90" xr:uid="{91628AA5-B16E-4F82-AF8E-5A21F18019D5}"/>
  <tableColumns count="2">
    <tableColumn id="1" xr3:uid="{165479C2-5CDE-4B89-BB4A-8F819B89179F}" name="País"/>
    <tableColumn id="2" xr3:uid="{251B1706-5C6C-4184-B3DE-E0FBA71ED5D8}" name="Clientes" dataDxfId="1">
      <calculatedColumnFormula>COUNTIF(AB:AB,A80)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F6E0CC-766D-434F-850A-60FF63529407}" name="sala" displayName="sala" ref="A1:M768" tableType="queryTable" totalsRowShown="0">
  <autoFilter ref="A1:M768" xr:uid="{3EF6E0CC-766D-434F-850A-60FF63529407}"/>
  <sortState xmlns:xlrd2="http://schemas.microsoft.com/office/spreadsheetml/2017/richdata2" ref="A2:M768">
    <sortCondition ref="K1:K768"/>
  </sortState>
  <tableColumns count="13">
    <tableColumn id="1" xr3:uid="{7BF4E8F1-58C0-4A2F-8E29-D57BFC567AE6}" uniqueName="1" name="Número de Mesa" queryTableFieldId="1"/>
    <tableColumn id="2" xr3:uid="{8D6D8108-5270-4973-A771-344BB8D6C9EE}" uniqueName="2" name="Nombre del Cliente" queryTableFieldId="2" dataDxfId="13"/>
    <tableColumn id="3" xr3:uid="{C6AA380C-7069-4672-B3A4-5CAF8C6004A8}" uniqueName="3" name="Número de Comensales" queryTableFieldId="3"/>
    <tableColumn id="4" xr3:uid="{5DDD4669-7FBF-4822-92AA-3B03E39775B2}" uniqueName="4" name="Hora de Llegada" queryTableFieldId="4" dataDxfId="12"/>
    <tableColumn id="5" xr3:uid="{788DBD20-5CD2-4842-9777-351A2FCE3424}" uniqueName="5" name="Hora de Salida" queryTableFieldId="5" dataDxfId="11"/>
    <tableColumn id="6" xr3:uid="{9CA0153D-547A-414F-AA98-3F2CD97DB3B4}" uniqueName="6" name="Mesero Asignado" queryTableFieldId="6" dataDxfId="10"/>
    <tableColumn id="7" xr3:uid="{2A0CA387-6BB2-48FB-BE69-40D6FE676DC0}" uniqueName="7" name="Tipo de Servicio" queryTableFieldId="7" dataDxfId="9"/>
    <tableColumn id="8" xr3:uid="{F8497305-D09D-4102-B8E4-381DA7B4DE82}" uniqueName="8" name="Método de Pago" queryTableFieldId="8" dataDxfId="8"/>
    <tableColumn id="9" xr3:uid="{BF324CA0-CF0C-45BA-A3A2-8AB1834A42A9}" uniqueName="9" name="Propina" queryTableFieldId="9"/>
    <tableColumn id="10" xr3:uid="{334E0850-D521-41BE-ABA8-DA09D8648E7B}" uniqueName="10" name="Estado de la Mesa" queryTableFieldId="10" dataDxfId="7"/>
    <tableColumn id="11" xr3:uid="{D1E9764E-EE0C-4D64-B703-40619A8225F0}" uniqueName="11" name="Número de Orden" queryTableFieldId="11"/>
    <tableColumn id="12" xr3:uid="{58ECB6C9-54F0-4774-B965-7D4EB6B6F71C}" uniqueName="12" name="País de Origen" queryTableFieldId="12" dataDxfId="6"/>
    <tableColumn id="13" xr3:uid="{55AAED80-59C9-4692-BF05-52157837A9B2}" uniqueName="13" name="Platos Ordenados" queryTableFieldId="13" dataDxf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3C8A9A-32FD-462A-B4AF-77A642755769}" name="spaces_3iWczBNnn5rbfoUlE0Jd_uploads_git_blob_d9e80ffbcef8a4adc6d29edd78618add5df" displayName="spaces_3iWczBNnn5rbfoUlE0Jd_uploads_git_blob_d9e80ffbcef8a4adc6d29edd78618add5df" ref="A1:I1903" tableType="queryTable" totalsRowShown="0">
  <autoFilter ref="A1:I1903" xr:uid="{343C8A9A-32FD-462A-B4AF-77A642755769}"/>
  <sortState xmlns:xlrd2="http://schemas.microsoft.com/office/spreadsheetml/2017/richdata2" ref="A2:I1903">
    <sortCondition ref="A1:A1903"/>
  </sortState>
  <tableColumns count="9">
    <tableColumn id="1" xr3:uid="{91C04124-2182-4672-BD86-4ADF2F0340EA}" uniqueName="1" name="Número de Orden" queryTableFieldId="1"/>
    <tableColumn id="2" xr3:uid="{C05D1753-10FB-43FF-AA7F-5C4F6A6A0EE6}" uniqueName="2" name="Número de Mesa" queryTableFieldId="2"/>
    <tableColumn id="3" xr3:uid="{1B92B245-F673-4EBE-BDCF-F3B7BACBBBAA}" uniqueName="3" name="Nombre del Plato" queryTableFieldId="3" dataDxfId="4"/>
    <tableColumn id="4" xr3:uid="{64B051B2-420C-424C-8607-C191D4B0F443}" uniqueName="4" name="Descripción del Plato" queryTableFieldId="4" dataDxfId="3"/>
    <tableColumn id="5" xr3:uid="{B44F661D-9A3E-458D-A76B-1DA6663A29A4}" uniqueName="5" name="Costo Unitario" queryTableFieldId="5"/>
    <tableColumn id="6" xr3:uid="{DBC21932-E39E-424A-887D-AB770501D381}" uniqueName="6" name="Precio Unitario" queryTableFieldId="6"/>
    <tableColumn id="7" xr3:uid="{77079619-AB1D-47AA-87CF-B7F316C499C4}" uniqueName="7" name="Cantidad Ordenada" queryTableFieldId="7"/>
    <tableColumn id="8" xr3:uid="{17191B53-B27B-4BC7-BFCA-0995665AEF04}" uniqueName="8" name="Tiempo de Preparación" queryTableFieldId="8"/>
    <tableColumn id="9" xr3:uid="{62A2DE56-D76D-4533-AE13-02462D6B6733}" uniqueName="9" name="Observaciones" queryTableFieldId="9" dataDxfId="2"/>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6F96E-B1E3-4A78-A18E-BDB2864747A3}">
  <dimension ref="A1:Z128"/>
  <sheetViews>
    <sheetView tabSelected="1" topLeftCell="H90" zoomScaleNormal="100" workbookViewId="0">
      <selection activeCell="S115" sqref="S115"/>
    </sheetView>
  </sheetViews>
  <sheetFormatPr baseColWidth="10" defaultRowHeight="14.4" x14ac:dyDescent="0.3"/>
  <cols>
    <col min="10" max="10" width="9.33203125" customWidth="1"/>
  </cols>
  <sheetData>
    <row r="1" spans="1:26" ht="28.2" customHeight="1" x14ac:dyDescent="0.5">
      <c r="A1" s="34" t="s">
        <v>676</v>
      </c>
      <c r="B1" s="35"/>
      <c r="C1" s="35"/>
      <c r="D1" s="35"/>
      <c r="E1" s="35"/>
      <c r="F1" s="35"/>
      <c r="G1" s="35"/>
      <c r="H1" s="35"/>
      <c r="I1" s="35"/>
      <c r="J1" s="35"/>
      <c r="K1" s="35"/>
      <c r="L1" s="35"/>
      <c r="M1" s="36"/>
      <c r="N1" s="34" t="s">
        <v>685</v>
      </c>
      <c r="O1" s="35"/>
      <c r="P1" s="35"/>
      <c r="Q1" s="35"/>
      <c r="R1" s="35"/>
      <c r="S1" s="35"/>
      <c r="T1" s="35"/>
      <c r="U1" s="35"/>
      <c r="V1" s="35"/>
      <c r="W1" s="35"/>
      <c r="X1" s="35"/>
      <c r="Y1" s="35"/>
      <c r="Z1" s="36"/>
    </row>
    <row r="2" spans="1:26" x14ac:dyDescent="0.3">
      <c r="A2" s="30"/>
      <c r="B2" s="31"/>
      <c r="C2" s="31"/>
      <c r="D2" s="31"/>
      <c r="E2" s="31"/>
      <c r="F2" s="31"/>
      <c r="G2" s="31"/>
      <c r="H2" s="31"/>
      <c r="I2" s="31"/>
      <c r="J2" s="31"/>
      <c r="K2" s="37" t="s">
        <v>677</v>
      </c>
      <c r="L2" s="37"/>
      <c r="M2" s="38"/>
      <c r="N2" s="22"/>
      <c r="O2" s="44"/>
      <c r="P2" s="44"/>
      <c r="Q2" s="44"/>
      <c r="R2" s="44"/>
      <c r="S2" s="44"/>
      <c r="T2" s="44"/>
      <c r="U2" s="44"/>
      <c r="V2" s="44"/>
      <c r="W2" s="44"/>
      <c r="X2" s="46"/>
      <c r="Y2" s="46"/>
      <c r="Z2" s="47"/>
    </row>
    <row r="3" spans="1:26" x14ac:dyDescent="0.3">
      <c r="A3" s="30"/>
      <c r="B3" s="31"/>
      <c r="C3" s="31"/>
      <c r="D3" s="31"/>
      <c r="E3" s="31"/>
      <c r="F3" s="31"/>
      <c r="G3" s="31"/>
      <c r="H3" s="31"/>
      <c r="I3" s="31"/>
      <c r="J3" s="31"/>
      <c r="K3" s="37"/>
      <c r="L3" s="37"/>
      <c r="M3" s="38"/>
      <c r="N3" s="22"/>
      <c r="O3" s="44"/>
      <c r="P3" s="44"/>
      <c r="Q3" s="44"/>
      <c r="R3" s="44"/>
      <c r="S3" s="44"/>
      <c r="T3" s="44"/>
      <c r="U3" s="44"/>
      <c r="V3" s="44"/>
      <c r="W3" s="44"/>
      <c r="X3" s="46"/>
      <c r="Y3" s="46"/>
      <c r="Z3" s="47"/>
    </row>
    <row r="4" spans="1:26" x14ac:dyDescent="0.3">
      <c r="A4" s="30"/>
      <c r="B4" s="31"/>
      <c r="C4" s="31"/>
      <c r="D4" s="31"/>
      <c r="E4" s="31"/>
      <c r="F4" s="31"/>
      <c r="G4" s="31"/>
      <c r="H4" s="31"/>
      <c r="I4" s="31"/>
      <c r="J4" s="31"/>
      <c r="K4" s="37"/>
      <c r="L4" s="37"/>
      <c r="M4" s="38"/>
      <c r="N4" s="22"/>
      <c r="O4" s="44"/>
      <c r="P4" s="44"/>
      <c r="Q4" s="44"/>
      <c r="R4" s="44"/>
      <c r="S4" s="44"/>
      <c r="T4" s="44"/>
      <c r="U4" s="44"/>
      <c r="V4" s="44"/>
      <c r="W4" s="44"/>
      <c r="X4" s="46"/>
      <c r="Y4" s="46"/>
      <c r="Z4" s="47"/>
    </row>
    <row r="5" spans="1:26" x14ac:dyDescent="0.3">
      <c r="A5" s="30"/>
      <c r="B5" s="31"/>
      <c r="C5" s="31"/>
      <c r="D5" s="31"/>
      <c r="E5" s="31"/>
      <c r="F5" s="31"/>
      <c r="G5" s="31"/>
      <c r="H5" s="31"/>
      <c r="I5" s="31"/>
      <c r="J5" s="31"/>
      <c r="K5" s="37"/>
      <c r="L5" s="37"/>
      <c r="M5" s="38"/>
      <c r="N5" s="22"/>
      <c r="O5" s="44"/>
      <c r="P5" s="44"/>
      <c r="Q5" s="44"/>
      <c r="R5" s="44"/>
      <c r="S5" s="44"/>
      <c r="T5" s="44"/>
      <c r="U5" s="44"/>
      <c r="V5" s="44"/>
      <c r="W5" s="44"/>
      <c r="X5" s="46"/>
      <c r="Y5" s="46"/>
      <c r="Z5" s="47"/>
    </row>
    <row r="6" spans="1:26" x14ac:dyDescent="0.3">
      <c r="A6" s="30"/>
      <c r="B6" s="31"/>
      <c r="C6" s="31"/>
      <c r="D6" s="31"/>
      <c r="E6" s="31"/>
      <c r="F6" s="31"/>
      <c r="G6" s="31"/>
      <c r="H6" s="31"/>
      <c r="I6" s="31"/>
      <c r="J6" s="31"/>
      <c r="K6" s="37"/>
      <c r="L6" s="37"/>
      <c r="M6" s="38"/>
      <c r="N6" s="22"/>
      <c r="O6" s="44"/>
      <c r="P6" s="44"/>
      <c r="Q6" s="44"/>
      <c r="R6" s="44"/>
      <c r="S6" s="44"/>
      <c r="T6" s="44"/>
      <c r="U6" s="44"/>
      <c r="V6" s="44"/>
      <c r="W6" s="44"/>
      <c r="X6" s="46"/>
      <c r="Y6" s="46"/>
      <c r="Z6" s="47"/>
    </row>
    <row r="7" spans="1:26" x14ac:dyDescent="0.3">
      <c r="A7" s="30"/>
      <c r="B7" s="31"/>
      <c r="C7" s="31"/>
      <c r="D7" s="31"/>
      <c r="E7" s="31"/>
      <c r="F7" s="31"/>
      <c r="G7" s="31"/>
      <c r="H7" s="31"/>
      <c r="I7" s="31"/>
      <c r="J7" s="31"/>
      <c r="K7" s="37"/>
      <c r="L7" s="37"/>
      <c r="M7" s="38"/>
      <c r="N7" s="22"/>
      <c r="O7" s="44"/>
      <c r="P7" s="44"/>
      <c r="Q7" s="44"/>
      <c r="R7" s="44"/>
      <c r="S7" s="44"/>
      <c r="T7" s="44"/>
      <c r="U7" s="44"/>
      <c r="V7" s="44"/>
      <c r="W7" s="44"/>
      <c r="X7" s="46"/>
      <c r="Y7" s="46"/>
      <c r="Z7" s="47"/>
    </row>
    <row r="8" spans="1:26" x14ac:dyDescent="0.3">
      <c r="A8" s="30"/>
      <c r="B8" s="31"/>
      <c r="C8" s="31"/>
      <c r="D8" s="31"/>
      <c r="E8" s="31"/>
      <c r="F8" s="31"/>
      <c r="G8" s="31"/>
      <c r="H8" s="31"/>
      <c r="I8" s="31"/>
      <c r="J8" s="31"/>
      <c r="K8" s="37"/>
      <c r="L8" s="37"/>
      <c r="M8" s="38"/>
      <c r="N8" s="22"/>
      <c r="O8" s="44"/>
      <c r="P8" s="44"/>
      <c r="Q8" s="44"/>
      <c r="R8" s="44"/>
      <c r="S8" s="44"/>
      <c r="T8" s="44"/>
      <c r="U8" s="44"/>
      <c r="V8" s="44"/>
      <c r="W8" s="44"/>
      <c r="X8" s="46"/>
      <c r="Y8" s="46"/>
      <c r="Z8" s="47"/>
    </row>
    <row r="9" spans="1:26" x14ac:dyDescent="0.3">
      <c r="A9" s="30"/>
      <c r="B9" s="31"/>
      <c r="C9" s="31"/>
      <c r="D9" s="31"/>
      <c r="E9" s="31"/>
      <c r="F9" s="31"/>
      <c r="G9" s="31"/>
      <c r="H9" s="31"/>
      <c r="I9" s="31"/>
      <c r="J9" s="31"/>
      <c r="K9" s="37"/>
      <c r="L9" s="37"/>
      <c r="M9" s="38"/>
      <c r="N9" s="22"/>
      <c r="O9" s="44"/>
      <c r="P9" s="44"/>
      <c r="Q9" s="44"/>
      <c r="R9" s="44"/>
      <c r="S9" s="44"/>
      <c r="T9" s="44"/>
      <c r="U9" s="44"/>
      <c r="V9" s="44"/>
      <c r="W9" s="44"/>
      <c r="X9" s="46"/>
      <c r="Y9" s="46"/>
      <c r="Z9" s="47"/>
    </row>
    <row r="10" spans="1:26" x14ac:dyDescent="0.3">
      <c r="A10" s="30"/>
      <c r="B10" s="31"/>
      <c r="C10" s="31"/>
      <c r="D10" s="31"/>
      <c r="E10" s="31"/>
      <c r="F10" s="31"/>
      <c r="G10" s="31"/>
      <c r="H10" s="31"/>
      <c r="I10" s="31"/>
      <c r="J10" s="31"/>
      <c r="K10" s="37"/>
      <c r="L10" s="37"/>
      <c r="M10" s="38"/>
      <c r="N10" s="22"/>
      <c r="O10" s="44"/>
      <c r="P10" s="44"/>
      <c r="Q10" s="44"/>
      <c r="R10" s="44"/>
      <c r="S10" s="44"/>
      <c r="T10" s="44"/>
      <c r="U10" s="44"/>
      <c r="V10" s="44"/>
      <c r="W10" s="44"/>
      <c r="X10" s="46"/>
      <c r="Y10" s="46"/>
      <c r="Z10" s="47"/>
    </row>
    <row r="11" spans="1:26" x14ac:dyDescent="0.3">
      <c r="A11" s="30"/>
      <c r="B11" s="31"/>
      <c r="C11" s="31"/>
      <c r="D11" s="31"/>
      <c r="E11" s="31"/>
      <c r="F11" s="31"/>
      <c r="G11" s="31"/>
      <c r="H11" s="31"/>
      <c r="I11" s="31"/>
      <c r="J11" s="31"/>
      <c r="K11" s="37"/>
      <c r="L11" s="37"/>
      <c r="M11" s="38"/>
      <c r="N11" s="22"/>
      <c r="O11" s="44"/>
      <c r="P11" s="44"/>
      <c r="Q11" s="44"/>
      <c r="R11" s="44"/>
      <c r="S11" s="44"/>
      <c r="T11" s="44"/>
      <c r="U11" s="44"/>
      <c r="V11" s="44"/>
      <c r="W11" s="44"/>
      <c r="X11" s="46"/>
      <c r="Y11" s="46"/>
      <c r="Z11" s="47"/>
    </row>
    <row r="12" spans="1:26" x14ac:dyDescent="0.3">
      <c r="A12" s="30"/>
      <c r="B12" s="31"/>
      <c r="C12" s="31"/>
      <c r="D12" s="31"/>
      <c r="E12" s="31"/>
      <c r="F12" s="31"/>
      <c r="G12" s="31"/>
      <c r="H12" s="31"/>
      <c r="I12" s="31"/>
      <c r="J12" s="31"/>
      <c r="K12" s="37"/>
      <c r="L12" s="37"/>
      <c r="M12" s="38"/>
      <c r="N12" s="22"/>
      <c r="O12" s="44"/>
      <c r="P12" s="44"/>
      <c r="Q12" s="44"/>
      <c r="R12" s="44"/>
      <c r="S12" s="44"/>
      <c r="T12" s="44"/>
      <c r="U12" s="44"/>
      <c r="V12" s="44"/>
      <c r="W12" s="44"/>
      <c r="X12" s="46"/>
      <c r="Y12" s="46"/>
      <c r="Z12" s="47"/>
    </row>
    <row r="13" spans="1:26" x14ac:dyDescent="0.3">
      <c r="A13" s="30"/>
      <c r="B13" s="31"/>
      <c r="C13" s="31"/>
      <c r="D13" s="31"/>
      <c r="E13" s="31"/>
      <c r="F13" s="31"/>
      <c r="G13" s="31"/>
      <c r="H13" s="31"/>
      <c r="I13" s="31"/>
      <c r="J13" s="31"/>
      <c r="K13" s="37"/>
      <c r="L13" s="37"/>
      <c r="M13" s="38"/>
      <c r="N13" s="22"/>
      <c r="O13" s="44"/>
      <c r="P13" s="44"/>
      <c r="Q13" s="44"/>
      <c r="R13" s="44"/>
      <c r="S13" s="44"/>
      <c r="T13" s="44"/>
      <c r="U13" s="44"/>
      <c r="V13" s="44"/>
      <c r="W13" s="44"/>
      <c r="X13" s="46"/>
      <c r="Y13" s="46"/>
      <c r="Z13" s="47"/>
    </row>
    <row r="14" spans="1:26" x14ac:dyDescent="0.3">
      <c r="A14" s="30"/>
      <c r="B14" s="31"/>
      <c r="C14" s="31"/>
      <c r="D14" s="31"/>
      <c r="E14" s="31"/>
      <c r="F14" s="31"/>
      <c r="G14" s="31"/>
      <c r="H14" s="31"/>
      <c r="I14" s="31"/>
      <c r="J14" s="31"/>
      <c r="K14" s="37"/>
      <c r="L14" s="37"/>
      <c r="M14" s="38"/>
      <c r="N14" s="22"/>
      <c r="O14" s="44"/>
      <c r="P14" s="44"/>
      <c r="Q14" s="44"/>
      <c r="R14" s="44"/>
      <c r="S14" s="44"/>
      <c r="T14" s="44"/>
      <c r="U14" s="44"/>
      <c r="V14" s="44"/>
      <c r="W14" s="44"/>
      <c r="X14" s="46"/>
      <c r="Y14" s="46"/>
      <c r="Z14" s="47"/>
    </row>
    <row r="15" spans="1:26" x14ac:dyDescent="0.3">
      <c r="A15" s="30"/>
      <c r="B15" s="31"/>
      <c r="C15" s="31"/>
      <c r="D15" s="31"/>
      <c r="E15" s="31"/>
      <c r="F15" s="31"/>
      <c r="G15" s="31"/>
      <c r="H15" s="31"/>
      <c r="I15" s="31"/>
      <c r="J15" s="31"/>
      <c r="K15" s="37"/>
      <c r="L15" s="37"/>
      <c r="M15" s="38"/>
      <c r="N15" s="22"/>
      <c r="O15" s="44"/>
      <c r="P15" s="44"/>
      <c r="Q15" s="44"/>
      <c r="R15" s="44"/>
      <c r="S15" s="44"/>
      <c r="T15" s="44"/>
      <c r="U15" s="44"/>
      <c r="V15" s="44"/>
      <c r="W15" s="44"/>
      <c r="X15" s="46"/>
      <c r="Y15" s="46"/>
      <c r="Z15" s="47"/>
    </row>
    <row r="16" spans="1:26" x14ac:dyDescent="0.3">
      <c r="A16" s="30"/>
      <c r="B16" s="31"/>
      <c r="C16" s="31"/>
      <c r="D16" s="31"/>
      <c r="E16" s="31"/>
      <c r="F16" s="31"/>
      <c r="G16" s="31"/>
      <c r="H16" s="31"/>
      <c r="I16" s="31"/>
      <c r="J16" s="31"/>
      <c r="K16" s="37"/>
      <c r="L16" s="37"/>
      <c r="M16" s="38"/>
      <c r="N16" s="22"/>
      <c r="O16" s="44"/>
      <c r="P16" s="44"/>
      <c r="Q16" s="44"/>
      <c r="R16" s="44"/>
      <c r="S16" s="44"/>
      <c r="T16" s="44"/>
      <c r="U16" s="44"/>
      <c r="V16" s="44"/>
      <c r="W16" s="44"/>
      <c r="X16" s="46"/>
      <c r="Y16" s="46"/>
      <c r="Z16" s="47"/>
    </row>
    <row r="17" spans="1:26" x14ac:dyDescent="0.3">
      <c r="A17" s="30"/>
      <c r="B17" s="31"/>
      <c r="C17" s="31"/>
      <c r="D17" s="31"/>
      <c r="E17" s="31"/>
      <c r="F17" s="31"/>
      <c r="G17" s="31"/>
      <c r="H17" s="31"/>
      <c r="I17" s="31"/>
      <c r="J17" s="31"/>
      <c r="K17" s="37"/>
      <c r="L17" s="37"/>
      <c r="M17" s="38"/>
      <c r="N17" s="22"/>
      <c r="O17" s="44"/>
      <c r="P17" s="44"/>
      <c r="Q17" s="44"/>
      <c r="R17" s="44"/>
      <c r="S17" s="44"/>
      <c r="T17" s="44"/>
      <c r="U17" s="44"/>
      <c r="V17" s="44"/>
      <c r="W17" s="44"/>
      <c r="X17" s="46"/>
      <c r="Y17" s="46"/>
      <c r="Z17" s="47"/>
    </row>
    <row r="18" spans="1:26" x14ac:dyDescent="0.3">
      <c r="A18" s="30"/>
      <c r="B18" s="31"/>
      <c r="C18" s="31"/>
      <c r="D18" s="31"/>
      <c r="E18" s="31"/>
      <c r="F18" s="31"/>
      <c r="G18" s="31"/>
      <c r="H18" s="31"/>
      <c r="I18" s="31"/>
      <c r="J18" s="31"/>
      <c r="K18" s="37"/>
      <c r="L18" s="37"/>
      <c r="M18" s="38"/>
      <c r="N18" s="22"/>
      <c r="O18" s="44"/>
      <c r="P18" s="44"/>
      <c r="Q18" s="44"/>
      <c r="R18" s="44"/>
      <c r="S18" s="44"/>
      <c r="T18" s="44"/>
      <c r="U18" s="44"/>
      <c r="V18" s="44"/>
      <c r="W18" s="44"/>
      <c r="X18" s="46"/>
      <c r="Y18" s="46"/>
      <c r="Z18" s="47"/>
    </row>
    <row r="19" spans="1:26" x14ac:dyDescent="0.3">
      <c r="A19" s="30"/>
      <c r="B19" s="31"/>
      <c r="C19" s="31"/>
      <c r="D19" s="31"/>
      <c r="E19" s="31"/>
      <c r="F19" s="31"/>
      <c r="G19" s="31"/>
      <c r="H19" s="31"/>
      <c r="I19" s="31"/>
      <c r="J19" s="31"/>
      <c r="K19" s="37"/>
      <c r="L19" s="37"/>
      <c r="M19" s="38"/>
      <c r="N19" s="22"/>
      <c r="O19" s="44"/>
      <c r="P19" s="44"/>
      <c r="Q19" s="44"/>
      <c r="R19" s="44"/>
      <c r="S19" s="44"/>
      <c r="T19" s="44"/>
      <c r="U19" s="44"/>
      <c r="V19" s="44"/>
      <c r="W19" s="44"/>
      <c r="X19" s="46"/>
      <c r="Y19" s="46"/>
      <c r="Z19" s="47"/>
    </row>
    <row r="20" spans="1:26" x14ac:dyDescent="0.3">
      <c r="A20" s="30"/>
      <c r="B20" s="31"/>
      <c r="C20" s="31"/>
      <c r="D20" s="31"/>
      <c r="E20" s="31"/>
      <c r="F20" s="31"/>
      <c r="G20" s="31"/>
      <c r="H20" s="31"/>
      <c r="I20" s="31"/>
      <c r="J20" s="31"/>
      <c r="K20" s="37"/>
      <c r="L20" s="37"/>
      <c r="M20" s="38"/>
      <c r="N20" s="22"/>
      <c r="O20" s="44"/>
      <c r="P20" s="44"/>
      <c r="Q20" s="44"/>
      <c r="R20" s="44"/>
      <c r="S20" s="44"/>
      <c r="T20" s="44"/>
      <c r="U20" s="44"/>
      <c r="V20" s="44"/>
      <c r="W20" s="44"/>
      <c r="X20" s="46"/>
      <c r="Y20" s="46"/>
      <c r="Z20" s="47"/>
    </row>
    <row r="21" spans="1:26" x14ac:dyDescent="0.3">
      <c r="A21" s="30"/>
      <c r="B21" s="31"/>
      <c r="C21" s="31"/>
      <c r="D21" s="31"/>
      <c r="E21" s="31"/>
      <c r="F21" s="31"/>
      <c r="G21" s="31"/>
      <c r="H21" s="31"/>
      <c r="I21" s="31"/>
      <c r="J21" s="31"/>
      <c r="K21" s="37"/>
      <c r="L21" s="37"/>
      <c r="M21" s="38"/>
      <c r="N21" s="22"/>
      <c r="O21" s="44"/>
      <c r="P21" s="44"/>
      <c r="Q21" s="44"/>
      <c r="R21" s="44"/>
      <c r="S21" s="44"/>
      <c r="T21" s="44"/>
      <c r="U21" s="44"/>
      <c r="V21" s="44"/>
      <c r="W21" s="44"/>
      <c r="X21" s="46"/>
      <c r="Y21" s="46"/>
      <c r="Z21" s="47"/>
    </row>
    <row r="22" spans="1:26" x14ac:dyDescent="0.3">
      <c r="A22" s="30"/>
      <c r="B22" s="31"/>
      <c r="C22" s="31"/>
      <c r="D22" s="31"/>
      <c r="E22" s="31"/>
      <c r="F22" s="31"/>
      <c r="G22" s="31"/>
      <c r="H22" s="31"/>
      <c r="I22" s="31"/>
      <c r="J22" s="31"/>
      <c r="K22" s="37"/>
      <c r="L22" s="37"/>
      <c r="M22" s="38"/>
      <c r="N22" s="22"/>
      <c r="O22" s="44"/>
      <c r="P22" s="44"/>
      <c r="Q22" s="44"/>
      <c r="R22" s="44"/>
      <c r="S22" s="44"/>
      <c r="T22" s="44"/>
      <c r="U22" s="44"/>
      <c r="V22" s="44"/>
      <c r="W22" s="44"/>
      <c r="X22" s="46"/>
      <c r="Y22" s="46"/>
      <c r="Z22" s="47"/>
    </row>
    <row r="23" spans="1:26" x14ac:dyDescent="0.3">
      <c r="A23" s="30"/>
      <c r="B23" s="31"/>
      <c r="C23" s="31"/>
      <c r="D23" s="31"/>
      <c r="E23" s="31"/>
      <c r="F23" s="31"/>
      <c r="G23" s="31"/>
      <c r="H23" s="31"/>
      <c r="I23" s="31"/>
      <c r="J23" s="31"/>
      <c r="K23" s="37"/>
      <c r="L23" s="37"/>
      <c r="M23" s="38"/>
      <c r="N23" s="22"/>
      <c r="O23" s="44"/>
      <c r="P23" s="44"/>
      <c r="Q23" s="44"/>
      <c r="R23" s="44"/>
      <c r="S23" s="44"/>
      <c r="T23" s="44"/>
      <c r="U23" s="44"/>
      <c r="V23" s="44"/>
      <c r="W23" s="44"/>
      <c r="X23" s="46"/>
      <c r="Y23" s="46"/>
      <c r="Z23" s="47"/>
    </row>
    <row r="24" spans="1:26" x14ac:dyDescent="0.3">
      <c r="A24" s="30"/>
      <c r="B24" s="31"/>
      <c r="C24" s="31"/>
      <c r="D24" s="31"/>
      <c r="E24" s="31"/>
      <c r="F24" s="31"/>
      <c r="G24" s="31"/>
      <c r="H24" s="31"/>
      <c r="I24" s="31"/>
      <c r="J24" s="31"/>
      <c r="K24" s="37"/>
      <c r="L24" s="37"/>
      <c r="M24" s="38"/>
      <c r="N24" s="22"/>
      <c r="O24" s="44"/>
      <c r="P24" s="44"/>
      <c r="Q24" s="44"/>
      <c r="R24" s="44"/>
      <c r="S24" s="44"/>
      <c r="T24" s="44"/>
      <c r="U24" s="44"/>
      <c r="V24" s="44"/>
      <c r="W24" s="44"/>
      <c r="X24" s="46"/>
      <c r="Y24" s="46"/>
      <c r="Z24" s="47"/>
    </row>
    <row r="25" spans="1:26" x14ac:dyDescent="0.3">
      <c r="A25" s="30"/>
      <c r="B25" s="31"/>
      <c r="C25" s="31"/>
      <c r="D25" s="31"/>
      <c r="E25" s="31"/>
      <c r="F25" s="31"/>
      <c r="G25" s="31"/>
      <c r="H25" s="31"/>
      <c r="I25" s="31"/>
      <c r="J25" s="31"/>
      <c r="K25" s="37"/>
      <c r="L25" s="37"/>
      <c r="M25" s="38"/>
      <c r="N25" s="22"/>
      <c r="O25" s="44"/>
      <c r="P25" s="44"/>
      <c r="Q25" s="44"/>
      <c r="R25" s="44"/>
      <c r="S25" s="44"/>
      <c r="T25" s="44"/>
      <c r="U25" s="44"/>
      <c r="V25" s="44"/>
      <c r="W25" s="44"/>
      <c r="X25" s="46"/>
      <c r="Y25" s="46"/>
      <c r="Z25" s="47"/>
    </row>
    <row r="26" spans="1:26" x14ac:dyDescent="0.3">
      <c r="A26" s="30"/>
      <c r="B26" s="31"/>
      <c r="C26" s="31"/>
      <c r="D26" s="31"/>
      <c r="E26" s="31"/>
      <c r="F26" s="31"/>
      <c r="G26" s="31"/>
      <c r="H26" s="31"/>
      <c r="I26" s="31"/>
      <c r="J26" s="31"/>
      <c r="K26" s="37"/>
      <c r="L26" s="37"/>
      <c r="M26" s="38"/>
      <c r="N26" s="22"/>
      <c r="O26" s="44"/>
      <c r="P26" s="44"/>
      <c r="Q26" s="44"/>
      <c r="R26" s="44"/>
      <c r="S26" s="44"/>
      <c r="T26" s="44"/>
      <c r="U26" s="44"/>
      <c r="V26" s="44"/>
      <c r="W26" s="44"/>
      <c r="X26" s="46"/>
      <c r="Y26" s="46"/>
      <c r="Z26" s="47"/>
    </row>
    <row r="27" spans="1:26" x14ac:dyDescent="0.3">
      <c r="A27" s="30"/>
      <c r="B27" s="31"/>
      <c r="C27" s="31"/>
      <c r="D27" s="31"/>
      <c r="E27" s="31"/>
      <c r="F27" s="31"/>
      <c r="G27" s="31"/>
      <c r="H27" s="31"/>
      <c r="I27" s="31"/>
      <c r="J27" s="31"/>
      <c r="K27" s="37"/>
      <c r="L27" s="37"/>
      <c r="M27" s="38"/>
      <c r="N27" s="22"/>
      <c r="O27" s="44"/>
      <c r="P27" s="44"/>
      <c r="Q27" s="44"/>
      <c r="R27" s="44"/>
      <c r="S27" s="44"/>
      <c r="T27" s="44"/>
      <c r="U27" s="44"/>
      <c r="V27" s="44"/>
      <c r="W27" s="44"/>
      <c r="X27" s="46"/>
      <c r="Y27" s="46"/>
      <c r="Z27" s="47"/>
    </row>
    <row r="28" spans="1:26" x14ac:dyDescent="0.3">
      <c r="A28" s="30"/>
      <c r="B28" s="31"/>
      <c r="C28" s="31"/>
      <c r="D28" s="31"/>
      <c r="E28" s="31"/>
      <c r="F28" s="31"/>
      <c r="G28" s="31"/>
      <c r="H28" s="31"/>
      <c r="I28" s="31"/>
      <c r="J28" s="31"/>
      <c r="K28" s="37"/>
      <c r="L28" s="37"/>
      <c r="M28" s="38"/>
      <c r="N28" s="22"/>
      <c r="O28" s="44"/>
      <c r="P28" s="44"/>
      <c r="Q28" s="44"/>
      <c r="R28" s="44"/>
      <c r="S28" s="44"/>
      <c r="T28" s="44"/>
      <c r="U28" s="44"/>
      <c r="V28" s="44"/>
      <c r="W28" s="44"/>
      <c r="X28" s="46"/>
      <c r="Y28" s="46"/>
      <c r="Z28" s="47"/>
    </row>
    <row r="29" spans="1:26" x14ac:dyDescent="0.3">
      <c r="A29" s="30"/>
      <c r="B29" s="31"/>
      <c r="C29" s="31"/>
      <c r="D29" s="31"/>
      <c r="E29" s="31"/>
      <c r="F29" s="31"/>
      <c r="G29" s="31"/>
      <c r="H29" s="31"/>
      <c r="I29" s="31"/>
      <c r="J29" s="31"/>
      <c r="K29" s="37"/>
      <c r="L29" s="37"/>
      <c r="M29" s="38"/>
      <c r="N29" s="22"/>
      <c r="O29" s="44"/>
      <c r="P29" s="44"/>
      <c r="Q29" s="44"/>
      <c r="R29" s="44"/>
      <c r="S29" s="44"/>
      <c r="T29" s="44"/>
      <c r="U29" s="44"/>
      <c r="V29" s="44"/>
      <c r="W29" s="44"/>
      <c r="X29" s="46"/>
      <c r="Y29" s="46"/>
      <c r="Z29" s="47"/>
    </row>
    <row r="30" spans="1:26" x14ac:dyDescent="0.3">
      <c r="A30" s="30"/>
      <c r="B30" s="31"/>
      <c r="C30" s="31"/>
      <c r="D30" s="31"/>
      <c r="E30" s="31"/>
      <c r="F30" s="31"/>
      <c r="G30" s="31"/>
      <c r="H30" s="31"/>
      <c r="I30" s="31"/>
      <c r="J30" s="31"/>
      <c r="K30" s="37"/>
      <c r="L30" s="37"/>
      <c r="M30" s="38"/>
      <c r="N30" s="22"/>
      <c r="O30" s="44"/>
      <c r="P30" s="44"/>
      <c r="Q30" s="44"/>
      <c r="R30" s="44"/>
      <c r="S30" s="44"/>
      <c r="T30" s="44"/>
      <c r="U30" s="44"/>
      <c r="V30" s="44"/>
      <c r="W30" s="44"/>
      <c r="X30" s="46"/>
      <c r="Y30" s="46"/>
      <c r="Z30" s="47"/>
    </row>
    <row r="31" spans="1:26" x14ac:dyDescent="0.3">
      <c r="A31" s="30"/>
      <c r="B31" s="31"/>
      <c r="C31" s="31"/>
      <c r="D31" s="31"/>
      <c r="E31" s="31"/>
      <c r="F31" s="31"/>
      <c r="G31" s="31"/>
      <c r="H31" s="31"/>
      <c r="I31" s="31"/>
      <c r="J31" s="31"/>
      <c r="K31" s="37"/>
      <c r="L31" s="37"/>
      <c r="M31" s="38"/>
      <c r="N31" s="22"/>
      <c r="O31" s="44"/>
      <c r="P31" s="44"/>
      <c r="Q31" s="44"/>
      <c r="R31" s="44"/>
      <c r="S31" s="44"/>
      <c r="T31" s="44"/>
      <c r="U31" s="44"/>
      <c r="V31" s="44"/>
      <c r="W31" s="44"/>
      <c r="X31" s="46"/>
      <c r="Y31" s="46"/>
      <c r="Z31" s="47"/>
    </row>
    <row r="32" spans="1:26" ht="15" thickBot="1" x14ac:dyDescent="0.35">
      <c r="A32" s="32"/>
      <c r="B32" s="33"/>
      <c r="C32" s="33"/>
      <c r="D32" s="33"/>
      <c r="E32" s="33"/>
      <c r="F32" s="33"/>
      <c r="G32" s="33"/>
      <c r="H32" s="33"/>
      <c r="I32" s="33"/>
      <c r="J32" s="33"/>
      <c r="K32" s="39"/>
      <c r="L32" s="39"/>
      <c r="M32" s="40"/>
      <c r="N32" s="23"/>
      <c r="O32" s="24"/>
      <c r="P32" s="24"/>
      <c r="Q32" s="24"/>
      <c r="R32" s="24"/>
      <c r="S32" s="24"/>
      <c r="T32" s="24"/>
      <c r="U32" s="24"/>
      <c r="V32" s="24"/>
      <c r="W32" s="24"/>
      <c r="X32" s="48"/>
      <c r="Y32" s="48"/>
      <c r="Z32" s="49"/>
    </row>
    <row r="33" spans="1:26" ht="25.8" x14ac:dyDescent="0.5">
      <c r="A33" s="34" t="s">
        <v>678</v>
      </c>
      <c r="B33" s="35"/>
      <c r="C33" s="35"/>
      <c r="D33" s="35"/>
      <c r="E33" s="35"/>
      <c r="F33" s="35"/>
      <c r="G33" s="35"/>
      <c r="H33" s="35"/>
      <c r="I33" s="35"/>
      <c r="J33" s="35"/>
      <c r="K33" s="35"/>
      <c r="L33" s="35"/>
      <c r="M33" s="36"/>
      <c r="N33" s="34" t="s">
        <v>686</v>
      </c>
      <c r="O33" s="35"/>
      <c r="P33" s="35"/>
      <c r="Q33" s="35"/>
      <c r="R33" s="35"/>
      <c r="S33" s="35"/>
      <c r="T33" s="35"/>
      <c r="U33" s="35"/>
      <c r="V33" s="35"/>
      <c r="W33" s="35"/>
      <c r="X33" s="35"/>
      <c r="Y33" s="35"/>
      <c r="Z33" s="36"/>
    </row>
    <row r="34" spans="1:26" x14ac:dyDescent="0.3">
      <c r="A34" s="22"/>
      <c r="K34" s="37" t="s">
        <v>679</v>
      </c>
      <c r="L34" s="37"/>
      <c r="M34" s="38"/>
      <c r="N34" s="22"/>
      <c r="O34" s="44"/>
      <c r="P34" s="44"/>
      <c r="Q34" s="44"/>
      <c r="R34" s="44"/>
      <c r="S34" s="44"/>
      <c r="T34" s="44"/>
      <c r="U34" s="44"/>
      <c r="V34" s="44"/>
      <c r="W34" s="44"/>
      <c r="X34" s="50" t="s">
        <v>687</v>
      </c>
      <c r="Y34" s="46"/>
      <c r="Z34" s="47"/>
    </row>
    <row r="35" spans="1:26" x14ac:dyDescent="0.3">
      <c r="A35" s="22"/>
      <c r="K35" s="37"/>
      <c r="L35" s="37"/>
      <c r="M35" s="38"/>
      <c r="N35" s="22"/>
      <c r="O35" s="44"/>
      <c r="P35" s="44"/>
      <c r="Q35" s="44"/>
      <c r="R35" s="44"/>
      <c r="S35" s="44"/>
      <c r="T35" s="44"/>
      <c r="U35" s="44"/>
      <c r="V35" s="44"/>
      <c r="W35" s="44"/>
      <c r="X35" s="46"/>
      <c r="Y35" s="46"/>
      <c r="Z35" s="47"/>
    </row>
    <row r="36" spans="1:26" x14ac:dyDescent="0.3">
      <c r="A36" s="22"/>
      <c r="K36" s="37"/>
      <c r="L36" s="37"/>
      <c r="M36" s="38"/>
      <c r="N36" s="22"/>
      <c r="O36" s="44"/>
      <c r="P36" s="44"/>
      <c r="Q36" s="44"/>
      <c r="R36" s="44"/>
      <c r="S36" s="44"/>
      <c r="T36" s="44"/>
      <c r="U36" s="44"/>
      <c r="V36" s="44"/>
      <c r="W36" s="44"/>
      <c r="X36" s="46"/>
      <c r="Y36" s="46"/>
      <c r="Z36" s="47"/>
    </row>
    <row r="37" spans="1:26" x14ac:dyDescent="0.3">
      <c r="A37" s="22"/>
      <c r="K37" s="37"/>
      <c r="L37" s="37"/>
      <c r="M37" s="38"/>
      <c r="N37" s="22"/>
      <c r="O37" s="44"/>
      <c r="P37" s="44"/>
      <c r="Q37" s="44"/>
      <c r="R37" s="44"/>
      <c r="S37" s="44"/>
      <c r="T37" s="44"/>
      <c r="U37" s="44"/>
      <c r="V37" s="44"/>
      <c r="W37" s="44"/>
      <c r="X37" s="46"/>
      <c r="Y37" s="46"/>
      <c r="Z37" s="47"/>
    </row>
    <row r="38" spans="1:26" x14ac:dyDescent="0.3">
      <c r="A38" s="22"/>
      <c r="K38" s="37"/>
      <c r="L38" s="37"/>
      <c r="M38" s="38"/>
      <c r="N38" s="22"/>
      <c r="O38" s="44"/>
      <c r="P38" s="44"/>
      <c r="Q38" s="44"/>
      <c r="R38" s="44"/>
      <c r="S38" s="44"/>
      <c r="T38" s="44"/>
      <c r="U38" s="44"/>
      <c r="V38" s="44"/>
      <c r="W38" s="44"/>
      <c r="X38" s="46"/>
      <c r="Y38" s="46"/>
      <c r="Z38" s="47"/>
    </row>
    <row r="39" spans="1:26" x14ac:dyDescent="0.3">
      <c r="A39" s="22"/>
      <c r="K39" s="37"/>
      <c r="L39" s="37"/>
      <c r="M39" s="38"/>
      <c r="N39" s="22"/>
      <c r="O39" s="44"/>
      <c r="P39" s="44"/>
      <c r="Q39" s="44"/>
      <c r="R39" s="44"/>
      <c r="S39" s="44"/>
      <c r="T39" s="44"/>
      <c r="U39" s="44"/>
      <c r="V39" s="44"/>
      <c r="W39" s="44"/>
      <c r="X39" s="46"/>
      <c r="Y39" s="46"/>
      <c r="Z39" s="47"/>
    </row>
    <row r="40" spans="1:26" x14ac:dyDescent="0.3">
      <c r="A40" s="22"/>
      <c r="K40" s="37"/>
      <c r="L40" s="37"/>
      <c r="M40" s="38"/>
      <c r="N40" s="22"/>
      <c r="O40" s="44"/>
      <c r="P40" s="44"/>
      <c r="Q40" s="44"/>
      <c r="R40" s="44"/>
      <c r="S40" s="44"/>
      <c r="T40" s="44"/>
      <c r="U40" s="44"/>
      <c r="V40" s="44"/>
      <c r="W40" s="44"/>
      <c r="X40" s="46"/>
      <c r="Y40" s="46"/>
      <c r="Z40" s="47"/>
    </row>
    <row r="41" spans="1:26" x14ac:dyDescent="0.3">
      <c r="A41" s="22"/>
      <c r="K41" s="37"/>
      <c r="L41" s="37"/>
      <c r="M41" s="38"/>
      <c r="N41" s="22"/>
      <c r="O41" s="44"/>
      <c r="P41" s="44"/>
      <c r="Q41" s="44"/>
      <c r="R41" s="44"/>
      <c r="S41" s="44"/>
      <c r="T41" s="44"/>
      <c r="U41" s="44"/>
      <c r="V41" s="44"/>
      <c r="W41" s="44"/>
      <c r="X41" s="46"/>
      <c r="Y41" s="46"/>
      <c r="Z41" s="47"/>
    </row>
    <row r="42" spans="1:26" x14ac:dyDescent="0.3">
      <c r="A42" s="22"/>
      <c r="K42" s="37"/>
      <c r="L42" s="37"/>
      <c r="M42" s="38"/>
      <c r="N42" s="22"/>
      <c r="O42" s="44"/>
      <c r="P42" s="44"/>
      <c r="Q42" s="44"/>
      <c r="R42" s="44"/>
      <c r="S42" s="44"/>
      <c r="T42" s="44"/>
      <c r="U42" s="44"/>
      <c r="V42" s="44"/>
      <c r="W42" s="44"/>
      <c r="X42" s="46"/>
      <c r="Y42" s="46"/>
      <c r="Z42" s="47"/>
    </row>
    <row r="43" spans="1:26" x14ac:dyDescent="0.3">
      <c r="A43" s="22"/>
      <c r="K43" s="37"/>
      <c r="L43" s="37"/>
      <c r="M43" s="38"/>
      <c r="N43" s="22"/>
      <c r="O43" s="44"/>
      <c r="P43" s="44"/>
      <c r="Q43" s="44"/>
      <c r="R43" s="44"/>
      <c r="S43" s="44"/>
      <c r="T43" s="44"/>
      <c r="U43" s="44"/>
      <c r="V43" s="44"/>
      <c r="W43" s="44"/>
      <c r="X43" s="46"/>
      <c r="Y43" s="46"/>
      <c r="Z43" s="47"/>
    </row>
    <row r="44" spans="1:26" x14ac:dyDescent="0.3">
      <c r="A44" s="22"/>
      <c r="K44" s="37"/>
      <c r="L44" s="37"/>
      <c r="M44" s="38"/>
      <c r="N44" s="22"/>
      <c r="O44" s="44"/>
      <c r="P44" s="44"/>
      <c r="Q44" s="44"/>
      <c r="R44" s="44"/>
      <c r="S44" s="44"/>
      <c r="T44" s="44"/>
      <c r="U44" s="44"/>
      <c r="V44" s="44"/>
      <c r="W44" s="44"/>
      <c r="X44" s="46"/>
      <c r="Y44" s="46"/>
      <c r="Z44" s="47"/>
    </row>
    <row r="45" spans="1:26" x14ac:dyDescent="0.3">
      <c r="A45" s="22"/>
      <c r="K45" s="37"/>
      <c r="L45" s="37"/>
      <c r="M45" s="38"/>
      <c r="N45" s="22"/>
      <c r="O45" s="44"/>
      <c r="P45" s="44"/>
      <c r="Q45" s="44"/>
      <c r="R45" s="44"/>
      <c r="S45" s="44"/>
      <c r="T45" s="44"/>
      <c r="U45" s="44"/>
      <c r="V45" s="44"/>
      <c r="W45" s="44"/>
      <c r="X45" s="46"/>
      <c r="Y45" s="46"/>
      <c r="Z45" s="47"/>
    </row>
    <row r="46" spans="1:26" x14ac:dyDescent="0.3">
      <c r="A46" s="22"/>
      <c r="K46" s="37"/>
      <c r="L46" s="37"/>
      <c r="M46" s="38"/>
      <c r="N46" s="22"/>
      <c r="O46" s="44"/>
      <c r="P46" s="44"/>
      <c r="Q46" s="44"/>
      <c r="R46" s="44"/>
      <c r="S46" s="44"/>
      <c r="T46" s="44"/>
      <c r="U46" s="44"/>
      <c r="V46" s="44"/>
      <c r="W46" s="44"/>
      <c r="X46" s="46"/>
      <c r="Y46" s="46"/>
      <c r="Z46" s="47"/>
    </row>
    <row r="47" spans="1:26" x14ac:dyDescent="0.3">
      <c r="A47" s="22"/>
      <c r="K47" s="37"/>
      <c r="L47" s="37"/>
      <c r="M47" s="38"/>
      <c r="N47" s="22"/>
      <c r="O47" s="44"/>
      <c r="P47" s="44"/>
      <c r="Q47" s="44"/>
      <c r="R47" s="44"/>
      <c r="S47" s="44"/>
      <c r="T47" s="44"/>
      <c r="U47" s="44"/>
      <c r="V47" s="44"/>
      <c r="W47" s="44"/>
      <c r="X47" s="46"/>
      <c r="Y47" s="46"/>
      <c r="Z47" s="47"/>
    </row>
    <row r="48" spans="1:26" x14ac:dyDescent="0.3">
      <c r="A48" s="22"/>
      <c r="K48" s="37"/>
      <c r="L48" s="37"/>
      <c r="M48" s="38"/>
      <c r="N48" s="22"/>
      <c r="O48" s="44"/>
      <c r="P48" s="44"/>
      <c r="Q48" s="44"/>
      <c r="R48" s="44"/>
      <c r="S48" s="44"/>
      <c r="T48" s="44"/>
      <c r="U48" s="44"/>
      <c r="V48" s="44"/>
      <c r="W48" s="44"/>
      <c r="X48" s="46"/>
      <c r="Y48" s="46"/>
      <c r="Z48" s="47"/>
    </row>
    <row r="49" spans="1:26" x14ac:dyDescent="0.3">
      <c r="A49" s="22"/>
      <c r="K49" s="37"/>
      <c r="L49" s="37"/>
      <c r="M49" s="38"/>
      <c r="N49" s="22"/>
      <c r="O49" s="44"/>
      <c r="P49" s="44"/>
      <c r="Q49" s="44"/>
      <c r="R49" s="44"/>
      <c r="S49" s="44"/>
      <c r="T49" s="44"/>
      <c r="U49" s="44"/>
      <c r="V49" s="44"/>
      <c r="W49" s="44"/>
      <c r="X49" s="46"/>
      <c r="Y49" s="46"/>
      <c r="Z49" s="47"/>
    </row>
    <row r="50" spans="1:26" x14ac:dyDescent="0.3">
      <c r="A50" s="22"/>
      <c r="K50" s="37"/>
      <c r="L50" s="37"/>
      <c r="M50" s="38"/>
      <c r="N50" s="22"/>
      <c r="O50" s="44"/>
      <c r="P50" s="44"/>
      <c r="Q50" s="44"/>
      <c r="R50" s="44"/>
      <c r="S50" s="44"/>
      <c r="T50" s="44"/>
      <c r="U50" s="44"/>
      <c r="V50" s="44"/>
      <c r="W50" s="44"/>
      <c r="X50" s="46"/>
      <c r="Y50" s="46"/>
      <c r="Z50" s="47"/>
    </row>
    <row r="51" spans="1:26" x14ac:dyDescent="0.3">
      <c r="A51" s="22"/>
      <c r="K51" s="37"/>
      <c r="L51" s="37"/>
      <c r="M51" s="38"/>
      <c r="N51" s="22"/>
      <c r="O51" s="44"/>
      <c r="P51" s="44"/>
      <c r="Q51" s="44"/>
      <c r="R51" s="44"/>
      <c r="S51" s="44"/>
      <c r="T51" s="44"/>
      <c r="U51" s="44"/>
      <c r="V51" s="44"/>
      <c r="W51" s="44"/>
      <c r="X51" s="46"/>
      <c r="Y51" s="46"/>
      <c r="Z51" s="47"/>
    </row>
    <row r="52" spans="1:26" x14ac:dyDescent="0.3">
      <c r="A52" s="22"/>
      <c r="K52" s="37"/>
      <c r="L52" s="37"/>
      <c r="M52" s="38"/>
      <c r="N52" s="22"/>
      <c r="O52" s="44"/>
      <c r="P52" s="44"/>
      <c r="Q52" s="44"/>
      <c r="R52" s="44"/>
      <c r="S52" s="44"/>
      <c r="T52" s="44"/>
      <c r="U52" s="44"/>
      <c r="V52" s="44"/>
      <c r="W52" s="44"/>
      <c r="X52" s="46"/>
      <c r="Y52" s="46"/>
      <c r="Z52" s="47"/>
    </row>
    <row r="53" spans="1:26" x14ac:dyDescent="0.3">
      <c r="A53" s="22"/>
      <c r="K53" s="37"/>
      <c r="L53" s="37"/>
      <c r="M53" s="38"/>
      <c r="N53" s="22"/>
      <c r="O53" s="44"/>
      <c r="P53" s="44"/>
      <c r="Q53" s="44"/>
      <c r="R53" s="44"/>
      <c r="S53" s="44"/>
      <c r="T53" s="44"/>
      <c r="U53" s="44"/>
      <c r="V53" s="44"/>
      <c r="W53" s="44"/>
      <c r="X53" s="46"/>
      <c r="Y53" s="46"/>
      <c r="Z53" s="47"/>
    </row>
    <row r="54" spans="1:26" x14ac:dyDescent="0.3">
      <c r="A54" s="22"/>
      <c r="K54" s="37"/>
      <c r="L54" s="37"/>
      <c r="M54" s="38"/>
      <c r="N54" s="22"/>
      <c r="O54" s="44"/>
      <c r="P54" s="44"/>
      <c r="Q54" s="44"/>
      <c r="R54" s="44"/>
      <c r="S54" s="44"/>
      <c r="T54" s="44"/>
      <c r="U54" s="44"/>
      <c r="V54" s="44"/>
      <c r="W54" s="44"/>
      <c r="X54" s="46"/>
      <c r="Y54" s="46"/>
      <c r="Z54" s="47"/>
    </row>
    <row r="55" spans="1:26" x14ac:dyDescent="0.3">
      <c r="A55" s="22"/>
      <c r="K55" s="37"/>
      <c r="L55" s="37"/>
      <c r="M55" s="38"/>
      <c r="N55" s="22"/>
      <c r="O55" s="44"/>
      <c r="P55" s="44"/>
      <c r="Q55" s="44"/>
      <c r="R55" s="44"/>
      <c r="S55" s="44"/>
      <c r="T55" s="44"/>
      <c r="U55" s="44"/>
      <c r="V55" s="44"/>
      <c r="W55" s="44"/>
      <c r="X55" s="46"/>
      <c r="Y55" s="46"/>
      <c r="Z55" s="47"/>
    </row>
    <row r="56" spans="1:26" x14ac:dyDescent="0.3">
      <c r="A56" s="22"/>
      <c r="K56" s="37"/>
      <c r="L56" s="37"/>
      <c r="M56" s="38"/>
      <c r="N56" s="22"/>
      <c r="O56" s="44"/>
      <c r="P56" s="44"/>
      <c r="Q56" s="44"/>
      <c r="R56" s="44"/>
      <c r="S56" s="44"/>
      <c r="T56" s="44"/>
      <c r="U56" s="44"/>
      <c r="V56" s="44"/>
      <c r="W56" s="44"/>
      <c r="X56" s="46"/>
      <c r="Y56" s="46"/>
      <c r="Z56" s="47"/>
    </row>
    <row r="57" spans="1:26" x14ac:dyDescent="0.3">
      <c r="A57" s="22"/>
      <c r="K57" s="37"/>
      <c r="L57" s="37"/>
      <c r="M57" s="38"/>
      <c r="N57" s="22"/>
      <c r="O57" s="44"/>
      <c r="P57" s="44"/>
      <c r="Q57" s="44"/>
      <c r="R57" s="44"/>
      <c r="S57" s="44"/>
      <c r="T57" s="44"/>
      <c r="U57" s="44"/>
      <c r="V57" s="44"/>
      <c r="W57" s="44"/>
      <c r="X57" s="46"/>
      <c r="Y57" s="46"/>
      <c r="Z57" s="47"/>
    </row>
    <row r="58" spans="1:26" x14ac:dyDescent="0.3">
      <c r="A58" s="22"/>
      <c r="K58" s="37"/>
      <c r="L58" s="37"/>
      <c r="M58" s="38"/>
      <c r="N58" s="22"/>
      <c r="O58" s="44"/>
      <c r="P58" s="44"/>
      <c r="Q58" s="44"/>
      <c r="R58" s="44"/>
      <c r="S58" s="44"/>
      <c r="T58" s="44"/>
      <c r="U58" s="44"/>
      <c r="V58" s="44"/>
      <c r="W58" s="44"/>
      <c r="X58" s="46"/>
      <c r="Y58" s="46"/>
      <c r="Z58" s="47"/>
    </row>
    <row r="59" spans="1:26" x14ac:dyDescent="0.3">
      <c r="A59" s="22"/>
      <c r="K59" s="37"/>
      <c r="L59" s="37"/>
      <c r="M59" s="38"/>
      <c r="N59" s="22"/>
      <c r="O59" s="44"/>
      <c r="P59" s="44"/>
      <c r="Q59" s="44"/>
      <c r="R59" s="44"/>
      <c r="S59" s="44"/>
      <c r="T59" s="44"/>
      <c r="U59" s="44"/>
      <c r="V59" s="44"/>
      <c r="W59" s="44"/>
      <c r="X59" s="46"/>
      <c r="Y59" s="46"/>
      <c r="Z59" s="47"/>
    </row>
    <row r="60" spans="1:26" x14ac:dyDescent="0.3">
      <c r="A60" s="22"/>
      <c r="K60" s="37"/>
      <c r="L60" s="37"/>
      <c r="M60" s="38"/>
      <c r="N60" s="22"/>
      <c r="O60" s="44"/>
      <c r="P60" s="44"/>
      <c r="Q60" s="44"/>
      <c r="R60" s="44"/>
      <c r="S60" s="44"/>
      <c r="T60" s="44"/>
      <c r="U60" s="44"/>
      <c r="V60" s="44"/>
      <c r="W60" s="44"/>
      <c r="X60" s="46"/>
      <c r="Y60" s="46"/>
      <c r="Z60" s="47"/>
    </row>
    <row r="61" spans="1:26" x14ac:dyDescent="0.3">
      <c r="A61" s="22"/>
      <c r="K61" s="37"/>
      <c r="L61" s="37"/>
      <c r="M61" s="38"/>
      <c r="N61" s="22"/>
      <c r="O61" s="44"/>
      <c r="P61" s="44"/>
      <c r="Q61" s="44"/>
      <c r="R61" s="44"/>
      <c r="S61" s="44"/>
      <c r="T61" s="44"/>
      <c r="U61" s="44"/>
      <c r="V61" s="44"/>
      <c r="W61" s="44"/>
      <c r="X61" s="46"/>
      <c r="Y61" s="46"/>
      <c r="Z61" s="47"/>
    </row>
    <row r="62" spans="1:26" x14ac:dyDescent="0.3">
      <c r="A62" s="22"/>
      <c r="K62" s="37"/>
      <c r="L62" s="37"/>
      <c r="M62" s="38"/>
      <c r="N62" s="22"/>
      <c r="O62" s="44"/>
      <c r="P62" s="44"/>
      <c r="Q62" s="44"/>
      <c r="R62" s="44"/>
      <c r="S62" s="44"/>
      <c r="T62" s="44"/>
      <c r="U62" s="44"/>
      <c r="V62" s="44"/>
      <c r="W62" s="44"/>
      <c r="X62" s="46"/>
      <c r="Y62" s="46"/>
      <c r="Z62" s="47"/>
    </row>
    <row r="63" spans="1:26" x14ac:dyDescent="0.3">
      <c r="A63" s="22"/>
      <c r="K63" s="37"/>
      <c r="L63" s="37"/>
      <c r="M63" s="38"/>
      <c r="N63" s="22"/>
      <c r="O63" s="44"/>
      <c r="P63" s="44"/>
      <c r="Q63" s="44"/>
      <c r="R63" s="44"/>
      <c r="S63" s="44"/>
      <c r="T63" s="44"/>
      <c r="U63" s="44"/>
      <c r="V63" s="44"/>
      <c r="W63" s="44"/>
      <c r="X63" s="46"/>
      <c r="Y63" s="46"/>
      <c r="Z63" s="47"/>
    </row>
    <row r="64" spans="1:26" ht="15" thickBot="1" x14ac:dyDescent="0.35">
      <c r="A64" s="23"/>
      <c r="B64" s="24"/>
      <c r="C64" s="24"/>
      <c r="D64" s="24"/>
      <c r="E64" s="24"/>
      <c r="F64" s="24"/>
      <c r="G64" s="24"/>
      <c r="H64" s="24"/>
      <c r="I64" s="24"/>
      <c r="J64" s="24"/>
      <c r="K64" s="39"/>
      <c r="L64" s="39"/>
      <c r="M64" s="40"/>
      <c r="N64" s="23"/>
      <c r="O64" s="24"/>
      <c r="P64" s="24"/>
      <c r="Q64" s="24"/>
      <c r="R64" s="24"/>
      <c r="S64" s="24"/>
      <c r="T64" s="24"/>
      <c r="U64" s="24"/>
      <c r="V64" s="24"/>
      <c r="W64" s="24"/>
      <c r="X64" s="48"/>
      <c r="Y64" s="48"/>
      <c r="Z64" s="49"/>
    </row>
    <row r="65" spans="1:26" ht="25.8" x14ac:dyDescent="0.5">
      <c r="A65" s="34" t="s">
        <v>682</v>
      </c>
      <c r="B65" s="35"/>
      <c r="C65" s="35"/>
      <c r="D65" s="35"/>
      <c r="E65" s="35"/>
      <c r="F65" s="35"/>
      <c r="G65" s="35"/>
      <c r="H65" s="35"/>
      <c r="I65" s="35"/>
      <c r="J65" s="35"/>
      <c r="K65" s="35"/>
      <c r="L65" s="35"/>
      <c r="M65" s="36"/>
      <c r="N65" s="34" t="s">
        <v>688</v>
      </c>
      <c r="O65" s="35"/>
      <c r="P65" s="35"/>
      <c r="Q65" s="35"/>
      <c r="R65" s="35"/>
      <c r="S65" s="35"/>
      <c r="T65" s="35"/>
      <c r="U65" s="35"/>
      <c r="V65" s="35"/>
      <c r="W65" s="35"/>
      <c r="X65" s="35"/>
      <c r="Y65" s="35"/>
      <c r="Z65" s="36"/>
    </row>
    <row r="66" spans="1:26" x14ac:dyDescent="0.3">
      <c r="A66" s="22"/>
      <c r="B66" s="44"/>
      <c r="C66" s="44"/>
      <c r="D66" s="44"/>
      <c r="E66" s="44"/>
      <c r="F66" s="44"/>
      <c r="G66" s="44"/>
      <c r="H66" s="44"/>
      <c r="I66" s="44"/>
      <c r="J66" s="44"/>
      <c r="K66" s="50" t="s">
        <v>681</v>
      </c>
      <c r="L66" s="50"/>
      <c r="M66" s="38"/>
      <c r="N66" s="22"/>
      <c r="O66" s="44"/>
      <c r="P66" s="44"/>
      <c r="Q66" s="44"/>
      <c r="R66" s="44"/>
      <c r="S66" s="44"/>
      <c r="T66" s="44"/>
      <c r="U66" s="44"/>
      <c r="V66" s="44"/>
      <c r="W66" s="44"/>
      <c r="X66" s="50" t="s">
        <v>689</v>
      </c>
      <c r="Y66" s="50"/>
      <c r="Z66" s="38"/>
    </row>
    <row r="67" spans="1:26" x14ac:dyDescent="0.3">
      <c r="A67" s="22"/>
      <c r="B67" s="44"/>
      <c r="C67" s="44"/>
      <c r="D67" s="44"/>
      <c r="E67" s="44"/>
      <c r="F67" s="44"/>
      <c r="G67" s="44"/>
      <c r="H67" s="44"/>
      <c r="I67" s="44"/>
      <c r="J67" s="44"/>
      <c r="K67" s="50"/>
      <c r="L67" s="50"/>
      <c r="M67" s="38"/>
      <c r="N67" s="22"/>
      <c r="O67" s="44"/>
      <c r="P67" s="44"/>
      <c r="Q67" s="44"/>
      <c r="R67" s="44"/>
      <c r="S67" s="44"/>
      <c r="T67" s="44"/>
      <c r="U67" s="44"/>
      <c r="V67" s="44"/>
      <c r="W67" s="44"/>
      <c r="X67" s="50"/>
      <c r="Y67" s="50"/>
      <c r="Z67" s="38"/>
    </row>
    <row r="68" spans="1:26" x14ac:dyDescent="0.3">
      <c r="A68" s="22"/>
      <c r="B68" s="44"/>
      <c r="C68" s="44"/>
      <c r="D68" s="44"/>
      <c r="E68" s="44"/>
      <c r="F68" s="44"/>
      <c r="G68" s="44"/>
      <c r="H68" s="44"/>
      <c r="I68" s="44"/>
      <c r="J68" s="44"/>
      <c r="K68" s="50"/>
      <c r="L68" s="50"/>
      <c r="M68" s="38"/>
      <c r="N68" s="22"/>
      <c r="O68" s="44"/>
      <c r="P68" s="44"/>
      <c r="Q68" s="44"/>
      <c r="R68" s="44"/>
      <c r="S68" s="44"/>
      <c r="T68" s="44"/>
      <c r="U68" s="44"/>
      <c r="V68" s="44"/>
      <c r="W68" s="44"/>
      <c r="X68" s="50"/>
      <c r="Y68" s="50"/>
      <c r="Z68" s="38"/>
    </row>
    <row r="69" spans="1:26" x14ac:dyDescent="0.3">
      <c r="A69" s="22"/>
      <c r="B69" s="44"/>
      <c r="C69" s="44"/>
      <c r="D69" s="44"/>
      <c r="E69" s="44"/>
      <c r="F69" s="44"/>
      <c r="G69" s="44"/>
      <c r="H69" s="44"/>
      <c r="I69" s="44"/>
      <c r="J69" s="44"/>
      <c r="K69" s="50"/>
      <c r="L69" s="50"/>
      <c r="M69" s="38"/>
      <c r="N69" s="22"/>
      <c r="O69" s="44"/>
      <c r="P69" s="44"/>
      <c r="Q69" s="44"/>
      <c r="R69" s="44"/>
      <c r="S69" s="44"/>
      <c r="T69" s="44"/>
      <c r="U69" s="44"/>
      <c r="V69" s="44"/>
      <c r="W69" s="44"/>
      <c r="X69" s="50"/>
      <c r="Y69" s="50"/>
      <c r="Z69" s="38"/>
    </row>
    <row r="70" spans="1:26" x14ac:dyDescent="0.3">
      <c r="A70" s="22"/>
      <c r="B70" s="44"/>
      <c r="C70" s="44"/>
      <c r="D70" s="44"/>
      <c r="E70" s="44"/>
      <c r="F70" s="44"/>
      <c r="G70" s="44"/>
      <c r="H70" s="44"/>
      <c r="I70" s="44"/>
      <c r="J70" s="44"/>
      <c r="K70" s="50"/>
      <c r="L70" s="50"/>
      <c r="M70" s="38"/>
      <c r="N70" s="22"/>
      <c r="O70" s="44"/>
      <c r="P70" s="44"/>
      <c r="Q70" s="44"/>
      <c r="R70" s="44"/>
      <c r="S70" s="44"/>
      <c r="T70" s="44"/>
      <c r="U70" s="44"/>
      <c r="V70" s="44"/>
      <c r="W70" s="44"/>
      <c r="X70" s="50"/>
      <c r="Y70" s="50"/>
      <c r="Z70" s="38"/>
    </row>
    <row r="71" spans="1:26" x14ac:dyDescent="0.3">
      <c r="A71" s="22"/>
      <c r="B71" s="44"/>
      <c r="C71" s="44"/>
      <c r="D71" s="44"/>
      <c r="E71" s="44"/>
      <c r="F71" s="44"/>
      <c r="G71" s="44"/>
      <c r="H71" s="44"/>
      <c r="I71" s="44"/>
      <c r="J71" s="44"/>
      <c r="K71" s="50"/>
      <c r="L71" s="50"/>
      <c r="M71" s="38"/>
      <c r="N71" s="22"/>
      <c r="O71" s="44"/>
      <c r="P71" s="44"/>
      <c r="Q71" s="44"/>
      <c r="R71" s="44"/>
      <c r="S71" s="44"/>
      <c r="T71" s="44"/>
      <c r="U71" s="44"/>
      <c r="V71" s="44"/>
      <c r="W71" s="44"/>
      <c r="X71" s="50"/>
      <c r="Y71" s="50"/>
      <c r="Z71" s="38"/>
    </row>
    <row r="72" spans="1:26" x14ac:dyDescent="0.3">
      <c r="A72" s="22"/>
      <c r="B72" s="44"/>
      <c r="C72" s="44"/>
      <c r="D72" s="44"/>
      <c r="E72" s="44"/>
      <c r="F72" s="44"/>
      <c r="G72" s="44"/>
      <c r="H72" s="44"/>
      <c r="I72" s="44"/>
      <c r="J72" s="44"/>
      <c r="K72" s="50"/>
      <c r="L72" s="50"/>
      <c r="M72" s="38"/>
      <c r="N72" s="22"/>
      <c r="O72" s="44"/>
      <c r="P72" s="44"/>
      <c r="Q72" s="44"/>
      <c r="R72" s="44"/>
      <c r="S72" s="44"/>
      <c r="T72" s="44"/>
      <c r="U72" s="44"/>
      <c r="V72" s="44"/>
      <c r="W72" s="44"/>
      <c r="X72" s="50"/>
      <c r="Y72" s="50"/>
      <c r="Z72" s="38"/>
    </row>
    <row r="73" spans="1:26" x14ac:dyDescent="0.3">
      <c r="A73" s="22"/>
      <c r="B73" s="44"/>
      <c r="C73" s="44"/>
      <c r="D73" s="44"/>
      <c r="E73" s="44"/>
      <c r="F73" s="44"/>
      <c r="G73" s="44"/>
      <c r="H73" s="44"/>
      <c r="I73" s="44"/>
      <c r="J73" s="44"/>
      <c r="K73" s="50"/>
      <c r="L73" s="50"/>
      <c r="M73" s="38"/>
      <c r="N73" s="22"/>
      <c r="O73" s="44"/>
      <c r="P73" s="44"/>
      <c r="Q73" s="44"/>
      <c r="R73" s="44"/>
      <c r="S73" s="44"/>
      <c r="T73" s="44"/>
      <c r="U73" s="44"/>
      <c r="V73" s="44"/>
      <c r="W73" s="44"/>
      <c r="X73" s="50"/>
      <c r="Y73" s="50"/>
      <c r="Z73" s="38"/>
    </row>
    <row r="74" spans="1:26" x14ac:dyDescent="0.3">
      <c r="A74" s="22"/>
      <c r="B74" s="44"/>
      <c r="C74" s="44"/>
      <c r="D74" s="44"/>
      <c r="E74" s="44"/>
      <c r="F74" s="44"/>
      <c r="G74" s="44"/>
      <c r="H74" s="44"/>
      <c r="I74" s="44"/>
      <c r="J74" s="44"/>
      <c r="K74" s="50"/>
      <c r="L74" s="50"/>
      <c r="M74" s="38"/>
      <c r="N74" s="22"/>
      <c r="O74" s="44"/>
      <c r="P74" s="44"/>
      <c r="Q74" s="44"/>
      <c r="R74" s="44"/>
      <c r="S74" s="44"/>
      <c r="T74" s="44"/>
      <c r="U74" s="44"/>
      <c r="V74" s="44"/>
      <c r="W74" s="44"/>
      <c r="X74" s="50"/>
      <c r="Y74" s="50"/>
      <c r="Z74" s="38"/>
    </row>
    <row r="75" spans="1:26" x14ac:dyDescent="0.3">
      <c r="A75" s="22"/>
      <c r="B75" s="44"/>
      <c r="C75" s="44"/>
      <c r="D75" s="44"/>
      <c r="E75" s="44"/>
      <c r="F75" s="44"/>
      <c r="G75" s="44"/>
      <c r="H75" s="44"/>
      <c r="I75" s="44"/>
      <c r="J75" s="44"/>
      <c r="K75" s="50"/>
      <c r="L75" s="50"/>
      <c r="M75" s="38"/>
      <c r="N75" s="22"/>
      <c r="O75" s="44"/>
      <c r="P75" s="44"/>
      <c r="Q75" s="44"/>
      <c r="R75" s="44"/>
      <c r="S75" s="44"/>
      <c r="T75" s="44"/>
      <c r="U75" s="44"/>
      <c r="V75" s="44"/>
      <c r="W75" s="44"/>
      <c r="X75" s="50"/>
      <c r="Y75" s="50"/>
      <c r="Z75" s="38"/>
    </row>
    <row r="76" spans="1:26" x14ac:dyDescent="0.3">
      <c r="A76" s="22"/>
      <c r="B76" s="44"/>
      <c r="C76" s="44"/>
      <c r="D76" s="44"/>
      <c r="E76" s="44"/>
      <c r="F76" s="44"/>
      <c r="G76" s="44"/>
      <c r="H76" s="44"/>
      <c r="I76" s="44"/>
      <c r="J76" s="44"/>
      <c r="K76" s="50"/>
      <c r="L76" s="50"/>
      <c r="M76" s="38"/>
      <c r="N76" s="22"/>
      <c r="O76" s="44"/>
      <c r="P76" s="44"/>
      <c r="Q76" s="44"/>
      <c r="R76" s="44"/>
      <c r="S76" s="44"/>
      <c r="T76" s="44"/>
      <c r="U76" s="44"/>
      <c r="V76" s="44"/>
      <c r="W76" s="44"/>
      <c r="X76" s="50"/>
      <c r="Y76" s="50"/>
      <c r="Z76" s="38"/>
    </row>
    <row r="77" spans="1:26" x14ac:dyDescent="0.3">
      <c r="A77" s="22"/>
      <c r="B77" s="44"/>
      <c r="C77" s="44"/>
      <c r="D77" s="44"/>
      <c r="E77" s="44"/>
      <c r="F77" s="44"/>
      <c r="G77" s="44"/>
      <c r="H77" s="44"/>
      <c r="I77" s="44"/>
      <c r="J77" s="44"/>
      <c r="K77" s="50"/>
      <c r="L77" s="50"/>
      <c r="M77" s="38"/>
      <c r="N77" s="22"/>
      <c r="O77" s="44"/>
      <c r="P77" s="44"/>
      <c r="Q77" s="44"/>
      <c r="R77" s="44"/>
      <c r="S77" s="44"/>
      <c r="T77" s="44"/>
      <c r="U77" s="44"/>
      <c r="V77" s="44"/>
      <c r="W77" s="44"/>
      <c r="X77" s="50"/>
      <c r="Y77" s="50"/>
      <c r="Z77" s="38"/>
    </row>
    <row r="78" spans="1:26" x14ac:dyDescent="0.3">
      <c r="A78" s="22"/>
      <c r="B78" s="44"/>
      <c r="C78" s="44"/>
      <c r="D78" s="44"/>
      <c r="E78" s="44"/>
      <c r="F78" s="44"/>
      <c r="G78" s="44"/>
      <c r="H78" s="44"/>
      <c r="I78" s="44"/>
      <c r="J78" s="44"/>
      <c r="K78" s="50"/>
      <c r="L78" s="50"/>
      <c r="M78" s="38"/>
      <c r="N78" s="22"/>
      <c r="O78" s="44"/>
      <c r="P78" s="44"/>
      <c r="Q78" s="44"/>
      <c r="R78" s="44"/>
      <c r="S78" s="44"/>
      <c r="T78" s="44"/>
      <c r="U78" s="44"/>
      <c r="V78" s="44"/>
      <c r="W78" s="44"/>
      <c r="X78" s="50"/>
      <c r="Y78" s="50"/>
      <c r="Z78" s="38"/>
    </row>
    <row r="79" spans="1:26" x14ac:dyDescent="0.3">
      <c r="A79" s="22"/>
      <c r="B79" s="44"/>
      <c r="C79" s="44"/>
      <c r="D79" s="44"/>
      <c r="E79" s="44"/>
      <c r="F79" s="44"/>
      <c r="G79" s="44"/>
      <c r="H79" s="44"/>
      <c r="I79" s="44"/>
      <c r="J79" s="44"/>
      <c r="K79" s="50"/>
      <c r="L79" s="50"/>
      <c r="M79" s="38"/>
      <c r="N79" s="22"/>
      <c r="O79" s="44"/>
      <c r="P79" s="44"/>
      <c r="Q79" s="44"/>
      <c r="R79" s="44"/>
      <c r="S79" s="44"/>
      <c r="T79" s="44"/>
      <c r="U79" s="44"/>
      <c r="V79" s="44"/>
      <c r="W79" s="44"/>
      <c r="X79" s="50"/>
      <c r="Y79" s="50"/>
      <c r="Z79" s="38"/>
    </row>
    <row r="80" spans="1:26" x14ac:dyDescent="0.3">
      <c r="A80" s="22"/>
      <c r="B80" s="44"/>
      <c r="C80" s="44"/>
      <c r="D80" s="44"/>
      <c r="E80" s="44"/>
      <c r="F80" s="44"/>
      <c r="G80" s="44"/>
      <c r="H80" s="44"/>
      <c r="I80" s="44"/>
      <c r="J80" s="44"/>
      <c r="K80" s="50"/>
      <c r="L80" s="50"/>
      <c r="M80" s="38"/>
      <c r="N80" s="22"/>
      <c r="O80" s="44"/>
      <c r="P80" s="44"/>
      <c r="Q80" s="44"/>
      <c r="R80" s="44"/>
      <c r="S80" s="44"/>
      <c r="T80" s="44"/>
      <c r="U80" s="44"/>
      <c r="V80" s="44"/>
      <c r="W80" s="44"/>
      <c r="X80" s="50"/>
      <c r="Y80" s="50"/>
      <c r="Z80" s="38"/>
    </row>
    <row r="81" spans="1:26" x14ac:dyDescent="0.3">
      <c r="A81" s="22"/>
      <c r="B81" s="44"/>
      <c r="C81" s="44"/>
      <c r="D81" s="44"/>
      <c r="E81" s="44"/>
      <c r="F81" s="44"/>
      <c r="G81" s="44"/>
      <c r="H81" s="44"/>
      <c r="I81" s="44"/>
      <c r="J81" s="44"/>
      <c r="K81" s="50"/>
      <c r="L81" s="50"/>
      <c r="M81" s="38"/>
      <c r="N81" s="22"/>
      <c r="O81" s="44"/>
      <c r="P81" s="44"/>
      <c r="Q81" s="44"/>
      <c r="R81" s="44"/>
      <c r="S81" s="44"/>
      <c r="T81" s="44"/>
      <c r="U81" s="44"/>
      <c r="V81" s="44"/>
      <c r="W81" s="44"/>
      <c r="X81" s="50"/>
      <c r="Y81" s="50"/>
      <c r="Z81" s="38"/>
    </row>
    <row r="82" spans="1:26" x14ac:dyDescent="0.3">
      <c r="A82" s="22"/>
      <c r="B82" s="44"/>
      <c r="C82" s="44"/>
      <c r="D82" s="44"/>
      <c r="E82" s="44"/>
      <c r="F82" s="44"/>
      <c r="G82" s="44"/>
      <c r="H82" s="44"/>
      <c r="I82" s="44"/>
      <c r="J82" s="44"/>
      <c r="K82" s="50"/>
      <c r="L82" s="50"/>
      <c r="M82" s="38"/>
      <c r="N82" s="22"/>
      <c r="O82" s="44"/>
      <c r="P82" s="44"/>
      <c r="Q82" s="44"/>
      <c r="R82" s="44"/>
      <c r="S82" s="44"/>
      <c r="T82" s="44"/>
      <c r="U82" s="44"/>
      <c r="V82" s="44"/>
      <c r="W82" s="44"/>
      <c r="X82" s="50"/>
      <c r="Y82" s="50"/>
      <c r="Z82" s="38"/>
    </row>
    <row r="83" spans="1:26" x14ac:dyDescent="0.3">
      <c r="A83" s="22"/>
      <c r="B83" s="44"/>
      <c r="C83" s="44"/>
      <c r="D83" s="44"/>
      <c r="E83" s="44"/>
      <c r="F83" s="44"/>
      <c r="G83" s="44"/>
      <c r="H83" s="44"/>
      <c r="I83" s="44"/>
      <c r="J83" s="44"/>
      <c r="K83" s="50"/>
      <c r="L83" s="50"/>
      <c r="M83" s="38"/>
      <c r="N83" s="22"/>
      <c r="O83" s="44"/>
      <c r="P83" s="44"/>
      <c r="Q83" s="44"/>
      <c r="R83" s="44"/>
      <c r="S83" s="44"/>
      <c r="T83" s="44"/>
      <c r="U83" s="44"/>
      <c r="V83" s="44"/>
      <c r="W83" s="44"/>
      <c r="X83" s="50"/>
      <c r="Y83" s="50"/>
      <c r="Z83" s="38"/>
    </row>
    <row r="84" spans="1:26" x14ac:dyDescent="0.3">
      <c r="A84" s="22"/>
      <c r="B84" s="44"/>
      <c r="C84" s="44"/>
      <c r="D84" s="44"/>
      <c r="E84" s="44"/>
      <c r="F84" s="44"/>
      <c r="G84" s="44"/>
      <c r="H84" s="44"/>
      <c r="I84" s="44"/>
      <c r="J84" s="44"/>
      <c r="K84" s="50"/>
      <c r="L84" s="50"/>
      <c r="M84" s="38"/>
      <c r="N84" s="22"/>
      <c r="O84" s="44"/>
      <c r="P84" s="44"/>
      <c r="Q84" s="44"/>
      <c r="R84" s="44"/>
      <c r="S84" s="44"/>
      <c r="T84" s="44"/>
      <c r="U84" s="44"/>
      <c r="V84" s="44"/>
      <c r="W84" s="44"/>
      <c r="X84" s="50"/>
      <c r="Y84" s="50"/>
      <c r="Z84" s="38"/>
    </row>
    <row r="85" spans="1:26" x14ac:dyDescent="0.3">
      <c r="A85" s="22"/>
      <c r="B85" s="44"/>
      <c r="C85" s="44"/>
      <c r="D85" s="44"/>
      <c r="E85" s="44"/>
      <c r="F85" s="44"/>
      <c r="G85" s="44"/>
      <c r="H85" s="44"/>
      <c r="I85" s="44"/>
      <c r="J85" s="44"/>
      <c r="K85" s="50"/>
      <c r="L85" s="50"/>
      <c r="M85" s="38"/>
      <c r="N85" s="22"/>
      <c r="O85" s="44"/>
      <c r="P85" s="44"/>
      <c r="Q85" s="44"/>
      <c r="R85" s="44"/>
      <c r="S85" s="44"/>
      <c r="T85" s="44"/>
      <c r="U85" s="44"/>
      <c r="V85" s="44"/>
      <c r="W85" s="44"/>
      <c r="X85" s="50"/>
      <c r="Y85" s="50"/>
      <c r="Z85" s="38"/>
    </row>
    <row r="86" spans="1:26" x14ac:dyDescent="0.3">
      <c r="A86" s="22"/>
      <c r="B86" s="44"/>
      <c r="C86" s="44"/>
      <c r="D86" s="44"/>
      <c r="E86" s="44"/>
      <c r="F86" s="44"/>
      <c r="G86" s="44"/>
      <c r="H86" s="44"/>
      <c r="I86" s="44"/>
      <c r="J86" s="44"/>
      <c r="K86" s="50"/>
      <c r="L86" s="50"/>
      <c r="M86" s="38"/>
      <c r="N86" s="22"/>
      <c r="O86" s="44"/>
      <c r="P86" s="44"/>
      <c r="Q86" s="44"/>
      <c r="R86" s="44"/>
      <c r="S86" s="44"/>
      <c r="T86" s="44"/>
      <c r="U86" s="44"/>
      <c r="V86" s="44"/>
      <c r="W86" s="44"/>
      <c r="X86" s="50"/>
      <c r="Y86" s="50"/>
      <c r="Z86" s="38"/>
    </row>
    <row r="87" spans="1:26" x14ac:dyDescent="0.3">
      <c r="A87" s="22"/>
      <c r="B87" s="44"/>
      <c r="C87" s="44"/>
      <c r="D87" s="44"/>
      <c r="E87" s="44"/>
      <c r="F87" s="44"/>
      <c r="G87" s="44"/>
      <c r="H87" s="44"/>
      <c r="I87" s="44"/>
      <c r="J87" s="44"/>
      <c r="K87" s="50"/>
      <c r="L87" s="50"/>
      <c r="M87" s="38"/>
      <c r="N87" s="22"/>
      <c r="O87" s="44"/>
      <c r="P87" s="44"/>
      <c r="Q87" s="44"/>
      <c r="R87" s="44"/>
      <c r="S87" s="44"/>
      <c r="T87" s="44"/>
      <c r="U87" s="44"/>
      <c r="V87" s="44"/>
      <c r="W87" s="44"/>
      <c r="X87" s="50"/>
      <c r="Y87" s="50"/>
      <c r="Z87" s="38"/>
    </row>
    <row r="88" spans="1:26" x14ac:dyDescent="0.3">
      <c r="A88" s="22"/>
      <c r="B88" s="44"/>
      <c r="C88" s="44"/>
      <c r="D88" s="44"/>
      <c r="E88" s="44"/>
      <c r="F88" s="44"/>
      <c r="G88" s="44"/>
      <c r="H88" s="44"/>
      <c r="I88" s="44"/>
      <c r="J88" s="44"/>
      <c r="K88" s="50"/>
      <c r="L88" s="50"/>
      <c r="M88" s="38"/>
      <c r="N88" s="22"/>
      <c r="O88" s="44"/>
      <c r="P88" s="44"/>
      <c r="Q88" s="44"/>
      <c r="R88" s="44"/>
      <c r="S88" s="44"/>
      <c r="T88" s="44"/>
      <c r="U88" s="44"/>
      <c r="V88" s="44"/>
      <c r="W88" s="44"/>
      <c r="X88" s="50"/>
      <c r="Y88" s="50"/>
      <c r="Z88" s="38"/>
    </row>
    <row r="89" spans="1:26" x14ac:dyDescent="0.3">
      <c r="A89" s="22"/>
      <c r="B89" s="44"/>
      <c r="C89" s="44"/>
      <c r="D89" s="44"/>
      <c r="E89" s="44"/>
      <c r="F89" s="44"/>
      <c r="G89" s="44"/>
      <c r="H89" s="44"/>
      <c r="I89" s="44"/>
      <c r="J89" s="44"/>
      <c r="K89" s="50"/>
      <c r="L89" s="50"/>
      <c r="M89" s="38"/>
      <c r="N89" s="22"/>
      <c r="O89" s="44"/>
      <c r="P89" s="44"/>
      <c r="Q89" s="44"/>
      <c r="R89" s="44"/>
      <c r="S89" s="44"/>
      <c r="T89" s="44"/>
      <c r="U89" s="44"/>
      <c r="V89" s="44"/>
      <c r="W89" s="44"/>
      <c r="X89" s="50"/>
      <c r="Y89" s="50"/>
      <c r="Z89" s="38"/>
    </row>
    <row r="90" spans="1:26" x14ac:dyDescent="0.3">
      <c r="A90" s="22"/>
      <c r="B90" s="44"/>
      <c r="C90" s="44"/>
      <c r="D90" s="44"/>
      <c r="E90" s="44"/>
      <c r="F90" s="44"/>
      <c r="G90" s="44"/>
      <c r="H90" s="44"/>
      <c r="I90" s="44"/>
      <c r="J90" s="44"/>
      <c r="K90" s="50"/>
      <c r="L90" s="50"/>
      <c r="M90" s="38"/>
      <c r="N90" s="22"/>
      <c r="O90" s="44"/>
      <c r="P90" s="44"/>
      <c r="Q90" s="44"/>
      <c r="R90" s="44"/>
      <c r="S90" s="44"/>
      <c r="T90" s="44"/>
      <c r="U90" s="44"/>
      <c r="V90" s="44"/>
      <c r="W90" s="44"/>
      <c r="X90" s="50"/>
      <c r="Y90" s="50"/>
      <c r="Z90" s="38"/>
    </row>
    <row r="91" spans="1:26" x14ac:dyDescent="0.3">
      <c r="A91" s="22"/>
      <c r="B91" s="44"/>
      <c r="C91" s="44"/>
      <c r="D91" s="44"/>
      <c r="E91" s="44"/>
      <c r="F91" s="44"/>
      <c r="G91" s="44"/>
      <c r="H91" s="44"/>
      <c r="I91" s="44"/>
      <c r="J91" s="44"/>
      <c r="K91" s="50"/>
      <c r="L91" s="50"/>
      <c r="M91" s="38"/>
      <c r="N91" s="22"/>
      <c r="O91" s="44"/>
      <c r="P91" s="44"/>
      <c r="Q91" s="44"/>
      <c r="R91" s="44"/>
      <c r="S91" s="44"/>
      <c r="T91" s="44"/>
      <c r="U91" s="44"/>
      <c r="V91" s="44"/>
      <c r="W91" s="44"/>
      <c r="X91" s="50"/>
      <c r="Y91" s="50"/>
      <c r="Z91" s="38"/>
    </row>
    <row r="92" spans="1:26" x14ac:dyDescent="0.3">
      <c r="A92" s="22"/>
      <c r="B92" s="44"/>
      <c r="C92" s="44"/>
      <c r="D92" s="44"/>
      <c r="E92" s="44"/>
      <c r="F92" s="44"/>
      <c r="G92" s="44"/>
      <c r="H92" s="44"/>
      <c r="I92" s="44"/>
      <c r="J92" s="44"/>
      <c r="K92" s="50"/>
      <c r="L92" s="50"/>
      <c r="M92" s="38"/>
      <c r="N92" s="22"/>
      <c r="O92" s="44"/>
      <c r="P92" s="44"/>
      <c r="Q92" s="44"/>
      <c r="R92" s="44"/>
      <c r="S92" s="44"/>
      <c r="T92" s="44"/>
      <c r="U92" s="44"/>
      <c r="V92" s="44"/>
      <c r="W92" s="44"/>
      <c r="X92" s="50"/>
      <c r="Y92" s="50"/>
      <c r="Z92" s="38"/>
    </row>
    <row r="93" spans="1:26" x14ac:dyDescent="0.3">
      <c r="A93" s="22"/>
      <c r="B93" s="44"/>
      <c r="C93" s="44"/>
      <c r="D93" s="44"/>
      <c r="E93" s="44"/>
      <c r="F93" s="44"/>
      <c r="G93" s="44"/>
      <c r="H93" s="44"/>
      <c r="I93" s="44"/>
      <c r="J93" s="44"/>
      <c r="K93" s="50"/>
      <c r="L93" s="50"/>
      <c r="M93" s="38"/>
      <c r="N93" s="22"/>
      <c r="O93" s="44"/>
      <c r="P93" s="44"/>
      <c r="Q93" s="44"/>
      <c r="R93" s="44"/>
      <c r="S93" s="44"/>
      <c r="T93" s="44"/>
      <c r="U93" s="44"/>
      <c r="V93" s="44"/>
      <c r="W93" s="44"/>
      <c r="X93" s="50"/>
      <c r="Y93" s="50"/>
      <c r="Z93" s="38"/>
    </row>
    <row r="94" spans="1:26" x14ac:dyDescent="0.3">
      <c r="A94" s="22"/>
      <c r="B94" s="44"/>
      <c r="C94" s="44"/>
      <c r="D94" s="44"/>
      <c r="E94" s="44"/>
      <c r="F94" s="44"/>
      <c r="G94" s="44"/>
      <c r="H94" s="44"/>
      <c r="I94" s="44"/>
      <c r="J94" s="44"/>
      <c r="K94" s="50"/>
      <c r="L94" s="50"/>
      <c r="M94" s="38"/>
      <c r="N94" s="22"/>
      <c r="O94" s="44"/>
      <c r="P94" s="44"/>
      <c r="Q94" s="44"/>
      <c r="R94" s="44"/>
      <c r="S94" s="44"/>
      <c r="T94" s="44"/>
      <c r="U94" s="44"/>
      <c r="V94" s="44"/>
      <c r="W94" s="44"/>
      <c r="X94" s="50"/>
      <c r="Y94" s="50"/>
      <c r="Z94" s="38"/>
    </row>
    <row r="95" spans="1:26" x14ac:dyDescent="0.3">
      <c r="A95" s="22"/>
      <c r="B95" s="44"/>
      <c r="C95" s="44"/>
      <c r="D95" s="44"/>
      <c r="E95" s="44"/>
      <c r="F95" s="44"/>
      <c r="G95" s="44"/>
      <c r="H95" s="44"/>
      <c r="I95" s="44"/>
      <c r="J95" s="44"/>
      <c r="K95" s="50"/>
      <c r="L95" s="50"/>
      <c r="M95" s="38"/>
      <c r="N95" s="22"/>
      <c r="O95" s="44"/>
      <c r="P95" s="44"/>
      <c r="Q95" s="44"/>
      <c r="R95" s="44"/>
      <c r="S95" s="44"/>
      <c r="T95" s="44"/>
      <c r="U95" s="44"/>
      <c r="V95" s="44"/>
      <c r="W95" s="44"/>
      <c r="X95" s="50"/>
      <c r="Y95" s="50"/>
      <c r="Z95" s="38"/>
    </row>
    <row r="96" spans="1:26" ht="15" thickBot="1" x14ac:dyDescent="0.35">
      <c r="A96" s="23"/>
      <c r="B96" s="24"/>
      <c r="C96" s="24"/>
      <c r="D96" s="24"/>
      <c r="E96" s="24"/>
      <c r="F96" s="24"/>
      <c r="G96" s="24"/>
      <c r="H96" s="24"/>
      <c r="I96" s="24"/>
      <c r="J96" s="24"/>
      <c r="K96" s="39"/>
      <c r="L96" s="39"/>
      <c r="M96" s="40"/>
      <c r="N96" s="23"/>
      <c r="O96" s="24"/>
      <c r="P96" s="24"/>
      <c r="Q96" s="24"/>
      <c r="R96" s="24"/>
      <c r="S96" s="24"/>
      <c r="T96" s="24"/>
      <c r="U96" s="24"/>
      <c r="V96" s="24"/>
      <c r="W96" s="24"/>
      <c r="X96" s="39"/>
      <c r="Y96" s="39"/>
      <c r="Z96" s="40"/>
    </row>
    <row r="97" spans="1:26" ht="26.4" thickBot="1" x14ac:dyDescent="0.55000000000000004">
      <c r="A97" s="34" t="s">
        <v>683</v>
      </c>
      <c r="B97" s="35"/>
      <c r="C97" s="35"/>
      <c r="D97" s="35"/>
      <c r="E97" s="35"/>
      <c r="F97" s="35"/>
      <c r="G97" s="35"/>
      <c r="H97" s="35"/>
      <c r="I97" s="35"/>
      <c r="J97" s="35"/>
      <c r="K97" s="35"/>
      <c r="L97" s="35"/>
      <c r="M97" s="36"/>
      <c r="N97" s="34" t="s">
        <v>694</v>
      </c>
      <c r="O97" s="35"/>
      <c r="P97" s="35"/>
      <c r="Q97" s="35"/>
      <c r="R97" s="35"/>
      <c r="S97" s="35"/>
      <c r="T97" s="35"/>
      <c r="U97" s="35"/>
      <c r="V97" s="35"/>
      <c r="W97" s="35"/>
      <c r="X97" s="35"/>
      <c r="Y97" s="35"/>
      <c r="Z97" s="36"/>
    </row>
    <row r="98" spans="1:26" x14ac:dyDescent="0.3">
      <c r="A98" s="22"/>
      <c r="B98" s="44"/>
      <c r="C98" s="44"/>
      <c r="D98" s="44"/>
      <c r="E98" s="44"/>
      <c r="F98" s="44"/>
      <c r="G98" s="44"/>
      <c r="H98" s="44"/>
      <c r="I98" s="44"/>
      <c r="J98" s="44"/>
      <c r="K98" s="50" t="s">
        <v>684</v>
      </c>
      <c r="L98" s="50"/>
      <c r="M98" s="38"/>
      <c r="N98" s="51" t="s">
        <v>690</v>
      </c>
      <c r="O98" s="52"/>
      <c r="P98" s="52"/>
      <c r="Q98" s="55">
        <f>COUNT('Conjunto de Datos'!B3:B769)</f>
        <v>767</v>
      </c>
      <c r="R98" s="55"/>
      <c r="S98" s="55"/>
      <c r="T98" s="56"/>
      <c r="U98" s="44"/>
      <c r="V98" s="44"/>
      <c r="W98" s="44"/>
      <c r="X98" s="50"/>
      <c r="Y98" s="50"/>
      <c r="Z98" s="38"/>
    </row>
    <row r="99" spans="1:26" ht="15" thickBot="1" x14ac:dyDescent="0.35">
      <c r="A99" s="22"/>
      <c r="B99" s="44"/>
      <c r="C99" s="44"/>
      <c r="D99" s="44"/>
      <c r="E99" s="44"/>
      <c r="F99" s="44"/>
      <c r="G99" s="44"/>
      <c r="H99" s="44"/>
      <c r="I99" s="44"/>
      <c r="J99" s="44"/>
      <c r="K99" s="50"/>
      <c r="L99" s="50"/>
      <c r="M99" s="38"/>
      <c r="N99" s="53"/>
      <c r="O99" s="54"/>
      <c r="P99" s="54"/>
      <c r="Q99" s="57"/>
      <c r="R99" s="57"/>
      <c r="S99" s="57"/>
      <c r="T99" s="58"/>
      <c r="U99" s="44"/>
      <c r="V99" s="44"/>
      <c r="W99" s="44"/>
      <c r="X99" s="50"/>
      <c r="Y99" s="50"/>
      <c r="Z99" s="38"/>
    </row>
    <row r="100" spans="1:26" x14ac:dyDescent="0.3">
      <c r="A100" s="22"/>
      <c r="B100" s="44"/>
      <c r="C100" s="44"/>
      <c r="D100" s="44"/>
      <c r="E100" s="44"/>
      <c r="F100" s="44"/>
      <c r="G100" s="44"/>
      <c r="H100" s="44"/>
      <c r="I100" s="44"/>
      <c r="J100" s="44"/>
      <c r="K100" s="50"/>
      <c r="L100" s="50"/>
      <c r="M100" s="38"/>
      <c r="N100" s="51" t="s">
        <v>691</v>
      </c>
      <c r="O100" s="52"/>
      <c r="P100" s="52"/>
      <c r="Q100" s="55">
        <f>MEDIAN(sala!C2:C768)</f>
        <v>4</v>
      </c>
      <c r="R100" s="55"/>
      <c r="S100" s="55"/>
      <c r="T100" s="56"/>
      <c r="U100" s="44"/>
      <c r="V100" s="44"/>
      <c r="W100" s="44"/>
      <c r="X100" s="50"/>
      <c r="Y100" s="50"/>
      <c r="Z100" s="38"/>
    </row>
    <row r="101" spans="1:26" ht="15" thickBot="1" x14ac:dyDescent="0.35">
      <c r="A101" s="22"/>
      <c r="B101" s="44"/>
      <c r="C101" s="44"/>
      <c r="D101" s="44"/>
      <c r="E101" s="44"/>
      <c r="F101" s="44"/>
      <c r="G101" s="44"/>
      <c r="H101" s="44"/>
      <c r="I101" s="44"/>
      <c r="J101" s="44"/>
      <c r="K101" s="50"/>
      <c r="L101" s="50"/>
      <c r="M101" s="38"/>
      <c r="N101" s="53"/>
      <c r="O101" s="54"/>
      <c r="P101" s="54"/>
      <c r="Q101" s="57"/>
      <c r="R101" s="57"/>
      <c r="S101" s="57"/>
      <c r="T101" s="58"/>
      <c r="U101" s="44"/>
      <c r="V101" s="44"/>
      <c r="W101" s="44"/>
      <c r="X101" s="50"/>
      <c r="Y101" s="50"/>
      <c r="Z101" s="38"/>
    </row>
    <row r="102" spans="1:26" x14ac:dyDescent="0.3">
      <c r="A102" s="22"/>
      <c r="B102" s="44"/>
      <c r="C102" s="44"/>
      <c r="D102" s="44"/>
      <c r="E102" s="44"/>
      <c r="F102" s="44"/>
      <c r="G102" s="44"/>
      <c r="H102" s="44"/>
      <c r="I102" s="44"/>
      <c r="J102" s="44"/>
      <c r="K102" s="50"/>
      <c r="L102" s="50"/>
      <c r="M102" s="38"/>
      <c r="N102" s="51" t="s">
        <v>692</v>
      </c>
      <c r="O102" s="52"/>
      <c r="P102" s="52"/>
      <c r="Q102" s="55">
        <f>MEDIAN('Conjunto de Datos'!C3:C769)</f>
        <v>2799</v>
      </c>
      <c r="R102" s="55"/>
      <c r="S102" s="55"/>
      <c r="T102" s="56"/>
      <c r="U102" s="44"/>
      <c r="V102" s="44"/>
      <c r="W102" s="44"/>
      <c r="X102" s="50"/>
      <c r="Y102" s="50"/>
      <c r="Z102" s="38"/>
    </row>
    <row r="103" spans="1:26" ht="15" thickBot="1" x14ac:dyDescent="0.35">
      <c r="A103" s="22"/>
      <c r="B103" s="44"/>
      <c r="C103" s="44"/>
      <c r="D103" s="44"/>
      <c r="E103" s="44"/>
      <c r="F103" s="44"/>
      <c r="G103" s="44"/>
      <c r="H103" s="44"/>
      <c r="I103" s="44"/>
      <c r="J103" s="44"/>
      <c r="K103" s="50"/>
      <c r="L103" s="50"/>
      <c r="M103" s="38"/>
      <c r="N103" s="53"/>
      <c r="O103" s="54"/>
      <c r="P103" s="54"/>
      <c r="Q103" s="57"/>
      <c r="R103" s="57"/>
      <c r="S103" s="57"/>
      <c r="T103" s="58"/>
      <c r="U103" s="44"/>
      <c r="V103" s="44"/>
      <c r="W103" s="44"/>
      <c r="X103" s="50"/>
      <c r="Y103" s="50"/>
      <c r="Z103" s="38"/>
    </row>
    <row r="104" spans="1:26" x14ac:dyDescent="0.3">
      <c r="A104" s="22"/>
      <c r="B104" s="44"/>
      <c r="C104" s="44"/>
      <c r="D104" s="44"/>
      <c r="E104" s="44"/>
      <c r="F104" s="44"/>
      <c r="G104" s="44"/>
      <c r="H104" s="44"/>
      <c r="I104" s="44"/>
      <c r="J104" s="44"/>
      <c r="K104" s="50"/>
      <c r="L104" s="50"/>
      <c r="M104" s="38"/>
      <c r="N104" s="51" t="s">
        <v>698</v>
      </c>
      <c r="O104" s="52"/>
      <c r="P104" s="52"/>
      <c r="Q104" s="55">
        <f>SUM(Tablas!W2:W768)</f>
        <v>1859443</v>
      </c>
      <c r="R104" s="55"/>
      <c r="S104" s="55"/>
      <c r="T104" s="56"/>
      <c r="U104" s="44"/>
      <c r="V104" s="44"/>
      <c r="W104" s="44"/>
      <c r="X104" s="50"/>
      <c r="Y104" s="50"/>
      <c r="Z104" s="38"/>
    </row>
    <row r="105" spans="1:26" ht="15" thickBot="1" x14ac:dyDescent="0.35">
      <c r="A105" s="22"/>
      <c r="B105" s="44"/>
      <c r="C105" s="44"/>
      <c r="D105" s="44"/>
      <c r="E105" s="44"/>
      <c r="F105" s="44"/>
      <c r="G105" s="44"/>
      <c r="H105" s="44"/>
      <c r="I105" s="44"/>
      <c r="J105" s="44"/>
      <c r="K105" s="50"/>
      <c r="L105" s="50"/>
      <c r="M105" s="38"/>
      <c r="N105" s="53"/>
      <c r="O105" s="54"/>
      <c r="P105" s="54"/>
      <c r="Q105" s="57"/>
      <c r="R105" s="57"/>
      <c r="S105" s="57"/>
      <c r="T105" s="58"/>
      <c r="U105" s="44"/>
      <c r="V105" s="44"/>
      <c r="W105" s="44"/>
      <c r="X105" s="50"/>
      <c r="Y105" s="50"/>
      <c r="Z105" s="38"/>
    </row>
    <row r="106" spans="1:26" x14ac:dyDescent="0.3">
      <c r="A106" s="22"/>
      <c r="B106" s="44"/>
      <c r="C106" s="44"/>
      <c r="D106" s="44"/>
      <c r="E106" s="44"/>
      <c r="F106" s="44"/>
      <c r="G106" s="44"/>
      <c r="H106" s="44"/>
      <c r="I106" s="44"/>
      <c r="J106" s="44"/>
      <c r="K106" s="50"/>
      <c r="L106" s="50"/>
      <c r="M106" s="38"/>
      <c r="N106" s="51" t="s">
        <v>696</v>
      </c>
      <c r="O106" s="52"/>
      <c r="P106" s="52"/>
      <c r="Q106" s="55">
        <f>SUM(Tablas!AE2:AE768)</f>
        <v>86724</v>
      </c>
      <c r="R106" s="55"/>
      <c r="S106" s="55"/>
      <c r="T106" s="56"/>
      <c r="U106" s="44"/>
      <c r="V106" s="44"/>
      <c r="W106" s="44"/>
      <c r="X106" s="50"/>
      <c r="Y106" s="50"/>
      <c r="Z106" s="38"/>
    </row>
    <row r="107" spans="1:26" ht="15" thickBot="1" x14ac:dyDescent="0.35">
      <c r="A107" s="22"/>
      <c r="B107" s="44"/>
      <c r="C107" s="44"/>
      <c r="D107" s="44"/>
      <c r="E107" s="44"/>
      <c r="F107" s="44"/>
      <c r="G107" s="44"/>
      <c r="H107" s="44"/>
      <c r="I107" s="44"/>
      <c r="J107" s="44"/>
      <c r="K107" s="50"/>
      <c r="L107" s="50"/>
      <c r="M107" s="38"/>
      <c r="N107" s="53"/>
      <c r="O107" s="54"/>
      <c r="P107" s="54"/>
      <c r="Q107" s="57"/>
      <c r="R107" s="57"/>
      <c r="S107" s="57"/>
      <c r="T107" s="58"/>
      <c r="U107" s="44"/>
      <c r="V107" s="44"/>
      <c r="W107" s="44"/>
      <c r="X107" s="50"/>
      <c r="Y107" s="50"/>
      <c r="Z107" s="38"/>
    </row>
    <row r="108" spans="1:26" x14ac:dyDescent="0.3">
      <c r="A108" s="22"/>
      <c r="B108" s="44"/>
      <c r="C108" s="44"/>
      <c r="D108" s="44"/>
      <c r="E108" s="44"/>
      <c r="F108" s="44"/>
      <c r="G108" s="44"/>
      <c r="H108" s="44"/>
      <c r="I108" s="44"/>
      <c r="J108" s="44"/>
      <c r="K108" s="50"/>
      <c r="L108" s="50"/>
      <c r="M108" s="38"/>
      <c r="N108" s="51" t="s">
        <v>693</v>
      </c>
      <c r="O108" s="52"/>
      <c r="P108" s="52"/>
      <c r="Q108" s="55">
        <f>SUM('Conjunto de Datos'!AZ3:AZ769)</f>
        <v>63446</v>
      </c>
      <c r="R108" s="55"/>
      <c r="S108" s="55"/>
      <c r="T108" s="56"/>
      <c r="U108" s="44"/>
      <c r="V108" s="44"/>
      <c r="W108" s="44"/>
      <c r="X108" s="50"/>
      <c r="Y108" s="50"/>
      <c r="Z108" s="38"/>
    </row>
    <row r="109" spans="1:26" ht="15" thickBot="1" x14ac:dyDescent="0.35">
      <c r="A109" s="22"/>
      <c r="B109" s="44"/>
      <c r="C109" s="44"/>
      <c r="D109" s="44"/>
      <c r="E109" s="44"/>
      <c r="F109" s="44"/>
      <c r="G109" s="44"/>
      <c r="H109" s="44"/>
      <c r="I109" s="44"/>
      <c r="J109" s="44"/>
      <c r="K109" s="50"/>
      <c r="L109" s="50"/>
      <c r="M109" s="38"/>
      <c r="N109" s="53"/>
      <c r="O109" s="54"/>
      <c r="P109" s="54"/>
      <c r="Q109" s="57"/>
      <c r="R109" s="57"/>
      <c r="S109" s="57"/>
      <c r="T109" s="58"/>
      <c r="U109" s="44"/>
      <c r="V109" s="44"/>
      <c r="W109" s="44"/>
      <c r="X109" s="50"/>
      <c r="Y109" s="50"/>
      <c r="Z109" s="38"/>
    </row>
    <row r="110" spans="1:26" x14ac:dyDescent="0.3">
      <c r="A110" s="22"/>
      <c r="B110" s="44"/>
      <c r="C110" s="44"/>
      <c r="D110" s="44"/>
      <c r="E110" s="44"/>
      <c r="F110" s="44"/>
      <c r="G110" s="44"/>
      <c r="H110" s="44"/>
      <c r="I110" s="44"/>
      <c r="J110" s="44"/>
      <c r="K110" s="50"/>
      <c r="L110" s="50"/>
      <c r="M110" s="38"/>
      <c r="N110" s="51" t="s">
        <v>699</v>
      </c>
      <c r="O110" s="52"/>
      <c r="P110" s="52"/>
      <c r="Q110" s="55">
        <f>((Q106-Q108)/Q106)*100</f>
        <v>26.841474101748076</v>
      </c>
      <c r="R110" s="55"/>
      <c r="S110" s="55"/>
      <c r="T110" s="56"/>
      <c r="U110" s="44"/>
      <c r="V110" s="44"/>
      <c r="W110" s="44"/>
      <c r="X110" s="50"/>
      <c r="Y110" s="50"/>
      <c r="Z110" s="38"/>
    </row>
    <row r="111" spans="1:26" ht="15" thickBot="1" x14ac:dyDescent="0.35">
      <c r="A111" s="22"/>
      <c r="B111" s="44"/>
      <c r="C111" s="44"/>
      <c r="D111" s="44"/>
      <c r="E111" s="44"/>
      <c r="F111" s="44"/>
      <c r="G111" s="44"/>
      <c r="H111" s="44"/>
      <c r="I111" s="44"/>
      <c r="J111" s="44"/>
      <c r="K111" s="50"/>
      <c r="L111" s="50"/>
      <c r="M111" s="38"/>
      <c r="N111" s="53"/>
      <c r="O111" s="54"/>
      <c r="P111" s="54"/>
      <c r="Q111" s="57"/>
      <c r="R111" s="57"/>
      <c r="S111" s="57"/>
      <c r="T111" s="58"/>
      <c r="U111" s="44"/>
      <c r="V111" s="44"/>
      <c r="W111" s="44"/>
      <c r="X111" s="50"/>
      <c r="Y111" s="50"/>
      <c r="Z111" s="38"/>
    </row>
    <row r="112" spans="1:26" x14ac:dyDescent="0.3">
      <c r="A112" s="22"/>
      <c r="B112" s="44"/>
      <c r="C112" s="44"/>
      <c r="D112" s="44"/>
      <c r="E112" s="44"/>
      <c r="F112" s="44"/>
      <c r="G112" s="44"/>
      <c r="H112" s="44"/>
      <c r="I112" s="44"/>
      <c r="J112" s="44"/>
      <c r="K112" s="50"/>
      <c r="L112" s="50"/>
      <c r="M112" s="38"/>
      <c r="N112" s="51" t="s">
        <v>697</v>
      </c>
      <c r="O112" s="52"/>
      <c r="P112" s="52"/>
      <c r="Q112" s="55">
        <f>((Q104-Q108)/Q104)*100</f>
        <v>96.587902936524543</v>
      </c>
      <c r="R112" s="55"/>
      <c r="S112" s="55"/>
      <c r="T112" s="56"/>
      <c r="U112" s="44"/>
      <c r="V112" s="44"/>
      <c r="W112" s="44"/>
      <c r="X112" s="50"/>
      <c r="Y112" s="50"/>
      <c r="Z112" s="38"/>
    </row>
    <row r="113" spans="1:26" ht="15" thickBot="1" x14ac:dyDescent="0.35">
      <c r="A113" s="22"/>
      <c r="B113" s="44"/>
      <c r="C113" s="44"/>
      <c r="D113" s="44"/>
      <c r="E113" s="44"/>
      <c r="F113" s="44"/>
      <c r="G113" s="44"/>
      <c r="H113" s="44"/>
      <c r="I113" s="44"/>
      <c r="J113" s="44"/>
      <c r="K113" s="50"/>
      <c r="L113" s="50"/>
      <c r="M113" s="38"/>
      <c r="N113" s="53"/>
      <c r="O113" s="54"/>
      <c r="P113" s="54"/>
      <c r="Q113" s="57"/>
      <c r="R113" s="57"/>
      <c r="S113" s="57"/>
      <c r="T113" s="58"/>
      <c r="U113" s="44"/>
      <c r="V113" s="44"/>
      <c r="W113" s="44"/>
      <c r="X113" s="50"/>
      <c r="Y113" s="50"/>
      <c r="Z113" s="38"/>
    </row>
    <row r="114" spans="1:26" x14ac:dyDescent="0.3">
      <c r="A114" s="22"/>
      <c r="B114" s="44"/>
      <c r="C114" s="44"/>
      <c r="D114" s="44"/>
      <c r="E114" s="44"/>
      <c r="F114" s="44"/>
      <c r="G114" s="44"/>
      <c r="H114" s="44"/>
      <c r="I114" s="44"/>
      <c r="J114" s="44"/>
      <c r="K114" s="50"/>
      <c r="L114" s="50"/>
      <c r="M114" s="38"/>
      <c r="N114" s="22"/>
      <c r="O114" s="44"/>
      <c r="P114" s="44"/>
      <c r="Q114" s="44"/>
      <c r="R114" s="44"/>
      <c r="S114" s="44"/>
      <c r="T114" s="44"/>
      <c r="U114" s="44"/>
      <c r="V114" s="44"/>
      <c r="W114" s="44"/>
      <c r="X114" s="50"/>
      <c r="Y114" s="50"/>
      <c r="Z114" s="38"/>
    </row>
    <row r="115" spans="1:26" x14ac:dyDescent="0.3">
      <c r="A115" s="22"/>
      <c r="B115" s="44"/>
      <c r="C115" s="44"/>
      <c r="D115" s="44"/>
      <c r="E115" s="44"/>
      <c r="F115" s="44"/>
      <c r="G115" s="44"/>
      <c r="H115" s="44"/>
      <c r="I115" s="44"/>
      <c r="J115" s="44"/>
      <c r="K115" s="50"/>
      <c r="L115" s="50"/>
      <c r="M115" s="38"/>
      <c r="N115" s="22"/>
      <c r="O115" s="44"/>
      <c r="P115" s="44"/>
      <c r="Q115" s="44"/>
      <c r="R115" s="44"/>
      <c r="S115" s="44"/>
      <c r="T115" s="44"/>
      <c r="U115" s="44"/>
      <c r="V115" s="44"/>
      <c r="W115" s="44"/>
      <c r="X115" s="50"/>
      <c r="Y115" s="50"/>
      <c r="Z115" s="38"/>
    </row>
    <row r="116" spans="1:26" x14ac:dyDescent="0.3">
      <c r="A116" s="22"/>
      <c r="B116" s="44"/>
      <c r="C116" s="44"/>
      <c r="D116" s="44"/>
      <c r="E116" s="44"/>
      <c r="F116" s="44"/>
      <c r="G116" s="44"/>
      <c r="H116" s="44"/>
      <c r="I116" s="44"/>
      <c r="J116" s="44"/>
      <c r="K116" s="50"/>
      <c r="L116" s="50"/>
      <c r="M116" s="38"/>
      <c r="N116" s="22"/>
      <c r="O116" s="44"/>
      <c r="P116" s="44"/>
      <c r="Q116" s="44"/>
      <c r="R116" s="44"/>
      <c r="S116" s="44"/>
      <c r="T116" s="44"/>
      <c r="U116" s="44"/>
      <c r="V116" s="44"/>
      <c r="W116" s="44"/>
      <c r="X116" s="50"/>
      <c r="Y116" s="50"/>
      <c r="Z116" s="38"/>
    </row>
    <row r="117" spans="1:26" x14ac:dyDescent="0.3">
      <c r="A117" s="22"/>
      <c r="B117" s="44"/>
      <c r="C117" s="44"/>
      <c r="D117" s="44"/>
      <c r="E117" s="44"/>
      <c r="F117" s="44"/>
      <c r="G117" s="44"/>
      <c r="H117" s="44"/>
      <c r="I117" s="44"/>
      <c r="J117" s="44"/>
      <c r="K117" s="50"/>
      <c r="L117" s="50"/>
      <c r="M117" s="38"/>
      <c r="N117" s="22"/>
      <c r="O117" s="44"/>
      <c r="P117" s="44"/>
      <c r="Q117" s="44"/>
      <c r="R117" s="44"/>
      <c r="S117" s="44"/>
      <c r="T117" s="44"/>
      <c r="U117" s="44"/>
      <c r="V117" s="44"/>
      <c r="W117" s="44"/>
      <c r="X117" s="50"/>
      <c r="Y117" s="50"/>
      <c r="Z117" s="38"/>
    </row>
    <row r="118" spans="1:26" x14ac:dyDescent="0.3">
      <c r="A118" s="22"/>
      <c r="B118" s="44"/>
      <c r="C118" s="44"/>
      <c r="D118" s="44"/>
      <c r="E118" s="44"/>
      <c r="F118" s="44"/>
      <c r="G118" s="44"/>
      <c r="H118" s="44"/>
      <c r="I118" s="44"/>
      <c r="J118" s="44"/>
      <c r="K118" s="50"/>
      <c r="L118" s="50"/>
      <c r="M118" s="38"/>
      <c r="N118" s="22"/>
      <c r="O118" s="44"/>
      <c r="P118" s="44"/>
      <c r="Q118" s="44"/>
      <c r="R118" s="44"/>
      <c r="S118" s="44"/>
      <c r="T118" s="44"/>
      <c r="U118" s="44"/>
      <c r="V118" s="44"/>
      <c r="W118" s="44"/>
      <c r="X118" s="50"/>
      <c r="Y118" s="50"/>
      <c r="Z118" s="38"/>
    </row>
    <row r="119" spans="1:26" x14ac:dyDescent="0.3">
      <c r="A119" s="22"/>
      <c r="B119" s="44"/>
      <c r="C119" s="44"/>
      <c r="D119" s="44"/>
      <c r="E119" s="44"/>
      <c r="F119" s="44"/>
      <c r="G119" s="44"/>
      <c r="H119" s="44"/>
      <c r="I119" s="44"/>
      <c r="J119" s="44"/>
      <c r="K119" s="50"/>
      <c r="L119" s="50"/>
      <c r="M119" s="38"/>
      <c r="N119" s="22"/>
      <c r="O119" s="44"/>
      <c r="P119" s="44"/>
      <c r="Q119" s="44"/>
      <c r="R119" s="44"/>
      <c r="S119" s="44"/>
      <c r="T119" s="44"/>
      <c r="U119" s="44"/>
      <c r="V119" s="44"/>
      <c r="W119" s="44"/>
      <c r="X119" s="50"/>
      <c r="Y119" s="50"/>
      <c r="Z119" s="38"/>
    </row>
    <row r="120" spans="1:26" x14ac:dyDescent="0.3">
      <c r="A120" s="22"/>
      <c r="B120" s="44"/>
      <c r="C120" s="44"/>
      <c r="D120" s="44"/>
      <c r="E120" s="44"/>
      <c r="F120" s="44"/>
      <c r="G120" s="44"/>
      <c r="H120" s="44"/>
      <c r="I120" s="44"/>
      <c r="J120" s="44"/>
      <c r="K120" s="50"/>
      <c r="L120" s="50"/>
      <c r="M120" s="38"/>
      <c r="N120" s="22"/>
      <c r="O120" s="44"/>
      <c r="P120" s="44"/>
      <c r="Q120" s="44"/>
      <c r="R120" s="44"/>
      <c r="S120" s="44"/>
      <c r="T120" s="44"/>
      <c r="U120" s="44"/>
      <c r="V120" s="44"/>
      <c r="W120" s="44"/>
      <c r="X120" s="50"/>
      <c r="Y120" s="50"/>
      <c r="Z120" s="38"/>
    </row>
    <row r="121" spans="1:26" x14ac:dyDescent="0.3">
      <c r="A121" s="22"/>
      <c r="B121" s="44"/>
      <c r="C121" s="44"/>
      <c r="D121" s="44"/>
      <c r="E121" s="44"/>
      <c r="F121" s="44"/>
      <c r="G121" s="44"/>
      <c r="H121" s="44"/>
      <c r="I121" s="44"/>
      <c r="J121" s="44"/>
      <c r="K121" s="50"/>
      <c r="L121" s="50"/>
      <c r="M121" s="38"/>
      <c r="N121" s="22"/>
      <c r="O121" s="44"/>
      <c r="P121" s="44"/>
      <c r="Q121" s="44"/>
      <c r="R121" s="44"/>
      <c r="S121" s="44"/>
      <c r="T121" s="44"/>
      <c r="U121" s="44"/>
      <c r="V121" s="44"/>
      <c r="W121" s="44"/>
      <c r="X121" s="50"/>
      <c r="Y121" s="50"/>
      <c r="Z121" s="38"/>
    </row>
    <row r="122" spans="1:26" x14ac:dyDescent="0.3">
      <c r="A122" s="22"/>
      <c r="B122" s="44"/>
      <c r="C122" s="44"/>
      <c r="D122" s="44"/>
      <c r="E122" s="44"/>
      <c r="F122" s="44"/>
      <c r="G122" s="44"/>
      <c r="H122" s="44"/>
      <c r="I122" s="44"/>
      <c r="J122" s="44"/>
      <c r="K122" s="50"/>
      <c r="L122" s="50"/>
      <c r="M122" s="38"/>
      <c r="N122" s="22"/>
      <c r="O122" s="44"/>
      <c r="P122" s="44"/>
      <c r="Q122" s="44"/>
      <c r="R122" s="44"/>
      <c r="S122" s="44"/>
      <c r="T122" s="44"/>
      <c r="U122" s="44"/>
      <c r="V122" s="44"/>
      <c r="W122" s="44"/>
      <c r="X122" s="50"/>
      <c r="Y122" s="50"/>
      <c r="Z122" s="38"/>
    </row>
    <row r="123" spans="1:26" x14ac:dyDescent="0.3">
      <c r="A123" s="22"/>
      <c r="B123" s="44"/>
      <c r="C123" s="44"/>
      <c r="D123" s="44"/>
      <c r="E123" s="44"/>
      <c r="F123" s="44"/>
      <c r="G123" s="44"/>
      <c r="H123" s="44"/>
      <c r="I123" s="44"/>
      <c r="J123" s="44"/>
      <c r="K123" s="50"/>
      <c r="L123" s="50"/>
      <c r="M123" s="38"/>
      <c r="N123" s="22"/>
      <c r="O123" s="44"/>
      <c r="P123" s="44"/>
      <c r="Q123" s="44"/>
      <c r="R123" s="44"/>
      <c r="S123" s="44"/>
      <c r="T123" s="44"/>
      <c r="U123" s="44"/>
      <c r="V123" s="44"/>
      <c r="W123" s="44"/>
      <c r="X123" s="50"/>
      <c r="Y123" s="50"/>
      <c r="Z123" s="38"/>
    </row>
    <row r="124" spans="1:26" x14ac:dyDescent="0.3">
      <c r="A124" s="22"/>
      <c r="B124" s="44"/>
      <c r="C124" s="44"/>
      <c r="D124" s="44"/>
      <c r="E124" s="44"/>
      <c r="F124" s="44"/>
      <c r="G124" s="44"/>
      <c r="H124" s="44"/>
      <c r="I124" s="44"/>
      <c r="J124" s="44"/>
      <c r="K124" s="50"/>
      <c r="L124" s="50"/>
      <c r="M124" s="38"/>
      <c r="N124" s="22"/>
      <c r="O124" s="44"/>
      <c r="P124" s="44"/>
      <c r="Q124" s="44"/>
      <c r="R124" s="44"/>
      <c r="S124" s="44"/>
      <c r="T124" s="44"/>
      <c r="U124" s="44"/>
      <c r="V124" s="44"/>
      <c r="W124" s="44"/>
      <c r="X124" s="50"/>
      <c r="Y124" s="50"/>
      <c r="Z124" s="38"/>
    </row>
    <row r="125" spans="1:26" x14ac:dyDescent="0.3">
      <c r="A125" s="22"/>
      <c r="B125" s="44"/>
      <c r="C125" s="44"/>
      <c r="D125" s="44"/>
      <c r="E125" s="44"/>
      <c r="F125" s="44"/>
      <c r="G125" s="44"/>
      <c r="H125" s="44"/>
      <c r="I125" s="44"/>
      <c r="J125" s="44"/>
      <c r="K125" s="50"/>
      <c r="L125" s="50"/>
      <c r="M125" s="38"/>
      <c r="N125" s="22"/>
      <c r="O125" s="44"/>
      <c r="P125" s="44"/>
      <c r="Q125" s="44"/>
      <c r="R125" s="44"/>
      <c r="S125" s="44"/>
      <c r="T125" s="44"/>
      <c r="U125" s="44"/>
      <c r="V125" s="44"/>
      <c r="W125" s="44"/>
      <c r="X125" s="50"/>
      <c r="Y125" s="50"/>
      <c r="Z125" s="38"/>
    </row>
    <row r="126" spans="1:26" x14ac:dyDescent="0.3">
      <c r="A126" s="22"/>
      <c r="B126" s="44"/>
      <c r="C126" s="44"/>
      <c r="D126" s="44"/>
      <c r="E126" s="44"/>
      <c r="F126" s="44"/>
      <c r="G126" s="44"/>
      <c r="H126" s="44"/>
      <c r="I126" s="44"/>
      <c r="J126" s="44"/>
      <c r="K126" s="50"/>
      <c r="L126" s="50"/>
      <c r="M126" s="38"/>
      <c r="N126" s="22"/>
      <c r="O126" s="44"/>
      <c r="P126" s="44"/>
      <c r="Q126" s="44"/>
      <c r="R126" s="44"/>
      <c r="S126" s="44"/>
      <c r="T126" s="44"/>
      <c r="U126" s="44"/>
      <c r="V126" s="44"/>
      <c r="W126" s="44"/>
      <c r="X126" s="50"/>
      <c r="Y126" s="50"/>
      <c r="Z126" s="38"/>
    </row>
    <row r="127" spans="1:26" x14ac:dyDescent="0.3">
      <c r="A127" s="22"/>
      <c r="B127" s="44"/>
      <c r="C127" s="44"/>
      <c r="D127" s="44"/>
      <c r="E127" s="44"/>
      <c r="F127" s="44"/>
      <c r="G127" s="44"/>
      <c r="H127" s="44"/>
      <c r="I127" s="44"/>
      <c r="J127" s="44"/>
      <c r="K127" s="50"/>
      <c r="L127" s="50"/>
      <c r="M127" s="38"/>
      <c r="N127" s="22"/>
      <c r="O127" s="44"/>
      <c r="P127" s="44"/>
      <c r="Q127" s="44"/>
      <c r="R127" s="44"/>
      <c r="S127" s="44"/>
      <c r="T127" s="44"/>
      <c r="U127" s="44"/>
      <c r="V127" s="44"/>
      <c r="W127" s="44"/>
      <c r="X127" s="50"/>
      <c r="Y127" s="50"/>
      <c r="Z127" s="38"/>
    </row>
    <row r="128" spans="1:26" ht="15" thickBot="1" x14ac:dyDescent="0.35">
      <c r="A128" s="23"/>
      <c r="B128" s="24"/>
      <c r="C128" s="24"/>
      <c r="D128" s="24"/>
      <c r="E128" s="24"/>
      <c r="F128" s="24"/>
      <c r="G128" s="24"/>
      <c r="H128" s="24"/>
      <c r="I128" s="24"/>
      <c r="J128" s="24"/>
      <c r="K128" s="39"/>
      <c r="L128" s="39"/>
      <c r="M128" s="40"/>
      <c r="N128" s="23"/>
      <c r="O128" s="24"/>
      <c r="P128" s="24"/>
      <c r="Q128" s="24"/>
      <c r="R128" s="24"/>
      <c r="S128" s="24"/>
      <c r="T128" s="24"/>
      <c r="U128" s="24"/>
      <c r="V128" s="24"/>
      <c r="W128" s="24"/>
      <c r="X128" s="39"/>
      <c r="Y128" s="39"/>
      <c r="Z128" s="40"/>
    </row>
  </sheetData>
  <mergeCells count="32">
    <mergeCell ref="N110:P111"/>
    <mergeCell ref="Q110:T111"/>
    <mergeCell ref="N106:P107"/>
    <mergeCell ref="Q106:T107"/>
    <mergeCell ref="N112:P113"/>
    <mergeCell ref="Q112:T113"/>
    <mergeCell ref="N108:P109"/>
    <mergeCell ref="Q98:T99"/>
    <mergeCell ref="Q100:T101"/>
    <mergeCell ref="Q102:T103"/>
    <mergeCell ref="Q104:T105"/>
    <mergeCell ref="Q108:T109"/>
    <mergeCell ref="N98:P99"/>
    <mergeCell ref="N100:P101"/>
    <mergeCell ref="N102:P103"/>
    <mergeCell ref="N104:P105"/>
    <mergeCell ref="K66:M96"/>
    <mergeCell ref="A97:M97"/>
    <mergeCell ref="K98:M128"/>
    <mergeCell ref="N1:Z1"/>
    <mergeCell ref="N33:Z33"/>
    <mergeCell ref="N65:Z65"/>
    <mergeCell ref="X2:Z32"/>
    <mergeCell ref="X34:Z64"/>
    <mergeCell ref="X66:Z96"/>
    <mergeCell ref="N97:Z97"/>
    <mergeCell ref="X98:Z128"/>
    <mergeCell ref="A1:M1"/>
    <mergeCell ref="A33:M33"/>
    <mergeCell ref="K2:M32"/>
    <mergeCell ref="K34:M64"/>
    <mergeCell ref="A65:M65"/>
  </mergeCells>
  <pageMargins left="0.7" right="0.7" top="0.75" bottom="0.75" header="0.3" footer="0.3"/>
  <pageSetup paperSize="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854E1-762A-4433-847E-3F0410BFC50D}">
  <dimension ref="A1:BK769"/>
  <sheetViews>
    <sheetView zoomScale="115" zoomScaleNormal="115" workbookViewId="0">
      <selection activeCell="AZ3" sqref="AZ3"/>
    </sheetView>
  </sheetViews>
  <sheetFormatPr baseColWidth="10" defaultRowHeight="14.4" x14ac:dyDescent="0.3"/>
  <cols>
    <col min="1" max="1" width="15.33203125" style="9" customWidth="1"/>
    <col min="2" max="2" width="12.33203125" customWidth="1"/>
    <col min="4" max="4" width="15" customWidth="1"/>
    <col min="5" max="5" width="14.44140625" customWidth="1"/>
    <col min="6" max="6" width="13.88671875" customWidth="1"/>
    <col min="7" max="7" width="13.109375" customWidth="1"/>
    <col min="8" max="8" width="17.6640625" customWidth="1"/>
    <col min="16" max="16" width="19.5546875" customWidth="1"/>
    <col min="50" max="50" width="15.88671875" customWidth="1"/>
    <col min="51" max="51" width="14.21875" customWidth="1"/>
    <col min="52" max="52" width="13.77734375" customWidth="1"/>
    <col min="53" max="53" width="14.21875" bestFit="1" customWidth="1"/>
    <col min="54" max="54" width="11.77734375" customWidth="1"/>
    <col min="55" max="55" width="19.6640625" bestFit="1" customWidth="1"/>
    <col min="56" max="57" width="16.33203125" customWidth="1"/>
    <col min="58" max="58" width="15" customWidth="1"/>
  </cols>
  <sheetData>
    <row r="1" spans="1:63" ht="21.6" customHeight="1" thickBot="1" x14ac:dyDescent="0.35">
      <c r="A1" s="41" t="s">
        <v>653</v>
      </c>
      <c r="B1" s="42"/>
      <c r="C1" s="42"/>
      <c r="D1" s="42"/>
      <c r="E1" s="42"/>
      <c r="F1" s="42"/>
      <c r="G1" s="42"/>
      <c r="H1" s="42"/>
      <c r="I1" s="42"/>
      <c r="J1" s="43"/>
      <c r="K1" s="41" t="s">
        <v>655</v>
      </c>
      <c r="L1" s="42"/>
      <c r="M1" s="42"/>
      <c r="N1" s="43"/>
    </row>
    <row r="2" spans="1:63" ht="29.4" thickBot="1" x14ac:dyDescent="0.35">
      <c r="A2" s="11" t="s">
        <v>641</v>
      </c>
      <c r="B2" s="12" t="s">
        <v>645</v>
      </c>
      <c r="C2" s="12" t="s">
        <v>632</v>
      </c>
      <c r="D2" s="12" t="s">
        <v>633</v>
      </c>
      <c r="E2" s="12" t="s">
        <v>3</v>
      </c>
      <c r="F2" s="12" t="s">
        <v>4</v>
      </c>
      <c r="G2" s="12" t="s">
        <v>634</v>
      </c>
      <c r="H2" s="12" t="s">
        <v>635</v>
      </c>
      <c r="I2" s="12" t="s">
        <v>637</v>
      </c>
      <c r="J2" s="13" t="s">
        <v>638</v>
      </c>
      <c r="K2" s="11" t="s">
        <v>649</v>
      </c>
      <c r="L2" s="12" t="s">
        <v>648</v>
      </c>
      <c r="M2" s="13" t="s">
        <v>650</v>
      </c>
      <c r="N2" s="12" t="s">
        <v>669</v>
      </c>
      <c r="AY2" t="s">
        <v>640</v>
      </c>
      <c r="AZ2" t="s">
        <v>654</v>
      </c>
      <c r="BB2" s="2" t="s">
        <v>641</v>
      </c>
      <c r="BC2" s="2" t="s">
        <v>639</v>
      </c>
      <c r="BD2" s="2" t="s">
        <v>3</v>
      </c>
      <c r="BE2" s="2" t="s">
        <v>4</v>
      </c>
      <c r="BF2" s="2" t="s">
        <v>10</v>
      </c>
      <c r="BG2" s="2" t="s">
        <v>8</v>
      </c>
      <c r="BH2" s="2" t="s">
        <v>640</v>
      </c>
      <c r="BI2" s="2" t="s">
        <v>642</v>
      </c>
      <c r="BJ2" s="2" t="s">
        <v>643</v>
      </c>
      <c r="BK2" s="2" t="s">
        <v>644</v>
      </c>
    </row>
    <row r="3" spans="1:63" x14ac:dyDescent="0.3">
      <c r="A3" s="8" t="str">
        <f>MID(Tabla4[[#This Row],[Cliente]], SEARCH("_", Tabla4[[#This Row],[Cliente]]) + 1, LEN(Tabla4[[#This Row],[Cliente]]) - SEARCH("_",Tabla4[[#This Row],[Cliente]]))</f>
        <v>724</v>
      </c>
      <c r="B3">
        <f>sala!K2</f>
        <v>1</v>
      </c>
      <c r="C3">
        <f>Tabla4[[#This Row],[Propina]]+Tabla4[[#This Row],[Precio Cena]]</f>
        <v>4993</v>
      </c>
      <c r="D3" s="3">
        <f>INT(sala!E2)</f>
        <v>45017</v>
      </c>
      <c r="E3" s="4">
        <f>MOD( sala!D2,1)</f>
        <v>4.6527777776645962E-2</v>
      </c>
      <c r="F3" s="4">
        <f>MOD( sala!E2,1)</f>
        <v>0.15972222221898846</v>
      </c>
      <c r="G3" s="4">
        <f>Tabla5[[#This Row],[Hora de Salida]]-Tabla5[[#This Row],[Hora de Llegada]]+Tabla4[[#This Row],[Tiempo Extra]]</f>
        <v>0.1131944444423425</v>
      </c>
      <c r="H3" s="5" t="str">
        <f>TEXT(Tabla4[[#This Row],[Preparación en horas]]/1440, "h:mm")</f>
        <v>0:57</v>
      </c>
      <c r="I3" s="4">
        <f>IF(Tabla5[[#This Row],[Tiempo Permanencia]]-Tabla5[[#This Row],[Tiempo de Preparación ]]&gt;=0,Tabla5[[#This Row],[Tiempo Permanencia]]-Tabla5[[#This Row],[Tiempo de Preparación ]],0)</f>
        <v>7.361111110900917E-2</v>
      </c>
      <c r="J3" s="5" t="str">
        <f>IF(Tabla5[[#This Row],[Tiempo de Degustación]]=0,"No Cobrada","Cobrada")</f>
        <v>Cobrada</v>
      </c>
      <c r="K3" s="5" cm="1">
        <f t="array" ref="K3">SUM(IF(Tabla5[[#This Row],[Orden Cobrada]]="Cobrada",IF(Cocina!A:A=Tabla5[[#This Row],[Nº Orden]],Cocina!F:F*Cocina!G:G,0),-Tabla6[[#This Row],[Precio Cena]]))</f>
        <v>138</v>
      </c>
      <c r="L3" s="5">
        <f>IF(Tabla5[[#This Row],[Orden Cobrada]]="Cobrada",Tabla5[[#This Row],[Ganancia Bruta]]-Tabla6[[#This Row],[Coste Cena]],-Tabla6[[#This Row],[Precio Cena]]+Tabla6[[#This Row],[Coste Cena]])</f>
        <v>56</v>
      </c>
      <c r="M3" s="10">
        <f>IF(Tabla5[[#This Row],[Orden Cobrada]]="Cobrada",((Tabla5[[#This Row],[Ganancia Neta]]/Tabla5[[#This Row],[Ganancia Bruta]])*100)/100,-((Tabla5[[#This Row],[Ganancia Neta]]/Tabla5[[#This Row],[Ganancia Bruta]]*100)/100))</f>
        <v>0.40579710144927539</v>
      </c>
      <c r="N3" s="5" t="str">
        <f>sala!F2</f>
        <v>Mesero_3</v>
      </c>
      <c r="P3" t="s">
        <v>651</v>
      </c>
      <c r="Q3" t="s">
        <v>652</v>
      </c>
      <c r="AY3" cm="1">
        <f t="array" ref="AY3">SUM(IF(Cocina!A:A=Tabla5[[#This Row],[Nº Orden]],Cocina!F:F*Cocina!G:G,0))</f>
        <v>138</v>
      </c>
      <c r="AZ3" cm="1">
        <f t="array" ref="AZ3">SUM(IF(Cocina!A:A=Tabla5[[#This Row],[Nº Orden]],Cocina!E:E*Cocina!G:G,0))</f>
        <v>82</v>
      </c>
      <c r="BB3" t="str">
        <f>MID(Tabla4[[#This Row],[Cliente]], SEARCH("_", Tabla4[[#This Row],[Cliente]]) + 1, LEN(Tabla4[[#This Row],[Cliente]]) - SEARCH("_",Tabla4[[#This Row],[Cliente]]))</f>
        <v>724</v>
      </c>
      <c r="BC3" t="str">
        <f>sala!B2</f>
        <v>Cliente_724</v>
      </c>
      <c r="BD3" s="1">
        <f>sala!D2</f>
        <v>45017.046527777777</v>
      </c>
      <c r="BE3" s="1">
        <f>sala!E2</f>
        <v>45017.159722222219</v>
      </c>
      <c r="BF3">
        <f>sala!K2</f>
        <v>1</v>
      </c>
      <c r="BG3">
        <f>sala!I2</f>
        <v>4855</v>
      </c>
      <c r="BH3" cm="1">
        <f t="array" ref="BH3">SUM(IF(Cocina!A:A=Tabla4[[#This Row],[Número de Orden]],Cocina!F:F*Cocina!G:G,0))</f>
        <v>138</v>
      </c>
      <c r="BI3" t="str">
        <f>sala!J2</f>
        <v>Reservada</v>
      </c>
      <c r="BJ3" s="4" t="str">
        <f>IF(Tabla4[[#This Row],[Estado mesa]]="Ocupada","00:15","00:00")</f>
        <v>00:00</v>
      </c>
      <c r="BK3" cm="1">
        <f t="array" ref="BK3">SUM(IF(Cocina!A:A=Tabla4[[#This Row],[Número de Orden]],Cocina!H:H,0))</f>
        <v>57</v>
      </c>
    </row>
    <row r="4" spans="1:63" x14ac:dyDescent="0.3">
      <c r="A4" s="8" t="str">
        <f>MID(Tabla4[[#This Row],[Cliente]], SEARCH("_", Tabla4[[#This Row],[Cliente]]) + 1, LEN(Tabla4[[#This Row],[Cliente]]) - SEARCH("_",Tabla4[[#This Row],[Cliente]]))</f>
        <v>538</v>
      </c>
      <c r="B4">
        <f>sala!K3</f>
        <v>2</v>
      </c>
      <c r="C4">
        <f>Tabla4[[#This Row],[Propina]]+Tabla4[[#This Row],[Precio Cena]]</f>
        <v>491</v>
      </c>
      <c r="D4" s="3">
        <f>INT(sala!E3)</f>
        <v>45017</v>
      </c>
      <c r="E4" s="4">
        <f>MOD( sala!D3,1)</f>
        <v>6.1111111113859806E-2</v>
      </c>
      <c r="F4" s="4">
        <f>MOD( sala!E3,1)</f>
        <v>0.15902777777955635</v>
      </c>
      <c r="G4" s="4">
        <f>Tabla5[[#This Row],[Hora de Salida]]-Tabla5[[#This Row],[Hora de Llegada]]+Tabla4[[#This Row],[Tiempo Extra]]</f>
        <v>9.7916666665696539E-2</v>
      </c>
      <c r="H4" s="5" t="str">
        <f>TEXT(Tabla4[[#This Row],[Preparación en horas]]/1440, "h:mm")</f>
        <v>1:25</v>
      </c>
      <c r="I4" s="4">
        <f>IF(Tabla5[[#This Row],[Tiempo Permanencia]]-Tabla5[[#This Row],[Tiempo de Preparación ]]&gt;=0,Tabla5[[#This Row],[Tiempo Permanencia]]-Tabla5[[#This Row],[Tiempo de Preparación ]],0)</f>
        <v>3.8888888887918763E-2</v>
      </c>
      <c r="J4" s="5" t="str">
        <f>IF(Tabla5[[#This Row],[Tiempo de Degustación]]=0,"No Cobrada","Cobrada")</f>
        <v>Cobrada</v>
      </c>
      <c r="K4" s="5" cm="1">
        <f t="array" ref="K4">SUM(IF(Tabla5[[#This Row],[Orden Cobrada]]="Cobrada",IF(Cocina!A:A=Tabla5[[#This Row],[Nº Orden]],Cocina!F:F*Cocina!G:G,0),-Tabla6[[#This Row],[Precio Cena]]))</f>
        <v>58</v>
      </c>
      <c r="L4" s="5">
        <f>IF(Tabla5[[#This Row],[Orden Cobrada]]="Cobrada",Tabla5[[#This Row],[Ganancia Bruta]]-Tabla6[[#This Row],[Coste Cena]],-Tabla6[[#This Row],[Precio Cena]]+Tabla6[[#This Row],[Coste Cena]])</f>
        <v>23</v>
      </c>
      <c r="M4" s="10">
        <f>IF(Tabla5[[#This Row],[Orden Cobrada]]="Cobrada",((Tabla5[[#This Row],[Ganancia Neta]]/Tabla5[[#This Row],[Ganancia Bruta]])*100)/100,-((Tabla5[[#This Row],[Ganancia Neta]]/Tabla5[[#This Row],[Ganancia Bruta]]*100)/100))</f>
        <v>0.39655172413793105</v>
      </c>
      <c r="N4" s="5" t="str">
        <f>sala!F3</f>
        <v>Mesero_1</v>
      </c>
      <c r="P4" t="s">
        <v>646</v>
      </c>
      <c r="Q4">
        <f>COUNTIF(J:J,"Cobrada")</f>
        <v>668</v>
      </c>
      <c r="AY4" cm="1">
        <f t="array" ref="AY4">SUM(IF(Cocina!A:A=Tabla5[[#This Row],[Nº Orden]],Cocina!F:F*Cocina!G:G,0))</f>
        <v>58</v>
      </c>
      <c r="AZ4" cm="1">
        <f t="array" ref="AZ4">SUM(IF(Cocina!A:A=Tabla5[[#This Row],[Nº Orden]],Cocina!E:E*Cocina!G:G,0))</f>
        <v>35</v>
      </c>
      <c r="BB4" t="str">
        <f>MID(Tabla4[[#This Row],[Cliente]], SEARCH("_", Tabla4[[#This Row],[Cliente]]) + 1, LEN(Tabla4[[#This Row],[Cliente]]) - SEARCH("_",Tabla4[[#This Row],[Cliente]]))</f>
        <v>538</v>
      </c>
      <c r="BC4" t="str">
        <f>sala!B3</f>
        <v>Cliente_538</v>
      </c>
      <c r="BD4" s="1">
        <f>sala!D3</f>
        <v>45017.061111111114</v>
      </c>
      <c r="BE4" s="1">
        <f>sala!E3</f>
        <v>45017.15902777778</v>
      </c>
      <c r="BF4">
        <f>sala!K3</f>
        <v>2</v>
      </c>
      <c r="BG4">
        <f>sala!I3</f>
        <v>433</v>
      </c>
      <c r="BH4" cm="1">
        <f t="array" ref="BH4">SUM(IF(Cocina!A:A=Tabla4[[#This Row],[Número de Orden]],Cocina!F:F*Cocina!G:G,0))</f>
        <v>58</v>
      </c>
      <c r="BI4" t="str">
        <f>sala!J3</f>
        <v>Reservada</v>
      </c>
      <c r="BJ4" s="4" t="str">
        <f>IF(Tabla4[[#This Row],[Estado mesa]]="Ocupada","00:15","00:00")</f>
        <v>00:00</v>
      </c>
      <c r="BK4" cm="1">
        <f t="array" ref="BK4">SUM(IF(Cocina!A:A=Tabla4[[#This Row],[Número de Orden]],Cocina!H:H,0))</f>
        <v>85</v>
      </c>
    </row>
    <row r="5" spans="1:63" x14ac:dyDescent="0.3">
      <c r="A5" s="8" t="str">
        <f>MID(Tabla4[[#This Row],[Cliente]], SEARCH("_", Tabla4[[#This Row],[Cliente]]) + 1, LEN(Tabla4[[#This Row],[Cliente]]) - SEARCH("_",Tabla4[[#This Row],[Cliente]]))</f>
        <v>911</v>
      </c>
      <c r="B5">
        <f>sala!K4</f>
        <v>3</v>
      </c>
      <c r="C5">
        <f>Tabla4[[#This Row],[Propina]]+Tabla4[[#This Row],[Precio Cena]]</f>
        <v>3252</v>
      </c>
      <c r="D5" s="3">
        <f>INT(sala!E4)</f>
        <v>45017</v>
      </c>
      <c r="E5" s="4">
        <f>MOD( sala!D4,1)</f>
        <v>2.0138888889050577E-2</v>
      </c>
      <c r="F5" s="4">
        <f>MOD( sala!E4,1)</f>
        <v>0.16388888889196096</v>
      </c>
      <c r="G5" s="4">
        <f>Tabla5[[#This Row],[Hora de Salida]]-Tabla5[[#This Row],[Hora de Llegada]]+Tabla4[[#This Row],[Tiempo Extra]]</f>
        <v>0.14375000000291038</v>
      </c>
      <c r="H5" s="5" t="str">
        <f>TEXT(Tabla4[[#This Row],[Preparación en horas]]/1440, "h:mm")</f>
        <v>2:06</v>
      </c>
      <c r="I5" s="4">
        <f>IF(Tabla5[[#This Row],[Tiempo Permanencia]]-Tabla5[[#This Row],[Tiempo de Preparación ]]&gt;=0,Tabla5[[#This Row],[Tiempo Permanencia]]-Tabla5[[#This Row],[Tiempo de Preparación ]],0)</f>
        <v>5.6250000002910389E-2</v>
      </c>
      <c r="J5" s="5" t="str">
        <f>IF(Tabla5[[#This Row],[Tiempo de Degustación]]=0,"No Cobrada","Cobrada")</f>
        <v>Cobrada</v>
      </c>
      <c r="K5" s="5" cm="1">
        <f t="array" ref="K5">SUM(IF(Tabla5[[#This Row],[Orden Cobrada]]="Cobrada",IF(Cocina!A:A=Tabla5[[#This Row],[Nº Orden]],Cocina!F:F*Cocina!G:G,0),-Tabla6[[#This Row],[Precio Cena]]))</f>
        <v>165</v>
      </c>
      <c r="L5" s="5">
        <f>IF(Tabla5[[#This Row],[Orden Cobrada]]="Cobrada",Tabla5[[#This Row],[Ganancia Bruta]]-Tabla6[[#This Row],[Coste Cena]],-Tabla6[[#This Row],[Precio Cena]]+Tabla6[[#This Row],[Coste Cena]])</f>
        <v>65</v>
      </c>
      <c r="M5" s="10">
        <f>IF(Tabla5[[#This Row],[Orden Cobrada]]="Cobrada",((Tabla5[[#This Row],[Ganancia Neta]]/Tabla5[[#This Row],[Ganancia Bruta]])*100)/100,-((Tabla5[[#This Row],[Ganancia Neta]]/Tabla5[[#This Row],[Ganancia Bruta]]*100)/100))</f>
        <v>0.39393939393939392</v>
      </c>
      <c r="N5" s="5" t="str">
        <f>sala!F4</f>
        <v>Mesero_2</v>
      </c>
      <c r="P5" t="s">
        <v>647</v>
      </c>
      <c r="Q5">
        <f>COUNTIF(J:J,"No Cobrada")</f>
        <v>99</v>
      </c>
      <c r="AY5" cm="1">
        <f t="array" ref="AY5">SUM(IF(Cocina!A:A=Tabla5[[#This Row],[Nº Orden]],Cocina!F:F*Cocina!G:G,0))</f>
        <v>165</v>
      </c>
      <c r="AZ5" cm="1">
        <f t="array" ref="AZ5">SUM(IF(Cocina!A:A=Tabla5[[#This Row],[Nº Orden]],Cocina!E:E*Cocina!G:G,0))</f>
        <v>100</v>
      </c>
      <c r="BB5" t="str">
        <f>MID(Tabla4[[#This Row],[Cliente]], SEARCH("_", Tabla4[[#This Row],[Cliente]]) + 1, LEN(Tabla4[[#This Row],[Cliente]]) - SEARCH("_",Tabla4[[#This Row],[Cliente]]))</f>
        <v>911</v>
      </c>
      <c r="BC5" t="str">
        <f>sala!B4</f>
        <v>Cliente_911</v>
      </c>
      <c r="BD5" s="1">
        <f>sala!D4</f>
        <v>45017.020138888889</v>
      </c>
      <c r="BE5" s="1">
        <f>sala!E4</f>
        <v>45017.163888888892</v>
      </c>
      <c r="BF5">
        <f>sala!K4</f>
        <v>3</v>
      </c>
      <c r="BG5">
        <f>sala!I4</f>
        <v>3087</v>
      </c>
      <c r="BH5" cm="1">
        <f t="array" ref="BH5">SUM(IF(Cocina!A:A=Tabla4[[#This Row],[Número de Orden]],Cocina!F:F*Cocina!G:G,0))</f>
        <v>165</v>
      </c>
      <c r="BI5" t="str">
        <f>sala!J4</f>
        <v>Libre</v>
      </c>
      <c r="BJ5" s="4" t="str">
        <f>IF(Tabla4[[#This Row],[Estado mesa]]="Ocupada","00:15","00:00")</f>
        <v>00:00</v>
      </c>
      <c r="BK5" cm="1">
        <f t="array" ref="BK5">SUM(IF(Cocina!A:A=Tabla4[[#This Row],[Número de Orden]],Cocina!H:H,0))</f>
        <v>126</v>
      </c>
    </row>
    <row r="6" spans="1:63" x14ac:dyDescent="0.3">
      <c r="A6" s="8" t="str">
        <f>MID(Tabla4[[#This Row],[Cliente]], SEARCH("_", Tabla4[[#This Row],[Cliente]]) + 1, LEN(Tabla4[[#This Row],[Cliente]]) - SEARCH("_",Tabla4[[#This Row],[Cliente]]))</f>
        <v>129</v>
      </c>
      <c r="B6">
        <f>sala!K5</f>
        <v>4</v>
      </c>
      <c r="C6">
        <f>Tabla4[[#This Row],[Propina]]+Tabla4[[#This Row],[Precio Cena]]</f>
        <v>3651</v>
      </c>
      <c r="D6" s="3">
        <f>INT(sala!E5)</f>
        <v>45017</v>
      </c>
      <c r="E6" s="4">
        <f>MOD( sala!D5,1)</f>
        <v>0.12708333333284827</v>
      </c>
      <c r="F6" s="4">
        <f>MOD( sala!E5,1)</f>
        <v>0.18819444444670808</v>
      </c>
      <c r="G6" s="4">
        <f>Tabla5[[#This Row],[Hora de Salida]]-Tabla5[[#This Row],[Hora de Llegada]]+Tabla4[[#This Row],[Tiempo Extra]]</f>
        <v>6.1111111113859806E-2</v>
      </c>
      <c r="H6" s="5" t="str">
        <f>TEXT(Tabla4[[#This Row],[Preparación en horas]]/1440, "h:mm")</f>
        <v>0:40</v>
      </c>
      <c r="I6" s="4">
        <f>IF(Tabla5[[#This Row],[Tiempo Permanencia]]-Tabla5[[#This Row],[Tiempo de Preparación ]]&gt;=0,Tabla5[[#This Row],[Tiempo Permanencia]]-Tabla5[[#This Row],[Tiempo de Preparación ]],0)</f>
        <v>3.333333333608203E-2</v>
      </c>
      <c r="J6" s="5" t="str">
        <f>IF(Tabla5[[#This Row],[Tiempo de Degustación]]=0,"No Cobrada","Cobrada")</f>
        <v>Cobrada</v>
      </c>
      <c r="K6" s="5" cm="1">
        <f t="array" ref="K6">SUM(IF(Tabla5[[#This Row],[Orden Cobrada]]="Cobrada",IF(Cocina!A:A=Tabla5[[#This Row],[Nº Orden]],Cocina!F:F*Cocina!G:G,0),-Tabla6[[#This Row],[Precio Cena]]))</f>
        <v>183</v>
      </c>
      <c r="L6" s="5">
        <f>IF(Tabla5[[#This Row],[Orden Cobrada]]="Cobrada",Tabla5[[#This Row],[Ganancia Bruta]]-Tabla6[[#This Row],[Coste Cena]],-Tabla6[[#This Row],[Precio Cena]]+Tabla6[[#This Row],[Coste Cena]])</f>
        <v>75</v>
      </c>
      <c r="M6" s="10">
        <f>IF(Tabla5[[#This Row],[Orden Cobrada]]="Cobrada",((Tabla5[[#This Row],[Ganancia Neta]]/Tabla5[[#This Row],[Ganancia Bruta]])*100)/100,-((Tabla5[[#This Row],[Ganancia Neta]]/Tabla5[[#This Row],[Ganancia Bruta]]*100)/100))</f>
        <v>0.4098360655737705</v>
      </c>
      <c r="N6" s="5" t="str">
        <f>sala!F5</f>
        <v>Mesero_5</v>
      </c>
      <c r="AY6" cm="1">
        <f t="array" ref="AY6">SUM(IF(Cocina!A:A=Tabla5[[#This Row],[Nº Orden]],Cocina!F:F*Cocina!G:G,0))</f>
        <v>183</v>
      </c>
      <c r="AZ6" cm="1">
        <f t="array" ref="AZ6">SUM(IF(Cocina!A:A=Tabla5[[#This Row],[Nº Orden]],Cocina!E:E*Cocina!G:G,0))</f>
        <v>108</v>
      </c>
      <c r="BB6" t="str">
        <f>MID(Tabla4[[#This Row],[Cliente]], SEARCH("_", Tabla4[[#This Row],[Cliente]]) + 1, LEN(Tabla4[[#This Row],[Cliente]]) - SEARCH("_",Tabla4[[#This Row],[Cliente]]))</f>
        <v>129</v>
      </c>
      <c r="BC6" t="str">
        <f>sala!B5</f>
        <v>Cliente_129</v>
      </c>
      <c r="BD6" s="1">
        <f>sala!D5</f>
        <v>45017.127083333333</v>
      </c>
      <c r="BE6" s="1">
        <f>sala!E5</f>
        <v>45017.188194444447</v>
      </c>
      <c r="BF6">
        <f>sala!K5</f>
        <v>4</v>
      </c>
      <c r="BG6">
        <f>sala!I5</f>
        <v>3468</v>
      </c>
      <c r="BH6" cm="1">
        <f t="array" ref="BH6">SUM(IF(Cocina!A:A=Tabla4[[#This Row],[Número de Orden]],Cocina!F:F*Cocina!G:G,0))</f>
        <v>183</v>
      </c>
      <c r="BI6" t="str">
        <f>sala!J5</f>
        <v>Libre</v>
      </c>
      <c r="BJ6" s="4" t="str">
        <f>IF(Tabla4[[#This Row],[Estado mesa]]="Ocupada","00:15","00:00")</f>
        <v>00:00</v>
      </c>
      <c r="BK6" cm="1">
        <f t="array" ref="BK6">SUM(IF(Cocina!A:A=Tabla4[[#This Row],[Número de Orden]],Cocina!H:H,0))</f>
        <v>40</v>
      </c>
    </row>
    <row r="7" spans="1:63" x14ac:dyDescent="0.3">
      <c r="A7" s="8" t="str">
        <f>MID(Tabla4[[#This Row],[Cliente]], SEARCH("_", Tabla4[[#This Row],[Cliente]]) + 1, LEN(Tabla4[[#This Row],[Cliente]]) - SEARCH("_",Tabla4[[#This Row],[Cliente]]))</f>
        <v>938</v>
      </c>
      <c r="B7">
        <f>sala!K6</f>
        <v>5</v>
      </c>
      <c r="C7">
        <f>Tabla4[[#This Row],[Propina]]+Tabla4[[#This Row],[Precio Cena]]</f>
        <v>2500</v>
      </c>
      <c r="D7" s="3">
        <f>INT(sala!E6)</f>
        <v>45017</v>
      </c>
      <c r="E7" s="4">
        <f>MOD( sala!D6,1)</f>
        <v>6.944444467080757E-4</v>
      </c>
      <c r="F7" s="4">
        <f>MOD( sala!E6,1)</f>
        <v>8.7500000001455192E-2</v>
      </c>
      <c r="G7" s="4">
        <f>Tabla5[[#This Row],[Hora de Salida]]-Tabla5[[#This Row],[Hora de Llegada]]+Tabla4[[#This Row],[Tiempo Extra]]</f>
        <v>8.6805555554747116E-2</v>
      </c>
      <c r="H7" s="5" t="str">
        <f>TEXT(Tabla4[[#This Row],[Preparación en horas]]/1440, "h:mm")</f>
        <v>0:17</v>
      </c>
      <c r="I7" s="4">
        <f>IF(Tabla5[[#This Row],[Tiempo Permanencia]]-Tabla5[[#This Row],[Tiempo de Preparación ]]&gt;=0,Tabla5[[#This Row],[Tiempo Permanencia]]-Tabla5[[#This Row],[Tiempo de Preparación ]],0)</f>
        <v>7.4999999999191561E-2</v>
      </c>
      <c r="J7" s="5" t="str">
        <f>IF(Tabla5[[#This Row],[Tiempo de Degustación]]=0,"No Cobrada","Cobrada")</f>
        <v>Cobrada</v>
      </c>
      <c r="K7" s="5" cm="1">
        <f t="array" ref="K7">SUM(IF(Tabla5[[#This Row],[Orden Cobrada]]="Cobrada",IF(Cocina!A:A=Tabla5[[#This Row],[Nº Orden]],Cocina!F:F*Cocina!G:G,0),-Tabla6[[#This Row],[Precio Cena]]))</f>
        <v>67</v>
      </c>
      <c r="L7" s="5">
        <f>IF(Tabla5[[#This Row],[Orden Cobrada]]="Cobrada",Tabla5[[#This Row],[Ganancia Bruta]]-Tabla6[[#This Row],[Coste Cena]],-Tabla6[[#This Row],[Precio Cena]]+Tabla6[[#This Row],[Coste Cena]])</f>
        <v>28</v>
      </c>
      <c r="M7" s="10">
        <f>IF(Tabla5[[#This Row],[Orden Cobrada]]="Cobrada",((Tabla5[[#This Row],[Ganancia Neta]]/Tabla5[[#This Row],[Ganancia Bruta]])*100)/100,-((Tabla5[[#This Row],[Ganancia Neta]]/Tabla5[[#This Row],[Ganancia Bruta]]*100)/100))</f>
        <v>0.41791044776119401</v>
      </c>
      <c r="N7" s="5" t="str">
        <f>sala!F6</f>
        <v>Mesero_4</v>
      </c>
      <c r="AY7" cm="1">
        <f t="array" ref="AY7">SUM(IF(Cocina!A:A=Tabla5[[#This Row],[Nº Orden]],Cocina!F:F*Cocina!G:G,0))</f>
        <v>67</v>
      </c>
      <c r="AZ7" cm="1">
        <f t="array" ref="AZ7">SUM(IF(Cocina!A:A=Tabla5[[#This Row],[Nº Orden]],Cocina!E:E*Cocina!G:G,0))</f>
        <v>39</v>
      </c>
      <c r="BB7" t="str">
        <f>MID(Tabla4[[#This Row],[Cliente]], SEARCH("_", Tabla4[[#This Row],[Cliente]]) + 1, LEN(Tabla4[[#This Row],[Cliente]]) - SEARCH("_",Tabla4[[#This Row],[Cliente]]))</f>
        <v>938</v>
      </c>
      <c r="BC7" t="str">
        <f>sala!B6</f>
        <v>Cliente_938</v>
      </c>
      <c r="BD7" s="1">
        <f>sala!D6</f>
        <v>45017.000694444447</v>
      </c>
      <c r="BE7" s="1">
        <f>sala!E6</f>
        <v>45017.087500000001</v>
      </c>
      <c r="BF7">
        <f>sala!K6</f>
        <v>5</v>
      </c>
      <c r="BG7">
        <f>sala!I6</f>
        <v>2433</v>
      </c>
      <c r="BH7" cm="1">
        <f t="array" ref="BH7">SUM(IF(Cocina!A:A=Tabla4[[#This Row],[Número de Orden]],Cocina!F:F*Cocina!G:G,0))</f>
        <v>67</v>
      </c>
      <c r="BI7" t="str">
        <f>sala!J6</f>
        <v>Libre</v>
      </c>
      <c r="BJ7" s="4" t="str">
        <f>IF(Tabla4[[#This Row],[Estado mesa]]="Ocupada","00:15","00:00")</f>
        <v>00:00</v>
      </c>
      <c r="BK7" cm="1">
        <f t="array" ref="BK7">SUM(IF(Cocina!A:A=Tabla4[[#This Row],[Número de Orden]],Cocina!H:H,0))</f>
        <v>17</v>
      </c>
    </row>
    <row r="8" spans="1:63" x14ac:dyDescent="0.3">
      <c r="A8" s="8" t="str">
        <f>MID(Tabla4[[#This Row],[Cliente]], SEARCH("_", Tabla4[[#This Row],[Cliente]]) + 1, LEN(Tabla4[[#This Row],[Cliente]]) - SEARCH("_",Tabla4[[#This Row],[Cliente]]))</f>
        <v>965</v>
      </c>
      <c r="B8">
        <f>sala!K7</f>
        <v>6</v>
      </c>
      <c r="C8">
        <f>Tabla4[[#This Row],[Propina]]+Tabla4[[#This Row],[Precio Cena]]</f>
        <v>2727</v>
      </c>
      <c r="D8" s="3">
        <f>INT(sala!E7)</f>
        <v>45017</v>
      </c>
      <c r="E8" s="4">
        <f>MOD( sala!D7,1)</f>
        <v>5.8333333334303461E-2</v>
      </c>
      <c r="F8" s="4">
        <f>MOD( sala!E7,1)</f>
        <v>0.14722222222189885</v>
      </c>
      <c r="G8" s="4">
        <f>Tabla5[[#This Row],[Hora de Salida]]-Tabla5[[#This Row],[Hora de Llegada]]+Tabla4[[#This Row],[Tiempo Extra]]</f>
        <v>8.8888888887595385E-2</v>
      </c>
      <c r="H8" s="5" t="str">
        <f>TEXT(Tabla4[[#This Row],[Preparación en horas]]/1440, "h:mm")</f>
        <v>0:11</v>
      </c>
      <c r="I8" s="4">
        <f>IF(Tabla5[[#This Row],[Tiempo Permanencia]]-Tabla5[[#This Row],[Tiempo de Preparación ]]&gt;=0,Tabla5[[#This Row],[Tiempo Permanencia]]-Tabla5[[#This Row],[Tiempo de Preparación ]],0)</f>
        <v>8.1249999998706496E-2</v>
      </c>
      <c r="J8" s="5" t="str">
        <f>IF(Tabla5[[#This Row],[Tiempo de Degustación]]=0,"No Cobrada","Cobrada")</f>
        <v>Cobrada</v>
      </c>
      <c r="K8" s="5" cm="1">
        <f t="array" ref="K8">SUM(IF(Tabla5[[#This Row],[Orden Cobrada]]="Cobrada",IF(Cocina!A:A=Tabla5[[#This Row],[Nº Orden]],Cocina!F:F*Cocina!G:G,0),-Tabla6[[#This Row],[Precio Cena]]))</f>
        <v>70</v>
      </c>
      <c r="L8" s="5">
        <f>IF(Tabla5[[#This Row],[Orden Cobrada]]="Cobrada",Tabla5[[#This Row],[Ganancia Bruta]]-Tabla6[[#This Row],[Coste Cena]],-Tabla6[[#This Row],[Precio Cena]]+Tabla6[[#This Row],[Coste Cena]])</f>
        <v>28</v>
      </c>
      <c r="M8" s="10">
        <f>IF(Tabla5[[#This Row],[Orden Cobrada]]="Cobrada",((Tabla5[[#This Row],[Ganancia Neta]]/Tabla5[[#This Row],[Ganancia Bruta]])*100)/100,-((Tabla5[[#This Row],[Ganancia Neta]]/Tabla5[[#This Row],[Ganancia Bruta]]*100)/100))</f>
        <v>0.4</v>
      </c>
      <c r="N8" s="5" t="str">
        <f>sala!F7</f>
        <v>Mesero_4</v>
      </c>
      <c r="AY8" cm="1">
        <f t="array" ref="AY8">SUM(IF(Cocina!A:A=Tabla5[[#This Row],[Nº Orden]],Cocina!F:F*Cocina!G:G,0))</f>
        <v>70</v>
      </c>
      <c r="AZ8" cm="1">
        <f t="array" ref="AZ8">SUM(IF(Cocina!A:A=Tabla5[[#This Row],[Nº Orden]],Cocina!E:E*Cocina!G:G,0))</f>
        <v>42</v>
      </c>
      <c r="BB8" t="str">
        <f>MID(Tabla4[[#This Row],[Cliente]], SEARCH("_", Tabla4[[#This Row],[Cliente]]) + 1, LEN(Tabla4[[#This Row],[Cliente]]) - SEARCH("_",Tabla4[[#This Row],[Cliente]]))</f>
        <v>965</v>
      </c>
      <c r="BC8" t="str">
        <f>sala!B7</f>
        <v>Cliente_965</v>
      </c>
      <c r="BD8" s="1">
        <f>sala!D7</f>
        <v>45017.058333333334</v>
      </c>
      <c r="BE8" s="1">
        <f>sala!E7</f>
        <v>45017.147222222222</v>
      </c>
      <c r="BF8">
        <f>sala!K7</f>
        <v>6</v>
      </c>
      <c r="BG8">
        <f>sala!I7</f>
        <v>2657</v>
      </c>
      <c r="BH8" cm="1">
        <f t="array" ref="BH8">SUM(IF(Cocina!A:A=Tabla4[[#This Row],[Número de Orden]],Cocina!F:F*Cocina!G:G,0))</f>
        <v>70</v>
      </c>
      <c r="BI8" t="str">
        <f>sala!J7</f>
        <v>Libre</v>
      </c>
      <c r="BJ8" s="4" t="str">
        <f>IF(Tabla4[[#This Row],[Estado mesa]]="Ocupada","00:15","00:00")</f>
        <v>00:00</v>
      </c>
      <c r="BK8" cm="1">
        <f t="array" ref="BK8">SUM(IF(Cocina!A:A=Tabla4[[#This Row],[Número de Orden]],Cocina!H:H,0))</f>
        <v>11</v>
      </c>
    </row>
    <row r="9" spans="1:63" x14ac:dyDescent="0.3">
      <c r="A9" s="8" t="str">
        <f>MID(Tabla4[[#This Row],[Cliente]], SEARCH("_", Tabla4[[#This Row],[Cliente]]) + 1, LEN(Tabla4[[#This Row],[Cliente]]) - SEARCH("_",Tabla4[[#This Row],[Cliente]]))</f>
        <v>306</v>
      </c>
      <c r="B9">
        <f>sala!K8</f>
        <v>7</v>
      </c>
      <c r="C9">
        <f>Tabla4[[#This Row],[Propina]]+Tabla4[[#This Row],[Precio Cena]]</f>
        <v>1226</v>
      </c>
      <c r="D9" s="3">
        <f>INT(sala!E8)</f>
        <v>45017</v>
      </c>
      <c r="E9" s="4">
        <f>MOD( sala!D8,1)</f>
        <v>8.1250000002910383E-2</v>
      </c>
      <c r="F9" s="4">
        <f>MOD( sala!E8,1)</f>
        <v>0.18194444444088731</v>
      </c>
      <c r="G9" s="4">
        <f>Tabla5[[#This Row],[Hora de Salida]]-Tabla5[[#This Row],[Hora de Llegada]]+Tabla4[[#This Row],[Tiempo Extra]]</f>
        <v>0.1111111111046436</v>
      </c>
      <c r="H9" s="5" t="str">
        <f>TEXT(Tabla4[[#This Row],[Preparación en horas]]/1440, "h:mm")</f>
        <v>0:41</v>
      </c>
      <c r="I9" s="4">
        <f>IF(Tabla5[[#This Row],[Tiempo Permanencia]]-Tabla5[[#This Row],[Tiempo de Preparación ]]&gt;=0,Tabla5[[#This Row],[Tiempo Permanencia]]-Tabla5[[#This Row],[Tiempo de Preparación ]],0)</f>
        <v>8.263888888242138E-2</v>
      </c>
      <c r="J9" s="5" t="str">
        <f>IF(Tabla5[[#This Row],[Tiempo de Degustación]]=0,"No Cobrada","Cobrada")</f>
        <v>Cobrada</v>
      </c>
      <c r="K9" s="5" cm="1">
        <f t="array" ref="K9">SUM(IF(Tabla5[[#This Row],[Orden Cobrada]]="Cobrada",IF(Cocina!A:A=Tabla5[[#This Row],[Nº Orden]],Cocina!F:F*Cocina!G:G,0),-Tabla6[[#This Row],[Precio Cena]]))</f>
        <v>172</v>
      </c>
      <c r="L9" s="5">
        <f>IF(Tabla5[[#This Row],[Orden Cobrada]]="Cobrada",Tabla5[[#This Row],[Ganancia Bruta]]-Tabla6[[#This Row],[Coste Cena]],-Tabla6[[#This Row],[Precio Cena]]+Tabla6[[#This Row],[Coste Cena]])</f>
        <v>68</v>
      </c>
      <c r="M9" s="10">
        <f>IF(Tabla5[[#This Row],[Orden Cobrada]]="Cobrada",((Tabla5[[#This Row],[Ganancia Neta]]/Tabla5[[#This Row],[Ganancia Bruta]])*100)/100,-((Tabla5[[#This Row],[Ganancia Neta]]/Tabla5[[#This Row],[Ganancia Bruta]]*100)/100))</f>
        <v>0.39534883720930231</v>
      </c>
      <c r="N9" s="5" t="str">
        <f>sala!F8</f>
        <v>Mesero_2</v>
      </c>
      <c r="AY9" cm="1">
        <f t="array" ref="AY9">SUM(IF(Cocina!A:A=Tabla5[[#This Row],[Nº Orden]],Cocina!F:F*Cocina!G:G,0))</f>
        <v>172</v>
      </c>
      <c r="AZ9" cm="1">
        <f t="array" ref="AZ9">SUM(IF(Cocina!A:A=Tabla5[[#This Row],[Nº Orden]],Cocina!E:E*Cocina!G:G,0))</f>
        <v>104</v>
      </c>
      <c r="BB9" t="str">
        <f>MID(Tabla4[[#This Row],[Cliente]], SEARCH("_", Tabla4[[#This Row],[Cliente]]) + 1, LEN(Tabla4[[#This Row],[Cliente]]) - SEARCH("_",Tabla4[[#This Row],[Cliente]]))</f>
        <v>306</v>
      </c>
      <c r="BC9" t="str">
        <f>sala!B8</f>
        <v>Cliente_306</v>
      </c>
      <c r="BD9" s="1">
        <f>sala!D8</f>
        <v>45017.081250000003</v>
      </c>
      <c r="BE9" s="1">
        <f>sala!E8</f>
        <v>45017.181944444441</v>
      </c>
      <c r="BF9">
        <f>sala!K8</f>
        <v>7</v>
      </c>
      <c r="BG9">
        <f>sala!I8</f>
        <v>1054</v>
      </c>
      <c r="BH9" cm="1">
        <f t="array" ref="BH9">SUM(IF(Cocina!A:A=Tabla4[[#This Row],[Número de Orden]],Cocina!F:F*Cocina!G:G,0))</f>
        <v>172</v>
      </c>
      <c r="BI9" t="str">
        <f>sala!J8</f>
        <v>Ocupada</v>
      </c>
      <c r="BJ9" s="4" t="str">
        <f>IF(Tabla4[[#This Row],[Estado mesa]]="Ocupada","00:15","00:00")</f>
        <v>00:15</v>
      </c>
      <c r="BK9" cm="1">
        <f t="array" ref="BK9">SUM(IF(Cocina!A:A=Tabla4[[#This Row],[Número de Orden]],Cocina!H:H,0))</f>
        <v>41</v>
      </c>
    </row>
    <row r="10" spans="1:63" x14ac:dyDescent="0.3">
      <c r="A10" s="8" t="str">
        <f>MID(Tabla4[[#This Row],[Cliente]], SEARCH("_", Tabla4[[#This Row],[Cliente]]) + 1, LEN(Tabla4[[#This Row],[Cliente]]) - SEARCH("_",Tabla4[[#This Row],[Cliente]]))</f>
        <v>974</v>
      </c>
      <c r="B10">
        <f>sala!K9</f>
        <v>8</v>
      </c>
      <c r="C10">
        <f>Tabla4[[#This Row],[Propina]]+Tabla4[[#This Row],[Precio Cena]]</f>
        <v>5160</v>
      </c>
      <c r="D10" s="3">
        <f>INT(sala!E9)</f>
        <v>45017</v>
      </c>
      <c r="E10" s="4">
        <f>MOD( sala!D9,1)</f>
        <v>9.0972222220443655E-2</v>
      </c>
      <c r="F10" s="4">
        <f>MOD( sala!E9,1)</f>
        <v>0.20069444444379769</v>
      </c>
      <c r="G10" s="4">
        <f>Tabla5[[#This Row],[Hora de Salida]]-Tabla5[[#This Row],[Hora de Llegada]]+Tabla4[[#This Row],[Tiempo Extra]]</f>
        <v>0.10972222222335404</v>
      </c>
      <c r="H10" s="5" t="str">
        <f>TEXT(Tabla4[[#This Row],[Preparación en horas]]/1440, "h:mm")</f>
        <v>0:55</v>
      </c>
      <c r="I10" s="4">
        <f>IF(Tabla5[[#This Row],[Tiempo Permanencia]]-Tabla5[[#This Row],[Tiempo de Preparación ]]&gt;=0,Tabla5[[#This Row],[Tiempo Permanencia]]-Tabla5[[#This Row],[Tiempo de Preparación ]],0)</f>
        <v>7.152777777890959E-2</v>
      </c>
      <c r="J10" s="5" t="str">
        <f>IF(Tabla5[[#This Row],[Tiempo de Degustación]]=0,"No Cobrada","Cobrada")</f>
        <v>Cobrada</v>
      </c>
      <c r="K10" s="5" cm="1">
        <f t="array" ref="K10">SUM(IF(Tabla5[[#This Row],[Orden Cobrada]]="Cobrada",IF(Cocina!A:A=Tabla5[[#This Row],[Nº Orden]],Cocina!F:F*Cocina!G:G,0),-Tabla6[[#This Row],[Precio Cena]]))</f>
        <v>242</v>
      </c>
      <c r="L10" s="5">
        <f>IF(Tabla5[[#This Row],[Orden Cobrada]]="Cobrada",Tabla5[[#This Row],[Ganancia Bruta]]-Tabla6[[#This Row],[Coste Cena]],-Tabla6[[#This Row],[Precio Cena]]+Tabla6[[#This Row],[Coste Cena]])</f>
        <v>96</v>
      </c>
      <c r="M10" s="10">
        <f>IF(Tabla5[[#This Row],[Orden Cobrada]]="Cobrada",((Tabla5[[#This Row],[Ganancia Neta]]/Tabla5[[#This Row],[Ganancia Bruta]])*100)/100,-((Tabla5[[#This Row],[Ganancia Neta]]/Tabla5[[#This Row],[Ganancia Bruta]]*100)/100))</f>
        <v>0.39669421487603307</v>
      </c>
      <c r="N10" s="5" t="str">
        <f>sala!F9</f>
        <v>Mesero_2</v>
      </c>
      <c r="AY10" cm="1">
        <f t="array" ref="AY10">SUM(IF(Cocina!A:A=Tabla5[[#This Row],[Nº Orden]],Cocina!F:F*Cocina!G:G,0))</f>
        <v>242</v>
      </c>
      <c r="AZ10" cm="1">
        <f t="array" ref="AZ10">SUM(IF(Cocina!A:A=Tabla5[[#This Row],[Nº Orden]],Cocina!E:E*Cocina!G:G,0))</f>
        <v>146</v>
      </c>
      <c r="BB10" t="str">
        <f>MID(Tabla4[[#This Row],[Cliente]], SEARCH("_", Tabla4[[#This Row],[Cliente]]) + 1, LEN(Tabla4[[#This Row],[Cliente]]) - SEARCH("_",Tabla4[[#This Row],[Cliente]]))</f>
        <v>974</v>
      </c>
      <c r="BC10" t="str">
        <f>sala!B9</f>
        <v>Cliente_974</v>
      </c>
      <c r="BD10" s="1">
        <f>sala!D9</f>
        <v>45017.09097222222</v>
      </c>
      <c r="BE10" s="1">
        <f>sala!E9</f>
        <v>45017.200694444444</v>
      </c>
      <c r="BF10">
        <f>sala!K9</f>
        <v>8</v>
      </c>
      <c r="BG10">
        <f>sala!I9</f>
        <v>4918</v>
      </c>
      <c r="BH10" cm="1">
        <f t="array" ref="BH10">SUM(IF(Cocina!A:A=Tabla4[[#This Row],[Número de Orden]],Cocina!F:F*Cocina!G:G,0))</f>
        <v>242</v>
      </c>
      <c r="BI10" t="str">
        <f>sala!J9</f>
        <v>Reservada</v>
      </c>
      <c r="BJ10" s="4" t="str">
        <f>IF(Tabla4[[#This Row],[Estado mesa]]="Ocupada","00:15","00:00")</f>
        <v>00:00</v>
      </c>
      <c r="BK10" cm="1">
        <f t="array" ref="BK10">SUM(IF(Cocina!A:A=Tabla4[[#This Row],[Número de Orden]],Cocina!H:H,0))</f>
        <v>55</v>
      </c>
    </row>
    <row r="11" spans="1:63" x14ac:dyDescent="0.3">
      <c r="A11" s="8" t="str">
        <f>MID(Tabla4[[#This Row],[Cliente]], SEARCH("_", Tabla4[[#This Row],[Cliente]]) + 1, LEN(Tabla4[[#This Row],[Cliente]]) - SEARCH("_",Tabla4[[#This Row],[Cliente]]))</f>
        <v>740</v>
      </c>
      <c r="B11">
        <f>sala!K10</f>
        <v>9</v>
      </c>
      <c r="C11">
        <f>Tabla4[[#This Row],[Propina]]+Tabla4[[#This Row],[Precio Cena]]</f>
        <v>4854</v>
      </c>
      <c r="D11" s="3">
        <f>INT(sala!E10)</f>
        <v>45017</v>
      </c>
      <c r="E11" s="4">
        <f>MOD( sala!D10,1)</f>
        <v>8.5416666668606922E-2</v>
      </c>
      <c r="F11" s="4">
        <f>MOD( sala!E10,1)</f>
        <v>0.18402777778101154</v>
      </c>
      <c r="G11" s="4">
        <f>Tabla5[[#This Row],[Hora de Salida]]-Tabla5[[#This Row],[Hora de Llegada]]+Tabla4[[#This Row],[Tiempo Extra]]</f>
        <v>9.8611111112404615E-2</v>
      </c>
      <c r="H11" s="5" t="str">
        <f>TEXT(Tabla4[[#This Row],[Preparación en horas]]/1440, "h:mm")</f>
        <v>2:26</v>
      </c>
      <c r="I11" s="4">
        <f>IF(Tabla5[[#This Row],[Tiempo Permanencia]]-Tabla5[[#This Row],[Tiempo de Preparación ]]&gt;=0,Tabla5[[#This Row],[Tiempo Permanencia]]-Tabla5[[#This Row],[Tiempo de Preparación ]],0)</f>
        <v>0</v>
      </c>
      <c r="J11" s="5" t="str">
        <f>IF(Tabla5[[#This Row],[Tiempo de Degustación]]=0,"No Cobrada","Cobrada")</f>
        <v>No Cobrada</v>
      </c>
      <c r="K11" s="5" cm="1">
        <f t="array" ref="K11">SUM(IF(Tabla5[[#This Row],[Orden Cobrada]]="Cobrada",IF(Cocina!A:A=Tabla5[[#This Row],[Nº Orden]],Cocina!F:F*Cocina!G:G,0),-Tabla6[[#This Row],[Precio Cena]]))</f>
        <v>-169</v>
      </c>
      <c r="L11" s="5">
        <f>IF(Tabla5[[#This Row],[Orden Cobrada]]="Cobrada",Tabla5[[#This Row],[Ganancia Bruta]]-Tabla6[[#This Row],[Coste Cena]],-Tabla6[[#This Row],[Precio Cena]]+Tabla6[[#This Row],[Coste Cena]])</f>
        <v>-69</v>
      </c>
      <c r="M11" s="10">
        <f>IF(Tabla5[[#This Row],[Orden Cobrada]]="Cobrada",((Tabla5[[#This Row],[Ganancia Neta]]/Tabla5[[#This Row],[Ganancia Bruta]])*100)/100,-((Tabla5[[#This Row],[Ganancia Neta]]/Tabla5[[#This Row],[Ganancia Bruta]]*100)/100))</f>
        <v>-0.40828402366863903</v>
      </c>
      <c r="N11" s="5" t="str">
        <f>sala!F10</f>
        <v>Mesero_2</v>
      </c>
      <c r="AY11" cm="1">
        <f t="array" ref="AY11">SUM(IF(Cocina!A:A=Tabla5[[#This Row],[Nº Orden]],Cocina!F:F*Cocina!G:G,0))</f>
        <v>169</v>
      </c>
      <c r="AZ11" cm="1">
        <f t="array" ref="AZ11">SUM(IF(Cocina!A:A=Tabla5[[#This Row],[Nº Orden]],Cocina!E:E*Cocina!G:G,0))</f>
        <v>100</v>
      </c>
      <c r="BB11" t="str">
        <f>MID(Tabla4[[#This Row],[Cliente]], SEARCH("_", Tabla4[[#This Row],[Cliente]]) + 1, LEN(Tabla4[[#This Row],[Cliente]]) - SEARCH("_",Tabla4[[#This Row],[Cliente]]))</f>
        <v>740</v>
      </c>
      <c r="BC11" t="str">
        <f>sala!B10</f>
        <v>Cliente_740</v>
      </c>
      <c r="BD11" s="1">
        <f>sala!D10</f>
        <v>45017.085416666669</v>
      </c>
      <c r="BE11" s="1">
        <f>sala!E10</f>
        <v>45017.184027777781</v>
      </c>
      <c r="BF11">
        <f>sala!K10</f>
        <v>9</v>
      </c>
      <c r="BG11">
        <f>sala!I10</f>
        <v>4685</v>
      </c>
      <c r="BH11" cm="1">
        <f t="array" ref="BH11">SUM(IF(Cocina!A:A=Tabla4[[#This Row],[Número de Orden]],Cocina!F:F*Cocina!G:G,0))</f>
        <v>169</v>
      </c>
      <c r="BI11" t="str">
        <f>sala!J10</f>
        <v>Libre</v>
      </c>
      <c r="BJ11" s="4" t="str">
        <f>IF(Tabla4[[#This Row],[Estado mesa]]="Ocupada","00:15","00:00")</f>
        <v>00:00</v>
      </c>
      <c r="BK11" cm="1">
        <f t="array" ref="BK11">SUM(IF(Cocina!A:A=Tabla4[[#This Row],[Número de Orden]],Cocina!H:H,0))</f>
        <v>146</v>
      </c>
    </row>
    <row r="12" spans="1:63" x14ac:dyDescent="0.3">
      <c r="A12" s="8" t="str">
        <f>MID(Tabla4[[#This Row],[Cliente]], SEARCH("_", Tabla4[[#This Row],[Cliente]]) + 1, LEN(Tabla4[[#This Row],[Cliente]]) - SEARCH("_",Tabla4[[#This Row],[Cliente]]))</f>
        <v>33</v>
      </c>
      <c r="B12">
        <f>sala!K11</f>
        <v>10</v>
      </c>
      <c r="C12">
        <f>Tabla4[[#This Row],[Propina]]+Tabla4[[#This Row],[Precio Cena]]</f>
        <v>314</v>
      </c>
      <c r="D12" s="3">
        <f>INT(sala!E11)</f>
        <v>45017</v>
      </c>
      <c r="E12" s="4">
        <f>MOD( sala!D11,1)</f>
        <v>1.3888888861401938E-3</v>
      </c>
      <c r="F12" s="4">
        <f>MOD( sala!E11,1)</f>
        <v>7.8472222223354038E-2</v>
      </c>
      <c r="G12" s="4">
        <f>Tabla5[[#This Row],[Hora de Salida]]-Tabla5[[#This Row],[Hora de Llegada]]+Tabla4[[#This Row],[Tiempo Extra]]</f>
        <v>8.7500000003880515E-2</v>
      </c>
      <c r="H12" s="5" t="str">
        <f>TEXT(Tabla4[[#This Row],[Preparación en horas]]/1440, "h:mm")</f>
        <v>0:29</v>
      </c>
      <c r="I12" s="4">
        <f>IF(Tabla5[[#This Row],[Tiempo Permanencia]]-Tabla5[[#This Row],[Tiempo de Preparación ]]&gt;=0,Tabla5[[#This Row],[Tiempo Permanencia]]-Tabla5[[#This Row],[Tiempo de Preparación ]],0)</f>
        <v>6.7361111114991629E-2</v>
      </c>
      <c r="J12" s="5" t="str">
        <f>IF(Tabla5[[#This Row],[Tiempo de Degustación]]=0,"No Cobrada","Cobrada")</f>
        <v>Cobrada</v>
      </c>
      <c r="K12" s="5" cm="1">
        <f t="array" ref="K12">SUM(IF(Tabla5[[#This Row],[Orden Cobrada]]="Cobrada",IF(Cocina!A:A=Tabla5[[#This Row],[Nº Orden]],Cocina!F:F*Cocina!G:G,0),-Tabla6[[#This Row],[Precio Cena]]))</f>
        <v>148</v>
      </c>
      <c r="L12" s="5">
        <f>IF(Tabla5[[#This Row],[Orden Cobrada]]="Cobrada",Tabla5[[#This Row],[Ganancia Bruta]]-Tabla6[[#This Row],[Coste Cena]],-Tabla6[[#This Row],[Precio Cena]]+Tabla6[[#This Row],[Coste Cena]])</f>
        <v>58</v>
      </c>
      <c r="M12" s="10">
        <f>IF(Tabla5[[#This Row],[Orden Cobrada]]="Cobrada",((Tabla5[[#This Row],[Ganancia Neta]]/Tabla5[[#This Row],[Ganancia Bruta]])*100)/100,-((Tabla5[[#This Row],[Ganancia Neta]]/Tabla5[[#This Row],[Ganancia Bruta]]*100)/100))</f>
        <v>0.39189189189189189</v>
      </c>
      <c r="N12" s="5" t="str">
        <f>sala!F11</f>
        <v>Mesero_4</v>
      </c>
      <c r="AY12" cm="1">
        <f t="array" ref="AY12">SUM(IF(Cocina!A:A=Tabla5[[#This Row],[Nº Orden]],Cocina!F:F*Cocina!G:G,0))</f>
        <v>148</v>
      </c>
      <c r="AZ12" cm="1">
        <f t="array" ref="AZ12">SUM(IF(Cocina!A:A=Tabla5[[#This Row],[Nº Orden]],Cocina!E:E*Cocina!G:G,0))</f>
        <v>90</v>
      </c>
      <c r="BB12" t="str">
        <f>MID(Tabla4[[#This Row],[Cliente]], SEARCH("_", Tabla4[[#This Row],[Cliente]]) + 1, LEN(Tabla4[[#This Row],[Cliente]]) - SEARCH("_",Tabla4[[#This Row],[Cliente]]))</f>
        <v>33</v>
      </c>
      <c r="BC12" t="str">
        <f>sala!B11</f>
        <v>Cliente_33</v>
      </c>
      <c r="BD12" s="1">
        <f>sala!D11</f>
        <v>45017.001388888886</v>
      </c>
      <c r="BE12" s="1">
        <f>sala!E11</f>
        <v>45017.078472222223</v>
      </c>
      <c r="BF12">
        <f>sala!K11</f>
        <v>10</v>
      </c>
      <c r="BG12">
        <f>sala!I11</f>
        <v>166</v>
      </c>
      <c r="BH12" cm="1">
        <f t="array" ref="BH12">SUM(IF(Cocina!A:A=Tabla4[[#This Row],[Número de Orden]],Cocina!F:F*Cocina!G:G,0))</f>
        <v>148</v>
      </c>
      <c r="BI12" t="str">
        <f>sala!J11</f>
        <v>Ocupada</v>
      </c>
      <c r="BJ12" s="4" t="str">
        <f>IF(Tabla4[[#This Row],[Estado mesa]]="Ocupada","00:15","00:00")</f>
        <v>00:15</v>
      </c>
      <c r="BK12" cm="1">
        <f t="array" ref="BK12">SUM(IF(Cocina!A:A=Tabla4[[#This Row],[Número de Orden]],Cocina!H:H,0))</f>
        <v>29</v>
      </c>
    </row>
    <row r="13" spans="1:63" x14ac:dyDescent="0.3">
      <c r="A13" s="8" t="str">
        <f>MID(Tabla4[[#This Row],[Cliente]], SEARCH("_", Tabla4[[#This Row],[Cliente]]) + 1, LEN(Tabla4[[#This Row],[Cliente]]) - SEARCH("_",Tabla4[[#This Row],[Cliente]]))</f>
        <v>881</v>
      </c>
      <c r="B13">
        <f>sala!K12</f>
        <v>11</v>
      </c>
      <c r="C13">
        <f>Tabla4[[#This Row],[Propina]]+Tabla4[[#This Row],[Precio Cena]]</f>
        <v>3377</v>
      </c>
      <c r="D13" s="3">
        <f>INT(sala!E12)</f>
        <v>45017</v>
      </c>
      <c r="E13" s="4">
        <f>MOD( sala!D12,1)</f>
        <v>0.15694444444670808</v>
      </c>
      <c r="F13" s="4">
        <f>MOD( sala!E12,1)</f>
        <v>0.27291666666860692</v>
      </c>
      <c r="G13" s="4">
        <f>Tabla5[[#This Row],[Hora de Salida]]-Tabla5[[#This Row],[Hora de Llegada]]+Tabla4[[#This Row],[Tiempo Extra]]</f>
        <v>0.11597222222189885</v>
      </c>
      <c r="H13" s="5" t="str">
        <f>TEXT(Tabla4[[#This Row],[Preparación en horas]]/1440, "h:mm")</f>
        <v>0:56</v>
      </c>
      <c r="I13" s="4">
        <f>IF(Tabla5[[#This Row],[Tiempo Permanencia]]-Tabla5[[#This Row],[Tiempo de Preparación ]]&gt;=0,Tabla5[[#This Row],[Tiempo Permanencia]]-Tabla5[[#This Row],[Tiempo de Preparación ]],0)</f>
        <v>7.7083333333009957E-2</v>
      </c>
      <c r="J13" s="5" t="str">
        <f>IF(Tabla5[[#This Row],[Tiempo de Degustación]]=0,"No Cobrada","Cobrada")</f>
        <v>Cobrada</v>
      </c>
      <c r="K13" s="5" cm="1">
        <f t="array" ref="K13">SUM(IF(Tabla5[[#This Row],[Orden Cobrada]]="Cobrada",IF(Cocina!A:A=Tabla5[[#This Row],[Nº Orden]],Cocina!F:F*Cocina!G:G,0),-Tabla6[[#This Row],[Precio Cena]]))</f>
        <v>88</v>
      </c>
      <c r="L13" s="5">
        <f>IF(Tabla5[[#This Row],[Orden Cobrada]]="Cobrada",Tabla5[[#This Row],[Ganancia Bruta]]-Tabla6[[#This Row],[Coste Cena]],-Tabla6[[#This Row],[Precio Cena]]+Tabla6[[#This Row],[Coste Cena]])</f>
        <v>36</v>
      </c>
      <c r="M13" s="10">
        <f>IF(Tabla5[[#This Row],[Orden Cobrada]]="Cobrada",((Tabla5[[#This Row],[Ganancia Neta]]/Tabla5[[#This Row],[Ganancia Bruta]])*100)/100,-((Tabla5[[#This Row],[Ganancia Neta]]/Tabla5[[#This Row],[Ganancia Bruta]]*100)/100))</f>
        <v>0.40909090909090912</v>
      </c>
      <c r="N13" s="5" t="str">
        <f>sala!F12</f>
        <v>Mesero_1</v>
      </c>
      <c r="AY13" cm="1">
        <f t="array" ref="AY13">SUM(IF(Cocina!A:A=Tabla5[[#This Row],[Nº Orden]],Cocina!F:F*Cocina!G:G,0))</f>
        <v>88</v>
      </c>
      <c r="AZ13" cm="1">
        <f t="array" ref="AZ13">SUM(IF(Cocina!A:A=Tabla5[[#This Row],[Nº Orden]],Cocina!E:E*Cocina!G:G,0))</f>
        <v>52</v>
      </c>
      <c r="BB13" t="str">
        <f>MID(Tabla4[[#This Row],[Cliente]], SEARCH("_", Tabla4[[#This Row],[Cliente]]) + 1, LEN(Tabla4[[#This Row],[Cliente]]) - SEARCH("_",Tabla4[[#This Row],[Cliente]]))</f>
        <v>881</v>
      </c>
      <c r="BC13" t="str">
        <f>sala!B12</f>
        <v>Cliente_881</v>
      </c>
      <c r="BD13" s="1">
        <f>sala!D12</f>
        <v>45017.156944444447</v>
      </c>
      <c r="BE13" s="1">
        <f>sala!E12</f>
        <v>45017.272916666669</v>
      </c>
      <c r="BF13">
        <f>sala!K12</f>
        <v>11</v>
      </c>
      <c r="BG13">
        <f>sala!I12</f>
        <v>3289</v>
      </c>
      <c r="BH13" cm="1">
        <f t="array" ref="BH13">SUM(IF(Cocina!A:A=Tabla4[[#This Row],[Número de Orden]],Cocina!F:F*Cocina!G:G,0))</f>
        <v>88</v>
      </c>
      <c r="BI13" t="str">
        <f>sala!J12</f>
        <v>Libre</v>
      </c>
      <c r="BJ13" s="4" t="str">
        <f>IF(Tabla4[[#This Row],[Estado mesa]]="Ocupada","00:15","00:00")</f>
        <v>00:00</v>
      </c>
      <c r="BK13" cm="1">
        <f t="array" ref="BK13">SUM(IF(Cocina!A:A=Tabla4[[#This Row],[Número de Orden]],Cocina!H:H,0))</f>
        <v>56</v>
      </c>
    </row>
    <row r="14" spans="1:63" x14ac:dyDescent="0.3">
      <c r="A14" s="8" t="str">
        <f>MID(Tabla4[[#This Row],[Cliente]], SEARCH("_", Tabla4[[#This Row],[Cliente]]) + 1, LEN(Tabla4[[#This Row],[Cliente]]) - SEARCH("_",Tabla4[[#This Row],[Cliente]]))</f>
        <v>890</v>
      </c>
      <c r="B14">
        <f>sala!K13</f>
        <v>12</v>
      </c>
      <c r="C14">
        <f>Tabla4[[#This Row],[Propina]]+Tabla4[[#This Row],[Precio Cena]]</f>
        <v>4853</v>
      </c>
      <c r="D14" s="3">
        <f>INT(sala!E13)</f>
        <v>45017</v>
      </c>
      <c r="E14" s="4">
        <f>MOD( sala!D13,1)</f>
        <v>2.7777777795563452E-3</v>
      </c>
      <c r="F14" s="4">
        <f>MOD( sala!E13,1)</f>
        <v>0.14097222222335404</v>
      </c>
      <c r="G14" s="4">
        <f>Tabla5[[#This Row],[Hora de Salida]]-Tabla5[[#This Row],[Hora de Llegada]]+Tabla4[[#This Row],[Tiempo Extra]]</f>
        <v>0.14861111111046435</v>
      </c>
      <c r="H14" s="5" t="str">
        <f>TEXT(Tabla4[[#This Row],[Preparación en horas]]/1440, "h:mm")</f>
        <v>1:35</v>
      </c>
      <c r="I14" s="4">
        <f>IF(Tabla5[[#This Row],[Tiempo Permanencia]]-Tabla5[[#This Row],[Tiempo de Preparación ]]&gt;=0,Tabla5[[#This Row],[Tiempo Permanencia]]-Tabla5[[#This Row],[Tiempo de Preparación ]],0)</f>
        <v>8.2638888888242126E-2</v>
      </c>
      <c r="J14" s="5" t="str">
        <f>IF(Tabla5[[#This Row],[Tiempo de Degustación]]=0,"No Cobrada","Cobrada")</f>
        <v>Cobrada</v>
      </c>
      <c r="K14" s="5" cm="1">
        <f t="array" ref="K14">SUM(IF(Tabla5[[#This Row],[Orden Cobrada]]="Cobrada",IF(Cocina!A:A=Tabla5[[#This Row],[Nº Orden]],Cocina!F:F*Cocina!G:G,0),-Tabla6[[#This Row],[Precio Cena]]))</f>
        <v>326</v>
      </c>
      <c r="L14" s="5">
        <f>IF(Tabla5[[#This Row],[Orden Cobrada]]="Cobrada",Tabla5[[#This Row],[Ganancia Bruta]]-Tabla6[[#This Row],[Coste Cena]],-Tabla6[[#This Row],[Precio Cena]]+Tabla6[[#This Row],[Coste Cena]])</f>
        <v>127</v>
      </c>
      <c r="M14" s="10">
        <f>IF(Tabla5[[#This Row],[Orden Cobrada]]="Cobrada",((Tabla5[[#This Row],[Ganancia Neta]]/Tabla5[[#This Row],[Ganancia Bruta]])*100)/100,-((Tabla5[[#This Row],[Ganancia Neta]]/Tabla5[[#This Row],[Ganancia Bruta]]*100)/100))</f>
        <v>0.38957055214723929</v>
      </c>
      <c r="N14" s="5" t="str">
        <f>sala!F13</f>
        <v>Mesero_4</v>
      </c>
      <c r="AY14" cm="1">
        <f t="array" ref="AY14">SUM(IF(Cocina!A:A=Tabla5[[#This Row],[Nº Orden]],Cocina!F:F*Cocina!G:G,0))</f>
        <v>326</v>
      </c>
      <c r="AZ14" cm="1">
        <f t="array" ref="AZ14">SUM(IF(Cocina!A:A=Tabla5[[#This Row],[Nº Orden]],Cocina!E:E*Cocina!G:G,0))</f>
        <v>199</v>
      </c>
      <c r="BB14" t="str">
        <f>MID(Tabla4[[#This Row],[Cliente]], SEARCH("_", Tabla4[[#This Row],[Cliente]]) + 1, LEN(Tabla4[[#This Row],[Cliente]]) - SEARCH("_",Tabla4[[#This Row],[Cliente]]))</f>
        <v>890</v>
      </c>
      <c r="BC14" t="str">
        <f>sala!B13</f>
        <v>Cliente_890</v>
      </c>
      <c r="BD14" s="1">
        <f>sala!D13</f>
        <v>45017.00277777778</v>
      </c>
      <c r="BE14" s="1">
        <f>sala!E13</f>
        <v>45017.140972222223</v>
      </c>
      <c r="BF14">
        <f>sala!K13</f>
        <v>12</v>
      </c>
      <c r="BG14">
        <f>sala!I13</f>
        <v>4527</v>
      </c>
      <c r="BH14" cm="1">
        <f t="array" ref="BH14">SUM(IF(Cocina!A:A=Tabla4[[#This Row],[Número de Orden]],Cocina!F:F*Cocina!G:G,0))</f>
        <v>326</v>
      </c>
      <c r="BI14" t="str">
        <f>sala!J13</f>
        <v>Ocupada</v>
      </c>
      <c r="BJ14" s="4" t="str">
        <f>IF(Tabla4[[#This Row],[Estado mesa]]="Ocupada","00:15","00:00")</f>
        <v>00:15</v>
      </c>
      <c r="BK14" cm="1">
        <f t="array" ref="BK14">SUM(IF(Cocina!A:A=Tabla4[[#This Row],[Número de Orden]],Cocina!H:H,0))</f>
        <v>95</v>
      </c>
    </row>
    <row r="15" spans="1:63" x14ac:dyDescent="0.3">
      <c r="A15" s="8" t="str">
        <f>MID(Tabla4[[#This Row],[Cliente]], SEARCH("_", Tabla4[[#This Row],[Cliente]]) + 1, LEN(Tabla4[[#This Row],[Cliente]]) - SEARCH("_",Tabla4[[#This Row],[Cliente]]))</f>
        <v>873</v>
      </c>
      <c r="B15">
        <f>sala!K14</f>
        <v>13</v>
      </c>
      <c r="C15">
        <f>Tabla4[[#This Row],[Propina]]+Tabla4[[#This Row],[Precio Cena]]</f>
        <v>2293</v>
      </c>
      <c r="D15" s="3">
        <f>INT(sala!E14)</f>
        <v>45017</v>
      </c>
      <c r="E15" s="4">
        <f>MOD( sala!D14,1)</f>
        <v>0.13124999999854481</v>
      </c>
      <c r="F15" s="4">
        <f>MOD( sala!E14,1)</f>
        <v>0.2305555555576575</v>
      </c>
      <c r="G15" s="4">
        <f>Tabla5[[#This Row],[Hora de Salida]]-Tabla5[[#This Row],[Hora de Llegada]]+Tabla4[[#This Row],[Tiempo Extra]]</f>
        <v>0.10972222222577936</v>
      </c>
      <c r="H15" s="5" t="str">
        <f>TEXT(Tabla4[[#This Row],[Preparación en horas]]/1440, "h:mm")</f>
        <v>0:59</v>
      </c>
      <c r="I15" s="4">
        <f>IF(Tabla5[[#This Row],[Tiempo Permanencia]]-Tabla5[[#This Row],[Tiempo de Preparación ]]&gt;=0,Tabla5[[#This Row],[Tiempo Permanencia]]-Tabla5[[#This Row],[Tiempo de Preparación ]],0)</f>
        <v>6.8750000003557132E-2</v>
      </c>
      <c r="J15" s="5" t="str">
        <f>IF(Tabla5[[#This Row],[Tiempo de Degustación]]=0,"No Cobrada","Cobrada")</f>
        <v>Cobrada</v>
      </c>
      <c r="K15" s="5" cm="1">
        <f t="array" ref="K15">SUM(IF(Tabla5[[#This Row],[Orden Cobrada]]="Cobrada",IF(Cocina!A:A=Tabla5[[#This Row],[Nº Orden]],Cocina!F:F*Cocina!G:G,0),-Tabla6[[#This Row],[Precio Cena]]))</f>
        <v>87</v>
      </c>
      <c r="L15" s="5">
        <f>IF(Tabla5[[#This Row],[Orden Cobrada]]="Cobrada",Tabla5[[#This Row],[Ganancia Bruta]]-Tabla6[[#This Row],[Coste Cena]],-Tabla6[[#This Row],[Precio Cena]]+Tabla6[[#This Row],[Coste Cena]])</f>
        <v>36</v>
      </c>
      <c r="M15" s="10">
        <f>IF(Tabla5[[#This Row],[Orden Cobrada]]="Cobrada",((Tabla5[[#This Row],[Ganancia Neta]]/Tabla5[[#This Row],[Ganancia Bruta]])*100)/100,-((Tabla5[[#This Row],[Ganancia Neta]]/Tabla5[[#This Row],[Ganancia Bruta]]*100)/100))</f>
        <v>0.41379310344827586</v>
      </c>
      <c r="N15" s="5" t="str">
        <f>sala!F14</f>
        <v>Mesero_5</v>
      </c>
      <c r="AY15" cm="1">
        <f t="array" ref="AY15">SUM(IF(Cocina!A:A=Tabla5[[#This Row],[Nº Orden]],Cocina!F:F*Cocina!G:G,0))</f>
        <v>87</v>
      </c>
      <c r="AZ15" cm="1">
        <f t="array" ref="AZ15">SUM(IF(Cocina!A:A=Tabla5[[#This Row],[Nº Orden]],Cocina!E:E*Cocina!G:G,0))</f>
        <v>51</v>
      </c>
      <c r="BB15" t="str">
        <f>MID(Tabla4[[#This Row],[Cliente]], SEARCH("_", Tabla4[[#This Row],[Cliente]]) + 1, LEN(Tabla4[[#This Row],[Cliente]]) - SEARCH("_",Tabla4[[#This Row],[Cliente]]))</f>
        <v>873</v>
      </c>
      <c r="BC15" t="str">
        <f>sala!B14</f>
        <v>Cliente_873</v>
      </c>
      <c r="BD15" s="1">
        <f>sala!D14</f>
        <v>45017.131249999999</v>
      </c>
      <c r="BE15" s="1">
        <f>sala!E14</f>
        <v>45017.230555555558</v>
      </c>
      <c r="BF15">
        <f>sala!K14</f>
        <v>13</v>
      </c>
      <c r="BG15">
        <f>sala!I14</f>
        <v>2206</v>
      </c>
      <c r="BH15" cm="1">
        <f t="array" ref="BH15">SUM(IF(Cocina!A:A=Tabla4[[#This Row],[Número de Orden]],Cocina!F:F*Cocina!G:G,0))</f>
        <v>87</v>
      </c>
      <c r="BI15" t="str">
        <f>sala!J14</f>
        <v>Ocupada</v>
      </c>
      <c r="BJ15" s="4" t="str">
        <f>IF(Tabla4[[#This Row],[Estado mesa]]="Ocupada","00:15","00:00")</f>
        <v>00:15</v>
      </c>
      <c r="BK15" cm="1">
        <f t="array" ref="BK15">SUM(IF(Cocina!A:A=Tabla4[[#This Row],[Número de Orden]],Cocina!H:H,0))</f>
        <v>59</v>
      </c>
    </row>
    <row r="16" spans="1:63" x14ac:dyDescent="0.3">
      <c r="A16" s="8" t="str">
        <f>MID(Tabla4[[#This Row],[Cliente]], SEARCH("_", Tabla4[[#This Row],[Cliente]]) + 1, LEN(Tabla4[[#This Row],[Cliente]]) - SEARCH("_",Tabla4[[#This Row],[Cliente]]))</f>
        <v>780</v>
      </c>
      <c r="B16">
        <f>sala!K15</f>
        <v>14</v>
      </c>
      <c r="C16">
        <f>Tabla4[[#This Row],[Propina]]+Tabla4[[#This Row],[Precio Cena]]</f>
        <v>5005</v>
      </c>
      <c r="D16" s="3">
        <f>INT(sala!E15)</f>
        <v>45017</v>
      </c>
      <c r="E16" s="4">
        <f>MOD( sala!D15,1)</f>
        <v>1.2499999997089617E-2</v>
      </c>
      <c r="F16" s="4">
        <f>MOD( sala!E15,1)</f>
        <v>8.1944444442342501E-2</v>
      </c>
      <c r="G16" s="4">
        <f>Tabla5[[#This Row],[Hora de Salida]]-Tabla5[[#This Row],[Hora de Llegada]]+Tabla4[[#This Row],[Tiempo Extra]]</f>
        <v>6.9444444445252884E-2</v>
      </c>
      <c r="H16" s="5" t="str">
        <f>TEXT(Tabla4[[#This Row],[Preparación en horas]]/1440, "h:mm")</f>
        <v>2:34</v>
      </c>
      <c r="I16" s="4">
        <f>IF(Tabla5[[#This Row],[Tiempo Permanencia]]-Tabla5[[#This Row],[Tiempo de Preparación ]]&gt;=0,Tabla5[[#This Row],[Tiempo Permanencia]]-Tabla5[[#This Row],[Tiempo de Preparación ]],0)</f>
        <v>0</v>
      </c>
      <c r="J16" s="5" t="str">
        <f>IF(Tabla5[[#This Row],[Tiempo de Degustación]]=0,"No Cobrada","Cobrada")</f>
        <v>No Cobrada</v>
      </c>
      <c r="K16" s="5" cm="1">
        <f t="array" ref="K16">SUM(IF(Tabla5[[#This Row],[Orden Cobrada]]="Cobrada",IF(Cocina!A:A=Tabla5[[#This Row],[Nº Orden]],Cocina!F:F*Cocina!G:G,0),-Tabla6[[#This Row],[Precio Cena]]))</f>
        <v>-129</v>
      </c>
      <c r="L16" s="5">
        <f>IF(Tabla5[[#This Row],[Orden Cobrada]]="Cobrada",Tabla5[[#This Row],[Ganancia Bruta]]-Tabla6[[#This Row],[Coste Cena]],-Tabla6[[#This Row],[Precio Cena]]+Tabla6[[#This Row],[Coste Cena]])</f>
        <v>-51</v>
      </c>
      <c r="M16" s="10">
        <f>IF(Tabla5[[#This Row],[Orden Cobrada]]="Cobrada",((Tabla5[[#This Row],[Ganancia Neta]]/Tabla5[[#This Row],[Ganancia Bruta]])*100)/100,-((Tabla5[[#This Row],[Ganancia Neta]]/Tabla5[[#This Row],[Ganancia Bruta]]*100)/100))</f>
        <v>-0.39534883720930231</v>
      </c>
      <c r="N16" s="5" t="str">
        <f>sala!F15</f>
        <v>Mesero_2</v>
      </c>
      <c r="AY16" cm="1">
        <f t="array" ref="AY16">SUM(IF(Cocina!A:A=Tabla5[[#This Row],[Nº Orden]],Cocina!F:F*Cocina!G:G,0))</f>
        <v>129</v>
      </c>
      <c r="AZ16" cm="1">
        <f t="array" ref="AZ16">SUM(IF(Cocina!A:A=Tabla5[[#This Row],[Nº Orden]],Cocina!E:E*Cocina!G:G,0))</f>
        <v>78</v>
      </c>
      <c r="BB16" t="str">
        <f>MID(Tabla4[[#This Row],[Cliente]], SEARCH("_", Tabla4[[#This Row],[Cliente]]) + 1, LEN(Tabla4[[#This Row],[Cliente]]) - SEARCH("_",Tabla4[[#This Row],[Cliente]]))</f>
        <v>780</v>
      </c>
      <c r="BC16" t="str">
        <f>sala!B15</f>
        <v>Cliente_780</v>
      </c>
      <c r="BD16" s="1">
        <f>sala!D15</f>
        <v>45017.012499999997</v>
      </c>
      <c r="BE16" s="1">
        <f>sala!E15</f>
        <v>45017.081944444442</v>
      </c>
      <c r="BF16">
        <f>sala!K15</f>
        <v>14</v>
      </c>
      <c r="BG16">
        <f>sala!I15</f>
        <v>4876</v>
      </c>
      <c r="BH16" cm="1">
        <f t="array" ref="BH16">SUM(IF(Cocina!A:A=Tabla4[[#This Row],[Número de Orden]],Cocina!F:F*Cocina!G:G,0))</f>
        <v>129</v>
      </c>
      <c r="BI16" t="str">
        <f>sala!J15</f>
        <v>Libre</v>
      </c>
      <c r="BJ16" s="4" t="str">
        <f>IF(Tabla4[[#This Row],[Estado mesa]]="Ocupada","00:15","00:00")</f>
        <v>00:00</v>
      </c>
      <c r="BK16" cm="1">
        <f t="array" ref="BK16">SUM(IF(Cocina!A:A=Tabla4[[#This Row],[Número de Orden]],Cocina!H:H,0))</f>
        <v>154</v>
      </c>
    </row>
    <row r="17" spans="1:63" x14ac:dyDescent="0.3">
      <c r="A17" s="8" t="str">
        <f>MID(Tabla4[[#This Row],[Cliente]], SEARCH("_", Tabla4[[#This Row],[Cliente]]) + 1, LEN(Tabla4[[#This Row],[Cliente]]) - SEARCH("_",Tabla4[[#This Row],[Cliente]]))</f>
        <v>728</v>
      </c>
      <c r="B17">
        <f>sala!K16</f>
        <v>15</v>
      </c>
      <c r="C17">
        <f>Tabla4[[#This Row],[Propina]]+Tabla4[[#This Row],[Precio Cena]]</f>
        <v>3101</v>
      </c>
      <c r="D17" s="3">
        <f>INT(sala!E16)</f>
        <v>45017</v>
      </c>
      <c r="E17" s="4">
        <f>MOD( sala!D16,1)</f>
        <v>0.14166666667006211</v>
      </c>
      <c r="F17" s="4">
        <f>MOD( sala!E16,1)</f>
        <v>0.20763888888905058</v>
      </c>
      <c r="G17" s="4">
        <f>Tabla5[[#This Row],[Hora de Salida]]-Tabla5[[#This Row],[Hora de Llegada]]+Tabla4[[#This Row],[Tiempo Extra]]</f>
        <v>7.6388888885655135E-2</v>
      </c>
      <c r="H17" s="5" t="str">
        <f>TEXT(Tabla4[[#This Row],[Preparación en horas]]/1440, "h:mm")</f>
        <v>1:43</v>
      </c>
      <c r="I17" s="4">
        <f>IF(Tabla5[[#This Row],[Tiempo Permanencia]]-Tabla5[[#This Row],[Tiempo de Preparación ]]&gt;=0,Tabla5[[#This Row],[Tiempo Permanencia]]-Tabla5[[#This Row],[Tiempo de Preparación ]],0)</f>
        <v>4.8611111078773611E-3</v>
      </c>
      <c r="J17" s="5" t="str">
        <f>IF(Tabla5[[#This Row],[Tiempo de Degustación]]=0,"No Cobrada","Cobrada")</f>
        <v>Cobrada</v>
      </c>
      <c r="K17" s="5" cm="1">
        <f t="array" ref="K17">SUM(IF(Tabla5[[#This Row],[Orden Cobrada]]="Cobrada",IF(Cocina!A:A=Tabla5[[#This Row],[Nº Orden]],Cocina!F:F*Cocina!G:G,0),-Tabla6[[#This Row],[Precio Cena]]))</f>
        <v>224</v>
      </c>
      <c r="L17" s="5">
        <f>IF(Tabla5[[#This Row],[Orden Cobrada]]="Cobrada",Tabla5[[#This Row],[Ganancia Bruta]]-Tabla6[[#This Row],[Coste Cena]],-Tabla6[[#This Row],[Precio Cena]]+Tabla6[[#This Row],[Coste Cena]])</f>
        <v>90</v>
      </c>
      <c r="M17" s="10">
        <f>IF(Tabla5[[#This Row],[Orden Cobrada]]="Cobrada",((Tabla5[[#This Row],[Ganancia Neta]]/Tabla5[[#This Row],[Ganancia Bruta]])*100)/100,-((Tabla5[[#This Row],[Ganancia Neta]]/Tabla5[[#This Row],[Ganancia Bruta]]*100)/100))</f>
        <v>0.4017857142857143</v>
      </c>
      <c r="N17" s="5" t="str">
        <f>sala!F16</f>
        <v>Mesero_1</v>
      </c>
      <c r="AY17" cm="1">
        <f t="array" ref="AY17">SUM(IF(Cocina!A:A=Tabla5[[#This Row],[Nº Orden]],Cocina!F:F*Cocina!G:G,0))</f>
        <v>224</v>
      </c>
      <c r="AZ17" cm="1">
        <f t="array" ref="AZ17">SUM(IF(Cocina!A:A=Tabla5[[#This Row],[Nº Orden]],Cocina!E:E*Cocina!G:G,0))</f>
        <v>134</v>
      </c>
      <c r="BB17" t="str">
        <f>MID(Tabla4[[#This Row],[Cliente]], SEARCH("_", Tabla4[[#This Row],[Cliente]]) + 1, LEN(Tabla4[[#This Row],[Cliente]]) - SEARCH("_",Tabla4[[#This Row],[Cliente]]))</f>
        <v>728</v>
      </c>
      <c r="BC17" t="str">
        <f>sala!B16</f>
        <v>Cliente_728</v>
      </c>
      <c r="BD17" s="1">
        <f>sala!D16</f>
        <v>45017.14166666667</v>
      </c>
      <c r="BE17" s="1">
        <f>sala!E16</f>
        <v>45017.207638888889</v>
      </c>
      <c r="BF17">
        <f>sala!K16</f>
        <v>15</v>
      </c>
      <c r="BG17">
        <f>sala!I16</f>
        <v>2877</v>
      </c>
      <c r="BH17" cm="1">
        <f t="array" ref="BH17">SUM(IF(Cocina!A:A=Tabla4[[#This Row],[Número de Orden]],Cocina!F:F*Cocina!G:G,0))</f>
        <v>224</v>
      </c>
      <c r="BI17" t="str">
        <f>sala!J16</f>
        <v>Ocupada</v>
      </c>
      <c r="BJ17" s="4" t="str">
        <f>IF(Tabla4[[#This Row],[Estado mesa]]="Ocupada","00:15","00:00")</f>
        <v>00:15</v>
      </c>
      <c r="BK17" cm="1">
        <f t="array" ref="BK17">SUM(IF(Cocina!A:A=Tabla4[[#This Row],[Número de Orden]],Cocina!H:H,0))</f>
        <v>103</v>
      </c>
    </row>
    <row r="18" spans="1:63" x14ac:dyDescent="0.3">
      <c r="A18" s="8" t="str">
        <f>MID(Tabla4[[#This Row],[Cliente]], SEARCH("_", Tabla4[[#This Row],[Cliente]]) + 1, LEN(Tabla4[[#This Row],[Cliente]]) - SEARCH("_",Tabla4[[#This Row],[Cliente]]))</f>
        <v>175</v>
      </c>
      <c r="B18">
        <f>sala!K17</f>
        <v>16</v>
      </c>
      <c r="C18">
        <f>Tabla4[[#This Row],[Propina]]+Tabla4[[#This Row],[Precio Cena]]</f>
        <v>407</v>
      </c>
      <c r="D18" s="3">
        <f>INT(sala!E17)</f>
        <v>45017</v>
      </c>
      <c r="E18" s="4">
        <f>MOD( sala!D17,1)</f>
        <v>0.10486111111094942</v>
      </c>
      <c r="F18" s="4">
        <f>MOD( sala!E17,1)</f>
        <v>0.18333333333430346</v>
      </c>
      <c r="G18" s="4">
        <f>Tabla5[[#This Row],[Hora de Salida]]-Tabla5[[#This Row],[Hora de Llegada]]+Tabla4[[#This Row],[Tiempo Extra]]</f>
        <v>7.8472222223354038E-2</v>
      </c>
      <c r="H18" s="5" t="str">
        <f>TEXT(Tabla4[[#This Row],[Preparación en horas]]/1440, "h:mm")</f>
        <v>0:38</v>
      </c>
      <c r="I18" s="4">
        <f>IF(Tabla5[[#This Row],[Tiempo Permanencia]]-Tabla5[[#This Row],[Tiempo de Preparación ]]&gt;=0,Tabla5[[#This Row],[Tiempo Permanencia]]-Tabla5[[#This Row],[Tiempo de Preparación ]],0)</f>
        <v>5.2083333334465146E-2</v>
      </c>
      <c r="J18" s="5" t="str">
        <f>IF(Tabla5[[#This Row],[Tiempo de Degustación]]=0,"No Cobrada","Cobrada")</f>
        <v>Cobrada</v>
      </c>
      <c r="K18" s="5" cm="1">
        <f t="array" ref="K18">SUM(IF(Tabla5[[#This Row],[Orden Cobrada]]="Cobrada",IF(Cocina!A:A=Tabla5[[#This Row],[Nº Orden]],Cocina!F:F*Cocina!G:G,0),-Tabla6[[#This Row],[Precio Cena]]))</f>
        <v>28</v>
      </c>
      <c r="L18" s="5">
        <f>IF(Tabla5[[#This Row],[Orden Cobrada]]="Cobrada",Tabla5[[#This Row],[Ganancia Bruta]]-Tabla6[[#This Row],[Coste Cena]],-Tabla6[[#This Row],[Precio Cena]]+Tabla6[[#This Row],[Coste Cena]])</f>
        <v>12</v>
      </c>
      <c r="M18" s="10">
        <f>IF(Tabla5[[#This Row],[Orden Cobrada]]="Cobrada",((Tabla5[[#This Row],[Ganancia Neta]]/Tabla5[[#This Row],[Ganancia Bruta]])*100)/100,-((Tabla5[[#This Row],[Ganancia Neta]]/Tabla5[[#This Row],[Ganancia Bruta]]*100)/100))</f>
        <v>0.42857142857142855</v>
      </c>
      <c r="N18" s="5" t="str">
        <f>sala!F17</f>
        <v>Mesero_4</v>
      </c>
      <c r="AY18" cm="1">
        <f t="array" ref="AY18">SUM(IF(Cocina!A:A=Tabla5[[#This Row],[Nº Orden]],Cocina!F:F*Cocina!G:G,0))</f>
        <v>28</v>
      </c>
      <c r="AZ18" cm="1">
        <f t="array" ref="AZ18">SUM(IF(Cocina!A:A=Tabla5[[#This Row],[Nº Orden]],Cocina!E:E*Cocina!G:G,0))</f>
        <v>16</v>
      </c>
      <c r="BB18" t="str">
        <f>MID(Tabla4[[#This Row],[Cliente]], SEARCH("_", Tabla4[[#This Row],[Cliente]]) + 1, LEN(Tabla4[[#This Row],[Cliente]]) - SEARCH("_",Tabla4[[#This Row],[Cliente]]))</f>
        <v>175</v>
      </c>
      <c r="BC18" t="str">
        <f>sala!B17</f>
        <v>Cliente_175</v>
      </c>
      <c r="BD18" s="1">
        <f>sala!D17</f>
        <v>45017.104861111111</v>
      </c>
      <c r="BE18" s="1">
        <f>sala!E17</f>
        <v>45017.183333333334</v>
      </c>
      <c r="BF18">
        <f>sala!K17</f>
        <v>16</v>
      </c>
      <c r="BG18">
        <f>sala!I17</f>
        <v>379</v>
      </c>
      <c r="BH18" cm="1">
        <f t="array" ref="BH18">SUM(IF(Cocina!A:A=Tabla4[[#This Row],[Número de Orden]],Cocina!F:F*Cocina!G:G,0))</f>
        <v>28</v>
      </c>
      <c r="BI18" t="str">
        <f>sala!J17</f>
        <v>Reservada</v>
      </c>
      <c r="BJ18" s="4" t="str">
        <f>IF(Tabla4[[#This Row],[Estado mesa]]="Ocupada","00:15","00:00")</f>
        <v>00:00</v>
      </c>
      <c r="BK18" cm="1">
        <f t="array" ref="BK18">SUM(IF(Cocina!A:A=Tabla4[[#This Row],[Número de Orden]],Cocina!H:H,0))</f>
        <v>38</v>
      </c>
    </row>
    <row r="19" spans="1:63" x14ac:dyDescent="0.3">
      <c r="A19" s="8" t="str">
        <f>MID(Tabla4[[#This Row],[Cliente]], SEARCH("_", Tabla4[[#This Row],[Cliente]]) + 1, LEN(Tabla4[[#This Row],[Cliente]]) - SEARCH("_",Tabla4[[#This Row],[Cliente]]))</f>
        <v>200</v>
      </c>
      <c r="B19">
        <f>sala!K18</f>
        <v>17</v>
      </c>
      <c r="C19">
        <f>Tabla4[[#This Row],[Propina]]+Tabla4[[#This Row],[Precio Cena]]</f>
        <v>1354</v>
      </c>
      <c r="D19" s="3">
        <f>INT(sala!E18)</f>
        <v>45017</v>
      </c>
      <c r="E19" s="4">
        <f>MOD( sala!D18,1)</f>
        <v>6.2499999985448085E-3</v>
      </c>
      <c r="F19" s="4">
        <f>MOD( sala!E18,1)</f>
        <v>0.14375000000291038</v>
      </c>
      <c r="G19" s="4">
        <f>Tabla5[[#This Row],[Hora de Salida]]-Tabla5[[#This Row],[Hora de Llegada]]+Tabla4[[#This Row],[Tiempo Extra]]</f>
        <v>0.13750000000436557</v>
      </c>
      <c r="H19" s="5" t="str">
        <f>TEXT(Tabla4[[#This Row],[Preparación en horas]]/1440, "h:mm")</f>
        <v>2:38</v>
      </c>
      <c r="I19" s="4">
        <f>IF(Tabla5[[#This Row],[Tiempo Permanencia]]-Tabla5[[#This Row],[Tiempo de Preparación ]]&gt;=0,Tabla5[[#This Row],[Tiempo Permanencia]]-Tabla5[[#This Row],[Tiempo de Preparación ]],0)</f>
        <v>2.7777777782143354E-2</v>
      </c>
      <c r="J19" s="5" t="str">
        <f>IF(Tabla5[[#This Row],[Tiempo de Degustación]]=0,"No Cobrada","Cobrada")</f>
        <v>Cobrada</v>
      </c>
      <c r="K19" s="5" cm="1">
        <f t="array" ref="K19">SUM(IF(Tabla5[[#This Row],[Orden Cobrada]]="Cobrada",IF(Cocina!A:A=Tabla5[[#This Row],[Nº Orden]],Cocina!F:F*Cocina!G:G,0),-Tabla6[[#This Row],[Precio Cena]]))</f>
        <v>137</v>
      </c>
      <c r="L19" s="5">
        <f>IF(Tabla5[[#This Row],[Orden Cobrada]]="Cobrada",Tabla5[[#This Row],[Ganancia Bruta]]-Tabla6[[#This Row],[Coste Cena]],-Tabla6[[#This Row],[Precio Cena]]+Tabla6[[#This Row],[Coste Cena]])</f>
        <v>57</v>
      </c>
      <c r="M19" s="10">
        <f>IF(Tabla5[[#This Row],[Orden Cobrada]]="Cobrada",((Tabla5[[#This Row],[Ganancia Neta]]/Tabla5[[#This Row],[Ganancia Bruta]])*100)/100,-((Tabla5[[#This Row],[Ganancia Neta]]/Tabla5[[#This Row],[Ganancia Bruta]]*100)/100))</f>
        <v>0.41605839416058393</v>
      </c>
      <c r="N19" s="5" t="str">
        <f>sala!F18</f>
        <v>Mesero_2</v>
      </c>
      <c r="AY19" cm="1">
        <f t="array" ref="AY19">SUM(IF(Cocina!A:A=Tabla5[[#This Row],[Nº Orden]],Cocina!F:F*Cocina!G:G,0))</f>
        <v>137</v>
      </c>
      <c r="AZ19" cm="1">
        <f t="array" ref="AZ19">SUM(IF(Cocina!A:A=Tabla5[[#This Row],[Nº Orden]],Cocina!E:E*Cocina!G:G,0))</f>
        <v>80</v>
      </c>
      <c r="BB19" t="str">
        <f>MID(Tabla4[[#This Row],[Cliente]], SEARCH("_", Tabla4[[#This Row],[Cliente]]) + 1, LEN(Tabla4[[#This Row],[Cliente]]) - SEARCH("_",Tabla4[[#This Row],[Cliente]]))</f>
        <v>200</v>
      </c>
      <c r="BC19" t="str">
        <f>sala!B18</f>
        <v>Cliente_200</v>
      </c>
      <c r="BD19" s="1">
        <f>sala!D18</f>
        <v>45017.006249999999</v>
      </c>
      <c r="BE19" s="1">
        <f>sala!E18</f>
        <v>45017.143750000003</v>
      </c>
      <c r="BF19">
        <f>sala!K18</f>
        <v>17</v>
      </c>
      <c r="BG19">
        <f>sala!I18</f>
        <v>1217</v>
      </c>
      <c r="BH19" cm="1">
        <f t="array" ref="BH19">SUM(IF(Cocina!A:A=Tabla4[[#This Row],[Número de Orden]],Cocina!F:F*Cocina!G:G,0))</f>
        <v>137</v>
      </c>
      <c r="BI19" t="str">
        <f>sala!J18</f>
        <v>Libre</v>
      </c>
      <c r="BJ19" s="4" t="str">
        <f>IF(Tabla4[[#This Row],[Estado mesa]]="Ocupada","00:15","00:00")</f>
        <v>00:00</v>
      </c>
      <c r="BK19" cm="1">
        <f t="array" ref="BK19">SUM(IF(Cocina!A:A=Tabla4[[#This Row],[Número de Orden]],Cocina!H:H,0))</f>
        <v>158</v>
      </c>
    </row>
    <row r="20" spans="1:63" x14ac:dyDescent="0.3">
      <c r="A20" s="8" t="str">
        <f>MID(Tabla4[[#This Row],[Cliente]], SEARCH("_", Tabla4[[#This Row],[Cliente]]) + 1, LEN(Tabla4[[#This Row],[Cliente]]) - SEARCH("_",Tabla4[[#This Row],[Cliente]]))</f>
        <v>190</v>
      </c>
      <c r="B20">
        <f>sala!K19</f>
        <v>18</v>
      </c>
      <c r="C20">
        <f>Tabla4[[#This Row],[Propina]]+Tabla4[[#This Row],[Precio Cena]]</f>
        <v>3560</v>
      </c>
      <c r="D20" s="3">
        <f>INT(sala!E19)</f>
        <v>45017</v>
      </c>
      <c r="E20" s="4">
        <f>MOD( sala!D19,1)</f>
        <v>8.7500000001455192E-2</v>
      </c>
      <c r="F20" s="4">
        <f>MOD( sala!E19,1)</f>
        <v>0.18472222222044365</v>
      </c>
      <c r="G20" s="4">
        <f>Tabla5[[#This Row],[Hora de Salida]]-Tabla5[[#This Row],[Hora de Llegada]]+Tabla4[[#This Row],[Tiempo Extra]]</f>
        <v>9.7222222218988463E-2</v>
      </c>
      <c r="H20" s="5" t="str">
        <f>TEXT(Tabla4[[#This Row],[Preparación en horas]]/1440, "h:mm")</f>
        <v>2:14</v>
      </c>
      <c r="I20" s="4">
        <f>IF(Tabla5[[#This Row],[Tiempo Permanencia]]-Tabla5[[#This Row],[Tiempo de Preparación ]]&gt;=0,Tabla5[[#This Row],[Tiempo Permanencia]]-Tabla5[[#This Row],[Tiempo de Preparación ]],0)</f>
        <v>4.1666666634329053E-3</v>
      </c>
      <c r="J20" s="5" t="str">
        <f>IF(Tabla5[[#This Row],[Tiempo de Degustación]]=0,"No Cobrada","Cobrada")</f>
        <v>Cobrada</v>
      </c>
      <c r="K20" s="5" cm="1">
        <f t="array" ref="K20">SUM(IF(Tabla5[[#This Row],[Orden Cobrada]]="Cobrada",IF(Cocina!A:A=Tabla5[[#This Row],[Nº Orden]],Cocina!F:F*Cocina!G:G,0),-Tabla6[[#This Row],[Precio Cena]]))</f>
        <v>251</v>
      </c>
      <c r="L20" s="5">
        <f>IF(Tabla5[[#This Row],[Orden Cobrada]]="Cobrada",Tabla5[[#This Row],[Ganancia Bruta]]-Tabla6[[#This Row],[Coste Cena]],-Tabla6[[#This Row],[Precio Cena]]+Tabla6[[#This Row],[Coste Cena]])</f>
        <v>101</v>
      </c>
      <c r="M20" s="10">
        <f>IF(Tabla5[[#This Row],[Orden Cobrada]]="Cobrada",((Tabla5[[#This Row],[Ganancia Neta]]/Tabla5[[#This Row],[Ganancia Bruta]])*100)/100,-((Tabla5[[#This Row],[Ganancia Neta]]/Tabla5[[#This Row],[Ganancia Bruta]]*100)/100))</f>
        <v>0.40239043824701193</v>
      </c>
      <c r="N20" s="5" t="str">
        <f>sala!F19</f>
        <v>Mesero_2</v>
      </c>
      <c r="AY20" cm="1">
        <f t="array" ref="AY20">SUM(IF(Cocina!A:A=Tabla5[[#This Row],[Nº Orden]],Cocina!F:F*Cocina!G:G,0))</f>
        <v>251</v>
      </c>
      <c r="AZ20" cm="1">
        <f t="array" ref="AZ20">SUM(IF(Cocina!A:A=Tabla5[[#This Row],[Nº Orden]],Cocina!E:E*Cocina!G:G,0))</f>
        <v>150</v>
      </c>
      <c r="BB20" t="str">
        <f>MID(Tabla4[[#This Row],[Cliente]], SEARCH("_", Tabla4[[#This Row],[Cliente]]) + 1, LEN(Tabla4[[#This Row],[Cliente]]) - SEARCH("_",Tabla4[[#This Row],[Cliente]]))</f>
        <v>190</v>
      </c>
      <c r="BC20" t="str">
        <f>sala!B19</f>
        <v>Cliente_190</v>
      </c>
      <c r="BD20" s="1">
        <f>sala!D19</f>
        <v>45017.087500000001</v>
      </c>
      <c r="BE20" s="1">
        <f>sala!E19</f>
        <v>45017.18472222222</v>
      </c>
      <c r="BF20">
        <f>sala!K19</f>
        <v>18</v>
      </c>
      <c r="BG20">
        <f>sala!I19</f>
        <v>3309</v>
      </c>
      <c r="BH20" cm="1">
        <f t="array" ref="BH20">SUM(IF(Cocina!A:A=Tabla4[[#This Row],[Número de Orden]],Cocina!F:F*Cocina!G:G,0))</f>
        <v>251</v>
      </c>
      <c r="BI20" t="str">
        <f>sala!J19</f>
        <v>Libre</v>
      </c>
      <c r="BJ20" s="4" t="str">
        <f>IF(Tabla4[[#This Row],[Estado mesa]]="Ocupada","00:15","00:00")</f>
        <v>00:00</v>
      </c>
      <c r="BK20" cm="1">
        <f t="array" ref="BK20">SUM(IF(Cocina!A:A=Tabla4[[#This Row],[Número de Orden]],Cocina!H:H,0))</f>
        <v>134</v>
      </c>
    </row>
    <row r="21" spans="1:63" x14ac:dyDescent="0.3">
      <c r="A21" s="8" t="str">
        <f>MID(Tabla4[[#This Row],[Cliente]], SEARCH("_", Tabla4[[#This Row],[Cliente]]) + 1, LEN(Tabla4[[#This Row],[Cliente]]) - SEARCH("_",Tabla4[[#This Row],[Cliente]]))</f>
        <v>290</v>
      </c>
      <c r="B21">
        <f>sala!K20</f>
        <v>19</v>
      </c>
      <c r="C21">
        <f>Tabla4[[#This Row],[Propina]]+Tabla4[[#This Row],[Precio Cena]]</f>
        <v>1825</v>
      </c>
      <c r="D21" s="3">
        <f>INT(sala!E20)</f>
        <v>45017</v>
      </c>
      <c r="E21" s="4">
        <f>MOD( sala!D20,1)</f>
        <v>2.4305555554747116E-2</v>
      </c>
      <c r="F21" s="4">
        <f>MOD( sala!E20,1)</f>
        <v>0.14513888888905058</v>
      </c>
      <c r="G21" s="4">
        <f>Tabla5[[#This Row],[Hora de Salida]]-Tabla5[[#This Row],[Hora de Llegada]]+Tabla4[[#This Row],[Tiempo Extra]]</f>
        <v>0.12083333333430346</v>
      </c>
      <c r="H21" s="5" t="str">
        <f>TEXT(Tabla4[[#This Row],[Preparación en horas]]/1440, "h:mm")</f>
        <v>0:44</v>
      </c>
      <c r="I21" s="4">
        <f>IF(Tabla5[[#This Row],[Tiempo Permanencia]]-Tabla5[[#This Row],[Tiempo de Preparación ]]&gt;=0,Tabla5[[#This Row],[Tiempo Permanencia]]-Tabla5[[#This Row],[Tiempo de Preparación ]],0)</f>
        <v>9.0277777778747903E-2</v>
      </c>
      <c r="J21" s="5" t="str">
        <f>IF(Tabla5[[#This Row],[Tiempo de Degustación]]=0,"No Cobrada","Cobrada")</f>
        <v>Cobrada</v>
      </c>
      <c r="K21" s="5" cm="1">
        <f t="array" ref="K21">SUM(IF(Tabla5[[#This Row],[Orden Cobrada]]="Cobrada",IF(Cocina!A:A=Tabla5[[#This Row],[Nº Orden]],Cocina!F:F*Cocina!G:G,0),-Tabla6[[#This Row],[Precio Cena]]))</f>
        <v>80</v>
      </c>
      <c r="L21" s="5">
        <f>IF(Tabla5[[#This Row],[Orden Cobrada]]="Cobrada",Tabla5[[#This Row],[Ganancia Bruta]]-Tabla6[[#This Row],[Coste Cena]],-Tabla6[[#This Row],[Precio Cena]]+Tabla6[[#This Row],[Coste Cena]])</f>
        <v>30</v>
      </c>
      <c r="M21" s="10">
        <f>IF(Tabla5[[#This Row],[Orden Cobrada]]="Cobrada",((Tabla5[[#This Row],[Ganancia Neta]]/Tabla5[[#This Row],[Ganancia Bruta]])*100)/100,-((Tabla5[[#This Row],[Ganancia Neta]]/Tabla5[[#This Row],[Ganancia Bruta]]*100)/100))</f>
        <v>0.375</v>
      </c>
      <c r="N21" s="5" t="str">
        <f>sala!F20</f>
        <v>Mesero_2</v>
      </c>
      <c r="AY21" cm="1">
        <f t="array" ref="AY21">SUM(IF(Cocina!A:A=Tabla5[[#This Row],[Nº Orden]],Cocina!F:F*Cocina!G:G,0))</f>
        <v>80</v>
      </c>
      <c r="AZ21" cm="1">
        <f t="array" ref="AZ21">SUM(IF(Cocina!A:A=Tabla5[[#This Row],[Nº Orden]],Cocina!E:E*Cocina!G:G,0))</f>
        <v>50</v>
      </c>
      <c r="BB21" t="str">
        <f>MID(Tabla4[[#This Row],[Cliente]], SEARCH("_", Tabla4[[#This Row],[Cliente]]) + 1, LEN(Tabla4[[#This Row],[Cliente]]) - SEARCH("_",Tabla4[[#This Row],[Cliente]]))</f>
        <v>290</v>
      </c>
      <c r="BC21" t="str">
        <f>sala!B20</f>
        <v>Cliente_290</v>
      </c>
      <c r="BD21" s="1">
        <f>sala!D20</f>
        <v>45017.024305555555</v>
      </c>
      <c r="BE21" s="1">
        <f>sala!E20</f>
        <v>45017.145138888889</v>
      </c>
      <c r="BF21">
        <f>sala!K20</f>
        <v>19</v>
      </c>
      <c r="BG21">
        <f>sala!I20</f>
        <v>1745</v>
      </c>
      <c r="BH21" cm="1">
        <f t="array" ref="BH21">SUM(IF(Cocina!A:A=Tabla4[[#This Row],[Número de Orden]],Cocina!F:F*Cocina!G:G,0))</f>
        <v>80</v>
      </c>
      <c r="BI21" t="str">
        <f>sala!J20</f>
        <v>Libre</v>
      </c>
      <c r="BJ21" s="4" t="str">
        <f>IF(Tabla4[[#This Row],[Estado mesa]]="Ocupada","00:15","00:00")</f>
        <v>00:00</v>
      </c>
      <c r="BK21" cm="1">
        <f t="array" ref="BK21">SUM(IF(Cocina!A:A=Tabla4[[#This Row],[Número de Orden]],Cocina!H:H,0))</f>
        <v>44</v>
      </c>
    </row>
    <row r="22" spans="1:63" x14ac:dyDescent="0.3">
      <c r="A22" s="8" t="str">
        <f>MID(Tabla4[[#This Row],[Cliente]], SEARCH("_", Tabla4[[#This Row],[Cliente]]) + 1, LEN(Tabla4[[#This Row],[Cliente]]) - SEARCH("_",Tabla4[[#This Row],[Cliente]]))</f>
        <v>972</v>
      </c>
      <c r="B22">
        <f>sala!K21</f>
        <v>20</v>
      </c>
      <c r="C22">
        <f>Tabla4[[#This Row],[Propina]]+Tabla4[[#This Row],[Precio Cena]]</f>
        <v>495</v>
      </c>
      <c r="D22" s="3">
        <f>INT(sala!E21)</f>
        <v>45017</v>
      </c>
      <c r="E22" s="4">
        <f>MOD( sala!D21,1)</f>
        <v>5.9027777781011537E-2</v>
      </c>
      <c r="F22" s="4">
        <f>MOD( sala!E21,1)</f>
        <v>0.21666666666715173</v>
      </c>
      <c r="G22" s="4">
        <f>Tabla5[[#This Row],[Hora de Salida]]-Tabla5[[#This Row],[Hora de Llegada]]+Tabla4[[#This Row],[Tiempo Extra]]</f>
        <v>0.15763888888614019</v>
      </c>
      <c r="H22" s="5" t="str">
        <f>TEXT(Tabla4[[#This Row],[Preparación en horas]]/1440, "h:mm")</f>
        <v>1:10</v>
      </c>
      <c r="I22" s="4">
        <f>IF(Tabla5[[#This Row],[Tiempo Permanencia]]-Tabla5[[#This Row],[Tiempo de Preparación ]]&gt;=0,Tabla5[[#This Row],[Tiempo Permanencia]]-Tabla5[[#This Row],[Tiempo de Preparación ]],0)</f>
        <v>0.10902777777502909</v>
      </c>
      <c r="J22" s="5" t="str">
        <f>IF(Tabla5[[#This Row],[Tiempo de Degustación]]=0,"No Cobrada","Cobrada")</f>
        <v>Cobrada</v>
      </c>
      <c r="K22" s="5" cm="1">
        <f t="array" ref="K22">SUM(IF(Tabla5[[#This Row],[Orden Cobrada]]="Cobrada",IF(Cocina!A:A=Tabla5[[#This Row],[Nº Orden]],Cocina!F:F*Cocina!G:G,0),-Tabla6[[#This Row],[Precio Cena]]))</f>
        <v>178</v>
      </c>
      <c r="L22" s="5">
        <f>IF(Tabla5[[#This Row],[Orden Cobrada]]="Cobrada",Tabla5[[#This Row],[Ganancia Bruta]]-Tabla6[[#This Row],[Coste Cena]],-Tabla6[[#This Row],[Precio Cena]]+Tabla6[[#This Row],[Coste Cena]])</f>
        <v>71</v>
      </c>
      <c r="M22" s="10">
        <f>IF(Tabla5[[#This Row],[Orden Cobrada]]="Cobrada",((Tabla5[[#This Row],[Ganancia Neta]]/Tabla5[[#This Row],[Ganancia Bruta]])*100)/100,-((Tabla5[[#This Row],[Ganancia Neta]]/Tabla5[[#This Row],[Ganancia Bruta]]*100)/100))</f>
        <v>0.398876404494382</v>
      </c>
      <c r="N22" s="5" t="str">
        <f>sala!F21</f>
        <v>Mesero_3</v>
      </c>
      <c r="AY22" cm="1">
        <f t="array" ref="AY22">SUM(IF(Cocina!A:A=Tabla5[[#This Row],[Nº Orden]],Cocina!F:F*Cocina!G:G,0))</f>
        <v>178</v>
      </c>
      <c r="AZ22" cm="1">
        <f t="array" ref="AZ22">SUM(IF(Cocina!A:A=Tabla5[[#This Row],[Nº Orden]],Cocina!E:E*Cocina!G:G,0))</f>
        <v>107</v>
      </c>
      <c r="BB22" t="str">
        <f>MID(Tabla4[[#This Row],[Cliente]], SEARCH("_", Tabla4[[#This Row],[Cliente]]) + 1, LEN(Tabla4[[#This Row],[Cliente]]) - SEARCH("_",Tabla4[[#This Row],[Cliente]]))</f>
        <v>972</v>
      </c>
      <c r="BC22" t="str">
        <f>sala!B21</f>
        <v>Cliente_972</v>
      </c>
      <c r="BD22" s="1">
        <f>sala!D21</f>
        <v>45017.059027777781</v>
      </c>
      <c r="BE22" s="1">
        <f>sala!E21</f>
        <v>45017.216666666667</v>
      </c>
      <c r="BF22">
        <f>sala!K21</f>
        <v>20</v>
      </c>
      <c r="BG22">
        <f>sala!I21</f>
        <v>317</v>
      </c>
      <c r="BH22" cm="1">
        <f t="array" ref="BH22">SUM(IF(Cocina!A:A=Tabla4[[#This Row],[Número de Orden]],Cocina!F:F*Cocina!G:G,0))</f>
        <v>178</v>
      </c>
      <c r="BI22" t="str">
        <f>sala!J21</f>
        <v>Reservada</v>
      </c>
      <c r="BJ22" s="4" t="str">
        <f>IF(Tabla4[[#This Row],[Estado mesa]]="Ocupada","00:15","00:00")</f>
        <v>00:00</v>
      </c>
      <c r="BK22" cm="1">
        <f t="array" ref="BK22">SUM(IF(Cocina!A:A=Tabla4[[#This Row],[Número de Orden]],Cocina!H:H,0))</f>
        <v>70</v>
      </c>
    </row>
    <row r="23" spans="1:63" x14ac:dyDescent="0.3">
      <c r="A23" s="8" t="str">
        <f>MID(Tabla4[[#This Row],[Cliente]], SEARCH("_", Tabla4[[#This Row],[Cliente]]) + 1, LEN(Tabla4[[#This Row],[Cliente]]) - SEARCH("_",Tabla4[[#This Row],[Cliente]]))</f>
        <v>210</v>
      </c>
      <c r="B23">
        <f>sala!K22</f>
        <v>21</v>
      </c>
      <c r="C23">
        <f>Tabla4[[#This Row],[Propina]]+Tabla4[[#This Row],[Precio Cena]]</f>
        <v>2327</v>
      </c>
      <c r="D23" s="3">
        <f>INT(sala!E22)</f>
        <v>45017</v>
      </c>
      <c r="E23" s="4">
        <f>MOD( sala!D22,1)</f>
        <v>0.15208333333430346</v>
      </c>
      <c r="F23" s="4">
        <f>MOD( sala!E22,1)</f>
        <v>0.24444444444088731</v>
      </c>
      <c r="G23" s="4">
        <f>Tabla5[[#This Row],[Hora de Salida]]-Tabla5[[#This Row],[Hora de Llegada]]+Tabla4[[#This Row],[Tiempo Extra]]</f>
        <v>9.2361111106583849E-2</v>
      </c>
      <c r="H23" s="5" t="str">
        <f>TEXT(Tabla4[[#This Row],[Preparación en horas]]/1440, "h:mm")</f>
        <v>2:32</v>
      </c>
      <c r="I23" s="4">
        <f>IF(Tabla5[[#This Row],[Tiempo Permanencia]]-Tabla5[[#This Row],[Tiempo de Preparación ]]&gt;=0,Tabla5[[#This Row],[Tiempo Permanencia]]-Tabla5[[#This Row],[Tiempo de Preparación ]],0)</f>
        <v>0</v>
      </c>
      <c r="J23" s="5" t="str">
        <f>IF(Tabla5[[#This Row],[Tiempo de Degustación]]=0,"No Cobrada","Cobrada")</f>
        <v>No Cobrada</v>
      </c>
      <c r="K23" s="5" cm="1">
        <f t="array" ref="K23">SUM(IF(Tabla5[[#This Row],[Orden Cobrada]]="Cobrada",IF(Cocina!A:A=Tabla5[[#This Row],[Nº Orden]],Cocina!F:F*Cocina!G:G,0),-Tabla6[[#This Row],[Precio Cena]]))</f>
        <v>-274</v>
      </c>
      <c r="L23" s="5">
        <f>IF(Tabla5[[#This Row],[Orden Cobrada]]="Cobrada",Tabla5[[#This Row],[Ganancia Bruta]]-Tabla6[[#This Row],[Coste Cena]],-Tabla6[[#This Row],[Precio Cena]]+Tabla6[[#This Row],[Coste Cena]])</f>
        <v>-107</v>
      </c>
      <c r="M23" s="10">
        <f>IF(Tabla5[[#This Row],[Orden Cobrada]]="Cobrada",((Tabla5[[#This Row],[Ganancia Neta]]/Tabla5[[#This Row],[Ganancia Bruta]])*100)/100,-((Tabla5[[#This Row],[Ganancia Neta]]/Tabla5[[#This Row],[Ganancia Bruta]]*100)/100))</f>
        <v>-0.39051094890510951</v>
      </c>
      <c r="N23" s="5" t="str">
        <f>sala!F22</f>
        <v>Mesero_3</v>
      </c>
      <c r="AY23" cm="1">
        <f t="array" ref="AY23">SUM(IF(Cocina!A:A=Tabla5[[#This Row],[Nº Orden]],Cocina!F:F*Cocina!G:G,0))</f>
        <v>274</v>
      </c>
      <c r="AZ23" cm="1">
        <f t="array" ref="AZ23">SUM(IF(Cocina!A:A=Tabla5[[#This Row],[Nº Orden]],Cocina!E:E*Cocina!G:G,0))</f>
        <v>167</v>
      </c>
      <c r="BB23" t="str">
        <f>MID(Tabla4[[#This Row],[Cliente]], SEARCH("_", Tabla4[[#This Row],[Cliente]]) + 1, LEN(Tabla4[[#This Row],[Cliente]]) - SEARCH("_",Tabla4[[#This Row],[Cliente]]))</f>
        <v>210</v>
      </c>
      <c r="BC23" t="str">
        <f>sala!B22</f>
        <v>Cliente_210</v>
      </c>
      <c r="BD23" s="1">
        <f>sala!D22</f>
        <v>45017.152083333334</v>
      </c>
      <c r="BE23" s="1">
        <f>sala!E22</f>
        <v>45017.244444444441</v>
      </c>
      <c r="BF23">
        <f>sala!K22</f>
        <v>21</v>
      </c>
      <c r="BG23">
        <f>sala!I22</f>
        <v>2053</v>
      </c>
      <c r="BH23" cm="1">
        <f t="array" ref="BH23">SUM(IF(Cocina!A:A=Tabla4[[#This Row],[Número de Orden]],Cocina!F:F*Cocina!G:G,0))</f>
        <v>274</v>
      </c>
      <c r="BI23" t="str">
        <f>sala!J22</f>
        <v>Reservada</v>
      </c>
      <c r="BJ23" s="4" t="str">
        <f>IF(Tabla4[[#This Row],[Estado mesa]]="Ocupada","00:15","00:00")</f>
        <v>00:00</v>
      </c>
      <c r="BK23" cm="1">
        <f t="array" ref="BK23">SUM(IF(Cocina!A:A=Tabla4[[#This Row],[Número de Orden]],Cocina!H:H,0))</f>
        <v>152</v>
      </c>
    </row>
    <row r="24" spans="1:63" x14ac:dyDescent="0.3">
      <c r="A24" s="8" t="str">
        <f>MID(Tabla4[[#This Row],[Cliente]], SEARCH("_", Tabla4[[#This Row],[Cliente]]) + 1, LEN(Tabla4[[#This Row],[Cliente]]) - SEARCH("_",Tabla4[[#This Row],[Cliente]]))</f>
        <v>88</v>
      </c>
      <c r="B24">
        <f>sala!K23</f>
        <v>22</v>
      </c>
      <c r="C24">
        <f>Tabla4[[#This Row],[Propina]]+Tabla4[[#This Row],[Precio Cena]]</f>
        <v>4754</v>
      </c>
      <c r="D24" s="3">
        <f>INT(sala!E23)</f>
        <v>45017</v>
      </c>
      <c r="E24" s="4">
        <f>MOD( sala!D23,1)</f>
        <v>9.4444444446708076E-2</v>
      </c>
      <c r="F24" s="4">
        <f>MOD( sala!E23,1)</f>
        <v>0.1993055555576575</v>
      </c>
      <c r="G24" s="4">
        <f>Tabla5[[#This Row],[Hora de Salida]]-Tabla5[[#This Row],[Hora de Llegada]]+Tabla4[[#This Row],[Tiempo Extra]]</f>
        <v>0.10486111111094942</v>
      </c>
      <c r="H24" s="5" t="str">
        <f>TEXT(Tabla4[[#This Row],[Preparación en horas]]/1440, "h:mm")</f>
        <v>2:03</v>
      </c>
      <c r="I24" s="4">
        <f>IF(Tabla5[[#This Row],[Tiempo Permanencia]]-Tabla5[[#This Row],[Tiempo de Preparación ]]&gt;=0,Tabla5[[#This Row],[Tiempo Permanencia]]-Tabla5[[#This Row],[Tiempo de Preparación ]],0)</f>
        <v>1.9444444444282755E-2</v>
      </c>
      <c r="J24" s="5" t="str">
        <f>IF(Tabla5[[#This Row],[Tiempo de Degustación]]=0,"No Cobrada","Cobrada")</f>
        <v>Cobrada</v>
      </c>
      <c r="K24" s="5" cm="1">
        <f t="array" ref="K24">SUM(IF(Tabla5[[#This Row],[Orden Cobrada]]="Cobrada",IF(Cocina!A:A=Tabla5[[#This Row],[Nº Orden]],Cocina!F:F*Cocina!G:G,0),-Tabla6[[#This Row],[Precio Cena]]))</f>
        <v>213</v>
      </c>
      <c r="L24" s="5">
        <f>IF(Tabla5[[#This Row],[Orden Cobrada]]="Cobrada",Tabla5[[#This Row],[Ganancia Bruta]]-Tabla6[[#This Row],[Coste Cena]],-Tabla6[[#This Row],[Precio Cena]]+Tabla6[[#This Row],[Coste Cena]])</f>
        <v>88</v>
      </c>
      <c r="M24" s="10">
        <f>IF(Tabla5[[#This Row],[Orden Cobrada]]="Cobrada",((Tabla5[[#This Row],[Ganancia Neta]]/Tabla5[[#This Row],[Ganancia Bruta]])*100)/100,-((Tabla5[[#This Row],[Ganancia Neta]]/Tabla5[[#This Row],[Ganancia Bruta]]*100)/100))</f>
        <v>0.41314553990610325</v>
      </c>
      <c r="N24" s="5" t="str">
        <f>sala!F23</f>
        <v>Mesero_4</v>
      </c>
      <c r="AY24" cm="1">
        <f t="array" ref="AY24">SUM(IF(Cocina!A:A=Tabla5[[#This Row],[Nº Orden]],Cocina!F:F*Cocina!G:G,0))</f>
        <v>213</v>
      </c>
      <c r="AZ24" cm="1">
        <f t="array" ref="AZ24">SUM(IF(Cocina!A:A=Tabla5[[#This Row],[Nº Orden]],Cocina!E:E*Cocina!G:G,0))</f>
        <v>125</v>
      </c>
      <c r="BB24" t="str">
        <f>MID(Tabla4[[#This Row],[Cliente]], SEARCH("_", Tabla4[[#This Row],[Cliente]]) + 1, LEN(Tabla4[[#This Row],[Cliente]]) - SEARCH("_",Tabla4[[#This Row],[Cliente]]))</f>
        <v>88</v>
      </c>
      <c r="BC24" t="str">
        <f>sala!B23</f>
        <v>Cliente_88</v>
      </c>
      <c r="BD24" s="1">
        <f>sala!D23</f>
        <v>45017.094444444447</v>
      </c>
      <c r="BE24" s="1">
        <f>sala!E23</f>
        <v>45017.199305555558</v>
      </c>
      <c r="BF24">
        <f>sala!K23</f>
        <v>22</v>
      </c>
      <c r="BG24">
        <f>sala!I23</f>
        <v>4541</v>
      </c>
      <c r="BH24" cm="1">
        <f t="array" ref="BH24">SUM(IF(Cocina!A:A=Tabla4[[#This Row],[Número de Orden]],Cocina!F:F*Cocina!G:G,0))</f>
        <v>213</v>
      </c>
      <c r="BI24" t="str">
        <f>sala!J23</f>
        <v>Libre</v>
      </c>
      <c r="BJ24" s="4" t="str">
        <f>IF(Tabla4[[#This Row],[Estado mesa]]="Ocupada","00:15","00:00")</f>
        <v>00:00</v>
      </c>
      <c r="BK24" cm="1">
        <f t="array" ref="BK24">SUM(IF(Cocina!A:A=Tabla4[[#This Row],[Número de Orden]],Cocina!H:H,0))</f>
        <v>123</v>
      </c>
    </row>
    <row r="25" spans="1:63" x14ac:dyDescent="0.3">
      <c r="A25" s="8" t="str">
        <f>MID(Tabla4[[#This Row],[Cliente]], SEARCH("_", Tabla4[[#This Row],[Cliente]]) + 1, LEN(Tabla4[[#This Row],[Cliente]]) - SEARCH("_",Tabla4[[#This Row],[Cliente]]))</f>
        <v>427</v>
      </c>
      <c r="B25">
        <f>sala!K24</f>
        <v>23</v>
      </c>
      <c r="C25">
        <f>Tabla4[[#This Row],[Propina]]+Tabla4[[#This Row],[Precio Cena]]</f>
        <v>3984</v>
      </c>
      <c r="D25" s="3">
        <f>INT(sala!E24)</f>
        <v>45017</v>
      </c>
      <c r="E25" s="4">
        <f>MOD( sala!D24,1)</f>
        <v>0.11388888888905058</v>
      </c>
      <c r="F25" s="4">
        <f>MOD( sala!E24,1)</f>
        <v>0.17291666667006211</v>
      </c>
      <c r="G25" s="4">
        <f>Tabla5[[#This Row],[Hora de Salida]]-Tabla5[[#This Row],[Hora de Llegada]]+Tabla4[[#This Row],[Tiempo Extra]]</f>
        <v>5.9027777781011537E-2</v>
      </c>
      <c r="H25" s="5" t="str">
        <f>TEXT(Tabla4[[#This Row],[Preparación en horas]]/1440, "h:mm")</f>
        <v>1:03</v>
      </c>
      <c r="I25" s="4">
        <f>IF(Tabla5[[#This Row],[Tiempo Permanencia]]-Tabla5[[#This Row],[Tiempo de Preparación ]]&gt;=0,Tabla5[[#This Row],[Tiempo Permanencia]]-Tabla5[[#This Row],[Tiempo de Preparación ]],0)</f>
        <v>1.5277777781011539E-2</v>
      </c>
      <c r="J25" s="5" t="str">
        <f>IF(Tabla5[[#This Row],[Tiempo de Degustación]]=0,"No Cobrada","Cobrada")</f>
        <v>Cobrada</v>
      </c>
      <c r="K25" s="5" cm="1">
        <f t="array" ref="K25">SUM(IF(Tabla5[[#This Row],[Orden Cobrada]]="Cobrada",IF(Cocina!A:A=Tabla5[[#This Row],[Nº Orden]],Cocina!F:F*Cocina!G:G,0),-Tabla6[[#This Row],[Precio Cena]]))</f>
        <v>138</v>
      </c>
      <c r="L25" s="5">
        <f>IF(Tabla5[[#This Row],[Orden Cobrada]]="Cobrada",Tabla5[[#This Row],[Ganancia Bruta]]-Tabla6[[#This Row],[Coste Cena]],-Tabla6[[#This Row],[Precio Cena]]+Tabla6[[#This Row],[Coste Cena]])</f>
        <v>57</v>
      </c>
      <c r="M25" s="10">
        <f>IF(Tabla5[[#This Row],[Orden Cobrada]]="Cobrada",((Tabla5[[#This Row],[Ganancia Neta]]/Tabla5[[#This Row],[Ganancia Bruta]])*100)/100,-((Tabla5[[#This Row],[Ganancia Neta]]/Tabla5[[#This Row],[Ganancia Bruta]]*100)/100))</f>
        <v>0.41304347826086951</v>
      </c>
      <c r="N25" s="5" t="str">
        <f>sala!F24</f>
        <v>Mesero_5</v>
      </c>
      <c r="AY25" cm="1">
        <f t="array" ref="AY25">SUM(IF(Cocina!A:A=Tabla5[[#This Row],[Nº Orden]],Cocina!F:F*Cocina!G:G,0))</f>
        <v>138</v>
      </c>
      <c r="AZ25" cm="1">
        <f t="array" ref="AZ25">SUM(IF(Cocina!A:A=Tabla5[[#This Row],[Nº Orden]],Cocina!E:E*Cocina!G:G,0))</f>
        <v>81</v>
      </c>
      <c r="BB25" t="str">
        <f>MID(Tabla4[[#This Row],[Cliente]], SEARCH("_", Tabla4[[#This Row],[Cliente]]) + 1, LEN(Tabla4[[#This Row],[Cliente]]) - SEARCH("_",Tabla4[[#This Row],[Cliente]]))</f>
        <v>427</v>
      </c>
      <c r="BC25" t="str">
        <f>sala!B24</f>
        <v>Cliente_427</v>
      </c>
      <c r="BD25" s="1">
        <f>sala!D24</f>
        <v>45017.113888888889</v>
      </c>
      <c r="BE25" s="1">
        <f>sala!E24</f>
        <v>45017.17291666667</v>
      </c>
      <c r="BF25">
        <f>sala!K24</f>
        <v>23</v>
      </c>
      <c r="BG25">
        <f>sala!I24</f>
        <v>3846</v>
      </c>
      <c r="BH25" cm="1">
        <f t="array" ref="BH25">SUM(IF(Cocina!A:A=Tabla4[[#This Row],[Número de Orden]],Cocina!F:F*Cocina!G:G,0))</f>
        <v>138</v>
      </c>
      <c r="BI25" t="str">
        <f>sala!J24</f>
        <v>Libre</v>
      </c>
      <c r="BJ25" s="4" t="str">
        <f>IF(Tabla4[[#This Row],[Estado mesa]]="Ocupada","00:15","00:00")</f>
        <v>00:00</v>
      </c>
      <c r="BK25" cm="1">
        <f t="array" ref="BK25">SUM(IF(Cocina!A:A=Tabla4[[#This Row],[Número de Orden]],Cocina!H:H,0))</f>
        <v>63</v>
      </c>
    </row>
    <row r="26" spans="1:63" x14ac:dyDescent="0.3">
      <c r="A26" s="8" t="str">
        <f>MID(Tabla4[[#This Row],[Cliente]], SEARCH("_", Tabla4[[#This Row],[Cliente]]) + 1, LEN(Tabla4[[#This Row],[Cliente]]) - SEARCH("_",Tabla4[[#This Row],[Cliente]]))</f>
        <v>424</v>
      </c>
      <c r="B26">
        <f>sala!K25</f>
        <v>24</v>
      </c>
      <c r="C26">
        <f>Tabla4[[#This Row],[Propina]]+Tabla4[[#This Row],[Precio Cena]]</f>
        <v>4051</v>
      </c>
      <c r="D26" s="3">
        <f>INT(sala!E25)</f>
        <v>45017</v>
      </c>
      <c r="E26" s="4">
        <f>MOD( sala!D25,1)</f>
        <v>0.12569444444670808</v>
      </c>
      <c r="F26" s="4">
        <f>MOD( sala!E25,1)</f>
        <v>0.26388888889050577</v>
      </c>
      <c r="G26" s="4">
        <f>Tabla5[[#This Row],[Hora de Salida]]-Tabla5[[#This Row],[Hora de Llegada]]+Tabla4[[#This Row],[Tiempo Extra]]</f>
        <v>0.14861111111046435</v>
      </c>
      <c r="H26" s="5" t="str">
        <f>TEXT(Tabla4[[#This Row],[Preparación en horas]]/1440, "h:mm")</f>
        <v>3:00</v>
      </c>
      <c r="I26" s="4">
        <f>IF(Tabla5[[#This Row],[Tiempo Permanencia]]-Tabla5[[#This Row],[Tiempo de Preparación ]]&gt;=0,Tabla5[[#This Row],[Tiempo Permanencia]]-Tabla5[[#This Row],[Tiempo de Preparación ]],0)</f>
        <v>2.361111111046435E-2</v>
      </c>
      <c r="J26" s="5" t="str">
        <f>IF(Tabla5[[#This Row],[Tiempo de Degustación]]=0,"No Cobrada","Cobrada")</f>
        <v>Cobrada</v>
      </c>
      <c r="K26" s="5" cm="1">
        <f t="array" ref="K26">SUM(IF(Tabla5[[#This Row],[Orden Cobrada]]="Cobrada",IF(Cocina!A:A=Tabla5[[#This Row],[Nº Orden]],Cocina!F:F*Cocina!G:G,0),-Tabla6[[#This Row],[Precio Cena]]))</f>
        <v>233</v>
      </c>
      <c r="L26" s="5">
        <f>IF(Tabla5[[#This Row],[Orden Cobrada]]="Cobrada",Tabla5[[#This Row],[Ganancia Bruta]]-Tabla6[[#This Row],[Coste Cena]],-Tabla6[[#This Row],[Precio Cena]]+Tabla6[[#This Row],[Coste Cena]])</f>
        <v>93</v>
      </c>
      <c r="M26" s="10">
        <f>IF(Tabla5[[#This Row],[Orden Cobrada]]="Cobrada",((Tabla5[[#This Row],[Ganancia Neta]]/Tabla5[[#This Row],[Ganancia Bruta]])*100)/100,-((Tabla5[[#This Row],[Ganancia Neta]]/Tabla5[[#This Row],[Ganancia Bruta]]*100)/100))</f>
        <v>0.39914163090128763</v>
      </c>
      <c r="N26" s="5" t="str">
        <f>sala!F25</f>
        <v>Mesero_3</v>
      </c>
      <c r="AY26" cm="1">
        <f t="array" ref="AY26">SUM(IF(Cocina!A:A=Tabla5[[#This Row],[Nº Orden]],Cocina!F:F*Cocina!G:G,0))</f>
        <v>233</v>
      </c>
      <c r="AZ26" cm="1">
        <f t="array" ref="AZ26">SUM(IF(Cocina!A:A=Tabla5[[#This Row],[Nº Orden]],Cocina!E:E*Cocina!G:G,0))</f>
        <v>140</v>
      </c>
      <c r="BB26" t="str">
        <f>MID(Tabla4[[#This Row],[Cliente]], SEARCH("_", Tabla4[[#This Row],[Cliente]]) + 1, LEN(Tabla4[[#This Row],[Cliente]]) - SEARCH("_",Tabla4[[#This Row],[Cliente]]))</f>
        <v>424</v>
      </c>
      <c r="BC26" t="str">
        <f>sala!B25</f>
        <v>Cliente_424</v>
      </c>
      <c r="BD26" s="1">
        <f>sala!D25</f>
        <v>45017.125694444447</v>
      </c>
      <c r="BE26" s="1">
        <f>sala!E25</f>
        <v>45017.263888888891</v>
      </c>
      <c r="BF26">
        <f>sala!K25</f>
        <v>24</v>
      </c>
      <c r="BG26">
        <f>sala!I25</f>
        <v>3818</v>
      </c>
      <c r="BH26" cm="1">
        <f t="array" ref="BH26">SUM(IF(Cocina!A:A=Tabla4[[#This Row],[Número de Orden]],Cocina!F:F*Cocina!G:G,0))</f>
        <v>233</v>
      </c>
      <c r="BI26" t="str">
        <f>sala!J25</f>
        <v>Ocupada</v>
      </c>
      <c r="BJ26" s="4" t="str">
        <f>IF(Tabla4[[#This Row],[Estado mesa]]="Ocupada","00:15","00:00")</f>
        <v>00:15</v>
      </c>
      <c r="BK26" cm="1">
        <f t="array" ref="BK26">SUM(IF(Cocina!A:A=Tabla4[[#This Row],[Número de Orden]],Cocina!H:H,0))</f>
        <v>180</v>
      </c>
    </row>
    <row r="27" spans="1:63" x14ac:dyDescent="0.3">
      <c r="A27" s="8" t="str">
        <f>MID(Tabla4[[#This Row],[Cliente]], SEARCH("_", Tabla4[[#This Row],[Cliente]]) + 1, LEN(Tabla4[[#This Row],[Cliente]]) - SEARCH("_",Tabla4[[#This Row],[Cliente]]))</f>
        <v>824</v>
      </c>
      <c r="B27">
        <f>sala!K26</f>
        <v>25</v>
      </c>
      <c r="C27">
        <f>Tabla4[[#This Row],[Propina]]+Tabla4[[#This Row],[Precio Cena]]</f>
        <v>4649</v>
      </c>
      <c r="D27" s="3">
        <f>INT(sala!E26)</f>
        <v>45017</v>
      </c>
      <c r="E27" s="4">
        <f>MOD( sala!D26,1)</f>
        <v>0.12569444444670808</v>
      </c>
      <c r="F27" s="4">
        <f>MOD( sala!E26,1)</f>
        <v>0.20763888888905058</v>
      </c>
      <c r="G27" s="4">
        <f>Tabla5[[#This Row],[Hora de Salida]]-Tabla5[[#This Row],[Hora de Llegada]]+Tabla4[[#This Row],[Tiempo Extra]]</f>
        <v>9.2361111109009172E-2</v>
      </c>
      <c r="H27" s="5" t="str">
        <f>TEXT(Tabla4[[#This Row],[Preparación en horas]]/1440, "h:mm")</f>
        <v>0:35</v>
      </c>
      <c r="I27" s="4">
        <f>IF(Tabla5[[#This Row],[Tiempo Permanencia]]-Tabla5[[#This Row],[Tiempo de Preparación ]]&gt;=0,Tabla5[[#This Row],[Tiempo Permanencia]]-Tabla5[[#This Row],[Tiempo de Preparación ]],0)</f>
        <v>6.805555555345362E-2</v>
      </c>
      <c r="J27" s="5" t="str">
        <f>IF(Tabla5[[#This Row],[Tiempo de Degustación]]=0,"No Cobrada","Cobrada")</f>
        <v>Cobrada</v>
      </c>
      <c r="K27" s="5" cm="1">
        <f t="array" ref="K27">SUM(IF(Tabla5[[#This Row],[Orden Cobrada]]="Cobrada",IF(Cocina!A:A=Tabla5[[#This Row],[Nº Orden]],Cocina!F:F*Cocina!G:G,0),-Tabla6[[#This Row],[Precio Cena]]))</f>
        <v>34</v>
      </c>
      <c r="L27" s="5">
        <f>IF(Tabla5[[#This Row],[Orden Cobrada]]="Cobrada",Tabla5[[#This Row],[Ganancia Bruta]]-Tabla6[[#This Row],[Coste Cena]],-Tabla6[[#This Row],[Precio Cena]]+Tabla6[[#This Row],[Coste Cena]])</f>
        <v>14</v>
      </c>
      <c r="M27" s="10">
        <f>IF(Tabla5[[#This Row],[Orden Cobrada]]="Cobrada",((Tabla5[[#This Row],[Ganancia Neta]]/Tabla5[[#This Row],[Ganancia Bruta]])*100)/100,-((Tabla5[[#This Row],[Ganancia Neta]]/Tabla5[[#This Row],[Ganancia Bruta]]*100)/100))</f>
        <v>0.41176470588235292</v>
      </c>
      <c r="N27" s="5" t="str">
        <f>sala!F26</f>
        <v>Mesero_5</v>
      </c>
      <c r="AY27" cm="1">
        <f t="array" ref="AY27">SUM(IF(Cocina!A:A=Tabla5[[#This Row],[Nº Orden]],Cocina!F:F*Cocina!G:G,0))</f>
        <v>34</v>
      </c>
      <c r="AZ27" cm="1">
        <f t="array" ref="AZ27">SUM(IF(Cocina!A:A=Tabla5[[#This Row],[Nº Orden]],Cocina!E:E*Cocina!G:G,0))</f>
        <v>20</v>
      </c>
      <c r="BB27" t="str">
        <f>MID(Tabla4[[#This Row],[Cliente]], SEARCH("_", Tabla4[[#This Row],[Cliente]]) + 1, LEN(Tabla4[[#This Row],[Cliente]]) - SEARCH("_",Tabla4[[#This Row],[Cliente]]))</f>
        <v>824</v>
      </c>
      <c r="BC27" t="str">
        <f>sala!B26</f>
        <v>Cliente_824</v>
      </c>
      <c r="BD27" s="1">
        <f>sala!D26</f>
        <v>45017.125694444447</v>
      </c>
      <c r="BE27" s="1">
        <f>sala!E26</f>
        <v>45017.207638888889</v>
      </c>
      <c r="BF27">
        <f>sala!K26</f>
        <v>25</v>
      </c>
      <c r="BG27">
        <f>sala!I26</f>
        <v>4615</v>
      </c>
      <c r="BH27" cm="1">
        <f t="array" ref="BH27">SUM(IF(Cocina!A:A=Tabla4[[#This Row],[Número de Orden]],Cocina!F:F*Cocina!G:G,0))</f>
        <v>34</v>
      </c>
      <c r="BI27" t="str">
        <f>sala!J26</f>
        <v>Ocupada</v>
      </c>
      <c r="BJ27" s="4" t="str">
        <f>IF(Tabla4[[#This Row],[Estado mesa]]="Ocupada","00:15","00:00")</f>
        <v>00:15</v>
      </c>
      <c r="BK27" cm="1">
        <f t="array" ref="BK27">SUM(IF(Cocina!A:A=Tabla4[[#This Row],[Número de Orden]],Cocina!H:H,0))</f>
        <v>35</v>
      </c>
    </row>
    <row r="28" spans="1:63" x14ac:dyDescent="0.3">
      <c r="A28" s="8" t="str">
        <f>MID(Tabla4[[#This Row],[Cliente]], SEARCH("_", Tabla4[[#This Row],[Cliente]]) + 1, LEN(Tabla4[[#This Row],[Cliente]]) - SEARCH("_",Tabla4[[#This Row],[Cliente]]))</f>
        <v>107</v>
      </c>
      <c r="B28">
        <f>sala!K27</f>
        <v>26</v>
      </c>
      <c r="C28">
        <f>Tabla4[[#This Row],[Propina]]+Tabla4[[#This Row],[Precio Cena]]</f>
        <v>1163</v>
      </c>
      <c r="D28" s="3">
        <f>INT(sala!E27)</f>
        <v>45017</v>
      </c>
      <c r="E28" s="4">
        <f>MOD( sala!D27,1)</f>
        <v>8.611111110803904E-2</v>
      </c>
      <c r="F28" s="4">
        <f>MOD( sala!E27,1)</f>
        <v>0.24097222222189885</v>
      </c>
      <c r="G28" s="4">
        <f>Tabla5[[#This Row],[Hora de Salida]]-Tabla5[[#This Row],[Hora de Llegada]]+Tabla4[[#This Row],[Tiempo Extra]]</f>
        <v>0.16527777778052646</v>
      </c>
      <c r="H28" s="5" t="str">
        <f>TEXT(Tabla4[[#This Row],[Preparación en horas]]/1440, "h:mm")</f>
        <v>1:49</v>
      </c>
      <c r="I28" s="4">
        <f>IF(Tabla5[[#This Row],[Tiempo Permanencia]]-Tabla5[[#This Row],[Tiempo de Preparación ]]&gt;=0,Tabla5[[#This Row],[Tiempo Permanencia]]-Tabla5[[#This Row],[Tiempo de Preparación ]],0)</f>
        <v>8.9583333336082024E-2</v>
      </c>
      <c r="J28" s="5" t="str">
        <f>IF(Tabla5[[#This Row],[Tiempo de Degustación]]=0,"No Cobrada","Cobrada")</f>
        <v>Cobrada</v>
      </c>
      <c r="K28" s="5" cm="1">
        <f t="array" ref="K28">SUM(IF(Tabla5[[#This Row],[Orden Cobrada]]="Cobrada",IF(Cocina!A:A=Tabla5[[#This Row],[Nº Orden]],Cocina!F:F*Cocina!G:G,0),-Tabla6[[#This Row],[Precio Cena]]))</f>
        <v>126</v>
      </c>
      <c r="L28" s="5">
        <f>IF(Tabla5[[#This Row],[Orden Cobrada]]="Cobrada",Tabla5[[#This Row],[Ganancia Bruta]]-Tabla6[[#This Row],[Coste Cena]],-Tabla6[[#This Row],[Precio Cena]]+Tabla6[[#This Row],[Coste Cena]])</f>
        <v>52</v>
      </c>
      <c r="M28" s="10">
        <f>IF(Tabla5[[#This Row],[Orden Cobrada]]="Cobrada",((Tabla5[[#This Row],[Ganancia Neta]]/Tabla5[[#This Row],[Ganancia Bruta]])*100)/100,-((Tabla5[[#This Row],[Ganancia Neta]]/Tabla5[[#This Row],[Ganancia Bruta]]*100)/100))</f>
        <v>0.41269841269841268</v>
      </c>
      <c r="N28" s="5" t="str">
        <f>sala!F27</f>
        <v>Mesero_5</v>
      </c>
      <c r="AY28" cm="1">
        <f t="array" ref="AY28">SUM(IF(Cocina!A:A=Tabla5[[#This Row],[Nº Orden]],Cocina!F:F*Cocina!G:G,0))</f>
        <v>126</v>
      </c>
      <c r="AZ28" cm="1">
        <f t="array" ref="AZ28">SUM(IF(Cocina!A:A=Tabla5[[#This Row],[Nº Orden]],Cocina!E:E*Cocina!G:G,0))</f>
        <v>74</v>
      </c>
      <c r="BB28" t="str">
        <f>MID(Tabla4[[#This Row],[Cliente]], SEARCH("_", Tabla4[[#This Row],[Cliente]]) + 1, LEN(Tabla4[[#This Row],[Cliente]]) - SEARCH("_",Tabla4[[#This Row],[Cliente]]))</f>
        <v>107</v>
      </c>
      <c r="BC28" t="str">
        <f>sala!B27</f>
        <v>Cliente_107</v>
      </c>
      <c r="BD28" s="1">
        <f>sala!D27</f>
        <v>45017.086111111108</v>
      </c>
      <c r="BE28" s="1">
        <f>sala!E27</f>
        <v>45017.240972222222</v>
      </c>
      <c r="BF28">
        <f>sala!K27</f>
        <v>26</v>
      </c>
      <c r="BG28">
        <f>sala!I27</f>
        <v>1037</v>
      </c>
      <c r="BH28" cm="1">
        <f t="array" ref="BH28">SUM(IF(Cocina!A:A=Tabla4[[#This Row],[Número de Orden]],Cocina!F:F*Cocina!G:G,0))</f>
        <v>126</v>
      </c>
      <c r="BI28" t="str">
        <f>sala!J27</f>
        <v>Ocupada</v>
      </c>
      <c r="BJ28" s="4" t="str">
        <f>IF(Tabla4[[#This Row],[Estado mesa]]="Ocupada","00:15","00:00")</f>
        <v>00:15</v>
      </c>
      <c r="BK28" cm="1">
        <f t="array" ref="BK28">SUM(IF(Cocina!A:A=Tabla4[[#This Row],[Número de Orden]],Cocina!H:H,0))</f>
        <v>109</v>
      </c>
    </row>
    <row r="29" spans="1:63" x14ac:dyDescent="0.3">
      <c r="A29" s="8" t="str">
        <f>MID(Tabla4[[#This Row],[Cliente]], SEARCH("_", Tabla4[[#This Row],[Cliente]]) + 1, LEN(Tabla4[[#This Row],[Cliente]]) - SEARCH("_",Tabla4[[#This Row],[Cliente]]))</f>
        <v>775</v>
      </c>
      <c r="B29">
        <f>sala!K28</f>
        <v>27</v>
      </c>
      <c r="C29">
        <f>Tabla4[[#This Row],[Propina]]+Tabla4[[#This Row],[Precio Cena]]</f>
        <v>1988</v>
      </c>
      <c r="D29" s="3">
        <f>INT(sala!E28)</f>
        <v>45017</v>
      </c>
      <c r="E29" s="4">
        <f>MOD( sala!D28,1)</f>
        <v>5.486111110803904E-2</v>
      </c>
      <c r="F29" s="4">
        <f>MOD( sala!E28,1)</f>
        <v>0.10208333333139308</v>
      </c>
      <c r="G29" s="4">
        <f>Tabla5[[#This Row],[Hora de Salida]]-Tabla5[[#This Row],[Hora de Llegada]]+Tabla4[[#This Row],[Tiempo Extra]]</f>
        <v>5.7638888890020702E-2</v>
      </c>
      <c r="H29" s="5" t="str">
        <f>TEXT(Tabla4[[#This Row],[Preparación en horas]]/1440, "h:mm")</f>
        <v>0:55</v>
      </c>
      <c r="I29" s="4">
        <f>IF(Tabla5[[#This Row],[Tiempo Permanencia]]-Tabla5[[#This Row],[Tiempo de Preparación ]]&gt;=0,Tabla5[[#This Row],[Tiempo Permanencia]]-Tabla5[[#This Row],[Tiempo de Preparación ]],0)</f>
        <v>1.9444444445576255E-2</v>
      </c>
      <c r="J29" s="5" t="str">
        <f>IF(Tabla5[[#This Row],[Tiempo de Degustación]]=0,"No Cobrada","Cobrada")</f>
        <v>Cobrada</v>
      </c>
      <c r="K29" s="5" cm="1">
        <f t="array" ref="K29">SUM(IF(Tabla5[[#This Row],[Orden Cobrada]]="Cobrada",IF(Cocina!A:A=Tabla5[[#This Row],[Nº Orden]],Cocina!F:F*Cocina!G:G,0),-Tabla6[[#This Row],[Precio Cena]]))</f>
        <v>61</v>
      </c>
      <c r="L29" s="5">
        <f>IF(Tabla5[[#This Row],[Orden Cobrada]]="Cobrada",Tabla5[[#This Row],[Ganancia Bruta]]-Tabla6[[#This Row],[Coste Cena]],-Tabla6[[#This Row],[Precio Cena]]+Tabla6[[#This Row],[Coste Cena]])</f>
        <v>25</v>
      </c>
      <c r="M29" s="10">
        <f>IF(Tabla5[[#This Row],[Orden Cobrada]]="Cobrada",((Tabla5[[#This Row],[Ganancia Neta]]/Tabla5[[#This Row],[Ganancia Bruta]])*100)/100,-((Tabla5[[#This Row],[Ganancia Neta]]/Tabla5[[#This Row],[Ganancia Bruta]]*100)/100))</f>
        <v>0.4098360655737705</v>
      </c>
      <c r="N29" s="5" t="str">
        <f>sala!F28</f>
        <v>Mesero_5</v>
      </c>
      <c r="AY29" cm="1">
        <f t="array" ref="AY29">SUM(IF(Cocina!A:A=Tabla5[[#This Row],[Nº Orden]],Cocina!F:F*Cocina!G:G,0))</f>
        <v>61</v>
      </c>
      <c r="AZ29" cm="1">
        <f t="array" ref="AZ29">SUM(IF(Cocina!A:A=Tabla5[[#This Row],[Nº Orden]],Cocina!E:E*Cocina!G:G,0))</f>
        <v>36</v>
      </c>
      <c r="BB29" t="str">
        <f>MID(Tabla4[[#This Row],[Cliente]], SEARCH("_", Tabla4[[#This Row],[Cliente]]) + 1, LEN(Tabla4[[#This Row],[Cliente]]) - SEARCH("_",Tabla4[[#This Row],[Cliente]]))</f>
        <v>775</v>
      </c>
      <c r="BC29" t="str">
        <f>sala!B28</f>
        <v>Cliente_775</v>
      </c>
      <c r="BD29" s="1">
        <f>sala!D28</f>
        <v>45017.054861111108</v>
      </c>
      <c r="BE29" s="1">
        <f>sala!E28</f>
        <v>45017.102083333331</v>
      </c>
      <c r="BF29">
        <f>sala!K28</f>
        <v>27</v>
      </c>
      <c r="BG29">
        <f>sala!I28</f>
        <v>1927</v>
      </c>
      <c r="BH29" cm="1">
        <f t="array" ref="BH29">SUM(IF(Cocina!A:A=Tabla4[[#This Row],[Número de Orden]],Cocina!F:F*Cocina!G:G,0))</f>
        <v>61</v>
      </c>
      <c r="BI29" t="str">
        <f>sala!J28</f>
        <v>Ocupada</v>
      </c>
      <c r="BJ29" s="4" t="str">
        <f>IF(Tabla4[[#This Row],[Estado mesa]]="Ocupada","00:15","00:00")</f>
        <v>00:15</v>
      </c>
      <c r="BK29" cm="1">
        <f t="array" ref="BK29">SUM(IF(Cocina!A:A=Tabla4[[#This Row],[Número de Orden]],Cocina!H:H,0))</f>
        <v>55</v>
      </c>
    </row>
    <row r="30" spans="1:63" x14ac:dyDescent="0.3">
      <c r="A30" s="8" t="str">
        <f>MID(Tabla4[[#This Row],[Cliente]], SEARCH("_", Tabla4[[#This Row],[Cliente]]) + 1, LEN(Tabla4[[#This Row],[Cliente]]) - SEARCH("_",Tabla4[[#This Row],[Cliente]]))</f>
        <v>358</v>
      </c>
      <c r="B30">
        <f>sala!K29</f>
        <v>28</v>
      </c>
      <c r="C30">
        <f>Tabla4[[#This Row],[Propina]]+Tabla4[[#This Row],[Precio Cena]]</f>
        <v>4216</v>
      </c>
      <c r="D30" s="3">
        <f>INT(sala!E29)</f>
        <v>45017</v>
      </c>
      <c r="E30" s="4">
        <f>MOD( sala!D29,1)</f>
        <v>3.4027777779556345E-2</v>
      </c>
      <c r="F30" s="4">
        <f>MOD( sala!E29,1)</f>
        <v>0.13611111111094942</v>
      </c>
      <c r="G30" s="4">
        <f>Tabla5[[#This Row],[Hora de Salida]]-Tabla5[[#This Row],[Hora de Llegada]]+Tabla4[[#This Row],[Tiempo Extra]]</f>
        <v>0.10208333333139308</v>
      </c>
      <c r="H30" s="5" t="str">
        <f>TEXT(Tabla4[[#This Row],[Preparación en horas]]/1440, "h:mm")</f>
        <v>0:56</v>
      </c>
      <c r="I30" s="4">
        <f>IF(Tabla5[[#This Row],[Tiempo Permanencia]]-Tabla5[[#This Row],[Tiempo de Preparación ]]&gt;=0,Tabla5[[#This Row],[Tiempo Permanencia]]-Tabla5[[#This Row],[Tiempo de Preparación ]],0)</f>
        <v>6.3194444442504188E-2</v>
      </c>
      <c r="J30" s="5" t="str">
        <f>IF(Tabla5[[#This Row],[Tiempo de Degustación]]=0,"No Cobrada","Cobrada")</f>
        <v>Cobrada</v>
      </c>
      <c r="K30" s="5" cm="1">
        <f t="array" ref="K30">SUM(IF(Tabla5[[#This Row],[Orden Cobrada]]="Cobrada",IF(Cocina!A:A=Tabla5[[#This Row],[Nº Orden]],Cocina!F:F*Cocina!G:G,0),-Tabla6[[#This Row],[Precio Cena]]))</f>
        <v>94</v>
      </c>
      <c r="L30" s="5">
        <f>IF(Tabla5[[#This Row],[Orden Cobrada]]="Cobrada",Tabla5[[#This Row],[Ganancia Bruta]]-Tabla6[[#This Row],[Coste Cena]],-Tabla6[[#This Row],[Precio Cena]]+Tabla6[[#This Row],[Coste Cena]])</f>
        <v>40</v>
      </c>
      <c r="M30" s="10">
        <f>IF(Tabla5[[#This Row],[Orden Cobrada]]="Cobrada",((Tabla5[[#This Row],[Ganancia Neta]]/Tabla5[[#This Row],[Ganancia Bruta]])*100)/100,-((Tabla5[[#This Row],[Ganancia Neta]]/Tabla5[[#This Row],[Ganancia Bruta]]*100)/100))</f>
        <v>0.42553191489361702</v>
      </c>
      <c r="N30" s="5" t="str">
        <f>sala!F29</f>
        <v>Mesero_4</v>
      </c>
      <c r="AY30" cm="1">
        <f t="array" ref="AY30">SUM(IF(Cocina!A:A=Tabla5[[#This Row],[Nº Orden]],Cocina!F:F*Cocina!G:G,0))</f>
        <v>94</v>
      </c>
      <c r="AZ30" cm="1">
        <f t="array" ref="AZ30">SUM(IF(Cocina!A:A=Tabla5[[#This Row],[Nº Orden]],Cocina!E:E*Cocina!G:G,0))</f>
        <v>54</v>
      </c>
      <c r="BB30" t="str">
        <f>MID(Tabla4[[#This Row],[Cliente]], SEARCH("_", Tabla4[[#This Row],[Cliente]]) + 1, LEN(Tabla4[[#This Row],[Cliente]]) - SEARCH("_",Tabla4[[#This Row],[Cliente]]))</f>
        <v>358</v>
      </c>
      <c r="BC30" t="str">
        <f>sala!B29</f>
        <v>Cliente_358</v>
      </c>
      <c r="BD30" s="1">
        <f>sala!D29</f>
        <v>45017.03402777778</v>
      </c>
      <c r="BE30" s="1">
        <f>sala!E29</f>
        <v>45017.136111111111</v>
      </c>
      <c r="BF30">
        <f>sala!K29</f>
        <v>28</v>
      </c>
      <c r="BG30">
        <f>sala!I29</f>
        <v>4122</v>
      </c>
      <c r="BH30" cm="1">
        <f t="array" ref="BH30">SUM(IF(Cocina!A:A=Tabla4[[#This Row],[Número de Orden]],Cocina!F:F*Cocina!G:G,0))</f>
        <v>94</v>
      </c>
      <c r="BI30" t="str">
        <f>sala!J29</f>
        <v>Reservada</v>
      </c>
      <c r="BJ30" s="4" t="str">
        <f>IF(Tabla4[[#This Row],[Estado mesa]]="Ocupada","00:15","00:00")</f>
        <v>00:00</v>
      </c>
      <c r="BK30" cm="1">
        <f t="array" ref="BK30">SUM(IF(Cocina!A:A=Tabla4[[#This Row],[Número de Orden]],Cocina!H:H,0))</f>
        <v>56</v>
      </c>
    </row>
    <row r="31" spans="1:63" x14ac:dyDescent="0.3">
      <c r="A31" s="8" t="str">
        <f>MID(Tabla4[[#This Row],[Cliente]], SEARCH("_", Tabla4[[#This Row],[Cliente]]) + 1, LEN(Tabla4[[#This Row],[Cliente]]) - SEARCH("_",Tabla4[[#This Row],[Cliente]]))</f>
        <v>377</v>
      </c>
      <c r="B31">
        <f>sala!K30</f>
        <v>29</v>
      </c>
      <c r="C31">
        <f>Tabla4[[#This Row],[Propina]]+Tabla4[[#This Row],[Precio Cena]]</f>
        <v>1656</v>
      </c>
      <c r="D31" s="3">
        <f>INT(sala!E30)</f>
        <v>45017</v>
      </c>
      <c r="E31" s="4">
        <f>MOD( sala!D30,1)</f>
        <v>0.12638888888614019</v>
      </c>
      <c r="F31" s="4">
        <f>MOD( sala!E30,1)</f>
        <v>0.25694444444525288</v>
      </c>
      <c r="G31" s="4">
        <f>Tabla5[[#This Row],[Hora de Salida]]-Tabla5[[#This Row],[Hora de Llegada]]+Tabla4[[#This Row],[Tiempo Extra]]</f>
        <v>0.14097222222577935</v>
      </c>
      <c r="H31" s="5" t="str">
        <f>TEXT(Tabla4[[#This Row],[Preparación en horas]]/1440, "h:mm")</f>
        <v>1:11</v>
      </c>
      <c r="I31" s="4">
        <f>IF(Tabla5[[#This Row],[Tiempo Permanencia]]-Tabla5[[#This Row],[Tiempo de Preparación ]]&gt;=0,Tabla5[[#This Row],[Tiempo Permanencia]]-Tabla5[[#This Row],[Tiempo de Preparación ]],0)</f>
        <v>9.1666666670223801E-2</v>
      </c>
      <c r="J31" s="5" t="str">
        <f>IF(Tabla5[[#This Row],[Tiempo de Degustación]]=0,"No Cobrada","Cobrada")</f>
        <v>Cobrada</v>
      </c>
      <c r="K31" s="5" cm="1">
        <f t="array" ref="K31">SUM(IF(Tabla5[[#This Row],[Orden Cobrada]]="Cobrada",IF(Cocina!A:A=Tabla5[[#This Row],[Nº Orden]],Cocina!F:F*Cocina!G:G,0),-Tabla6[[#This Row],[Precio Cena]]))</f>
        <v>173</v>
      </c>
      <c r="L31" s="5">
        <f>IF(Tabla5[[#This Row],[Orden Cobrada]]="Cobrada",Tabla5[[#This Row],[Ganancia Bruta]]-Tabla6[[#This Row],[Coste Cena]],-Tabla6[[#This Row],[Precio Cena]]+Tabla6[[#This Row],[Coste Cena]])</f>
        <v>70</v>
      </c>
      <c r="M31" s="10">
        <f>IF(Tabla5[[#This Row],[Orden Cobrada]]="Cobrada",((Tabla5[[#This Row],[Ganancia Neta]]/Tabla5[[#This Row],[Ganancia Bruta]])*100)/100,-((Tabla5[[#This Row],[Ganancia Neta]]/Tabla5[[#This Row],[Ganancia Bruta]]*100)/100))</f>
        <v>0.40462427745664742</v>
      </c>
      <c r="N31" s="5" t="str">
        <f>sala!F30</f>
        <v>Mesero_2</v>
      </c>
      <c r="AY31" cm="1">
        <f t="array" ref="AY31">SUM(IF(Cocina!A:A=Tabla5[[#This Row],[Nº Orden]],Cocina!F:F*Cocina!G:G,0))</f>
        <v>173</v>
      </c>
      <c r="AZ31" cm="1">
        <f t="array" ref="AZ31">SUM(IF(Cocina!A:A=Tabla5[[#This Row],[Nº Orden]],Cocina!E:E*Cocina!G:G,0))</f>
        <v>103</v>
      </c>
      <c r="BB31" t="str">
        <f>MID(Tabla4[[#This Row],[Cliente]], SEARCH("_", Tabla4[[#This Row],[Cliente]]) + 1, LEN(Tabla4[[#This Row],[Cliente]]) - SEARCH("_",Tabla4[[#This Row],[Cliente]]))</f>
        <v>377</v>
      </c>
      <c r="BC31" t="str">
        <f>sala!B30</f>
        <v>Cliente_377</v>
      </c>
      <c r="BD31" s="1">
        <f>sala!D30</f>
        <v>45017.126388888886</v>
      </c>
      <c r="BE31" s="1">
        <f>sala!E30</f>
        <v>45017.256944444445</v>
      </c>
      <c r="BF31">
        <f>sala!K30</f>
        <v>29</v>
      </c>
      <c r="BG31">
        <f>sala!I30</f>
        <v>1483</v>
      </c>
      <c r="BH31" cm="1">
        <f t="array" ref="BH31">SUM(IF(Cocina!A:A=Tabla4[[#This Row],[Número de Orden]],Cocina!F:F*Cocina!G:G,0))</f>
        <v>173</v>
      </c>
      <c r="BI31" t="str">
        <f>sala!J30</f>
        <v>Ocupada</v>
      </c>
      <c r="BJ31" s="4" t="str">
        <f>IF(Tabla4[[#This Row],[Estado mesa]]="Ocupada","00:15","00:00")</f>
        <v>00:15</v>
      </c>
      <c r="BK31" cm="1">
        <f t="array" ref="BK31">SUM(IF(Cocina!A:A=Tabla4[[#This Row],[Número de Orden]],Cocina!H:H,0))</f>
        <v>71</v>
      </c>
    </row>
    <row r="32" spans="1:63" x14ac:dyDescent="0.3">
      <c r="A32" s="8" t="str">
        <f>MID(Tabla4[[#This Row],[Cliente]], SEARCH("_", Tabla4[[#This Row],[Cliente]]) + 1, LEN(Tabla4[[#This Row],[Cliente]]) - SEARCH("_",Tabla4[[#This Row],[Cliente]]))</f>
        <v>361</v>
      </c>
      <c r="B32">
        <f>sala!K31</f>
        <v>30</v>
      </c>
      <c r="C32">
        <f>Tabla4[[#This Row],[Propina]]+Tabla4[[#This Row],[Precio Cena]]</f>
        <v>2741</v>
      </c>
      <c r="D32" s="3">
        <f>INT(sala!E31)</f>
        <v>45017</v>
      </c>
      <c r="E32" s="4">
        <f>MOD( sala!D31,1)</f>
        <v>0.12152777778101154</v>
      </c>
      <c r="F32" s="4">
        <f>MOD( sala!E31,1)</f>
        <v>0.25902777777810115</v>
      </c>
      <c r="G32" s="4">
        <f>Tabla5[[#This Row],[Hora de Salida]]-Tabla5[[#This Row],[Hora de Llegada]]+Tabla4[[#This Row],[Tiempo Extra]]</f>
        <v>0.13749999999708962</v>
      </c>
      <c r="H32" s="5" t="str">
        <f>TEXT(Tabla4[[#This Row],[Preparación en horas]]/1440, "h:mm")</f>
        <v>1:09</v>
      </c>
      <c r="I32" s="4">
        <f>IF(Tabla5[[#This Row],[Tiempo Permanencia]]-Tabla5[[#This Row],[Tiempo de Preparación ]]&gt;=0,Tabla5[[#This Row],[Tiempo Permanencia]]-Tabla5[[#This Row],[Tiempo de Preparación ]],0)</f>
        <v>8.9583333330422954E-2</v>
      </c>
      <c r="J32" s="5" t="str">
        <f>IF(Tabla5[[#This Row],[Tiempo de Degustación]]=0,"No Cobrada","Cobrada")</f>
        <v>Cobrada</v>
      </c>
      <c r="K32" s="5" cm="1">
        <f t="array" ref="K32">SUM(IF(Tabla5[[#This Row],[Orden Cobrada]]="Cobrada",IF(Cocina!A:A=Tabla5[[#This Row],[Nº Orden]],Cocina!F:F*Cocina!G:G,0),-Tabla6[[#This Row],[Precio Cena]]))</f>
        <v>112</v>
      </c>
      <c r="L32" s="5">
        <f>IF(Tabla5[[#This Row],[Orden Cobrada]]="Cobrada",Tabla5[[#This Row],[Ganancia Bruta]]-Tabla6[[#This Row],[Coste Cena]],-Tabla6[[#This Row],[Precio Cena]]+Tabla6[[#This Row],[Coste Cena]])</f>
        <v>46</v>
      </c>
      <c r="M32" s="10">
        <f>IF(Tabla5[[#This Row],[Orden Cobrada]]="Cobrada",((Tabla5[[#This Row],[Ganancia Neta]]/Tabla5[[#This Row],[Ganancia Bruta]])*100)/100,-((Tabla5[[#This Row],[Ganancia Neta]]/Tabla5[[#This Row],[Ganancia Bruta]]*100)/100))</f>
        <v>0.4107142857142857</v>
      </c>
      <c r="N32" s="5" t="str">
        <f>sala!F31</f>
        <v>Mesero_4</v>
      </c>
      <c r="AY32" cm="1">
        <f t="array" ref="AY32">SUM(IF(Cocina!A:A=Tabla5[[#This Row],[Nº Orden]],Cocina!F:F*Cocina!G:G,0))</f>
        <v>112</v>
      </c>
      <c r="AZ32" cm="1">
        <f t="array" ref="AZ32">SUM(IF(Cocina!A:A=Tabla5[[#This Row],[Nº Orden]],Cocina!E:E*Cocina!G:G,0))</f>
        <v>66</v>
      </c>
      <c r="BB32" t="str">
        <f>MID(Tabla4[[#This Row],[Cliente]], SEARCH("_", Tabla4[[#This Row],[Cliente]]) + 1, LEN(Tabla4[[#This Row],[Cliente]]) - SEARCH("_",Tabla4[[#This Row],[Cliente]]))</f>
        <v>361</v>
      </c>
      <c r="BC32" t="str">
        <f>sala!B31</f>
        <v>Cliente_361</v>
      </c>
      <c r="BD32" s="1">
        <f>sala!D31</f>
        <v>45017.121527777781</v>
      </c>
      <c r="BE32" s="1">
        <f>sala!E31</f>
        <v>45017.259027777778</v>
      </c>
      <c r="BF32">
        <f>sala!K31</f>
        <v>30</v>
      </c>
      <c r="BG32">
        <f>sala!I31</f>
        <v>2629</v>
      </c>
      <c r="BH32" cm="1">
        <f t="array" ref="BH32">SUM(IF(Cocina!A:A=Tabla4[[#This Row],[Número de Orden]],Cocina!F:F*Cocina!G:G,0))</f>
        <v>112</v>
      </c>
      <c r="BI32" t="str">
        <f>sala!J31</f>
        <v>Libre</v>
      </c>
      <c r="BJ32" s="4" t="str">
        <f>IF(Tabla4[[#This Row],[Estado mesa]]="Ocupada","00:15","00:00")</f>
        <v>00:00</v>
      </c>
      <c r="BK32" cm="1">
        <f t="array" ref="BK32">SUM(IF(Cocina!A:A=Tabla4[[#This Row],[Número de Orden]],Cocina!H:H,0))</f>
        <v>69</v>
      </c>
    </row>
    <row r="33" spans="1:63" x14ac:dyDescent="0.3">
      <c r="A33" s="8" t="str">
        <f>MID(Tabla4[[#This Row],[Cliente]], SEARCH("_", Tabla4[[#This Row],[Cliente]]) + 1, LEN(Tabla4[[#This Row],[Cliente]]) - SEARCH("_",Tabla4[[#This Row],[Cliente]]))</f>
        <v>229</v>
      </c>
      <c r="B33">
        <f>sala!K32</f>
        <v>31</v>
      </c>
      <c r="C33">
        <f>Tabla4[[#This Row],[Propina]]+Tabla4[[#This Row],[Precio Cena]]</f>
        <v>2048</v>
      </c>
      <c r="D33" s="3">
        <f>INT(sala!E32)</f>
        <v>45017</v>
      </c>
      <c r="E33" s="4">
        <f>MOD( sala!D32,1)</f>
        <v>0.11875000000145519</v>
      </c>
      <c r="F33" s="4">
        <f>MOD( sala!E32,1)</f>
        <v>0.25138888888614019</v>
      </c>
      <c r="G33" s="4">
        <f>Tabla5[[#This Row],[Hora de Salida]]-Tabla5[[#This Row],[Hora de Llegada]]+Tabla4[[#This Row],[Tiempo Extra]]</f>
        <v>0.14305555555135166</v>
      </c>
      <c r="H33" s="5" t="str">
        <f>TEXT(Tabla4[[#This Row],[Preparación en horas]]/1440, "h:mm")</f>
        <v>1:45</v>
      </c>
      <c r="I33" s="4">
        <f>IF(Tabla5[[#This Row],[Tiempo Permanencia]]-Tabla5[[#This Row],[Tiempo de Preparación ]]&gt;=0,Tabla5[[#This Row],[Tiempo Permanencia]]-Tabla5[[#This Row],[Tiempo de Preparación ]],0)</f>
        <v>7.0138888884684988E-2</v>
      </c>
      <c r="J33" s="5" t="str">
        <f>IF(Tabla5[[#This Row],[Tiempo de Degustación]]=0,"No Cobrada","Cobrada")</f>
        <v>Cobrada</v>
      </c>
      <c r="K33" s="5" cm="1">
        <f t="array" ref="K33">SUM(IF(Tabla5[[#This Row],[Orden Cobrada]]="Cobrada",IF(Cocina!A:A=Tabla5[[#This Row],[Nº Orden]],Cocina!F:F*Cocina!G:G,0),-Tabla6[[#This Row],[Precio Cena]]))</f>
        <v>67</v>
      </c>
      <c r="L33" s="5">
        <f>IF(Tabla5[[#This Row],[Orden Cobrada]]="Cobrada",Tabla5[[#This Row],[Ganancia Bruta]]-Tabla6[[#This Row],[Coste Cena]],-Tabla6[[#This Row],[Precio Cena]]+Tabla6[[#This Row],[Coste Cena]])</f>
        <v>28</v>
      </c>
      <c r="M33" s="10">
        <f>IF(Tabla5[[#This Row],[Orden Cobrada]]="Cobrada",((Tabla5[[#This Row],[Ganancia Neta]]/Tabla5[[#This Row],[Ganancia Bruta]])*100)/100,-((Tabla5[[#This Row],[Ganancia Neta]]/Tabla5[[#This Row],[Ganancia Bruta]]*100)/100))</f>
        <v>0.41791044776119401</v>
      </c>
      <c r="N33" s="5" t="str">
        <f>sala!F32</f>
        <v>Mesero_2</v>
      </c>
      <c r="AY33" cm="1">
        <f t="array" ref="AY33">SUM(IF(Cocina!A:A=Tabla5[[#This Row],[Nº Orden]],Cocina!F:F*Cocina!G:G,0))</f>
        <v>67</v>
      </c>
      <c r="AZ33" cm="1">
        <f t="array" ref="AZ33">SUM(IF(Cocina!A:A=Tabla5[[#This Row],[Nº Orden]],Cocina!E:E*Cocina!G:G,0))</f>
        <v>39</v>
      </c>
      <c r="BB33" t="str">
        <f>MID(Tabla4[[#This Row],[Cliente]], SEARCH("_", Tabla4[[#This Row],[Cliente]]) + 1, LEN(Tabla4[[#This Row],[Cliente]]) - SEARCH("_",Tabla4[[#This Row],[Cliente]]))</f>
        <v>229</v>
      </c>
      <c r="BC33" t="str">
        <f>sala!B32</f>
        <v>Cliente_229</v>
      </c>
      <c r="BD33" s="1">
        <f>sala!D32</f>
        <v>45017.118750000001</v>
      </c>
      <c r="BE33" s="1">
        <f>sala!E32</f>
        <v>45017.251388888886</v>
      </c>
      <c r="BF33">
        <f>sala!K32</f>
        <v>31</v>
      </c>
      <c r="BG33">
        <f>sala!I32</f>
        <v>1981</v>
      </c>
      <c r="BH33" cm="1">
        <f t="array" ref="BH33">SUM(IF(Cocina!A:A=Tabla4[[#This Row],[Número de Orden]],Cocina!F:F*Cocina!G:G,0))</f>
        <v>67</v>
      </c>
      <c r="BI33" t="str">
        <f>sala!J32</f>
        <v>Ocupada</v>
      </c>
      <c r="BJ33" s="4" t="str">
        <f>IF(Tabla4[[#This Row],[Estado mesa]]="Ocupada","00:15","00:00")</f>
        <v>00:15</v>
      </c>
      <c r="BK33" cm="1">
        <f t="array" ref="BK33">SUM(IF(Cocina!A:A=Tabla4[[#This Row],[Número de Orden]],Cocina!H:H,0))</f>
        <v>105</v>
      </c>
    </row>
    <row r="34" spans="1:63" x14ac:dyDescent="0.3">
      <c r="A34" s="8" t="str">
        <f>MID(Tabla4[[#This Row],[Cliente]], SEARCH("_", Tabla4[[#This Row],[Cliente]]) + 1, LEN(Tabla4[[#This Row],[Cliente]]) - SEARCH("_",Tabla4[[#This Row],[Cliente]]))</f>
        <v>27</v>
      </c>
      <c r="B34">
        <f>sala!K33</f>
        <v>32</v>
      </c>
      <c r="C34">
        <f>Tabla4[[#This Row],[Propina]]+Tabla4[[#This Row],[Precio Cena]]</f>
        <v>3036</v>
      </c>
      <c r="D34" s="3">
        <f>INT(sala!E33)</f>
        <v>45017</v>
      </c>
      <c r="E34" s="4">
        <f>MOD( sala!D33,1)</f>
        <v>0.13055555555911269</v>
      </c>
      <c r="F34" s="4">
        <f>MOD( sala!E33,1)</f>
        <v>0.28402777777955635</v>
      </c>
      <c r="G34" s="4">
        <f>Tabla5[[#This Row],[Hora de Salida]]-Tabla5[[#This Row],[Hora de Llegada]]+Tabla4[[#This Row],[Tiempo Extra]]</f>
        <v>0.16388888888711031</v>
      </c>
      <c r="H34" s="5" t="str">
        <f>TEXT(Tabla4[[#This Row],[Preparación en horas]]/1440, "h:mm")</f>
        <v>2:08</v>
      </c>
      <c r="I34" s="4">
        <f>IF(Tabla5[[#This Row],[Tiempo Permanencia]]-Tabla5[[#This Row],[Tiempo de Preparación ]]&gt;=0,Tabla5[[#This Row],[Tiempo Permanencia]]-Tabla5[[#This Row],[Tiempo de Preparación ]],0)</f>
        <v>7.499999999822142E-2</v>
      </c>
      <c r="J34" s="5" t="str">
        <f>IF(Tabla5[[#This Row],[Tiempo de Degustación]]=0,"No Cobrada","Cobrada")</f>
        <v>Cobrada</v>
      </c>
      <c r="K34" s="5" cm="1">
        <f t="array" ref="K34">SUM(IF(Tabla5[[#This Row],[Orden Cobrada]]="Cobrada",IF(Cocina!A:A=Tabla5[[#This Row],[Nº Orden]],Cocina!F:F*Cocina!G:G,0),-Tabla6[[#This Row],[Precio Cena]]))</f>
        <v>211</v>
      </c>
      <c r="L34" s="5">
        <f>IF(Tabla5[[#This Row],[Orden Cobrada]]="Cobrada",Tabla5[[#This Row],[Ganancia Bruta]]-Tabla6[[#This Row],[Coste Cena]],-Tabla6[[#This Row],[Precio Cena]]+Tabla6[[#This Row],[Coste Cena]])</f>
        <v>88</v>
      </c>
      <c r="M34" s="10">
        <f>IF(Tabla5[[#This Row],[Orden Cobrada]]="Cobrada",((Tabla5[[#This Row],[Ganancia Neta]]/Tabla5[[#This Row],[Ganancia Bruta]])*100)/100,-((Tabla5[[#This Row],[Ganancia Neta]]/Tabla5[[#This Row],[Ganancia Bruta]]*100)/100))</f>
        <v>0.41706161137440761</v>
      </c>
      <c r="N34" s="5" t="str">
        <f>sala!F33</f>
        <v>Mesero_1</v>
      </c>
      <c r="AY34" cm="1">
        <f t="array" ref="AY34">SUM(IF(Cocina!A:A=Tabla5[[#This Row],[Nº Orden]],Cocina!F:F*Cocina!G:G,0))</f>
        <v>211</v>
      </c>
      <c r="AZ34" cm="1">
        <f t="array" ref="AZ34">SUM(IF(Cocina!A:A=Tabla5[[#This Row],[Nº Orden]],Cocina!E:E*Cocina!G:G,0))</f>
        <v>123</v>
      </c>
      <c r="BB34" t="str">
        <f>MID(Tabla4[[#This Row],[Cliente]], SEARCH("_", Tabla4[[#This Row],[Cliente]]) + 1, LEN(Tabla4[[#This Row],[Cliente]]) - SEARCH("_",Tabla4[[#This Row],[Cliente]]))</f>
        <v>27</v>
      </c>
      <c r="BC34" t="str">
        <f>sala!B33</f>
        <v>Cliente_27</v>
      </c>
      <c r="BD34" s="1">
        <f>sala!D33</f>
        <v>45017.130555555559</v>
      </c>
      <c r="BE34" s="1">
        <f>sala!E33</f>
        <v>45017.28402777778</v>
      </c>
      <c r="BF34">
        <f>sala!K33</f>
        <v>32</v>
      </c>
      <c r="BG34">
        <f>sala!I33</f>
        <v>2825</v>
      </c>
      <c r="BH34" cm="1">
        <f t="array" ref="BH34">SUM(IF(Cocina!A:A=Tabla4[[#This Row],[Número de Orden]],Cocina!F:F*Cocina!G:G,0))</f>
        <v>211</v>
      </c>
      <c r="BI34" t="str">
        <f>sala!J33</f>
        <v>Ocupada</v>
      </c>
      <c r="BJ34" s="4" t="str">
        <f>IF(Tabla4[[#This Row],[Estado mesa]]="Ocupada","00:15","00:00")</f>
        <v>00:15</v>
      </c>
      <c r="BK34" cm="1">
        <f t="array" ref="BK34">SUM(IF(Cocina!A:A=Tabla4[[#This Row],[Número de Orden]],Cocina!H:H,0))</f>
        <v>128</v>
      </c>
    </row>
    <row r="35" spans="1:63" x14ac:dyDescent="0.3">
      <c r="A35" s="8" t="str">
        <f>MID(Tabla4[[#This Row],[Cliente]], SEARCH("_", Tabla4[[#This Row],[Cliente]]) + 1, LEN(Tabla4[[#This Row],[Cliente]]) - SEARCH("_",Tabla4[[#This Row],[Cliente]]))</f>
        <v>103</v>
      </c>
      <c r="B35">
        <f>sala!K34</f>
        <v>33</v>
      </c>
      <c r="C35">
        <f>Tabla4[[#This Row],[Propina]]+Tabla4[[#This Row],[Precio Cena]]</f>
        <v>2344</v>
      </c>
      <c r="D35" s="3">
        <f>INT(sala!E34)</f>
        <v>45017</v>
      </c>
      <c r="E35" s="4">
        <f>MOD( sala!D34,1)</f>
        <v>0.14791666666860692</v>
      </c>
      <c r="F35" s="4">
        <f>MOD( sala!E34,1)</f>
        <v>0.26458333332993789</v>
      </c>
      <c r="G35" s="4">
        <f>Tabla5[[#This Row],[Hora de Salida]]-Tabla5[[#This Row],[Hora de Llegada]]+Tabla4[[#This Row],[Tiempo Extra]]</f>
        <v>0.12708333332799762</v>
      </c>
      <c r="H35" s="5" t="str">
        <f>TEXT(Tabla4[[#This Row],[Preparación en horas]]/1440, "h:mm")</f>
        <v>2:10</v>
      </c>
      <c r="I35" s="4">
        <f>IF(Tabla5[[#This Row],[Tiempo Permanencia]]-Tabla5[[#This Row],[Tiempo de Preparación ]]&gt;=0,Tabla5[[#This Row],[Tiempo Permanencia]]-Tabla5[[#This Row],[Tiempo de Preparación ]],0)</f>
        <v>3.6805555550219846E-2</v>
      </c>
      <c r="J35" s="5" t="str">
        <f>IF(Tabla5[[#This Row],[Tiempo de Degustación]]=0,"No Cobrada","Cobrada")</f>
        <v>Cobrada</v>
      </c>
      <c r="K35" s="5" cm="1">
        <f t="array" ref="K35">SUM(IF(Tabla5[[#This Row],[Orden Cobrada]]="Cobrada",IF(Cocina!A:A=Tabla5[[#This Row],[Nº Orden]],Cocina!F:F*Cocina!G:G,0),-Tabla6[[#This Row],[Precio Cena]]))</f>
        <v>306</v>
      </c>
      <c r="L35" s="5">
        <f>IF(Tabla5[[#This Row],[Orden Cobrada]]="Cobrada",Tabla5[[#This Row],[Ganancia Bruta]]-Tabla6[[#This Row],[Coste Cena]],-Tabla6[[#This Row],[Precio Cena]]+Tabla6[[#This Row],[Coste Cena]])</f>
        <v>125</v>
      </c>
      <c r="M35" s="10">
        <f>IF(Tabla5[[#This Row],[Orden Cobrada]]="Cobrada",((Tabla5[[#This Row],[Ganancia Neta]]/Tabla5[[#This Row],[Ganancia Bruta]])*100)/100,-((Tabla5[[#This Row],[Ganancia Neta]]/Tabla5[[#This Row],[Ganancia Bruta]]*100)/100))</f>
        <v>0.40849673202614378</v>
      </c>
      <c r="N35" s="5" t="str">
        <f>sala!F34</f>
        <v>Mesero_4</v>
      </c>
      <c r="AY35" cm="1">
        <f t="array" ref="AY35">SUM(IF(Cocina!A:A=Tabla5[[#This Row],[Nº Orden]],Cocina!F:F*Cocina!G:G,0))</f>
        <v>306</v>
      </c>
      <c r="AZ35" cm="1">
        <f t="array" ref="AZ35">SUM(IF(Cocina!A:A=Tabla5[[#This Row],[Nº Orden]],Cocina!E:E*Cocina!G:G,0))</f>
        <v>181</v>
      </c>
      <c r="BB35" t="str">
        <f>MID(Tabla4[[#This Row],[Cliente]], SEARCH("_", Tabla4[[#This Row],[Cliente]]) + 1, LEN(Tabla4[[#This Row],[Cliente]]) - SEARCH("_",Tabla4[[#This Row],[Cliente]]))</f>
        <v>103</v>
      </c>
      <c r="BC35" t="str">
        <f>sala!B34</f>
        <v>Cliente_103</v>
      </c>
      <c r="BD35" s="1">
        <f>sala!D34</f>
        <v>45017.147916666669</v>
      </c>
      <c r="BE35" s="1">
        <f>sala!E34</f>
        <v>45017.26458333333</v>
      </c>
      <c r="BF35">
        <f>sala!K34</f>
        <v>33</v>
      </c>
      <c r="BG35">
        <f>sala!I34</f>
        <v>2038</v>
      </c>
      <c r="BH35" cm="1">
        <f t="array" ref="BH35">SUM(IF(Cocina!A:A=Tabla4[[#This Row],[Número de Orden]],Cocina!F:F*Cocina!G:G,0))</f>
        <v>306</v>
      </c>
      <c r="BI35" t="str">
        <f>sala!J34</f>
        <v>Ocupada</v>
      </c>
      <c r="BJ35" s="4" t="str">
        <f>IF(Tabla4[[#This Row],[Estado mesa]]="Ocupada","00:15","00:00")</f>
        <v>00:15</v>
      </c>
      <c r="BK35" cm="1">
        <f t="array" ref="BK35">SUM(IF(Cocina!A:A=Tabla4[[#This Row],[Número de Orden]],Cocina!H:H,0))</f>
        <v>130</v>
      </c>
    </row>
    <row r="36" spans="1:63" x14ac:dyDescent="0.3">
      <c r="A36" s="8" t="str">
        <f>MID(Tabla4[[#This Row],[Cliente]], SEARCH("_", Tabla4[[#This Row],[Cliente]]) + 1, LEN(Tabla4[[#This Row],[Cliente]]) - SEARCH("_",Tabla4[[#This Row],[Cliente]]))</f>
        <v>1</v>
      </c>
      <c r="B36">
        <f>sala!K35</f>
        <v>34</v>
      </c>
      <c r="C36">
        <f>Tabla4[[#This Row],[Propina]]+Tabla4[[#This Row],[Precio Cena]]</f>
        <v>1420</v>
      </c>
      <c r="D36" s="3">
        <f>INT(sala!E35)</f>
        <v>45017</v>
      </c>
      <c r="E36" s="4">
        <f>MOD( sala!D35,1)</f>
        <v>9.4444444446708076E-2</v>
      </c>
      <c r="F36" s="4">
        <f>MOD( sala!E35,1)</f>
        <v>0.25486111111240461</v>
      </c>
      <c r="G36" s="4">
        <f>Tabla5[[#This Row],[Hora de Salida]]-Tabla5[[#This Row],[Hora de Llegada]]+Tabla4[[#This Row],[Tiempo Extra]]</f>
        <v>0.16041666666569654</v>
      </c>
      <c r="H36" s="5" t="str">
        <f>TEXT(Tabla4[[#This Row],[Preparación en horas]]/1440, "h:mm")</f>
        <v>1:05</v>
      </c>
      <c r="I36" s="4">
        <f>IF(Tabla5[[#This Row],[Tiempo Permanencia]]-Tabla5[[#This Row],[Tiempo de Preparación ]]&gt;=0,Tabla5[[#This Row],[Tiempo Permanencia]]-Tabla5[[#This Row],[Tiempo de Preparación ]],0)</f>
        <v>0.11527777777680764</v>
      </c>
      <c r="J36" s="5" t="str">
        <f>IF(Tabla5[[#This Row],[Tiempo de Degustación]]=0,"No Cobrada","Cobrada")</f>
        <v>Cobrada</v>
      </c>
      <c r="K36" s="5" cm="1">
        <f t="array" ref="K36">SUM(IF(Tabla5[[#This Row],[Orden Cobrada]]="Cobrada",IF(Cocina!A:A=Tabla5[[#This Row],[Nº Orden]],Cocina!F:F*Cocina!G:G,0),-Tabla6[[#This Row],[Precio Cena]]))</f>
        <v>112</v>
      </c>
      <c r="L36" s="5">
        <f>IF(Tabla5[[#This Row],[Orden Cobrada]]="Cobrada",Tabla5[[#This Row],[Ganancia Bruta]]-Tabla6[[#This Row],[Coste Cena]],-Tabla6[[#This Row],[Precio Cena]]+Tabla6[[#This Row],[Coste Cena]])</f>
        <v>47</v>
      </c>
      <c r="M36" s="10">
        <f>IF(Tabla5[[#This Row],[Orden Cobrada]]="Cobrada",((Tabla5[[#This Row],[Ganancia Neta]]/Tabla5[[#This Row],[Ganancia Bruta]])*100)/100,-((Tabla5[[#This Row],[Ganancia Neta]]/Tabla5[[#This Row],[Ganancia Bruta]]*100)/100))</f>
        <v>0.41964285714285715</v>
      </c>
      <c r="N36" s="5" t="str">
        <f>sala!F35</f>
        <v>Mesero_4</v>
      </c>
      <c r="AY36" cm="1">
        <f t="array" ref="AY36">SUM(IF(Cocina!A:A=Tabla5[[#This Row],[Nº Orden]],Cocina!F:F*Cocina!G:G,0))</f>
        <v>112</v>
      </c>
      <c r="AZ36" cm="1">
        <f t="array" ref="AZ36">SUM(IF(Cocina!A:A=Tabla5[[#This Row],[Nº Orden]],Cocina!E:E*Cocina!G:G,0))</f>
        <v>65</v>
      </c>
      <c r="BB36" t="str">
        <f>MID(Tabla4[[#This Row],[Cliente]], SEARCH("_", Tabla4[[#This Row],[Cliente]]) + 1, LEN(Tabla4[[#This Row],[Cliente]]) - SEARCH("_",Tabla4[[#This Row],[Cliente]]))</f>
        <v>1</v>
      </c>
      <c r="BC36" t="str">
        <f>sala!B35</f>
        <v>Cliente_1</v>
      </c>
      <c r="BD36" s="1">
        <f>sala!D35</f>
        <v>45017.094444444447</v>
      </c>
      <c r="BE36" s="1">
        <f>sala!E35</f>
        <v>45017.254861111112</v>
      </c>
      <c r="BF36">
        <f>sala!K35</f>
        <v>34</v>
      </c>
      <c r="BG36">
        <f>sala!I35</f>
        <v>1308</v>
      </c>
      <c r="BH36" cm="1">
        <f t="array" ref="BH36">SUM(IF(Cocina!A:A=Tabla4[[#This Row],[Número de Orden]],Cocina!F:F*Cocina!G:G,0))</f>
        <v>112</v>
      </c>
      <c r="BI36" t="str">
        <f>sala!J35</f>
        <v>Libre</v>
      </c>
      <c r="BJ36" s="4" t="str">
        <f>IF(Tabla4[[#This Row],[Estado mesa]]="Ocupada","00:15","00:00")</f>
        <v>00:00</v>
      </c>
      <c r="BK36" cm="1">
        <f t="array" ref="BK36">SUM(IF(Cocina!A:A=Tabla4[[#This Row],[Número de Orden]],Cocina!H:H,0))</f>
        <v>65</v>
      </c>
    </row>
    <row r="37" spans="1:63" x14ac:dyDescent="0.3">
      <c r="A37" s="8" t="str">
        <f>MID(Tabla4[[#This Row],[Cliente]], SEARCH("_", Tabla4[[#This Row],[Cliente]]) + 1, LEN(Tabla4[[#This Row],[Cliente]]) - SEARCH("_",Tabla4[[#This Row],[Cliente]]))</f>
        <v>828</v>
      </c>
      <c r="B37">
        <f>sala!K36</f>
        <v>35</v>
      </c>
      <c r="C37">
        <f>Tabla4[[#This Row],[Propina]]+Tabla4[[#This Row],[Precio Cena]]</f>
        <v>1789</v>
      </c>
      <c r="D37" s="3">
        <f>INT(sala!E36)</f>
        <v>45017</v>
      </c>
      <c r="E37" s="4">
        <f>MOD( sala!D36,1)</f>
        <v>0.13749999999708962</v>
      </c>
      <c r="F37" s="4">
        <f>MOD( sala!E36,1)</f>
        <v>0.24652777778101154</v>
      </c>
      <c r="G37" s="4">
        <f>Tabla5[[#This Row],[Hora de Salida]]-Tabla5[[#This Row],[Hora de Llegada]]+Tabla4[[#This Row],[Tiempo Extra]]</f>
        <v>0.11944444445058859</v>
      </c>
      <c r="H37" s="5" t="str">
        <f>TEXT(Tabla4[[#This Row],[Preparación en horas]]/1440, "h:mm")</f>
        <v>1:05</v>
      </c>
      <c r="I37" s="4">
        <f>IF(Tabla5[[#This Row],[Tiempo Permanencia]]-Tabla5[[#This Row],[Tiempo de Preparación ]]&gt;=0,Tabla5[[#This Row],[Tiempo Permanencia]]-Tabla5[[#This Row],[Tiempo de Preparación ]],0)</f>
        <v>7.430555556169971E-2</v>
      </c>
      <c r="J37" s="5" t="str">
        <f>IF(Tabla5[[#This Row],[Tiempo de Degustación]]=0,"No Cobrada","Cobrada")</f>
        <v>Cobrada</v>
      </c>
      <c r="K37" s="5" cm="1">
        <f t="array" ref="K37">SUM(IF(Tabla5[[#This Row],[Orden Cobrada]]="Cobrada",IF(Cocina!A:A=Tabla5[[#This Row],[Nº Orden]],Cocina!F:F*Cocina!G:G,0),-Tabla6[[#This Row],[Precio Cena]]))</f>
        <v>214</v>
      </c>
      <c r="L37" s="5">
        <f>IF(Tabla5[[#This Row],[Orden Cobrada]]="Cobrada",Tabla5[[#This Row],[Ganancia Bruta]]-Tabla6[[#This Row],[Coste Cena]],-Tabla6[[#This Row],[Precio Cena]]+Tabla6[[#This Row],[Coste Cena]])</f>
        <v>85</v>
      </c>
      <c r="M37" s="10">
        <f>IF(Tabla5[[#This Row],[Orden Cobrada]]="Cobrada",((Tabla5[[#This Row],[Ganancia Neta]]/Tabla5[[#This Row],[Ganancia Bruta]])*100)/100,-((Tabla5[[#This Row],[Ganancia Neta]]/Tabla5[[#This Row],[Ganancia Bruta]]*100)/100))</f>
        <v>0.39719626168224292</v>
      </c>
      <c r="N37" s="5" t="str">
        <f>sala!F36</f>
        <v>Mesero_3</v>
      </c>
      <c r="AY37" cm="1">
        <f t="array" ref="AY37">SUM(IF(Cocina!A:A=Tabla5[[#This Row],[Nº Orden]],Cocina!F:F*Cocina!G:G,0))</f>
        <v>214</v>
      </c>
      <c r="AZ37" cm="1">
        <f t="array" ref="AZ37">SUM(IF(Cocina!A:A=Tabla5[[#This Row],[Nº Orden]],Cocina!E:E*Cocina!G:G,0))</f>
        <v>129</v>
      </c>
      <c r="BB37" t="str">
        <f>MID(Tabla4[[#This Row],[Cliente]], SEARCH("_", Tabla4[[#This Row],[Cliente]]) + 1, LEN(Tabla4[[#This Row],[Cliente]]) - SEARCH("_",Tabla4[[#This Row],[Cliente]]))</f>
        <v>828</v>
      </c>
      <c r="BC37" t="str">
        <f>sala!B36</f>
        <v>Cliente_828</v>
      </c>
      <c r="BD37" s="1">
        <f>sala!D36</f>
        <v>45017.137499999997</v>
      </c>
      <c r="BE37" s="1">
        <f>sala!E36</f>
        <v>45017.246527777781</v>
      </c>
      <c r="BF37">
        <f>sala!K36</f>
        <v>35</v>
      </c>
      <c r="BG37">
        <f>sala!I36</f>
        <v>1575</v>
      </c>
      <c r="BH37" cm="1">
        <f t="array" ref="BH37">SUM(IF(Cocina!A:A=Tabla4[[#This Row],[Número de Orden]],Cocina!F:F*Cocina!G:G,0))</f>
        <v>214</v>
      </c>
      <c r="BI37" t="str">
        <f>sala!J36</f>
        <v>Ocupada</v>
      </c>
      <c r="BJ37" s="4" t="str">
        <f>IF(Tabla4[[#This Row],[Estado mesa]]="Ocupada","00:15","00:00")</f>
        <v>00:15</v>
      </c>
      <c r="BK37" cm="1">
        <f t="array" ref="BK37">SUM(IF(Cocina!A:A=Tabla4[[#This Row],[Número de Orden]],Cocina!H:H,0))</f>
        <v>65</v>
      </c>
    </row>
    <row r="38" spans="1:63" x14ac:dyDescent="0.3">
      <c r="A38" s="8" t="str">
        <f>MID(Tabla4[[#This Row],[Cliente]], SEARCH("_", Tabla4[[#This Row],[Cliente]]) + 1, LEN(Tabla4[[#This Row],[Cliente]]) - SEARCH("_",Tabla4[[#This Row],[Cliente]]))</f>
        <v>874</v>
      </c>
      <c r="B38">
        <f>sala!K37</f>
        <v>36</v>
      </c>
      <c r="C38">
        <f>Tabla4[[#This Row],[Propina]]+Tabla4[[#This Row],[Precio Cena]]</f>
        <v>4558</v>
      </c>
      <c r="D38" s="3">
        <f>INT(sala!E37)</f>
        <v>45017</v>
      </c>
      <c r="E38" s="4">
        <f>MOD( sala!D37,1)</f>
        <v>0.14375000000291038</v>
      </c>
      <c r="F38" s="4">
        <f>MOD( sala!E37,1)</f>
        <v>0.26805555555620231</v>
      </c>
      <c r="G38" s="4">
        <f>Tabla5[[#This Row],[Hora de Salida]]-Tabla5[[#This Row],[Hora de Llegada]]+Tabla4[[#This Row],[Tiempo Extra]]</f>
        <v>0.13472222221995858</v>
      </c>
      <c r="H38" s="5" t="str">
        <f>TEXT(Tabla4[[#This Row],[Preparación en horas]]/1440, "h:mm")</f>
        <v>0:38</v>
      </c>
      <c r="I38" s="4">
        <f>IF(Tabla5[[#This Row],[Tiempo Permanencia]]-Tabla5[[#This Row],[Tiempo de Preparación ]]&gt;=0,Tabla5[[#This Row],[Tiempo Permanencia]]-Tabla5[[#This Row],[Tiempo de Preparación ]],0)</f>
        <v>0.10833333333106969</v>
      </c>
      <c r="J38" s="5" t="str">
        <f>IF(Tabla5[[#This Row],[Tiempo de Degustación]]=0,"No Cobrada","Cobrada")</f>
        <v>Cobrada</v>
      </c>
      <c r="K38" s="5" cm="1">
        <f t="array" ref="K38">SUM(IF(Tabla5[[#This Row],[Orden Cobrada]]="Cobrada",IF(Cocina!A:A=Tabla5[[#This Row],[Nº Orden]],Cocina!F:F*Cocina!G:G,0),-Tabla6[[#This Row],[Precio Cena]]))</f>
        <v>30</v>
      </c>
      <c r="L38" s="5">
        <f>IF(Tabla5[[#This Row],[Orden Cobrada]]="Cobrada",Tabla5[[#This Row],[Ganancia Bruta]]-Tabla6[[#This Row],[Coste Cena]],-Tabla6[[#This Row],[Precio Cena]]+Tabla6[[#This Row],[Coste Cena]])</f>
        <v>12</v>
      </c>
      <c r="M38" s="10">
        <f>IF(Tabla5[[#This Row],[Orden Cobrada]]="Cobrada",((Tabla5[[#This Row],[Ganancia Neta]]/Tabla5[[#This Row],[Ganancia Bruta]])*100)/100,-((Tabla5[[#This Row],[Ganancia Neta]]/Tabla5[[#This Row],[Ganancia Bruta]]*100)/100))</f>
        <v>0.4</v>
      </c>
      <c r="N38" s="5" t="str">
        <f>sala!F37</f>
        <v>Mesero_2</v>
      </c>
      <c r="AY38" cm="1">
        <f t="array" ref="AY38">SUM(IF(Cocina!A:A=Tabla5[[#This Row],[Nº Orden]],Cocina!F:F*Cocina!G:G,0))</f>
        <v>30</v>
      </c>
      <c r="AZ38" cm="1">
        <f t="array" ref="AZ38">SUM(IF(Cocina!A:A=Tabla5[[#This Row],[Nº Orden]],Cocina!E:E*Cocina!G:G,0))</f>
        <v>18</v>
      </c>
      <c r="BB38" t="str">
        <f>MID(Tabla4[[#This Row],[Cliente]], SEARCH("_", Tabla4[[#This Row],[Cliente]]) + 1, LEN(Tabla4[[#This Row],[Cliente]]) - SEARCH("_",Tabla4[[#This Row],[Cliente]]))</f>
        <v>874</v>
      </c>
      <c r="BC38" t="str">
        <f>sala!B37</f>
        <v>Cliente_874</v>
      </c>
      <c r="BD38" s="1">
        <f>sala!D37</f>
        <v>45017.143750000003</v>
      </c>
      <c r="BE38" s="1">
        <f>sala!E37</f>
        <v>45017.268055555556</v>
      </c>
      <c r="BF38">
        <f>sala!K37</f>
        <v>36</v>
      </c>
      <c r="BG38">
        <f>sala!I37</f>
        <v>4528</v>
      </c>
      <c r="BH38" cm="1">
        <f t="array" ref="BH38">SUM(IF(Cocina!A:A=Tabla4[[#This Row],[Número de Orden]],Cocina!F:F*Cocina!G:G,0))</f>
        <v>30</v>
      </c>
      <c r="BI38" t="str">
        <f>sala!J37</f>
        <v>Ocupada</v>
      </c>
      <c r="BJ38" s="4" t="str">
        <f>IF(Tabla4[[#This Row],[Estado mesa]]="Ocupada","00:15","00:00")</f>
        <v>00:15</v>
      </c>
      <c r="BK38" cm="1">
        <f t="array" ref="BK38">SUM(IF(Cocina!A:A=Tabla4[[#This Row],[Número de Orden]],Cocina!H:H,0))</f>
        <v>38</v>
      </c>
    </row>
    <row r="39" spans="1:63" x14ac:dyDescent="0.3">
      <c r="A39" s="8" t="str">
        <f>MID(Tabla4[[#This Row],[Cliente]], SEARCH("_", Tabla4[[#This Row],[Cliente]]) + 1, LEN(Tabla4[[#This Row],[Cliente]]) - SEARCH("_",Tabla4[[#This Row],[Cliente]]))</f>
        <v>999</v>
      </c>
      <c r="B39">
        <f>sala!K38</f>
        <v>37</v>
      </c>
      <c r="C39">
        <f>Tabla4[[#This Row],[Propina]]+Tabla4[[#This Row],[Precio Cena]]</f>
        <v>1060</v>
      </c>
      <c r="D39" s="3">
        <f>INT(sala!E38)</f>
        <v>45017</v>
      </c>
      <c r="E39" s="4">
        <f>MOD( sala!D38,1)</f>
        <v>0.14166666667006211</v>
      </c>
      <c r="F39" s="4">
        <f>MOD( sala!E38,1)</f>
        <v>0.25138888888614019</v>
      </c>
      <c r="G39" s="4">
        <f>Tabla5[[#This Row],[Hora de Salida]]-Tabla5[[#This Row],[Hora de Llegada]]+Tabla4[[#This Row],[Tiempo Extra]]</f>
        <v>0.12013888888274475</v>
      </c>
      <c r="H39" s="5" t="str">
        <f>TEXT(Tabla4[[#This Row],[Preparación en horas]]/1440, "h:mm")</f>
        <v>0:47</v>
      </c>
      <c r="I39" s="4">
        <f>IF(Tabla5[[#This Row],[Tiempo Permanencia]]-Tabla5[[#This Row],[Tiempo de Preparación ]]&gt;=0,Tabla5[[#This Row],[Tiempo Permanencia]]-Tabla5[[#This Row],[Tiempo de Preparación ]],0)</f>
        <v>8.7499999993855854E-2</v>
      </c>
      <c r="J39" s="5" t="str">
        <f>IF(Tabla5[[#This Row],[Tiempo de Degustación]]=0,"No Cobrada","Cobrada")</f>
        <v>Cobrada</v>
      </c>
      <c r="K39" s="5" cm="1">
        <f t="array" ref="K39">SUM(IF(Tabla5[[#This Row],[Orden Cobrada]]="Cobrada",IF(Cocina!A:A=Tabla5[[#This Row],[Nº Orden]],Cocina!F:F*Cocina!G:G,0),-Tabla6[[#This Row],[Precio Cena]]))</f>
        <v>21</v>
      </c>
      <c r="L39" s="5">
        <f>IF(Tabla5[[#This Row],[Orden Cobrada]]="Cobrada",Tabla5[[#This Row],[Ganancia Bruta]]-Tabla6[[#This Row],[Coste Cena]],-Tabla6[[#This Row],[Precio Cena]]+Tabla6[[#This Row],[Coste Cena]])</f>
        <v>8</v>
      </c>
      <c r="M39" s="10">
        <f>IF(Tabla5[[#This Row],[Orden Cobrada]]="Cobrada",((Tabla5[[#This Row],[Ganancia Neta]]/Tabla5[[#This Row],[Ganancia Bruta]])*100)/100,-((Tabla5[[#This Row],[Ganancia Neta]]/Tabla5[[#This Row],[Ganancia Bruta]]*100)/100))</f>
        <v>0.38095238095238093</v>
      </c>
      <c r="N39" s="5" t="str">
        <f>sala!F38</f>
        <v>Mesero_5</v>
      </c>
      <c r="AY39" cm="1">
        <f t="array" ref="AY39">SUM(IF(Cocina!A:A=Tabla5[[#This Row],[Nº Orden]],Cocina!F:F*Cocina!G:G,0))</f>
        <v>21</v>
      </c>
      <c r="AZ39" cm="1">
        <f t="array" ref="AZ39">SUM(IF(Cocina!A:A=Tabla5[[#This Row],[Nº Orden]],Cocina!E:E*Cocina!G:G,0))</f>
        <v>13</v>
      </c>
      <c r="BB39" t="str">
        <f>MID(Tabla4[[#This Row],[Cliente]], SEARCH("_", Tabla4[[#This Row],[Cliente]]) + 1, LEN(Tabla4[[#This Row],[Cliente]]) - SEARCH("_",Tabla4[[#This Row],[Cliente]]))</f>
        <v>999</v>
      </c>
      <c r="BC39" t="str">
        <f>sala!B38</f>
        <v>Cliente_999</v>
      </c>
      <c r="BD39" s="1">
        <f>sala!D38</f>
        <v>45017.14166666667</v>
      </c>
      <c r="BE39" s="1">
        <f>sala!E38</f>
        <v>45017.251388888886</v>
      </c>
      <c r="BF39">
        <f>sala!K38</f>
        <v>37</v>
      </c>
      <c r="BG39">
        <f>sala!I38</f>
        <v>1039</v>
      </c>
      <c r="BH39" cm="1">
        <f t="array" ref="BH39">SUM(IF(Cocina!A:A=Tabla4[[#This Row],[Número de Orden]],Cocina!F:F*Cocina!G:G,0))</f>
        <v>21</v>
      </c>
      <c r="BI39" t="str">
        <f>sala!J38</f>
        <v>Ocupada</v>
      </c>
      <c r="BJ39" s="4" t="str">
        <f>IF(Tabla4[[#This Row],[Estado mesa]]="Ocupada","00:15","00:00")</f>
        <v>00:15</v>
      </c>
      <c r="BK39" cm="1">
        <f t="array" ref="BK39">SUM(IF(Cocina!A:A=Tabla4[[#This Row],[Número de Orden]],Cocina!H:H,0))</f>
        <v>47</v>
      </c>
    </row>
    <row r="40" spans="1:63" x14ac:dyDescent="0.3">
      <c r="A40" s="8" t="str">
        <f>MID(Tabla4[[#This Row],[Cliente]], SEARCH("_", Tabla4[[#This Row],[Cliente]]) + 1, LEN(Tabla4[[#This Row],[Cliente]]) - SEARCH("_",Tabla4[[#This Row],[Cliente]]))</f>
        <v>167</v>
      </c>
      <c r="B40">
        <f>sala!K39</f>
        <v>38</v>
      </c>
      <c r="C40">
        <f>Tabla4[[#This Row],[Propina]]+Tabla4[[#This Row],[Precio Cena]]</f>
        <v>1866</v>
      </c>
      <c r="D40" s="3">
        <f>INT(sala!E39)</f>
        <v>45017</v>
      </c>
      <c r="E40" s="4">
        <f>MOD( sala!D39,1)</f>
        <v>0.10972222222335404</v>
      </c>
      <c r="F40" s="4">
        <f>MOD( sala!E39,1)</f>
        <v>0.16180555555911269</v>
      </c>
      <c r="G40" s="4">
        <f>Tabla5[[#This Row],[Hora de Salida]]-Tabla5[[#This Row],[Hora de Llegada]]+Tabla4[[#This Row],[Tiempo Extra]]</f>
        <v>5.2083333335758653E-2</v>
      </c>
      <c r="H40" s="5" t="str">
        <f>TEXT(Tabla4[[#This Row],[Preparación en horas]]/1440, "h:mm")</f>
        <v>1:38</v>
      </c>
      <c r="I40" s="4">
        <f>IF(Tabla5[[#This Row],[Tiempo Permanencia]]-Tabla5[[#This Row],[Tiempo de Preparación ]]&gt;=0,Tabla5[[#This Row],[Tiempo Permanencia]]-Tabla5[[#This Row],[Tiempo de Preparación ]],0)</f>
        <v>0</v>
      </c>
      <c r="J40" s="5" t="str">
        <f>IF(Tabla5[[#This Row],[Tiempo de Degustación]]=0,"No Cobrada","Cobrada")</f>
        <v>No Cobrada</v>
      </c>
      <c r="K40" s="5" cm="1">
        <f t="array" ref="K40">SUM(IF(Tabla5[[#This Row],[Orden Cobrada]]="Cobrada",IF(Cocina!A:A=Tabla5[[#This Row],[Nº Orden]],Cocina!F:F*Cocina!G:G,0),-Tabla6[[#This Row],[Precio Cena]]))</f>
        <v>-235</v>
      </c>
      <c r="L40" s="5">
        <f>IF(Tabla5[[#This Row],[Orden Cobrada]]="Cobrada",Tabla5[[#This Row],[Ganancia Bruta]]-Tabla6[[#This Row],[Coste Cena]],-Tabla6[[#This Row],[Precio Cena]]+Tabla6[[#This Row],[Coste Cena]])</f>
        <v>-92</v>
      </c>
      <c r="M40" s="10">
        <f>IF(Tabla5[[#This Row],[Orden Cobrada]]="Cobrada",((Tabla5[[#This Row],[Ganancia Neta]]/Tabla5[[#This Row],[Ganancia Bruta]])*100)/100,-((Tabla5[[#This Row],[Ganancia Neta]]/Tabla5[[#This Row],[Ganancia Bruta]]*100)/100))</f>
        <v>-0.39148936170212761</v>
      </c>
      <c r="N40" s="5" t="str">
        <f>sala!F39</f>
        <v>Mesero_4</v>
      </c>
      <c r="AY40" cm="1">
        <f t="array" ref="AY40">SUM(IF(Cocina!A:A=Tabla5[[#This Row],[Nº Orden]],Cocina!F:F*Cocina!G:G,0))</f>
        <v>235</v>
      </c>
      <c r="AZ40" cm="1">
        <f t="array" ref="AZ40">SUM(IF(Cocina!A:A=Tabla5[[#This Row],[Nº Orden]],Cocina!E:E*Cocina!G:G,0))</f>
        <v>143</v>
      </c>
      <c r="BB40" t="str">
        <f>MID(Tabla4[[#This Row],[Cliente]], SEARCH("_", Tabla4[[#This Row],[Cliente]]) + 1, LEN(Tabla4[[#This Row],[Cliente]]) - SEARCH("_",Tabla4[[#This Row],[Cliente]]))</f>
        <v>167</v>
      </c>
      <c r="BC40" t="str">
        <f>sala!B39</f>
        <v>Cliente_167</v>
      </c>
      <c r="BD40" s="1">
        <f>sala!D39</f>
        <v>45017.109722222223</v>
      </c>
      <c r="BE40" s="1">
        <f>sala!E39</f>
        <v>45017.161805555559</v>
      </c>
      <c r="BF40">
        <f>sala!K39</f>
        <v>38</v>
      </c>
      <c r="BG40">
        <f>sala!I39</f>
        <v>1631</v>
      </c>
      <c r="BH40" cm="1">
        <f t="array" ref="BH40">SUM(IF(Cocina!A:A=Tabla4[[#This Row],[Número de Orden]],Cocina!F:F*Cocina!G:G,0))</f>
        <v>235</v>
      </c>
      <c r="BI40" t="str">
        <f>sala!J39</f>
        <v>Reservada</v>
      </c>
      <c r="BJ40" s="4" t="str">
        <f>IF(Tabla4[[#This Row],[Estado mesa]]="Ocupada","00:15","00:00")</f>
        <v>00:00</v>
      </c>
      <c r="BK40" cm="1">
        <f t="array" ref="BK40">SUM(IF(Cocina!A:A=Tabla4[[#This Row],[Número de Orden]],Cocina!H:H,0))</f>
        <v>98</v>
      </c>
    </row>
    <row r="41" spans="1:63" x14ac:dyDescent="0.3">
      <c r="A41" s="8" t="str">
        <f>MID(Tabla4[[#This Row],[Cliente]], SEARCH("_", Tabla4[[#This Row],[Cliente]]) + 1, LEN(Tabla4[[#This Row],[Cliente]]) - SEARCH("_",Tabla4[[#This Row],[Cliente]]))</f>
        <v>606</v>
      </c>
      <c r="B41">
        <f>sala!K40</f>
        <v>39</v>
      </c>
      <c r="C41">
        <f>Tabla4[[#This Row],[Propina]]+Tabla4[[#This Row],[Precio Cena]]</f>
        <v>4944</v>
      </c>
      <c r="D41" s="3">
        <f>INT(sala!E40)</f>
        <v>45017</v>
      </c>
      <c r="E41" s="4">
        <f>MOD( sala!D40,1)</f>
        <v>0.15347222222044365</v>
      </c>
      <c r="F41" s="4">
        <f>MOD( sala!E40,1)</f>
        <v>0.31874999999854481</v>
      </c>
      <c r="G41" s="4">
        <f>Tabla5[[#This Row],[Hora de Salida]]-Tabla5[[#This Row],[Hora de Llegada]]+Tabla4[[#This Row],[Tiempo Extra]]</f>
        <v>0.17569444444476781</v>
      </c>
      <c r="H41" s="5" t="str">
        <f>TEXT(Tabla4[[#This Row],[Preparación en horas]]/1440, "h:mm")</f>
        <v>0:57</v>
      </c>
      <c r="I41" s="4">
        <f>IF(Tabla5[[#This Row],[Tiempo Permanencia]]-Tabla5[[#This Row],[Tiempo de Preparación ]]&gt;=0,Tabla5[[#This Row],[Tiempo Permanencia]]-Tabla5[[#This Row],[Tiempo de Preparación ]],0)</f>
        <v>0.13611111111143448</v>
      </c>
      <c r="J41" s="5" t="str">
        <f>IF(Tabla5[[#This Row],[Tiempo de Degustación]]=0,"No Cobrada","Cobrada")</f>
        <v>Cobrada</v>
      </c>
      <c r="K41" s="5" cm="1">
        <f t="array" ref="K41">SUM(IF(Tabla5[[#This Row],[Orden Cobrada]]="Cobrada",IF(Cocina!A:A=Tabla5[[#This Row],[Nº Orden]],Cocina!F:F*Cocina!G:G,0),-Tabla6[[#This Row],[Precio Cena]]))</f>
        <v>108</v>
      </c>
      <c r="L41" s="5">
        <f>IF(Tabla5[[#This Row],[Orden Cobrada]]="Cobrada",Tabla5[[#This Row],[Ganancia Bruta]]-Tabla6[[#This Row],[Coste Cena]],-Tabla6[[#This Row],[Precio Cena]]+Tabla6[[#This Row],[Coste Cena]])</f>
        <v>42</v>
      </c>
      <c r="M41" s="10">
        <f>IF(Tabla5[[#This Row],[Orden Cobrada]]="Cobrada",((Tabla5[[#This Row],[Ganancia Neta]]/Tabla5[[#This Row],[Ganancia Bruta]])*100)/100,-((Tabla5[[#This Row],[Ganancia Neta]]/Tabla5[[#This Row],[Ganancia Bruta]]*100)/100))</f>
        <v>0.38888888888888895</v>
      </c>
      <c r="N41" s="5" t="str">
        <f>sala!F40</f>
        <v>Mesero_2</v>
      </c>
      <c r="AY41" cm="1">
        <f t="array" ref="AY41">SUM(IF(Cocina!A:A=Tabla5[[#This Row],[Nº Orden]],Cocina!F:F*Cocina!G:G,0))</f>
        <v>108</v>
      </c>
      <c r="AZ41" cm="1">
        <f t="array" ref="AZ41">SUM(IF(Cocina!A:A=Tabla5[[#This Row],[Nº Orden]],Cocina!E:E*Cocina!G:G,0))</f>
        <v>66</v>
      </c>
      <c r="BB41" t="str">
        <f>MID(Tabla4[[#This Row],[Cliente]], SEARCH("_", Tabla4[[#This Row],[Cliente]]) + 1, LEN(Tabla4[[#This Row],[Cliente]]) - SEARCH("_",Tabla4[[#This Row],[Cliente]]))</f>
        <v>606</v>
      </c>
      <c r="BC41" t="str">
        <f>sala!B40</f>
        <v>Cliente_606</v>
      </c>
      <c r="BD41" s="1">
        <f>sala!D40</f>
        <v>45017.15347222222</v>
      </c>
      <c r="BE41" s="1">
        <f>sala!E40</f>
        <v>45017.318749999999</v>
      </c>
      <c r="BF41">
        <f>sala!K40</f>
        <v>39</v>
      </c>
      <c r="BG41">
        <f>sala!I40</f>
        <v>4836</v>
      </c>
      <c r="BH41" cm="1">
        <f t="array" ref="BH41">SUM(IF(Cocina!A:A=Tabla4[[#This Row],[Número de Orden]],Cocina!F:F*Cocina!G:G,0))</f>
        <v>108</v>
      </c>
      <c r="BI41" t="str">
        <f>sala!J40</f>
        <v>Ocupada</v>
      </c>
      <c r="BJ41" s="4" t="str">
        <f>IF(Tabla4[[#This Row],[Estado mesa]]="Ocupada","00:15","00:00")</f>
        <v>00:15</v>
      </c>
      <c r="BK41" cm="1">
        <f t="array" ref="BK41">SUM(IF(Cocina!A:A=Tabla4[[#This Row],[Número de Orden]],Cocina!H:H,0))</f>
        <v>57</v>
      </c>
    </row>
    <row r="42" spans="1:63" x14ac:dyDescent="0.3">
      <c r="A42" s="8" t="str">
        <f>MID(Tabla4[[#This Row],[Cliente]], SEARCH("_", Tabla4[[#This Row],[Cliente]]) + 1, LEN(Tabla4[[#This Row],[Cliente]]) - SEARCH("_",Tabla4[[#This Row],[Cliente]]))</f>
        <v>710</v>
      </c>
      <c r="B42">
        <f>sala!K41</f>
        <v>40</v>
      </c>
      <c r="C42">
        <f>Tabla4[[#This Row],[Propina]]+Tabla4[[#This Row],[Precio Cena]]</f>
        <v>1516</v>
      </c>
      <c r="D42" s="3">
        <f>INT(sala!E41)</f>
        <v>45017</v>
      </c>
      <c r="E42" s="4">
        <f>MOD( sala!D41,1)</f>
        <v>8.3333333335758653E-2</v>
      </c>
      <c r="F42" s="4">
        <f>MOD( sala!E41,1)</f>
        <v>0.17013888889050577</v>
      </c>
      <c r="G42" s="4">
        <f>Tabla5[[#This Row],[Hora de Salida]]-Tabla5[[#This Row],[Hora de Llegada]]+Tabla4[[#This Row],[Tiempo Extra]]</f>
        <v>8.6805555554747116E-2</v>
      </c>
      <c r="H42" s="5" t="str">
        <f>TEXT(Tabla4[[#This Row],[Preparación en horas]]/1440, "h:mm")</f>
        <v>1:18</v>
      </c>
      <c r="I42" s="4">
        <f>IF(Tabla5[[#This Row],[Tiempo Permanencia]]-Tabla5[[#This Row],[Tiempo de Preparación ]]&gt;=0,Tabla5[[#This Row],[Tiempo Permanencia]]-Tabla5[[#This Row],[Tiempo de Preparación ]],0)</f>
        <v>3.2638888888080447E-2</v>
      </c>
      <c r="J42" s="5" t="str">
        <f>IF(Tabla5[[#This Row],[Tiempo de Degustación]]=0,"No Cobrada","Cobrada")</f>
        <v>Cobrada</v>
      </c>
      <c r="K42" s="5" cm="1">
        <f t="array" ref="K42">SUM(IF(Tabla5[[#This Row],[Orden Cobrada]]="Cobrada",IF(Cocina!A:A=Tabla5[[#This Row],[Nº Orden]],Cocina!F:F*Cocina!G:G,0),-Tabla6[[#This Row],[Precio Cena]]))</f>
        <v>148</v>
      </c>
      <c r="L42" s="5">
        <f>IF(Tabla5[[#This Row],[Orden Cobrada]]="Cobrada",Tabla5[[#This Row],[Ganancia Bruta]]-Tabla6[[#This Row],[Coste Cena]],-Tabla6[[#This Row],[Precio Cena]]+Tabla6[[#This Row],[Coste Cena]])</f>
        <v>61</v>
      </c>
      <c r="M42" s="10">
        <f>IF(Tabla5[[#This Row],[Orden Cobrada]]="Cobrada",((Tabla5[[#This Row],[Ganancia Neta]]/Tabla5[[#This Row],[Ganancia Bruta]])*100)/100,-((Tabla5[[#This Row],[Ganancia Neta]]/Tabla5[[#This Row],[Ganancia Bruta]]*100)/100))</f>
        <v>0.41216216216216217</v>
      </c>
      <c r="N42" s="5" t="str">
        <f>sala!F41</f>
        <v>Mesero_3</v>
      </c>
      <c r="AY42" cm="1">
        <f t="array" ref="AY42">SUM(IF(Cocina!A:A=Tabla5[[#This Row],[Nº Orden]],Cocina!F:F*Cocina!G:G,0))</f>
        <v>148</v>
      </c>
      <c r="AZ42" cm="1">
        <f t="array" ref="AZ42">SUM(IF(Cocina!A:A=Tabla5[[#This Row],[Nº Orden]],Cocina!E:E*Cocina!G:G,0))</f>
        <v>87</v>
      </c>
      <c r="BB42" t="str">
        <f>MID(Tabla4[[#This Row],[Cliente]], SEARCH("_", Tabla4[[#This Row],[Cliente]]) + 1, LEN(Tabla4[[#This Row],[Cliente]]) - SEARCH("_",Tabla4[[#This Row],[Cliente]]))</f>
        <v>710</v>
      </c>
      <c r="BC42" t="str">
        <f>sala!B41</f>
        <v>Cliente_710</v>
      </c>
      <c r="BD42" s="1">
        <f>sala!D41</f>
        <v>45017.083333333336</v>
      </c>
      <c r="BE42" s="1">
        <f>sala!E41</f>
        <v>45017.170138888891</v>
      </c>
      <c r="BF42">
        <f>sala!K41</f>
        <v>40</v>
      </c>
      <c r="BG42">
        <f>sala!I41</f>
        <v>1368</v>
      </c>
      <c r="BH42" cm="1">
        <f t="array" ref="BH42">SUM(IF(Cocina!A:A=Tabla4[[#This Row],[Número de Orden]],Cocina!F:F*Cocina!G:G,0))</f>
        <v>148</v>
      </c>
      <c r="BI42" t="str">
        <f>sala!J41</f>
        <v>Libre</v>
      </c>
      <c r="BJ42" s="4" t="str">
        <f>IF(Tabla4[[#This Row],[Estado mesa]]="Ocupada","00:15","00:00")</f>
        <v>00:00</v>
      </c>
      <c r="BK42" cm="1">
        <f t="array" ref="BK42">SUM(IF(Cocina!A:A=Tabla4[[#This Row],[Número de Orden]],Cocina!H:H,0))</f>
        <v>78</v>
      </c>
    </row>
    <row r="43" spans="1:63" x14ac:dyDescent="0.3">
      <c r="A43" s="8" t="str">
        <f>MID(Tabla4[[#This Row],[Cliente]], SEARCH("_", Tabla4[[#This Row],[Cliente]]) + 1, LEN(Tabla4[[#This Row],[Cliente]]) - SEARCH("_",Tabla4[[#This Row],[Cliente]]))</f>
        <v>870</v>
      </c>
      <c r="B43">
        <f>sala!K42</f>
        <v>41</v>
      </c>
      <c r="C43">
        <f>Tabla4[[#This Row],[Propina]]+Tabla4[[#This Row],[Precio Cena]]</f>
        <v>1728</v>
      </c>
      <c r="D43" s="3">
        <f>INT(sala!E42)</f>
        <v>45017</v>
      </c>
      <c r="E43" s="4">
        <f>MOD( sala!D42,1)</f>
        <v>9.3055555553291924E-2</v>
      </c>
      <c r="F43" s="4">
        <f>MOD( sala!E42,1)</f>
        <v>0.18055555555474712</v>
      </c>
      <c r="G43" s="4">
        <f>Tabla5[[#This Row],[Hora de Salida]]-Tabla5[[#This Row],[Hora de Llegada]]+Tabla4[[#This Row],[Tiempo Extra]]</f>
        <v>9.7916666668121863E-2</v>
      </c>
      <c r="H43" s="5" t="str">
        <f>TEXT(Tabla4[[#This Row],[Preparación en horas]]/1440, "h:mm")</f>
        <v>1:29</v>
      </c>
      <c r="I43" s="4">
        <f>IF(Tabla5[[#This Row],[Tiempo Permanencia]]-Tabla5[[#This Row],[Tiempo de Preparación ]]&gt;=0,Tabla5[[#This Row],[Tiempo Permanencia]]-Tabla5[[#This Row],[Tiempo de Preparación ]],0)</f>
        <v>3.6111111112566305E-2</v>
      </c>
      <c r="J43" s="5" t="str">
        <f>IF(Tabla5[[#This Row],[Tiempo de Degustación]]=0,"No Cobrada","Cobrada")</f>
        <v>Cobrada</v>
      </c>
      <c r="K43" s="5" cm="1">
        <f t="array" ref="K43">SUM(IF(Tabla5[[#This Row],[Orden Cobrada]]="Cobrada",IF(Cocina!A:A=Tabla5[[#This Row],[Nº Orden]],Cocina!F:F*Cocina!G:G,0),-Tabla6[[#This Row],[Precio Cena]]))</f>
        <v>204</v>
      </c>
      <c r="L43" s="5">
        <f>IF(Tabla5[[#This Row],[Orden Cobrada]]="Cobrada",Tabla5[[#This Row],[Ganancia Bruta]]-Tabla6[[#This Row],[Coste Cena]],-Tabla6[[#This Row],[Precio Cena]]+Tabla6[[#This Row],[Coste Cena]])</f>
        <v>84</v>
      </c>
      <c r="M43" s="10">
        <f>IF(Tabla5[[#This Row],[Orden Cobrada]]="Cobrada",((Tabla5[[#This Row],[Ganancia Neta]]/Tabla5[[#This Row],[Ganancia Bruta]])*100)/100,-((Tabla5[[#This Row],[Ganancia Neta]]/Tabla5[[#This Row],[Ganancia Bruta]]*100)/100))</f>
        <v>0.41176470588235292</v>
      </c>
      <c r="N43" s="5" t="str">
        <f>sala!F42</f>
        <v>Mesero_2</v>
      </c>
      <c r="AY43" cm="1">
        <f t="array" ref="AY43">SUM(IF(Cocina!A:A=Tabla5[[#This Row],[Nº Orden]],Cocina!F:F*Cocina!G:G,0))</f>
        <v>204</v>
      </c>
      <c r="AZ43" cm="1">
        <f t="array" ref="AZ43">SUM(IF(Cocina!A:A=Tabla5[[#This Row],[Nº Orden]],Cocina!E:E*Cocina!G:G,0))</f>
        <v>120</v>
      </c>
      <c r="BB43" t="str">
        <f>MID(Tabla4[[#This Row],[Cliente]], SEARCH("_", Tabla4[[#This Row],[Cliente]]) + 1, LEN(Tabla4[[#This Row],[Cliente]]) - SEARCH("_",Tabla4[[#This Row],[Cliente]]))</f>
        <v>870</v>
      </c>
      <c r="BC43" t="str">
        <f>sala!B42</f>
        <v>Cliente_870</v>
      </c>
      <c r="BD43" s="1">
        <f>sala!D42</f>
        <v>45017.093055555553</v>
      </c>
      <c r="BE43" s="1">
        <f>sala!E42</f>
        <v>45017.180555555555</v>
      </c>
      <c r="BF43">
        <f>sala!K42</f>
        <v>41</v>
      </c>
      <c r="BG43">
        <f>sala!I42</f>
        <v>1524</v>
      </c>
      <c r="BH43" cm="1">
        <f t="array" ref="BH43">SUM(IF(Cocina!A:A=Tabla4[[#This Row],[Número de Orden]],Cocina!F:F*Cocina!G:G,0))</f>
        <v>204</v>
      </c>
      <c r="BI43" t="str">
        <f>sala!J42</f>
        <v>Ocupada</v>
      </c>
      <c r="BJ43" s="4" t="str">
        <f>IF(Tabla4[[#This Row],[Estado mesa]]="Ocupada","00:15","00:00")</f>
        <v>00:15</v>
      </c>
      <c r="BK43" cm="1">
        <f t="array" ref="BK43">SUM(IF(Cocina!A:A=Tabla4[[#This Row],[Número de Orden]],Cocina!H:H,0))</f>
        <v>89</v>
      </c>
    </row>
    <row r="44" spans="1:63" x14ac:dyDescent="0.3">
      <c r="A44" s="8" t="str">
        <f>MID(Tabla4[[#This Row],[Cliente]], SEARCH("_", Tabla4[[#This Row],[Cliente]]) + 1, LEN(Tabla4[[#This Row],[Cliente]]) - SEARCH("_",Tabla4[[#This Row],[Cliente]]))</f>
        <v>230</v>
      </c>
      <c r="B44">
        <f>sala!K43</f>
        <v>42</v>
      </c>
      <c r="C44">
        <f>Tabla4[[#This Row],[Propina]]+Tabla4[[#This Row],[Precio Cena]]</f>
        <v>5060</v>
      </c>
      <c r="D44" s="3">
        <f>INT(sala!E43)</f>
        <v>45017</v>
      </c>
      <c r="E44" s="4">
        <f>MOD( sala!D43,1)</f>
        <v>1.7361111109494232E-2</v>
      </c>
      <c r="F44" s="4">
        <f>MOD( sala!E43,1)</f>
        <v>7.3611111110949423E-2</v>
      </c>
      <c r="G44" s="4">
        <f>Tabla5[[#This Row],[Hora de Salida]]-Tabla5[[#This Row],[Hora de Llegada]]+Tabla4[[#This Row],[Tiempo Extra]]</f>
        <v>5.6250000001455192E-2</v>
      </c>
      <c r="H44" s="5" t="str">
        <f>TEXT(Tabla4[[#This Row],[Preparación en horas]]/1440, "h:mm")</f>
        <v>1:09</v>
      </c>
      <c r="I44" s="4">
        <f>IF(Tabla5[[#This Row],[Tiempo Permanencia]]-Tabla5[[#This Row],[Tiempo de Preparación ]]&gt;=0,Tabla5[[#This Row],[Tiempo Permanencia]]-Tabla5[[#This Row],[Tiempo de Preparación ]],0)</f>
        <v>8.3333333347885216E-3</v>
      </c>
      <c r="J44" s="5" t="str">
        <f>IF(Tabla5[[#This Row],[Tiempo de Degustación]]=0,"No Cobrada","Cobrada")</f>
        <v>Cobrada</v>
      </c>
      <c r="K44" s="5" cm="1">
        <f t="array" ref="K44">SUM(IF(Tabla5[[#This Row],[Orden Cobrada]]="Cobrada",IF(Cocina!A:A=Tabla5[[#This Row],[Nº Orden]],Cocina!F:F*Cocina!G:G,0),-Tabla6[[#This Row],[Precio Cena]]))</f>
        <v>102</v>
      </c>
      <c r="L44" s="5">
        <f>IF(Tabla5[[#This Row],[Orden Cobrada]]="Cobrada",Tabla5[[#This Row],[Ganancia Bruta]]-Tabla6[[#This Row],[Coste Cena]],-Tabla6[[#This Row],[Precio Cena]]+Tabla6[[#This Row],[Coste Cena]])</f>
        <v>39</v>
      </c>
      <c r="M44" s="10">
        <f>IF(Tabla5[[#This Row],[Orden Cobrada]]="Cobrada",((Tabla5[[#This Row],[Ganancia Neta]]/Tabla5[[#This Row],[Ganancia Bruta]])*100)/100,-((Tabla5[[#This Row],[Ganancia Neta]]/Tabla5[[#This Row],[Ganancia Bruta]]*100)/100))</f>
        <v>0.38235294117647056</v>
      </c>
      <c r="N44" s="5" t="str">
        <f>sala!F43</f>
        <v>Mesero_2</v>
      </c>
      <c r="AY44" cm="1">
        <f t="array" ref="AY44">SUM(IF(Cocina!A:A=Tabla5[[#This Row],[Nº Orden]],Cocina!F:F*Cocina!G:G,0))</f>
        <v>102</v>
      </c>
      <c r="AZ44" cm="1">
        <f t="array" ref="AZ44">SUM(IF(Cocina!A:A=Tabla5[[#This Row],[Nº Orden]],Cocina!E:E*Cocina!G:G,0))</f>
        <v>63</v>
      </c>
      <c r="BB44" t="str">
        <f>MID(Tabla4[[#This Row],[Cliente]], SEARCH("_", Tabla4[[#This Row],[Cliente]]) + 1, LEN(Tabla4[[#This Row],[Cliente]]) - SEARCH("_",Tabla4[[#This Row],[Cliente]]))</f>
        <v>230</v>
      </c>
      <c r="BC44" t="str">
        <f>sala!B43</f>
        <v>Cliente_230</v>
      </c>
      <c r="BD44" s="1">
        <f>sala!D43</f>
        <v>45017.017361111109</v>
      </c>
      <c r="BE44" s="1">
        <f>sala!E43</f>
        <v>45017.073611111111</v>
      </c>
      <c r="BF44">
        <f>sala!K43</f>
        <v>42</v>
      </c>
      <c r="BG44">
        <f>sala!I43</f>
        <v>4958</v>
      </c>
      <c r="BH44" cm="1">
        <f t="array" ref="BH44">SUM(IF(Cocina!A:A=Tabla4[[#This Row],[Número de Orden]],Cocina!F:F*Cocina!G:G,0))</f>
        <v>102</v>
      </c>
      <c r="BI44" t="str">
        <f>sala!J43</f>
        <v>Reservada</v>
      </c>
      <c r="BJ44" s="4" t="str">
        <f>IF(Tabla4[[#This Row],[Estado mesa]]="Ocupada","00:15","00:00")</f>
        <v>00:00</v>
      </c>
      <c r="BK44" cm="1">
        <f t="array" ref="BK44">SUM(IF(Cocina!A:A=Tabla4[[#This Row],[Número de Orden]],Cocina!H:H,0))</f>
        <v>69</v>
      </c>
    </row>
    <row r="45" spans="1:63" x14ac:dyDescent="0.3">
      <c r="A45" s="8" t="str">
        <f>MID(Tabla4[[#This Row],[Cliente]], SEARCH("_", Tabla4[[#This Row],[Cliente]]) + 1, LEN(Tabla4[[#This Row],[Cliente]]) - SEARCH("_",Tabla4[[#This Row],[Cliente]]))</f>
        <v>814</v>
      </c>
      <c r="B45">
        <f>sala!K44</f>
        <v>43</v>
      </c>
      <c r="C45">
        <f>Tabla4[[#This Row],[Propina]]+Tabla4[[#This Row],[Precio Cena]]</f>
        <v>3422</v>
      </c>
      <c r="D45" s="3">
        <f>INT(sala!E44)</f>
        <v>45017</v>
      </c>
      <c r="E45" s="4">
        <f>MOD( sala!D44,1)</f>
        <v>4.3055555557657499E-2</v>
      </c>
      <c r="F45" s="4">
        <f>MOD( sala!E44,1)</f>
        <v>0.13472222222480923</v>
      </c>
      <c r="G45" s="4">
        <f>Tabla5[[#This Row],[Hora de Salida]]-Tabla5[[#This Row],[Hora de Llegada]]+Tabla4[[#This Row],[Tiempo Extra]]</f>
        <v>0.1020833333338184</v>
      </c>
      <c r="H45" s="5" t="str">
        <f>TEXT(Tabla4[[#This Row],[Preparación en horas]]/1440, "h:mm")</f>
        <v>2:26</v>
      </c>
      <c r="I45" s="4">
        <f>IF(Tabla5[[#This Row],[Tiempo Permanencia]]-Tabla5[[#This Row],[Tiempo de Preparación ]]&gt;=0,Tabla5[[#This Row],[Tiempo Permanencia]]-Tabla5[[#This Row],[Tiempo de Preparación ]],0)</f>
        <v>6.9444444492951229E-4</v>
      </c>
      <c r="J45" s="5" t="str">
        <f>IF(Tabla5[[#This Row],[Tiempo de Degustación]]=0,"No Cobrada","Cobrada")</f>
        <v>Cobrada</v>
      </c>
      <c r="K45" s="5" cm="1">
        <f t="array" ref="K45">SUM(IF(Tabla5[[#This Row],[Orden Cobrada]]="Cobrada",IF(Cocina!A:A=Tabla5[[#This Row],[Nº Orden]],Cocina!F:F*Cocina!G:G,0),-Tabla6[[#This Row],[Precio Cena]]))</f>
        <v>203</v>
      </c>
      <c r="L45" s="5">
        <f>IF(Tabla5[[#This Row],[Orden Cobrada]]="Cobrada",Tabla5[[#This Row],[Ganancia Bruta]]-Tabla6[[#This Row],[Coste Cena]],-Tabla6[[#This Row],[Precio Cena]]+Tabla6[[#This Row],[Coste Cena]])</f>
        <v>83</v>
      </c>
      <c r="M45" s="10">
        <f>IF(Tabla5[[#This Row],[Orden Cobrada]]="Cobrada",((Tabla5[[#This Row],[Ganancia Neta]]/Tabla5[[#This Row],[Ganancia Bruta]])*100)/100,-((Tabla5[[#This Row],[Ganancia Neta]]/Tabla5[[#This Row],[Ganancia Bruta]]*100)/100))</f>
        <v>0.40886699507389163</v>
      </c>
      <c r="N45" s="5" t="str">
        <f>sala!F44</f>
        <v>Mesero_4</v>
      </c>
      <c r="AY45" cm="1">
        <f t="array" ref="AY45">SUM(IF(Cocina!A:A=Tabla5[[#This Row],[Nº Orden]],Cocina!F:F*Cocina!G:G,0))</f>
        <v>203</v>
      </c>
      <c r="AZ45" cm="1">
        <f t="array" ref="AZ45">SUM(IF(Cocina!A:A=Tabla5[[#This Row],[Nº Orden]],Cocina!E:E*Cocina!G:G,0))</f>
        <v>120</v>
      </c>
      <c r="BB45" t="str">
        <f>MID(Tabla4[[#This Row],[Cliente]], SEARCH("_", Tabla4[[#This Row],[Cliente]]) + 1, LEN(Tabla4[[#This Row],[Cliente]]) - SEARCH("_",Tabla4[[#This Row],[Cliente]]))</f>
        <v>814</v>
      </c>
      <c r="BC45" t="str">
        <f>sala!B44</f>
        <v>Cliente_814</v>
      </c>
      <c r="BD45" s="1">
        <f>sala!D44</f>
        <v>45017.043055555558</v>
      </c>
      <c r="BE45" s="1">
        <f>sala!E44</f>
        <v>45017.134722222225</v>
      </c>
      <c r="BF45">
        <f>sala!K44</f>
        <v>43</v>
      </c>
      <c r="BG45">
        <f>sala!I44</f>
        <v>3219</v>
      </c>
      <c r="BH45" cm="1">
        <f t="array" ref="BH45">SUM(IF(Cocina!A:A=Tabla4[[#This Row],[Número de Orden]],Cocina!F:F*Cocina!G:G,0))</f>
        <v>203</v>
      </c>
      <c r="BI45" t="str">
        <f>sala!J44</f>
        <v>Ocupada</v>
      </c>
      <c r="BJ45" s="4" t="str">
        <f>IF(Tabla4[[#This Row],[Estado mesa]]="Ocupada","00:15","00:00")</f>
        <v>00:15</v>
      </c>
      <c r="BK45" cm="1">
        <f t="array" ref="BK45">SUM(IF(Cocina!A:A=Tabla4[[#This Row],[Número de Orden]],Cocina!H:H,0))</f>
        <v>146</v>
      </c>
    </row>
    <row r="46" spans="1:63" x14ac:dyDescent="0.3">
      <c r="A46" s="8" t="str">
        <f>MID(Tabla4[[#This Row],[Cliente]], SEARCH("_", Tabla4[[#This Row],[Cliente]]) + 1, LEN(Tabla4[[#This Row],[Cliente]]) - SEARCH("_",Tabla4[[#This Row],[Cliente]]))</f>
        <v>710</v>
      </c>
      <c r="B46">
        <f>sala!K45</f>
        <v>44</v>
      </c>
      <c r="C46">
        <f>Tabla4[[#This Row],[Propina]]+Tabla4[[#This Row],[Precio Cena]]</f>
        <v>548</v>
      </c>
      <c r="D46" s="3">
        <f>INT(sala!E45)</f>
        <v>45017</v>
      </c>
      <c r="E46" s="4">
        <f>MOD( sala!D45,1)</f>
        <v>0.12916666666569654</v>
      </c>
      <c r="F46" s="4">
        <f>MOD( sala!E45,1)</f>
        <v>0.26249999999708962</v>
      </c>
      <c r="G46" s="4">
        <f>Tabla5[[#This Row],[Hora de Salida]]-Tabla5[[#This Row],[Hora de Llegada]]+Tabla4[[#This Row],[Tiempo Extra]]</f>
        <v>0.13333333333139308</v>
      </c>
      <c r="H46" s="5" t="str">
        <f>TEXT(Tabla4[[#This Row],[Preparación en horas]]/1440, "h:mm")</f>
        <v>1:25</v>
      </c>
      <c r="I46" s="4">
        <f>IF(Tabla5[[#This Row],[Tiempo Permanencia]]-Tabla5[[#This Row],[Tiempo de Preparación ]]&gt;=0,Tabla5[[#This Row],[Tiempo Permanencia]]-Tabla5[[#This Row],[Tiempo de Preparación ]],0)</f>
        <v>7.4305555553615302E-2</v>
      </c>
      <c r="J46" s="5" t="str">
        <f>IF(Tabla5[[#This Row],[Tiempo de Degustación]]=0,"No Cobrada","Cobrada")</f>
        <v>Cobrada</v>
      </c>
      <c r="K46" s="5" cm="1">
        <f t="array" ref="K46">SUM(IF(Tabla5[[#This Row],[Orden Cobrada]]="Cobrada",IF(Cocina!A:A=Tabla5[[#This Row],[Nº Orden]],Cocina!F:F*Cocina!G:G,0),-Tabla6[[#This Row],[Precio Cena]]))</f>
        <v>122</v>
      </c>
      <c r="L46" s="5">
        <f>IF(Tabla5[[#This Row],[Orden Cobrada]]="Cobrada",Tabla5[[#This Row],[Ganancia Bruta]]-Tabla6[[#This Row],[Coste Cena]],-Tabla6[[#This Row],[Precio Cena]]+Tabla6[[#This Row],[Coste Cena]])</f>
        <v>49</v>
      </c>
      <c r="M46" s="10">
        <f>IF(Tabla5[[#This Row],[Orden Cobrada]]="Cobrada",((Tabla5[[#This Row],[Ganancia Neta]]/Tabla5[[#This Row],[Ganancia Bruta]])*100)/100,-((Tabla5[[#This Row],[Ganancia Neta]]/Tabla5[[#This Row],[Ganancia Bruta]]*100)/100))</f>
        <v>0.40163934426229508</v>
      </c>
      <c r="N46" s="5" t="str">
        <f>sala!F45</f>
        <v>Mesero_4</v>
      </c>
      <c r="AY46" cm="1">
        <f t="array" ref="AY46">SUM(IF(Cocina!A:A=Tabla5[[#This Row],[Nº Orden]],Cocina!F:F*Cocina!G:G,0))</f>
        <v>122</v>
      </c>
      <c r="AZ46" cm="1">
        <f t="array" ref="AZ46">SUM(IF(Cocina!A:A=Tabla5[[#This Row],[Nº Orden]],Cocina!E:E*Cocina!G:G,0))</f>
        <v>73</v>
      </c>
      <c r="BB46" t="str">
        <f>MID(Tabla4[[#This Row],[Cliente]], SEARCH("_", Tabla4[[#This Row],[Cliente]]) + 1, LEN(Tabla4[[#This Row],[Cliente]]) - SEARCH("_",Tabla4[[#This Row],[Cliente]]))</f>
        <v>710</v>
      </c>
      <c r="BC46" t="str">
        <f>sala!B45</f>
        <v>Cliente_710</v>
      </c>
      <c r="BD46" s="1">
        <f>sala!D45</f>
        <v>45017.129166666666</v>
      </c>
      <c r="BE46" s="1">
        <f>sala!E45</f>
        <v>45017.262499999997</v>
      </c>
      <c r="BF46">
        <f>sala!K45</f>
        <v>44</v>
      </c>
      <c r="BG46">
        <f>sala!I45</f>
        <v>426</v>
      </c>
      <c r="BH46" cm="1">
        <f t="array" ref="BH46">SUM(IF(Cocina!A:A=Tabla4[[#This Row],[Número de Orden]],Cocina!F:F*Cocina!G:G,0))</f>
        <v>122</v>
      </c>
      <c r="BI46" t="str">
        <f>sala!J45</f>
        <v>Libre</v>
      </c>
      <c r="BJ46" s="4" t="str">
        <f>IF(Tabla4[[#This Row],[Estado mesa]]="Ocupada","00:15","00:00")</f>
        <v>00:00</v>
      </c>
      <c r="BK46" cm="1">
        <f t="array" ref="BK46">SUM(IF(Cocina!A:A=Tabla4[[#This Row],[Número de Orden]],Cocina!H:H,0))</f>
        <v>85</v>
      </c>
    </row>
    <row r="47" spans="1:63" x14ac:dyDescent="0.3">
      <c r="A47" s="8" t="str">
        <f>MID(Tabla4[[#This Row],[Cliente]], SEARCH("_", Tabla4[[#This Row],[Cliente]]) + 1, LEN(Tabla4[[#This Row],[Cliente]]) - SEARCH("_",Tabla4[[#This Row],[Cliente]]))</f>
        <v>640</v>
      </c>
      <c r="B47">
        <f>sala!K46</f>
        <v>45</v>
      </c>
      <c r="C47">
        <f>Tabla4[[#This Row],[Propina]]+Tabla4[[#This Row],[Precio Cena]]</f>
        <v>2595</v>
      </c>
      <c r="D47" s="3">
        <f>INT(sala!E46)</f>
        <v>45017</v>
      </c>
      <c r="E47" s="4">
        <f>MOD( sala!D46,1)</f>
        <v>9.375E-2</v>
      </c>
      <c r="F47" s="4">
        <f>MOD( sala!E46,1)</f>
        <v>0.16736111111094942</v>
      </c>
      <c r="G47" s="4">
        <f>Tabla5[[#This Row],[Hora de Salida]]-Tabla5[[#This Row],[Hora de Llegada]]+Tabla4[[#This Row],[Tiempo Extra]]</f>
        <v>7.3611111110949423E-2</v>
      </c>
      <c r="H47" s="5" t="str">
        <f>TEXT(Tabla4[[#This Row],[Preparación en horas]]/1440, "h:mm")</f>
        <v>0:47</v>
      </c>
      <c r="I47" s="4">
        <f>IF(Tabla5[[#This Row],[Tiempo Permanencia]]-Tabla5[[#This Row],[Tiempo de Preparación ]]&gt;=0,Tabla5[[#This Row],[Tiempo Permanencia]]-Tabla5[[#This Row],[Tiempo de Preparación ]],0)</f>
        <v>4.0972222222060532E-2</v>
      </c>
      <c r="J47" s="5" t="str">
        <f>IF(Tabla5[[#This Row],[Tiempo de Degustación]]=0,"No Cobrada","Cobrada")</f>
        <v>Cobrada</v>
      </c>
      <c r="K47" s="5" cm="1">
        <f t="array" ref="K47">SUM(IF(Tabla5[[#This Row],[Orden Cobrada]]="Cobrada",IF(Cocina!A:A=Tabla5[[#This Row],[Nº Orden]],Cocina!F:F*Cocina!G:G,0),-Tabla6[[#This Row],[Precio Cena]]))</f>
        <v>54</v>
      </c>
      <c r="L47" s="5">
        <f>IF(Tabla5[[#This Row],[Orden Cobrada]]="Cobrada",Tabla5[[#This Row],[Ganancia Bruta]]-Tabla6[[#This Row],[Coste Cena]],-Tabla6[[#This Row],[Precio Cena]]+Tabla6[[#This Row],[Coste Cena]])</f>
        <v>24</v>
      </c>
      <c r="M47" s="10">
        <f>IF(Tabla5[[#This Row],[Orden Cobrada]]="Cobrada",((Tabla5[[#This Row],[Ganancia Neta]]/Tabla5[[#This Row],[Ganancia Bruta]])*100)/100,-((Tabla5[[#This Row],[Ganancia Neta]]/Tabla5[[#This Row],[Ganancia Bruta]]*100)/100))</f>
        <v>0.44444444444444442</v>
      </c>
      <c r="N47" s="5" t="str">
        <f>sala!F46</f>
        <v>Mesero_2</v>
      </c>
      <c r="AY47" cm="1">
        <f t="array" ref="AY47">SUM(IF(Cocina!A:A=Tabla5[[#This Row],[Nº Orden]],Cocina!F:F*Cocina!G:G,0))</f>
        <v>54</v>
      </c>
      <c r="AZ47" cm="1">
        <f t="array" ref="AZ47">SUM(IF(Cocina!A:A=Tabla5[[#This Row],[Nº Orden]],Cocina!E:E*Cocina!G:G,0))</f>
        <v>30</v>
      </c>
      <c r="BB47" t="str">
        <f>MID(Tabla4[[#This Row],[Cliente]], SEARCH("_", Tabla4[[#This Row],[Cliente]]) + 1, LEN(Tabla4[[#This Row],[Cliente]]) - SEARCH("_",Tabla4[[#This Row],[Cliente]]))</f>
        <v>640</v>
      </c>
      <c r="BC47" t="str">
        <f>sala!B46</f>
        <v>Cliente_640</v>
      </c>
      <c r="BD47" s="1">
        <f>sala!D46</f>
        <v>45017.09375</v>
      </c>
      <c r="BE47" s="1">
        <f>sala!E46</f>
        <v>45017.167361111111</v>
      </c>
      <c r="BF47">
        <f>sala!K46</f>
        <v>45</v>
      </c>
      <c r="BG47">
        <f>sala!I46</f>
        <v>2541</v>
      </c>
      <c r="BH47" cm="1">
        <f t="array" ref="BH47">SUM(IF(Cocina!A:A=Tabla4[[#This Row],[Número de Orden]],Cocina!F:F*Cocina!G:G,0))</f>
        <v>54</v>
      </c>
      <c r="BI47" t="str">
        <f>sala!J46</f>
        <v>Reservada</v>
      </c>
      <c r="BJ47" s="4" t="str">
        <f>IF(Tabla4[[#This Row],[Estado mesa]]="Ocupada","00:15","00:00")</f>
        <v>00:00</v>
      </c>
      <c r="BK47" cm="1">
        <f t="array" ref="BK47">SUM(IF(Cocina!A:A=Tabla4[[#This Row],[Número de Orden]],Cocina!H:H,0))</f>
        <v>47</v>
      </c>
    </row>
    <row r="48" spans="1:63" x14ac:dyDescent="0.3">
      <c r="A48" s="8" t="str">
        <f>MID(Tabla4[[#This Row],[Cliente]], SEARCH("_", Tabla4[[#This Row],[Cliente]]) + 1, LEN(Tabla4[[#This Row],[Cliente]]) - SEARCH("_",Tabla4[[#This Row],[Cliente]]))</f>
        <v>623</v>
      </c>
      <c r="B48">
        <f>sala!K47</f>
        <v>46</v>
      </c>
      <c r="C48">
        <f>Tabla4[[#This Row],[Propina]]+Tabla4[[#This Row],[Precio Cena]]</f>
        <v>2937</v>
      </c>
      <c r="D48" s="3">
        <f>INT(sala!E47)</f>
        <v>45017</v>
      </c>
      <c r="E48" s="4">
        <f>MOD( sala!D47,1)</f>
        <v>7.4305555557657499E-2</v>
      </c>
      <c r="F48" s="4">
        <f>MOD( sala!E47,1)</f>
        <v>0.15208333333430346</v>
      </c>
      <c r="G48" s="4">
        <f>Tabla5[[#This Row],[Hora de Salida]]-Tabla5[[#This Row],[Hora de Llegada]]+Tabla4[[#This Row],[Tiempo Extra]]</f>
        <v>7.7777777776645962E-2</v>
      </c>
      <c r="H48" s="5" t="str">
        <f>TEXT(Tabla4[[#This Row],[Preparación en horas]]/1440, "h:mm")</f>
        <v>1:26</v>
      </c>
      <c r="I48" s="4">
        <f>IF(Tabla5[[#This Row],[Tiempo Permanencia]]-Tabla5[[#This Row],[Tiempo de Preparación ]]&gt;=0,Tabla5[[#This Row],[Tiempo Permanencia]]-Tabla5[[#This Row],[Tiempo de Preparación ]],0)</f>
        <v>1.8055555554423737E-2</v>
      </c>
      <c r="J48" s="5" t="str">
        <f>IF(Tabla5[[#This Row],[Tiempo de Degustación]]=0,"No Cobrada","Cobrada")</f>
        <v>Cobrada</v>
      </c>
      <c r="K48" s="5" cm="1">
        <f t="array" ref="K48">SUM(IF(Tabla5[[#This Row],[Orden Cobrada]]="Cobrada",IF(Cocina!A:A=Tabla5[[#This Row],[Nº Orden]],Cocina!F:F*Cocina!G:G,0),-Tabla6[[#This Row],[Precio Cena]]))</f>
        <v>140</v>
      </c>
      <c r="L48" s="5">
        <f>IF(Tabla5[[#This Row],[Orden Cobrada]]="Cobrada",Tabla5[[#This Row],[Ganancia Bruta]]-Tabla6[[#This Row],[Coste Cena]],-Tabla6[[#This Row],[Precio Cena]]+Tabla6[[#This Row],[Coste Cena]])</f>
        <v>56</v>
      </c>
      <c r="M48" s="10">
        <f>IF(Tabla5[[#This Row],[Orden Cobrada]]="Cobrada",((Tabla5[[#This Row],[Ganancia Neta]]/Tabla5[[#This Row],[Ganancia Bruta]])*100)/100,-((Tabla5[[#This Row],[Ganancia Neta]]/Tabla5[[#This Row],[Ganancia Bruta]]*100)/100))</f>
        <v>0.4</v>
      </c>
      <c r="N48" s="5" t="str">
        <f>sala!F47</f>
        <v>Mesero_5</v>
      </c>
      <c r="AY48" cm="1">
        <f t="array" ref="AY48">SUM(IF(Cocina!A:A=Tabla5[[#This Row],[Nº Orden]],Cocina!F:F*Cocina!G:G,0))</f>
        <v>140</v>
      </c>
      <c r="AZ48" cm="1">
        <f t="array" ref="AZ48">SUM(IF(Cocina!A:A=Tabla5[[#This Row],[Nº Orden]],Cocina!E:E*Cocina!G:G,0))</f>
        <v>84</v>
      </c>
      <c r="BB48" t="str">
        <f>MID(Tabla4[[#This Row],[Cliente]], SEARCH("_", Tabla4[[#This Row],[Cliente]]) + 1, LEN(Tabla4[[#This Row],[Cliente]]) - SEARCH("_",Tabla4[[#This Row],[Cliente]]))</f>
        <v>623</v>
      </c>
      <c r="BC48" t="str">
        <f>sala!B47</f>
        <v>Cliente_623</v>
      </c>
      <c r="BD48" s="1">
        <f>sala!D47</f>
        <v>45017.074305555558</v>
      </c>
      <c r="BE48" s="1">
        <f>sala!E47</f>
        <v>45017.152083333334</v>
      </c>
      <c r="BF48">
        <f>sala!K47</f>
        <v>46</v>
      </c>
      <c r="BG48">
        <f>sala!I47</f>
        <v>2797</v>
      </c>
      <c r="BH48" cm="1">
        <f t="array" ref="BH48">SUM(IF(Cocina!A:A=Tabla4[[#This Row],[Número de Orden]],Cocina!F:F*Cocina!G:G,0))</f>
        <v>140</v>
      </c>
      <c r="BI48" t="str">
        <f>sala!J47</f>
        <v>Libre</v>
      </c>
      <c r="BJ48" s="4" t="str">
        <f>IF(Tabla4[[#This Row],[Estado mesa]]="Ocupada","00:15","00:00")</f>
        <v>00:00</v>
      </c>
      <c r="BK48" cm="1">
        <f t="array" ref="BK48">SUM(IF(Cocina!A:A=Tabla4[[#This Row],[Número de Orden]],Cocina!H:H,0))</f>
        <v>86</v>
      </c>
    </row>
    <row r="49" spans="1:63" x14ac:dyDescent="0.3">
      <c r="A49" s="8" t="str">
        <f>MID(Tabla4[[#This Row],[Cliente]], SEARCH("_", Tabla4[[#This Row],[Cliente]]) + 1, LEN(Tabla4[[#This Row],[Cliente]]) - SEARCH("_",Tabla4[[#This Row],[Cliente]]))</f>
        <v>72</v>
      </c>
      <c r="B49">
        <f>sala!K48</f>
        <v>47</v>
      </c>
      <c r="C49">
        <f>Tabla4[[#This Row],[Propina]]+Tabla4[[#This Row],[Precio Cena]]</f>
        <v>1207</v>
      </c>
      <c r="D49" s="3">
        <f>INT(sala!E48)</f>
        <v>45017</v>
      </c>
      <c r="E49" s="4">
        <f>MOD( sala!D48,1)</f>
        <v>0.14583333333575865</v>
      </c>
      <c r="F49" s="4">
        <f>MOD( sala!E48,1)</f>
        <v>0.31180555555329192</v>
      </c>
      <c r="G49" s="4">
        <f>Tabla5[[#This Row],[Hora de Salida]]-Tabla5[[#This Row],[Hora de Llegada]]+Tabla4[[#This Row],[Tiempo Extra]]</f>
        <v>0.17638888888419993</v>
      </c>
      <c r="H49" s="5" t="str">
        <f>TEXT(Tabla4[[#This Row],[Preparación en horas]]/1440, "h:mm")</f>
        <v>1:27</v>
      </c>
      <c r="I49" s="4">
        <f>IF(Tabla5[[#This Row],[Tiempo Permanencia]]-Tabla5[[#This Row],[Tiempo de Preparación ]]&gt;=0,Tabla5[[#This Row],[Tiempo Permanencia]]-Tabla5[[#This Row],[Tiempo de Preparación ]],0)</f>
        <v>0.11597222221753326</v>
      </c>
      <c r="J49" s="5" t="str">
        <f>IF(Tabla5[[#This Row],[Tiempo de Degustación]]=0,"No Cobrada","Cobrada")</f>
        <v>Cobrada</v>
      </c>
      <c r="K49" s="5" cm="1">
        <f t="array" ref="K49">SUM(IF(Tabla5[[#This Row],[Orden Cobrada]]="Cobrada",IF(Cocina!A:A=Tabla5[[#This Row],[Nº Orden]],Cocina!F:F*Cocina!G:G,0),-Tabla6[[#This Row],[Precio Cena]]))</f>
        <v>109</v>
      </c>
      <c r="L49" s="5">
        <f>IF(Tabla5[[#This Row],[Orden Cobrada]]="Cobrada",Tabla5[[#This Row],[Ganancia Bruta]]-Tabla6[[#This Row],[Coste Cena]],-Tabla6[[#This Row],[Precio Cena]]+Tabla6[[#This Row],[Coste Cena]])</f>
        <v>43</v>
      </c>
      <c r="M49" s="10">
        <f>IF(Tabla5[[#This Row],[Orden Cobrada]]="Cobrada",((Tabla5[[#This Row],[Ganancia Neta]]/Tabla5[[#This Row],[Ganancia Bruta]])*100)/100,-((Tabla5[[#This Row],[Ganancia Neta]]/Tabla5[[#This Row],[Ganancia Bruta]]*100)/100))</f>
        <v>0.39449541284403672</v>
      </c>
      <c r="N49" s="5" t="str">
        <f>sala!F48</f>
        <v>Mesero_2</v>
      </c>
      <c r="AY49" cm="1">
        <f t="array" ref="AY49">SUM(IF(Cocina!A:A=Tabla5[[#This Row],[Nº Orden]],Cocina!F:F*Cocina!G:G,0))</f>
        <v>109</v>
      </c>
      <c r="AZ49" cm="1">
        <f t="array" ref="AZ49">SUM(IF(Cocina!A:A=Tabla5[[#This Row],[Nº Orden]],Cocina!E:E*Cocina!G:G,0))</f>
        <v>66</v>
      </c>
      <c r="BB49" t="str">
        <f>MID(Tabla4[[#This Row],[Cliente]], SEARCH("_", Tabla4[[#This Row],[Cliente]]) + 1, LEN(Tabla4[[#This Row],[Cliente]]) - SEARCH("_",Tabla4[[#This Row],[Cliente]]))</f>
        <v>72</v>
      </c>
      <c r="BC49" t="str">
        <f>sala!B48</f>
        <v>Cliente_72</v>
      </c>
      <c r="BD49" s="1">
        <f>sala!D48</f>
        <v>45017.145833333336</v>
      </c>
      <c r="BE49" s="1">
        <f>sala!E48</f>
        <v>45017.311805555553</v>
      </c>
      <c r="BF49">
        <f>sala!K48</f>
        <v>47</v>
      </c>
      <c r="BG49">
        <f>sala!I48</f>
        <v>1098</v>
      </c>
      <c r="BH49" cm="1">
        <f t="array" ref="BH49">SUM(IF(Cocina!A:A=Tabla4[[#This Row],[Número de Orden]],Cocina!F:F*Cocina!G:G,0))</f>
        <v>109</v>
      </c>
      <c r="BI49" t="str">
        <f>sala!J48</f>
        <v>Ocupada</v>
      </c>
      <c r="BJ49" s="4" t="str">
        <f>IF(Tabla4[[#This Row],[Estado mesa]]="Ocupada","00:15","00:00")</f>
        <v>00:15</v>
      </c>
      <c r="BK49" cm="1">
        <f t="array" ref="BK49">SUM(IF(Cocina!A:A=Tabla4[[#This Row],[Número de Orden]],Cocina!H:H,0))</f>
        <v>87</v>
      </c>
    </row>
    <row r="50" spans="1:63" x14ac:dyDescent="0.3">
      <c r="A50" s="8" t="str">
        <f>MID(Tabla4[[#This Row],[Cliente]], SEARCH("_", Tabla4[[#This Row],[Cliente]]) + 1, LEN(Tabla4[[#This Row],[Cliente]]) - SEARCH("_",Tabla4[[#This Row],[Cliente]]))</f>
        <v>963</v>
      </c>
      <c r="B50">
        <f>sala!K49</f>
        <v>48</v>
      </c>
      <c r="C50">
        <f>Tabla4[[#This Row],[Propina]]+Tabla4[[#This Row],[Precio Cena]]</f>
        <v>2689</v>
      </c>
      <c r="D50" s="3">
        <f>INT(sala!E49)</f>
        <v>45017</v>
      </c>
      <c r="E50" s="4">
        <f>MOD( sala!D49,1)</f>
        <v>1.9444444442342501E-2</v>
      </c>
      <c r="F50" s="4">
        <f>MOD( sala!E49,1)</f>
        <v>0.1680555555576575</v>
      </c>
      <c r="G50" s="4">
        <f>Tabla5[[#This Row],[Hora de Salida]]-Tabla5[[#This Row],[Hora de Llegada]]+Tabla4[[#This Row],[Tiempo Extra]]</f>
        <v>0.148611111115315</v>
      </c>
      <c r="H50" s="5" t="str">
        <f>TEXT(Tabla4[[#This Row],[Preparación en horas]]/1440, "h:mm")</f>
        <v>2:04</v>
      </c>
      <c r="I50" s="4">
        <f>IF(Tabla5[[#This Row],[Tiempo Permanencia]]-Tabla5[[#This Row],[Tiempo de Preparación ]]&gt;=0,Tabla5[[#This Row],[Tiempo Permanencia]]-Tabla5[[#This Row],[Tiempo de Preparación ]],0)</f>
        <v>6.2500000004203887E-2</v>
      </c>
      <c r="J50" s="5" t="str">
        <f>IF(Tabla5[[#This Row],[Tiempo de Degustación]]=0,"No Cobrada","Cobrada")</f>
        <v>Cobrada</v>
      </c>
      <c r="K50" s="5" cm="1">
        <f t="array" ref="K50">SUM(IF(Tabla5[[#This Row],[Orden Cobrada]]="Cobrada",IF(Cocina!A:A=Tabla5[[#This Row],[Nº Orden]],Cocina!F:F*Cocina!G:G,0),-Tabla6[[#This Row],[Precio Cena]]))</f>
        <v>158</v>
      </c>
      <c r="L50" s="5">
        <f>IF(Tabla5[[#This Row],[Orden Cobrada]]="Cobrada",Tabla5[[#This Row],[Ganancia Bruta]]-Tabla6[[#This Row],[Coste Cena]],-Tabla6[[#This Row],[Precio Cena]]+Tabla6[[#This Row],[Coste Cena]])</f>
        <v>64</v>
      </c>
      <c r="M50" s="10">
        <f>IF(Tabla5[[#This Row],[Orden Cobrada]]="Cobrada",((Tabla5[[#This Row],[Ganancia Neta]]/Tabla5[[#This Row],[Ganancia Bruta]])*100)/100,-((Tabla5[[#This Row],[Ganancia Neta]]/Tabla5[[#This Row],[Ganancia Bruta]]*100)/100))</f>
        <v>0.40506329113924056</v>
      </c>
      <c r="N50" s="5" t="str">
        <f>sala!F49</f>
        <v>Mesero_3</v>
      </c>
      <c r="AY50" cm="1">
        <f t="array" ref="AY50">SUM(IF(Cocina!A:A=Tabla5[[#This Row],[Nº Orden]],Cocina!F:F*Cocina!G:G,0))</f>
        <v>158</v>
      </c>
      <c r="AZ50" cm="1">
        <f t="array" ref="AZ50">SUM(IF(Cocina!A:A=Tabla5[[#This Row],[Nº Orden]],Cocina!E:E*Cocina!G:G,0))</f>
        <v>94</v>
      </c>
      <c r="BB50" t="str">
        <f>MID(Tabla4[[#This Row],[Cliente]], SEARCH("_", Tabla4[[#This Row],[Cliente]]) + 1, LEN(Tabla4[[#This Row],[Cliente]]) - SEARCH("_",Tabla4[[#This Row],[Cliente]]))</f>
        <v>963</v>
      </c>
      <c r="BC50" t="str">
        <f>sala!B49</f>
        <v>Cliente_963</v>
      </c>
      <c r="BD50" s="1">
        <f>sala!D49</f>
        <v>45017.019444444442</v>
      </c>
      <c r="BE50" s="1">
        <f>sala!E49</f>
        <v>45017.168055555558</v>
      </c>
      <c r="BF50">
        <f>sala!K49</f>
        <v>48</v>
      </c>
      <c r="BG50">
        <f>sala!I49</f>
        <v>2531</v>
      </c>
      <c r="BH50" cm="1">
        <f t="array" ref="BH50">SUM(IF(Cocina!A:A=Tabla4[[#This Row],[Número de Orden]],Cocina!F:F*Cocina!G:G,0))</f>
        <v>158</v>
      </c>
      <c r="BI50" t="str">
        <f>sala!J49</f>
        <v>Libre</v>
      </c>
      <c r="BJ50" s="4" t="str">
        <f>IF(Tabla4[[#This Row],[Estado mesa]]="Ocupada","00:15","00:00")</f>
        <v>00:00</v>
      </c>
      <c r="BK50" cm="1">
        <f t="array" ref="BK50">SUM(IF(Cocina!A:A=Tabla4[[#This Row],[Número de Orden]],Cocina!H:H,0))</f>
        <v>124</v>
      </c>
    </row>
    <row r="51" spans="1:63" x14ac:dyDescent="0.3">
      <c r="A51" s="8" t="str">
        <f>MID(Tabla4[[#This Row],[Cliente]], SEARCH("_", Tabla4[[#This Row],[Cliente]]) + 1, LEN(Tabla4[[#This Row],[Cliente]]) - SEARCH("_",Tabla4[[#This Row],[Cliente]]))</f>
        <v>929</v>
      </c>
      <c r="B51">
        <f>sala!K50</f>
        <v>49</v>
      </c>
      <c r="C51">
        <f>Tabla4[[#This Row],[Propina]]+Tabla4[[#This Row],[Precio Cena]]</f>
        <v>2278</v>
      </c>
      <c r="D51" s="3">
        <f>INT(sala!E50)</f>
        <v>45017</v>
      </c>
      <c r="E51" s="4">
        <f>MOD( sala!D50,1)</f>
        <v>7.2222222224809229E-2</v>
      </c>
      <c r="F51" s="4">
        <f>MOD( sala!E50,1)</f>
        <v>0.22847222222480923</v>
      </c>
      <c r="G51" s="4">
        <f>Tabla5[[#This Row],[Hora de Salida]]-Tabla5[[#This Row],[Hora de Llegada]]+Tabla4[[#This Row],[Tiempo Extra]]</f>
        <v>0.15625</v>
      </c>
      <c r="H51" s="5" t="str">
        <f>TEXT(Tabla4[[#This Row],[Preparación en horas]]/1440, "h:mm")</f>
        <v>1:21</v>
      </c>
      <c r="I51" s="4">
        <f>IF(Tabla5[[#This Row],[Tiempo Permanencia]]-Tabla5[[#This Row],[Tiempo de Preparación ]]&gt;=0,Tabla5[[#This Row],[Tiempo Permanencia]]-Tabla5[[#This Row],[Tiempo de Preparación ]],0)</f>
        <v>0.1</v>
      </c>
      <c r="J51" s="5" t="str">
        <f>IF(Tabla5[[#This Row],[Tiempo de Degustación]]=0,"No Cobrada","Cobrada")</f>
        <v>Cobrada</v>
      </c>
      <c r="K51" s="5" cm="1">
        <f t="array" ref="K51">SUM(IF(Tabla5[[#This Row],[Orden Cobrada]]="Cobrada",IF(Cocina!A:A=Tabla5[[#This Row],[Nº Orden]],Cocina!F:F*Cocina!G:G,0),-Tabla6[[#This Row],[Precio Cena]]))</f>
        <v>186</v>
      </c>
      <c r="L51" s="5">
        <f>IF(Tabla5[[#This Row],[Orden Cobrada]]="Cobrada",Tabla5[[#This Row],[Ganancia Bruta]]-Tabla6[[#This Row],[Coste Cena]],-Tabla6[[#This Row],[Precio Cena]]+Tabla6[[#This Row],[Coste Cena]])</f>
        <v>77</v>
      </c>
      <c r="M51" s="10">
        <f>IF(Tabla5[[#This Row],[Orden Cobrada]]="Cobrada",((Tabla5[[#This Row],[Ganancia Neta]]/Tabla5[[#This Row],[Ganancia Bruta]])*100)/100,-((Tabla5[[#This Row],[Ganancia Neta]]/Tabla5[[#This Row],[Ganancia Bruta]]*100)/100))</f>
        <v>0.41397849462365593</v>
      </c>
      <c r="N51" s="5" t="str">
        <f>sala!F50</f>
        <v>Mesero_2</v>
      </c>
      <c r="AY51" cm="1">
        <f t="array" ref="AY51">SUM(IF(Cocina!A:A=Tabla5[[#This Row],[Nº Orden]],Cocina!F:F*Cocina!G:G,0))</f>
        <v>186</v>
      </c>
      <c r="AZ51" cm="1">
        <f t="array" ref="AZ51">SUM(IF(Cocina!A:A=Tabla5[[#This Row],[Nº Orden]],Cocina!E:E*Cocina!G:G,0))</f>
        <v>109</v>
      </c>
      <c r="BB51" t="str">
        <f>MID(Tabla4[[#This Row],[Cliente]], SEARCH("_", Tabla4[[#This Row],[Cliente]]) + 1, LEN(Tabla4[[#This Row],[Cliente]]) - SEARCH("_",Tabla4[[#This Row],[Cliente]]))</f>
        <v>929</v>
      </c>
      <c r="BC51" t="str">
        <f>sala!B50</f>
        <v>Cliente_929</v>
      </c>
      <c r="BD51" s="1">
        <f>sala!D50</f>
        <v>45017.072222222225</v>
      </c>
      <c r="BE51" s="1">
        <f>sala!E50</f>
        <v>45017.228472222225</v>
      </c>
      <c r="BF51">
        <f>sala!K50</f>
        <v>49</v>
      </c>
      <c r="BG51">
        <f>sala!I50</f>
        <v>2092</v>
      </c>
      <c r="BH51" cm="1">
        <f t="array" ref="BH51">SUM(IF(Cocina!A:A=Tabla4[[#This Row],[Número de Orden]],Cocina!F:F*Cocina!G:G,0))</f>
        <v>186</v>
      </c>
      <c r="BI51" t="str">
        <f>sala!J50</f>
        <v>Libre</v>
      </c>
      <c r="BJ51" s="4" t="str">
        <f>IF(Tabla4[[#This Row],[Estado mesa]]="Ocupada","00:15","00:00")</f>
        <v>00:00</v>
      </c>
      <c r="BK51" cm="1">
        <f t="array" ref="BK51">SUM(IF(Cocina!A:A=Tabla4[[#This Row],[Número de Orden]],Cocina!H:H,0))</f>
        <v>81</v>
      </c>
    </row>
    <row r="52" spans="1:63" x14ac:dyDescent="0.3">
      <c r="A52" s="8" t="str">
        <f>MID(Tabla4[[#This Row],[Cliente]], SEARCH("_", Tabla4[[#This Row],[Cliente]]) + 1, LEN(Tabla4[[#This Row],[Cliente]]) - SEARCH("_",Tabla4[[#This Row],[Cliente]]))</f>
        <v>708</v>
      </c>
      <c r="B52">
        <f>sala!K51</f>
        <v>50</v>
      </c>
      <c r="C52">
        <f>Tabla4[[#This Row],[Propina]]+Tabla4[[#This Row],[Precio Cena]]</f>
        <v>1750</v>
      </c>
      <c r="D52" s="3">
        <f>INT(sala!E51)</f>
        <v>45017</v>
      </c>
      <c r="E52" s="4">
        <f>MOD( sala!D51,1)</f>
        <v>0.16249999999854481</v>
      </c>
      <c r="F52" s="4">
        <f>MOD( sala!E51,1)</f>
        <v>0.28958333333139308</v>
      </c>
      <c r="G52" s="4">
        <f>Tabla5[[#This Row],[Hora de Salida]]-Tabla5[[#This Row],[Hora de Llegada]]+Tabla4[[#This Row],[Tiempo Extra]]</f>
        <v>0.13749999999951493</v>
      </c>
      <c r="H52" s="5" t="str">
        <f>TEXT(Tabla4[[#This Row],[Preparación en horas]]/1440, "h:mm")</f>
        <v>0:21</v>
      </c>
      <c r="I52" s="4">
        <f>IF(Tabla5[[#This Row],[Tiempo Permanencia]]-Tabla5[[#This Row],[Tiempo de Preparación ]]&gt;=0,Tabla5[[#This Row],[Tiempo Permanencia]]-Tabla5[[#This Row],[Tiempo de Preparación ]],0)</f>
        <v>0.12291666666618159</v>
      </c>
      <c r="J52" s="5" t="str">
        <f>IF(Tabla5[[#This Row],[Tiempo de Degustación]]=0,"No Cobrada","Cobrada")</f>
        <v>Cobrada</v>
      </c>
      <c r="K52" s="5" cm="1">
        <f t="array" ref="K52">SUM(IF(Tabla5[[#This Row],[Orden Cobrada]]="Cobrada",IF(Cocina!A:A=Tabla5[[#This Row],[Nº Orden]],Cocina!F:F*Cocina!G:G,0),-Tabla6[[#This Row],[Precio Cena]]))</f>
        <v>76</v>
      </c>
      <c r="L52" s="5">
        <f>IF(Tabla5[[#This Row],[Orden Cobrada]]="Cobrada",Tabla5[[#This Row],[Ganancia Bruta]]-Tabla6[[#This Row],[Coste Cena]],-Tabla6[[#This Row],[Precio Cena]]+Tabla6[[#This Row],[Coste Cena]])</f>
        <v>31</v>
      </c>
      <c r="M52" s="10">
        <f>IF(Tabla5[[#This Row],[Orden Cobrada]]="Cobrada",((Tabla5[[#This Row],[Ganancia Neta]]/Tabla5[[#This Row],[Ganancia Bruta]])*100)/100,-((Tabla5[[#This Row],[Ganancia Neta]]/Tabla5[[#This Row],[Ganancia Bruta]]*100)/100))</f>
        <v>0.40789473684210525</v>
      </c>
      <c r="N52" s="5" t="str">
        <f>sala!F51</f>
        <v>Mesero_4</v>
      </c>
      <c r="AY52" cm="1">
        <f t="array" ref="AY52">SUM(IF(Cocina!A:A=Tabla5[[#This Row],[Nº Orden]],Cocina!F:F*Cocina!G:G,0))</f>
        <v>76</v>
      </c>
      <c r="AZ52" cm="1">
        <f t="array" ref="AZ52">SUM(IF(Cocina!A:A=Tabla5[[#This Row],[Nº Orden]],Cocina!E:E*Cocina!G:G,0))</f>
        <v>45</v>
      </c>
      <c r="BB52" t="str">
        <f>MID(Tabla4[[#This Row],[Cliente]], SEARCH("_", Tabla4[[#This Row],[Cliente]]) + 1, LEN(Tabla4[[#This Row],[Cliente]]) - SEARCH("_",Tabla4[[#This Row],[Cliente]]))</f>
        <v>708</v>
      </c>
      <c r="BC52" t="str">
        <f>sala!B51</f>
        <v>Cliente_708</v>
      </c>
      <c r="BD52" s="1">
        <f>sala!D51</f>
        <v>45017.162499999999</v>
      </c>
      <c r="BE52" s="1">
        <f>sala!E51</f>
        <v>45017.289583333331</v>
      </c>
      <c r="BF52">
        <f>sala!K51</f>
        <v>50</v>
      </c>
      <c r="BG52">
        <f>sala!I51</f>
        <v>1674</v>
      </c>
      <c r="BH52" cm="1">
        <f t="array" ref="BH52">SUM(IF(Cocina!A:A=Tabla4[[#This Row],[Número de Orden]],Cocina!F:F*Cocina!G:G,0))</f>
        <v>76</v>
      </c>
      <c r="BI52" t="str">
        <f>sala!J51</f>
        <v>Ocupada</v>
      </c>
      <c r="BJ52" s="4" t="str">
        <f>IF(Tabla4[[#This Row],[Estado mesa]]="Ocupada","00:15","00:00")</f>
        <v>00:15</v>
      </c>
      <c r="BK52" cm="1">
        <f t="array" ref="BK52">SUM(IF(Cocina!A:A=Tabla4[[#This Row],[Número de Orden]],Cocina!H:H,0))</f>
        <v>21</v>
      </c>
    </row>
    <row r="53" spans="1:63" x14ac:dyDescent="0.3">
      <c r="A53" s="8" t="str">
        <f>MID(Tabla4[[#This Row],[Cliente]], SEARCH("_", Tabla4[[#This Row],[Cliente]]) + 1, LEN(Tabla4[[#This Row],[Cliente]]) - SEARCH("_",Tabla4[[#This Row],[Cliente]]))</f>
        <v>631</v>
      </c>
      <c r="B53">
        <f>sala!K52</f>
        <v>51</v>
      </c>
      <c r="C53">
        <f>Tabla4[[#This Row],[Propina]]+Tabla4[[#This Row],[Precio Cena]]</f>
        <v>3933</v>
      </c>
      <c r="D53" s="3">
        <f>INT(sala!E52)</f>
        <v>45017</v>
      </c>
      <c r="E53" s="4">
        <f>MOD( sala!D52,1)</f>
        <v>7.0833333331393078E-2</v>
      </c>
      <c r="F53" s="4">
        <f>MOD( sala!E52,1)</f>
        <v>0.12638888888614019</v>
      </c>
      <c r="G53" s="4">
        <f>Tabla5[[#This Row],[Hora de Salida]]-Tabla5[[#This Row],[Hora de Llegada]]+Tabla4[[#This Row],[Tiempo Extra]]</f>
        <v>5.5555555554747116E-2</v>
      </c>
      <c r="H53" s="5" t="str">
        <f>TEXT(Tabla4[[#This Row],[Preparación en horas]]/1440, "h:mm")</f>
        <v>2:44</v>
      </c>
      <c r="I53" s="4">
        <f>IF(Tabla5[[#This Row],[Tiempo Permanencia]]-Tabla5[[#This Row],[Tiempo de Preparación ]]&gt;=0,Tabla5[[#This Row],[Tiempo Permanencia]]-Tabla5[[#This Row],[Tiempo de Preparación ]],0)</f>
        <v>0</v>
      </c>
      <c r="J53" s="5" t="str">
        <f>IF(Tabla5[[#This Row],[Tiempo de Degustación]]=0,"No Cobrada","Cobrada")</f>
        <v>No Cobrada</v>
      </c>
      <c r="K53" s="5" cm="1">
        <f t="array" ref="K53">SUM(IF(Tabla5[[#This Row],[Orden Cobrada]]="Cobrada",IF(Cocina!A:A=Tabla5[[#This Row],[Nº Orden]],Cocina!F:F*Cocina!G:G,0),-Tabla6[[#This Row],[Precio Cena]]))</f>
        <v>-225</v>
      </c>
      <c r="L53" s="5">
        <f>IF(Tabla5[[#This Row],[Orden Cobrada]]="Cobrada",Tabla5[[#This Row],[Ganancia Bruta]]-Tabla6[[#This Row],[Coste Cena]],-Tabla6[[#This Row],[Precio Cena]]+Tabla6[[#This Row],[Coste Cena]])</f>
        <v>-91</v>
      </c>
      <c r="M53" s="10">
        <f>IF(Tabla5[[#This Row],[Orden Cobrada]]="Cobrada",((Tabla5[[#This Row],[Ganancia Neta]]/Tabla5[[#This Row],[Ganancia Bruta]])*100)/100,-((Tabla5[[#This Row],[Ganancia Neta]]/Tabla5[[#This Row],[Ganancia Bruta]]*100)/100))</f>
        <v>-0.40444444444444444</v>
      </c>
      <c r="N53" s="5" t="str">
        <f>sala!F52</f>
        <v>Mesero_5</v>
      </c>
      <c r="AY53" cm="1">
        <f t="array" ref="AY53">SUM(IF(Cocina!A:A=Tabla5[[#This Row],[Nº Orden]],Cocina!F:F*Cocina!G:G,0))</f>
        <v>225</v>
      </c>
      <c r="AZ53" cm="1">
        <f t="array" ref="AZ53">SUM(IF(Cocina!A:A=Tabla5[[#This Row],[Nº Orden]],Cocina!E:E*Cocina!G:G,0))</f>
        <v>134</v>
      </c>
      <c r="BB53" t="str">
        <f>MID(Tabla4[[#This Row],[Cliente]], SEARCH("_", Tabla4[[#This Row],[Cliente]]) + 1, LEN(Tabla4[[#This Row],[Cliente]]) - SEARCH("_",Tabla4[[#This Row],[Cliente]]))</f>
        <v>631</v>
      </c>
      <c r="BC53" t="str">
        <f>sala!B52</f>
        <v>Cliente_631</v>
      </c>
      <c r="BD53" s="1">
        <f>sala!D52</f>
        <v>45017.070833333331</v>
      </c>
      <c r="BE53" s="1">
        <f>sala!E52</f>
        <v>45017.126388888886</v>
      </c>
      <c r="BF53">
        <f>sala!K52</f>
        <v>51</v>
      </c>
      <c r="BG53">
        <f>sala!I52</f>
        <v>3708</v>
      </c>
      <c r="BH53" cm="1">
        <f t="array" ref="BH53">SUM(IF(Cocina!A:A=Tabla4[[#This Row],[Número de Orden]],Cocina!F:F*Cocina!G:G,0))</f>
        <v>225</v>
      </c>
      <c r="BI53" t="str">
        <f>sala!J52</f>
        <v>Reservada</v>
      </c>
      <c r="BJ53" s="4" t="str">
        <f>IF(Tabla4[[#This Row],[Estado mesa]]="Ocupada","00:15","00:00")</f>
        <v>00:00</v>
      </c>
      <c r="BK53" cm="1">
        <f t="array" ref="BK53">SUM(IF(Cocina!A:A=Tabla4[[#This Row],[Número de Orden]],Cocina!H:H,0))</f>
        <v>164</v>
      </c>
    </row>
    <row r="54" spans="1:63" x14ac:dyDescent="0.3">
      <c r="A54" s="8" t="str">
        <f>MID(Tabla4[[#This Row],[Cliente]], SEARCH("_", Tabla4[[#This Row],[Cliente]]) + 1, LEN(Tabla4[[#This Row],[Cliente]]) - SEARCH("_",Tabla4[[#This Row],[Cliente]]))</f>
        <v>894</v>
      </c>
      <c r="B54">
        <f>sala!K53</f>
        <v>52</v>
      </c>
      <c r="C54">
        <f>Tabla4[[#This Row],[Propina]]+Tabla4[[#This Row],[Precio Cena]]</f>
        <v>4951</v>
      </c>
      <c r="D54" s="3">
        <f>INT(sala!E53)</f>
        <v>45017</v>
      </c>
      <c r="E54" s="4">
        <f>MOD( sala!D53,1)</f>
        <v>6.944444467080757E-4</v>
      </c>
      <c r="F54" s="4">
        <f>MOD( sala!E53,1)</f>
        <v>4.9305555556202307E-2</v>
      </c>
      <c r="G54" s="4">
        <f>Tabla5[[#This Row],[Hora de Salida]]-Tabla5[[#This Row],[Hora de Llegada]]+Tabla4[[#This Row],[Tiempo Extra]]</f>
        <v>4.8611111109494232E-2</v>
      </c>
      <c r="H54" s="5" t="str">
        <f>TEXT(Tabla4[[#This Row],[Preparación en horas]]/1440, "h:mm")</f>
        <v>1:02</v>
      </c>
      <c r="I54" s="4">
        <f>IF(Tabla5[[#This Row],[Tiempo Permanencia]]-Tabla5[[#This Row],[Tiempo de Preparación ]]&gt;=0,Tabla5[[#This Row],[Tiempo Permanencia]]-Tabla5[[#This Row],[Tiempo de Preparación ]],0)</f>
        <v>5.5555555539386764E-3</v>
      </c>
      <c r="J54" s="5" t="str">
        <f>IF(Tabla5[[#This Row],[Tiempo de Degustación]]=0,"No Cobrada","Cobrada")</f>
        <v>Cobrada</v>
      </c>
      <c r="K54" s="5" cm="1">
        <f t="array" ref="K54">SUM(IF(Tabla5[[#This Row],[Orden Cobrada]]="Cobrada",IF(Cocina!A:A=Tabla5[[#This Row],[Nº Orden]],Cocina!F:F*Cocina!G:G,0),-Tabla6[[#This Row],[Precio Cena]]))</f>
        <v>263</v>
      </c>
      <c r="L54" s="5">
        <f>IF(Tabla5[[#This Row],[Orden Cobrada]]="Cobrada",Tabla5[[#This Row],[Ganancia Bruta]]-Tabla6[[#This Row],[Coste Cena]],-Tabla6[[#This Row],[Precio Cena]]+Tabla6[[#This Row],[Coste Cena]])</f>
        <v>105</v>
      </c>
      <c r="M54" s="10">
        <f>IF(Tabla5[[#This Row],[Orden Cobrada]]="Cobrada",((Tabla5[[#This Row],[Ganancia Neta]]/Tabla5[[#This Row],[Ganancia Bruta]])*100)/100,-((Tabla5[[#This Row],[Ganancia Neta]]/Tabla5[[#This Row],[Ganancia Bruta]]*100)/100))</f>
        <v>0.39923954372623577</v>
      </c>
      <c r="N54" s="5" t="str">
        <f>sala!F53</f>
        <v>Mesero_3</v>
      </c>
      <c r="AY54" cm="1">
        <f t="array" ref="AY54">SUM(IF(Cocina!A:A=Tabla5[[#This Row],[Nº Orden]],Cocina!F:F*Cocina!G:G,0))</f>
        <v>263</v>
      </c>
      <c r="AZ54" cm="1">
        <f t="array" ref="AZ54">SUM(IF(Cocina!A:A=Tabla5[[#This Row],[Nº Orden]],Cocina!E:E*Cocina!G:G,0))</f>
        <v>158</v>
      </c>
      <c r="BB54" t="str">
        <f>MID(Tabla4[[#This Row],[Cliente]], SEARCH("_", Tabla4[[#This Row],[Cliente]]) + 1, LEN(Tabla4[[#This Row],[Cliente]]) - SEARCH("_",Tabla4[[#This Row],[Cliente]]))</f>
        <v>894</v>
      </c>
      <c r="BC54" t="str">
        <f>sala!B53</f>
        <v>Cliente_894</v>
      </c>
      <c r="BD54" s="1">
        <f>sala!D53</f>
        <v>45017.000694444447</v>
      </c>
      <c r="BE54" s="1">
        <f>sala!E53</f>
        <v>45017.049305555556</v>
      </c>
      <c r="BF54">
        <f>sala!K53</f>
        <v>52</v>
      </c>
      <c r="BG54">
        <f>sala!I53</f>
        <v>4688</v>
      </c>
      <c r="BH54" cm="1">
        <f t="array" ref="BH54">SUM(IF(Cocina!A:A=Tabla4[[#This Row],[Número de Orden]],Cocina!F:F*Cocina!G:G,0))</f>
        <v>263</v>
      </c>
      <c r="BI54" t="str">
        <f>sala!J53</f>
        <v>Libre</v>
      </c>
      <c r="BJ54" s="4" t="str">
        <f>IF(Tabla4[[#This Row],[Estado mesa]]="Ocupada","00:15","00:00")</f>
        <v>00:00</v>
      </c>
      <c r="BK54" cm="1">
        <f t="array" ref="BK54">SUM(IF(Cocina!A:A=Tabla4[[#This Row],[Número de Orden]],Cocina!H:H,0))</f>
        <v>62</v>
      </c>
    </row>
    <row r="55" spans="1:63" x14ac:dyDescent="0.3">
      <c r="A55" s="8" t="str">
        <f>MID(Tabla4[[#This Row],[Cliente]], SEARCH("_", Tabla4[[#This Row],[Cliente]]) + 1, LEN(Tabla4[[#This Row],[Cliente]]) - SEARCH("_",Tabla4[[#This Row],[Cliente]]))</f>
        <v>63</v>
      </c>
      <c r="B55">
        <f>sala!K54</f>
        <v>53</v>
      </c>
      <c r="C55">
        <f>Tabla4[[#This Row],[Propina]]+Tabla4[[#This Row],[Precio Cena]]</f>
        <v>3955</v>
      </c>
      <c r="D55" s="3">
        <f>INT(sala!E54)</f>
        <v>45017</v>
      </c>
      <c r="E55" s="4">
        <f>MOD( sala!D54,1)</f>
        <v>0.12569444444670808</v>
      </c>
      <c r="F55" s="4">
        <f>MOD( sala!E54,1)</f>
        <v>0.19722222222480923</v>
      </c>
      <c r="G55" s="4">
        <f>Tabla5[[#This Row],[Hora de Salida]]-Tabla5[[#This Row],[Hora de Llegada]]+Tabla4[[#This Row],[Tiempo Extra]]</f>
        <v>7.1527777778101154E-2</v>
      </c>
      <c r="H55" s="5" t="str">
        <f>TEXT(Tabla4[[#This Row],[Preparación en horas]]/1440, "h:mm")</f>
        <v>1:52</v>
      </c>
      <c r="I55" s="4">
        <f>IF(Tabla5[[#This Row],[Tiempo Permanencia]]-Tabla5[[#This Row],[Tiempo de Preparación ]]&gt;=0,Tabla5[[#This Row],[Tiempo Permanencia]]-Tabla5[[#This Row],[Tiempo de Preparación ]],0)</f>
        <v>0</v>
      </c>
      <c r="J55" s="5" t="str">
        <f>IF(Tabla5[[#This Row],[Tiempo de Degustación]]=0,"No Cobrada","Cobrada")</f>
        <v>No Cobrada</v>
      </c>
      <c r="K55" s="5" cm="1">
        <f t="array" ref="K55">SUM(IF(Tabla5[[#This Row],[Orden Cobrada]]="Cobrada",IF(Cocina!A:A=Tabla5[[#This Row],[Nº Orden]],Cocina!F:F*Cocina!G:G,0),-Tabla6[[#This Row],[Precio Cena]]))</f>
        <v>-267</v>
      </c>
      <c r="L55" s="5">
        <f>IF(Tabla5[[#This Row],[Orden Cobrada]]="Cobrada",Tabla5[[#This Row],[Ganancia Bruta]]-Tabla6[[#This Row],[Coste Cena]],-Tabla6[[#This Row],[Precio Cena]]+Tabla6[[#This Row],[Coste Cena]])</f>
        <v>-105</v>
      </c>
      <c r="M55" s="10">
        <f>IF(Tabla5[[#This Row],[Orden Cobrada]]="Cobrada",((Tabla5[[#This Row],[Ganancia Neta]]/Tabla5[[#This Row],[Ganancia Bruta]])*100)/100,-((Tabla5[[#This Row],[Ganancia Neta]]/Tabla5[[#This Row],[Ganancia Bruta]]*100)/100))</f>
        <v>-0.39325842696629215</v>
      </c>
      <c r="N55" s="5" t="str">
        <f>sala!F54</f>
        <v>Mesero_5</v>
      </c>
      <c r="AY55" cm="1">
        <f t="array" ref="AY55">SUM(IF(Cocina!A:A=Tabla5[[#This Row],[Nº Orden]],Cocina!F:F*Cocina!G:G,0))</f>
        <v>267</v>
      </c>
      <c r="AZ55" cm="1">
        <f t="array" ref="AZ55">SUM(IF(Cocina!A:A=Tabla5[[#This Row],[Nº Orden]],Cocina!E:E*Cocina!G:G,0))</f>
        <v>162</v>
      </c>
      <c r="BB55" t="str">
        <f>MID(Tabla4[[#This Row],[Cliente]], SEARCH("_", Tabla4[[#This Row],[Cliente]]) + 1, LEN(Tabla4[[#This Row],[Cliente]]) - SEARCH("_",Tabla4[[#This Row],[Cliente]]))</f>
        <v>63</v>
      </c>
      <c r="BC55" t="str">
        <f>sala!B54</f>
        <v>Cliente_63</v>
      </c>
      <c r="BD55" s="1">
        <f>sala!D54</f>
        <v>45017.125694444447</v>
      </c>
      <c r="BE55" s="1">
        <f>sala!E54</f>
        <v>45017.197222222225</v>
      </c>
      <c r="BF55">
        <f>sala!K54</f>
        <v>53</v>
      </c>
      <c r="BG55">
        <f>sala!I54</f>
        <v>3688</v>
      </c>
      <c r="BH55" cm="1">
        <f t="array" ref="BH55">SUM(IF(Cocina!A:A=Tabla4[[#This Row],[Número de Orden]],Cocina!F:F*Cocina!G:G,0))</f>
        <v>267</v>
      </c>
      <c r="BI55" t="str">
        <f>sala!J54</f>
        <v>Libre</v>
      </c>
      <c r="BJ55" s="4" t="str">
        <f>IF(Tabla4[[#This Row],[Estado mesa]]="Ocupada","00:15","00:00")</f>
        <v>00:00</v>
      </c>
      <c r="BK55" cm="1">
        <f t="array" ref="BK55">SUM(IF(Cocina!A:A=Tabla4[[#This Row],[Número de Orden]],Cocina!H:H,0))</f>
        <v>112</v>
      </c>
    </row>
    <row r="56" spans="1:63" x14ac:dyDescent="0.3">
      <c r="A56" s="8" t="str">
        <f>MID(Tabla4[[#This Row],[Cliente]], SEARCH("_", Tabla4[[#This Row],[Cliente]]) + 1, LEN(Tabla4[[#This Row],[Cliente]]) - SEARCH("_",Tabla4[[#This Row],[Cliente]]))</f>
        <v>144</v>
      </c>
      <c r="B56">
        <f>sala!K55</f>
        <v>54</v>
      </c>
      <c r="C56">
        <f>Tabla4[[#This Row],[Propina]]+Tabla4[[#This Row],[Precio Cena]]</f>
        <v>2523</v>
      </c>
      <c r="D56" s="3">
        <f>INT(sala!E55)</f>
        <v>45017</v>
      </c>
      <c r="E56" s="4">
        <f>MOD( sala!D55,1)</f>
        <v>2.7777777781011537E-2</v>
      </c>
      <c r="F56" s="4">
        <f>MOD( sala!E55,1)</f>
        <v>0.17638888888905058</v>
      </c>
      <c r="G56" s="4">
        <f>Tabla5[[#This Row],[Hora de Salida]]-Tabla5[[#This Row],[Hora de Llegada]]+Tabla4[[#This Row],[Tiempo Extra]]</f>
        <v>0.14861111110803904</v>
      </c>
      <c r="H56" s="5" t="str">
        <f>TEXT(Tabla4[[#This Row],[Preparación en horas]]/1440, "h:mm")</f>
        <v>3:23</v>
      </c>
      <c r="I56" s="4">
        <f>IF(Tabla5[[#This Row],[Tiempo Permanencia]]-Tabla5[[#This Row],[Tiempo de Preparación ]]&gt;=0,Tabla5[[#This Row],[Tiempo Permanencia]]-Tabla5[[#This Row],[Tiempo de Preparación ]],0)</f>
        <v>7.6388888858168191E-3</v>
      </c>
      <c r="J56" s="5" t="str">
        <f>IF(Tabla5[[#This Row],[Tiempo de Degustación]]=0,"No Cobrada","Cobrada")</f>
        <v>Cobrada</v>
      </c>
      <c r="K56" s="5" cm="1">
        <f t="array" ref="K56">SUM(IF(Tabla5[[#This Row],[Orden Cobrada]]="Cobrada",IF(Cocina!A:A=Tabla5[[#This Row],[Nº Orden]],Cocina!F:F*Cocina!G:G,0),-Tabla6[[#This Row],[Precio Cena]]))</f>
        <v>187</v>
      </c>
      <c r="L56" s="5">
        <f>IF(Tabla5[[#This Row],[Orden Cobrada]]="Cobrada",Tabla5[[#This Row],[Ganancia Bruta]]-Tabla6[[#This Row],[Coste Cena]],-Tabla6[[#This Row],[Precio Cena]]+Tabla6[[#This Row],[Coste Cena]])</f>
        <v>75</v>
      </c>
      <c r="M56" s="10">
        <f>IF(Tabla5[[#This Row],[Orden Cobrada]]="Cobrada",((Tabla5[[#This Row],[Ganancia Neta]]/Tabla5[[#This Row],[Ganancia Bruta]])*100)/100,-((Tabla5[[#This Row],[Ganancia Neta]]/Tabla5[[#This Row],[Ganancia Bruta]]*100)/100))</f>
        <v>0.40106951871657759</v>
      </c>
      <c r="N56" s="5" t="str">
        <f>sala!F55</f>
        <v>Mesero_4</v>
      </c>
      <c r="AY56" cm="1">
        <f t="array" ref="AY56">SUM(IF(Cocina!A:A=Tabla5[[#This Row],[Nº Orden]],Cocina!F:F*Cocina!G:G,0))</f>
        <v>187</v>
      </c>
      <c r="AZ56" cm="1">
        <f t="array" ref="AZ56">SUM(IF(Cocina!A:A=Tabla5[[#This Row],[Nº Orden]],Cocina!E:E*Cocina!G:G,0))</f>
        <v>112</v>
      </c>
      <c r="BB56" t="str">
        <f>MID(Tabla4[[#This Row],[Cliente]], SEARCH("_", Tabla4[[#This Row],[Cliente]]) + 1, LEN(Tabla4[[#This Row],[Cliente]]) - SEARCH("_",Tabla4[[#This Row],[Cliente]]))</f>
        <v>144</v>
      </c>
      <c r="BC56" t="str">
        <f>sala!B55</f>
        <v>Cliente_144</v>
      </c>
      <c r="BD56" s="1">
        <f>sala!D55</f>
        <v>45017.027777777781</v>
      </c>
      <c r="BE56" s="1">
        <f>sala!E55</f>
        <v>45017.176388888889</v>
      </c>
      <c r="BF56">
        <f>sala!K55</f>
        <v>54</v>
      </c>
      <c r="BG56">
        <f>sala!I55</f>
        <v>2336</v>
      </c>
      <c r="BH56" cm="1">
        <f t="array" ref="BH56">SUM(IF(Cocina!A:A=Tabla4[[#This Row],[Número de Orden]],Cocina!F:F*Cocina!G:G,0))</f>
        <v>187</v>
      </c>
      <c r="BI56" t="str">
        <f>sala!J55</f>
        <v>Reservada</v>
      </c>
      <c r="BJ56" s="4" t="str">
        <f>IF(Tabla4[[#This Row],[Estado mesa]]="Ocupada","00:15","00:00")</f>
        <v>00:00</v>
      </c>
      <c r="BK56" cm="1">
        <f t="array" ref="BK56">SUM(IF(Cocina!A:A=Tabla4[[#This Row],[Número de Orden]],Cocina!H:H,0))</f>
        <v>203</v>
      </c>
    </row>
    <row r="57" spans="1:63" x14ac:dyDescent="0.3">
      <c r="A57" s="8" t="str">
        <f>MID(Tabla4[[#This Row],[Cliente]], SEARCH("_", Tabla4[[#This Row],[Cliente]]) + 1, LEN(Tabla4[[#This Row],[Cliente]]) - SEARCH("_",Tabla4[[#This Row],[Cliente]]))</f>
        <v>390</v>
      </c>
      <c r="B57">
        <f>sala!K56</f>
        <v>55</v>
      </c>
      <c r="C57">
        <f>Tabla4[[#This Row],[Propina]]+Tabla4[[#This Row],[Precio Cena]]</f>
        <v>4804</v>
      </c>
      <c r="D57" s="3">
        <f>INT(sala!E56)</f>
        <v>45017</v>
      </c>
      <c r="E57" s="4">
        <f>MOD( sala!D56,1)</f>
        <v>6.25E-2</v>
      </c>
      <c r="F57" s="4">
        <f>MOD( sala!E56,1)</f>
        <v>0.20833333333575865</v>
      </c>
      <c r="G57" s="4">
        <f>Tabla5[[#This Row],[Hora de Salida]]-Tabla5[[#This Row],[Hora de Llegada]]+Tabla4[[#This Row],[Tiempo Extra]]</f>
        <v>0.15625000000242531</v>
      </c>
      <c r="H57" s="5" t="str">
        <f>TEXT(Tabla4[[#This Row],[Preparación en horas]]/1440, "h:mm")</f>
        <v>1:36</v>
      </c>
      <c r="I57" s="4">
        <f>IF(Tabla5[[#This Row],[Tiempo Permanencia]]-Tabla5[[#This Row],[Tiempo de Preparación ]]&gt;=0,Tabla5[[#This Row],[Tiempo Permanencia]]-Tabla5[[#This Row],[Tiempo de Preparación ]],0)</f>
        <v>8.9583333335758644E-2</v>
      </c>
      <c r="J57" s="5" t="str">
        <f>IF(Tabla5[[#This Row],[Tiempo de Degustación]]=0,"No Cobrada","Cobrada")</f>
        <v>Cobrada</v>
      </c>
      <c r="K57" s="5" cm="1">
        <f t="array" ref="K57">SUM(IF(Tabla5[[#This Row],[Orden Cobrada]]="Cobrada",IF(Cocina!A:A=Tabla5[[#This Row],[Nº Orden]],Cocina!F:F*Cocina!G:G,0),-Tabla6[[#This Row],[Precio Cena]]))</f>
        <v>255</v>
      </c>
      <c r="L57" s="5">
        <f>IF(Tabla5[[#This Row],[Orden Cobrada]]="Cobrada",Tabla5[[#This Row],[Ganancia Bruta]]-Tabla6[[#This Row],[Coste Cena]],-Tabla6[[#This Row],[Precio Cena]]+Tabla6[[#This Row],[Coste Cena]])</f>
        <v>102</v>
      </c>
      <c r="M57" s="10">
        <f>IF(Tabla5[[#This Row],[Orden Cobrada]]="Cobrada",((Tabla5[[#This Row],[Ganancia Neta]]/Tabla5[[#This Row],[Ganancia Bruta]])*100)/100,-((Tabla5[[#This Row],[Ganancia Neta]]/Tabla5[[#This Row],[Ganancia Bruta]]*100)/100))</f>
        <v>0.4</v>
      </c>
      <c r="N57" s="5" t="str">
        <f>sala!F56</f>
        <v>Mesero_4</v>
      </c>
      <c r="AY57" cm="1">
        <f t="array" ref="AY57">SUM(IF(Cocina!A:A=Tabla5[[#This Row],[Nº Orden]],Cocina!F:F*Cocina!G:G,0))</f>
        <v>255</v>
      </c>
      <c r="AZ57" cm="1">
        <f t="array" ref="AZ57">SUM(IF(Cocina!A:A=Tabla5[[#This Row],[Nº Orden]],Cocina!E:E*Cocina!G:G,0))</f>
        <v>153</v>
      </c>
      <c r="BB57" t="str">
        <f>MID(Tabla4[[#This Row],[Cliente]], SEARCH("_", Tabla4[[#This Row],[Cliente]]) + 1, LEN(Tabla4[[#This Row],[Cliente]]) - SEARCH("_",Tabla4[[#This Row],[Cliente]]))</f>
        <v>390</v>
      </c>
      <c r="BC57" t="str">
        <f>sala!B56</f>
        <v>Cliente_390</v>
      </c>
      <c r="BD57" s="1">
        <f>sala!D56</f>
        <v>45017.0625</v>
      </c>
      <c r="BE57" s="1">
        <f>sala!E56</f>
        <v>45017.208333333336</v>
      </c>
      <c r="BF57">
        <f>sala!K56</f>
        <v>55</v>
      </c>
      <c r="BG57">
        <f>sala!I56</f>
        <v>4549</v>
      </c>
      <c r="BH57" cm="1">
        <f t="array" ref="BH57">SUM(IF(Cocina!A:A=Tabla4[[#This Row],[Número de Orden]],Cocina!F:F*Cocina!G:G,0))</f>
        <v>255</v>
      </c>
      <c r="BI57" t="str">
        <f>sala!J56</f>
        <v>Ocupada</v>
      </c>
      <c r="BJ57" s="4" t="str">
        <f>IF(Tabla4[[#This Row],[Estado mesa]]="Ocupada","00:15","00:00")</f>
        <v>00:15</v>
      </c>
      <c r="BK57" cm="1">
        <f t="array" ref="BK57">SUM(IF(Cocina!A:A=Tabla4[[#This Row],[Número de Orden]],Cocina!H:H,0))</f>
        <v>96</v>
      </c>
    </row>
    <row r="58" spans="1:63" x14ac:dyDescent="0.3">
      <c r="A58" s="8" t="str">
        <f>MID(Tabla4[[#This Row],[Cliente]], SEARCH("_", Tabla4[[#This Row],[Cliente]]) + 1, LEN(Tabla4[[#This Row],[Cliente]]) - SEARCH("_",Tabla4[[#This Row],[Cliente]]))</f>
        <v>728</v>
      </c>
      <c r="B58">
        <f>sala!K57</f>
        <v>56</v>
      </c>
      <c r="C58">
        <f>Tabla4[[#This Row],[Propina]]+Tabla4[[#This Row],[Precio Cena]]</f>
        <v>480</v>
      </c>
      <c r="D58" s="3">
        <f>INT(sala!E57)</f>
        <v>45017</v>
      </c>
      <c r="E58" s="4">
        <f>MOD( sala!D57,1)</f>
        <v>5.5555555554747116E-2</v>
      </c>
      <c r="F58" s="4">
        <f>MOD( sala!E57,1)</f>
        <v>0.20625000000291038</v>
      </c>
      <c r="G58" s="4">
        <f>Tabla5[[#This Row],[Hora de Salida]]-Tabla5[[#This Row],[Hora de Llegada]]+Tabla4[[#This Row],[Tiempo Extra]]</f>
        <v>0.15069444444816327</v>
      </c>
      <c r="H58" s="5" t="str">
        <f>TEXT(Tabla4[[#This Row],[Preparación en horas]]/1440, "h:mm")</f>
        <v>1:18</v>
      </c>
      <c r="I58" s="4">
        <f>IF(Tabla5[[#This Row],[Tiempo Permanencia]]-Tabla5[[#This Row],[Tiempo de Preparación ]]&gt;=0,Tabla5[[#This Row],[Tiempo Permanencia]]-Tabla5[[#This Row],[Tiempo de Preparación ]],0)</f>
        <v>9.6527777781496599E-2</v>
      </c>
      <c r="J58" s="5" t="str">
        <f>IF(Tabla5[[#This Row],[Tiempo de Degustación]]=0,"No Cobrada","Cobrada")</f>
        <v>Cobrada</v>
      </c>
      <c r="K58" s="5" cm="1">
        <f t="array" ref="K58">SUM(IF(Tabla5[[#This Row],[Orden Cobrada]]="Cobrada",IF(Cocina!A:A=Tabla5[[#This Row],[Nº Orden]],Cocina!F:F*Cocina!G:G,0),-Tabla6[[#This Row],[Precio Cena]]))</f>
        <v>48</v>
      </c>
      <c r="L58" s="5">
        <f>IF(Tabla5[[#This Row],[Orden Cobrada]]="Cobrada",Tabla5[[#This Row],[Ganancia Bruta]]-Tabla6[[#This Row],[Coste Cena]],-Tabla6[[#This Row],[Precio Cena]]+Tabla6[[#This Row],[Coste Cena]])</f>
        <v>20</v>
      </c>
      <c r="M58" s="10">
        <f>IF(Tabla5[[#This Row],[Orden Cobrada]]="Cobrada",((Tabla5[[#This Row],[Ganancia Neta]]/Tabla5[[#This Row],[Ganancia Bruta]])*100)/100,-((Tabla5[[#This Row],[Ganancia Neta]]/Tabla5[[#This Row],[Ganancia Bruta]]*100)/100))</f>
        <v>0.41666666666666674</v>
      </c>
      <c r="N58" s="5" t="str">
        <f>sala!F57</f>
        <v>Mesero_5</v>
      </c>
      <c r="AY58" cm="1">
        <f t="array" ref="AY58">SUM(IF(Cocina!A:A=Tabla5[[#This Row],[Nº Orden]],Cocina!F:F*Cocina!G:G,0))</f>
        <v>48</v>
      </c>
      <c r="AZ58" cm="1">
        <f t="array" ref="AZ58">SUM(IF(Cocina!A:A=Tabla5[[#This Row],[Nº Orden]],Cocina!E:E*Cocina!G:G,0))</f>
        <v>28</v>
      </c>
      <c r="BB58" t="str">
        <f>MID(Tabla4[[#This Row],[Cliente]], SEARCH("_", Tabla4[[#This Row],[Cliente]]) + 1, LEN(Tabla4[[#This Row],[Cliente]]) - SEARCH("_",Tabla4[[#This Row],[Cliente]]))</f>
        <v>728</v>
      </c>
      <c r="BC58" t="str">
        <f>sala!B57</f>
        <v>Cliente_728</v>
      </c>
      <c r="BD58" s="1">
        <f>sala!D57</f>
        <v>45017.055555555555</v>
      </c>
      <c r="BE58" s="1">
        <f>sala!E57</f>
        <v>45017.206250000003</v>
      </c>
      <c r="BF58">
        <f>sala!K57</f>
        <v>56</v>
      </c>
      <c r="BG58">
        <f>sala!I57</f>
        <v>432</v>
      </c>
      <c r="BH58" cm="1">
        <f t="array" ref="BH58">SUM(IF(Cocina!A:A=Tabla4[[#This Row],[Número de Orden]],Cocina!F:F*Cocina!G:G,0))</f>
        <v>48</v>
      </c>
      <c r="BI58" t="str">
        <f>sala!J57</f>
        <v>Libre</v>
      </c>
      <c r="BJ58" s="4" t="str">
        <f>IF(Tabla4[[#This Row],[Estado mesa]]="Ocupada","00:15","00:00")</f>
        <v>00:00</v>
      </c>
      <c r="BK58" cm="1">
        <f t="array" ref="BK58">SUM(IF(Cocina!A:A=Tabla4[[#This Row],[Número de Orden]],Cocina!H:H,0))</f>
        <v>78</v>
      </c>
    </row>
    <row r="59" spans="1:63" x14ac:dyDescent="0.3">
      <c r="A59" s="8" t="str">
        <f>MID(Tabla4[[#This Row],[Cliente]], SEARCH("_", Tabla4[[#This Row],[Cliente]]) + 1, LEN(Tabla4[[#This Row],[Cliente]]) - SEARCH("_",Tabla4[[#This Row],[Cliente]]))</f>
        <v>886</v>
      </c>
      <c r="B59">
        <f>sala!K58</f>
        <v>57</v>
      </c>
      <c r="C59">
        <f>Tabla4[[#This Row],[Propina]]+Tabla4[[#This Row],[Precio Cena]]</f>
        <v>4714</v>
      </c>
      <c r="D59" s="3">
        <f>INT(sala!E58)</f>
        <v>45017</v>
      </c>
      <c r="E59" s="4">
        <f>MOD( sala!D58,1)</f>
        <v>0.12777777777955635</v>
      </c>
      <c r="F59" s="4">
        <f>MOD( sala!E58,1)</f>
        <v>0.20277777777664596</v>
      </c>
      <c r="G59" s="4">
        <f>Tabla5[[#This Row],[Hora de Salida]]-Tabla5[[#This Row],[Hora de Llegada]]+Tabla4[[#This Row],[Tiempo Extra]]</f>
        <v>7.4999999997089617E-2</v>
      </c>
      <c r="H59" s="5" t="str">
        <f>TEXT(Tabla4[[#This Row],[Preparación en horas]]/1440, "h:mm")</f>
        <v>1:08</v>
      </c>
      <c r="I59" s="4">
        <f>IF(Tabla5[[#This Row],[Tiempo Permanencia]]-Tabla5[[#This Row],[Tiempo de Preparación ]]&gt;=0,Tabla5[[#This Row],[Tiempo Permanencia]]-Tabla5[[#This Row],[Tiempo de Preparación ]],0)</f>
        <v>2.7777777774867396E-2</v>
      </c>
      <c r="J59" s="5" t="str">
        <f>IF(Tabla5[[#This Row],[Tiempo de Degustación]]=0,"No Cobrada","Cobrada")</f>
        <v>Cobrada</v>
      </c>
      <c r="K59" s="5" cm="1">
        <f t="array" ref="K59">SUM(IF(Tabla5[[#This Row],[Orden Cobrada]]="Cobrada",IF(Cocina!A:A=Tabla5[[#This Row],[Nº Orden]],Cocina!F:F*Cocina!G:G,0),-Tabla6[[#This Row],[Precio Cena]]))</f>
        <v>169</v>
      </c>
      <c r="L59" s="5">
        <f>IF(Tabla5[[#This Row],[Orden Cobrada]]="Cobrada",Tabla5[[#This Row],[Ganancia Bruta]]-Tabla6[[#This Row],[Coste Cena]],-Tabla6[[#This Row],[Precio Cena]]+Tabla6[[#This Row],[Coste Cena]])</f>
        <v>66</v>
      </c>
      <c r="M59" s="10">
        <f>IF(Tabla5[[#This Row],[Orden Cobrada]]="Cobrada",((Tabla5[[#This Row],[Ganancia Neta]]/Tabla5[[#This Row],[Ganancia Bruta]])*100)/100,-((Tabla5[[#This Row],[Ganancia Neta]]/Tabla5[[#This Row],[Ganancia Bruta]]*100)/100))</f>
        <v>0.39053254437869822</v>
      </c>
      <c r="N59" s="5" t="str">
        <f>sala!F58</f>
        <v>Mesero_2</v>
      </c>
      <c r="AY59" cm="1">
        <f t="array" ref="AY59">SUM(IF(Cocina!A:A=Tabla5[[#This Row],[Nº Orden]],Cocina!F:F*Cocina!G:G,0))</f>
        <v>169</v>
      </c>
      <c r="AZ59" cm="1">
        <f t="array" ref="AZ59">SUM(IF(Cocina!A:A=Tabla5[[#This Row],[Nº Orden]],Cocina!E:E*Cocina!G:G,0))</f>
        <v>103</v>
      </c>
      <c r="BB59" t="str">
        <f>MID(Tabla4[[#This Row],[Cliente]], SEARCH("_", Tabla4[[#This Row],[Cliente]]) + 1, LEN(Tabla4[[#This Row],[Cliente]]) - SEARCH("_",Tabla4[[#This Row],[Cliente]]))</f>
        <v>886</v>
      </c>
      <c r="BC59" t="str">
        <f>sala!B58</f>
        <v>Cliente_886</v>
      </c>
      <c r="BD59" s="1">
        <f>sala!D58</f>
        <v>45017.12777777778</v>
      </c>
      <c r="BE59" s="1">
        <f>sala!E58</f>
        <v>45017.202777777777</v>
      </c>
      <c r="BF59">
        <f>sala!K58</f>
        <v>57</v>
      </c>
      <c r="BG59">
        <f>sala!I58</f>
        <v>4545</v>
      </c>
      <c r="BH59" cm="1">
        <f t="array" ref="BH59">SUM(IF(Cocina!A:A=Tabla4[[#This Row],[Número de Orden]],Cocina!F:F*Cocina!G:G,0))</f>
        <v>169</v>
      </c>
      <c r="BI59" t="str">
        <f>sala!J58</f>
        <v>Libre</v>
      </c>
      <c r="BJ59" s="4" t="str">
        <f>IF(Tabla4[[#This Row],[Estado mesa]]="Ocupada","00:15","00:00")</f>
        <v>00:00</v>
      </c>
      <c r="BK59" cm="1">
        <f t="array" ref="BK59">SUM(IF(Cocina!A:A=Tabla4[[#This Row],[Número de Orden]],Cocina!H:H,0))</f>
        <v>68</v>
      </c>
    </row>
    <row r="60" spans="1:63" x14ac:dyDescent="0.3">
      <c r="A60" s="8" t="str">
        <f>MID(Tabla4[[#This Row],[Cliente]], SEARCH("_", Tabla4[[#This Row],[Cliente]]) + 1, LEN(Tabla4[[#This Row],[Cliente]]) - SEARCH("_",Tabla4[[#This Row],[Cliente]]))</f>
        <v>510</v>
      </c>
      <c r="B60">
        <f>sala!K59</f>
        <v>58</v>
      </c>
      <c r="C60">
        <f>Tabla4[[#This Row],[Propina]]+Tabla4[[#This Row],[Precio Cena]]</f>
        <v>389</v>
      </c>
      <c r="D60" s="3">
        <f>INT(sala!E59)</f>
        <v>45017</v>
      </c>
      <c r="E60" s="4">
        <f>MOD( sala!D59,1)</f>
        <v>6.3194444446708076E-2</v>
      </c>
      <c r="F60" s="4">
        <f>MOD( sala!E59,1)</f>
        <v>0.18125000000145519</v>
      </c>
      <c r="G60" s="4">
        <f>Tabla5[[#This Row],[Hora de Salida]]-Tabla5[[#This Row],[Hora de Llegada]]+Tabla4[[#This Row],[Tiempo Extra]]</f>
        <v>0.11805555555474712</v>
      </c>
      <c r="H60" s="5" t="str">
        <f>TEXT(Tabla4[[#This Row],[Preparación en horas]]/1440, "h:mm")</f>
        <v>1:13</v>
      </c>
      <c r="I60" s="4">
        <f>IF(Tabla5[[#This Row],[Tiempo Permanencia]]-Tabla5[[#This Row],[Tiempo de Preparación ]]&gt;=0,Tabla5[[#This Row],[Tiempo Permanencia]]-Tabla5[[#This Row],[Tiempo de Preparación ]],0)</f>
        <v>6.7361111110302671E-2</v>
      </c>
      <c r="J60" s="5" t="str">
        <f>IF(Tabla5[[#This Row],[Tiempo de Degustación]]=0,"No Cobrada","Cobrada")</f>
        <v>Cobrada</v>
      </c>
      <c r="K60" s="5" cm="1">
        <f t="array" ref="K60">SUM(IF(Tabla5[[#This Row],[Orden Cobrada]]="Cobrada",IF(Cocina!A:A=Tabla5[[#This Row],[Nº Orden]],Cocina!F:F*Cocina!G:G,0),-Tabla6[[#This Row],[Precio Cena]]))</f>
        <v>82</v>
      </c>
      <c r="L60" s="5">
        <f>IF(Tabla5[[#This Row],[Orden Cobrada]]="Cobrada",Tabla5[[#This Row],[Ganancia Bruta]]-Tabla6[[#This Row],[Coste Cena]],-Tabla6[[#This Row],[Precio Cena]]+Tabla6[[#This Row],[Coste Cena]])</f>
        <v>33</v>
      </c>
      <c r="M60" s="10">
        <f>IF(Tabla5[[#This Row],[Orden Cobrada]]="Cobrada",((Tabla5[[#This Row],[Ganancia Neta]]/Tabla5[[#This Row],[Ganancia Bruta]])*100)/100,-((Tabla5[[#This Row],[Ganancia Neta]]/Tabla5[[#This Row],[Ganancia Bruta]]*100)/100))</f>
        <v>0.40243902439024398</v>
      </c>
      <c r="N60" s="5" t="str">
        <f>sala!F59</f>
        <v>Mesero_1</v>
      </c>
      <c r="AY60" cm="1">
        <f t="array" ref="AY60">SUM(IF(Cocina!A:A=Tabla5[[#This Row],[Nº Orden]],Cocina!F:F*Cocina!G:G,0))</f>
        <v>82</v>
      </c>
      <c r="AZ60" cm="1">
        <f t="array" ref="AZ60">SUM(IF(Cocina!A:A=Tabla5[[#This Row],[Nº Orden]],Cocina!E:E*Cocina!G:G,0))</f>
        <v>49</v>
      </c>
      <c r="BB60" t="str">
        <f>MID(Tabla4[[#This Row],[Cliente]], SEARCH("_", Tabla4[[#This Row],[Cliente]]) + 1, LEN(Tabla4[[#This Row],[Cliente]]) - SEARCH("_",Tabla4[[#This Row],[Cliente]]))</f>
        <v>510</v>
      </c>
      <c r="BC60" t="str">
        <f>sala!B59</f>
        <v>Cliente_510</v>
      </c>
      <c r="BD60" s="1">
        <f>sala!D59</f>
        <v>45017.063194444447</v>
      </c>
      <c r="BE60" s="1">
        <f>sala!E59</f>
        <v>45017.181250000001</v>
      </c>
      <c r="BF60">
        <f>sala!K59</f>
        <v>58</v>
      </c>
      <c r="BG60">
        <f>sala!I59</f>
        <v>307</v>
      </c>
      <c r="BH60" cm="1">
        <f t="array" ref="BH60">SUM(IF(Cocina!A:A=Tabla4[[#This Row],[Número de Orden]],Cocina!F:F*Cocina!G:G,0))</f>
        <v>82</v>
      </c>
      <c r="BI60" t="str">
        <f>sala!J59</f>
        <v>Reservada</v>
      </c>
      <c r="BJ60" s="4" t="str">
        <f>IF(Tabla4[[#This Row],[Estado mesa]]="Ocupada","00:15","00:00")</f>
        <v>00:00</v>
      </c>
      <c r="BK60" cm="1">
        <f t="array" ref="BK60">SUM(IF(Cocina!A:A=Tabla4[[#This Row],[Número de Orden]],Cocina!H:H,0))</f>
        <v>73</v>
      </c>
    </row>
    <row r="61" spans="1:63" x14ac:dyDescent="0.3">
      <c r="A61" s="8" t="str">
        <f>MID(Tabla4[[#This Row],[Cliente]], SEARCH("_", Tabla4[[#This Row],[Cliente]]) + 1, LEN(Tabla4[[#This Row],[Cliente]]) - SEARCH("_",Tabla4[[#This Row],[Cliente]]))</f>
        <v>878</v>
      </c>
      <c r="B61">
        <f>sala!K60</f>
        <v>59</v>
      </c>
      <c r="C61">
        <f>Tabla4[[#This Row],[Propina]]+Tabla4[[#This Row],[Precio Cena]]</f>
        <v>3549</v>
      </c>
      <c r="D61" s="3">
        <f>INT(sala!E60)</f>
        <v>45017</v>
      </c>
      <c r="E61" s="4">
        <f>MOD( sala!D60,1)</f>
        <v>5.6250000001455192E-2</v>
      </c>
      <c r="F61" s="4">
        <f>MOD( sala!E60,1)</f>
        <v>0.21111111110803904</v>
      </c>
      <c r="G61" s="4">
        <f>Tabla5[[#This Row],[Hora de Salida]]-Tabla5[[#This Row],[Hora de Llegada]]+Tabla4[[#This Row],[Tiempo Extra]]</f>
        <v>0.15486111110658385</v>
      </c>
      <c r="H61" s="5" t="str">
        <f>TEXT(Tabla4[[#This Row],[Preparación en horas]]/1440, "h:mm")</f>
        <v>0:48</v>
      </c>
      <c r="I61" s="4">
        <f>IF(Tabla5[[#This Row],[Tiempo Permanencia]]-Tabla5[[#This Row],[Tiempo de Preparación ]]&gt;=0,Tabla5[[#This Row],[Tiempo Permanencia]]-Tabla5[[#This Row],[Tiempo de Preparación ]],0)</f>
        <v>0.12152777777325052</v>
      </c>
      <c r="J61" s="5" t="str">
        <f>IF(Tabla5[[#This Row],[Tiempo de Degustación]]=0,"No Cobrada","Cobrada")</f>
        <v>Cobrada</v>
      </c>
      <c r="K61" s="5" cm="1">
        <f t="array" ref="K61">SUM(IF(Tabla5[[#This Row],[Orden Cobrada]]="Cobrada",IF(Cocina!A:A=Tabla5[[#This Row],[Nº Orden]],Cocina!F:F*Cocina!G:G,0),-Tabla6[[#This Row],[Precio Cena]]))</f>
        <v>160</v>
      </c>
      <c r="L61" s="5">
        <f>IF(Tabla5[[#This Row],[Orden Cobrada]]="Cobrada",Tabla5[[#This Row],[Ganancia Bruta]]-Tabla6[[#This Row],[Coste Cena]],-Tabla6[[#This Row],[Precio Cena]]+Tabla6[[#This Row],[Coste Cena]])</f>
        <v>65</v>
      </c>
      <c r="M61" s="10">
        <f>IF(Tabla5[[#This Row],[Orden Cobrada]]="Cobrada",((Tabla5[[#This Row],[Ganancia Neta]]/Tabla5[[#This Row],[Ganancia Bruta]])*100)/100,-((Tabla5[[#This Row],[Ganancia Neta]]/Tabla5[[#This Row],[Ganancia Bruta]]*100)/100))</f>
        <v>0.40625</v>
      </c>
      <c r="N61" s="5" t="str">
        <f>sala!F60</f>
        <v>Mesero_1</v>
      </c>
      <c r="AY61" cm="1">
        <f t="array" ref="AY61">SUM(IF(Cocina!A:A=Tabla5[[#This Row],[Nº Orden]],Cocina!F:F*Cocina!G:G,0))</f>
        <v>160</v>
      </c>
      <c r="AZ61" cm="1">
        <f t="array" ref="AZ61">SUM(IF(Cocina!A:A=Tabla5[[#This Row],[Nº Orden]],Cocina!E:E*Cocina!G:G,0))</f>
        <v>95</v>
      </c>
      <c r="BB61" t="str">
        <f>MID(Tabla4[[#This Row],[Cliente]], SEARCH("_", Tabla4[[#This Row],[Cliente]]) + 1, LEN(Tabla4[[#This Row],[Cliente]]) - SEARCH("_",Tabla4[[#This Row],[Cliente]]))</f>
        <v>878</v>
      </c>
      <c r="BC61" t="str">
        <f>sala!B60</f>
        <v>Cliente_878</v>
      </c>
      <c r="BD61" s="1">
        <f>sala!D60</f>
        <v>45017.056250000001</v>
      </c>
      <c r="BE61" s="1">
        <f>sala!E60</f>
        <v>45017.211111111108</v>
      </c>
      <c r="BF61">
        <f>sala!K60</f>
        <v>59</v>
      </c>
      <c r="BG61">
        <f>sala!I60</f>
        <v>3389</v>
      </c>
      <c r="BH61" cm="1">
        <f t="array" ref="BH61">SUM(IF(Cocina!A:A=Tabla4[[#This Row],[Número de Orden]],Cocina!F:F*Cocina!G:G,0))</f>
        <v>160</v>
      </c>
      <c r="BI61" t="str">
        <f>sala!J60</f>
        <v>Libre</v>
      </c>
      <c r="BJ61" s="4" t="str">
        <f>IF(Tabla4[[#This Row],[Estado mesa]]="Ocupada","00:15","00:00")</f>
        <v>00:00</v>
      </c>
      <c r="BK61" cm="1">
        <f t="array" ref="BK61">SUM(IF(Cocina!A:A=Tabla4[[#This Row],[Número de Orden]],Cocina!H:H,0))</f>
        <v>48</v>
      </c>
    </row>
    <row r="62" spans="1:63" x14ac:dyDescent="0.3">
      <c r="A62" s="8" t="str">
        <f>MID(Tabla4[[#This Row],[Cliente]], SEARCH("_", Tabla4[[#This Row],[Cliente]]) + 1, LEN(Tabla4[[#This Row],[Cliente]]) - SEARCH("_",Tabla4[[#This Row],[Cliente]]))</f>
        <v>977</v>
      </c>
      <c r="B62">
        <f>sala!K61</f>
        <v>60</v>
      </c>
      <c r="C62">
        <f>Tabla4[[#This Row],[Propina]]+Tabla4[[#This Row],[Precio Cena]]</f>
        <v>2056</v>
      </c>
      <c r="D62" s="3">
        <f>INT(sala!E61)</f>
        <v>45017</v>
      </c>
      <c r="E62" s="4">
        <f>MOD( sala!D61,1)</f>
        <v>8.9583333334303461E-2</v>
      </c>
      <c r="F62" s="4">
        <f>MOD( sala!E61,1)</f>
        <v>0.24027777777519077</v>
      </c>
      <c r="G62" s="4">
        <f>Tabla5[[#This Row],[Hora de Salida]]-Tabla5[[#This Row],[Hora de Llegada]]+Tabla4[[#This Row],[Tiempo Extra]]</f>
        <v>0.15069444444088731</v>
      </c>
      <c r="H62" s="5" t="str">
        <f>TEXT(Tabla4[[#This Row],[Preparación en horas]]/1440, "h:mm")</f>
        <v>0:43</v>
      </c>
      <c r="I62" s="4">
        <f>IF(Tabla5[[#This Row],[Tiempo Permanencia]]-Tabla5[[#This Row],[Tiempo de Preparación ]]&gt;=0,Tabla5[[#This Row],[Tiempo Permanencia]]-Tabla5[[#This Row],[Tiempo de Preparación ]],0)</f>
        <v>0.12083333332977619</v>
      </c>
      <c r="J62" s="5" t="str">
        <f>IF(Tabla5[[#This Row],[Tiempo de Degustación]]=0,"No Cobrada","Cobrada")</f>
        <v>Cobrada</v>
      </c>
      <c r="K62" s="5" cm="1">
        <f t="array" ref="K62">SUM(IF(Tabla5[[#This Row],[Orden Cobrada]]="Cobrada",IF(Cocina!A:A=Tabla5[[#This Row],[Nº Orden]],Cocina!F:F*Cocina!G:G,0),-Tabla6[[#This Row],[Precio Cena]]))</f>
        <v>102</v>
      </c>
      <c r="L62" s="5">
        <f>IF(Tabla5[[#This Row],[Orden Cobrada]]="Cobrada",Tabla5[[#This Row],[Ganancia Bruta]]-Tabla6[[#This Row],[Coste Cena]],-Tabla6[[#This Row],[Precio Cena]]+Tabla6[[#This Row],[Coste Cena]])</f>
        <v>42</v>
      </c>
      <c r="M62" s="10">
        <f>IF(Tabla5[[#This Row],[Orden Cobrada]]="Cobrada",((Tabla5[[#This Row],[Ganancia Neta]]/Tabla5[[#This Row],[Ganancia Bruta]])*100)/100,-((Tabla5[[#This Row],[Ganancia Neta]]/Tabla5[[#This Row],[Ganancia Bruta]]*100)/100))</f>
        <v>0.41176470588235292</v>
      </c>
      <c r="N62" s="5" t="str">
        <f>sala!F61</f>
        <v>Mesero_1</v>
      </c>
      <c r="AY62" cm="1">
        <f t="array" ref="AY62">SUM(IF(Cocina!A:A=Tabla5[[#This Row],[Nº Orden]],Cocina!F:F*Cocina!G:G,0))</f>
        <v>102</v>
      </c>
      <c r="AZ62" cm="1">
        <f t="array" ref="AZ62">SUM(IF(Cocina!A:A=Tabla5[[#This Row],[Nº Orden]],Cocina!E:E*Cocina!G:G,0))</f>
        <v>60</v>
      </c>
      <c r="BB62" t="str">
        <f>MID(Tabla4[[#This Row],[Cliente]], SEARCH("_", Tabla4[[#This Row],[Cliente]]) + 1, LEN(Tabla4[[#This Row],[Cliente]]) - SEARCH("_",Tabla4[[#This Row],[Cliente]]))</f>
        <v>977</v>
      </c>
      <c r="BC62" t="str">
        <f>sala!B61</f>
        <v>Cliente_977</v>
      </c>
      <c r="BD62" s="1">
        <f>sala!D61</f>
        <v>45017.089583333334</v>
      </c>
      <c r="BE62" s="1">
        <f>sala!E61</f>
        <v>45017.240277777775</v>
      </c>
      <c r="BF62">
        <f>sala!K61</f>
        <v>60</v>
      </c>
      <c r="BG62">
        <f>sala!I61</f>
        <v>1954</v>
      </c>
      <c r="BH62" cm="1">
        <f t="array" ref="BH62">SUM(IF(Cocina!A:A=Tabla4[[#This Row],[Número de Orden]],Cocina!F:F*Cocina!G:G,0))</f>
        <v>102</v>
      </c>
      <c r="BI62" t="str">
        <f>sala!J61</f>
        <v>Reservada</v>
      </c>
      <c r="BJ62" s="4" t="str">
        <f>IF(Tabla4[[#This Row],[Estado mesa]]="Ocupada","00:15","00:00")</f>
        <v>00:00</v>
      </c>
      <c r="BK62" cm="1">
        <f t="array" ref="BK62">SUM(IF(Cocina!A:A=Tabla4[[#This Row],[Número de Orden]],Cocina!H:H,0))</f>
        <v>43</v>
      </c>
    </row>
    <row r="63" spans="1:63" x14ac:dyDescent="0.3">
      <c r="A63" s="8" t="str">
        <f>MID(Tabla4[[#This Row],[Cliente]], SEARCH("_", Tabla4[[#This Row],[Cliente]]) + 1, LEN(Tabla4[[#This Row],[Cliente]]) - SEARCH("_",Tabla4[[#This Row],[Cliente]]))</f>
        <v>553</v>
      </c>
      <c r="B63">
        <f>sala!K62</f>
        <v>61</v>
      </c>
      <c r="C63">
        <f>Tabla4[[#This Row],[Propina]]+Tabla4[[#This Row],[Precio Cena]]</f>
        <v>4529</v>
      </c>
      <c r="D63" s="3">
        <f>INT(sala!E62)</f>
        <v>45017</v>
      </c>
      <c r="E63" s="4">
        <f>MOD( sala!D62,1)</f>
        <v>0.15902777777955635</v>
      </c>
      <c r="F63" s="4">
        <f>MOD( sala!E62,1)</f>
        <v>0.26527777777664596</v>
      </c>
      <c r="G63" s="4">
        <f>Tabla5[[#This Row],[Hora de Salida]]-Tabla5[[#This Row],[Hora de Llegada]]+Tabla4[[#This Row],[Tiempo Extra]]</f>
        <v>0.11666666666375629</v>
      </c>
      <c r="H63" s="5" t="str">
        <f>TEXT(Tabla4[[#This Row],[Preparación en horas]]/1440, "h:mm")</f>
        <v>2:39</v>
      </c>
      <c r="I63" s="4">
        <f>IF(Tabla5[[#This Row],[Tiempo Permanencia]]-Tabla5[[#This Row],[Tiempo de Preparación ]]&gt;=0,Tabla5[[#This Row],[Tiempo Permanencia]]-Tabla5[[#This Row],[Tiempo de Preparación ]],0)</f>
        <v>6.2499999970896253E-3</v>
      </c>
      <c r="J63" s="5" t="str">
        <f>IF(Tabla5[[#This Row],[Tiempo de Degustación]]=0,"No Cobrada","Cobrada")</f>
        <v>Cobrada</v>
      </c>
      <c r="K63" s="5" cm="1">
        <f t="array" ref="K63">SUM(IF(Tabla5[[#This Row],[Orden Cobrada]]="Cobrada",IF(Cocina!A:A=Tabla5[[#This Row],[Nº Orden]],Cocina!F:F*Cocina!G:G,0),-Tabla6[[#This Row],[Precio Cena]]))</f>
        <v>242</v>
      </c>
      <c r="L63" s="5">
        <f>IF(Tabla5[[#This Row],[Orden Cobrada]]="Cobrada",Tabla5[[#This Row],[Ganancia Bruta]]-Tabla6[[#This Row],[Coste Cena]],-Tabla6[[#This Row],[Precio Cena]]+Tabla6[[#This Row],[Coste Cena]])</f>
        <v>98</v>
      </c>
      <c r="M63" s="10">
        <f>IF(Tabla5[[#This Row],[Orden Cobrada]]="Cobrada",((Tabla5[[#This Row],[Ganancia Neta]]/Tabla5[[#This Row],[Ganancia Bruta]])*100)/100,-((Tabla5[[#This Row],[Ganancia Neta]]/Tabla5[[#This Row],[Ganancia Bruta]]*100)/100))</f>
        <v>0.4049586776859504</v>
      </c>
      <c r="N63" s="5" t="str">
        <f>sala!F62</f>
        <v>Mesero_2</v>
      </c>
      <c r="AY63" cm="1">
        <f t="array" ref="AY63">SUM(IF(Cocina!A:A=Tabla5[[#This Row],[Nº Orden]],Cocina!F:F*Cocina!G:G,0))</f>
        <v>242</v>
      </c>
      <c r="AZ63" cm="1">
        <f t="array" ref="AZ63">SUM(IF(Cocina!A:A=Tabla5[[#This Row],[Nº Orden]],Cocina!E:E*Cocina!G:G,0))</f>
        <v>144</v>
      </c>
      <c r="BB63" t="str">
        <f>MID(Tabla4[[#This Row],[Cliente]], SEARCH("_", Tabla4[[#This Row],[Cliente]]) + 1, LEN(Tabla4[[#This Row],[Cliente]]) - SEARCH("_",Tabla4[[#This Row],[Cliente]]))</f>
        <v>553</v>
      </c>
      <c r="BC63" t="str">
        <f>sala!B62</f>
        <v>Cliente_553</v>
      </c>
      <c r="BD63" s="1">
        <f>sala!D62</f>
        <v>45017.15902777778</v>
      </c>
      <c r="BE63" s="1">
        <f>sala!E62</f>
        <v>45017.265277777777</v>
      </c>
      <c r="BF63">
        <f>sala!K62</f>
        <v>61</v>
      </c>
      <c r="BG63">
        <f>sala!I62</f>
        <v>4287</v>
      </c>
      <c r="BH63" cm="1">
        <f t="array" ref="BH63">SUM(IF(Cocina!A:A=Tabla4[[#This Row],[Número de Orden]],Cocina!F:F*Cocina!G:G,0))</f>
        <v>242</v>
      </c>
      <c r="BI63" t="str">
        <f>sala!J62</f>
        <v>Ocupada</v>
      </c>
      <c r="BJ63" s="4" t="str">
        <f>IF(Tabla4[[#This Row],[Estado mesa]]="Ocupada","00:15","00:00")</f>
        <v>00:15</v>
      </c>
      <c r="BK63" cm="1">
        <f t="array" ref="BK63">SUM(IF(Cocina!A:A=Tabla4[[#This Row],[Número de Orden]],Cocina!H:H,0))</f>
        <v>159</v>
      </c>
    </row>
    <row r="64" spans="1:63" x14ac:dyDescent="0.3">
      <c r="A64" s="8" t="str">
        <f>MID(Tabla4[[#This Row],[Cliente]], SEARCH("_", Tabla4[[#This Row],[Cliente]]) + 1, LEN(Tabla4[[#This Row],[Cliente]]) - SEARCH("_",Tabla4[[#This Row],[Cliente]]))</f>
        <v>792</v>
      </c>
      <c r="B64">
        <f>sala!K63</f>
        <v>62</v>
      </c>
      <c r="C64">
        <f>Tabla4[[#This Row],[Propina]]+Tabla4[[#This Row],[Precio Cena]]</f>
        <v>3941</v>
      </c>
      <c r="D64" s="3">
        <f>INT(sala!E63)</f>
        <v>45017</v>
      </c>
      <c r="E64" s="4">
        <f>MOD( sala!D63,1)</f>
        <v>0.11597222222189885</v>
      </c>
      <c r="F64" s="4">
        <f>MOD( sala!E63,1)</f>
        <v>0.26666666667006211</v>
      </c>
      <c r="G64" s="4">
        <f>Tabla5[[#This Row],[Hora de Salida]]-Tabla5[[#This Row],[Hora de Llegada]]+Tabla4[[#This Row],[Tiempo Extra]]</f>
        <v>0.16111111111482992</v>
      </c>
      <c r="H64" s="5" t="str">
        <f>TEXT(Tabla4[[#This Row],[Preparación en horas]]/1440, "h:mm")</f>
        <v>2:35</v>
      </c>
      <c r="I64" s="4">
        <f>IF(Tabla5[[#This Row],[Tiempo Permanencia]]-Tabla5[[#This Row],[Tiempo de Preparación ]]&gt;=0,Tabla5[[#This Row],[Tiempo Permanencia]]-Tabla5[[#This Row],[Tiempo de Preparación ]],0)</f>
        <v>5.347222222594103E-2</v>
      </c>
      <c r="J64" s="5" t="str">
        <f>IF(Tabla5[[#This Row],[Tiempo de Degustación]]=0,"No Cobrada","Cobrada")</f>
        <v>Cobrada</v>
      </c>
      <c r="K64" s="5" cm="1">
        <f t="array" ref="K64">SUM(IF(Tabla5[[#This Row],[Orden Cobrada]]="Cobrada",IF(Cocina!A:A=Tabla5[[#This Row],[Nº Orden]],Cocina!F:F*Cocina!G:G,0),-Tabla6[[#This Row],[Precio Cena]]))</f>
        <v>148</v>
      </c>
      <c r="L64" s="5">
        <f>IF(Tabla5[[#This Row],[Orden Cobrada]]="Cobrada",Tabla5[[#This Row],[Ganancia Bruta]]-Tabla6[[#This Row],[Coste Cena]],-Tabla6[[#This Row],[Precio Cena]]+Tabla6[[#This Row],[Coste Cena]])</f>
        <v>60</v>
      </c>
      <c r="M64" s="10">
        <f>IF(Tabla5[[#This Row],[Orden Cobrada]]="Cobrada",((Tabla5[[#This Row],[Ganancia Neta]]/Tabla5[[#This Row],[Ganancia Bruta]])*100)/100,-((Tabla5[[#This Row],[Ganancia Neta]]/Tabla5[[#This Row],[Ganancia Bruta]]*100)/100))</f>
        <v>0.40540540540540543</v>
      </c>
      <c r="N64" s="5" t="str">
        <f>sala!F63</f>
        <v>Mesero_1</v>
      </c>
      <c r="AY64" cm="1">
        <f t="array" ref="AY64">SUM(IF(Cocina!A:A=Tabla5[[#This Row],[Nº Orden]],Cocina!F:F*Cocina!G:G,0))</f>
        <v>148</v>
      </c>
      <c r="AZ64" cm="1">
        <f t="array" ref="AZ64">SUM(IF(Cocina!A:A=Tabla5[[#This Row],[Nº Orden]],Cocina!E:E*Cocina!G:G,0))</f>
        <v>88</v>
      </c>
      <c r="BB64" t="str">
        <f>MID(Tabla4[[#This Row],[Cliente]], SEARCH("_", Tabla4[[#This Row],[Cliente]]) + 1, LEN(Tabla4[[#This Row],[Cliente]]) - SEARCH("_",Tabla4[[#This Row],[Cliente]]))</f>
        <v>792</v>
      </c>
      <c r="BC64" t="str">
        <f>sala!B63</f>
        <v>Cliente_792</v>
      </c>
      <c r="BD64" s="1">
        <f>sala!D63</f>
        <v>45017.115972222222</v>
      </c>
      <c r="BE64" s="1">
        <f>sala!E63</f>
        <v>45017.26666666667</v>
      </c>
      <c r="BF64">
        <f>sala!K63</f>
        <v>62</v>
      </c>
      <c r="BG64">
        <f>sala!I63</f>
        <v>3793</v>
      </c>
      <c r="BH64" cm="1">
        <f t="array" ref="BH64">SUM(IF(Cocina!A:A=Tabla4[[#This Row],[Número de Orden]],Cocina!F:F*Cocina!G:G,0))</f>
        <v>148</v>
      </c>
      <c r="BI64" t="str">
        <f>sala!J63</f>
        <v>Ocupada</v>
      </c>
      <c r="BJ64" s="4" t="str">
        <f>IF(Tabla4[[#This Row],[Estado mesa]]="Ocupada","00:15","00:00")</f>
        <v>00:15</v>
      </c>
      <c r="BK64" cm="1">
        <f t="array" ref="BK64">SUM(IF(Cocina!A:A=Tabla4[[#This Row],[Número de Orden]],Cocina!H:H,0))</f>
        <v>155</v>
      </c>
    </row>
    <row r="65" spans="1:63" x14ac:dyDescent="0.3">
      <c r="A65" s="8" t="str">
        <f>MID(Tabla4[[#This Row],[Cliente]], SEARCH("_", Tabla4[[#This Row],[Cliente]]) + 1, LEN(Tabla4[[#This Row],[Cliente]]) - SEARCH("_",Tabla4[[#This Row],[Cliente]]))</f>
        <v>881</v>
      </c>
      <c r="B65">
        <f>sala!K64</f>
        <v>63</v>
      </c>
      <c r="C65">
        <f>Tabla4[[#This Row],[Propina]]+Tabla4[[#This Row],[Precio Cena]]</f>
        <v>3389</v>
      </c>
      <c r="D65" s="3">
        <f>INT(sala!E64)</f>
        <v>45017</v>
      </c>
      <c r="E65" s="4">
        <f>MOD( sala!D64,1)</f>
        <v>2.8472222220443655E-2</v>
      </c>
      <c r="F65" s="4">
        <f>MOD( sala!E64,1)</f>
        <v>0.17083333332993789</v>
      </c>
      <c r="G65" s="4">
        <f>Tabla5[[#This Row],[Hora de Salida]]-Tabla5[[#This Row],[Hora de Llegada]]+Tabla4[[#This Row],[Tiempo Extra]]</f>
        <v>0.14236111110949423</v>
      </c>
      <c r="H65" s="5" t="str">
        <f>TEXT(Tabla4[[#This Row],[Preparación en horas]]/1440, "h:mm")</f>
        <v>0:30</v>
      </c>
      <c r="I65" s="4">
        <f>IF(Tabla5[[#This Row],[Tiempo Permanencia]]-Tabla5[[#This Row],[Tiempo de Preparación ]]&gt;=0,Tabla5[[#This Row],[Tiempo Permanencia]]-Tabla5[[#This Row],[Tiempo de Preparación ]],0)</f>
        <v>0.1215277777761609</v>
      </c>
      <c r="J65" s="5" t="str">
        <f>IF(Tabla5[[#This Row],[Tiempo de Degustación]]=0,"No Cobrada","Cobrada")</f>
        <v>Cobrada</v>
      </c>
      <c r="K65" s="5" cm="1">
        <f t="array" ref="K65">SUM(IF(Tabla5[[#This Row],[Orden Cobrada]]="Cobrada",IF(Cocina!A:A=Tabla5[[#This Row],[Nº Orden]],Cocina!F:F*Cocina!G:G,0),-Tabla6[[#This Row],[Precio Cena]]))</f>
        <v>55</v>
      </c>
      <c r="L65" s="5">
        <f>IF(Tabla5[[#This Row],[Orden Cobrada]]="Cobrada",Tabla5[[#This Row],[Ganancia Bruta]]-Tabla6[[#This Row],[Coste Cena]],-Tabla6[[#This Row],[Precio Cena]]+Tabla6[[#This Row],[Coste Cena]])</f>
        <v>22</v>
      </c>
      <c r="M65" s="10">
        <f>IF(Tabla5[[#This Row],[Orden Cobrada]]="Cobrada",((Tabla5[[#This Row],[Ganancia Neta]]/Tabla5[[#This Row],[Ganancia Bruta]])*100)/100,-((Tabla5[[#This Row],[Ganancia Neta]]/Tabla5[[#This Row],[Ganancia Bruta]]*100)/100))</f>
        <v>0.4</v>
      </c>
      <c r="N65" s="5" t="str">
        <f>sala!F64</f>
        <v>Mesero_4</v>
      </c>
      <c r="AY65" cm="1">
        <f t="array" ref="AY65">SUM(IF(Cocina!A:A=Tabla5[[#This Row],[Nº Orden]],Cocina!F:F*Cocina!G:G,0))</f>
        <v>55</v>
      </c>
      <c r="AZ65" cm="1">
        <f t="array" ref="AZ65">SUM(IF(Cocina!A:A=Tabla5[[#This Row],[Nº Orden]],Cocina!E:E*Cocina!G:G,0))</f>
        <v>33</v>
      </c>
      <c r="BB65" t="str">
        <f>MID(Tabla4[[#This Row],[Cliente]], SEARCH("_", Tabla4[[#This Row],[Cliente]]) + 1, LEN(Tabla4[[#This Row],[Cliente]]) - SEARCH("_",Tabla4[[#This Row],[Cliente]]))</f>
        <v>881</v>
      </c>
      <c r="BC65" t="str">
        <f>sala!B64</f>
        <v>Cliente_881</v>
      </c>
      <c r="BD65" s="1">
        <f>sala!D64</f>
        <v>45017.02847222222</v>
      </c>
      <c r="BE65" s="1">
        <f>sala!E64</f>
        <v>45017.17083333333</v>
      </c>
      <c r="BF65">
        <f>sala!K64</f>
        <v>63</v>
      </c>
      <c r="BG65">
        <f>sala!I64</f>
        <v>3334</v>
      </c>
      <c r="BH65" cm="1">
        <f t="array" ref="BH65">SUM(IF(Cocina!A:A=Tabla4[[#This Row],[Número de Orden]],Cocina!F:F*Cocina!G:G,0))</f>
        <v>55</v>
      </c>
      <c r="BI65" t="str">
        <f>sala!J64</f>
        <v>Reservada</v>
      </c>
      <c r="BJ65" s="4" t="str">
        <f>IF(Tabla4[[#This Row],[Estado mesa]]="Ocupada","00:15","00:00")</f>
        <v>00:00</v>
      </c>
      <c r="BK65" cm="1">
        <f t="array" ref="BK65">SUM(IF(Cocina!A:A=Tabla4[[#This Row],[Número de Orden]],Cocina!H:H,0))</f>
        <v>30</v>
      </c>
    </row>
    <row r="66" spans="1:63" x14ac:dyDescent="0.3">
      <c r="A66" s="8" t="str">
        <f>MID(Tabla4[[#This Row],[Cliente]], SEARCH("_", Tabla4[[#This Row],[Cliente]]) + 1, LEN(Tabla4[[#This Row],[Cliente]]) - SEARCH("_",Tabla4[[#This Row],[Cliente]]))</f>
        <v>265</v>
      </c>
      <c r="B66">
        <f>sala!K65</f>
        <v>64</v>
      </c>
      <c r="C66">
        <f>Tabla4[[#This Row],[Propina]]+Tabla4[[#This Row],[Precio Cena]]</f>
        <v>3765</v>
      </c>
      <c r="D66" s="3">
        <f>INT(sala!E65)</f>
        <v>45017</v>
      </c>
      <c r="E66" s="4">
        <f>MOD( sala!D65,1)</f>
        <v>6.9444444445252884E-2</v>
      </c>
      <c r="F66" s="4">
        <f>MOD( sala!E65,1)</f>
        <v>0.1680555555576575</v>
      </c>
      <c r="G66" s="4">
        <f>Tabla5[[#This Row],[Hora de Salida]]-Tabla5[[#This Row],[Hora de Llegada]]+Tabla4[[#This Row],[Tiempo Extra]]</f>
        <v>9.8611111112404615E-2</v>
      </c>
      <c r="H66" s="5" t="str">
        <f>TEXT(Tabla4[[#This Row],[Preparación en horas]]/1440, "h:mm")</f>
        <v>1:22</v>
      </c>
      <c r="I66" s="4">
        <f>IF(Tabla5[[#This Row],[Tiempo Permanencia]]-Tabla5[[#This Row],[Tiempo de Preparación ]]&gt;=0,Tabla5[[#This Row],[Tiempo Permanencia]]-Tabla5[[#This Row],[Tiempo de Preparación ]],0)</f>
        <v>4.1666666667960171E-2</v>
      </c>
      <c r="J66" s="5" t="str">
        <f>IF(Tabla5[[#This Row],[Tiempo de Degustación]]=0,"No Cobrada","Cobrada")</f>
        <v>Cobrada</v>
      </c>
      <c r="K66" s="5" cm="1">
        <f t="array" ref="K66">SUM(IF(Tabla5[[#This Row],[Orden Cobrada]]="Cobrada",IF(Cocina!A:A=Tabla5[[#This Row],[Nº Orden]],Cocina!F:F*Cocina!G:G,0),-Tabla6[[#This Row],[Precio Cena]]))</f>
        <v>288</v>
      </c>
      <c r="L66" s="5">
        <f>IF(Tabla5[[#This Row],[Orden Cobrada]]="Cobrada",Tabla5[[#This Row],[Ganancia Bruta]]-Tabla6[[#This Row],[Coste Cena]],-Tabla6[[#This Row],[Precio Cena]]+Tabla6[[#This Row],[Coste Cena]])</f>
        <v>111</v>
      </c>
      <c r="M66" s="10">
        <f>IF(Tabla5[[#This Row],[Orden Cobrada]]="Cobrada",((Tabla5[[#This Row],[Ganancia Neta]]/Tabla5[[#This Row],[Ganancia Bruta]])*100)/100,-((Tabla5[[#This Row],[Ganancia Neta]]/Tabla5[[#This Row],[Ganancia Bruta]]*100)/100))</f>
        <v>0.38541666666666674</v>
      </c>
      <c r="N66" s="5" t="str">
        <f>sala!F65</f>
        <v>Mesero_5</v>
      </c>
      <c r="AY66" cm="1">
        <f t="array" ref="AY66">SUM(IF(Cocina!A:A=Tabla5[[#This Row],[Nº Orden]],Cocina!F:F*Cocina!G:G,0))</f>
        <v>288</v>
      </c>
      <c r="AZ66" cm="1">
        <f t="array" ref="AZ66">SUM(IF(Cocina!A:A=Tabla5[[#This Row],[Nº Orden]],Cocina!E:E*Cocina!G:G,0))</f>
        <v>177</v>
      </c>
      <c r="BB66" t="str">
        <f>MID(Tabla4[[#This Row],[Cliente]], SEARCH("_", Tabla4[[#This Row],[Cliente]]) + 1, LEN(Tabla4[[#This Row],[Cliente]]) - SEARCH("_",Tabla4[[#This Row],[Cliente]]))</f>
        <v>265</v>
      </c>
      <c r="BC66" t="str">
        <f>sala!B65</f>
        <v>Cliente_265</v>
      </c>
      <c r="BD66" s="1">
        <f>sala!D65</f>
        <v>45017.069444444445</v>
      </c>
      <c r="BE66" s="1">
        <f>sala!E65</f>
        <v>45017.168055555558</v>
      </c>
      <c r="BF66">
        <f>sala!K65</f>
        <v>64</v>
      </c>
      <c r="BG66">
        <f>sala!I65</f>
        <v>3477</v>
      </c>
      <c r="BH66" cm="1">
        <f t="array" ref="BH66">SUM(IF(Cocina!A:A=Tabla4[[#This Row],[Número de Orden]],Cocina!F:F*Cocina!G:G,0))</f>
        <v>288</v>
      </c>
      <c r="BI66" t="str">
        <f>sala!J65</f>
        <v>Reservada</v>
      </c>
      <c r="BJ66" s="4" t="str">
        <f>IF(Tabla4[[#This Row],[Estado mesa]]="Ocupada","00:15","00:00")</f>
        <v>00:00</v>
      </c>
      <c r="BK66" cm="1">
        <f t="array" ref="BK66">SUM(IF(Cocina!A:A=Tabla4[[#This Row],[Número de Orden]],Cocina!H:H,0))</f>
        <v>82</v>
      </c>
    </row>
    <row r="67" spans="1:63" x14ac:dyDescent="0.3">
      <c r="A67" s="8" t="str">
        <f>MID(Tabla4[[#This Row],[Cliente]], SEARCH("_", Tabla4[[#This Row],[Cliente]]) + 1, LEN(Tabla4[[#This Row],[Cliente]]) - SEARCH("_",Tabla4[[#This Row],[Cliente]]))</f>
        <v>946</v>
      </c>
      <c r="B67">
        <f>sala!K66</f>
        <v>65</v>
      </c>
      <c r="C67">
        <f>Tabla4[[#This Row],[Propina]]+Tabla4[[#This Row],[Precio Cena]]</f>
        <v>336</v>
      </c>
      <c r="D67" s="3">
        <f>INT(sala!E66)</f>
        <v>45017</v>
      </c>
      <c r="E67" s="4">
        <f>MOD( sala!D66,1)</f>
        <v>7.9166666670062114E-2</v>
      </c>
      <c r="F67" s="4">
        <f>MOD( sala!E66,1)</f>
        <v>0.12708333333284827</v>
      </c>
      <c r="G67" s="4">
        <f>Tabla5[[#This Row],[Hora de Salida]]-Tabla5[[#This Row],[Hora de Llegada]]+Tabla4[[#This Row],[Tiempo Extra]]</f>
        <v>5.833333332945282E-2</v>
      </c>
      <c r="H67" s="5" t="str">
        <f>TEXT(Tabla4[[#This Row],[Preparación en horas]]/1440, "h:mm")</f>
        <v>2:35</v>
      </c>
      <c r="I67" s="4">
        <f>IF(Tabla5[[#This Row],[Tiempo Permanencia]]-Tabla5[[#This Row],[Tiempo de Preparación ]]&gt;=0,Tabla5[[#This Row],[Tiempo Permanencia]]-Tabla5[[#This Row],[Tiempo de Preparación ]],0)</f>
        <v>0</v>
      </c>
      <c r="J67" s="5" t="str">
        <f>IF(Tabla5[[#This Row],[Tiempo de Degustación]]=0,"No Cobrada","Cobrada")</f>
        <v>No Cobrada</v>
      </c>
      <c r="K67" s="5" cm="1">
        <f t="array" ref="K67">SUM(IF(Tabla5[[#This Row],[Orden Cobrada]]="Cobrada",IF(Cocina!A:A=Tabla5[[#This Row],[Nº Orden]],Cocina!F:F*Cocina!G:G,0),-Tabla6[[#This Row],[Precio Cena]]))</f>
        <v>-196</v>
      </c>
      <c r="L67" s="5">
        <f>IF(Tabla5[[#This Row],[Orden Cobrada]]="Cobrada",Tabla5[[#This Row],[Ganancia Bruta]]-Tabla6[[#This Row],[Coste Cena]],-Tabla6[[#This Row],[Precio Cena]]+Tabla6[[#This Row],[Coste Cena]])</f>
        <v>-78</v>
      </c>
      <c r="M67" s="10">
        <f>IF(Tabla5[[#This Row],[Orden Cobrada]]="Cobrada",((Tabla5[[#This Row],[Ganancia Neta]]/Tabla5[[#This Row],[Ganancia Bruta]])*100)/100,-((Tabla5[[#This Row],[Ganancia Neta]]/Tabla5[[#This Row],[Ganancia Bruta]]*100)/100))</f>
        <v>-0.39795918367346933</v>
      </c>
      <c r="N67" s="5" t="str">
        <f>sala!F66</f>
        <v>Mesero_3</v>
      </c>
      <c r="AY67" cm="1">
        <f t="array" ref="AY67">SUM(IF(Cocina!A:A=Tabla5[[#This Row],[Nº Orden]],Cocina!F:F*Cocina!G:G,0))</f>
        <v>196</v>
      </c>
      <c r="AZ67" cm="1">
        <f t="array" ref="AZ67">SUM(IF(Cocina!A:A=Tabla5[[#This Row],[Nº Orden]],Cocina!E:E*Cocina!G:G,0))</f>
        <v>118</v>
      </c>
      <c r="BB67" t="str">
        <f>MID(Tabla4[[#This Row],[Cliente]], SEARCH("_", Tabla4[[#This Row],[Cliente]]) + 1, LEN(Tabla4[[#This Row],[Cliente]]) - SEARCH("_",Tabla4[[#This Row],[Cliente]]))</f>
        <v>946</v>
      </c>
      <c r="BC67" t="str">
        <f>sala!B66</f>
        <v>Cliente_946</v>
      </c>
      <c r="BD67" s="1">
        <f>sala!D66</f>
        <v>45017.07916666667</v>
      </c>
      <c r="BE67" s="1">
        <f>sala!E66</f>
        <v>45017.127083333333</v>
      </c>
      <c r="BF67">
        <f>sala!K66</f>
        <v>65</v>
      </c>
      <c r="BG67">
        <f>sala!I66</f>
        <v>140</v>
      </c>
      <c r="BH67" cm="1">
        <f t="array" ref="BH67">SUM(IF(Cocina!A:A=Tabla4[[#This Row],[Número de Orden]],Cocina!F:F*Cocina!G:G,0))</f>
        <v>196</v>
      </c>
      <c r="BI67" t="str">
        <f>sala!J66</f>
        <v>Ocupada</v>
      </c>
      <c r="BJ67" s="4" t="str">
        <f>IF(Tabla4[[#This Row],[Estado mesa]]="Ocupada","00:15","00:00")</f>
        <v>00:15</v>
      </c>
      <c r="BK67" cm="1">
        <f t="array" ref="BK67">SUM(IF(Cocina!A:A=Tabla4[[#This Row],[Número de Orden]],Cocina!H:H,0))</f>
        <v>155</v>
      </c>
    </row>
    <row r="68" spans="1:63" x14ac:dyDescent="0.3">
      <c r="A68" s="8" t="str">
        <f>MID(Tabla4[[#This Row],[Cliente]], SEARCH("_", Tabla4[[#This Row],[Cliente]]) + 1, LEN(Tabla4[[#This Row],[Cliente]]) - SEARCH("_",Tabla4[[#This Row],[Cliente]]))</f>
        <v>614</v>
      </c>
      <c r="B68">
        <f>sala!K67</f>
        <v>66</v>
      </c>
      <c r="C68">
        <f>Tabla4[[#This Row],[Propina]]+Tabla4[[#This Row],[Precio Cena]]</f>
        <v>1298</v>
      </c>
      <c r="D68" s="3">
        <f>INT(sala!E67)</f>
        <v>45017</v>
      </c>
      <c r="E68" s="4">
        <f>MOD( sala!D67,1)</f>
        <v>0.10277777777810115</v>
      </c>
      <c r="F68" s="4">
        <f>MOD( sala!E67,1)</f>
        <v>0.26249999999708962</v>
      </c>
      <c r="G68" s="4">
        <f>Tabla5[[#This Row],[Hora de Salida]]-Tabla5[[#This Row],[Hora de Llegada]]+Tabla4[[#This Row],[Tiempo Extra]]</f>
        <v>0.15972222221898846</v>
      </c>
      <c r="H68" s="5" t="str">
        <f>TEXT(Tabla4[[#This Row],[Preparación en horas]]/1440, "h:mm")</f>
        <v>1:54</v>
      </c>
      <c r="I68" s="4">
        <f>IF(Tabla5[[#This Row],[Tiempo Permanencia]]-Tabla5[[#This Row],[Tiempo de Preparación ]]&gt;=0,Tabla5[[#This Row],[Tiempo Permanencia]]-Tabla5[[#This Row],[Tiempo de Preparación ]],0)</f>
        <v>8.05555555523218E-2</v>
      </c>
      <c r="J68" s="5" t="str">
        <f>IF(Tabla5[[#This Row],[Tiempo de Degustación]]=0,"No Cobrada","Cobrada")</f>
        <v>Cobrada</v>
      </c>
      <c r="K68" s="5" cm="1">
        <f t="array" ref="K68">SUM(IF(Tabla5[[#This Row],[Orden Cobrada]]="Cobrada",IF(Cocina!A:A=Tabla5[[#This Row],[Nº Orden]],Cocina!F:F*Cocina!G:G,0),-Tabla6[[#This Row],[Precio Cena]]))</f>
        <v>210</v>
      </c>
      <c r="L68" s="5">
        <f>IF(Tabla5[[#This Row],[Orden Cobrada]]="Cobrada",Tabla5[[#This Row],[Ganancia Bruta]]-Tabla6[[#This Row],[Coste Cena]],-Tabla6[[#This Row],[Precio Cena]]+Tabla6[[#This Row],[Coste Cena]])</f>
        <v>83</v>
      </c>
      <c r="M68" s="10">
        <f>IF(Tabla5[[#This Row],[Orden Cobrada]]="Cobrada",((Tabla5[[#This Row],[Ganancia Neta]]/Tabla5[[#This Row],[Ganancia Bruta]])*100)/100,-((Tabla5[[#This Row],[Ganancia Neta]]/Tabla5[[#This Row],[Ganancia Bruta]]*100)/100))</f>
        <v>0.39523809523809528</v>
      </c>
      <c r="N68" s="5" t="str">
        <f>sala!F67</f>
        <v>Mesero_5</v>
      </c>
      <c r="AY68" cm="1">
        <f t="array" ref="AY68">SUM(IF(Cocina!A:A=Tabla5[[#This Row],[Nº Orden]],Cocina!F:F*Cocina!G:G,0))</f>
        <v>210</v>
      </c>
      <c r="AZ68" cm="1">
        <f t="array" ref="AZ68">SUM(IF(Cocina!A:A=Tabla5[[#This Row],[Nº Orden]],Cocina!E:E*Cocina!G:G,0))</f>
        <v>127</v>
      </c>
      <c r="BB68" t="str">
        <f>MID(Tabla4[[#This Row],[Cliente]], SEARCH("_", Tabla4[[#This Row],[Cliente]]) + 1, LEN(Tabla4[[#This Row],[Cliente]]) - SEARCH("_",Tabla4[[#This Row],[Cliente]]))</f>
        <v>614</v>
      </c>
      <c r="BC68" t="str">
        <f>sala!B67</f>
        <v>Cliente_614</v>
      </c>
      <c r="BD68" s="1">
        <f>sala!D67</f>
        <v>45017.102777777778</v>
      </c>
      <c r="BE68" s="1">
        <f>sala!E67</f>
        <v>45017.262499999997</v>
      </c>
      <c r="BF68">
        <f>sala!K67</f>
        <v>66</v>
      </c>
      <c r="BG68">
        <f>sala!I67</f>
        <v>1088</v>
      </c>
      <c r="BH68" cm="1">
        <f t="array" ref="BH68">SUM(IF(Cocina!A:A=Tabla4[[#This Row],[Número de Orden]],Cocina!F:F*Cocina!G:G,0))</f>
        <v>210</v>
      </c>
      <c r="BI68" t="str">
        <f>sala!J67</f>
        <v>Reservada</v>
      </c>
      <c r="BJ68" s="4" t="str">
        <f>IF(Tabla4[[#This Row],[Estado mesa]]="Ocupada","00:15","00:00")</f>
        <v>00:00</v>
      </c>
      <c r="BK68" cm="1">
        <f t="array" ref="BK68">SUM(IF(Cocina!A:A=Tabla4[[#This Row],[Número de Orden]],Cocina!H:H,0))</f>
        <v>114</v>
      </c>
    </row>
    <row r="69" spans="1:63" x14ac:dyDescent="0.3">
      <c r="A69" s="8" t="str">
        <f>MID(Tabla4[[#This Row],[Cliente]], SEARCH("_", Tabla4[[#This Row],[Cliente]]) + 1, LEN(Tabla4[[#This Row],[Cliente]]) - SEARCH("_",Tabla4[[#This Row],[Cliente]]))</f>
        <v>352</v>
      </c>
      <c r="B69">
        <f>sala!K68</f>
        <v>67</v>
      </c>
      <c r="C69">
        <f>Tabla4[[#This Row],[Propina]]+Tabla4[[#This Row],[Precio Cena]]</f>
        <v>2381</v>
      </c>
      <c r="D69" s="3">
        <f>INT(sala!E68)</f>
        <v>45017</v>
      </c>
      <c r="E69" s="4">
        <f>MOD( sala!D68,1)</f>
        <v>0.15625</v>
      </c>
      <c r="F69" s="4">
        <f>MOD( sala!E68,1)</f>
        <v>0.21527777778101154</v>
      </c>
      <c r="G69" s="4">
        <f>Tabla5[[#This Row],[Hora de Salida]]-Tabla5[[#This Row],[Hora de Llegada]]+Tabla4[[#This Row],[Tiempo Extra]]</f>
        <v>5.9027777781011537E-2</v>
      </c>
      <c r="H69" s="5" t="str">
        <f>TEXT(Tabla4[[#This Row],[Preparación en horas]]/1440, "h:mm")</f>
        <v>2:11</v>
      </c>
      <c r="I69" s="4">
        <f>IF(Tabla5[[#This Row],[Tiempo Permanencia]]-Tabla5[[#This Row],[Tiempo de Preparación ]]&gt;=0,Tabla5[[#This Row],[Tiempo Permanencia]]-Tabla5[[#This Row],[Tiempo de Preparación ]],0)</f>
        <v>0</v>
      </c>
      <c r="J69" s="5" t="str">
        <f>IF(Tabla5[[#This Row],[Tiempo de Degustación]]=0,"No Cobrada","Cobrada")</f>
        <v>No Cobrada</v>
      </c>
      <c r="K69" s="5" cm="1">
        <f t="array" ref="K69">SUM(IF(Tabla5[[#This Row],[Orden Cobrada]]="Cobrada",IF(Cocina!A:A=Tabla5[[#This Row],[Nº Orden]],Cocina!F:F*Cocina!G:G,0),-Tabla6[[#This Row],[Precio Cena]]))</f>
        <v>-256</v>
      </c>
      <c r="L69" s="5">
        <f>IF(Tabla5[[#This Row],[Orden Cobrada]]="Cobrada",Tabla5[[#This Row],[Ganancia Bruta]]-Tabla6[[#This Row],[Coste Cena]],-Tabla6[[#This Row],[Precio Cena]]+Tabla6[[#This Row],[Coste Cena]])</f>
        <v>-102</v>
      </c>
      <c r="M69" s="10">
        <f>IF(Tabla5[[#This Row],[Orden Cobrada]]="Cobrada",((Tabla5[[#This Row],[Ganancia Neta]]/Tabla5[[#This Row],[Ganancia Bruta]])*100)/100,-((Tabla5[[#This Row],[Ganancia Neta]]/Tabla5[[#This Row],[Ganancia Bruta]]*100)/100))</f>
        <v>-0.3984375</v>
      </c>
      <c r="N69" s="5" t="str">
        <f>sala!F68</f>
        <v>Mesero_2</v>
      </c>
      <c r="AY69" cm="1">
        <f t="array" ref="AY69">SUM(IF(Cocina!A:A=Tabla5[[#This Row],[Nº Orden]],Cocina!F:F*Cocina!G:G,0))</f>
        <v>256</v>
      </c>
      <c r="AZ69" cm="1">
        <f t="array" ref="AZ69">SUM(IF(Cocina!A:A=Tabla5[[#This Row],[Nº Orden]],Cocina!E:E*Cocina!G:G,0))</f>
        <v>154</v>
      </c>
      <c r="BB69" t="str">
        <f>MID(Tabla4[[#This Row],[Cliente]], SEARCH("_", Tabla4[[#This Row],[Cliente]]) + 1, LEN(Tabla4[[#This Row],[Cliente]]) - SEARCH("_",Tabla4[[#This Row],[Cliente]]))</f>
        <v>352</v>
      </c>
      <c r="BC69" t="str">
        <f>sala!B68</f>
        <v>Cliente_352</v>
      </c>
      <c r="BD69" s="1">
        <f>sala!D68</f>
        <v>45017.15625</v>
      </c>
      <c r="BE69" s="1">
        <f>sala!E68</f>
        <v>45017.215277777781</v>
      </c>
      <c r="BF69">
        <f>sala!K68</f>
        <v>67</v>
      </c>
      <c r="BG69">
        <f>sala!I68</f>
        <v>2125</v>
      </c>
      <c r="BH69" cm="1">
        <f t="array" ref="BH69">SUM(IF(Cocina!A:A=Tabla4[[#This Row],[Número de Orden]],Cocina!F:F*Cocina!G:G,0))</f>
        <v>256</v>
      </c>
      <c r="BI69" t="str">
        <f>sala!J68</f>
        <v>Reservada</v>
      </c>
      <c r="BJ69" s="4" t="str">
        <f>IF(Tabla4[[#This Row],[Estado mesa]]="Ocupada","00:15","00:00")</f>
        <v>00:00</v>
      </c>
      <c r="BK69" cm="1">
        <f t="array" ref="BK69">SUM(IF(Cocina!A:A=Tabla4[[#This Row],[Número de Orden]],Cocina!H:H,0))</f>
        <v>131</v>
      </c>
    </row>
    <row r="70" spans="1:63" x14ac:dyDescent="0.3">
      <c r="A70" s="8" t="str">
        <f>MID(Tabla4[[#This Row],[Cliente]], SEARCH("_", Tabla4[[#This Row],[Cliente]]) + 1, LEN(Tabla4[[#This Row],[Cliente]]) - SEARCH("_",Tabla4[[#This Row],[Cliente]]))</f>
        <v>784</v>
      </c>
      <c r="B70">
        <f>sala!K69</f>
        <v>68</v>
      </c>
      <c r="C70">
        <f>Tabla4[[#This Row],[Propina]]+Tabla4[[#This Row],[Precio Cena]]</f>
        <v>4783</v>
      </c>
      <c r="D70" s="3">
        <f>INT(sala!E69)</f>
        <v>45017</v>
      </c>
      <c r="E70" s="4">
        <f>MOD( sala!D69,1)</f>
        <v>1.3888888861401938E-3</v>
      </c>
      <c r="F70" s="4">
        <f>MOD( sala!E69,1)</f>
        <v>0.13541666666424135</v>
      </c>
      <c r="G70" s="4">
        <f>Tabla5[[#This Row],[Hora de Salida]]-Tabla5[[#This Row],[Hora de Llegada]]+Tabla4[[#This Row],[Tiempo Extra]]</f>
        <v>0.14444444444476781</v>
      </c>
      <c r="H70" s="5" t="str">
        <f>TEXT(Tabla4[[#This Row],[Preparación en horas]]/1440, "h:mm")</f>
        <v>2:25</v>
      </c>
      <c r="I70" s="4">
        <f>IF(Tabla5[[#This Row],[Tiempo Permanencia]]-Tabla5[[#This Row],[Tiempo de Preparación ]]&gt;=0,Tabla5[[#This Row],[Tiempo Permanencia]]-Tabla5[[#This Row],[Tiempo de Preparación ]],0)</f>
        <v>4.3750000000323364E-2</v>
      </c>
      <c r="J70" s="5" t="str">
        <f>IF(Tabla5[[#This Row],[Tiempo de Degustación]]=0,"No Cobrada","Cobrada")</f>
        <v>Cobrada</v>
      </c>
      <c r="K70" s="5" cm="1">
        <f t="array" ref="K70">SUM(IF(Tabla5[[#This Row],[Orden Cobrada]]="Cobrada",IF(Cocina!A:A=Tabla5[[#This Row],[Nº Orden]],Cocina!F:F*Cocina!G:G,0),-Tabla6[[#This Row],[Precio Cena]]))</f>
        <v>218</v>
      </c>
      <c r="L70" s="5">
        <f>IF(Tabla5[[#This Row],[Orden Cobrada]]="Cobrada",Tabla5[[#This Row],[Ganancia Bruta]]-Tabla6[[#This Row],[Coste Cena]],-Tabla6[[#This Row],[Precio Cena]]+Tabla6[[#This Row],[Coste Cena]])</f>
        <v>88</v>
      </c>
      <c r="M70" s="10">
        <f>IF(Tabla5[[#This Row],[Orden Cobrada]]="Cobrada",((Tabla5[[#This Row],[Ganancia Neta]]/Tabla5[[#This Row],[Ganancia Bruta]])*100)/100,-((Tabla5[[#This Row],[Ganancia Neta]]/Tabla5[[#This Row],[Ganancia Bruta]]*100)/100))</f>
        <v>0.40366972477064222</v>
      </c>
      <c r="N70" s="5" t="str">
        <f>sala!F69</f>
        <v>Mesero_5</v>
      </c>
      <c r="AY70" cm="1">
        <f t="array" ref="AY70">SUM(IF(Cocina!A:A=Tabla5[[#This Row],[Nº Orden]],Cocina!F:F*Cocina!G:G,0))</f>
        <v>218</v>
      </c>
      <c r="AZ70" cm="1">
        <f t="array" ref="AZ70">SUM(IF(Cocina!A:A=Tabla5[[#This Row],[Nº Orden]],Cocina!E:E*Cocina!G:G,0))</f>
        <v>130</v>
      </c>
      <c r="BB70" t="str">
        <f>MID(Tabla4[[#This Row],[Cliente]], SEARCH("_", Tabla4[[#This Row],[Cliente]]) + 1, LEN(Tabla4[[#This Row],[Cliente]]) - SEARCH("_",Tabla4[[#This Row],[Cliente]]))</f>
        <v>784</v>
      </c>
      <c r="BC70" t="str">
        <f>sala!B69</f>
        <v>Cliente_784</v>
      </c>
      <c r="BD70" s="1">
        <f>sala!D69</f>
        <v>45017.001388888886</v>
      </c>
      <c r="BE70" s="1">
        <f>sala!E69</f>
        <v>45017.135416666664</v>
      </c>
      <c r="BF70">
        <f>sala!K69</f>
        <v>68</v>
      </c>
      <c r="BG70">
        <f>sala!I69</f>
        <v>4565</v>
      </c>
      <c r="BH70" cm="1">
        <f t="array" ref="BH70">SUM(IF(Cocina!A:A=Tabla4[[#This Row],[Número de Orden]],Cocina!F:F*Cocina!G:G,0))</f>
        <v>218</v>
      </c>
      <c r="BI70" t="str">
        <f>sala!J69</f>
        <v>Ocupada</v>
      </c>
      <c r="BJ70" s="4" t="str">
        <f>IF(Tabla4[[#This Row],[Estado mesa]]="Ocupada","00:15","00:00")</f>
        <v>00:15</v>
      </c>
      <c r="BK70" cm="1">
        <f t="array" ref="BK70">SUM(IF(Cocina!A:A=Tabla4[[#This Row],[Número de Orden]],Cocina!H:H,0))</f>
        <v>145</v>
      </c>
    </row>
    <row r="71" spans="1:63" x14ac:dyDescent="0.3">
      <c r="A71" s="8" t="str">
        <f>MID(Tabla4[[#This Row],[Cliente]], SEARCH("_", Tabla4[[#This Row],[Cliente]]) + 1, LEN(Tabla4[[#This Row],[Cliente]]) - SEARCH("_",Tabla4[[#This Row],[Cliente]]))</f>
        <v>118</v>
      </c>
      <c r="B71">
        <f>sala!K70</f>
        <v>69</v>
      </c>
      <c r="C71">
        <f>Tabla4[[#This Row],[Propina]]+Tabla4[[#This Row],[Precio Cena]]</f>
        <v>3383</v>
      </c>
      <c r="D71" s="3">
        <f>INT(sala!E70)</f>
        <v>45017</v>
      </c>
      <c r="E71" s="4">
        <f>MOD( sala!D70,1)</f>
        <v>8.4722222221898846E-2</v>
      </c>
      <c r="F71" s="4">
        <f>MOD( sala!E70,1)</f>
        <v>0.16458333333139308</v>
      </c>
      <c r="G71" s="4">
        <f>Tabla5[[#This Row],[Hora de Salida]]-Tabla5[[#This Row],[Hora de Llegada]]+Tabla4[[#This Row],[Tiempo Extra]]</f>
        <v>7.9861111109494232E-2</v>
      </c>
      <c r="H71" s="5" t="str">
        <f>TEXT(Tabla4[[#This Row],[Preparación en horas]]/1440, "h:mm")</f>
        <v>1:32</v>
      </c>
      <c r="I71" s="4">
        <f>IF(Tabla5[[#This Row],[Tiempo Permanencia]]-Tabla5[[#This Row],[Tiempo de Preparación ]]&gt;=0,Tabla5[[#This Row],[Tiempo Permanencia]]-Tabla5[[#This Row],[Tiempo de Preparación ]],0)</f>
        <v>1.5972222220605348E-2</v>
      </c>
      <c r="J71" s="5" t="str">
        <f>IF(Tabla5[[#This Row],[Tiempo de Degustación]]=0,"No Cobrada","Cobrada")</f>
        <v>Cobrada</v>
      </c>
      <c r="K71" s="5" cm="1">
        <f t="array" ref="K71">SUM(IF(Tabla5[[#This Row],[Orden Cobrada]]="Cobrada",IF(Cocina!A:A=Tabla5[[#This Row],[Nº Orden]],Cocina!F:F*Cocina!G:G,0),-Tabla6[[#This Row],[Precio Cena]]))</f>
        <v>234</v>
      </c>
      <c r="L71" s="5">
        <f>IF(Tabla5[[#This Row],[Orden Cobrada]]="Cobrada",Tabla5[[#This Row],[Ganancia Bruta]]-Tabla6[[#This Row],[Coste Cena]],-Tabla6[[#This Row],[Precio Cena]]+Tabla6[[#This Row],[Coste Cena]])</f>
        <v>93</v>
      </c>
      <c r="M71" s="10">
        <f>IF(Tabla5[[#This Row],[Orden Cobrada]]="Cobrada",((Tabla5[[#This Row],[Ganancia Neta]]/Tabla5[[#This Row],[Ganancia Bruta]])*100)/100,-((Tabla5[[#This Row],[Ganancia Neta]]/Tabla5[[#This Row],[Ganancia Bruta]]*100)/100))</f>
        <v>0.39743589743589747</v>
      </c>
      <c r="N71" s="5" t="str">
        <f>sala!F70</f>
        <v>Mesero_2</v>
      </c>
      <c r="AY71" cm="1">
        <f t="array" ref="AY71">SUM(IF(Cocina!A:A=Tabla5[[#This Row],[Nº Orden]],Cocina!F:F*Cocina!G:G,0))</f>
        <v>234</v>
      </c>
      <c r="AZ71" cm="1">
        <f t="array" ref="AZ71">SUM(IF(Cocina!A:A=Tabla5[[#This Row],[Nº Orden]],Cocina!E:E*Cocina!G:G,0))</f>
        <v>141</v>
      </c>
      <c r="BB71" t="str">
        <f>MID(Tabla4[[#This Row],[Cliente]], SEARCH("_", Tabla4[[#This Row],[Cliente]]) + 1, LEN(Tabla4[[#This Row],[Cliente]]) - SEARCH("_",Tabla4[[#This Row],[Cliente]]))</f>
        <v>118</v>
      </c>
      <c r="BC71" t="str">
        <f>sala!B70</f>
        <v>Cliente_118</v>
      </c>
      <c r="BD71" s="1">
        <f>sala!D70</f>
        <v>45017.084722222222</v>
      </c>
      <c r="BE71" s="1">
        <f>sala!E70</f>
        <v>45017.164583333331</v>
      </c>
      <c r="BF71">
        <f>sala!K70</f>
        <v>69</v>
      </c>
      <c r="BG71">
        <f>sala!I70</f>
        <v>3149</v>
      </c>
      <c r="BH71" cm="1">
        <f t="array" ref="BH71">SUM(IF(Cocina!A:A=Tabla4[[#This Row],[Número de Orden]],Cocina!F:F*Cocina!G:G,0))</f>
        <v>234</v>
      </c>
      <c r="BI71" t="str">
        <f>sala!J70</f>
        <v>Libre</v>
      </c>
      <c r="BJ71" s="4" t="str">
        <f>IF(Tabla4[[#This Row],[Estado mesa]]="Ocupada","00:15","00:00")</f>
        <v>00:00</v>
      </c>
      <c r="BK71" cm="1">
        <f t="array" ref="BK71">SUM(IF(Cocina!A:A=Tabla4[[#This Row],[Número de Orden]],Cocina!H:H,0))</f>
        <v>92</v>
      </c>
    </row>
    <row r="72" spans="1:63" x14ac:dyDescent="0.3">
      <c r="A72" s="8" t="str">
        <f>MID(Tabla4[[#This Row],[Cliente]], SEARCH("_", Tabla4[[#This Row],[Cliente]]) + 1, LEN(Tabla4[[#This Row],[Cliente]]) - SEARCH("_",Tabla4[[#This Row],[Cliente]]))</f>
        <v>61</v>
      </c>
      <c r="B72">
        <f>sala!K71</f>
        <v>70</v>
      </c>
      <c r="C72">
        <f>Tabla4[[#This Row],[Propina]]+Tabla4[[#This Row],[Precio Cena]]</f>
        <v>2944</v>
      </c>
      <c r="D72" s="3">
        <f>INT(sala!E71)</f>
        <v>45017</v>
      </c>
      <c r="E72" s="4">
        <f>MOD( sala!D71,1)</f>
        <v>7.6388888919609599E-3</v>
      </c>
      <c r="F72" s="4">
        <f>MOD( sala!E71,1)</f>
        <v>5.694444444088731E-2</v>
      </c>
      <c r="G72" s="4">
        <f>Tabla5[[#This Row],[Hora de Salida]]-Tabla5[[#This Row],[Hora de Llegada]]+Tabla4[[#This Row],[Tiempo Extra]]</f>
        <v>4.930555554892635E-2</v>
      </c>
      <c r="H72" s="5" t="str">
        <f>TEXT(Tabla4[[#This Row],[Preparación en horas]]/1440, "h:mm")</f>
        <v>0:40</v>
      </c>
      <c r="I72" s="4">
        <f>IF(Tabla5[[#This Row],[Tiempo Permanencia]]-Tabla5[[#This Row],[Tiempo de Preparación ]]&gt;=0,Tabla5[[#This Row],[Tiempo Permanencia]]-Tabla5[[#This Row],[Tiempo de Preparación ]],0)</f>
        <v>2.1527777771148573E-2</v>
      </c>
      <c r="J72" s="5" t="str">
        <f>IF(Tabla5[[#This Row],[Tiempo de Degustación]]=0,"No Cobrada","Cobrada")</f>
        <v>Cobrada</v>
      </c>
      <c r="K72" s="5" cm="1">
        <f t="array" ref="K72">SUM(IF(Tabla5[[#This Row],[Orden Cobrada]]="Cobrada",IF(Cocina!A:A=Tabla5[[#This Row],[Nº Orden]],Cocina!F:F*Cocina!G:G,0),-Tabla6[[#This Row],[Precio Cena]]))</f>
        <v>118</v>
      </c>
      <c r="L72" s="5">
        <f>IF(Tabla5[[#This Row],[Orden Cobrada]]="Cobrada",Tabla5[[#This Row],[Ganancia Bruta]]-Tabla6[[#This Row],[Coste Cena]],-Tabla6[[#This Row],[Precio Cena]]+Tabla6[[#This Row],[Coste Cena]])</f>
        <v>48</v>
      </c>
      <c r="M72" s="10">
        <f>IF(Tabla5[[#This Row],[Orden Cobrada]]="Cobrada",((Tabla5[[#This Row],[Ganancia Neta]]/Tabla5[[#This Row],[Ganancia Bruta]])*100)/100,-((Tabla5[[#This Row],[Ganancia Neta]]/Tabla5[[#This Row],[Ganancia Bruta]]*100)/100))</f>
        <v>0.40677966101694918</v>
      </c>
      <c r="N72" s="5" t="str">
        <f>sala!F71</f>
        <v>Mesero_4</v>
      </c>
      <c r="AY72" cm="1">
        <f t="array" ref="AY72">SUM(IF(Cocina!A:A=Tabla5[[#This Row],[Nº Orden]],Cocina!F:F*Cocina!G:G,0))</f>
        <v>118</v>
      </c>
      <c r="AZ72" cm="1">
        <f t="array" ref="AZ72">SUM(IF(Cocina!A:A=Tabla5[[#This Row],[Nº Orden]],Cocina!E:E*Cocina!G:G,0))</f>
        <v>70</v>
      </c>
      <c r="BB72" t="str">
        <f>MID(Tabla4[[#This Row],[Cliente]], SEARCH("_", Tabla4[[#This Row],[Cliente]]) + 1, LEN(Tabla4[[#This Row],[Cliente]]) - SEARCH("_",Tabla4[[#This Row],[Cliente]]))</f>
        <v>61</v>
      </c>
      <c r="BC72" t="str">
        <f>sala!B71</f>
        <v>Cliente_61</v>
      </c>
      <c r="BD72" s="1">
        <f>sala!D71</f>
        <v>45017.007638888892</v>
      </c>
      <c r="BE72" s="1">
        <f>sala!E71</f>
        <v>45017.056944444441</v>
      </c>
      <c r="BF72">
        <f>sala!K71</f>
        <v>70</v>
      </c>
      <c r="BG72">
        <f>sala!I71</f>
        <v>2826</v>
      </c>
      <c r="BH72" cm="1">
        <f t="array" ref="BH72">SUM(IF(Cocina!A:A=Tabla4[[#This Row],[Número de Orden]],Cocina!F:F*Cocina!G:G,0))</f>
        <v>118</v>
      </c>
      <c r="BI72" t="str">
        <f>sala!J71</f>
        <v>Libre</v>
      </c>
      <c r="BJ72" s="4" t="str">
        <f>IF(Tabla4[[#This Row],[Estado mesa]]="Ocupada","00:15","00:00")</f>
        <v>00:00</v>
      </c>
      <c r="BK72" cm="1">
        <f t="array" ref="BK72">SUM(IF(Cocina!A:A=Tabla4[[#This Row],[Número de Orden]],Cocina!H:H,0))</f>
        <v>40</v>
      </c>
    </row>
    <row r="73" spans="1:63" x14ac:dyDescent="0.3">
      <c r="A73" s="8" t="str">
        <f>MID(Tabla4[[#This Row],[Cliente]], SEARCH("_", Tabla4[[#This Row],[Cliente]]) + 1, LEN(Tabla4[[#This Row],[Cliente]]) - SEARCH("_",Tabla4[[#This Row],[Cliente]]))</f>
        <v>440</v>
      </c>
      <c r="B73">
        <f>sala!K72</f>
        <v>71</v>
      </c>
      <c r="C73">
        <f>Tabla4[[#This Row],[Propina]]+Tabla4[[#This Row],[Precio Cena]]</f>
        <v>2537</v>
      </c>
      <c r="D73" s="3">
        <f>INT(sala!E72)</f>
        <v>45017</v>
      </c>
      <c r="E73" s="4">
        <f>MOD( sala!D72,1)</f>
        <v>8.1250000002910383E-2</v>
      </c>
      <c r="F73" s="4">
        <f>MOD( sala!E72,1)</f>
        <v>0.24722222222044365</v>
      </c>
      <c r="G73" s="4">
        <f>Tabla5[[#This Row],[Hora de Salida]]-Tabla5[[#This Row],[Hora de Llegada]]+Tabla4[[#This Row],[Tiempo Extra]]</f>
        <v>0.17638888888419993</v>
      </c>
      <c r="H73" s="5" t="str">
        <f>TEXT(Tabla4[[#This Row],[Preparación en horas]]/1440, "h:mm")</f>
        <v>0:49</v>
      </c>
      <c r="I73" s="4">
        <f>IF(Tabla5[[#This Row],[Tiempo Permanencia]]-Tabla5[[#This Row],[Tiempo de Preparación ]]&gt;=0,Tabla5[[#This Row],[Tiempo Permanencia]]-Tabla5[[#This Row],[Tiempo de Preparación ]],0)</f>
        <v>0.14236111110642216</v>
      </c>
      <c r="J73" s="5" t="str">
        <f>IF(Tabla5[[#This Row],[Tiempo de Degustación]]=0,"No Cobrada","Cobrada")</f>
        <v>Cobrada</v>
      </c>
      <c r="K73" s="5" cm="1">
        <f t="array" ref="K73">SUM(IF(Tabla5[[#This Row],[Orden Cobrada]]="Cobrada",IF(Cocina!A:A=Tabla5[[#This Row],[Nº Orden]],Cocina!F:F*Cocina!G:G,0),-Tabla6[[#This Row],[Precio Cena]]))</f>
        <v>136</v>
      </c>
      <c r="L73" s="5">
        <f>IF(Tabla5[[#This Row],[Orden Cobrada]]="Cobrada",Tabla5[[#This Row],[Ganancia Bruta]]-Tabla6[[#This Row],[Coste Cena]],-Tabla6[[#This Row],[Precio Cena]]+Tabla6[[#This Row],[Coste Cena]])</f>
        <v>54</v>
      </c>
      <c r="M73" s="10">
        <f>IF(Tabla5[[#This Row],[Orden Cobrada]]="Cobrada",((Tabla5[[#This Row],[Ganancia Neta]]/Tabla5[[#This Row],[Ganancia Bruta]])*100)/100,-((Tabla5[[#This Row],[Ganancia Neta]]/Tabla5[[#This Row],[Ganancia Bruta]]*100)/100))</f>
        <v>0.39705882352941174</v>
      </c>
      <c r="N73" s="5" t="str">
        <f>sala!F72</f>
        <v>Mesero_3</v>
      </c>
      <c r="AY73" cm="1">
        <f t="array" ref="AY73">SUM(IF(Cocina!A:A=Tabla5[[#This Row],[Nº Orden]],Cocina!F:F*Cocina!G:G,0))</f>
        <v>136</v>
      </c>
      <c r="AZ73" cm="1">
        <f t="array" ref="AZ73">SUM(IF(Cocina!A:A=Tabla5[[#This Row],[Nº Orden]],Cocina!E:E*Cocina!G:G,0))</f>
        <v>82</v>
      </c>
      <c r="BB73" t="str">
        <f>MID(Tabla4[[#This Row],[Cliente]], SEARCH("_", Tabla4[[#This Row],[Cliente]]) + 1, LEN(Tabla4[[#This Row],[Cliente]]) - SEARCH("_",Tabla4[[#This Row],[Cliente]]))</f>
        <v>440</v>
      </c>
      <c r="BC73" t="str">
        <f>sala!B72</f>
        <v>Cliente_440</v>
      </c>
      <c r="BD73" s="1">
        <f>sala!D72</f>
        <v>45017.081250000003</v>
      </c>
      <c r="BE73" s="1">
        <f>sala!E72</f>
        <v>45017.24722222222</v>
      </c>
      <c r="BF73">
        <f>sala!K72</f>
        <v>71</v>
      </c>
      <c r="BG73">
        <f>sala!I72</f>
        <v>2401</v>
      </c>
      <c r="BH73" cm="1">
        <f t="array" ref="BH73">SUM(IF(Cocina!A:A=Tabla4[[#This Row],[Número de Orden]],Cocina!F:F*Cocina!G:G,0))</f>
        <v>136</v>
      </c>
      <c r="BI73" t="str">
        <f>sala!J72</f>
        <v>Ocupada</v>
      </c>
      <c r="BJ73" s="4" t="str">
        <f>IF(Tabla4[[#This Row],[Estado mesa]]="Ocupada","00:15","00:00")</f>
        <v>00:15</v>
      </c>
      <c r="BK73" cm="1">
        <f t="array" ref="BK73">SUM(IF(Cocina!A:A=Tabla4[[#This Row],[Número de Orden]],Cocina!H:H,0))</f>
        <v>49</v>
      </c>
    </row>
    <row r="74" spans="1:63" x14ac:dyDescent="0.3">
      <c r="A74" s="8" t="str">
        <f>MID(Tabla4[[#This Row],[Cliente]], SEARCH("_", Tabla4[[#This Row],[Cliente]]) + 1, LEN(Tabla4[[#This Row],[Cliente]]) - SEARCH("_",Tabla4[[#This Row],[Cliente]]))</f>
        <v>258</v>
      </c>
      <c r="B74">
        <f>sala!K73</f>
        <v>72</v>
      </c>
      <c r="C74">
        <f>Tabla4[[#This Row],[Propina]]+Tabla4[[#This Row],[Precio Cena]]</f>
        <v>1603</v>
      </c>
      <c r="D74" s="3">
        <f>INT(sala!E73)</f>
        <v>45017</v>
      </c>
      <c r="E74" s="4">
        <f>MOD( sala!D73,1)</f>
        <v>0.11250000000291038</v>
      </c>
      <c r="F74" s="4">
        <f>MOD( sala!E73,1)</f>
        <v>0.24375000000145519</v>
      </c>
      <c r="G74" s="4">
        <f>Tabla5[[#This Row],[Hora de Salida]]-Tabla5[[#This Row],[Hora de Llegada]]+Tabla4[[#This Row],[Tiempo Extra]]</f>
        <v>0.13124999999854481</v>
      </c>
      <c r="H74" s="5" t="str">
        <f>TEXT(Tabla4[[#This Row],[Preparación en horas]]/1440, "h:mm")</f>
        <v>0:54</v>
      </c>
      <c r="I74" s="4">
        <f>IF(Tabla5[[#This Row],[Tiempo Permanencia]]-Tabla5[[#This Row],[Tiempo de Preparación ]]&gt;=0,Tabla5[[#This Row],[Tiempo Permanencia]]-Tabla5[[#This Row],[Tiempo de Preparación ]],0)</f>
        <v>9.3749999998544803E-2</v>
      </c>
      <c r="J74" s="5" t="str">
        <f>IF(Tabla5[[#This Row],[Tiempo de Degustación]]=0,"No Cobrada","Cobrada")</f>
        <v>Cobrada</v>
      </c>
      <c r="K74" s="5" cm="1">
        <f t="array" ref="K74">SUM(IF(Tabla5[[#This Row],[Orden Cobrada]]="Cobrada",IF(Cocina!A:A=Tabla5[[#This Row],[Nº Orden]],Cocina!F:F*Cocina!G:G,0),-Tabla6[[#This Row],[Precio Cena]]))</f>
        <v>75</v>
      </c>
      <c r="L74" s="5">
        <f>IF(Tabla5[[#This Row],[Orden Cobrada]]="Cobrada",Tabla5[[#This Row],[Ganancia Bruta]]-Tabla6[[#This Row],[Coste Cena]],-Tabla6[[#This Row],[Precio Cena]]+Tabla6[[#This Row],[Coste Cena]])</f>
        <v>32</v>
      </c>
      <c r="M74" s="10">
        <f>IF(Tabla5[[#This Row],[Orden Cobrada]]="Cobrada",((Tabla5[[#This Row],[Ganancia Neta]]/Tabla5[[#This Row],[Ganancia Bruta]])*100)/100,-((Tabla5[[#This Row],[Ganancia Neta]]/Tabla5[[#This Row],[Ganancia Bruta]]*100)/100))</f>
        <v>0.42666666666666669</v>
      </c>
      <c r="N74" s="5" t="str">
        <f>sala!F73</f>
        <v>Mesero_2</v>
      </c>
      <c r="AY74" cm="1">
        <f t="array" ref="AY74">SUM(IF(Cocina!A:A=Tabla5[[#This Row],[Nº Orden]],Cocina!F:F*Cocina!G:G,0))</f>
        <v>75</v>
      </c>
      <c r="AZ74" cm="1">
        <f t="array" ref="AZ74">SUM(IF(Cocina!A:A=Tabla5[[#This Row],[Nº Orden]],Cocina!E:E*Cocina!G:G,0))</f>
        <v>43</v>
      </c>
      <c r="BB74" t="str">
        <f>MID(Tabla4[[#This Row],[Cliente]], SEARCH("_", Tabla4[[#This Row],[Cliente]]) + 1, LEN(Tabla4[[#This Row],[Cliente]]) - SEARCH("_",Tabla4[[#This Row],[Cliente]]))</f>
        <v>258</v>
      </c>
      <c r="BC74" t="str">
        <f>sala!B73</f>
        <v>Cliente_258</v>
      </c>
      <c r="BD74" s="1">
        <f>sala!D73</f>
        <v>45017.112500000003</v>
      </c>
      <c r="BE74" s="1">
        <f>sala!E73</f>
        <v>45017.243750000001</v>
      </c>
      <c r="BF74">
        <f>sala!K73</f>
        <v>72</v>
      </c>
      <c r="BG74">
        <f>sala!I73</f>
        <v>1528</v>
      </c>
      <c r="BH74" cm="1">
        <f t="array" ref="BH74">SUM(IF(Cocina!A:A=Tabla4[[#This Row],[Número de Orden]],Cocina!F:F*Cocina!G:G,0))</f>
        <v>75</v>
      </c>
      <c r="BI74" t="str">
        <f>sala!J73</f>
        <v>Reservada</v>
      </c>
      <c r="BJ74" s="4" t="str">
        <f>IF(Tabla4[[#This Row],[Estado mesa]]="Ocupada","00:15","00:00")</f>
        <v>00:00</v>
      </c>
      <c r="BK74" cm="1">
        <f t="array" ref="BK74">SUM(IF(Cocina!A:A=Tabla4[[#This Row],[Número de Orden]],Cocina!H:H,0))</f>
        <v>54</v>
      </c>
    </row>
    <row r="75" spans="1:63" x14ac:dyDescent="0.3">
      <c r="A75" s="8" t="str">
        <f>MID(Tabla4[[#This Row],[Cliente]], SEARCH("_", Tabla4[[#This Row],[Cliente]]) + 1, LEN(Tabla4[[#This Row],[Cliente]]) - SEARCH("_",Tabla4[[#This Row],[Cliente]]))</f>
        <v>742</v>
      </c>
      <c r="B75">
        <f>sala!K74</f>
        <v>73</v>
      </c>
      <c r="C75">
        <f>Tabla4[[#This Row],[Propina]]+Tabla4[[#This Row],[Precio Cena]]</f>
        <v>3532</v>
      </c>
      <c r="D75" s="3">
        <f>INT(sala!E74)</f>
        <v>45017</v>
      </c>
      <c r="E75" s="4">
        <f>MOD( sala!D74,1)</f>
        <v>0.11041666667006211</v>
      </c>
      <c r="F75" s="4">
        <f>MOD( sala!E74,1)</f>
        <v>0.25624999999854481</v>
      </c>
      <c r="G75" s="4">
        <f>Tabla5[[#This Row],[Hora de Salida]]-Tabla5[[#This Row],[Hora de Llegada]]+Tabla4[[#This Row],[Tiempo Extra]]</f>
        <v>0.14583333332848269</v>
      </c>
      <c r="H75" s="5" t="str">
        <f>TEXT(Tabla4[[#This Row],[Preparación en horas]]/1440, "h:mm")</f>
        <v>0:20</v>
      </c>
      <c r="I75" s="4">
        <f>IF(Tabla5[[#This Row],[Tiempo Permanencia]]-Tabla5[[#This Row],[Tiempo de Preparación ]]&gt;=0,Tabla5[[#This Row],[Tiempo Permanencia]]-Tabla5[[#This Row],[Tiempo de Preparación ]],0)</f>
        <v>0.1319444444395938</v>
      </c>
      <c r="J75" s="5" t="str">
        <f>IF(Tabla5[[#This Row],[Tiempo de Degustación]]=0,"No Cobrada","Cobrada")</f>
        <v>Cobrada</v>
      </c>
      <c r="K75" s="5" cm="1">
        <f t="array" ref="K75">SUM(IF(Tabla5[[#This Row],[Orden Cobrada]]="Cobrada",IF(Cocina!A:A=Tabla5[[#This Row],[Nº Orden]],Cocina!F:F*Cocina!G:G,0),-Tabla6[[#This Row],[Precio Cena]]))</f>
        <v>81</v>
      </c>
      <c r="L75" s="5">
        <f>IF(Tabla5[[#This Row],[Orden Cobrada]]="Cobrada",Tabla5[[#This Row],[Ganancia Bruta]]-Tabla6[[#This Row],[Coste Cena]],-Tabla6[[#This Row],[Precio Cena]]+Tabla6[[#This Row],[Coste Cena]])</f>
        <v>33</v>
      </c>
      <c r="M75" s="10">
        <f>IF(Tabla5[[#This Row],[Orden Cobrada]]="Cobrada",((Tabla5[[#This Row],[Ganancia Neta]]/Tabla5[[#This Row],[Ganancia Bruta]])*100)/100,-((Tabla5[[#This Row],[Ganancia Neta]]/Tabla5[[#This Row],[Ganancia Bruta]]*100)/100))</f>
        <v>0.40740740740740738</v>
      </c>
      <c r="N75" s="5" t="str">
        <f>sala!F74</f>
        <v>Mesero_4</v>
      </c>
      <c r="AY75" cm="1">
        <f t="array" ref="AY75">SUM(IF(Cocina!A:A=Tabla5[[#This Row],[Nº Orden]],Cocina!F:F*Cocina!G:G,0))</f>
        <v>81</v>
      </c>
      <c r="AZ75" cm="1">
        <f t="array" ref="AZ75">SUM(IF(Cocina!A:A=Tabla5[[#This Row],[Nº Orden]],Cocina!E:E*Cocina!G:G,0))</f>
        <v>48</v>
      </c>
      <c r="BB75" t="str">
        <f>MID(Tabla4[[#This Row],[Cliente]], SEARCH("_", Tabla4[[#This Row],[Cliente]]) + 1, LEN(Tabla4[[#This Row],[Cliente]]) - SEARCH("_",Tabla4[[#This Row],[Cliente]]))</f>
        <v>742</v>
      </c>
      <c r="BC75" t="str">
        <f>sala!B74</f>
        <v>Cliente_742</v>
      </c>
      <c r="BD75" s="1">
        <f>sala!D74</f>
        <v>45017.11041666667</v>
      </c>
      <c r="BE75" s="1">
        <f>sala!E74</f>
        <v>45017.256249999999</v>
      </c>
      <c r="BF75">
        <f>sala!K74</f>
        <v>73</v>
      </c>
      <c r="BG75">
        <f>sala!I74</f>
        <v>3451</v>
      </c>
      <c r="BH75" cm="1">
        <f t="array" ref="BH75">SUM(IF(Cocina!A:A=Tabla4[[#This Row],[Número de Orden]],Cocina!F:F*Cocina!G:G,0))</f>
        <v>81</v>
      </c>
      <c r="BI75" t="str">
        <f>sala!J74</f>
        <v>Libre</v>
      </c>
      <c r="BJ75" s="4" t="str">
        <f>IF(Tabla4[[#This Row],[Estado mesa]]="Ocupada","00:15","00:00")</f>
        <v>00:00</v>
      </c>
      <c r="BK75" cm="1">
        <f t="array" ref="BK75">SUM(IF(Cocina!A:A=Tabla4[[#This Row],[Número de Orden]],Cocina!H:H,0))</f>
        <v>20</v>
      </c>
    </row>
    <row r="76" spans="1:63" x14ac:dyDescent="0.3">
      <c r="A76" s="8" t="str">
        <f>MID(Tabla4[[#This Row],[Cliente]], SEARCH("_", Tabla4[[#This Row],[Cliente]]) + 1, LEN(Tabla4[[#This Row],[Cliente]]) - SEARCH("_",Tabla4[[#This Row],[Cliente]]))</f>
        <v>865</v>
      </c>
      <c r="B76">
        <f>sala!K75</f>
        <v>74</v>
      </c>
      <c r="C76">
        <f>Tabla4[[#This Row],[Propina]]+Tabla4[[#This Row],[Precio Cena]]</f>
        <v>3301</v>
      </c>
      <c r="D76" s="3">
        <f>INT(sala!E75)</f>
        <v>45017</v>
      </c>
      <c r="E76" s="4">
        <f>MOD( sala!D75,1)</f>
        <v>4.4444444443797693E-2</v>
      </c>
      <c r="F76" s="4">
        <f>MOD( sala!E75,1)</f>
        <v>0.1756944444423425</v>
      </c>
      <c r="G76" s="4">
        <f>Tabla5[[#This Row],[Hora de Salida]]-Tabla5[[#This Row],[Hora de Llegada]]+Tabla4[[#This Row],[Tiempo Extra]]</f>
        <v>0.13124999999854481</v>
      </c>
      <c r="H76" s="5" t="str">
        <f>TEXT(Tabla4[[#This Row],[Preparación en horas]]/1440, "h:mm")</f>
        <v>1:40</v>
      </c>
      <c r="I76" s="4">
        <f>IF(Tabla5[[#This Row],[Tiempo Permanencia]]-Tabla5[[#This Row],[Tiempo de Preparación ]]&gt;=0,Tabla5[[#This Row],[Tiempo Permanencia]]-Tabla5[[#This Row],[Tiempo de Preparación ]],0)</f>
        <v>6.1805555554100361E-2</v>
      </c>
      <c r="J76" s="5" t="str">
        <f>IF(Tabla5[[#This Row],[Tiempo de Degustación]]=0,"No Cobrada","Cobrada")</f>
        <v>Cobrada</v>
      </c>
      <c r="K76" s="5" cm="1">
        <f t="array" ref="K76">SUM(IF(Tabla5[[#This Row],[Orden Cobrada]]="Cobrada",IF(Cocina!A:A=Tabla5[[#This Row],[Nº Orden]],Cocina!F:F*Cocina!G:G,0),-Tabla6[[#This Row],[Precio Cena]]))</f>
        <v>218</v>
      </c>
      <c r="L76" s="5">
        <f>IF(Tabla5[[#This Row],[Orden Cobrada]]="Cobrada",Tabla5[[#This Row],[Ganancia Bruta]]-Tabla6[[#This Row],[Coste Cena]],-Tabla6[[#This Row],[Precio Cena]]+Tabla6[[#This Row],[Coste Cena]])</f>
        <v>90</v>
      </c>
      <c r="M76" s="10">
        <f>IF(Tabla5[[#This Row],[Orden Cobrada]]="Cobrada",((Tabla5[[#This Row],[Ganancia Neta]]/Tabla5[[#This Row],[Ganancia Bruta]])*100)/100,-((Tabla5[[#This Row],[Ganancia Neta]]/Tabla5[[#This Row],[Ganancia Bruta]]*100)/100))</f>
        <v>0.41284403669724773</v>
      </c>
      <c r="N76" s="5" t="str">
        <f>sala!F75</f>
        <v>Mesero_4</v>
      </c>
      <c r="AY76" cm="1">
        <f t="array" ref="AY76">SUM(IF(Cocina!A:A=Tabla5[[#This Row],[Nº Orden]],Cocina!F:F*Cocina!G:G,0))</f>
        <v>218</v>
      </c>
      <c r="AZ76" cm="1">
        <f t="array" ref="AZ76">SUM(IF(Cocina!A:A=Tabla5[[#This Row],[Nº Orden]],Cocina!E:E*Cocina!G:G,0))</f>
        <v>128</v>
      </c>
      <c r="BB76" t="str">
        <f>MID(Tabla4[[#This Row],[Cliente]], SEARCH("_", Tabla4[[#This Row],[Cliente]]) + 1, LEN(Tabla4[[#This Row],[Cliente]]) - SEARCH("_",Tabla4[[#This Row],[Cliente]]))</f>
        <v>865</v>
      </c>
      <c r="BC76" t="str">
        <f>sala!B75</f>
        <v>Cliente_865</v>
      </c>
      <c r="BD76" s="1">
        <f>sala!D75</f>
        <v>45017.044444444444</v>
      </c>
      <c r="BE76" s="1">
        <f>sala!E75</f>
        <v>45017.175694444442</v>
      </c>
      <c r="BF76">
        <f>sala!K75</f>
        <v>74</v>
      </c>
      <c r="BG76">
        <f>sala!I75</f>
        <v>3083</v>
      </c>
      <c r="BH76" cm="1">
        <f t="array" ref="BH76">SUM(IF(Cocina!A:A=Tabla4[[#This Row],[Número de Orden]],Cocina!F:F*Cocina!G:G,0))</f>
        <v>218</v>
      </c>
      <c r="BI76" t="str">
        <f>sala!J75</f>
        <v>Libre</v>
      </c>
      <c r="BJ76" s="4" t="str">
        <f>IF(Tabla4[[#This Row],[Estado mesa]]="Ocupada","00:15","00:00")</f>
        <v>00:00</v>
      </c>
      <c r="BK76" cm="1">
        <f t="array" ref="BK76">SUM(IF(Cocina!A:A=Tabla4[[#This Row],[Número de Orden]],Cocina!H:H,0))</f>
        <v>100</v>
      </c>
    </row>
    <row r="77" spans="1:63" x14ac:dyDescent="0.3">
      <c r="A77" s="8" t="str">
        <f>MID(Tabla4[[#This Row],[Cliente]], SEARCH("_", Tabla4[[#This Row],[Cliente]]) + 1, LEN(Tabla4[[#This Row],[Cliente]]) - SEARCH("_",Tabla4[[#This Row],[Cliente]]))</f>
        <v>79</v>
      </c>
      <c r="B77">
        <f>sala!K76</f>
        <v>75</v>
      </c>
      <c r="C77">
        <f>Tabla4[[#This Row],[Propina]]+Tabla4[[#This Row],[Precio Cena]]</f>
        <v>4632</v>
      </c>
      <c r="D77" s="3">
        <f>INT(sala!E76)</f>
        <v>45017</v>
      </c>
      <c r="E77" s="4">
        <f>MOD( sala!D76,1)</f>
        <v>0.15000000000145519</v>
      </c>
      <c r="F77" s="4">
        <f>MOD( sala!E76,1)</f>
        <v>0.20069444444379769</v>
      </c>
      <c r="G77" s="4">
        <f>Tabla5[[#This Row],[Hora de Salida]]-Tabla5[[#This Row],[Hora de Llegada]]+Tabla4[[#This Row],[Tiempo Extra]]</f>
        <v>6.1111111109009165E-2</v>
      </c>
      <c r="H77" s="5" t="str">
        <f>TEXT(Tabla4[[#This Row],[Preparación en horas]]/1440, "h:mm")</f>
        <v>0:51</v>
      </c>
      <c r="I77" s="4">
        <f>IF(Tabla5[[#This Row],[Tiempo Permanencia]]-Tabla5[[#This Row],[Tiempo de Preparación ]]&gt;=0,Tabla5[[#This Row],[Tiempo Permanencia]]-Tabla5[[#This Row],[Tiempo de Preparación ]],0)</f>
        <v>2.56944444423425E-2</v>
      </c>
      <c r="J77" s="5" t="str">
        <f>IF(Tabla5[[#This Row],[Tiempo de Degustación]]=0,"No Cobrada","Cobrada")</f>
        <v>Cobrada</v>
      </c>
      <c r="K77" s="5" cm="1">
        <f t="array" ref="K77">SUM(IF(Tabla5[[#This Row],[Orden Cobrada]]="Cobrada",IF(Cocina!A:A=Tabla5[[#This Row],[Nº Orden]],Cocina!F:F*Cocina!G:G,0),-Tabla6[[#This Row],[Precio Cena]]))</f>
        <v>109</v>
      </c>
      <c r="L77" s="5">
        <f>IF(Tabla5[[#This Row],[Orden Cobrada]]="Cobrada",Tabla5[[#This Row],[Ganancia Bruta]]-Tabla6[[#This Row],[Coste Cena]],-Tabla6[[#This Row],[Precio Cena]]+Tabla6[[#This Row],[Coste Cena]])</f>
        <v>42</v>
      </c>
      <c r="M77" s="10">
        <f>IF(Tabla5[[#This Row],[Orden Cobrada]]="Cobrada",((Tabla5[[#This Row],[Ganancia Neta]]/Tabla5[[#This Row],[Ganancia Bruta]])*100)/100,-((Tabla5[[#This Row],[Ganancia Neta]]/Tabla5[[#This Row],[Ganancia Bruta]]*100)/100))</f>
        <v>0.38532110091743121</v>
      </c>
      <c r="N77" s="5" t="str">
        <f>sala!F76</f>
        <v>Mesero_5</v>
      </c>
      <c r="AY77" cm="1">
        <f t="array" ref="AY77">SUM(IF(Cocina!A:A=Tabla5[[#This Row],[Nº Orden]],Cocina!F:F*Cocina!G:G,0))</f>
        <v>109</v>
      </c>
      <c r="AZ77" cm="1">
        <f t="array" ref="AZ77">SUM(IF(Cocina!A:A=Tabla5[[#This Row],[Nº Orden]],Cocina!E:E*Cocina!G:G,0))</f>
        <v>67</v>
      </c>
      <c r="BB77" t="str">
        <f>MID(Tabla4[[#This Row],[Cliente]], SEARCH("_", Tabla4[[#This Row],[Cliente]]) + 1, LEN(Tabla4[[#This Row],[Cliente]]) - SEARCH("_",Tabla4[[#This Row],[Cliente]]))</f>
        <v>79</v>
      </c>
      <c r="BC77" t="str">
        <f>sala!B76</f>
        <v>Cliente_79</v>
      </c>
      <c r="BD77" s="1">
        <f>sala!D76</f>
        <v>45017.15</v>
      </c>
      <c r="BE77" s="1">
        <f>sala!E76</f>
        <v>45017.200694444444</v>
      </c>
      <c r="BF77">
        <f>sala!K76</f>
        <v>75</v>
      </c>
      <c r="BG77">
        <f>sala!I76</f>
        <v>4523</v>
      </c>
      <c r="BH77" cm="1">
        <f t="array" ref="BH77">SUM(IF(Cocina!A:A=Tabla4[[#This Row],[Número de Orden]],Cocina!F:F*Cocina!G:G,0))</f>
        <v>109</v>
      </c>
      <c r="BI77" t="str">
        <f>sala!J76</f>
        <v>Ocupada</v>
      </c>
      <c r="BJ77" s="4" t="str">
        <f>IF(Tabla4[[#This Row],[Estado mesa]]="Ocupada","00:15","00:00")</f>
        <v>00:15</v>
      </c>
      <c r="BK77" cm="1">
        <f t="array" ref="BK77">SUM(IF(Cocina!A:A=Tabla4[[#This Row],[Número de Orden]],Cocina!H:H,0))</f>
        <v>51</v>
      </c>
    </row>
    <row r="78" spans="1:63" x14ac:dyDescent="0.3">
      <c r="A78" s="8" t="str">
        <f>MID(Tabla4[[#This Row],[Cliente]], SEARCH("_", Tabla4[[#This Row],[Cliente]]) + 1, LEN(Tabla4[[#This Row],[Cliente]]) - SEARCH("_",Tabla4[[#This Row],[Cliente]]))</f>
        <v>42</v>
      </c>
      <c r="B78">
        <f>sala!K77</f>
        <v>76</v>
      </c>
      <c r="C78">
        <f>Tabla4[[#This Row],[Propina]]+Tabla4[[#This Row],[Precio Cena]]</f>
        <v>1934</v>
      </c>
      <c r="D78" s="3">
        <f>INT(sala!E77)</f>
        <v>45017</v>
      </c>
      <c r="E78" s="4">
        <f>MOD( sala!D77,1)</f>
        <v>0.12291666666715173</v>
      </c>
      <c r="F78" s="4">
        <f>MOD( sala!E77,1)</f>
        <v>0.22499999999854481</v>
      </c>
      <c r="G78" s="4">
        <f>Tabla5[[#This Row],[Hora de Salida]]-Tabla5[[#This Row],[Hora de Llegada]]+Tabla4[[#This Row],[Tiempo Extra]]</f>
        <v>0.10208333333139308</v>
      </c>
      <c r="H78" s="5" t="str">
        <f>TEXT(Tabla4[[#This Row],[Preparación en horas]]/1440, "h:mm")</f>
        <v>1:37</v>
      </c>
      <c r="I78" s="4">
        <f>IF(Tabla5[[#This Row],[Tiempo Permanencia]]-Tabla5[[#This Row],[Tiempo de Preparación ]]&gt;=0,Tabla5[[#This Row],[Tiempo Permanencia]]-Tabla5[[#This Row],[Tiempo de Preparación ]],0)</f>
        <v>3.472222222028197E-2</v>
      </c>
      <c r="J78" s="5" t="str">
        <f>IF(Tabla5[[#This Row],[Tiempo de Degustación]]=0,"No Cobrada","Cobrada")</f>
        <v>Cobrada</v>
      </c>
      <c r="K78" s="5" cm="1">
        <f t="array" ref="K78">SUM(IF(Tabla5[[#This Row],[Orden Cobrada]]="Cobrada",IF(Cocina!A:A=Tabla5[[#This Row],[Nº Orden]],Cocina!F:F*Cocina!G:G,0),-Tabla6[[#This Row],[Precio Cena]]))</f>
        <v>158</v>
      </c>
      <c r="L78" s="5">
        <f>IF(Tabla5[[#This Row],[Orden Cobrada]]="Cobrada",Tabla5[[#This Row],[Ganancia Bruta]]-Tabla6[[#This Row],[Coste Cena]],-Tabla6[[#This Row],[Precio Cena]]+Tabla6[[#This Row],[Coste Cena]])</f>
        <v>65</v>
      </c>
      <c r="M78" s="10">
        <f>IF(Tabla5[[#This Row],[Orden Cobrada]]="Cobrada",((Tabla5[[#This Row],[Ganancia Neta]]/Tabla5[[#This Row],[Ganancia Bruta]])*100)/100,-((Tabla5[[#This Row],[Ganancia Neta]]/Tabla5[[#This Row],[Ganancia Bruta]]*100)/100))</f>
        <v>0.41139240506329117</v>
      </c>
      <c r="N78" s="5" t="str">
        <f>sala!F77</f>
        <v>Mesero_1</v>
      </c>
      <c r="AY78" cm="1">
        <f t="array" ref="AY78">SUM(IF(Cocina!A:A=Tabla5[[#This Row],[Nº Orden]],Cocina!F:F*Cocina!G:G,0))</f>
        <v>158</v>
      </c>
      <c r="AZ78" cm="1">
        <f t="array" ref="AZ78">SUM(IF(Cocina!A:A=Tabla5[[#This Row],[Nº Orden]],Cocina!E:E*Cocina!G:G,0))</f>
        <v>93</v>
      </c>
      <c r="BB78" t="str">
        <f>MID(Tabla4[[#This Row],[Cliente]], SEARCH("_", Tabla4[[#This Row],[Cliente]]) + 1, LEN(Tabla4[[#This Row],[Cliente]]) - SEARCH("_",Tabla4[[#This Row],[Cliente]]))</f>
        <v>42</v>
      </c>
      <c r="BC78" t="str">
        <f>sala!B77</f>
        <v>Cliente_42</v>
      </c>
      <c r="BD78" s="1">
        <f>sala!D77</f>
        <v>45017.122916666667</v>
      </c>
      <c r="BE78" s="1">
        <f>sala!E77</f>
        <v>45017.224999999999</v>
      </c>
      <c r="BF78">
        <f>sala!K77</f>
        <v>76</v>
      </c>
      <c r="BG78">
        <f>sala!I77</f>
        <v>1776</v>
      </c>
      <c r="BH78" cm="1">
        <f t="array" ref="BH78">SUM(IF(Cocina!A:A=Tabla4[[#This Row],[Número de Orden]],Cocina!F:F*Cocina!G:G,0))</f>
        <v>158</v>
      </c>
      <c r="BI78" t="str">
        <f>sala!J77</f>
        <v>Reservada</v>
      </c>
      <c r="BJ78" s="4" t="str">
        <f>IF(Tabla4[[#This Row],[Estado mesa]]="Ocupada","00:15","00:00")</f>
        <v>00:00</v>
      </c>
      <c r="BK78" cm="1">
        <f t="array" ref="BK78">SUM(IF(Cocina!A:A=Tabla4[[#This Row],[Número de Orden]],Cocina!H:H,0))</f>
        <v>97</v>
      </c>
    </row>
    <row r="79" spans="1:63" x14ac:dyDescent="0.3">
      <c r="A79" s="8" t="str">
        <f>MID(Tabla4[[#This Row],[Cliente]], SEARCH("_", Tabla4[[#This Row],[Cliente]]) + 1, LEN(Tabla4[[#This Row],[Cliente]]) - SEARCH("_",Tabla4[[#This Row],[Cliente]]))</f>
        <v>374</v>
      </c>
      <c r="B79">
        <f>sala!K78</f>
        <v>77</v>
      </c>
      <c r="C79">
        <f>Tabla4[[#This Row],[Propina]]+Tabla4[[#This Row],[Precio Cena]]</f>
        <v>2087</v>
      </c>
      <c r="D79" s="3">
        <f>INT(sala!E78)</f>
        <v>45017</v>
      </c>
      <c r="E79" s="4">
        <f>MOD( sala!D78,1)</f>
        <v>0.11527777777519077</v>
      </c>
      <c r="F79" s="4">
        <f>MOD( sala!E78,1)</f>
        <v>0.26041666666424135</v>
      </c>
      <c r="G79" s="4">
        <f>Tabla5[[#This Row],[Hora de Salida]]-Tabla5[[#This Row],[Hora de Llegada]]+Tabla4[[#This Row],[Tiempo Extra]]</f>
        <v>0.14513888888905058</v>
      </c>
      <c r="H79" s="5" t="str">
        <f>TEXT(Tabla4[[#This Row],[Preparación en horas]]/1440, "h:mm")</f>
        <v>1:37</v>
      </c>
      <c r="I79" s="4">
        <f>IF(Tabla5[[#This Row],[Tiempo Permanencia]]-Tabla5[[#This Row],[Tiempo de Preparación ]]&gt;=0,Tabla5[[#This Row],[Tiempo Permanencia]]-Tabla5[[#This Row],[Tiempo de Preparación ]],0)</f>
        <v>7.7777777777939469E-2</v>
      </c>
      <c r="J79" s="5" t="str">
        <f>IF(Tabla5[[#This Row],[Tiempo de Degustación]]=0,"No Cobrada","Cobrada")</f>
        <v>Cobrada</v>
      </c>
      <c r="K79" s="5" cm="1">
        <f t="array" ref="K79">SUM(IF(Tabla5[[#This Row],[Orden Cobrada]]="Cobrada",IF(Cocina!A:A=Tabla5[[#This Row],[Nº Orden]],Cocina!F:F*Cocina!G:G,0),-Tabla6[[#This Row],[Precio Cena]]))</f>
        <v>99</v>
      </c>
      <c r="L79" s="5">
        <f>IF(Tabla5[[#This Row],[Orden Cobrada]]="Cobrada",Tabla5[[#This Row],[Ganancia Bruta]]-Tabla6[[#This Row],[Coste Cena]],-Tabla6[[#This Row],[Precio Cena]]+Tabla6[[#This Row],[Coste Cena]])</f>
        <v>41</v>
      </c>
      <c r="M79" s="10">
        <f>IF(Tabla5[[#This Row],[Orden Cobrada]]="Cobrada",((Tabla5[[#This Row],[Ganancia Neta]]/Tabla5[[#This Row],[Ganancia Bruta]])*100)/100,-((Tabla5[[#This Row],[Ganancia Neta]]/Tabla5[[#This Row],[Ganancia Bruta]]*100)/100))</f>
        <v>0.41414141414141414</v>
      </c>
      <c r="N79" s="5" t="str">
        <f>sala!F78</f>
        <v>Mesero_3</v>
      </c>
      <c r="AY79" cm="1">
        <f t="array" ref="AY79">SUM(IF(Cocina!A:A=Tabla5[[#This Row],[Nº Orden]],Cocina!F:F*Cocina!G:G,0))</f>
        <v>99</v>
      </c>
      <c r="AZ79" cm="1">
        <f t="array" ref="AZ79">SUM(IF(Cocina!A:A=Tabla5[[#This Row],[Nº Orden]],Cocina!E:E*Cocina!G:G,0))</f>
        <v>58</v>
      </c>
      <c r="BB79" t="str">
        <f>MID(Tabla4[[#This Row],[Cliente]], SEARCH("_", Tabla4[[#This Row],[Cliente]]) + 1, LEN(Tabla4[[#This Row],[Cliente]]) - SEARCH("_",Tabla4[[#This Row],[Cliente]]))</f>
        <v>374</v>
      </c>
      <c r="BC79" t="str">
        <f>sala!B78</f>
        <v>Cliente_374</v>
      </c>
      <c r="BD79" s="1">
        <f>sala!D78</f>
        <v>45017.115277777775</v>
      </c>
      <c r="BE79" s="1">
        <f>sala!E78</f>
        <v>45017.260416666664</v>
      </c>
      <c r="BF79">
        <f>sala!K78</f>
        <v>77</v>
      </c>
      <c r="BG79">
        <f>sala!I78</f>
        <v>1988</v>
      </c>
      <c r="BH79" cm="1">
        <f t="array" ref="BH79">SUM(IF(Cocina!A:A=Tabla4[[#This Row],[Número de Orden]],Cocina!F:F*Cocina!G:G,0))</f>
        <v>99</v>
      </c>
      <c r="BI79" t="str">
        <f>sala!J78</f>
        <v>Libre</v>
      </c>
      <c r="BJ79" s="4" t="str">
        <f>IF(Tabla4[[#This Row],[Estado mesa]]="Ocupada","00:15","00:00")</f>
        <v>00:00</v>
      </c>
      <c r="BK79" cm="1">
        <f t="array" ref="BK79">SUM(IF(Cocina!A:A=Tabla4[[#This Row],[Número de Orden]],Cocina!H:H,0))</f>
        <v>97</v>
      </c>
    </row>
    <row r="80" spans="1:63" x14ac:dyDescent="0.3">
      <c r="A80" s="8" t="str">
        <f>MID(Tabla4[[#This Row],[Cliente]], SEARCH("_", Tabla4[[#This Row],[Cliente]]) + 1, LEN(Tabla4[[#This Row],[Cliente]]) - SEARCH("_",Tabla4[[#This Row],[Cliente]]))</f>
        <v>636</v>
      </c>
      <c r="B80">
        <f>sala!K79</f>
        <v>78</v>
      </c>
      <c r="C80">
        <f>Tabla4[[#This Row],[Propina]]+Tabla4[[#This Row],[Precio Cena]]</f>
        <v>2059</v>
      </c>
      <c r="D80" s="3">
        <f>INT(sala!E79)</f>
        <v>45017</v>
      </c>
      <c r="E80" s="4">
        <f>MOD( sala!D79,1)</f>
        <v>6.5277777779556345E-2</v>
      </c>
      <c r="F80" s="4">
        <f>MOD( sala!E79,1)</f>
        <v>0.12708333333284827</v>
      </c>
      <c r="G80" s="4">
        <f>Tabla5[[#This Row],[Hora de Salida]]-Tabla5[[#This Row],[Hora de Llegada]]+Tabla4[[#This Row],[Tiempo Extra]]</f>
        <v>6.1805555553291924E-2</v>
      </c>
      <c r="H80" s="5" t="str">
        <f>TEXT(Tabla4[[#This Row],[Preparación en horas]]/1440, "h:mm")</f>
        <v>0:54</v>
      </c>
      <c r="I80" s="4">
        <f>IF(Tabla5[[#This Row],[Tiempo Permanencia]]-Tabla5[[#This Row],[Tiempo de Preparación ]]&gt;=0,Tabla5[[#This Row],[Tiempo Permanencia]]-Tabla5[[#This Row],[Tiempo de Preparación ]],0)</f>
        <v>2.4305555553291926E-2</v>
      </c>
      <c r="J80" s="5" t="str">
        <f>IF(Tabla5[[#This Row],[Tiempo de Degustación]]=0,"No Cobrada","Cobrada")</f>
        <v>Cobrada</v>
      </c>
      <c r="K80" s="5" cm="1">
        <f t="array" ref="K80">SUM(IF(Tabla5[[#This Row],[Orden Cobrada]]="Cobrada",IF(Cocina!A:A=Tabla5[[#This Row],[Nº Orden]],Cocina!F:F*Cocina!G:G,0),-Tabla6[[#This Row],[Precio Cena]]))</f>
        <v>57</v>
      </c>
      <c r="L80" s="5">
        <f>IF(Tabla5[[#This Row],[Orden Cobrada]]="Cobrada",Tabla5[[#This Row],[Ganancia Bruta]]-Tabla6[[#This Row],[Coste Cena]],-Tabla6[[#This Row],[Precio Cena]]+Tabla6[[#This Row],[Coste Cena]])</f>
        <v>24</v>
      </c>
      <c r="M80" s="10">
        <f>IF(Tabla5[[#This Row],[Orden Cobrada]]="Cobrada",((Tabla5[[#This Row],[Ganancia Neta]]/Tabla5[[#This Row],[Ganancia Bruta]])*100)/100,-((Tabla5[[#This Row],[Ganancia Neta]]/Tabla5[[#This Row],[Ganancia Bruta]]*100)/100))</f>
        <v>0.42105263157894735</v>
      </c>
      <c r="N80" s="5" t="str">
        <f>sala!F79</f>
        <v>Mesero_3</v>
      </c>
      <c r="AY80" cm="1">
        <f t="array" ref="AY80">SUM(IF(Cocina!A:A=Tabla5[[#This Row],[Nº Orden]],Cocina!F:F*Cocina!G:G,0))</f>
        <v>57</v>
      </c>
      <c r="AZ80" cm="1">
        <f t="array" ref="AZ80">SUM(IF(Cocina!A:A=Tabla5[[#This Row],[Nº Orden]],Cocina!E:E*Cocina!G:G,0))</f>
        <v>33</v>
      </c>
      <c r="BB80" t="str">
        <f>MID(Tabla4[[#This Row],[Cliente]], SEARCH("_", Tabla4[[#This Row],[Cliente]]) + 1, LEN(Tabla4[[#This Row],[Cliente]]) - SEARCH("_",Tabla4[[#This Row],[Cliente]]))</f>
        <v>636</v>
      </c>
      <c r="BC80" t="str">
        <f>sala!B79</f>
        <v>Cliente_636</v>
      </c>
      <c r="BD80" s="1">
        <f>sala!D79</f>
        <v>45017.06527777778</v>
      </c>
      <c r="BE80" s="1">
        <f>sala!E79</f>
        <v>45017.127083333333</v>
      </c>
      <c r="BF80">
        <f>sala!K79</f>
        <v>78</v>
      </c>
      <c r="BG80">
        <f>sala!I79</f>
        <v>2002</v>
      </c>
      <c r="BH80" cm="1">
        <f t="array" ref="BH80">SUM(IF(Cocina!A:A=Tabla4[[#This Row],[Número de Orden]],Cocina!F:F*Cocina!G:G,0))</f>
        <v>57</v>
      </c>
      <c r="BI80" t="str">
        <f>sala!J79</f>
        <v>Libre</v>
      </c>
      <c r="BJ80" s="4" t="str">
        <f>IF(Tabla4[[#This Row],[Estado mesa]]="Ocupada","00:15","00:00")</f>
        <v>00:00</v>
      </c>
      <c r="BK80" cm="1">
        <f t="array" ref="BK80">SUM(IF(Cocina!A:A=Tabla4[[#This Row],[Número de Orden]],Cocina!H:H,0))</f>
        <v>54</v>
      </c>
    </row>
    <row r="81" spans="1:63" x14ac:dyDescent="0.3">
      <c r="A81" s="8" t="str">
        <f>MID(Tabla4[[#This Row],[Cliente]], SEARCH("_", Tabla4[[#This Row],[Cliente]]) + 1, LEN(Tabla4[[#This Row],[Cliente]]) - SEARCH("_",Tabla4[[#This Row],[Cliente]]))</f>
        <v>753</v>
      </c>
      <c r="B81">
        <f>sala!K80</f>
        <v>79</v>
      </c>
      <c r="C81">
        <f>Tabla4[[#This Row],[Propina]]+Tabla4[[#This Row],[Precio Cena]]</f>
        <v>3710</v>
      </c>
      <c r="D81" s="3">
        <f>INT(sala!E80)</f>
        <v>45017</v>
      </c>
      <c r="E81" s="4">
        <f>MOD( sala!D80,1)</f>
        <v>6.5277777779556345E-2</v>
      </c>
      <c r="F81" s="4">
        <f>MOD( sala!E80,1)</f>
        <v>0.21388888888759539</v>
      </c>
      <c r="G81" s="4">
        <f>Tabla5[[#This Row],[Hora de Salida]]-Tabla5[[#This Row],[Hora de Llegada]]+Tabla4[[#This Row],[Tiempo Extra]]</f>
        <v>0.14861111110803904</v>
      </c>
      <c r="H81" s="5" t="str">
        <f>TEXT(Tabla4[[#This Row],[Preparación en horas]]/1440, "h:mm")</f>
        <v>1:36</v>
      </c>
      <c r="I81" s="4">
        <f>IF(Tabla5[[#This Row],[Tiempo Permanencia]]-Tabla5[[#This Row],[Tiempo de Preparación ]]&gt;=0,Tabla5[[#This Row],[Tiempo Permanencia]]-Tabla5[[#This Row],[Tiempo de Preparación ]],0)</f>
        <v>8.1944444441372374E-2</v>
      </c>
      <c r="J81" s="5" t="str">
        <f>IF(Tabla5[[#This Row],[Tiempo de Degustación]]=0,"No Cobrada","Cobrada")</f>
        <v>Cobrada</v>
      </c>
      <c r="K81" s="5" cm="1">
        <f t="array" ref="K81">SUM(IF(Tabla5[[#This Row],[Orden Cobrada]]="Cobrada",IF(Cocina!A:A=Tabla5[[#This Row],[Nº Orden]],Cocina!F:F*Cocina!G:G,0),-Tabla6[[#This Row],[Precio Cena]]))</f>
        <v>309</v>
      </c>
      <c r="L81" s="5">
        <f>IF(Tabla5[[#This Row],[Orden Cobrada]]="Cobrada",Tabla5[[#This Row],[Ganancia Bruta]]-Tabla6[[#This Row],[Coste Cena]],-Tabla6[[#This Row],[Precio Cena]]+Tabla6[[#This Row],[Coste Cena]])</f>
        <v>123</v>
      </c>
      <c r="M81" s="10">
        <f>IF(Tabla5[[#This Row],[Orden Cobrada]]="Cobrada",((Tabla5[[#This Row],[Ganancia Neta]]/Tabla5[[#This Row],[Ganancia Bruta]])*100)/100,-((Tabla5[[#This Row],[Ganancia Neta]]/Tabla5[[#This Row],[Ganancia Bruta]]*100)/100))</f>
        <v>0.39805825242718451</v>
      </c>
      <c r="N81" s="5" t="str">
        <f>sala!F80</f>
        <v>Mesero_3</v>
      </c>
      <c r="AY81" cm="1">
        <f t="array" ref="AY81">SUM(IF(Cocina!A:A=Tabla5[[#This Row],[Nº Orden]],Cocina!F:F*Cocina!G:G,0))</f>
        <v>309</v>
      </c>
      <c r="AZ81" cm="1">
        <f t="array" ref="AZ81">SUM(IF(Cocina!A:A=Tabla5[[#This Row],[Nº Orden]],Cocina!E:E*Cocina!G:G,0))</f>
        <v>186</v>
      </c>
      <c r="BB81" t="str">
        <f>MID(Tabla4[[#This Row],[Cliente]], SEARCH("_", Tabla4[[#This Row],[Cliente]]) + 1, LEN(Tabla4[[#This Row],[Cliente]]) - SEARCH("_",Tabla4[[#This Row],[Cliente]]))</f>
        <v>753</v>
      </c>
      <c r="BC81" t="str">
        <f>sala!B80</f>
        <v>Cliente_753</v>
      </c>
      <c r="BD81" s="1">
        <f>sala!D80</f>
        <v>45017.06527777778</v>
      </c>
      <c r="BE81" s="1">
        <f>sala!E80</f>
        <v>45017.213888888888</v>
      </c>
      <c r="BF81">
        <f>sala!K80</f>
        <v>79</v>
      </c>
      <c r="BG81">
        <f>sala!I80</f>
        <v>3401</v>
      </c>
      <c r="BH81" cm="1">
        <f t="array" ref="BH81">SUM(IF(Cocina!A:A=Tabla4[[#This Row],[Número de Orden]],Cocina!F:F*Cocina!G:G,0))</f>
        <v>309</v>
      </c>
      <c r="BI81" t="str">
        <f>sala!J80</f>
        <v>Libre</v>
      </c>
      <c r="BJ81" s="4" t="str">
        <f>IF(Tabla4[[#This Row],[Estado mesa]]="Ocupada","00:15","00:00")</f>
        <v>00:00</v>
      </c>
      <c r="BK81" cm="1">
        <f t="array" ref="BK81">SUM(IF(Cocina!A:A=Tabla4[[#This Row],[Número de Orden]],Cocina!H:H,0))</f>
        <v>96</v>
      </c>
    </row>
    <row r="82" spans="1:63" x14ac:dyDescent="0.3">
      <c r="A82" s="8" t="str">
        <f>MID(Tabla4[[#This Row],[Cliente]], SEARCH("_", Tabla4[[#This Row],[Cliente]]) + 1, LEN(Tabla4[[#This Row],[Cliente]]) - SEARCH("_",Tabla4[[#This Row],[Cliente]]))</f>
        <v>632</v>
      </c>
      <c r="B82">
        <f>sala!K81</f>
        <v>80</v>
      </c>
      <c r="C82">
        <f>Tabla4[[#This Row],[Propina]]+Tabla4[[#This Row],[Precio Cena]]</f>
        <v>4026</v>
      </c>
      <c r="D82" s="3">
        <f>INT(sala!E81)</f>
        <v>45017</v>
      </c>
      <c r="E82" s="4">
        <f>MOD( sala!D81,1)</f>
        <v>9.3055555553291924E-2</v>
      </c>
      <c r="F82" s="4">
        <f>MOD( sala!E81,1)</f>
        <v>0.15694444444670808</v>
      </c>
      <c r="G82" s="4">
        <f>Tabla5[[#This Row],[Hora de Salida]]-Tabla5[[#This Row],[Hora de Llegada]]+Tabla4[[#This Row],[Tiempo Extra]]</f>
        <v>6.3888888893416151E-2</v>
      </c>
      <c r="H82" s="5" t="str">
        <f>TEXT(Tabla4[[#This Row],[Preparación en horas]]/1440, "h:mm")</f>
        <v>1:07</v>
      </c>
      <c r="I82" s="4">
        <f>IF(Tabla5[[#This Row],[Tiempo Permanencia]]-Tabla5[[#This Row],[Tiempo de Preparación ]]&gt;=0,Tabla5[[#This Row],[Tiempo Permanencia]]-Tabla5[[#This Row],[Tiempo de Preparación ]],0)</f>
        <v>1.7361111115638372E-2</v>
      </c>
      <c r="J82" s="5" t="str">
        <f>IF(Tabla5[[#This Row],[Tiempo de Degustación]]=0,"No Cobrada","Cobrada")</f>
        <v>Cobrada</v>
      </c>
      <c r="K82" s="5" cm="1">
        <f t="array" ref="K82">SUM(IF(Tabla5[[#This Row],[Orden Cobrada]]="Cobrada",IF(Cocina!A:A=Tabla5[[#This Row],[Nº Orden]],Cocina!F:F*Cocina!G:G,0),-Tabla6[[#This Row],[Precio Cena]]))</f>
        <v>121</v>
      </c>
      <c r="L82" s="5">
        <f>IF(Tabla5[[#This Row],[Orden Cobrada]]="Cobrada",Tabla5[[#This Row],[Ganancia Bruta]]-Tabla6[[#This Row],[Coste Cena]],-Tabla6[[#This Row],[Precio Cena]]+Tabla6[[#This Row],[Coste Cena]])</f>
        <v>50</v>
      </c>
      <c r="M82" s="10">
        <f>IF(Tabla5[[#This Row],[Orden Cobrada]]="Cobrada",((Tabla5[[#This Row],[Ganancia Neta]]/Tabla5[[#This Row],[Ganancia Bruta]])*100)/100,-((Tabla5[[#This Row],[Ganancia Neta]]/Tabla5[[#This Row],[Ganancia Bruta]]*100)/100))</f>
        <v>0.41322314049586778</v>
      </c>
      <c r="N82" s="5" t="str">
        <f>sala!F81</f>
        <v>Mesero_4</v>
      </c>
      <c r="AY82" cm="1">
        <f t="array" ref="AY82">SUM(IF(Cocina!A:A=Tabla5[[#This Row],[Nº Orden]],Cocina!F:F*Cocina!G:G,0))</f>
        <v>121</v>
      </c>
      <c r="AZ82" cm="1">
        <f t="array" ref="AZ82">SUM(IF(Cocina!A:A=Tabla5[[#This Row],[Nº Orden]],Cocina!E:E*Cocina!G:G,0))</f>
        <v>71</v>
      </c>
      <c r="BB82" t="str">
        <f>MID(Tabla4[[#This Row],[Cliente]], SEARCH("_", Tabla4[[#This Row],[Cliente]]) + 1, LEN(Tabla4[[#This Row],[Cliente]]) - SEARCH("_",Tabla4[[#This Row],[Cliente]]))</f>
        <v>632</v>
      </c>
      <c r="BC82" t="str">
        <f>sala!B81</f>
        <v>Cliente_632</v>
      </c>
      <c r="BD82" s="1">
        <f>sala!D81</f>
        <v>45017.093055555553</v>
      </c>
      <c r="BE82" s="1">
        <f>sala!E81</f>
        <v>45017.156944444447</v>
      </c>
      <c r="BF82">
        <f>sala!K81</f>
        <v>80</v>
      </c>
      <c r="BG82">
        <f>sala!I81</f>
        <v>3905</v>
      </c>
      <c r="BH82" cm="1">
        <f t="array" ref="BH82">SUM(IF(Cocina!A:A=Tabla4[[#This Row],[Número de Orden]],Cocina!F:F*Cocina!G:G,0))</f>
        <v>121</v>
      </c>
      <c r="BI82" t="str">
        <f>sala!J81</f>
        <v>Libre</v>
      </c>
      <c r="BJ82" s="4" t="str">
        <f>IF(Tabla4[[#This Row],[Estado mesa]]="Ocupada","00:15","00:00")</f>
        <v>00:00</v>
      </c>
      <c r="BK82" cm="1">
        <f t="array" ref="BK82">SUM(IF(Cocina!A:A=Tabla4[[#This Row],[Número de Orden]],Cocina!H:H,0))</f>
        <v>67</v>
      </c>
    </row>
    <row r="83" spans="1:63" x14ac:dyDescent="0.3">
      <c r="A83" s="8" t="str">
        <f>MID(Tabla4[[#This Row],[Cliente]], SEARCH("_", Tabla4[[#This Row],[Cliente]]) + 1, LEN(Tabla4[[#This Row],[Cliente]]) - SEARCH("_",Tabla4[[#This Row],[Cliente]]))</f>
        <v>969</v>
      </c>
      <c r="B83">
        <f>sala!K82</f>
        <v>81</v>
      </c>
      <c r="C83">
        <f>Tabla4[[#This Row],[Propina]]+Tabla4[[#This Row],[Precio Cena]]</f>
        <v>2431</v>
      </c>
      <c r="D83" s="3">
        <f>INT(sala!E82)</f>
        <v>45017</v>
      </c>
      <c r="E83" s="4">
        <f>MOD( sala!D82,1)</f>
        <v>0.15277777778101154</v>
      </c>
      <c r="F83" s="4">
        <f>MOD( sala!E82,1)</f>
        <v>0.27152777777519077</v>
      </c>
      <c r="G83" s="4">
        <f>Tabla5[[#This Row],[Hora de Salida]]-Tabla5[[#This Row],[Hora de Llegada]]+Tabla4[[#This Row],[Tiempo Extra]]</f>
        <v>0.12916666666084589</v>
      </c>
      <c r="H83" s="5" t="str">
        <f>TEXT(Tabla4[[#This Row],[Preparación en horas]]/1440, "h:mm")</f>
        <v>0:59</v>
      </c>
      <c r="I83" s="4">
        <f>IF(Tabla5[[#This Row],[Tiempo Permanencia]]-Tabla5[[#This Row],[Tiempo de Preparación ]]&gt;=0,Tabla5[[#This Row],[Tiempo Permanencia]]-Tabla5[[#This Row],[Tiempo de Preparación ]],0)</f>
        <v>8.8194444438623676E-2</v>
      </c>
      <c r="J83" s="5" t="str">
        <f>IF(Tabla5[[#This Row],[Tiempo de Degustación]]=0,"No Cobrada","Cobrada")</f>
        <v>Cobrada</v>
      </c>
      <c r="K83" s="5" cm="1">
        <f t="array" ref="K83">SUM(IF(Tabla5[[#This Row],[Orden Cobrada]]="Cobrada",IF(Cocina!A:A=Tabla5[[#This Row],[Nº Orden]],Cocina!F:F*Cocina!G:G,0),-Tabla6[[#This Row],[Precio Cena]]))</f>
        <v>62</v>
      </c>
      <c r="L83" s="5">
        <f>IF(Tabla5[[#This Row],[Orden Cobrada]]="Cobrada",Tabla5[[#This Row],[Ganancia Bruta]]-Tabla6[[#This Row],[Coste Cena]],-Tabla6[[#This Row],[Precio Cena]]+Tabla6[[#This Row],[Coste Cena]])</f>
        <v>24</v>
      </c>
      <c r="M83" s="10">
        <f>IF(Tabla5[[#This Row],[Orden Cobrada]]="Cobrada",((Tabla5[[#This Row],[Ganancia Neta]]/Tabla5[[#This Row],[Ganancia Bruta]])*100)/100,-((Tabla5[[#This Row],[Ganancia Neta]]/Tabla5[[#This Row],[Ganancia Bruta]]*100)/100))</f>
        <v>0.38709677419354838</v>
      </c>
      <c r="N83" s="5" t="str">
        <f>sala!F82</f>
        <v>Mesero_5</v>
      </c>
      <c r="AY83" cm="1">
        <f t="array" ref="AY83">SUM(IF(Cocina!A:A=Tabla5[[#This Row],[Nº Orden]],Cocina!F:F*Cocina!G:G,0))</f>
        <v>62</v>
      </c>
      <c r="AZ83" cm="1">
        <f t="array" ref="AZ83">SUM(IF(Cocina!A:A=Tabla5[[#This Row],[Nº Orden]],Cocina!E:E*Cocina!G:G,0))</f>
        <v>38</v>
      </c>
      <c r="BB83" t="str">
        <f>MID(Tabla4[[#This Row],[Cliente]], SEARCH("_", Tabla4[[#This Row],[Cliente]]) + 1, LEN(Tabla4[[#This Row],[Cliente]]) - SEARCH("_",Tabla4[[#This Row],[Cliente]]))</f>
        <v>969</v>
      </c>
      <c r="BC83" t="str">
        <f>sala!B82</f>
        <v>Cliente_969</v>
      </c>
      <c r="BD83" s="1">
        <f>sala!D82</f>
        <v>45017.152777777781</v>
      </c>
      <c r="BE83" s="1">
        <f>sala!E82</f>
        <v>45017.271527777775</v>
      </c>
      <c r="BF83">
        <f>sala!K82</f>
        <v>81</v>
      </c>
      <c r="BG83">
        <f>sala!I82</f>
        <v>2369</v>
      </c>
      <c r="BH83" cm="1">
        <f t="array" ref="BH83">SUM(IF(Cocina!A:A=Tabla4[[#This Row],[Número de Orden]],Cocina!F:F*Cocina!G:G,0))</f>
        <v>62</v>
      </c>
      <c r="BI83" t="str">
        <f>sala!J82</f>
        <v>Ocupada</v>
      </c>
      <c r="BJ83" s="4" t="str">
        <f>IF(Tabla4[[#This Row],[Estado mesa]]="Ocupada","00:15","00:00")</f>
        <v>00:15</v>
      </c>
      <c r="BK83" cm="1">
        <f t="array" ref="BK83">SUM(IF(Cocina!A:A=Tabla4[[#This Row],[Número de Orden]],Cocina!H:H,0))</f>
        <v>59</v>
      </c>
    </row>
    <row r="84" spans="1:63" x14ac:dyDescent="0.3">
      <c r="A84" s="8" t="str">
        <f>MID(Tabla4[[#This Row],[Cliente]], SEARCH("_", Tabla4[[#This Row],[Cliente]]) + 1, LEN(Tabla4[[#This Row],[Cliente]]) - SEARCH("_",Tabla4[[#This Row],[Cliente]]))</f>
        <v>574</v>
      </c>
      <c r="B84">
        <f>sala!K83</f>
        <v>82</v>
      </c>
      <c r="C84">
        <f>Tabla4[[#This Row],[Propina]]+Tabla4[[#This Row],[Precio Cena]]</f>
        <v>466</v>
      </c>
      <c r="D84" s="3">
        <f>INT(sala!E83)</f>
        <v>45017</v>
      </c>
      <c r="E84" s="4">
        <f>MOD( sala!D83,1)</f>
        <v>0.14236111110949423</v>
      </c>
      <c r="F84" s="4">
        <f>MOD( sala!E83,1)</f>
        <v>0.29861111110949423</v>
      </c>
      <c r="G84" s="4">
        <f>Tabla5[[#This Row],[Hora de Salida]]-Tabla5[[#This Row],[Hora de Llegada]]+Tabla4[[#This Row],[Tiempo Extra]]</f>
        <v>0.15625</v>
      </c>
      <c r="H84" s="5" t="str">
        <f>TEXT(Tabla4[[#This Row],[Preparación en horas]]/1440, "h:mm")</f>
        <v>0:19</v>
      </c>
      <c r="I84" s="4">
        <f>IF(Tabla5[[#This Row],[Tiempo Permanencia]]-Tabla5[[#This Row],[Tiempo de Preparación ]]&gt;=0,Tabla5[[#This Row],[Tiempo Permanencia]]-Tabla5[[#This Row],[Tiempo de Preparación ]],0)</f>
        <v>0.14305555555555555</v>
      </c>
      <c r="J84" s="5" t="str">
        <f>IF(Tabla5[[#This Row],[Tiempo de Degustación]]=0,"No Cobrada","Cobrada")</f>
        <v>Cobrada</v>
      </c>
      <c r="K84" s="5" cm="1">
        <f t="array" ref="K84">SUM(IF(Tabla5[[#This Row],[Orden Cobrada]]="Cobrada",IF(Cocina!A:A=Tabla5[[#This Row],[Nº Orden]],Cocina!F:F*Cocina!G:G,0),-Tabla6[[#This Row],[Precio Cena]]))</f>
        <v>80</v>
      </c>
      <c r="L84" s="5">
        <f>IF(Tabla5[[#This Row],[Orden Cobrada]]="Cobrada",Tabla5[[#This Row],[Ganancia Bruta]]-Tabla6[[#This Row],[Coste Cena]],-Tabla6[[#This Row],[Precio Cena]]+Tabla6[[#This Row],[Coste Cena]])</f>
        <v>32</v>
      </c>
      <c r="M84" s="10">
        <f>IF(Tabla5[[#This Row],[Orden Cobrada]]="Cobrada",((Tabla5[[#This Row],[Ganancia Neta]]/Tabla5[[#This Row],[Ganancia Bruta]])*100)/100,-((Tabla5[[#This Row],[Ganancia Neta]]/Tabla5[[#This Row],[Ganancia Bruta]]*100)/100))</f>
        <v>0.4</v>
      </c>
      <c r="N84" s="5" t="str">
        <f>sala!F83</f>
        <v>Mesero_5</v>
      </c>
      <c r="AY84" cm="1">
        <f t="array" ref="AY84">SUM(IF(Cocina!A:A=Tabla5[[#This Row],[Nº Orden]],Cocina!F:F*Cocina!G:G,0))</f>
        <v>80</v>
      </c>
      <c r="AZ84" cm="1">
        <f t="array" ref="AZ84">SUM(IF(Cocina!A:A=Tabla5[[#This Row],[Nº Orden]],Cocina!E:E*Cocina!G:G,0))</f>
        <v>48</v>
      </c>
      <c r="BB84" t="str">
        <f>MID(Tabla4[[#This Row],[Cliente]], SEARCH("_", Tabla4[[#This Row],[Cliente]]) + 1, LEN(Tabla4[[#This Row],[Cliente]]) - SEARCH("_",Tabla4[[#This Row],[Cliente]]))</f>
        <v>574</v>
      </c>
      <c r="BC84" t="str">
        <f>sala!B83</f>
        <v>Cliente_574</v>
      </c>
      <c r="BD84" s="1">
        <f>sala!D83</f>
        <v>45017.142361111109</v>
      </c>
      <c r="BE84" s="1">
        <f>sala!E83</f>
        <v>45017.298611111109</v>
      </c>
      <c r="BF84">
        <f>sala!K83</f>
        <v>82</v>
      </c>
      <c r="BG84">
        <f>sala!I83</f>
        <v>386</v>
      </c>
      <c r="BH84" cm="1">
        <f t="array" ref="BH84">SUM(IF(Cocina!A:A=Tabla4[[#This Row],[Número de Orden]],Cocina!F:F*Cocina!G:G,0))</f>
        <v>80</v>
      </c>
      <c r="BI84" t="str">
        <f>sala!J83</f>
        <v>Libre</v>
      </c>
      <c r="BJ84" s="4" t="str">
        <f>IF(Tabla4[[#This Row],[Estado mesa]]="Ocupada","00:15","00:00")</f>
        <v>00:00</v>
      </c>
      <c r="BK84" cm="1">
        <f t="array" ref="BK84">SUM(IF(Cocina!A:A=Tabla4[[#This Row],[Número de Orden]],Cocina!H:H,0))</f>
        <v>19</v>
      </c>
    </row>
    <row r="85" spans="1:63" x14ac:dyDescent="0.3">
      <c r="A85" s="8" t="str">
        <f>MID(Tabla4[[#This Row],[Cliente]], SEARCH("_", Tabla4[[#This Row],[Cliente]]) + 1, LEN(Tabla4[[#This Row],[Cliente]]) - SEARCH("_",Tabla4[[#This Row],[Cliente]]))</f>
        <v>292</v>
      </c>
      <c r="B85">
        <f>sala!K84</f>
        <v>83</v>
      </c>
      <c r="C85">
        <f>Tabla4[[#This Row],[Propina]]+Tabla4[[#This Row],[Precio Cena]]</f>
        <v>2664</v>
      </c>
      <c r="D85" s="3">
        <f>INT(sala!E84)</f>
        <v>45017</v>
      </c>
      <c r="E85" s="4">
        <f>MOD( sala!D84,1)</f>
        <v>0.15416666666715173</v>
      </c>
      <c r="F85" s="4">
        <f>MOD( sala!E84,1)</f>
        <v>0.27708333333430346</v>
      </c>
      <c r="G85" s="4">
        <f>Tabla5[[#This Row],[Hora de Salida]]-Tabla5[[#This Row],[Hora de Llegada]]+Tabla4[[#This Row],[Tiempo Extra]]</f>
        <v>0.13333333333381839</v>
      </c>
      <c r="H85" s="5" t="str">
        <f>TEXT(Tabla4[[#This Row],[Preparación en horas]]/1440, "h:mm")</f>
        <v>1:34</v>
      </c>
      <c r="I85" s="4">
        <f>IF(Tabla5[[#This Row],[Tiempo Permanencia]]-Tabla5[[#This Row],[Tiempo de Preparación ]]&gt;=0,Tabla5[[#This Row],[Tiempo Permanencia]]-Tabla5[[#This Row],[Tiempo de Preparación ]],0)</f>
        <v>6.8055555556040606E-2</v>
      </c>
      <c r="J85" s="5" t="str">
        <f>IF(Tabla5[[#This Row],[Tiempo de Degustación]]=0,"No Cobrada","Cobrada")</f>
        <v>Cobrada</v>
      </c>
      <c r="K85" s="5" cm="1">
        <f t="array" ref="K85">SUM(IF(Tabla5[[#This Row],[Orden Cobrada]]="Cobrada",IF(Cocina!A:A=Tabla5[[#This Row],[Nº Orden]],Cocina!F:F*Cocina!G:G,0),-Tabla6[[#This Row],[Precio Cena]]))</f>
        <v>170</v>
      </c>
      <c r="L85" s="5">
        <f>IF(Tabla5[[#This Row],[Orden Cobrada]]="Cobrada",Tabla5[[#This Row],[Ganancia Bruta]]-Tabla6[[#This Row],[Coste Cena]],-Tabla6[[#This Row],[Precio Cena]]+Tabla6[[#This Row],[Coste Cena]])</f>
        <v>69</v>
      </c>
      <c r="M85" s="10">
        <f>IF(Tabla5[[#This Row],[Orden Cobrada]]="Cobrada",((Tabla5[[#This Row],[Ganancia Neta]]/Tabla5[[#This Row],[Ganancia Bruta]])*100)/100,-((Tabla5[[#This Row],[Ganancia Neta]]/Tabla5[[#This Row],[Ganancia Bruta]]*100)/100))</f>
        <v>0.40588235294117647</v>
      </c>
      <c r="N85" s="5" t="str">
        <f>sala!F84</f>
        <v>Mesero_1</v>
      </c>
      <c r="AY85" cm="1">
        <f t="array" ref="AY85">SUM(IF(Cocina!A:A=Tabla5[[#This Row],[Nº Orden]],Cocina!F:F*Cocina!G:G,0))</f>
        <v>170</v>
      </c>
      <c r="AZ85" cm="1">
        <f t="array" ref="AZ85">SUM(IF(Cocina!A:A=Tabla5[[#This Row],[Nº Orden]],Cocina!E:E*Cocina!G:G,0))</f>
        <v>101</v>
      </c>
      <c r="BB85" t="str">
        <f>MID(Tabla4[[#This Row],[Cliente]], SEARCH("_", Tabla4[[#This Row],[Cliente]]) + 1, LEN(Tabla4[[#This Row],[Cliente]]) - SEARCH("_",Tabla4[[#This Row],[Cliente]]))</f>
        <v>292</v>
      </c>
      <c r="BC85" t="str">
        <f>sala!B84</f>
        <v>Cliente_292</v>
      </c>
      <c r="BD85" s="1">
        <f>sala!D84</f>
        <v>45017.154166666667</v>
      </c>
      <c r="BE85" s="1">
        <f>sala!E84</f>
        <v>45017.277083333334</v>
      </c>
      <c r="BF85">
        <f>sala!K84</f>
        <v>83</v>
      </c>
      <c r="BG85">
        <f>sala!I84</f>
        <v>2494</v>
      </c>
      <c r="BH85" cm="1">
        <f t="array" ref="BH85">SUM(IF(Cocina!A:A=Tabla4[[#This Row],[Número de Orden]],Cocina!F:F*Cocina!G:G,0))</f>
        <v>170</v>
      </c>
      <c r="BI85" t="str">
        <f>sala!J84</f>
        <v>Ocupada</v>
      </c>
      <c r="BJ85" s="4" t="str">
        <f>IF(Tabla4[[#This Row],[Estado mesa]]="Ocupada","00:15","00:00")</f>
        <v>00:15</v>
      </c>
      <c r="BK85" cm="1">
        <f t="array" ref="BK85">SUM(IF(Cocina!A:A=Tabla4[[#This Row],[Número de Orden]],Cocina!H:H,0))</f>
        <v>94</v>
      </c>
    </row>
    <row r="86" spans="1:63" x14ac:dyDescent="0.3">
      <c r="A86" s="8" t="str">
        <f>MID(Tabla4[[#This Row],[Cliente]], SEARCH("_", Tabla4[[#This Row],[Cliente]]) + 1, LEN(Tabla4[[#This Row],[Cliente]]) - SEARCH("_",Tabla4[[#This Row],[Cliente]]))</f>
        <v>148</v>
      </c>
      <c r="B86">
        <f>sala!K85</f>
        <v>84</v>
      </c>
      <c r="C86">
        <f>Tabla4[[#This Row],[Propina]]+Tabla4[[#This Row],[Precio Cena]]</f>
        <v>1571</v>
      </c>
      <c r="D86" s="3">
        <f>INT(sala!E85)</f>
        <v>45017</v>
      </c>
      <c r="E86" s="4">
        <f>MOD( sala!D85,1)</f>
        <v>7.0833333331393078E-2</v>
      </c>
      <c r="F86" s="4">
        <f>MOD( sala!E85,1)</f>
        <v>0.13749999999708962</v>
      </c>
      <c r="G86" s="4">
        <f>Tabla5[[#This Row],[Hora de Salida]]-Tabla5[[#This Row],[Hora de Llegada]]+Tabla4[[#This Row],[Tiempo Extra]]</f>
        <v>7.708333333236321E-2</v>
      </c>
      <c r="H86" s="5" t="str">
        <f>TEXT(Tabla4[[#This Row],[Preparación en horas]]/1440, "h:mm")</f>
        <v>0:10</v>
      </c>
      <c r="I86" s="4">
        <f>IF(Tabla5[[#This Row],[Tiempo Permanencia]]-Tabla5[[#This Row],[Tiempo de Preparación ]]&gt;=0,Tabla5[[#This Row],[Tiempo Permanencia]]-Tabla5[[#This Row],[Tiempo de Preparación ]],0)</f>
        <v>7.0138888887918763E-2</v>
      </c>
      <c r="J86" s="5" t="str">
        <f>IF(Tabla5[[#This Row],[Tiempo de Degustación]]=0,"No Cobrada","Cobrada")</f>
        <v>Cobrada</v>
      </c>
      <c r="K86" s="5" cm="1">
        <f t="array" ref="K86">SUM(IF(Tabla5[[#This Row],[Orden Cobrada]]="Cobrada",IF(Cocina!A:A=Tabla5[[#This Row],[Nº Orden]],Cocina!F:F*Cocina!G:G,0),-Tabla6[[#This Row],[Precio Cena]]))</f>
        <v>60</v>
      </c>
      <c r="L86" s="5">
        <f>IF(Tabla5[[#This Row],[Orden Cobrada]]="Cobrada",Tabla5[[#This Row],[Ganancia Bruta]]-Tabla6[[#This Row],[Coste Cena]],-Tabla6[[#This Row],[Precio Cena]]+Tabla6[[#This Row],[Coste Cena]])</f>
        <v>24</v>
      </c>
      <c r="M86" s="10">
        <f>IF(Tabla5[[#This Row],[Orden Cobrada]]="Cobrada",((Tabla5[[#This Row],[Ganancia Neta]]/Tabla5[[#This Row],[Ganancia Bruta]])*100)/100,-((Tabla5[[#This Row],[Ganancia Neta]]/Tabla5[[#This Row],[Ganancia Bruta]]*100)/100))</f>
        <v>0.4</v>
      </c>
      <c r="N86" s="5" t="str">
        <f>sala!F85</f>
        <v>Mesero_4</v>
      </c>
      <c r="AY86" cm="1">
        <f t="array" ref="AY86">SUM(IF(Cocina!A:A=Tabla5[[#This Row],[Nº Orden]],Cocina!F:F*Cocina!G:G,0))</f>
        <v>60</v>
      </c>
      <c r="AZ86" cm="1">
        <f t="array" ref="AZ86">SUM(IF(Cocina!A:A=Tabla5[[#This Row],[Nº Orden]],Cocina!E:E*Cocina!G:G,0))</f>
        <v>36</v>
      </c>
      <c r="BB86" t="str">
        <f>MID(Tabla4[[#This Row],[Cliente]], SEARCH("_", Tabla4[[#This Row],[Cliente]]) + 1, LEN(Tabla4[[#This Row],[Cliente]]) - SEARCH("_",Tabla4[[#This Row],[Cliente]]))</f>
        <v>148</v>
      </c>
      <c r="BC86" t="str">
        <f>sala!B85</f>
        <v>Cliente_148</v>
      </c>
      <c r="BD86" s="1">
        <f>sala!D85</f>
        <v>45017.070833333331</v>
      </c>
      <c r="BE86" s="1">
        <f>sala!E85</f>
        <v>45017.137499999997</v>
      </c>
      <c r="BF86">
        <f>sala!K85</f>
        <v>84</v>
      </c>
      <c r="BG86">
        <f>sala!I85</f>
        <v>1511</v>
      </c>
      <c r="BH86" cm="1">
        <f t="array" ref="BH86">SUM(IF(Cocina!A:A=Tabla4[[#This Row],[Número de Orden]],Cocina!F:F*Cocina!G:G,0))</f>
        <v>60</v>
      </c>
      <c r="BI86" t="str">
        <f>sala!J85</f>
        <v>Ocupada</v>
      </c>
      <c r="BJ86" s="4" t="str">
        <f>IF(Tabla4[[#This Row],[Estado mesa]]="Ocupada","00:15","00:00")</f>
        <v>00:15</v>
      </c>
      <c r="BK86" cm="1">
        <f t="array" ref="BK86">SUM(IF(Cocina!A:A=Tabla4[[#This Row],[Número de Orden]],Cocina!H:H,0))</f>
        <v>10</v>
      </c>
    </row>
    <row r="87" spans="1:63" x14ac:dyDescent="0.3">
      <c r="A87" s="8" t="str">
        <f>MID(Tabla4[[#This Row],[Cliente]], SEARCH("_", Tabla4[[#This Row],[Cliente]]) + 1, LEN(Tabla4[[#This Row],[Cliente]]) - SEARCH("_",Tabla4[[#This Row],[Cliente]]))</f>
        <v>747</v>
      </c>
      <c r="B87">
        <f>sala!K86</f>
        <v>85</v>
      </c>
      <c r="C87">
        <f>Tabla4[[#This Row],[Propina]]+Tabla4[[#This Row],[Precio Cena]]</f>
        <v>4804</v>
      </c>
      <c r="D87" s="3">
        <f>INT(sala!E86)</f>
        <v>45017</v>
      </c>
      <c r="E87" s="4">
        <f>MOD( sala!D86,1)</f>
        <v>0.10763888889050577</v>
      </c>
      <c r="F87" s="4">
        <f>MOD( sala!E86,1)</f>
        <v>0.18819444444670808</v>
      </c>
      <c r="G87" s="4">
        <f>Tabla5[[#This Row],[Hora de Salida]]-Tabla5[[#This Row],[Hora de Llegada]]+Tabla4[[#This Row],[Tiempo Extra]]</f>
        <v>8.0555555556202307E-2</v>
      </c>
      <c r="H87" s="5" t="str">
        <f>TEXT(Tabla4[[#This Row],[Preparación en horas]]/1440, "h:mm")</f>
        <v>2:22</v>
      </c>
      <c r="I87" s="4">
        <f>IF(Tabla5[[#This Row],[Tiempo Permanencia]]-Tabla5[[#This Row],[Tiempo de Preparación ]]&gt;=0,Tabla5[[#This Row],[Tiempo Permanencia]]-Tabla5[[#This Row],[Tiempo de Preparación ]],0)</f>
        <v>0</v>
      </c>
      <c r="J87" s="5" t="str">
        <f>IF(Tabla5[[#This Row],[Tiempo de Degustación]]=0,"No Cobrada","Cobrada")</f>
        <v>No Cobrada</v>
      </c>
      <c r="K87" s="5" cm="1">
        <f t="array" ref="K87">SUM(IF(Tabla5[[#This Row],[Orden Cobrada]]="Cobrada",IF(Cocina!A:A=Tabla5[[#This Row],[Nº Orden]],Cocina!F:F*Cocina!G:G,0),-Tabla6[[#This Row],[Precio Cena]]))</f>
        <v>-208</v>
      </c>
      <c r="L87" s="5">
        <f>IF(Tabla5[[#This Row],[Orden Cobrada]]="Cobrada",Tabla5[[#This Row],[Ganancia Bruta]]-Tabla6[[#This Row],[Coste Cena]],-Tabla6[[#This Row],[Precio Cena]]+Tabla6[[#This Row],[Coste Cena]])</f>
        <v>-85</v>
      </c>
      <c r="M87" s="10">
        <f>IF(Tabla5[[#This Row],[Orden Cobrada]]="Cobrada",((Tabla5[[#This Row],[Ganancia Neta]]/Tabla5[[#This Row],[Ganancia Bruta]])*100)/100,-((Tabla5[[#This Row],[Ganancia Neta]]/Tabla5[[#This Row],[Ganancia Bruta]]*100)/100))</f>
        <v>-0.40865384615384615</v>
      </c>
      <c r="N87" s="5" t="str">
        <f>sala!F86</f>
        <v>Mesero_2</v>
      </c>
      <c r="AY87" cm="1">
        <f t="array" ref="AY87">SUM(IF(Cocina!A:A=Tabla5[[#This Row],[Nº Orden]],Cocina!F:F*Cocina!G:G,0))</f>
        <v>208</v>
      </c>
      <c r="AZ87" cm="1">
        <f t="array" ref="AZ87">SUM(IF(Cocina!A:A=Tabla5[[#This Row],[Nº Orden]],Cocina!E:E*Cocina!G:G,0))</f>
        <v>123</v>
      </c>
      <c r="BB87" t="str">
        <f>MID(Tabla4[[#This Row],[Cliente]], SEARCH("_", Tabla4[[#This Row],[Cliente]]) + 1, LEN(Tabla4[[#This Row],[Cliente]]) - SEARCH("_",Tabla4[[#This Row],[Cliente]]))</f>
        <v>747</v>
      </c>
      <c r="BC87" t="str">
        <f>sala!B86</f>
        <v>Cliente_747</v>
      </c>
      <c r="BD87" s="1">
        <f>sala!D86</f>
        <v>45017.107638888891</v>
      </c>
      <c r="BE87" s="1">
        <f>sala!E86</f>
        <v>45017.188194444447</v>
      </c>
      <c r="BF87">
        <f>sala!K86</f>
        <v>85</v>
      </c>
      <c r="BG87">
        <f>sala!I86</f>
        <v>4596</v>
      </c>
      <c r="BH87" cm="1">
        <f t="array" ref="BH87">SUM(IF(Cocina!A:A=Tabla4[[#This Row],[Número de Orden]],Cocina!F:F*Cocina!G:G,0))</f>
        <v>208</v>
      </c>
      <c r="BI87" t="str">
        <f>sala!J86</f>
        <v>Libre</v>
      </c>
      <c r="BJ87" s="4" t="str">
        <f>IF(Tabla4[[#This Row],[Estado mesa]]="Ocupada","00:15","00:00")</f>
        <v>00:00</v>
      </c>
      <c r="BK87" cm="1">
        <f t="array" ref="BK87">SUM(IF(Cocina!A:A=Tabla4[[#This Row],[Número de Orden]],Cocina!H:H,0))</f>
        <v>142</v>
      </c>
    </row>
    <row r="88" spans="1:63" x14ac:dyDescent="0.3">
      <c r="A88" s="8" t="str">
        <f>MID(Tabla4[[#This Row],[Cliente]], SEARCH("_", Tabla4[[#This Row],[Cliente]]) + 1, LEN(Tabla4[[#This Row],[Cliente]]) - SEARCH("_",Tabla4[[#This Row],[Cliente]]))</f>
        <v>501</v>
      </c>
      <c r="B88">
        <f>sala!K87</f>
        <v>86</v>
      </c>
      <c r="C88">
        <f>Tabla4[[#This Row],[Propina]]+Tabla4[[#This Row],[Precio Cena]]</f>
        <v>1234</v>
      </c>
      <c r="D88" s="3">
        <f>INT(sala!E87)</f>
        <v>45017</v>
      </c>
      <c r="E88" s="4">
        <f>MOD( sala!D87,1)</f>
        <v>1.3888888861401938E-3</v>
      </c>
      <c r="F88" s="4">
        <f>MOD( sala!E87,1)</f>
        <v>8.8888888887595385E-2</v>
      </c>
      <c r="G88" s="4">
        <f>Tabla5[[#This Row],[Hora de Salida]]-Tabla5[[#This Row],[Hora de Llegada]]+Tabla4[[#This Row],[Tiempo Extra]]</f>
        <v>8.7500000001455192E-2</v>
      </c>
      <c r="H88" s="5" t="str">
        <f>TEXT(Tabla4[[#This Row],[Preparación en horas]]/1440, "h:mm")</f>
        <v>0:08</v>
      </c>
      <c r="I88" s="4">
        <f>IF(Tabla5[[#This Row],[Tiempo Permanencia]]-Tabla5[[#This Row],[Tiempo de Preparación ]]&gt;=0,Tabla5[[#This Row],[Tiempo Permanencia]]-Tabla5[[#This Row],[Tiempo de Preparación ]],0)</f>
        <v>8.1944444445899642E-2</v>
      </c>
      <c r="J88" s="5" t="str">
        <f>IF(Tabla5[[#This Row],[Tiempo de Degustación]]=0,"No Cobrada","Cobrada")</f>
        <v>Cobrada</v>
      </c>
      <c r="K88" s="5" cm="1">
        <f t="array" ref="K88">SUM(IF(Tabla5[[#This Row],[Orden Cobrada]]="Cobrada",IF(Cocina!A:A=Tabla5[[#This Row],[Nº Orden]],Cocina!F:F*Cocina!G:G,0),-Tabla6[[#This Row],[Precio Cena]]))</f>
        <v>50</v>
      </c>
      <c r="L88" s="5">
        <f>IF(Tabla5[[#This Row],[Orden Cobrada]]="Cobrada",Tabla5[[#This Row],[Ganancia Bruta]]-Tabla6[[#This Row],[Coste Cena]],-Tabla6[[#This Row],[Precio Cena]]+Tabla6[[#This Row],[Coste Cena]])</f>
        <v>20</v>
      </c>
      <c r="M88" s="10">
        <f>IF(Tabla5[[#This Row],[Orden Cobrada]]="Cobrada",((Tabla5[[#This Row],[Ganancia Neta]]/Tabla5[[#This Row],[Ganancia Bruta]])*100)/100,-((Tabla5[[#This Row],[Ganancia Neta]]/Tabla5[[#This Row],[Ganancia Bruta]]*100)/100))</f>
        <v>0.4</v>
      </c>
      <c r="N88" s="5" t="str">
        <f>sala!F87</f>
        <v>Mesero_5</v>
      </c>
      <c r="AY88" cm="1">
        <f t="array" ref="AY88">SUM(IF(Cocina!A:A=Tabla5[[#This Row],[Nº Orden]],Cocina!F:F*Cocina!G:G,0))</f>
        <v>50</v>
      </c>
      <c r="AZ88" cm="1">
        <f t="array" ref="AZ88">SUM(IF(Cocina!A:A=Tabla5[[#This Row],[Nº Orden]],Cocina!E:E*Cocina!G:G,0))</f>
        <v>30</v>
      </c>
      <c r="BB88" t="str">
        <f>MID(Tabla4[[#This Row],[Cliente]], SEARCH("_", Tabla4[[#This Row],[Cliente]]) + 1, LEN(Tabla4[[#This Row],[Cliente]]) - SEARCH("_",Tabla4[[#This Row],[Cliente]]))</f>
        <v>501</v>
      </c>
      <c r="BC88" t="str">
        <f>sala!B87</f>
        <v>Cliente_501</v>
      </c>
      <c r="BD88" s="1">
        <f>sala!D87</f>
        <v>45017.001388888886</v>
      </c>
      <c r="BE88" s="1">
        <f>sala!E87</f>
        <v>45017.088888888888</v>
      </c>
      <c r="BF88">
        <f>sala!K87</f>
        <v>86</v>
      </c>
      <c r="BG88">
        <f>sala!I87</f>
        <v>1184</v>
      </c>
      <c r="BH88" cm="1">
        <f t="array" ref="BH88">SUM(IF(Cocina!A:A=Tabla4[[#This Row],[Número de Orden]],Cocina!F:F*Cocina!G:G,0))</f>
        <v>50</v>
      </c>
      <c r="BI88" t="str">
        <f>sala!J87</f>
        <v>Libre</v>
      </c>
      <c r="BJ88" s="4" t="str">
        <f>IF(Tabla4[[#This Row],[Estado mesa]]="Ocupada","00:15","00:00")</f>
        <v>00:00</v>
      </c>
      <c r="BK88" cm="1">
        <f t="array" ref="BK88">SUM(IF(Cocina!A:A=Tabla4[[#This Row],[Número de Orden]],Cocina!H:H,0))</f>
        <v>8</v>
      </c>
    </row>
    <row r="89" spans="1:63" x14ac:dyDescent="0.3">
      <c r="A89" s="8" t="str">
        <f>MID(Tabla4[[#This Row],[Cliente]], SEARCH("_", Tabla4[[#This Row],[Cliente]]) + 1, LEN(Tabla4[[#This Row],[Cliente]]) - SEARCH("_",Tabla4[[#This Row],[Cliente]]))</f>
        <v>733</v>
      </c>
      <c r="B89">
        <f>sala!K88</f>
        <v>87</v>
      </c>
      <c r="C89">
        <f>Tabla4[[#This Row],[Propina]]+Tabla4[[#This Row],[Precio Cena]]</f>
        <v>3045</v>
      </c>
      <c r="D89" s="3">
        <f>INT(sala!E88)</f>
        <v>45017</v>
      </c>
      <c r="E89" s="4">
        <f>MOD( sala!D88,1)</f>
        <v>7.3611111110949423E-2</v>
      </c>
      <c r="F89" s="4">
        <f>MOD( sala!E88,1)</f>
        <v>0.13749999999708962</v>
      </c>
      <c r="G89" s="4">
        <f>Tabla5[[#This Row],[Hora de Salida]]-Tabla5[[#This Row],[Hora de Llegada]]+Tabla4[[#This Row],[Tiempo Extra]]</f>
        <v>7.4305555552806865E-2</v>
      </c>
      <c r="H89" s="5" t="str">
        <f>TEXT(Tabla4[[#This Row],[Preparación en horas]]/1440, "h:mm")</f>
        <v>1:11</v>
      </c>
      <c r="I89" s="4">
        <f>IF(Tabla5[[#This Row],[Tiempo Permanencia]]-Tabla5[[#This Row],[Tiempo de Preparación ]]&gt;=0,Tabla5[[#This Row],[Tiempo Permanencia]]-Tabla5[[#This Row],[Tiempo de Preparación ]],0)</f>
        <v>2.4999999997251311E-2</v>
      </c>
      <c r="J89" s="5" t="str">
        <f>IF(Tabla5[[#This Row],[Tiempo de Degustación]]=0,"No Cobrada","Cobrada")</f>
        <v>Cobrada</v>
      </c>
      <c r="K89" s="5" cm="1">
        <f t="array" ref="K89">SUM(IF(Tabla5[[#This Row],[Orden Cobrada]]="Cobrada",IF(Cocina!A:A=Tabla5[[#This Row],[Nº Orden]],Cocina!F:F*Cocina!G:G,0),-Tabla6[[#This Row],[Precio Cena]]))</f>
        <v>99</v>
      </c>
      <c r="L89" s="5">
        <f>IF(Tabla5[[#This Row],[Orden Cobrada]]="Cobrada",Tabla5[[#This Row],[Ganancia Bruta]]-Tabla6[[#This Row],[Coste Cena]],-Tabla6[[#This Row],[Precio Cena]]+Tabla6[[#This Row],[Coste Cena]])</f>
        <v>41</v>
      </c>
      <c r="M89" s="10">
        <f>IF(Tabla5[[#This Row],[Orden Cobrada]]="Cobrada",((Tabla5[[#This Row],[Ganancia Neta]]/Tabla5[[#This Row],[Ganancia Bruta]])*100)/100,-((Tabla5[[#This Row],[Ganancia Neta]]/Tabla5[[#This Row],[Ganancia Bruta]]*100)/100))</f>
        <v>0.41414141414141414</v>
      </c>
      <c r="N89" s="5" t="str">
        <f>sala!F88</f>
        <v>Mesero_4</v>
      </c>
      <c r="AY89" cm="1">
        <f t="array" ref="AY89">SUM(IF(Cocina!A:A=Tabla5[[#This Row],[Nº Orden]],Cocina!F:F*Cocina!G:G,0))</f>
        <v>99</v>
      </c>
      <c r="AZ89" cm="1">
        <f t="array" ref="AZ89">SUM(IF(Cocina!A:A=Tabla5[[#This Row],[Nº Orden]],Cocina!E:E*Cocina!G:G,0))</f>
        <v>58</v>
      </c>
      <c r="BB89" t="str">
        <f>MID(Tabla4[[#This Row],[Cliente]], SEARCH("_", Tabla4[[#This Row],[Cliente]]) + 1, LEN(Tabla4[[#This Row],[Cliente]]) - SEARCH("_",Tabla4[[#This Row],[Cliente]]))</f>
        <v>733</v>
      </c>
      <c r="BC89" t="str">
        <f>sala!B88</f>
        <v>Cliente_733</v>
      </c>
      <c r="BD89" s="1">
        <f>sala!D88</f>
        <v>45017.073611111111</v>
      </c>
      <c r="BE89" s="1">
        <f>sala!E88</f>
        <v>45017.137499999997</v>
      </c>
      <c r="BF89">
        <f>sala!K88</f>
        <v>87</v>
      </c>
      <c r="BG89">
        <f>sala!I88</f>
        <v>2946</v>
      </c>
      <c r="BH89" cm="1">
        <f t="array" ref="BH89">SUM(IF(Cocina!A:A=Tabla4[[#This Row],[Número de Orden]],Cocina!F:F*Cocina!G:G,0))</f>
        <v>99</v>
      </c>
      <c r="BI89" t="str">
        <f>sala!J88</f>
        <v>Ocupada</v>
      </c>
      <c r="BJ89" s="4" t="str">
        <f>IF(Tabla4[[#This Row],[Estado mesa]]="Ocupada","00:15","00:00")</f>
        <v>00:15</v>
      </c>
      <c r="BK89" cm="1">
        <f t="array" ref="BK89">SUM(IF(Cocina!A:A=Tabla4[[#This Row],[Número de Orden]],Cocina!H:H,0))</f>
        <v>71</v>
      </c>
    </row>
    <row r="90" spans="1:63" x14ac:dyDescent="0.3">
      <c r="A90" s="8" t="str">
        <f>MID(Tabla4[[#This Row],[Cliente]], SEARCH("_", Tabla4[[#This Row],[Cliente]]) + 1, LEN(Tabla4[[#This Row],[Cliente]]) - SEARCH("_",Tabla4[[#This Row],[Cliente]]))</f>
        <v>36</v>
      </c>
      <c r="B90">
        <f>sala!K89</f>
        <v>88</v>
      </c>
      <c r="C90">
        <f>Tabla4[[#This Row],[Propina]]+Tabla4[[#This Row],[Precio Cena]]</f>
        <v>2516</v>
      </c>
      <c r="D90" s="3">
        <f>INT(sala!E89)</f>
        <v>45017</v>
      </c>
      <c r="E90" s="4">
        <f>MOD( sala!D89,1)</f>
        <v>0.14583333333575865</v>
      </c>
      <c r="F90" s="4">
        <f>MOD( sala!E89,1)</f>
        <v>0.27777777778101154</v>
      </c>
      <c r="G90" s="4">
        <f>Tabla5[[#This Row],[Hora de Salida]]-Tabla5[[#This Row],[Hora de Llegada]]+Tabla4[[#This Row],[Tiempo Extra]]</f>
        <v>0.13194444444525288</v>
      </c>
      <c r="H90" s="5" t="str">
        <f>TEXT(Tabla4[[#This Row],[Preparación en horas]]/1440, "h:mm")</f>
        <v>1:57</v>
      </c>
      <c r="I90" s="4">
        <f>IF(Tabla5[[#This Row],[Tiempo Permanencia]]-Tabla5[[#This Row],[Tiempo de Preparación ]]&gt;=0,Tabla5[[#This Row],[Tiempo Permanencia]]-Tabla5[[#This Row],[Tiempo de Preparación ]],0)</f>
        <v>5.0694444445252881E-2</v>
      </c>
      <c r="J90" s="5" t="str">
        <f>IF(Tabla5[[#This Row],[Tiempo de Degustación]]=0,"No Cobrada","Cobrada")</f>
        <v>Cobrada</v>
      </c>
      <c r="K90" s="5" cm="1">
        <f t="array" ref="K90">SUM(IF(Tabla5[[#This Row],[Orden Cobrada]]="Cobrada",IF(Cocina!A:A=Tabla5[[#This Row],[Nº Orden]],Cocina!F:F*Cocina!G:G,0),-Tabla6[[#This Row],[Precio Cena]]))</f>
        <v>123</v>
      </c>
      <c r="L90" s="5">
        <f>IF(Tabla5[[#This Row],[Orden Cobrada]]="Cobrada",Tabla5[[#This Row],[Ganancia Bruta]]-Tabla6[[#This Row],[Coste Cena]],-Tabla6[[#This Row],[Precio Cena]]+Tabla6[[#This Row],[Coste Cena]])</f>
        <v>50</v>
      </c>
      <c r="M90" s="10">
        <f>IF(Tabla5[[#This Row],[Orden Cobrada]]="Cobrada",((Tabla5[[#This Row],[Ganancia Neta]]/Tabla5[[#This Row],[Ganancia Bruta]])*100)/100,-((Tabla5[[#This Row],[Ganancia Neta]]/Tabla5[[#This Row],[Ganancia Bruta]]*100)/100))</f>
        <v>0.4065040650406504</v>
      </c>
      <c r="N90" s="5" t="str">
        <f>sala!F89</f>
        <v>Mesero_4</v>
      </c>
      <c r="AY90" cm="1">
        <f t="array" ref="AY90">SUM(IF(Cocina!A:A=Tabla5[[#This Row],[Nº Orden]],Cocina!F:F*Cocina!G:G,0))</f>
        <v>123</v>
      </c>
      <c r="AZ90" cm="1">
        <f t="array" ref="AZ90">SUM(IF(Cocina!A:A=Tabla5[[#This Row],[Nº Orden]],Cocina!E:E*Cocina!G:G,0))</f>
        <v>73</v>
      </c>
      <c r="BB90" t="str">
        <f>MID(Tabla4[[#This Row],[Cliente]], SEARCH("_", Tabla4[[#This Row],[Cliente]]) + 1, LEN(Tabla4[[#This Row],[Cliente]]) - SEARCH("_",Tabla4[[#This Row],[Cliente]]))</f>
        <v>36</v>
      </c>
      <c r="BC90" t="str">
        <f>sala!B89</f>
        <v>Cliente_36</v>
      </c>
      <c r="BD90" s="1">
        <f>sala!D89</f>
        <v>45017.145833333336</v>
      </c>
      <c r="BE90" s="1">
        <f>sala!E89</f>
        <v>45017.277777777781</v>
      </c>
      <c r="BF90">
        <f>sala!K89</f>
        <v>88</v>
      </c>
      <c r="BG90">
        <f>sala!I89</f>
        <v>2393</v>
      </c>
      <c r="BH90" cm="1">
        <f t="array" ref="BH90">SUM(IF(Cocina!A:A=Tabla4[[#This Row],[Número de Orden]],Cocina!F:F*Cocina!G:G,0))</f>
        <v>123</v>
      </c>
      <c r="BI90" t="str">
        <f>sala!J89</f>
        <v>Reservada</v>
      </c>
      <c r="BJ90" s="4" t="str">
        <f>IF(Tabla4[[#This Row],[Estado mesa]]="Ocupada","00:15","00:00")</f>
        <v>00:00</v>
      </c>
      <c r="BK90" cm="1">
        <f t="array" ref="BK90">SUM(IF(Cocina!A:A=Tabla4[[#This Row],[Número de Orden]],Cocina!H:H,0))</f>
        <v>117</v>
      </c>
    </row>
    <row r="91" spans="1:63" x14ac:dyDescent="0.3">
      <c r="A91" s="8" t="str">
        <f>MID(Tabla4[[#This Row],[Cliente]], SEARCH("_", Tabla4[[#This Row],[Cliente]]) + 1, LEN(Tabla4[[#This Row],[Cliente]]) - SEARCH("_",Tabla4[[#This Row],[Cliente]]))</f>
        <v>553</v>
      </c>
      <c r="B91">
        <f>sala!K90</f>
        <v>89</v>
      </c>
      <c r="C91">
        <f>Tabla4[[#This Row],[Propina]]+Tabla4[[#This Row],[Precio Cena]]</f>
        <v>1387</v>
      </c>
      <c r="D91" s="3">
        <f>INT(sala!E90)</f>
        <v>45017</v>
      </c>
      <c r="E91" s="4">
        <f>MOD( sala!D90,1)</f>
        <v>2.9166666667151731E-2</v>
      </c>
      <c r="F91" s="4">
        <f>MOD( sala!E90,1)</f>
        <v>9.6527777779556345E-2</v>
      </c>
      <c r="G91" s="4">
        <f>Tabla5[[#This Row],[Hora de Salida]]-Tabla5[[#This Row],[Hora de Llegada]]+Tabla4[[#This Row],[Tiempo Extra]]</f>
        <v>6.7361111112404615E-2</v>
      </c>
      <c r="H91" s="5" t="str">
        <f>TEXT(Tabla4[[#This Row],[Preparación en horas]]/1440, "h:mm")</f>
        <v>2:22</v>
      </c>
      <c r="I91" s="4">
        <f>IF(Tabla5[[#This Row],[Tiempo Permanencia]]-Tabla5[[#This Row],[Tiempo de Preparación ]]&gt;=0,Tabla5[[#This Row],[Tiempo Permanencia]]-Tabla5[[#This Row],[Tiempo de Preparación ]],0)</f>
        <v>0</v>
      </c>
      <c r="J91" s="5" t="str">
        <f>IF(Tabla5[[#This Row],[Tiempo de Degustación]]=0,"No Cobrada","Cobrada")</f>
        <v>No Cobrada</v>
      </c>
      <c r="K91" s="5" cm="1">
        <f t="array" ref="K91">SUM(IF(Tabla5[[#This Row],[Orden Cobrada]]="Cobrada",IF(Cocina!A:A=Tabla5[[#This Row],[Nº Orden]],Cocina!F:F*Cocina!G:G,0),-Tabla6[[#This Row],[Precio Cena]]))</f>
        <v>-159</v>
      </c>
      <c r="L91" s="5">
        <f>IF(Tabla5[[#This Row],[Orden Cobrada]]="Cobrada",Tabla5[[#This Row],[Ganancia Bruta]]-Tabla6[[#This Row],[Coste Cena]],-Tabla6[[#This Row],[Precio Cena]]+Tabla6[[#This Row],[Coste Cena]])</f>
        <v>-64</v>
      </c>
      <c r="M91" s="10">
        <f>IF(Tabla5[[#This Row],[Orden Cobrada]]="Cobrada",((Tabla5[[#This Row],[Ganancia Neta]]/Tabla5[[#This Row],[Ganancia Bruta]])*100)/100,-((Tabla5[[#This Row],[Ganancia Neta]]/Tabla5[[#This Row],[Ganancia Bruta]]*100)/100))</f>
        <v>-0.40251572327044033</v>
      </c>
      <c r="N91" s="5" t="str">
        <f>sala!F90</f>
        <v>Mesero_5</v>
      </c>
      <c r="AY91" cm="1">
        <f t="array" ref="AY91">SUM(IF(Cocina!A:A=Tabla5[[#This Row],[Nº Orden]],Cocina!F:F*Cocina!G:G,0))</f>
        <v>159</v>
      </c>
      <c r="AZ91" cm="1">
        <f t="array" ref="AZ91">SUM(IF(Cocina!A:A=Tabla5[[#This Row],[Nº Orden]],Cocina!E:E*Cocina!G:G,0))</f>
        <v>95</v>
      </c>
      <c r="BB91" t="str">
        <f>MID(Tabla4[[#This Row],[Cliente]], SEARCH("_", Tabla4[[#This Row],[Cliente]]) + 1, LEN(Tabla4[[#This Row],[Cliente]]) - SEARCH("_",Tabla4[[#This Row],[Cliente]]))</f>
        <v>553</v>
      </c>
      <c r="BC91" t="str">
        <f>sala!B90</f>
        <v>Cliente_553</v>
      </c>
      <c r="BD91" s="1">
        <f>sala!D90</f>
        <v>45017.029166666667</v>
      </c>
      <c r="BE91" s="1">
        <f>sala!E90</f>
        <v>45017.09652777778</v>
      </c>
      <c r="BF91">
        <f>sala!K90</f>
        <v>89</v>
      </c>
      <c r="BG91">
        <f>sala!I90</f>
        <v>1228</v>
      </c>
      <c r="BH91" cm="1">
        <f t="array" ref="BH91">SUM(IF(Cocina!A:A=Tabla4[[#This Row],[Número de Orden]],Cocina!F:F*Cocina!G:G,0))</f>
        <v>159</v>
      </c>
      <c r="BI91" t="str">
        <f>sala!J90</f>
        <v>Libre</v>
      </c>
      <c r="BJ91" s="4" t="str">
        <f>IF(Tabla4[[#This Row],[Estado mesa]]="Ocupada","00:15","00:00")</f>
        <v>00:00</v>
      </c>
      <c r="BK91" cm="1">
        <f t="array" ref="BK91">SUM(IF(Cocina!A:A=Tabla4[[#This Row],[Número de Orden]],Cocina!H:H,0))</f>
        <v>142</v>
      </c>
    </row>
    <row r="92" spans="1:63" x14ac:dyDescent="0.3">
      <c r="A92" s="8" t="str">
        <f>MID(Tabla4[[#This Row],[Cliente]], SEARCH("_", Tabla4[[#This Row],[Cliente]]) + 1, LEN(Tabla4[[#This Row],[Cliente]]) - SEARCH("_",Tabla4[[#This Row],[Cliente]]))</f>
        <v>1000</v>
      </c>
      <c r="B92">
        <f>sala!K91</f>
        <v>90</v>
      </c>
      <c r="C92">
        <f>Tabla4[[#This Row],[Propina]]+Tabla4[[#This Row],[Precio Cena]]</f>
        <v>3103</v>
      </c>
      <c r="D92" s="3">
        <f>INT(sala!E91)</f>
        <v>45017</v>
      </c>
      <c r="E92" s="4">
        <f>MOD( sala!D91,1)</f>
        <v>5.3472222221898846E-2</v>
      </c>
      <c r="F92" s="4">
        <f>MOD( sala!E91,1)</f>
        <v>0.13402777777810115</v>
      </c>
      <c r="G92" s="4">
        <f>Tabla5[[#This Row],[Hora de Salida]]-Tabla5[[#This Row],[Hora de Llegada]]+Tabla4[[#This Row],[Tiempo Extra]]</f>
        <v>8.0555555556202307E-2</v>
      </c>
      <c r="H92" s="5" t="str">
        <f>TEXT(Tabla4[[#This Row],[Preparación en horas]]/1440, "h:mm")</f>
        <v>0:48</v>
      </c>
      <c r="I92" s="4">
        <f>IF(Tabla5[[#This Row],[Tiempo Permanencia]]-Tabla5[[#This Row],[Tiempo de Preparación ]]&gt;=0,Tabla5[[#This Row],[Tiempo Permanencia]]-Tabla5[[#This Row],[Tiempo de Preparación ]],0)</f>
        <v>4.7222222222868974E-2</v>
      </c>
      <c r="J92" s="5" t="str">
        <f>IF(Tabla5[[#This Row],[Tiempo de Degustación]]=0,"No Cobrada","Cobrada")</f>
        <v>Cobrada</v>
      </c>
      <c r="K92" s="5" cm="1">
        <f t="array" ref="K92">SUM(IF(Tabla5[[#This Row],[Orden Cobrada]]="Cobrada",IF(Cocina!A:A=Tabla5[[#This Row],[Nº Orden]],Cocina!F:F*Cocina!G:G,0),-Tabla6[[#This Row],[Precio Cena]]))</f>
        <v>34</v>
      </c>
      <c r="L92" s="5">
        <f>IF(Tabla5[[#This Row],[Orden Cobrada]]="Cobrada",Tabla5[[#This Row],[Ganancia Bruta]]-Tabla6[[#This Row],[Coste Cena]],-Tabla6[[#This Row],[Precio Cena]]+Tabla6[[#This Row],[Coste Cena]])</f>
        <v>14</v>
      </c>
      <c r="M92" s="10">
        <f>IF(Tabla5[[#This Row],[Orden Cobrada]]="Cobrada",((Tabla5[[#This Row],[Ganancia Neta]]/Tabla5[[#This Row],[Ganancia Bruta]])*100)/100,-((Tabla5[[#This Row],[Ganancia Neta]]/Tabla5[[#This Row],[Ganancia Bruta]]*100)/100))</f>
        <v>0.41176470588235292</v>
      </c>
      <c r="N92" s="5" t="str">
        <f>sala!F91</f>
        <v>Mesero_5</v>
      </c>
      <c r="AY92" cm="1">
        <f t="array" ref="AY92">SUM(IF(Cocina!A:A=Tabla5[[#This Row],[Nº Orden]],Cocina!F:F*Cocina!G:G,0))</f>
        <v>34</v>
      </c>
      <c r="AZ92" cm="1">
        <f t="array" ref="AZ92">SUM(IF(Cocina!A:A=Tabla5[[#This Row],[Nº Orden]],Cocina!E:E*Cocina!G:G,0))</f>
        <v>20</v>
      </c>
      <c r="BB92" t="str">
        <f>MID(Tabla4[[#This Row],[Cliente]], SEARCH("_", Tabla4[[#This Row],[Cliente]]) + 1, LEN(Tabla4[[#This Row],[Cliente]]) - SEARCH("_",Tabla4[[#This Row],[Cliente]]))</f>
        <v>1000</v>
      </c>
      <c r="BC92" t="str">
        <f>sala!B91</f>
        <v>Cliente_1000</v>
      </c>
      <c r="BD92" s="1">
        <f>sala!D91</f>
        <v>45017.053472222222</v>
      </c>
      <c r="BE92" s="1">
        <f>sala!E91</f>
        <v>45017.134027777778</v>
      </c>
      <c r="BF92">
        <f>sala!K91</f>
        <v>90</v>
      </c>
      <c r="BG92">
        <f>sala!I91</f>
        <v>3069</v>
      </c>
      <c r="BH92" cm="1">
        <f t="array" ref="BH92">SUM(IF(Cocina!A:A=Tabla4[[#This Row],[Número de Orden]],Cocina!F:F*Cocina!G:G,0))</f>
        <v>34</v>
      </c>
      <c r="BI92" t="str">
        <f>sala!J91</f>
        <v>Reservada</v>
      </c>
      <c r="BJ92" s="4" t="str">
        <f>IF(Tabla4[[#This Row],[Estado mesa]]="Ocupada","00:15","00:00")</f>
        <v>00:00</v>
      </c>
      <c r="BK92" cm="1">
        <f t="array" ref="BK92">SUM(IF(Cocina!A:A=Tabla4[[#This Row],[Número de Orden]],Cocina!H:H,0))</f>
        <v>48</v>
      </c>
    </row>
    <row r="93" spans="1:63" x14ac:dyDescent="0.3">
      <c r="A93" s="8" t="str">
        <f>MID(Tabla4[[#This Row],[Cliente]], SEARCH("_", Tabla4[[#This Row],[Cliente]]) + 1, LEN(Tabla4[[#This Row],[Cliente]]) - SEARCH("_",Tabla4[[#This Row],[Cliente]]))</f>
        <v>607</v>
      </c>
      <c r="B93">
        <f>sala!K92</f>
        <v>91</v>
      </c>
      <c r="C93">
        <f>Tabla4[[#This Row],[Propina]]+Tabla4[[#This Row],[Precio Cena]]</f>
        <v>684</v>
      </c>
      <c r="D93" s="3">
        <f>INT(sala!E92)</f>
        <v>45017</v>
      </c>
      <c r="E93" s="4">
        <f>MOD( sala!D92,1)</f>
        <v>0.15138888888759539</v>
      </c>
      <c r="F93" s="4">
        <f>MOD( sala!E92,1)</f>
        <v>0.22499999999854481</v>
      </c>
      <c r="G93" s="4">
        <f>Tabla5[[#This Row],[Hora de Salida]]-Tabla5[[#This Row],[Hora de Llegada]]+Tabla4[[#This Row],[Tiempo Extra]]</f>
        <v>7.3611111110949423E-2</v>
      </c>
      <c r="H93" s="5" t="str">
        <f>TEXT(Tabla4[[#This Row],[Preparación en horas]]/1440, "h:mm")</f>
        <v>2:12</v>
      </c>
      <c r="I93" s="4">
        <f>IF(Tabla5[[#This Row],[Tiempo Permanencia]]-Tabla5[[#This Row],[Tiempo de Preparación ]]&gt;=0,Tabla5[[#This Row],[Tiempo Permanencia]]-Tabla5[[#This Row],[Tiempo de Preparación ]],0)</f>
        <v>0</v>
      </c>
      <c r="J93" s="5" t="str">
        <f>IF(Tabla5[[#This Row],[Tiempo de Degustación]]=0,"No Cobrada","Cobrada")</f>
        <v>No Cobrada</v>
      </c>
      <c r="K93" s="5" cm="1">
        <f t="array" ref="K93">SUM(IF(Tabla5[[#This Row],[Orden Cobrada]]="Cobrada",IF(Cocina!A:A=Tabla5[[#This Row],[Nº Orden]],Cocina!F:F*Cocina!G:G,0),-Tabla6[[#This Row],[Precio Cena]]))</f>
        <v>-293</v>
      </c>
      <c r="L93" s="5">
        <f>IF(Tabla5[[#This Row],[Orden Cobrada]]="Cobrada",Tabla5[[#This Row],[Ganancia Bruta]]-Tabla6[[#This Row],[Coste Cena]],-Tabla6[[#This Row],[Precio Cena]]+Tabla6[[#This Row],[Coste Cena]])</f>
        <v>-117</v>
      </c>
      <c r="M93" s="10">
        <f>IF(Tabla5[[#This Row],[Orden Cobrada]]="Cobrada",((Tabla5[[#This Row],[Ganancia Neta]]/Tabla5[[#This Row],[Ganancia Bruta]])*100)/100,-((Tabla5[[#This Row],[Ganancia Neta]]/Tabla5[[#This Row],[Ganancia Bruta]]*100)/100))</f>
        <v>-0.39931740614334471</v>
      </c>
      <c r="N93" s="5" t="str">
        <f>sala!F92</f>
        <v>Mesero_5</v>
      </c>
      <c r="AY93" cm="1">
        <f t="array" ref="AY93">SUM(IF(Cocina!A:A=Tabla5[[#This Row],[Nº Orden]],Cocina!F:F*Cocina!G:G,0))</f>
        <v>293</v>
      </c>
      <c r="AZ93" cm="1">
        <f t="array" ref="AZ93">SUM(IF(Cocina!A:A=Tabla5[[#This Row],[Nº Orden]],Cocina!E:E*Cocina!G:G,0))</f>
        <v>176</v>
      </c>
      <c r="BB93" t="str">
        <f>MID(Tabla4[[#This Row],[Cliente]], SEARCH("_", Tabla4[[#This Row],[Cliente]]) + 1, LEN(Tabla4[[#This Row],[Cliente]]) - SEARCH("_",Tabla4[[#This Row],[Cliente]]))</f>
        <v>607</v>
      </c>
      <c r="BC93" t="str">
        <f>sala!B92</f>
        <v>Cliente_607</v>
      </c>
      <c r="BD93" s="1">
        <f>sala!D92</f>
        <v>45017.151388888888</v>
      </c>
      <c r="BE93" s="1">
        <f>sala!E92</f>
        <v>45017.224999999999</v>
      </c>
      <c r="BF93">
        <f>sala!K92</f>
        <v>91</v>
      </c>
      <c r="BG93">
        <f>sala!I92</f>
        <v>391</v>
      </c>
      <c r="BH93" cm="1">
        <f t="array" ref="BH93">SUM(IF(Cocina!A:A=Tabla4[[#This Row],[Número de Orden]],Cocina!F:F*Cocina!G:G,0))</f>
        <v>293</v>
      </c>
      <c r="BI93" t="str">
        <f>sala!J92</f>
        <v>Reservada</v>
      </c>
      <c r="BJ93" s="4" t="str">
        <f>IF(Tabla4[[#This Row],[Estado mesa]]="Ocupada","00:15","00:00")</f>
        <v>00:00</v>
      </c>
      <c r="BK93" cm="1">
        <f t="array" ref="BK93">SUM(IF(Cocina!A:A=Tabla4[[#This Row],[Número de Orden]],Cocina!H:H,0))</f>
        <v>132</v>
      </c>
    </row>
    <row r="94" spans="1:63" x14ac:dyDescent="0.3">
      <c r="A94" s="8" t="str">
        <f>MID(Tabla4[[#This Row],[Cliente]], SEARCH("_", Tabla4[[#This Row],[Cliente]]) + 1, LEN(Tabla4[[#This Row],[Cliente]]) - SEARCH("_",Tabla4[[#This Row],[Cliente]]))</f>
        <v>378</v>
      </c>
      <c r="B94">
        <f>sala!K93</f>
        <v>92</v>
      </c>
      <c r="C94">
        <f>Tabla4[[#This Row],[Propina]]+Tabla4[[#This Row],[Precio Cena]]</f>
        <v>1357</v>
      </c>
      <c r="D94" s="3">
        <f>INT(sala!E93)</f>
        <v>45017</v>
      </c>
      <c r="E94" s="4">
        <f>MOD( sala!D93,1)</f>
        <v>0.14930555555474712</v>
      </c>
      <c r="F94" s="4">
        <f>MOD( sala!E93,1)</f>
        <v>0.25624999999854481</v>
      </c>
      <c r="G94" s="4">
        <f>Tabla5[[#This Row],[Hora de Salida]]-Tabla5[[#This Row],[Hora de Llegada]]+Tabla4[[#This Row],[Tiempo Extra]]</f>
        <v>0.10694444444379769</v>
      </c>
      <c r="H94" s="5" t="str">
        <f>TEXT(Tabla4[[#This Row],[Preparación en horas]]/1440, "h:mm")</f>
        <v>0:42</v>
      </c>
      <c r="I94" s="4">
        <f>IF(Tabla5[[#This Row],[Tiempo Permanencia]]-Tabla5[[#This Row],[Tiempo de Preparación ]]&gt;=0,Tabla5[[#This Row],[Tiempo Permanencia]]-Tabla5[[#This Row],[Tiempo de Preparación ]],0)</f>
        <v>7.7777777777131019E-2</v>
      </c>
      <c r="J94" s="5" t="str">
        <f>IF(Tabla5[[#This Row],[Tiempo de Degustación]]=0,"No Cobrada","Cobrada")</f>
        <v>Cobrada</v>
      </c>
      <c r="K94" s="5" cm="1">
        <f t="array" ref="K94">SUM(IF(Tabla5[[#This Row],[Orden Cobrada]]="Cobrada",IF(Cocina!A:A=Tabla5[[#This Row],[Nº Orden]],Cocina!F:F*Cocina!G:G,0),-Tabla6[[#This Row],[Precio Cena]]))</f>
        <v>82</v>
      </c>
      <c r="L94" s="5">
        <f>IF(Tabla5[[#This Row],[Orden Cobrada]]="Cobrada",Tabla5[[#This Row],[Ganancia Bruta]]-Tabla6[[#This Row],[Coste Cena]],-Tabla6[[#This Row],[Precio Cena]]+Tabla6[[#This Row],[Coste Cena]])</f>
        <v>34</v>
      </c>
      <c r="M94" s="10">
        <f>IF(Tabla5[[#This Row],[Orden Cobrada]]="Cobrada",((Tabla5[[#This Row],[Ganancia Neta]]/Tabla5[[#This Row],[Ganancia Bruta]])*100)/100,-((Tabla5[[#This Row],[Ganancia Neta]]/Tabla5[[#This Row],[Ganancia Bruta]]*100)/100))</f>
        <v>0.41463414634146339</v>
      </c>
      <c r="N94" s="5" t="str">
        <f>sala!F93</f>
        <v>Mesero_2</v>
      </c>
      <c r="AY94" cm="1">
        <f t="array" ref="AY94">SUM(IF(Cocina!A:A=Tabla5[[#This Row],[Nº Orden]],Cocina!F:F*Cocina!G:G,0))</f>
        <v>82</v>
      </c>
      <c r="AZ94" cm="1">
        <f t="array" ref="AZ94">SUM(IF(Cocina!A:A=Tabla5[[#This Row],[Nº Orden]],Cocina!E:E*Cocina!G:G,0))</f>
        <v>48</v>
      </c>
      <c r="BB94" t="str">
        <f>MID(Tabla4[[#This Row],[Cliente]], SEARCH("_", Tabla4[[#This Row],[Cliente]]) + 1, LEN(Tabla4[[#This Row],[Cliente]]) - SEARCH("_",Tabla4[[#This Row],[Cliente]]))</f>
        <v>378</v>
      </c>
      <c r="BC94" t="str">
        <f>sala!B93</f>
        <v>Cliente_378</v>
      </c>
      <c r="BD94" s="1">
        <f>sala!D93</f>
        <v>45017.149305555555</v>
      </c>
      <c r="BE94" s="1">
        <f>sala!E93</f>
        <v>45017.256249999999</v>
      </c>
      <c r="BF94">
        <f>sala!K93</f>
        <v>92</v>
      </c>
      <c r="BG94">
        <f>sala!I93</f>
        <v>1275</v>
      </c>
      <c r="BH94" cm="1">
        <f t="array" ref="BH94">SUM(IF(Cocina!A:A=Tabla4[[#This Row],[Número de Orden]],Cocina!F:F*Cocina!G:G,0))</f>
        <v>82</v>
      </c>
      <c r="BI94" t="str">
        <f>sala!J93</f>
        <v>Libre</v>
      </c>
      <c r="BJ94" s="4" t="str">
        <f>IF(Tabla4[[#This Row],[Estado mesa]]="Ocupada","00:15","00:00")</f>
        <v>00:00</v>
      </c>
      <c r="BK94" cm="1">
        <f t="array" ref="BK94">SUM(IF(Cocina!A:A=Tabla4[[#This Row],[Número de Orden]],Cocina!H:H,0))</f>
        <v>42</v>
      </c>
    </row>
    <row r="95" spans="1:63" x14ac:dyDescent="0.3">
      <c r="A95" s="8" t="str">
        <f>MID(Tabla4[[#This Row],[Cliente]], SEARCH("_", Tabla4[[#This Row],[Cliente]]) + 1, LEN(Tabla4[[#This Row],[Cliente]]) - SEARCH("_",Tabla4[[#This Row],[Cliente]]))</f>
        <v>612</v>
      </c>
      <c r="B95">
        <f>sala!K94</f>
        <v>93</v>
      </c>
      <c r="C95">
        <f>Tabla4[[#This Row],[Propina]]+Tabla4[[#This Row],[Precio Cena]]</f>
        <v>4595</v>
      </c>
      <c r="D95" s="3">
        <f>INT(sala!E94)</f>
        <v>45017</v>
      </c>
      <c r="E95" s="4">
        <f>MOD( sala!D94,1)</f>
        <v>6.8749999998544808E-2</v>
      </c>
      <c r="F95" s="4">
        <f>MOD( sala!E94,1)</f>
        <v>0.15833333333284827</v>
      </c>
      <c r="G95" s="4">
        <f>Tabla5[[#This Row],[Hora de Salida]]-Tabla5[[#This Row],[Hora de Llegada]]+Tabla4[[#This Row],[Tiempo Extra]]</f>
        <v>8.9583333334303461E-2</v>
      </c>
      <c r="H95" s="5" t="str">
        <f>TEXT(Tabla4[[#This Row],[Preparación en horas]]/1440, "h:mm")</f>
        <v>0:18</v>
      </c>
      <c r="I95" s="4">
        <f>IF(Tabla5[[#This Row],[Tiempo Permanencia]]-Tabla5[[#This Row],[Tiempo de Preparación ]]&gt;=0,Tabla5[[#This Row],[Tiempo Permanencia]]-Tabla5[[#This Row],[Tiempo de Preparación ]],0)</f>
        <v>7.7083333334303464E-2</v>
      </c>
      <c r="J95" s="5" t="str">
        <f>IF(Tabla5[[#This Row],[Tiempo de Degustación]]=0,"No Cobrada","Cobrada")</f>
        <v>Cobrada</v>
      </c>
      <c r="K95" s="5" cm="1">
        <f t="array" ref="K95">SUM(IF(Tabla5[[#This Row],[Orden Cobrada]]="Cobrada",IF(Cocina!A:A=Tabla5[[#This Row],[Nº Orden]],Cocina!F:F*Cocina!G:G,0),-Tabla6[[#This Row],[Precio Cena]]))</f>
        <v>29</v>
      </c>
      <c r="L95" s="5">
        <f>IF(Tabla5[[#This Row],[Orden Cobrada]]="Cobrada",Tabla5[[#This Row],[Ganancia Bruta]]-Tabla6[[#This Row],[Coste Cena]],-Tabla6[[#This Row],[Precio Cena]]+Tabla6[[#This Row],[Coste Cena]])</f>
        <v>12</v>
      </c>
      <c r="M95" s="10">
        <f>IF(Tabla5[[#This Row],[Orden Cobrada]]="Cobrada",((Tabla5[[#This Row],[Ganancia Neta]]/Tabla5[[#This Row],[Ganancia Bruta]])*100)/100,-((Tabla5[[#This Row],[Ganancia Neta]]/Tabla5[[#This Row],[Ganancia Bruta]]*100)/100))</f>
        <v>0.41379310344827586</v>
      </c>
      <c r="N95" s="5" t="str">
        <f>sala!F94</f>
        <v>Mesero_2</v>
      </c>
      <c r="AY95" cm="1">
        <f t="array" ref="AY95">SUM(IF(Cocina!A:A=Tabla5[[#This Row],[Nº Orden]],Cocina!F:F*Cocina!G:G,0))</f>
        <v>29</v>
      </c>
      <c r="AZ95" cm="1">
        <f t="array" ref="AZ95">SUM(IF(Cocina!A:A=Tabla5[[#This Row],[Nº Orden]],Cocina!E:E*Cocina!G:G,0))</f>
        <v>17</v>
      </c>
      <c r="BB95" t="str">
        <f>MID(Tabla4[[#This Row],[Cliente]], SEARCH("_", Tabla4[[#This Row],[Cliente]]) + 1, LEN(Tabla4[[#This Row],[Cliente]]) - SEARCH("_",Tabla4[[#This Row],[Cliente]]))</f>
        <v>612</v>
      </c>
      <c r="BC95" t="str">
        <f>sala!B94</f>
        <v>Cliente_612</v>
      </c>
      <c r="BD95" s="1">
        <f>sala!D94</f>
        <v>45017.068749999999</v>
      </c>
      <c r="BE95" s="1">
        <f>sala!E94</f>
        <v>45017.158333333333</v>
      </c>
      <c r="BF95">
        <f>sala!K94</f>
        <v>93</v>
      </c>
      <c r="BG95">
        <f>sala!I94</f>
        <v>4566</v>
      </c>
      <c r="BH95" cm="1">
        <f t="array" ref="BH95">SUM(IF(Cocina!A:A=Tabla4[[#This Row],[Número de Orden]],Cocina!F:F*Cocina!G:G,0))</f>
        <v>29</v>
      </c>
      <c r="BI95" t="str">
        <f>sala!J94</f>
        <v>Libre</v>
      </c>
      <c r="BJ95" s="4" t="str">
        <f>IF(Tabla4[[#This Row],[Estado mesa]]="Ocupada","00:15","00:00")</f>
        <v>00:00</v>
      </c>
      <c r="BK95" cm="1">
        <f t="array" ref="BK95">SUM(IF(Cocina!A:A=Tabla4[[#This Row],[Número de Orden]],Cocina!H:H,0))</f>
        <v>18</v>
      </c>
    </row>
    <row r="96" spans="1:63" x14ac:dyDescent="0.3">
      <c r="A96" s="8" t="str">
        <f>MID(Tabla4[[#This Row],[Cliente]], SEARCH("_", Tabla4[[#This Row],[Cliente]]) + 1, LEN(Tabla4[[#This Row],[Cliente]]) - SEARCH("_",Tabla4[[#This Row],[Cliente]]))</f>
        <v>452</v>
      </c>
      <c r="B96">
        <f>sala!K95</f>
        <v>94</v>
      </c>
      <c r="C96">
        <f>Tabla4[[#This Row],[Propina]]+Tabla4[[#This Row],[Precio Cena]]</f>
        <v>3089</v>
      </c>
      <c r="D96" s="3">
        <f>INT(sala!E95)</f>
        <v>45017</v>
      </c>
      <c r="E96" s="4">
        <f>MOD( sala!D95,1)</f>
        <v>7.7777777776645962E-2</v>
      </c>
      <c r="F96" s="4">
        <f>MOD( sala!E95,1)</f>
        <v>0.20347222222335404</v>
      </c>
      <c r="G96" s="4">
        <f>Tabla5[[#This Row],[Hora de Salida]]-Tabla5[[#This Row],[Hora de Llegada]]+Tabla4[[#This Row],[Tiempo Extra]]</f>
        <v>0.13611111111337473</v>
      </c>
      <c r="H96" s="5" t="str">
        <f>TEXT(Tabla4[[#This Row],[Preparación en horas]]/1440, "h:mm")</f>
        <v>2:09</v>
      </c>
      <c r="I96" s="4">
        <f>IF(Tabla5[[#This Row],[Tiempo Permanencia]]-Tabla5[[#This Row],[Tiempo de Preparación ]]&gt;=0,Tabla5[[#This Row],[Tiempo Permanencia]]-Tabla5[[#This Row],[Tiempo de Preparación ]],0)</f>
        <v>4.6527777780041399E-2</v>
      </c>
      <c r="J96" s="5" t="str">
        <f>IF(Tabla5[[#This Row],[Tiempo de Degustación]]=0,"No Cobrada","Cobrada")</f>
        <v>Cobrada</v>
      </c>
      <c r="K96" s="5" cm="1">
        <f t="array" ref="K96">SUM(IF(Tabla5[[#This Row],[Orden Cobrada]]="Cobrada",IF(Cocina!A:A=Tabla5[[#This Row],[Nº Orden]],Cocina!F:F*Cocina!G:G,0),-Tabla6[[#This Row],[Precio Cena]]))</f>
        <v>253</v>
      </c>
      <c r="L96" s="5">
        <f>IF(Tabla5[[#This Row],[Orden Cobrada]]="Cobrada",Tabla5[[#This Row],[Ganancia Bruta]]-Tabla6[[#This Row],[Coste Cena]],-Tabla6[[#This Row],[Precio Cena]]+Tabla6[[#This Row],[Coste Cena]])</f>
        <v>101</v>
      </c>
      <c r="M96" s="10">
        <f>IF(Tabla5[[#This Row],[Orden Cobrada]]="Cobrada",((Tabla5[[#This Row],[Ganancia Neta]]/Tabla5[[#This Row],[Ganancia Bruta]])*100)/100,-((Tabla5[[#This Row],[Ganancia Neta]]/Tabla5[[#This Row],[Ganancia Bruta]]*100)/100))</f>
        <v>0.39920948616600799</v>
      </c>
      <c r="N96" s="5" t="str">
        <f>sala!F95</f>
        <v>Mesero_4</v>
      </c>
      <c r="AY96" cm="1">
        <f t="array" ref="AY96">SUM(IF(Cocina!A:A=Tabla5[[#This Row],[Nº Orden]],Cocina!F:F*Cocina!G:G,0))</f>
        <v>253</v>
      </c>
      <c r="AZ96" cm="1">
        <f t="array" ref="AZ96">SUM(IF(Cocina!A:A=Tabla5[[#This Row],[Nº Orden]],Cocina!E:E*Cocina!G:G,0))</f>
        <v>152</v>
      </c>
      <c r="BB96" t="str">
        <f>MID(Tabla4[[#This Row],[Cliente]], SEARCH("_", Tabla4[[#This Row],[Cliente]]) + 1, LEN(Tabla4[[#This Row],[Cliente]]) - SEARCH("_",Tabla4[[#This Row],[Cliente]]))</f>
        <v>452</v>
      </c>
      <c r="BC96" t="str">
        <f>sala!B95</f>
        <v>Cliente_452</v>
      </c>
      <c r="BD96" s="1">
        <f>sala!D95</f>
        <v>45017.077777777777</v>
      </c>
      <c r="BE96" s="1">
        <f>sala!E95</f>
        <v>45017.203472222223</v>
      </c>
      <c r="BF96">
        <f>sala!K95</f>
        <v>94</v>
      </c>
      <c r="BG96">
        <f>sala!I95</f>
        <v>2836</v>
      </c>
      <c r="BH96" cm="1">
        <f t="array" ref="BH96">SUM(IF(Cocina!A:A=Tabla4[[#This Row],[Número de Orden]],Cocina!F:F*Cocina!G:G,0))</f>
        <v>253</v>
      </c>
      <c r="BI96" t="str">
        <f>sala!J95</f>
        <v>Ocupada</v>
      </c>
      <c r="BJ96" s="4" t="str">
        <f>IF(Tabla4[[#This Row],[Estado mesa]]="Ocupada","00:15","00:00")</f>
        <v>00:15</v>
      </c>
      <c r="BK96" cm="1">
        <f t="array" ref="BK96">SUM(IF(Cocina!A:A=Tabla4[[#This Row],[Número de Orden]],Cocina!H:H,0))</f>
        <v>129</v>
      </c>
    </row>
    <row r="97" spans="1:63" x14ac:dyDescent="0.3">
      <c r="A97" s="8" t="str">
        <f>MID(Tabla4[[#This Row],[Cliente]], SEARCH("_", Tabla4[[#This Row],[Cliente]]) + 1, LEN(Tabla4[[#This Row],[Cliente]]) - SEARCH("_",Tabla4[[#This Row],[Cliente]]))</f>
        <v>244</v>
      </c>
      <c r="B97">
        <f>sala!K96</f>
        <v>95</v>
      </c>
      <c r="C97">
        <f>Tabla4[[#This Row],[Propina]]+Tabla4[[#This Row],[Precio Cena]]</f>
        <v>2621</v>
      </c>
      <c r="D97" s="3">
        <f>INT(sala!E96)</f>
        <v>45017</v>
      </c>
      <c r="E97" s="4">
        <f>MOD( sala!D96,1)</f>
        <v>0.13819444444379769</v>
      </c>
      <c r="F97" s="4">
        <f>MOD( sala!E96,1)</f>
        <v>0.25486111111240461</v>
      </c>
      <c r="G97" s="4">
        <f>Tabla5[[#This Row],[Hora de Salida]]-Tabla5[[#This Row],[Hora de Llegada]]+Tabla4[[#This Row],[Tiempo Extra]]</f>
        <v>0.12708333333527358</v>
      </c>
      <c r="H97" s="5" t="str">
        <f>TEXT(Tabla4[[#This Row],[Preparación en horas]]/1440, "h:mm")</f>
        <v>0:41</v>
      </c>
      <c r="I97" s="4">
        <f>IF(Tabla5[[#This Row],[Tiempo Permanencia]]-Tabla5[[#This Row],[Tiempo de Preparación ]]&gt;=0,Tabla5[[#This Row],[Tiempo Permanencia]]-Tabla5[[#This Row],[Tiempo de Preparación ]],0)</f>
        <v>9.8611111113051361E-2</v>
      </c>
      <c r="J97" s="5" t="str">
        <f>IF(Tabla5[[#This Row],[Tiempo de Degustación]]=0,"No Cobrada","Cobrada")</f>
        <v>Cobrada</v>
      </c>
      <c r="K97" s="5" cm="1">
        <f t="array" ref="K97">SUM(IF(Tabla5[[#This Row],[Orden Cobrada]]="Cobrada",IF(Cocina!A:A=Tabla5[[#This Row],[Nº Orden]],Cocina!F:F*Cocina!G:G,0),-Tabla6[[#This Row],[Precio Cena]]))</f>
        <v>153</v>
      </c>
      <c r="L97" s="5">
        <f>IF(Tabla5[[#This Row],[Orden Cobrada]]="Cobrada",Tabla5[[#This Row],[Ganancia Bruta]]-Tabla6[[#This Row],[Coste Cena]],-Tabla6[[#This Row],[Precio Cena]]+Tabla6[[#This Row],[Coste Cena]])</f>
        <v>63</v>
      </c>
      <c r="M97" s="10">
        <f>IF(Tabla5[[#This Row],[Orden Cobrada]]="Cobrada",((Tabla5[[#This Row],[Ganancia Neta]]/Tabla5[[#This Row],[Ganancia Bruta]])*100)/100,-((Tabla5[[#This Row],[Ganancia Neta]]/Tabla5[[#This Row],[Ganancia Bruta]]*100)/100))</f>
        <v>0.41176470588235292</v>
      </c>
      <c r="N97" s="5" t="str">
        <f>sala!F96</f>
        <v>Mesero_2</v>
      </c>
      <c r="AY97" cm="1">
        <f t="array" ref="AY97">SUM(IF(Cocina!A:A=Tabla5[[#This Row],[Nº Orden]],Cocina!F:F*Cocina!G:G,0))</f>
        <v>153</v>
      </c>
      <c r="AZ97" cm="1">
        <f t="array" ref="AZ97">SUM(IF(Cocina!A:A=Tabla5[[#This Row],[Nº Orden]],Cocina!E:E*Cocina!G:G,0))</f>
        <v>90</v>
      </c>
      <c r="BB97" t="str">
        <f>MID(Tabla4[[#This Row],[Cliente]], SEARCH("_", Tabla4[[#This Row],[Cliente]]) + 1, LEN(Tabla4[[#This Row],[Cliente]]) - SEARCH("_",Tabla4[[#This Row],[Cliente]]))</f>
        <v>244</v>
      </c>
      <c r="BC97" t="str">
        <f>sala!B96</f>
        <v>Cliente_244</v>
      </c>
      <c r="BD97" s="1">
        <f>sala!D96</f>
        <v>45017.138194444444</v>
      </c>
      <c r="BE97" s="1">
        <f>sala!E96</f>
        <v>45017.254861111112</v>
      </c>
      <c r="BF97">
        <f>sala!K96</f>
        <v>95</v>
      </c>
      <c r="BG97">
        <f>sala!I96</f>
        <v>2468</v>
      </c>
      <c r="BH97" cm="1">
        <f t="array" ref="BH97">SUM(IF(Cocina!A:A=Tabla4[[#This Row],[Número de Orden]],Cocina!F:F*Cocina!G:G,0))</f>
        <v>153</v>
      </c>
      <c r="BI97" t="str">
        <f>sala!J96</f>
        <v>Ocupada</v>
      </c>
      <c r="BJ97" s="4" t="str">
        <f>IF(Tabla4[[#This Row],[Estado mesa]]="Ocupada","00:15","00:00")</f>
        <v>00:15</v>
      </c>
      <c r="BK97" cm="1">
        <f t="array" ref="BK97">SUM(IF(Cocina!A:A=Tabla4[[#This Row],[Número de Orden]],Cocina!H:H,0))</f>
        <v>41</v>
      </c>
    </row>
    <row r="98" spans="1:63" x14ac:dyDescent="0.3">
      <c r="A98" s="8" t="str">
        <f>MID(Tabla4[[#This Row],[Cliente]], SEARCH("_", Tabla4[[#This Row],[Cliente]]) + 1, LEN(Tabla4[[#This Row],[Cliente]]) - SEARCH("_",Tabla4[[#This Row],[Cliente]]))</f>
        <v>840</v>
      </c>
      <c r="B98">
        <f>sala!K97</f>
        <v>96</v>
      </c>
      <c r="C98">
        <f>Tabla4[[#This Row],[Propina]]+Tabla4[[#This Row],[Precio Cena]]</f>
        <v>3539</v>
      </c>
      <c r="D98" s="3">
        <f>INT(sala!E97)</f>
        <v>45017</v>
      </c>
      <c r="E98" s="4">
        <f>MOD( sala!D97,1)</f>
        <v>8.2638888889050577E-2</v>
      </c>
      <c r="F98" s="4">
        <f>MOD( sala!E97,1)</f>
        <v>0.22638888889196096</v>
      </c>
      <c r="G98" s="4">
        <f>Tabla5[[#This Row],[Hora de Salida]]-Tabla5[[#This Row],[Hora de Llegada]]+Tabla4[[#This Row],[Tiempo Extra]]</f>
        <v>0.14375000000291038</v>
      </c>
      <c r="H98" s="5" t="str">
        <f>TEXT(Tabla4[[#This Row],[Preparación en horas]]/1440, "h:mm")</f>
        <v>1:16</v>
      </c>
      <c r="I98" s="4">
        <f>IF(Tabla5[[#This Row],[Tiempo Permanencia]]-Tabla5[[#This Row],[Tiempo de Preparación ]]&gt;=0,Tabla5[[#This Row],[Tiempo Permanencia]]-Tabla5[[#This Row],[Tiempo de Preparación ]],0)</f>
        <v>9.0972222225132598E-2</v>
      </c>
      <c r="J98" s="5" t="str">
        <f>IF(Tabla5[[#This Row],[Tiempo de Degustación]]=0,"No Cobrada","Cobrada")</f>
        <v>Cobrada</v>
      </c>
      <c r="K98" s="5" cm="1">
        <f t="array" ref="K98">SUM(IF(Tabla5[[#This Row],[Orden Cobrada]]="Cobrada",IF(Cocina!A:A=Tabla5[[#This Row],[Nº Orden]],Cocina!F:F*Cocina!G:G,0),-Tabla6[[#This Row],[Precio Cena]]))</f>
        <v>176</v>
      </c>
      <c r="L98" s="5">
        <f>IF(Tabla5[[#This Row],[Orden Cobrada]]="Cobrada",Tabla5[[#This Row],[Ganancia Bruta]]-Tabla6[[#This Row],[Coste Cena]],-Tabla6[[#This Row],[Precio Cena]]+Tabla6[[#This Row],[Coste Cena]])</f>
        <v>72</v>
      </c>
      <c r="M98" s="10">
        <f>IF(Tabla5[[#This Row],[Orden Cobrada]]="Cobrada",((Tabla5[[#This Row],[Ganancia Neta]]/Tabla5[[#This Row],[Ganancia Bruta]])*100)/100,-((Tabla5[[#This Row],[Ganancia Neta]]/Tabla5[[#This Row],[Ganancia Bruta]]*100)/100))</f>
        <v>0.40909090909090912</v>
      </c>
      <c r="N98" s="5" t="str">
        <f>sala!F97</f>
        <v>Mesero_4</v>
      </c>
      <c r="AY98" cm="1">
        <f t="array" ref="AY98">SUM(IF(Cocina!A:A=Tabla5[[#This Row],[Nº Orden]],Cocina!F:F*Cocina!G:G,0))</f>
        <v>176</v>
      </c>
      <c r="AZ98" cm="1">
        <f t="array" ref="AZ98">SUM(IF(Cocina!A:A=Tabla5[[#This Row],[Nº Orden]],Cocina!E:E*Cocina!G:G,0))</f>
        <v>104</v>
      </c>
      <c r="BB98" t="str">
        <f>MID(Tabla4[[#This Row],[Cliente]], SEARCH("_", Tabla4[[#This Row],[Cliente]]) + 1, LEN(Tabla4[[#This Row],[Cliente]]) - SEARCH("_",Tabla4[[#This Row],[Cliente]]))</f>
        <v>840</v>
      </c>
      <c r="BC98" t="str">
        <f>sala!B97</f>
        <v>Cliente_840</v>
      </c>
      <c r="BD98" s="1">
        <f>sala!D97</f>
        <v>45017.082638888889</v>
      </c>
      <c r="BE98" s="1">
        <f>sala!E97</f>
        <v>45017.226388888892</v>
      </c>
      <c r="BF98">
        <f>sala!K97</f>
        <v>96</v>
      </c>
      <c r="BG98">
        <f>sala!I97</f>
        <v>3363</v>
      </c>
      <c r="BH98" cm="1">
        <f t="array" ref="BH98">SUM(IF(Cocina!A:A=Tabla4[[#This Row],[Número de Orden]],Cocina!F:F*Cocina!G:G,0))</f>
        <v>176</v>
      </c>
      <c r="BI98" t="str">
        <f>sala!J97</f>
        <v>Libre</v>
      </c>
      <c r="BJ98" s="4" t="str">
        <f>IF(Tabla4[[#This Row],[Estado mesa]]="Ocupada","00:15","00:00")</f>
        <v>00:00</v>
      </c>
      <c r="BK98" cm="1">
        <f t="array" ref="BK98">SUM(IF(Cocina!A:A=Tabla4[[#This Row],[Número de Orden]],Cocina!H:H,0))</f>
        <v>76</v>
      </c>
    </row>
    <row r="99" spans="1:63" x14ac:dyDescent="0.3">
      <c r="A99" s="8" t="str">
        <f>MID(Tabla4[[#This Row],[Cliente]], SEARCH("_", Tabla4[[#This Row],[Cliente]]) + 1, LEN(Tabla4[[#This Row],[Cliente]]) - SEARCH("_",Tabla4[[#This Row],[Cliente]]))</f>
        <v>993</v>
      </c>
      <c r="B99">
        <f>sala!K98</f>
        <v>97</v>
      </c>
      <c r="C99">
        <f>Tabla4[[#This Row],[Propina]]+Tabla4[[#This Row],[Precio Cena]]</f>
        <v>2110</v>
      </c>
      <c r="D99" s="3">
        <f>INT(sala!E98)</f>
        <v>45017</v>
      </c>
      <c r="E99" s="4">
        <f>MOD( sala!D98,1)</f>
        <v>7.3611111110949423E-2</v>
      </c>
      <c r="F99" s="4">
        <f>MOD( sala!E98,1)</f>
        <v>0.12708333333284827</v>
      </c>
      <c r="G99" s="4">
        <f>Tabla5[[#This Row],[Hora de Salida]]-Tabla5[[#This Row],[Hora de Llegada]]+Tabla4[[#This Row],[Tiempo Extra]]</f>
        <v>6.3888888888565518E-2</v>
      </c>
      <c r="H99" s="5" t="str">
        <f>TEXT(Tabla4[[#This Row],[Preparación en horas]]/1440, "h:mm")</f>
        <v>1:19</v>
      </c>
      <c r="I99" s="4">
        <f>IF(Tabla5[[#This Row],[Tiempo Permanencia]]-Tabla5[[#This Row],[Tiempo de Preparación ]]&gt;=0,Tabla5[[#This Row],[Tiempo Permanencia]]-Tabla5[[#This Row],[Tiempo de Preparación ]],0)</f>
        <v>9.0277777774544071E-3</v>
      </c>
      <c r="J99" s="5" t="str">
        <f>IF(Tabla5[[#This Row],[Tiempo de Degustación]]=0,"No Cobrada","Cobrada")</f>
        <v>Cobrada</v>
      </c>
      <c r="K99" s="5" cm="1">
        <f t="array" ref="K99">SUM(IF(Tabla5[[#This Row],[Orden Cobrada]]="Cobrada",IF(Cocina!A:A=Tabla5[[#This Row],[Nº Orden]],Cocina!F:F*Cocina!G:G,0),-Tabla6[[#This Row],[Precio Cena]]))</f>
        <v>188</v>
      </c>
      <c r="L99" s="5">
        <f>IF(Tabla5[[#This Row],[Orden Cobrada]]="Cobrada",Tabla5[[#This Row],[Ganancia Bruta]]-Tabla6[[#This Row],[Coste Cena]],-Tabla6[[#This Row],[Precio Cena]]+Tabla6[[#This Row],[Coste Cena]])</f>
        <v>77</v>
      </c>
      <c r="M99" s="10">
        <f>IF(Tabla5[[#This Row],[Orden Cobrada]]="Cobrada",((Tabla5[[#This Row],[Ganancia Neta]]/Tabla5[[#This Row],[Ganancia Bruta]])*100)/100,-((Tabla5[[#This Row],[Ganancia Neta]]/Tabla5[[#This Row],[Ganancia Bruta]]*100)/100))</f>
        <v>0.40957446808510639</v>
      </c>
      <c r="N99" s="5" t="str">
        <f>sala!F98</f>
        <v>Mesero_2</v>
      </c>
      <c r="AY99" cm="1">
        <f t="array" ref="AY99">SUM(IF(Cocina!A:A=Tabla5[[#This Row],[Nº Orden]],Cocina!F:F*Cocina!G:G,0))</f>
        <v>188</v>
      </c>
      <c r="AZ99" cm="1">
        <f t="array" ref="AZ99">SUM(IF(Cocina!A:A=Tabla5[[#This Row],[Nº Orden]],Cocina!E:E*Cocina!G:G,0))</f>
        <v>111</v>
      </c>
      <c r="BB99" t="str">
        <f>MID(Tabla4[[#This Row],[Cliente]], SEARCH("_", Tabla4[[#This Row],[Cliente]]) + 1, LEN(Tabla4[[#This Row],[Cliente]]) - SEARCH("_",Tabla4[[#This Row],[Cliente]]))</f>
        <v>993</v>
      </c>
      <c r="BC99" t="str">
        <f>sala!B98</f>
        <v>Cliente_993</v>
      </c>
      <c r="BD99" s="1">
        <f>sala!D98</f>
        <v>45017.073611111111</v>
      </c>
      <c r="BE99" s="1">
        <f>sala!E98</f>
        <v>45017.127083333333</v>
      </c>
      <c r="BF99">
        <f>sala!K98</f>
        <v>97</v>
      </c>
      <c r="BG99">
        <f>sala!I98</f>
        <v>1922</v>
      </c>
      <c r="BH99" cm="1">
        <f t="array" ref="BH99">SUM(IF(Cocina!A:A=Tabla4[[#This Row],[Número de Orden]],Cocina!F:F*Cocina!G:G,0))</f>
        <v>188</v>
      </c>
      <c r="BI99" t="str">
        <f>sala!J98</f>
        <v>Ocupada</v>
      </c>
      <c r="BJ99" s="4" t="str">
        <f>IF(Tabla4[[#This Row],[Estado mesa]]="Ocupada","00:15","00:00")</f>
        <v>00:15</v>
      </c>
      <c r="BK99" cm="1">
        <f t="array" ref="BK99">SUM(IF(Cocina!A:A=Tabla4[[#This Row],[Número de Orden]],Cocina!H:H,0))</f>
        <v>79</v>
      </c>
    </row>
    <row r="100" spans="1:63" x14ac:dyDescent="0.3">
      <c r="A100" s="8" t="str">
        <f>MID(Tabla4[[#This Row],[Cliente]], SEARCH("_", Tabla4[[#This Row],[Cliente]]) + 1, LEN(Tabla4[[#This Row],[Cliente]]) - SEARCH("_",Tabla4[[#This Row],[Cliente]]))</f>
        <v>29</v>
      </c>
      <c r="B100">
        <f>sala!K99</f>
        <v>98</v>
      </c>
      <c r="C100">
        <f>Tabla4[[#This Row],[Propina]]+Tabla4[[#This Row],[Precio Cena]]</f>
        <v>1881</v>
      </c>
      <c r="D100" s="3">
        <f>INT(sala!E99)</f>
        <v>45017</v>
      </c>
      <c r="E100" s="4">
        <f>MOD( sala!D99,1)</f>
        <v>4.2361111110949423E-2</v>
      </c>
      <c r="F100" s="4">
        <f>MOD( sala!E99,1)</f>
        <v>0.14027777777664596</v>
      </c>
      <c r="G100" s="4">
        <f>Tabla5[[#This Row],[Hora de Salida]]-Tabla5[[#This Row],[Hora de Llegada]]+Tabla4[[#This Row],[Tiempo Extra]]</f>
        <v>0.10833333333236321</v>
      </c>
      <c r="H100" s="5" t="str">
        <f>TEXT(Tabla4[[#This Row],[Preparación en horas]]/1440, "h:mm")</f>
        <v>2:20</v>
      </c>
      <c r="I100" s="4">
        <f>IF(Tabla5[[#This Row],[Tiempo Permanencia]]-Tabla5[[#This Row],[Tiempo de Preparación ]]&gt;=0,Tabla5[[#This Row],[Tiempo Permanencia]]-Tabla5[[#This Row],[Tiempo de Preparación ]],0)</f>
        <v>1.1111111110140987E-2</v>
      </c>
      <c r="J100" s="5" t="str">
        <f>IF(Tabla5[[#This Row],[Tiempo de Degustación]]=0,"No Cobrada","Cobrada")</f>
        <v>Cobrada</v>
      </c>
      <c r="K100" s="5" cm="1">
        <f t="array" ref="K100">SUM(IF(Tabla5[[#This Row],[Orden Cobrada]]="Cobrada",IF(Cocina!A:A=Tabla5[[#This Row],[Nº Orden]],Cocina!F:F*Cocina!G:G,0),-Tabla6[[#This Row],[Precio Cena]]))</f>
        <v>166</v>
      </c>
      <c r="L100" s="5">
        <f>IF(Tabla5[[#This Row],[Orden Cobrada]]="Cobrada",Tabla5[[#This Row],[Ganancia Bruta]]-Tabla6[[#This Row],[Coste Cena]],-Tabla6[[#This Row],[Precio Cena]]+Tabla6[[#This Row],[Coste Cena]])</f>
        <v>68</v>
      </c>
      <c r="M100" s="10">
        <f>IF(Tabla5[[#This Row],[Orden Cobrada]]="Cobrada",((Tabla5[[#This Row],[Ganancia Neta]]/Tabla5[[#This Row],[Ganancia Bruta]])*100)/100,-((Tabla5[[#This Row],[Ganancia Neta]]/Tabla5[[#This Row],[Ganancia Bruta]]*100)/100))</f>
        <v>0.40963855421686746</v>
      </c>
      <c r="N100" s="5" t="str">
        <f>sala!F99</f>
        <v>Mesero_5</v>
      </c>
      <c r="AY100" cm="1">
        <f t="array" ref="AY100">SUM(IF(Cocina!A:A=Tabla5[[#This Row],[Nº Orden]],Cocina!F:F*Cocina!G:G,0))</f>
        <v>166</v>
      </c>
      <c r="AZ100" cm="1">
        <f t="array" ref="AZ100">SUM(IF(Cocina!A:A=Tabla5[[#This Row],[Nº Orden]],Cocina!E:E*Cocina!G:G,0))</f>
        <v>98</v>
      </c>
      <c r="BB100" t="str">
        <f>MID(Tabla4[[#This Row],[Cliente]], SEARCH("_", Tabla4[[#This Row],[Cliente]]) + 1, LEN(Tabla4[[#This Row],[Cliente]]) - SEARCH("_",Tabla4[[#This Row],[Cliente]]))</f>
        <v>29</v>
      </c>
      <c r="BC100" t="str">
        <f>sala!B99</f>
        <v>Cliente_29</v>
      </c>
      <c r="BD100" s="1">
        <f>sala!D99</f>
        <v>45017.042361111111</v>
      </c>
      <c r="BE100" s="1">
        <f>sala!E99</f>
        <v>45017.140277777777</v>
      </c>
      <c r="BF100">
        <f>sala!K99</f>
        <v>98</v>
      </c>
      <c r="BG100">
        <f>sala!I99</f>
        <v>1715</v>
      </c>
      <c r="BH100" cm="1">
        <f t="array" ref="BH100">SUM(IF(Cocina!A:A=Tabla4[[#This Row],[Número de Orden]],Cocina!F:F*Cocina!G:G,0))</f>
        <v>166</v>
      </c>
      <c r="BI100" t="str">
        <f>sala!J99</f>
        <v>Ocupada</v>
      </c>
      <c r="BJ100" s="4" t="str">
        <f>IF(Tabla4[[#This Row],[Estado mesa]]="Ocupada","00:15","00:00")</f>
        <v>00:15</v>
      </c>
      <c r="BK100" cm="1">
        <f t="array" ref="BK100">SUM(IF(Cocina!A:A=Tabla4[[#This Row],[Número de Orden]],Cocina!H:H,0))</f>
        <v>140</v>
      </c>
    </row>
    <row r="101" spans="1:63" x14ac:dyDescent="0.3">
      <c r="A101" s="8" t="str">
        <f>MID(Tabla4[[#This Row],[Cliente]], SEARCH("_", Tabla4[[#This Row],[Cliente]]) + 1, LEN(Tabla4[[#This Row],[Cliente]]) - SEARCH("_",Tabla4[[#This Row],[Cliente]]))</f>
        <v>873</v>
      </c>
      <c r="B101">
        <f>sala!K100</f>
        <v>99</v>
      </c>
      <c r="C101">
        <f>Tabla4[[#This Row],[Propina]]+Tabla4[[#This Row],[Precio Cena]]</f>
        <v>3494</v>
      </c>
      <c r="D101" s="3">
        <f>INT(sala!E100)</f>
        <v>45017</v>
      </c>
      <c r="E101" s="4">
        <f>MOD( sala!D100,1)</f>
        <v>9.8611111112404615E-2</v>
      </c>
      <c r="F101" s="4">
        <f>MOD( sala!E100,1)</f>
        <v>0.26249999999708962</v>
      </c>
      <c r="G101" s="4">
        <f>Tabla5[[#This Row],[Hora de Salida]]-Tabla5[[#This Row],[Hora de Llegada]]+Tabla4[[#This Row],[Tiempo Extra]]</f>
        <v>0.17430555555135166</v>
      </c>
      <c r="H101" s="5" t="str">
        <f>TEXT(Tabla4[[#This Row],[Preparación en horas]]/1440, "h:mm")</f>
        <v>1:26</v>
      </c>
      <c r="I101" s="4">
        <f>IF(Tabla5[[#This Row],[Tiempo Permanencia]]-Tabla5[[#This Row],[Tiempo de Preparación ]]&gt;=0,Tabla5[[#This Row],[Tiempo Permanencia]]-Tabla5[[#This Row],[Tiempo de Preparación ]],0)</f>
        <v>0.11458333332912943</v>
      </c>
      <c r="J101" s="5" t="str">
        <f>IF(Tabla5[[#This Row],[Tiempo de Degustación]]=0,"No Cobrada","Cobrada")</f>
        <v>Cobrada</v>
      </c>
      <c r="K101" s="5" cm="1">
        <f t="array" ref="K101">SUM(IF(Tabla5[[#This Row],[Orden Cobrada]]="Cobrada",IF(Cocina!A:A=Tabla5[[#This Row],[Nº Orden]],Cocina!F:F*Cocina!G:G,0),-Tabla6[[#This Row],[Precio Cena]]))</f>
        <v>139</v>
      </c>
      <c r="L101" s="5">
        <f>IF(Tabla5[[#This Row],[Orden Cobrada]]="Cobrada",Tabla5[[#This Row],[Ganancia Bruta]]-Tabla6[[#This Row],[Coste Cena]],-Tabla6[[#This Row],[Precio Cena]]+Tabla6[[#This Row],[Coste Cena]])</f>
        <v>56</v>
      </c>
      <c r="M101" s="10">
        <f>IF(Tabla5[[#This Row],[Orden Cobrada]]="Cobrada",((Tabla5[[#This Row],[Ganancia Neta]]/Tabla5[[#This Row],[Ganancia Bruta]])*100)/100,-((Tabla5[[#This Row],[Ganancia Neta]]/Tabla5[[#This Row],[Ganancia Bruta]]*100)/100))</f>
        <v>0.40287769784172661</v>
      </c>
      <c r="N101" s="5" t="str">
        <f>sala!F100</f>
        <v>Mesero_2</v>
      </c>
      <c r="AY101" cm="1">
        <f t="array" ref="AY101">SUM(IF(Cocina!A:A=Tabla5[[#This Row],[Nº Orden]],Cocina!F:F*Cocina!G:G,0))</f>
        <v>139</v>
      </c>
      <c r="AZ101" cm="1">
        <f t="array" ref="AZ101">SUM(IF(Cocina!A:A=Tabla5[[#This Row],[Nº Orden]],Cocina!E:E*Cocina!G:G,0))</f>
        <v>83</v>
      </c>
      <c r="BB101" t="str">
        <f>MID(Tabla4[[#This Row],[Cliente]], SEARCH("_", Tabla4[[#This Row],[Cliente]]) + 1, LEN(Tabla4[[#This Row],[Cliente]]) - SEARCH("_",Tabla4[[#This Row],[Cliente]]))</f>
        <v>873</v>
      </c>
      <c r="BC101" t="str">
        <f>sala!B100</f>
        <v>Cliente_873</v>
      </c>
      <c r="BD101" s="1">
        <f>sala!D100</f>
        <v>45017.098611111112</v>
      </c>
      <c r="BE101" s="1">
        <f>sala!E100</f>
        <v>45017.262499999997</v>
      </c>
      <c r="BF101">
        <f>sala!K100</f>
        <v>99</v>
      </c>
      <c r="BG101">
        <f>sala!I100</f>
        <v>3355</v>
      </c>
      <c r="BH101" cm="1">
        <f t="array" ref="BH101">SUM(IF(Cocina!A:A=Tabla4[[#This Row],[Número de Orden]],Cocina!F:F*Cocina!G:G,0))</f>
        <v>139</v>
      </c>
      <c r="BI101" t="str">
        <f>sala!J100</f>
        <v>Ocupada</v>
      </c>
      <c r="BJ101" s="4" t="str">
        <f>IF(Tabla4[[#This Row],[Estado mesa]]="Ocupada","00:15","00:00")</f>
        <v>00:15</v>
      </c>
      <c r="BK101" cm="1">
        <f t="array" ref="BK101">SUM(IF(Cocina!A:A=Tabla4[[#This Row],[Número de Orden]],Cocina!H:H,0))</f>
        <v>86</v>
      </c>
    </row>
    <row r="102" spans="1:63" x14ac:dyDescent="0.3">
      <c r="A102" s="8" t="str">
        <f>MID(Tabla4[[#This Row],[Cliente]], SEARCH("_", Tabla4[[#This Row],[Cliente]]) + 1, LEN(Tabla4[[#This Row],[Cliente]]) - SEARCH("_",Tabla4[[#This Row],[Cliente]]))</f>
        <v>965</v>
      </c>
      <c r="B102">
        <f>sala!K101</f>
        <v>100</v>
      </c>
      <c r="C102">
        <f>Tabla4[[#This Row],[Propina]]+Tabla4[[#This Row],[Precio Cena]]</f>
        <v>1681</v>
      </c>
      <c r="D102" s="3">
        <f>INT(sala!E101)</f>
        <v>45017</v>
      </c>
      <c r="E102" s="4">
        <f>MOD( sala!D101,1)</f>
        <v>0.14722222222189885</v>
      </c>
      <c r="F102" s="4">
        <f>MOD( sala!E101,1)</f>
        <v>0.28125</v>
      </c>
      <c r="G102" s="4">
        <f>Tabla5[[#This Row],[Hora de Salida]]-Tabla5[[#This Row],[Hora de Llegada]]+Tabla4[[#This Row],[Tiempo Extra]]</f>
        <v>0.13402777777810115</v>
      </c>
      <c r="H102" s="5" t="str">
        <f>TEXT(Tabla4[[#This Row],[Preparación en horas]]/1440, "h:mm")</f>
        <v>1:43</v>
      </c>
      <c r="I102" s="4">
        <f>IF(Tabla5[[#This Row],[Tiempo Permanencia]]-Tabla5[[#This Row],[Tiempo de Preparación ]]&gt;=0,Tabla5[[#This Row],[Tiempo Permanencia]]-Tabla5[[#This Row],[Tiempo de Preparación ]],0)</f>
        <v>6.250000000032338E-2</v>
      </c>
      <c r="J102" s="5" t="str">
        <f>IF(Tabla5[[#This Row],[Tiempo de Degustación]]=0,"No Cobrada","Cobrada")</f>
        <v>Cobrada</v>
      </c>
      <c r="K102" s="5" cm="1">
        <f t="array" ref="K102">SUM(IF(Tabla5[[#This Row],[Orden Cobrada]]="Cobrada",IF(Cocina!A:A=Tabla5[[#This Row],[Nº Orden]],Cocina!F:F*Cocina!G:G,0),-Tabla6[[#This Row],[Precio Cena]]))</f>
        <v>166</v>
      </c>
      <c r="L102" s="5">
        <f>IF(Tabla5[[#This Row],[Orden Cobrada]]="Cobrada",Tabla5[[#This Row],[Ganancia Bruta]]-Tabla6[[#This Row],[Coste Cena]],-Tabla6[[#This Row],[Precio Cena]]+Tabla6[[#This Row],[Coste Cena]])</f>
        <v>68</v>
      </c>
      <c r="M102" s="10">
        <f>IF(Tabla5[[#This Row],[Orden Cobrada]]="Cobrada",((Tabla5[[#This Row],[Ganancia Neta]]/Tabla5[[#This Row],[Ganancia Bruta]])*100)/100,-((Tabla5[[#This Row],[Ganancia Neta]]/Tabla5[[#This Row],[Ganancia Bruta]]*100)/100))</f>
        <v>0.40963855421686746</v>
      </c>
      <c r="N102" s="5" t="str">
        <f>sala!F101</f>
        <v>Mesero_1</v>
      </c>
      <c r="AY102" cm="1">
        <f t="array" ref="AY102">SUM(IF(Cocina!A:A=Tabla5[[#This Row],[Nº Orden]],Cocina!F:F*Cocina!G:G,0))</f>
        <v>166</v>
      </c>
      <c r="AZ102" cm="1">
        <f t="array" ref="AZ102">SUM(IF(Cocina!A:A=Tabla5[[#This Row],[Nº Orden]],Cocina!E:E*Cocina!G:G,0))</f>
        <v>98</v>
      </c>
      <c r="BB102" t="str">
        <f>MID(Tabla4[[#This Row],[Cliente]], SEARCH("_", Tabla4[[#This Row],[Cliente]]) + 1, LEN(Tabla4[[#This Row],[Cliente]]) - SEARCH("_",Tabla4[[#This Row],[Cliente]]))</f>
        <v>965</v>
      </c>
      <c r="BC102" t="str">
        <f>sala!B101</f>
        <v>Cliente_965</v>
      </c>
      <c r="BD102" s="1">
        <f>sala!D101</f>
        <v>45017.147222222222</v>
      </c>
      <c r="BE102" s="1">
        <f>sala!E101</f>
        <v>45017.28125</v>
      </c>
      <c r="BF102">
        <f>sala!K101</f>
        <v>100</v>
      </c>
      <c r="BG102">
        <f>sala!I101</f>
        <v>1515</v>
      </c>
      <c r="BH102" cm="1">
        <f t="array" ref="BH102">SUM(IF(Cocina!A:A=Tabla4[[#This Row],[Número de Orden]],Cocina!F:F*Cocina!G:G,0))</f>
        <v>166</v>
      </c>
      <c r="BI102" t="str">
        <f>sala!J101</f>
        <v>Reservada</v>
      </c>
      <c r="BJ102" s="4" t="str">
        <f>IF(Tabla4[[#This Row],[Estado mesa]]="Ocupada","00:15","00:00")</f>
        <v>00:00</v>
      </c>
      <c r="BK102" cm="1">
        <f t="array" ref="BK102">SUM(IF(Cocina!A:A=Tabla4[[#This Row],[Número de Orden]],Cocina!H:H,0))</f>
        <v>103</v>
      </c>
    </row>
    <row r="103" spans="1:63" x14ac:dyDescent="0.3">
      <c r="A103" s="8" t="str">
        <f>MID(Tabla4[[#This Row],[Cliente]], SEARCH("_", Tabla4[[#This Row],[Cliente]]) + 1, LEN(Tabla4[[#This Row],[Cliente]]) - SEARCH("_",Tabla4[[#This Row],[Cliente]]))</f>
        <v>313</v>
      </c>
      <c r="B103">
        <f>sala!K102</f>
        <v>101</v>
      </c>
      <c r="C103">
        <f>Tabla4[[#This Row],[Propina]]+Tabla4[[#This Row],[Precio Cena]]</f>
        <v>1647</v>
      </c>
      <c r="D103" s="3">
        <f>INT(sala!E102)</f>
        <v>45017</v>
      </c>
      <c r="E103" s="4">
        <f>MOD( sala!D102,1)</f>
        <v>9.7222222248092294E-3</v>
      </c>
      <c r="F103" s="4">
        <f>MOD( sala!E102,1)</f>
        <v>9.375E-2</v>
      </c>
      <c r="G103" s="4">
        <f>Tabla5[[#This Row],[Hora de Salida]]-Tabla5[[#This Row],[Hora de Llegada]]+Tabla4[[#This Row],[Tiempo Extra]]</f>
        <v>8.4027777775190771E-2</v>
      </c>
      <c r="H103" s="5" t="str">
        <f>TEXT(Tabla4[[#This Row],[Preparación en horas]]/1440, "h:mm")</f>
        <v>2:14</v>
      </c>
      <c r="I103" s="4">
        <f>IF(Tabla5[[#This Row],[Tiempo Permanencia]]-Tabla5[[#This Row],[Tiempo de Preparación ]]&gt;=0,Tabla5[[#This Row],[Tiempo Permanencia]]-Tabla5[[#This Row],[Tiempo de Preparación ]],0)</f>
        <v>0</v>
      </c>
      <c r="J103" s="5" t="str">
        <f>IF(Tabla5[[#This Row],[Tiempo de Degustación]]=0,"No Cobrada","Cobrada")</f>
        <v>No Cobrada</v>
      </c>
      <c r="K103" s="5" cm="1">
        <f t="array" ref="K103">SUM(IF(Tabla5[[#This Row],[Orden Cobrada]]="Cobrada",IF(Cocina!A:A=Tabla5[[#This Row],[Nº Orden]],Cocina!F:F*Cocina!G:G,0),-Tabla6[[#This Row],[Precio Cena]]))</f>
        <v>-138</v>
      </c>
      <c r="L103" s="5">
        <f>IF(Tabla5[[#This Row],[Orden Cobrada]]="Cobrada",Tabla5[[#This Row],[Ganancia Bruta]]-Tabla6[[#This Row],[Coste Cena]],-Tabla6[[#This Row],[Precio Cena]]+Tabla6[[#This Row],[Coste Cena]])</f>
        <v>-55</v>
      </c>
      <c r="M103" s="10">
        <f>IF(Tabla5[[#This Row],[Orden Cobrada]]="Cobrada",((Tabla5[[#This Row],[Ganancia Neta]]/Tabla5[[#This Row],[Ganancia Bruta]])*100)/100,-((Tabla5[[#This Row],[Ganancia Neta]]/Tabla5[[#This Row],[Ganancia Bruta]]*100)/100))</f>
        <v>-0.39855072463768115</v>
      </c>
      <c r="N103" s="5" t="str">
        <f>sala!F102</f>
        <v>Mesero_4</v>
      </c>
      <c r="AY103" cm="1">
        <f t="array" ref="AY103">SUM(IF(Cocina!A:A=Tabla5[[#This Row],[Nº Orden]],Cocina!F:F*Cocina!G:G,0))</f>
        <v>138</v>
      </c>
      <c r="AZ103" cm="1">
        <f t="array" ref="AZ103">SUM(IF(Cocina!A:A=Tabla5[[#This Row],[Nº Orden]],Cocina!E:E*Cocina!G:G,0))</f>
        <v>83</v>
      </c>
      <c r="BB103" t="str">
        <f>MID(Tabla4[[#This Row],[Cliente]], SEARCH("_", Tabla4[[#This Row],[Cliente]]) + 1, LEN(Tabla4[[#This Row],[Cliente]]) - SEARCH("_",Tabla4[[#This Row],[Cliente]]))</f>
        <v>313</v>
      </c>
      <c r="BC103" t="str">
        <f>sala!B102</f>
        <v>Cliente_313</v>
      </c>
      <c r="BD103" s="1">
        <f>sala!D102</f>
        <v>45017.009722222225</v>
      </c>
      <c r="BE103" s="1">
        <f>sala!E102</f>
        <v>45017.09375</v>
      </c>
      <c r="BF103">
        <f>sala!K102</f>
        <v>101</v>
      </c>
      <c r="BG103">
        <f>sala!I102</f>
        <v>1509</v>
      </c>
      <c r="BH103" cm="1">
        <f t="array" ref="BH103">SUM(IF(Cocina!A:A=Tabla4[[#This Row],[Número de Orden]],Cocina!F:F*Cocina!G:G,0))</f>
        <v>138</v>
      </c>
      <c r="BI103" t="str">
        <f>sala!J102</f>
        <v>Libre</v>
      </c>
      <c r="BJ103" s="4" t="str">
        <f>IF(Tabla4[[#This Row],[Estado mesa]]="Ocupada","00:15","00:00")</f>
        <v>00:00</v>
      </c>
      <c r="BK103" cm="1">
        <f t="array" ref="BK103">SUM(IF(Cocina!A:A=Tabla4[[#This Row],[Número de Orden]],Cocina!H:H,0))</f>
        <v>134</v>
      </c>
    </row>
    <row r="104" spans="1:63" x14ac:dyDescent="0.3">
      <c r="A104" s="8" t="str">
        <f>MID(Tabla4[[#This Row],[Cliente]], SEARCH("_", Tabla4[[#This Row],[Cliente]]) + 1, LEN(Tabla4[[#This Row],[Cliente]]) - SEARCH("_",Tabla4[[#This Row],[Cliente]]))</f>
        <v>520</v>
      </c>
      <c r="B104">
        <f>sala!K103</f>
        <v>102</v>
      </c>
      <c r="C104">
        <f>Tabla4[[#This Row],[Propina]]+Tabla4[[#This Row],[Precio Cena]]</f>
        <v>1436</v>
      </c>
      <c r="D104" s="3">
        <f>INT(sala!E103)</f>
        <v>45017</v>
      </c>
      <c r="E104" s="4">
        <f>MOD( sala!D103,1)</f>
        <v>6.4583333332848269E-2</v>
      </c>
      <c r="F104" s="4">
        <f>MOD( sala!E103,1)</f>
        <v>0.17638888888905058</v>
      </c>
      <c r="G104" s="4">
        <f>Tabla5[[#This Row],[Hora de Salida]]-Tabla5[[#This Row],[Hora de Llegada]]+Tabla4[[#This Row],[Tiempo Extra]]</f>
        <v>0.11180555555620231</v>
      </c>
      <c r="H104" s="5" t="str">
        <f>TEXT(Tabla4[[#This Row],[Preparación en horas]]/1440, "h:mm")</f>
        <v>0:46</v>
      </c>
      <c r="I104" s="4">
        <f>IF(Tabla5[[#This Row],[Tiempo Permanencia]]-Tabla5[[#This Row],[Tiempo de Preparación ]]&gt;=0,Tabla5[[#This Row],[Tiempo Permanencia]]-Tabla5[[#This Row],[Tiempo de Preparación ]],0)</f>
        <v>7.9861111111757865E-2</v>
      </c>
      <c r="J104" s="5" t="str">
        <f>IF(Tabla5[[#This Row],[Tiempo de Degustación]]=0,"No Cobrada","Cobrada")</f>
        <v>Cobrada</v>
      </c>
      <c r="K104" s="5" cm="1">
        <f t="array" ref="K104">SUM(IF(Tabla5[[#This Row],[Orden Cobrada]]="Cobrada",IF(Cocina!A:A=Tabla5[[#This Row],[Nº Orden]],Cocina!F:F*Cocina!G:G,0),-Tabla6[[#This Row],[Precio Cena]]))</f>
        <v>171</v>
      </c>
      <c r="L104" s="5">
        <f>IF(Tabla5[[#This Row],[Orden Cobrada]]="Cobrada",Tabla5[[#This Row],[Ganancia Bruta]]-Tabla6[[#This Row],[Coste Cena]],-Tabla6[[#This Row],[Precio Cena]]+Tabla6[[#This Row],[Coste Cena]])</f>
        <v>72</v>
      </c>
      <c r="M104" s="10">
        <f>IF(Tabla5[[#This Row],[Orden Cobrada]]="Cobrada",((Tabla5[[#This Row],[Ganancia Neta]]/Tabla5[[#This Row],[Ganancia Bruta]])*100)/100,-((Tabla5[[#This Row],[Ganancia Neta]]/Tabla5[[#This Row],[Ganancia Bruta]]*100)/100))</f>
        <v>0.42105263157894735</v>
      </c>
      <c r="N104" s="5" t="str">
        <f>sala!F103</f>
        <v>Mesero_3</v>
      </c>
      <c r="AY104" cm="1">
        <f t="array" ref="AY104">SUM(IF(Cocina!A:A=Tabla5[[#This Row],[Nº Orden]],Cocina!F:F*Cocina!G:G,0))</f>
        <v>171</v>
      </c>
      <c r="AZ104" cm="1">
        <f t="array" ref="AZ104">SUM(IF(Cocina!A:A=Tabla5[[#This Row],[Nº Orden]],Cocina!E:E*Cocina!G:G,0))</f>
        <v>99</v>
      </c>
      <c r="BB104" t="str">
        <f>MID(Tabla4[[#This Row],[Cliente]], SEARCH("_", Tabla4[[#This Row],[Cliente]]) + 1, LEN(Tabla4[[#This Row],[Cliente]]) - SEARCH("_",Tabla4[[#This Row],[Cliente]]))</f>
        <v>520</v>
      </c>
      <c r="BC104" t="str">
        <f>sala!B103</f>
        <v>Cliente_520</v>
      </c>
      <c r="BD104" s="1">
        <f>sala!D103</f>
        <v>45017.064583333333</v>
      </c>
      <c r="BE104" s="1">
        <f>sala!E103</f>
        <v>45017.176388888889</v>
      </c>
      <c r="BF104">
        <f>sala!K103</f>
        <v>102</v>
      </c>
      <c r="BG104">
        <f>sala!I103</f>
        <v>1265</v>
      </c>
      <c r="BH104" cm="1">
        <f t="array" ref="BH104">SUM(IF(Cocina!A:A=Tabla4[[#This Row],[Número de Orden]],Cocina!F:F*Cocina!G:G,0))</f>
        <v>171</v>
      </c>
      <c r="BI104" t="str">
        <f>sala!J103</f>
        <v>Reservada</v>
      </c>
      <c r="BJ104" s="4" t="str">
        <f>IF(Tabla4[[#This Row],[Estado mesa]]="Ocupada","00:15","00:00")</f>
        <v>00:00</v>
      </c>
      <c r="BK104" cm="1">
        <f t="array" ref="BK104">SUM(IF(Cocina!A:A=Tabla4[[#This Row],[Número de Orden]],Cocina!H:H,0))</f>
        <v>46</v>
      </c>
    </row>
    <row r="105" spans="1:63" x14ac:dyDescent="0.3">
      <c r="A105" s="8" t="str">
        <f>MID(Tabla4[[#This Row],[Cliente]], SEARCH("_", Tabla4[[#This Row],[Cliente]]) + 1, LEN(Tabla4[[#This Row],[Cliente]]) - SEARCH("_",Tabla4[[#This Row],[Cliente]]))</f>
        <v>388</v>
      </c>
      <c r="B105">
        <f>sala!K104</f>
        <v>103</v>
      </c>
      <c r="C105">
        <f>Tabla4[[#This Row],[Propina]]+Tabla4[[#This Row],[Precio Cena]]</f>
        <v>2748</v>
      </c>
      <c r="D105" s="3">
        <f>INT(sala!E104)</f>
        <v>45017</v>
      </c>
      <c r="E105" s="4">
        <f>MOD( sala!D104,1)</f>
        <v>7.0833333331393078E-2</v>
      </c>
      <c r="F105" s="4">
        <f>MOD( sala!E104,1)</f>
        <v>0.21527777778101154</v>
      </c>
      <c r="G105" s="4">
        <f>Tabla5[[#This Row],[Hora de Salida]]-Tabla5[[#This Row],[Hora de Llegada]]+Tabla4[[#This Row],[Tiempo Extra]]</f>
        <v>0.14444444444961846</v>
      </c>
      <c r="H105" s="5" t="str">
        <f>TEXT(Tabla4[[#This Row],[Preparación en horas]]/1440, "h:mm")</f>
        <v>1:39</v>
      </c>
      <c r="I105" s="4">
        <f>IF(Tabla5[[#This Row],[Tiempo Permanencia]]-Tabla5[[#This Row],[Tiempo de Preparación ]]&gt;=0,Tabla5[[#This Row],[Tiempo Permanencia]]-Tabla5[[#This Row],[Tiempo de Preparación ]],0)</f>
        <v>7.5694444449618453E-2</v>
      </c>
      <c r="J105" s="5" t="str">
        <f>IF(Tabla5[[#This Row],[Tiempo de Degustación]]=0,"No Cobrada","Cobrada")</f>
        <v>Cobrada</v>
      </c>
      <c r="K105" s="5" cm="1">
        <f t="array" ref="K105">SUM(IF(Tabla5[[#This Row],[Orden Cobrada]]="Cobrada",IF(Cocina!A:A=Tabla5[[#This Row],[Nº Orden]],Cocina!F:F*Cocina!G:G,0),-Tabla6[[#This Row],[Precio Cena]]))</f>
        <v>73</v>
      </c>
      <c r="L105" s="5">
        <f>IF(Tabla5[[#This Row],[Orden Cobrada]]="Cobrada",Tabla5[[#This Row],[Ganancia Bruta]]-Tabla6[[#This Row],[Coste Cena]],-Tabla6[[#This Row],[Precio Cena]]+Tabla6[[#This Row],[Coste Cena]])</f>
        <v>30</v>
      </c>
      <c r="M105" s="10">
        <f>IF(Tabla5[[#This Row],[Orden Cobrada]]="Cobrada",((Tabla5[[#This Row],[Ganancia Neta]]/Tabla5[[#This Row],[Ganancia Bruta]])*100)/100,-((Tabla5[[#This Row],[Ganancia Neta]]/Tabla5[[#This Row],[Ganancia Bruta]]*100)/100))</f>
        <v>0.41095890410958902</v>
      </c>
      <c r="N105" s="5" t="str">
        <f>sala!F104</f>
        <v>Mesero_4</v>
      </c>
      <c r="AY105" cm="1">
        <f t="array" ref="AY105">SUM(IF(Cocina!A:A=Tabla5[[#This Row],[Nº Orden]],Cocina!F:F*Cocina!G:G,0))</f>
        <v>73</v>
      </c>
      <c r="AZ105" cm="1">
        <f t="array" ref="AZ105">SUM(IF(Cocina!A:A=Tabla5[[#This Row],[Nº Orden]],Cocina!E:E*Cocina!G:G,0))</f>
        <v>43</v>
      </c>
      <c r="BB105" t="str">
        <f>MID(Tabla4[[#This Row],[Cliente]], SEARCH("_", Tabla4[[#This Row],[Cliente]]) + 1, LEN(Tabla4[[#This Row],[Cliente]]) - SEARCH("_",Tabla4[[#This Row],[Cliente]]))</f>
        <v>388</v>
      </c>
      <c r="BC105" t="str">
        <f>sala!B104</f>
        <v>Cliente_388</v>
      </c>
      <c r="BD105" s="1">
        <f>sala!D104</f>
        <v>45017.070833333331</v>
      </c>
      <c r="BE105" s="1">
        <f>sala!E104</f>
        <v>45017.215277777781</v>
      </c>
      <c r="BF105">
        <f>sala!K104</f>
        <v>103</v>
      </c>
      <c r="BG105">
        <f>sala!I104</f>
        <v>2675</v>
      </c>
      <c r="BH105" cm="1">
        <f t="array" ref="BH105">SUM(IF(Cocina!A:A=Tabla4[[#This Row],[Número de Orden]],Cocina!F:F*Cocina!G:G,0))</f>
        <v>73</v>
      </c>
      <c r="BI105" t="str">
        <f>sala!J104</f>
        <v>Reservada</v>
      </c>
      <c r="BJ105" s="4" t="str">
        <f>IF(Tabla4[[#This Row],[Estado mesa]]="Ocupada","00:15","00:00")</f>
        <v>00:00</v>
      </c>
      <c r="BK105" cm="1">
        <f t="array" ref="BK105">SUM(IF(Cocina!A:A=Tabla4[[#This Row],[Número de Orden]],Cocina!H:H,0))</f>
        <v>99</v>
      </c>
    </row>
    <row r="106" spans="1:63" x14ac:dyDescent="0.3">
      <c r="A106" s="8" t="str">
        <f>MID(Tabla4[[#This Row],[Cliente]], SEARCH("_", Tabla4[[#This Row],[Cliente]]) + 1, LEN(Tabla4[[#This Row],[Cliente]]) - SEARCH("_",Tabla4[[#This Row],[Cliente]]))</f>
        <v>384</v>
      </c>
      <c r="B106">
        <f>sala!K105</f>
        <v>104</v>
      </c>
      <c r="C106">
        <f>Tabla4[[#This Row],[Propina]]+Tabla4[[#This Row],[Precio Cena]]</f>
        <v>1189</v>
      </c>
      <c r="D106" s="3">
        <f>INT(sala!E105)</f>
        <v>45017</v>
      </c>
      <c r="E106" s="4">
        <f>MOD( sala!D105,1)</f>
        <v>6.1111111113859806E-2</v>
      </c>
      <c r="F106" s="4">
        <f>MOD( sala!E105,1)</f>
        <v>0.11388888888905058</v>
      </c>
      <c r="G106" s="4">
        <f>Tabla5[[#This Row],[Hora de Salida]]-Tabla5[[#This Row],[Hora de Llegada]]+Tabla4[[#This Row],[Tiempo Extra]]</f>
        <v>5.2777777775190771E-2</v>
      </c>
      <c r="H106" s="5" t="str">
        <f>TEXT(Tabla4[[#This Row],[Preparación en horas]]/1440, "h:mm")</f>
        <v>0:55</v>
      </c>
      <c r="I106" s="4">
        <f>IF(Tabla5[[#This Row],[Tiempo Permanencia]]-Tabla5[[#This Row],[Tiempo de Preparación ]]&gt;=0,Tabla5[[#This Row],[Tiempo Permanencia]]-Tabla5[[#This Row],[Tiempo de Preparación ]],0)</f>
        <v>1.4583333330746323E-2</v>
      </c>
      <c r="J106" s="5" t="str">
        <f>IF(Tabla5[[#This Row],[Tiempo de Degustación]]=0,"No Cobrada","Cobrada")</f>
        <v>Cobrada</v>
      </c>
      <c r="K106" s="5" cm="1">
        <f t="array" ref="K106">SUM(IF(Tabla5[[#This Row],[Orden Cobrada]]="Cobrada",IF(Cocina!A:A=Tabla5[[#This Row],[Nº Orden]],Cocina!F:F*Cocina!G:G,0),-Tabla6[[#This Row],[Precio Cena]]))</f>
        <v>77</v>
      </c>
      <c r="L106" s="5">
        <f>IF(Tabla5[[#This Row],[Orden Cobrada]]="Cobrada",Tabla5[[#This Row],[Ganancia Bruta]]-Tabla6[[#This Row],[Coste Cena]],-Tabla6[[#This Row],[Precio Cena]]+Tabla6[[#This Row],[Coste Cena]])</f>
        <v>30</v>
      </c>
      <c r="M106" s="10">
        <f>IF(Tabla5[[#This Row],[Orden Cobrada]]="Cobrada",((Tabla5[[#This Row],[Ganancia Neta]]/Tabla5[[#This Row],[Ganancia Bruta]])*100)/100,-((Tabla5[[#This Row],[Ganancia Neta]]/Tabla5[[#This Row],[Ganancia Bruta]]*100)/100))</f>
        <v>0.38961038961038968</v>
      </c>
      <c r="N106" s="5" t="str">
        <f>sala!F105</f>
        <v>Mesero_3</v>
      </c>
      <c r="AY106" cm="1">
        <f t="array" ref="AY106">SUM(IF(Cocina!A:A=Tabla5[[#This Row],[Nº Orden]],Cocina!F:F*Cocina!G:G,0))</f>
        <v>77</v>
      </c>
      <c r="AZ106" cm="1">
        <f t="array" ref="AZ106">SUM(IF(Cocina!A:A=Tabla5[[#This Row],[Nº Orden]],Cocina!E:E*Cocina!G:G,0))</f>
        <v>47</v>
      </c>
      <c r="BB106" t="str">
        <f>MID(Tabla4[[#This Row],[Cliente]], SEARCH("_", Tabla4[[#This Row],[Cliente]]) + 1, LEN(Tabla4[[#This Row],[Cliente]]) - SEARCH("_",Tabla4[[#This Row],[Cliente]]))</f>
        <v>384</v>
      </c>
      <c r="BC106" t="str">
        <f>sala!B105</f>
        <v>Cliente_384</v>
      </c>
      <c r="BD106" s="1">
        <f>sala!D105</f>
        <v>45017.061111111114</v>
      </c>
      <c r="BE106" s="1">
        <f>sala!E105</f>
        <v>45017.113888888889</v>
      </c>
      <c r="BF106">
        <f>sala!K105</f>
        <v>104</v>
      </c>
      <c r="BG106">
        <f>sala!I105</f>
        <v>1112</v>
      </c>
      <c r="BH106" cm="1">
        <f t="array" ref="BH106">SUM(IF(Cocina!A:A=Tabla4[[#This Row],[Número de Orden]],Cocina!F:F*Cocina!G:G,0))</f>
        <v>77</v>
      </c>
      <c r="BI106" t="str">
        <f>sala!J105</f>
        <v>Reservada</v>
      </c>
      <c r="BJ106" s="4" t="str">
        <f>IF(Tabla4[[#This Row],[Estado mesa]]="Ocupada","00:15","00:00")</f>
        <v>00:00</v>
      </c>
      <c r="BK106" cm="1">
        <f t="array" ref="BK106">SUM(IF(Cocina!A:A=Tabla4[[#This Row],[Número de Orden]],Cocina!H:H,0))</f>
        <v>55</v>
      </c>
    </row>
    <row r="107" spans="1:63" x14ac:dyDescent="0.3">
      <c r="A107" s="8" t="str">
        <f>MID(Tabla4[[#This Row],[Cliente]], SEARCH("_", Tabla4[[#This Row],[Cliente]]) + 1, LEN(Tabla4[[#This Row],[Cliente]]) - SEARCH("_",Tabla4[[#This Row],[Cliente]]))</f>
        <v>517</v>
      </c>
      <c r="B107">
        <f>sala!K106</f>
        <v>105</v>
      </c>
      <c r="C107">
        <f>Tabla4[[#This Row],[Propina]]+Tabla4[[#This Row],[Precio Cena]]</f>
        <v>1705</v>
      </c>
      <c r="D107" s="3">
        <f>INT(sala!E106)</f>
        <v>45017</v>
      </c>
      <c r="E107" s="4">
        <f>MOD( sala!D106,1)</f>
        <v>5.4166666668606922E-2</v>
      </c>
      <c r="F107" s="4">
        <f>MOD( sala!E106,1)</f>
        <v>0.16666666666424135</v>
      </c>
      <c r="G107" s="4">
        <f>Tabla5[[#This Row],[Hora de Salida]]-Tabla5[[#This Row],[Hora de Llegada]]+Tabla4[[#This Row],[Tiempo Extra]]</f>
        <v>0.11249999999563443</v>
      </c>
      <c r="H107" s="5" t="str">
        <f>TEXT(Tabla4[[#This Row],[Preparación en horas]]/1440, "h:mm")</f>
        <v>0:43</v>
      </c>
      <c r="I107" s="4">
        <f>IF(Tabla5[[#This Row],[Tiempo Permanencia]]-Tabla5[[#This Row],[Tiempo de Preparación ]]&gt;=0,Tabla5[[#This Row],[Tiempo Permanencia]]-Tabla5[[#This Row],[Tiempo de Preparación ]],0)</f>
        <v>8.2638888884523309E-2</v>
      </c>
      <c r="J107" s="5" t="str">
        <f>IF(Tabla5[[#This Row],[Tiempo de Degustación]]=0,"No Cobrada","Cobrada")</f>
        <v>Cobrada</v>
      </c>
      <c r="K107" s="5" cm="1">
        <f t="array" ref="K107">SUM(IF(Tabla5[[#This Row],[Orden Cobrada]]="Cobrada",IF(Cocina!A:A=Tabla5[[#This Row],[Nº Orden]],Cocina!F:F*Cocina!G:G,0),-Tabla6[[#This Row],[Precio Cena]]))</f>
        <v>141</v>
      </c>
      <c r="L107" s="5">
        <f>IF(Tabla5[[#This Row],[Orden Cobrada]]="Cobrada",Tabla5[[#This Row],[Ganancia Bruta]]-Tabla6[[#This Row],[Coste Cena]],-Tabla6[[#This Row],[Precio Cena]]+Tabla6[[#This Row],[Coste Cena]])</f>
        <v>57</v>
      </c>
      <c r="M107" s="10">
        <f>IF(Tabla5[[#This Row],[Orden Cobrada]]="Cobrada",((Tabla5[[#This Row],[Ganancia Neta]]/Tabla5[[#This Row],[Ganancia Bruta]])*100)/100,-((Tabla5[[#This Row],[Ganancia Neta]]/Tabla5[[#This Row],[Ganancia Bruta]]*100)/100))</f>
        <v>0.40425531914893609</v>
      </c>
      <c r="N107" s="5" t="str">
        <f>sala!F106</f>
        <v>Mesero_3</v>
      </c>
      <c r="AY107" cm="1">
        <f t="array" ref="AY107">SUM(IF(Cocina!A:A=Tabla5[[#This Row],[Nº Orden]],Cocina!F:F*Cocina!G:G,0))</f>
        <v>141</v>
      </c>
      <c r="AZ107" cm="1">
        <f t="array" ref="AZ107">SUM(IF(Cocina!A:A=Tabla5[[#This Row],[Nº Orden]],Cocina!E:E*Cocina!G:G,0))</f>
        <v>84</v>
      </c>
      <c r="BB107" t="str">
        <f>MID(Tabla4[[#This Row],[Cliente]], SEARCH("_", Tabla4[[#This Row],[Cliente]]) + 1, LEN(Tabla4[[#This Row],[Cliente]]) - SEARCH("_",Tabla4[[#This Row],[Cliente]]))</f>
        <v>517</v>
      </c>
      <c r="BC107" t="str">
        <f>sala!B106</f>
        <v>Cliente_517</v>
      </c>
      <c r="BD107" s="1">
        <f>sala!D106</f>
        <v>45017.054166666669</v>
      </c>
      <c r="BE107" s="1">
        <f>sala!E106</f>
        <v>45017.166666666664</v>
      </c>
      <c r="BF107">
        <f>sala!K106</f>
        <v>105</v>
      </c>
      <c r="BG107">
        <f>sala!I106</f>
        <v>1564</v>
      </c>
      <c r="BH107" cm="1">
        <f t="array" ref="BH107">SUM(IF(Cocina!A:A=Tabla4[[#This Row],[Número de Orden]],Cocina!F:F*Cocina!G:G,0))</f>
        <v>141</v>
      </c>
      <c r="BI107" t="str">
        <f>sala!J106</f>
        <v>Libre</v>
      </c>
      <c r="BJ107" s="4" t="str">
        <f>IF(Tabla4[[#This Row],[Estado mesa]]="Ocupada","00:15","00:00")</f>
        <v>00:00</v>
      </c>
      <c r="BK107" cm="1">
        <f t="array" ref="BK107">SUM(IF(Cocina!A:A=Tabla4[[#This Row],[Número de Orden]],Cocina!H:H,0))</f>
        <v>43</v>
      </c>
    </row>
    <row r="108" spans="1:63" x14ac:dyDescent="0.3">
      <c r="A108" s="8" t="str">
        <f>MID(Tabla4[[#This Row],[Cliente]], SEARCH("_", Tabla4[[#This Row],[Cliente]]) + 1, LEN(Tabla4[[#This Row],[Cliente]]) - SEARCH("_",Tabla4[[#This Row],[Cliente]]))</f>
        <v>711</v>
      </c>
      <c r="B108">
        <f>sala!K107</f>
        <v>106</v>
      </c>
      <c r="C108">
        <f>Tabla4[[#This Row],[Propina]]+Tabla4[[#This Row],[Precio Cena]]</f>
        <v>2340</v>
      </c>
      <c r="D108" s="3">
        <f>INT(sala!E107)</f>
        <v>45017</v>
      </c>
      <c r="E108" s="4">
        <f>MOD( sala!D107,1)</f>
        <v>8.3333333335758653E-2</v>
      </c>
      <c r="F108" s="4">
        <f>MOD( sala!E107,1)</f>
        <v>0.21388888888759539</v>
      </c>
      <c r="G108" s="4">
        <f>Tabla5[[#This Row],[Hora de Salida]]-Tabla5[[#This Row],[Hora de Llegada]]+Tabla4[[#This Row],[Tiempo Extra]]</f>
        <v>0.13055555555183673</v>
      </c>
      <c r="H108" s="5" t="str">
        <f>TEXT(Tabla4[[#This Row],[Preparación en horas]]/1440, "h:mm")</f>
        <v>0:29</v>
      </c>
      <c r="I108" s="4">
        <f>IF(Tabla5[[#This Row],[Tiempo Permanencia]]-Tabla5[[#This Row],[Tiempo de Preparación ]]&gt;=0,Tabla5[[#This Row],[Tiempo Permanencia]]-Tabla5[[#This Row],[Tiempo de Preparación ]],0)</f>
        <v>0.11041666666294785</v>
      </c>
      <c r="J108" s="5" t="str">
        <f>IF(Tabla5[[#This Row],[Tiempo de Degustación]]=0,"No Cobrada","Cobrada")</f>
        <v>Cobrada</v>
      </c>
      <c r="K108" s="5" cm="1">
        <f t="array" ref="K108">SUM(IF(Tabla5[[#This Row],[Orden Cobrada]]="Cobrada",IF(Cocina!A:A=Tabla5[[#This Row],[Nº Orden]],Cocina!F:F*Cocina!G:G,0),-Tabla6[[#This Row],[Precio Cena]]))</f>
        <v>68</v>
      </c>
      <c r="L108" s="5">
        <f>IF(Tabla5[[#This Row],[Orden Cobrada]]="Cobrada",Tabla5[[#This Row],[Ganancia Bruta]]-Tabla6[[#This Row],[Coste Cena]],-Tabla6[[#This Row],[Precio Cena]]+Tabla6[[#This Row],[Coste Cena]])</f>
        <v>28</v>
      </c>
      <c r="M108" s="10">
        <f>IF(Tabla5[[#This Row],[Orden Cobrada]]="Cobrada",((Tabla5[[#This Row],[Ganancia Neta]]/Tabla5[[#This Row],[Ganancia Bruta]])*100)/100,-((Tabla5[[#This Row],[Ganancia Neta]]/Tabla5[[#This Row],[Ganancia Bruta]]*100)/100))</f>
        <v>0.41176470588235292</v>
      </c>
      <c r="N108" s="5" t="str">
        <f>sala!F107</f>
        <v>Mesero_4</v>
      </c>
      <c r="AY108" cm="1">
        <f t="array" ref="AY108">SUM(IF(Cocina!A:A=Tabla5[[#This Row],[Nº Orden]],Cocina!F:F*Cocina!G:G,0))</f>
        <v>68</v>
      </c>
      <c r="AZ108" cm="1">
        <f t="array" ref="AZ108">SUM(IF(Cocina!A:A=Tabla5[[#This Row],[Nº Orden]],Cocina!E:E*Cocina!G:G,0))</f>
        <v>40</v>
      </c>
      <c r="BB108" t="str">
        <f>MID(Tabla4[[#This Row],[Cliente]], SEARCH("_", Tabla4[[#This Row],[Cliente]]) + 1, LEN(Tabla4[[#This Row],[Cliente]]) - SEARCH("_",Tabla4[[#This Row],[Cliente]]))</f>
        <v>711</v>
      </c>
      <c r="BC108" t="str">
        <f>sala!B107</f>
        <v>Cliente_711</v>
      </c>
      <c r="BD108" s="1">
        <f>sala!D107</f>
        <v>45017.083333333336</v>
      </c>
      <c r="BE108" s="1">
        <f>sala!E107</f>
        <v>45017.213888888888</v>
      </c>
      <c r="BF108">
        <f>sala!K107</f>
        <v>106</v>
      </c>
      <c r="BG108">
        <f>sala!I107</f>
        <v>2272</v>
      </c>
      <c r="BH108" cm="1">
        <f t="array" ref="BH108">SUM(IF(Cocina!A:A=Tabla4[[#This Row],[Número de Orden]],Cocina!F:F*Cocina!G:G,0))</f>
        <v>68</v>
      </c>
      <c r="BI108" t="str">
        <f>sala!J107</f>
        <v>Libre</v>
      </c>
      <c r="BJ108" s="4" t="str">
        <f>IF(Tabla4[[#This Row],[Estado mesa]]="Ocupada","00:15","00:00")</f>
        <v>00:00</v>
      </c>
      <c r="BK108" cm="1">
        <f t="array" ref="BK108">SUM(IF(Cocina!A:A=Tabla4[[#This Row],[Número de Orden]],Cocina!H:H,0))</f>
        <v>29</v>
      </c>
    </row>
    <row r="109" spans="1:63" x14ac:dyDescent="0.3">
      <c r="A109" s="8" t="str">
        <f>MID(Tabla4[[#This Row],[Cliente]], SEARCH("_", Tabla4[[#This Row],[Cliente]]) + 1, LEN(Tabla4[[#This Row],[Cliente]]) - SEARCH("_",Tabla4[[#This Row],[Cliente]]))</f>
        <v>651</v>
      </c>
      <c r="B109">
        <f>sala!K108</f>
        <v>107</v>
      </c>
      <c r="C109">
        <f>Tabla4[[#This Row],[Propina]]+Tabla4[[#This Row],[Precio Cena]]</f>
        <v>5130</v>
      </c>
      <c r="D109" s="3">
        <f>INT(sala!E108)</f>
        <v>45017</v>
      </c>
      <c r="E109" s="4">
        <f>MOD( sala!D108,1)</f>
        <v>6.1805555553291924E-2</v>
      </c>
      <c r="F109" s="4">
        <f>MOD( sala!E108,1)</f>
        <v>0.12361111111385981</v>
      </c>
      <c r="G109" s="4">
        <f>Tabla5[[#This Row],[Hora de Salida]]-Tabla5[[#This Row],[Hora de Llegada]]+Tabla4[[#This Row],[Tiempo Extra]]</f>
        <v>6.1805555560567882E-2</v>
      </c>
      <c r="H109" s="5" t="str">
        <f>TEXT(Tabla4[[#This Row],[Preparación en horas]]/1440, "h:mm")</f>
        <v>2:21</v>
      </c>
      <c r="I109" s="4">
        <f>IF(Tabla5[[#This Row],[Tiempo Permanencia]]-Tabla5[[#This Row],[Tiempo de Preparación ]]&gt;=0,Tabla5[[#This Row],[Tiempo Permanencia]]-Tabla5[[#This Row],[Tiempo de Preparación ]],0)</f>
        <v>0</v>
      </c>
      <c r="J109" s="5" t="str">
        <f>IF(Tabla5[[#This Row],[Tiempo de Degustación]]=0,"No Cobrada","Cobrada")</f>
        <v>No Cobrada</v>
      </c>
      <c r="K109" s="5" cm="1">
        <f t="array" ref="K109">SUM(IF(Tabla5[[#This Row],[Orden Cobrada]]="Cobrada",IF(Cocina!A:A=Tabla5[[#This Row],[Nº Orden]],Cocina!F:F*Cocina!G:G,0),-Tabla6[[#This Row],[Precio Cena]]))</f>
        <v>-253</v>
      </c>
      <c r="L109" s="5">
        <f>IF(Tabla5[[#This Row],[Orden Cobrada]]="Cobrada",Tabla5[[#This Row],[Ganancia Bruta]]-Tabla6[[#This Row],[Coste Cena]],-Tabla6[[#This Row],[Precio Cena]]+Tabla6[[#This Row],[Coste Cena]])</f>
        <v>-104</v>
      </c>
      <c r="M109" s="10">
        <f>IF(Tabla5[[#This Row],[Orden Cobrada]]="Cobrada",((Tabla5[[#This Row],[Ganancia Neta]]/Tabla5[[#This Row],[Ganancia Bruta]])*100)/100,-((Tabla5[[#This Row],[Ganancia Neta]]/Tabla5[[#This Row],[Ganancia Bruta]]*100)/100))</f>
        <v>-0.4110671936758894</v>
      </c>
      <c r="N109" s="5" t="str">
        <f>sala!F108</f>
        <v>Mesero_2</v>
      </c>
      <c r="AY109" cm="1">
        <f t="array" ref="AY109">SUM(IF(Cocina!A:A=Tabla5[[#This Row],[Nº Orden]],Cocina!F:F*Cocina!G:G,0))</f>
        <v>253</v>
      </c>
      <c r="AZ109" cm="1">
        <f t="array" ref="AZ109">SUM(IF(Cocina!A:A=Tabla5[[#This Row],[Nº Orden]],Cocina!E:E*Cocina!G:G,0))</f>
        <v>149</v>
      </c>
      <c r="BB109" t="str">
        <f>MID(Tabla4[[#This Row],[Cliente]], SEARCH("_", Tabla4[[#This Row],[Cliente]]) + 1, LEN(Tabla4[[#This Row],[Cliente]]) - SEARCH("_",Tabla4[[#This Row],[Cliente]]))</f>
        <v>651</v>
      </c>
      <c r="BC109" t="str">
        <f>sala!B108</f>
        <v>Cliente_651</v>
      </c>
      <c r="BD109" s="1">
        <f>sala!D108</f>
        <v>45017.061805555553</v>
      </c>
      <c r="BE109" s="1">
        <f>sala!E108</f>
        <v>45017.123611111114</v>
      </c>
      <c r="BF109">
        <f>sala!K108</f>
        <v>107</v>
      </c>
      <c r="BG109">
        <f>sala!I108</f>
        <v>4877</v>
      </c>
      <c r="BH109" cm="1">
        <f t="array" ref="BH109">SUM(IF(Cocina!A:A=Tabla4[[#This Row],[Número de Orden]],Cocina!F:F*Cocina!G:G,0))</f>
        <v>253</v>
      </c>
      <c r="BI109" t="str">
        <f>sala!J108</f>
        <v>Reservada</v>
      </c>
      <c r="BJ109" s="4" t="str">
        <f>IF(Tabla4[[#This Row],[Estado mesa]]="Ocupada","00:15","00:00")</f>
        <v>00:00</v>
      </c>
      <c r="BK109" cm="1">
        <f t="array" ref="BK109">SUM(IF(Cocina!A:A=Tabla4[[#This Row],[Número de Orden]],Cocina!H:H,0))</f>
        <v>141</v>
      </c>
    </row>
    <row r="110" spans="1:63" x14ac:dyDescent="0.3">
      <c r="A110" s="8" t="str">
        <f>MID(Tabla4[[#This Row],[Cliente]], SEARCH("_", Tabla4[[#This Row],[Cliente]]) + 1, LEN(Tabla4[[#This Row],[Cliente]]) - SEARCH("_",Tabla4[[#This Row],[Cliente]]))</f>
        <v>545</v>
      </c>
      <c r="B110">
        <f>sala!K109</f>
        <v>108</v>
      </c>
      <c r="C110">
        <f>Tabla4[[#This Row],[Propina]]+Tabla4[[#This Row],[Precio Cena]]</f>
        <v>2450</v>
      </c>
      <c r="D110" s="3">
        <f>INT(sala!E109)</f>
        <v>45017</v>
      </c>
      <c r="E110" s="4">
        <f>MOD( sala!D109,1)</f>
        <v>6.3888888886140194E-2</v>
      </c>
      <c r="F110" s="4">
        <f>MOD( sala!E109,1)</f>
        <v>0.15069444444088731</v>
      </c>
      <c r="G110" s="4">
        <f>Tabla5[[#This Row],[Hora de Salida]]-Tabla5[[#This Row],[Hora de Llegada]]+Tabla4[[#This Row],[Tiempo Extra]]</f>
        <v>8.6805555554747116E-2</v>
      </c>
      <c r="H110" s="5" t="str">
        <f>TEXT(Tabla4[[#This Row],[Preparación en horas]]/1440, "h:mm")</f>
        <v>1:55</v>
      </c>
      <c r="I110" s="4">
        <f>IF(Tabla5[[#This Row],[Tiempo Permanencia]]-Tabla5[[#This Row],[Tiempo de Preparación ]]&gt;=0,Tabla5[[#This Row],[Tiempo Permanencia]]-Tabla5[[#This Row],[Tiempo de Preparación ]],0)</f>
        <v>6.9444444436360109E-3</v>
      </c>
      <c r="J110" s="5" t="str">
        <f>IF(Tabla5[[#This Row],[Tiempo de Degustación]]=0,"No Cobrada","Cobrada")</f>
        <v>Cobrada</v>
      </c>
      <c r="K110" s="5" cm="1">
        <f t="array" ref="K110">SUM(IF(Tabla5[[#This Row],[Orden Cobrada]]="Cobrada",IF(Cocina!A:A=Tabla5[[#This Row],[Nº Orden]],Cocina!F:F*Cocina!G:G,0),-Tabla6[[#This Row],[Precio Cena]]))</f>
        <v>124</v>
      </c>
      <c r="L110" s="5">
        <f>IF(Tabla5[[#This Row],[Orden Cobrada]]="Cobrada",Tabla5[[#This Row],[Ganancia Bruta]]-Tabla6[[#This Row],[Coste Cena]],-Tabla6[[#This Row],[Precio Cena]]+Tabla6[[#This Row],[Coste Cena]])</f>
        <v>52</v>
      </c>
      <c r="M110" s="10">
        <f>IF(Tabla5[[#This Row],[Orden Cobrada]]="Cobrada",((Tabla5[[#This Row],[Ganancia Neta]]/Tabla5[[#This Row],[Ganancia Bruta]])*100)/100,-((Tabla5[[#This Row],[Ganancia Neta]]/Tabla5[[#This Row],[Ganancia Bruta]]*100)/100))</f>
        <v>0.41935483870967744</v>
      </c>
      <c r="N110" s="5" t="str">
        <f>sala!F109</f>
        <v>Mesero_4</v>
      </c>
      <c r="AY110" cm="1">
        <f t="array" ref="AY110">SUM(IF(Cocina!A:A=Tabla5[[#This Row],[Nº Orden]],Cocina!F:F*Cocina!G:G,0))</f>
        <v>124</v>
      </c>
      <c r="AZ110" cm="1">
        <f t="array" ref="AZ110">SUM(IF(Cocina!A:A=Tabla5[[#This Row],[Nº Orden]],Cocina!E:E*Cocina!G:G,0))</f>
        <v>72</v>
      </c>
      <c r="BB110" t="str">
        <f>MID(Tabla4[[#This Row],[Cliente]], SEARCH("_", Tabla4[[#This Row],[Cliente]]) + 1, LEN(Tabla4[[#This Row],[Cliente]]) - SEARCH("_",Tabla4[[#This Row],[Cliente]]))</f>
        <v>545</v>
      </c>
      <c r="BC110" t="str">
        <f>sala!B109</f>
        <v>Cliente_545</v>
      </c>
      <c r="BD110" s="1">
        <f>sala!D109</f>
        <v>45017.063888888886</v>
      </c>
      <c r="BE110" s="1">
        <f>sala!E109</f>
        <v>45017.150694444441</v>
      </c>
      <c r="BF110">
        <f>sala!K109</f>
        <v>108</v>
      </c>
      <c r="BG110">
        <f>sala!I109</f>
        <v>2326</v>
      </c>
      <c r="BH110" cm="1">
        <f t="array" ref="BH110">SUM(IF(Cocina!A:A=Tabla4[[#This Row],[Número de Orden]],Cocina!F:F*Cocina!G:G,0))</f>
        <v>124</v>
      </c>
      <c r="BI110" t="str">
        <f>sala!J109</f>
        <v>Reservada</v>
      </c>
      <c r="BJ110" s="4" t="str">
        <f>IF(Tabla4[[#This Row],[Estado mesa]]="Ocupada","00:15","00:00")</f>
        <v>00:00</v>
      </c>
      <c r="BK110" cm="1">
        <f t="array" ref="BK110">SUM(IF(Cocina!A:A=Tabla4[[#This Row],[Número de Orden]],Cocina!H:H,0))</f>
        <v>115</v>
      </c>
    </row>
    <row r="111" spans="1:63" x14ac:dyDescent="0.3">
      <c r="A111" s="8" t="str">
        <f>MID(Tabla4[[#This Row],[Cliente]], SEARCH("_", Tabla4[[#This Row],[Cliente]]) + 1, LEN(Tabla4[[#This Row],[Cliente]]) - SEARCH("_",Tabla4[[#This Row],[Cliente]]))</f>
        <v>116</v>
      </c>
      <c r="B111">
        <f>sala!K110</f>
        <v>109</v>
      </c>
      <c r="C111">
        <f>Tabla4[[#This Row],[Propina]]+Tabla4[[#This Row],[Precio Cena]]</f>
        <v>4464</v>
      </c>
      <c r="D111" s="3">
        <f>INT(sala!E110)</f>
        <v>45017</v>
      </c>
      <c r="E111" s="4">
        <f>MOD( sala!D110,1)</f>
        <v>5.9027777781011537E-2</v>
      </c>
      <c r="F111" s="4">
        <f>MOD( sala!E110,1)</f>
        <v>0.10138888889196096</v>
      </c>
      <c r="G111" s="4">
        <f>Tabla5[[#This Row],[Hora de Salida]]-Tabla5[[#This Row],[Hora de Llegada]]+Tabla4[[#This Row],[Tiempo Extra]]</f>
        <v>4.2361111110949423E-2</v>
      </c>
      <c r="H111" s="5" t="str">
        <f>TEXT(Tabla4[[#This Row],[Preparación en horas]]/1440, "h:mm")</f>
        <v>1:58</v>
      </c>
      <c r="I111" s="4">
        <f>IF(Tabla5[[#This Row],[Tiempo Permanencia]]-Tabla5[[#This Row],[Tiempo de Preparación ]]&gt;=0,Tabla5[[#This Row],[Tiempo Permanencia]]-Tabla5[[#This Row],[Tiempo de Preparación ]],0)</f>
        <v>0</v>
      </c>
      <c r="J111" s="5" t="str">
        <f>IF(Tabla5[[#This Row],[Tiempo de Degustación]]=0,"No Cobrada","Cobrada")</f>
        <v>No Cobrada</v>
      </c>
      <c r="K111" s="5" cm="1">
        <f t="array" ref="K111">SUM(IF(Tabla5[[#This Row],[Orden Cobrada]]="Cobrada",IF(Cocina!A:A=Tabla5[[#This Row],[Nº Orden]],Cocina!F:F*Cocina!G:G,0),-Tabla6[[#This Row],[Precio Cena]]))</f>
        <v>-169</v>
      </c>
      <c r="L111" s="5">
        <f>IF(Tabla5[[#This Row],[Orden Cobrada]]="Cobrada",Tabla5[[#This Row],[Ganancia Bruta]]-Tabla6[[#This Row],[Coste Cena]],-Tabla6[[#This Row],[Precio Cena]]+Tabla6[[#This Row],[Coste Cena]])</f>
        <v>-69</v>
      </c>
      <c r="M111" s="10">
        <f>IF(Tabla5[[#This Row],[Orden Cobrada]]="Cobrada",((Tabla5[[#This Row],[Ganancia Neta]]/Tabla5[[#This Row],[Ganancia Bruta]])*100)/100,-((Tabla5[[#This Row],[Ganancia Neta]]/Tabla5[[#This Row],[Ganancia Bruta]]*100)/100))</f>
        <v>-0.40828402366863903</v>
      </c>
      <c r="N111" s="5" t="str">
        <f>sala!F110</f>
        <v>Mesero_4</v>
      </c>
      <c r="AY111" cm="1">
        <f t="array" ref="AY111">SUM(IF(Cocina!A:A=Tabla5[[#This Row],[Nº Orden]],Cocina!F:F*Cocina!G:G,0))</f>
        <v>169</v>
      </c>
      <c r="AZ111" cm="1">
        <f t="array" ref="AZ111">SUM(IF(Cocina!A:A=Tabla5[[#This Row],[Nº Orden]],Cocina!E:E*Cocina!G:G,0))</f>
        <v>100</v>
      </c>
      <c r="BB111" t="str">
        <f>MID(Tabla4[[#This Row],[Cliente]], SEARCH("_", Tabla4[[#This Row],[Cliente]]) + 1, LEN(Tabla4[[#This Row],[Cliente]]) - SEARCH("_",Tabla4[[#This Row],[Cliente]]))</f>
        <v>116</v>
      </c>
      <c r="BC111" t="str">
        <f>sala!B110</f>
        <v>Cliente_116</v>
      </c>
      <c r="BD111" s="1">
        <f>sala!D110</f>
        <v>45017.059027777781</v>
      </c>
      <c r="BE111" s="1">
        <f>sala!E110</f>
        <v>45017.101388888892</v>
      </c>
      <c r="BF111">
        <f>sala!K110</f>
        <v>109</v>
      </c>
      <c r="BG111">
        <f>sala!I110</f>
        <v>4295</v>
      </c>
      <c r="BH111" cm="1">
        <f t="array" ref="BH111">SUM(IF(Cocina!A:A=Tabla4[[#This Row],[Número de Orden]],Cocina!F:F*Cocina!G:G,0))</f>
        <v>169</v>
      </c>
      <c r="BI111" t="str">
        <f>sala!J110</f>
        <v>Libre</v>
      </c>
      <c r="BJ111" s="4" t="str">
        <f>IF(Tabla4[[#This Row],[Estado mesa]]="Ocupada","00:15","00:00")</f>
        <v>00:00</v>
      </c>
      <c r="BK111" cm="1">
        <f t="array" ref="BK111">SUM(IF(Cocina!A:A=Tabla4[[#This Row],[Número de Orden]],Cocina!H:H,0))</f>
        <v>118</v>
      </c>
    </row>
    <row r="112" spans="1:63" x14ac:dyDescent="0.3">
      <c r="A112" s="8" t="str">
        <f>MID(Tabla4[[#This Row],[Cliente]], SEARCH("_", Tabla4[[#This Row],[Cliente]]) + 1, LEN(Tabla4[[#This Row],[Cliente]]) - SEARCH("_",Tabla4[[#This Row],[Cliente]]))</f>
        <v>170</v>
      </c>
      <c r="B112">
        <f>sala!K111</f>
        <v>110</v>
      </c>
      <c r="C112">
        <f>Tabla4[[#This Row],[Propina]]+Tabla4[[#This Row],[Precio Cena]]</f>
        <v>4954</v>
      </c>
      <c r="D112" s="3">
        <f>INT(sala!E111)</f>
        <v>45017</v>
      </c>
      <c r="E112" s="4">
        <f>MOD( sala!D111,1)</f>
        <v>0.14722222222189885</v>
      </c>
      <c r="F112" s="4">
        <f>MOD( sala!E111,1)</f>
        <v>0.27569444444088731</v>
      </c>
      <c r="G112" s="4">
        <f>Tabla5[[#This Row],[Hora de Salida]]-Tabla5[[#This Row],[Hora de Llegada]]+Tabla4[[#This Row],[Tiempo Extra]]</f>
        <v>0.12847222221898846</v>
      </c>
      <c r="H112" s="5" t="str">
        <f>TEXT(Tabla4[[#This Row],[Preparación en horas]]/1440, "h:mm")</f>
        <v>2:01</v>
      </c>
      <c r="I112" s="4">
        <f>IF(Tabla5[[#This Row],[Tiempo Permanencia]]-Tabla5[[#This Row],[Tiempo de Preparación ]]&gt;=0,Tabla5[[#This Row],[Tiempo Permanencia]]-Tabla5[[#This Row],[Tiempo de Preparación ]],0)</f>
        <v>4.4444444441210679E-2</v>
      </c>
      <c r="J112" s="5" t="str">
        <f>IF(Tabla5[[#This Row],[Tiempo de Degustación]]=0,"No Cobrada","Cobrada")</f>
        <v>Cobrada</v>
      </c>
      <c r="K112" s="5" cm="1">
        <f t="array" ref="K112">SUM(IF(Tabla5[[#This Row],[Orden Cobrada]]="Cobrada",IF(Cocina!A:A=Tabla5[[#This Row],[Nº Orden]],Cocina!F:F*Cocina!G:G,0),-Tabla6[[#This Row],[Precio Cena]]))</f>
        <v>163</v>
      </c>
      <c r="L112" s="5">
        <f>IF(Tabla5[[#This Row],[Orden Cobrada]]="Cobrada",Tabla5[[#This Row],[Ganancia Bruta]]-Tabla6[[#This Row],[Coste Cena]],-Tabla6[[#This Row],[Precio Cena]]+Tabla6[[#This Row],[Coste Cena]])</f>
        <v>68</v>
      </c>
      <c r="M112" s="10">
        <f>IF(Tabla5[[#This Row],[Orden Cobrada]]="Cobrada",((Tabla5[[#This Row],[Ganancia Neta]]/Tabla5[[#This Row],[Ganancia Bruta]])*100)/100,-((Tabla5[[#This Row],[Ganancia Neta]]/Tabla5[[#This Row],[Ganancia Bruta]]*100)/100))</f>
        <v>0.41717791411042948</v>
      </c>
      <c r="N112" s="5" t="str">
        <f>sala!F111</f>
        <v>Mesero_1</v>
      </c>
      <c r="AY112" cm="1">
        <f t="array" ref="AY112">SUM(IF(Cocina!A:A=Tabla5[[#This Row],[Nº Orden]],Cocina!F:F*Cocina!G:G,0))</f>
        <v>163</v>
      </c>
      <c r="AZ112" cm="1">
        <f t="array" ref="AZ112">SUM(IF(Cocina!A:A=Tabla5[[#This Row],[Nº Orden]],Cocina!E:E*Cocina!G:G,0))</f>
        <v>95</v>
      </c>
      <c r="BB112" t="str">
        <f>MID(Tabla4[[#This Row],[Cliente]], SEARCH("_", Tabla4[[#This Row],[Cliente]]) + 1, LEN(Tabla4[[#This Row],[Cliente]]) - SEARCH("_",Tabla4[[#This Row],[Cliente]]))</f>
        <v>170</v>
      </c>
      <c r="BC112" t="str">
        <f>sala!B111</f>
        <v>Cliente_170</v>
      </c>
      <c r="BD112" s="1">
        <f>sala!D111</f>
        <v>45017.147222222222</v>
      </c>
      <c r="BE112" s="1">
        <f>sala!E111</f>
        <v>45017.275694444441</v>
      </c>
      <c r="BF112">
        <f>sala!K111</f>
        <v>110</v>
      </c>
      <c r="BG112">
        <f>sala!I111</f>
        <v>4791</v>
      </c>
      <c r="BH112" cm="1">
        <f t="array" ref="BH112">SUM(IF(Cocina!A:A=Tabla4[[#This Row],[Número de Orden]],Cocina!F:F*Cocina!G:G,0))</f>
        <v>163</v>
      </c>
      <c r="BI112" t="str">
        <f>sala!J111</f>
        <v>Reservada</v>
      </c>
      <c r="BJ112" s="4" t="str">
        <f>IF(Tabla4[[#This Row],[Estado mesa]]="Ocupada","00:15","00:00")</f>
        <v>00:00</v>
      </c>
      <c r="BK112" cm="1">
        <f t="array" ref="BK112">SUM(IF(Cocina!A:A=Tabla4[[#This Row],[Número de Orden]],Cocina!H:H,0))</f>
        <v>121</v>
      </c>
    </row>
    <row r="113" spans="1:63" x14ac:dyDescent="0.3">
      <c r="A113" s="8" t="str">
        <f>MID(Tabla4[[#This Row],[Cliente]], SEARCH("_", Tabla4[[#This Row],[Cliente]]) + 1, LEN(Tabla4[[#This Row],[Cliente]]) - SEARCH("_",Tabla4[[#This Row],[Cliente]]))</f>
        <v>92</v>
      </c>
      <c r="B113">
        <f>sala!K112</f>
        <v>111</v>
      </c>
      <c r="C113">
        <f>Tabla4[[#This Row],[Propina]]+Tabla4[[#This Row],[Precio Cena]]</f>
        <v>2086</v>
      </c>
      <c r="D113" s="3">
        <f>INT(sala!E112)</f>
        <v>45017</v>
      </c>
      <c r="E113" s="4">
        <f>MOD( sala!D112,1)</f>
        <v>7.4999999997089617E-2</v>
      </c>
      <c r="F113" s="4">
        <f>MOD( sala!E112,1)</f>
        <v>0.21319444444088731</v>
      </c>
      <c r="G113" s="4">
        <f>Tabla5[[#This Row],[Hora de Salida]]-Tabla5[[#This Row],[Hora de Llegada]]+Tabla4[[#This Row],[Tiempo Extra]]</f>
        <v>0.13819444444379769</v>
      </c>
      <c r="H113" s="5" t="str">
        <f>TEXT(Tabla4[[#This Row],[Preparación en horas]]/1440, "h:mm")</f>
        <v>2:17</v>
      </c>
      <c r="I113" s="4">
        <f>IF(Tabla5[[#This Row],[Tiempo Permanencia]]-Tabla5[[#This Row],[Tiempo de Preparación ]]&gt;=0,Tabla5[[#This Row],[Tiempo Permanencia]]-Tabla5[[#This Row],[Tiempo de Preparación ]],0)</f>
        <v>4.3055555554908809E-2</v>
      </c>
      <c r="J113" s="5" t="str">
        <f>IF(Tabla5[[#This Row],[Tiempo de Degustación]]=0,"No Cobrada","Cobrada")</f>
        <v>Cobrada</v>
      </c>
      <c r="K113" s="5" cm="1">
        <f t="array" ref="K113">SUM(IF(Tabla5[[#This Row],[Orden Cobrada]]="Cobrada",IF(Cocina!A:A=Tabla5[[#This Row],[Nº Orden]],Cocina!F:F*Cocina!G:G,0),-Tabla6[[#This Row],[Precio Cena]]))</f>
        <v>204</v>
      </c>
      <c r="L113" s="5">
        <f>IF(Tabla5[[#This Row],[Orden Cobrada]]="Cobrada",Tabla5[[#This Row],[Ganancia Bruta]]-Tabla6[[#This Row],[Coste Cena]],-Tabla6[[#This Row],[Precio Cena]]+Tabla6[[#This Row],[Coste Cena]])</f>
        <v>84</v>
      </c>
      <c r="M113" s="10">
        <f>IF(Tabla5[[#This Row],[Orden Cobrada]]="Cobrada",((Tabla5[[#This Row],[Ganancia Neta]]/Tabla5[[#This Row],[Ganancia Bruta]])*100)/100,-((Tabla5[[#This Row],[Ganancia Neta]]/Tabla5[[#This Row],[Ganancia Bruta]]*100)/100))</f>
        <v>0.41176470588235292</v>
      </c>
      <c r="N113" s="5" t="str">
        <f>sala!F112</f>
        <v>Mesero_3</v>
      </c>
      <c r="AY113" cm="1">
        <f t="array" ref="AY113">SUM(IF(Cocina!A:A=Tabla5[[#This Row],[Nº Orden]],Cocina!F:F*Cocina!G:G,0))</f>
        <v>204</v>
      </c>
      <c r="AZ113" cm="1">
        <f t="array" ref="AZ113">SUM(IF(Cocina!A:A=Tabla5[[#This Row],[Nº Orden]],Cocina!E:E*Cocina!G:G,0))</f>
        <v>120</v>
      </c>
      <c r="BB113" t="str">
        <f>MID(Tabla4[[#This Row],[Cliente]], SEARCH("_", Tabla4[[#This Row],[Cliente]]) + 1, LEN(Tabla4[[#This Row],[Cliente]]) - SEARCH("_",Tabla4[[#This Row],[Cliente]]))</f>
        <v>92</v>
      </c>
      <c r="BC113" t="str">
        <f>sala!B112</f>
        <v>Cliente_92</v>
      </c>
      <c r="BD113" s="1">
        <f>sala!D112</f>
        <v>45017.074999999997</v>
      </c>
      <c r="BE113" s="1">
        <f>sala!E112</f>
        <v>45017.213194444441</v>
      </c>
      <c r="BF113">
        <f>sala!K112</f>
        <v>111</v>
      </c>
      <c r="BG113">
        <f>sala!I112</f>
        <v>1882</v>
      </c>
      <c r="BH113" cm="1">
        <f t="array" ref="BH113">SUM(IF(Cocina!A:A=Tabla4[[#This Row],[Número de Orden]],Cocina!F:F*Cocina!G:G,0))</f>
        <v>204</v>
      </c>
      <c r="BI113" t="str">
        <f>sala!J112</f>
        <v>Reservada</v>
      </c>
      <c r="BJ113" s="4" t="str">
        <f>IF(Tabla4[[#This Row],[Estado mesa]]="Ocupada","00:15","00:00")</f>
        <v>00:00</v>
      </c>
      <c r="BK113" cm="1">
        <f t="array" ref="BK113">SUM(IF(Cocina!A:A=Tabla4[[#This Row],[Número de Orden]],Cocina!H:H,0))</f>
        <v>137</v>
      </c>
    </row>
    <row r="114" spans="1:63" x14ac:dyDescent="0.3">
      <c r="A114" s="8" t="str">
        <f>MID(Tabla4[[#This Row],[Cliente]], SEARCH("_", Tabla4[[#This Row],[Cliente]]) + 1, LEN(Tabla4[[#This Row],[Cliente]]) - SEARCH("_",Tabla4[[#This Row],[Cliente]]))</f>
        <v>552</v>
      </c>
      <c r="B114">
        <f>sala!K113</f>
        <v>112</v>
      </c>
      <c r="C114">
        <f>Tabla4[[#This Row],[Propina]]+Tabla4[[#This Row],[Precio Cena]]</f>
        <v>3556</v>
      </c>
      <c r="D114" s="3">
        <f>INT(sala!E113)</f>
        <v>45017</v>
      </c>
      <c r="E114" s="4">
        <f>MOD( sala!D113,1)</f>
        <v>7.5694444443797693E-2</v>
      </c>
      <c r="F114" s="4">
        <f>MOD( sala!E113,1)</f>
        <v>0.16736111111094942</v>
      </c>
      <c r="G114" s="4">
        <f>Tabla5[[#This Row],[Hora de Salida]]-Tabla5[[#This Row],[Hora de Llegada]]+Tabla4[[#This Row],[Tiempo Extra]]</f>
        <v>0.1020833333338184</v>
      </c>
      <c r="H114" s="5" t="str">
        <f>TEXT(Tabla4[[#This Row],[Preparación en horas]]/1440, "h:mm")</f>
        <v>0:16</v>
      </c>
      <c r="I114" s="4">
        <f>IF(Tabla5[[#This Row],[Tiempo Permanencia]]-Tabla5[[#This Row],[Tiempo de Preparación ]]&gt;=0,Tabla5[[#This Row],[Tiempo Permanencia]]-Tabla5[[#This Row],[Tiempo de Preparación ]],0)</f>
        <v>9.0972222222707289E-2</v>
      </c>
      <c r="J114" s="5" t="str">
        <f>IF(Tabla5[[#This Row],[Tiempo de Degustación]]=0,"No Cobrada","Cobrada")</f>
        <v>Cobrada</v>
      </c>
      <c r="K114" s="5" cm="1">
        <f t="array" ref="K114">SUM(IF(Tabla5[[#This Row],[Orden Cobrada]]="Cobrada",IF(Cocina!A:A=Tabla5[[#This Row],[Nº Orden]],Cocina!F:F*Cocina!G:G,0),-Tabla6[[#This Row],[Precio Cena]]))</f>
        <v>20</v>
      </c>
      <c r="L114" s="5">
        <f>IF(Tabla5[[#This Row],[Orden Cobrada]]="Cobrada",Tabla5[[#This Row],[Ganancia Bruta]]-Tabla6[[#This Row],[Coste Cena]],-Tabla6[[#This Row],[Precio Cena]]+Tabla6[[#This Row],[Coste Cena]])</f>
        <v>8</v>
      </c>
      <c r="M114" s="10">
        <f>IF(Tabla5[[#This Row],[Orden Cobrada]]="Cobrada",((Tabla5[[#This Row],[Ganancia Neta]]/Tabla5[[#This Row],[Ganancia Bruta]])*100)/100,-((Tabla5[[#This Row],[Ganancia Neta]]/Tabla5[[#This Row],[Ganancia Bruta]]*100)/100))</f>
        <v>0.4</v>
      </c>
      <c r="N114" s="5" t="str">
        <f>sala!F113</f>
        <v>Mesero_2</v>
      </c>
      <c r="AY114" cm="1">
        <f t="array" ref="AY114">SUM(IF(Cocina!A:A=Tabla5[[#This Row],[Nº Orden]],Cocina!F:F*Cocina!G:G,0))</f>
        <v>20</v>
      </c>
      <c r="AZ114" cm="1">
        <f t="array" ref="AZ114">SUM(IF(Cocina!A:A=Tabla5[[#This Row],[Nº Orden]],Cocina!E:E*Cocina!G:G,0))</f>
        <v>12</v>
      </c>
      <c r="BB114" t="str">
        <f>MID(Tabla4[[#This Row],[Cliente]], SEARCH("_", Tabla4[[#This Row],[Cliente]]) + 1, LEN(Tabla4[[#This Row],[Cliente]]) - SEARCH("_",Tabla4[[#This Row],[Cliente]]))</f>
        <v>552</v>
      </c>
      <c r="BC114" t="str">
        <f>sala!B113</f>
        <v>Cliente_552</v>
      </c>
      <c r="BD114" s="1">
        <f>sala!D113</f>
        <v>45017.075694444444</v>
      </c>
      <c r="BE114" s="1">
        <f>sala!E113</f>
        <v>45017.167361111111</v>
      </c>
      <c r="BF114">
        <f>sala!K113</f>
        <v>112</v>
      </c>
      <c r="BG114">
        <f>sala!I113</f>
        <v>3536</v>
      </c>
      <c r="BH114" cm="1">
        <f t="array" ref="BH114">SUM(IF(Cocina!A:A=Tabla4[[#This Row],[Número de Orden]],Cocina!F:F*Cocina!G:G,0))</f>
        <v>20</v>
      </c>
      <c r="BI114" t="str">
        <f>sala!J113</f>
        <v>Ocupada</v>
      </c>
      <c r="BJ114" s="4" t="str">
        <f>IF(Tabla4[[#This Row],[Estado mesa]]="Ocupada","00:15","00:00")</f>
        <v>00:15</v>
      </c>
      <c r="BK114" cm="1">
        <f t="array" ref="BK114">SUM(IF(Cocina!A:A=Tabla4[[#This Row],[Número de Orden]],Cocina!H:H,0))</f>
        <v>16</v>
      </c>
    </row>
    <row r="115" spans="1:63" x14ac:dyDescent="0.3">
      <c r="A115" s="8" t="str">
        <f>MID(Tabla4[[#This Row],[Cliente]], SEARCH("_", Tabla4[[#This Row],[Cliente]]) + 1, LEN(Tabla4[[#This Row],[Cliente]]) - SEARCH("_",Tabla4[[#This Row],[Cliente]]))</f>
        <v>627</v>
      </c>
      <c r="B115">
        <f>sala!K114</f>
        <v>113</v>
      </c>
      <c r="C115">
        <f>Tabla4[[#This Row],[Propina]]+Tabla4[[#This Row],[Precio Cena]]</f>
        <v>3042</v>
      </c>
      <c r="D115" s="3">
        <f>INT(sala!E114)</f>
        <v>45017</v>
      </c>
      <c r="E115" s="4">
        <f>MOD( sala!D114,1)</f>
        <v>5.0000000002910383E-2</v>
      </c>
      <c r="F115" s="4">
        <f>MOD( sala!E114,1)</f>
        <v>0.18125000000145519</v>
      </c>
      <c r="G115" s="4">
        <f>Tabla5[[#This Row],[Hora de Salida]]-Tabla5[[#This Row],[Hora de Llegada]]+Tabla4[[#This Row],[Tiempo Extra]]</f>
        <v>0.14166666666521147</v>
      </c>
      <c r="H115" s="5" t="str">
        <f>TEXT(Tabla4[[#This Row],[Preparación en horas]]/1440, "h:mm")</f>
        <v>0:51</v>
      </c>
      <c r="I115" s="4">
        <f>IF(Tabla5[[#This Row],[Tiempo Permanencia]]-Tabla5[[#This Row],[Tiempo de Preparación ]]&gt;=0,Tabla5[[#This Row],[Tiempo Permanencia]]-Tabla5[[#This Row],[Tiempo de Preparación ]],0)</f>
        <v>0.1062499999985448</v>
      </c>
      <c r="J115" s="5" t="str">
        <f>IF(Tabla5[[#This Row],[Tiempo de Degustación]]=0,"No Cobrada","Cobrada")</f>
        <v>Cobrada</v>
      </c>
      <c r="K115" s="5" cm="1">
        <f t="array" ref="K115">SUM(IF(Tabla5[[#This Row],[Orden Cobrada]]="Cobrada",IF(Cocina!A:A=Tabla5[[#This Row],[Nº Orden]],Cocina!F:F*Cocina!G:G,0),-Tabla6[[#This Row],[Precio Cena]]))</f>
        <v>68</v>
      </c>
      <c r="L115" s="5">
        <f>IF(Tabla5[[#This Row],[Orden Cobrada]]="Cobrada",Tabla5[[#This Row],[Ganancia Bruta]]-Tabla6[[#This Row],[Coste Cena]],-Tabla6[[#This Row],[Precio Cena]]+Tabla6[[#This Row],[Coste Cena]])</f>
        <v>28</v>
      </c>
      <c r="M115" s="10">
        <f>IF(Tabla5[[#This Row],[Orden Cobrada]]="Cobrada",((Tabla5[[#This Row],[Ganancia Neta]]/Tabla5[[#This Row],[Ganancia Bruta]])*100)/100,-((Tabla5[[#This Row],[Ganancia Neta]]/Tabla5[[#This Row],[Ganancia Bruta]]*100)/100))</f>
        <v>0.41176470588235292</v>
      </c>
      <c r="N115" s="5" t="str">
        <f>sala!F114</f>
        <v>Mesero_3</v>
      </c>
      <c r="AY115" cm="1">
        <f t="array" ref="AY115">SUM(IF(Cocina!A:A=Tabla5[[#This Row],[Nº Orden]],Cocina!F:F*Cocina!G:G,0))</f>
        <v>68</v>
      </c>
      <c r="AZ115" cm="1">
        <f t="array" ref="AZ115">SUM(IF(Cocina!A:A=Tabla5[[#This Row],[Nº Orden]],Cocina!E:E*Cocina!G:G,0))</f>
        <v>40</v>
      </c>
      <c r="BB115" t="str">
        <f>MID(Tabla4[[#This Row],[Cliente]], SEARCH("_", Tabla4[[#This Row],[Cliente]]) + 1, LEN(Tabla4[[#This Row],[Cliente]]) - SEARCH("_",Tabla4[[#This Row],[Cliente]]))</f>
        <v>627</v>
      </c>
      <c r="BC115" t="str">
        <f>sala!B114</f>
        <v>Cliente_627</v>
      </c>
      <c r="BD115" s="1">
        <f>sala!D114</f>
        <v>45017.05</v>
      </c>
      <c r="BE115" s="1">
        <f>sala!E114</f>
        <v>45017.181250000001</v>
      </c>
      <c r="BF115">
        <f>sala!K114</f>
        <v>113</v>
      </c>
      <c r="BG115">
        <f>sala!I114</f>
        <v>2974</v>
      </c>
      <c r="BH115" cm="1">
        <f t="array" ref="BH115">SUM(IF(Cocina!A:A=Tabla4[[#This Row],[Número de Orden]],Cocina!F:F*Cocina!G:G,0))</f>
        <v>68</v>
      </c>
      <c r="BI115" t="str">
        <f>sala!J114</f>
        <v>Ocupada</v>
      </c>
      <c r="BJ115" s="4" t="str">
        <f>IF(Tabla4[[#This Row],[Estado mesa]]="Ocupada","00:15","00:00")</f>
        <v>00:15</v>
      </c>
      <c r="BK115" cm="1">
        <f t="array" ref="BK115">SUM(IF(Cocina!A:A=Tabla4[[#This Row],[Número de Orden]],Cocina!H:H,0))</f>
        <v>51</v>
      </c>
    </row>
    <row r="116" spans="1:63" x14ac:dyDescent="0.3">
      <c r="A116" s="8" t="str">
        <f>MID(Tabla4[[#This Row],[Cliente]], SEARCH("_", Tabla4[[#This Row],[Cliente]]) + 1, LEN(Tabla4[[#This Row],[Cliente]]) - SEARCH("_",Tabla4[[#This Row],[Cliente]]))</f>
        <v>588</v>
      </c>
      <c r="B116">
        <f>sala!K115</f>
        <v>114</v>
      </c>
      <c r="C116">
        <f>Tabla4[[#This Row],[Propina]]+Tabla4[[#This Row],[Precio Cena]]</f>
        <v>4134</v>
      </c>
      <c r="D116" s="3">
        <f>INT(sala!E115)</f>
        <v>45017</v>
      </c>
      <c r="E116" s="4">
        <f>MOD( sala!D115,1)</f>
        <v>3.4027777779556345E-2</v>
      </c>
      <c r="F116" s="4">
        <f>MOD( sala!E115,1)</f>
        <v>0.14583333333575865</v>
      </c>
      <c r="G116" s="4">
        <f>Tabla5[[#This Row],[Hora de Salida]]-Tabla5[[#This Row],[Hora de Llegada]]+Tabla4[[#This Row],[Tiempo Extra]]</f>
        <v>0.12222222222286898</v>
      </c>
      <c r="H116" s="5" t="str">
        <f>TEXT(Tabla4[[#This Row],[Preparación en horas]]/1440, "h:mm")</f>
        <v>2:11</v>
      </c>
      <c r="I116" s="4">
        <f>IF(Tabla5[[#This Row],[Tiempo Permanencia]]-Tabla5[[#This Row],[Tiempo de Preparación ]]&gt;=0,Tabla5[[#This Row],[Tiempo Permanencia]]-Tabla5[[#This Row],[Tiempo de Preparación ]],0)</f>
        <v>3.125000000064676E-2</v>
      </c>
      <c r="J116" s="5" t="str">
        <f>IF(Tabla5[[#This Row],[Tiempo de Degustación]]=0,"No Cobrada","Cobrada")</f>
        <v>Cobrada</v>
      </c>
      <c r="K116" s="5" cm="1">
        <f t="array" ref="K116">SUM(IF(Tabla5[[#This Row],[Orden Cobrada]]="Cobrada",IF(Cocina!A:A=Tabla5[[#This Row],[Nº Orden]],Cocina!F:F*Cocina!G:G,0),-Tabla6[[#This Row],[Precio Cena]]))</f>
        <v>253</v>
      </c>
      <c r="L116" s="5">
        <f>IF(Tabla5[[#This Row],[Orden Cobrada]]="Cobrada",Tabla5[[#This Row],[Ganancia Bruta]]-Tabla6[[#This Row],[Coste Cena]],-Tabla6[[#This Row],[Precio Cena]]+Tabla6[[#This Row],[Coste Cena]])</f>
        <v>105</v>
      </c>
      <c r="M116" s="10">
        <f>IF(Tabla5[[#This Row],[Orden Cobrada]]="Cobrada",((Tabla5[[#This Row],[Ganancia Neta]]/Tabla5[[#This Row],[Ganancia Bruta]])*100)/100,-((Tabla5[[#This Row],[Ganancia Neta]]/Tabla5[[#This Row],[Ganancia Bruta]]*100)/100))</f>
        <v>0.41501976284584979</v>
      </c>
      <c r="N116" s="5" t="str">
        <f>sala!F115</f>
        <v>Mesero_1</v>
      </c>
      <c r="AY116" cm="1">
        <f t="array" ref="AY116">SUM(IF(Cocina!A:A=Tabla5[[#This Row],[Nº Orden]],Cocina!F:F*Cocina!G:G,0))</f>
        <v>253</v>
      </c>
      <c r="AZ116" cm="1">
        <f t="array" ref="AZ116">SUM(IF(Cocina!A:A=Tabla5[[#This Row],[Nº Orden]],Cocina!E:E*Cocina!G:G,0))</f>
        <v>148</v>
      </c>
      <c r="BB116" t="str">
        <f>MID(Tabla4[[#This Row],[Cliente]], SEARCH("_", Tabla4[[#This Row],[Cliente]]) + 1, LEN(Tabla4[[#This Row],[Cliente]]) - SEARCH("_",Tabla4[[#This Row],[Cliente]]))</f>
        <v>588</v>
      </c>
      <c r="BC116" t="str">
        <f>sala!B115</f>
        <v>Cliente_588</v>
      </c>
      <c r="BD116" s="1">
        <f>sala!D115</f>
        <v>45017.03402777778</v>
      </c>
      <c r="BE116" s="1">
        <f>sala!E115</f>
        <v>45017.145833333336</v>
      </c>
      <c r="BF116">
        <f>sala!K115</f>
        <v>114</v>
      </c>
      <c r="BG116">
        <f>sala!I115</f>
        <v>3881</v>
      </c>
      <c r="BH116" cm="1">
        <f t="array" ref="BH116">SUM(IF(Cocina!A:A=Tabla4[[#This Row],[Número de Orden]],Cocina!F:F*Cocina!G:G,0))</f>
        <v>253</v>
      </c>
      <c r="BI116" t="str">
        <f>sala!J115</f>
        <v>Ocupada</v>
      </c>
      <c r="BJ116" s="4" t="str">
        <f>IF(Tabla4[[#This Row],[Estado mesa]]="Ocupada","00:15","00:00")</f>
        <v>00:15</v>
      </c>
      <c r="BK116" cm="1">
        <f t="array" ref="BK116">SUM(IF(Cocina!A:A=Tabla4[[#This Row],[Número de Orden]],Cocina!H:H,0))</f>
        <v>131</v>
      </c>
    </row>
    <row r="117" spans="1:63" x14ac:dyDescent="0.3">
      <c r="A117" s="8" t="str">
        <f>MID(Tabla4[[#This Row],[Cliente]], SEARCH("_", Tabla4[[#This Row],[Cliente]]) + 1, LEN(Tabla4[[#This Row],[Cliente]]) - SEARCH("_",Tabla4[[#This Row],[Cliente]]))</f>
        <v>313</v>
      </c>
      <c r="B117">
        <f>sala!K116</f>
        <v>115</v>
      </c>
      <c r="C117">
        <f>Tabla4[[#This Row],[Propina]]+Tabla4[[#This Row],[Precio Cena]]</f>
        <v>4883</v>
      </c>
      <c r="D117" s="3">
        <f>INT(sala!E116)</f>
        <v>45017</v>
      </c>
      <c r="E117" s="4">
        <f>MOD( sala!D116,1)</f>
        <v>0.15486111111385981</v>
      </c>
      <c r="F117" s="4">
        <f>MOD( sala!E116,1)</f>
        <v>0.26805555555620231</v>
      </c>
      <c r="G117" s="4">
        <f>Tabla5[[#This Row],[Hora de Salida]]-Tabla5[[#This Row],[Hora de Llegada]]+Tabla4[[#This Row],[Tiempo Extra]]</f>
        <v>0.12361111110900917</v>
      </c>
      <c r="H117" s="5" t="str">
        <f>TEXT(Tabla4[[#This Row],[Preparación en horas]]/1440, "h:mm")</f>
        <v>1:38</v>
      </c>
      <c r="I117" s="4">
        <f>IF(Tabla5[[#This Row],[Tiempo Permanencia]]-Tabla5[[#This Row],[Tiempo de Preparación ]]&gt;=0,Tabla5[[#This Row],[Tiempo Permanencia]]-Tabla5[[#This Row],[Tiempo de Preparación ]],0)</f>
        <v>5.5555555553453623E-2</v>
      </c>
      <c r="J117" s="5" t="str">
        <f>IF(Tabla5[[#This Row],[Tiempo de Degustación]]=0,"No Cobrada","Cobrada")</f>
        <v>Cobrada</v>
      </c>
      <c r="K117" s="5" cm="1">
        <f t="array" ref="K117">SUM(IF(Tabla5[[#This Row],[Orden Cobrada]]="Cobrada",IF(Cocina!A:A=Tabla5[[#This Row],[Nº Orden]],Cocina!F:F*Cocina!G:G,0),-Tabla6[[#This Row],[Precio Cena]]))</f>
        <v>237</v>
      </c>
      <c r="L117" s="5">
        <f>IF(Tabla5[[#This Row],[Orden Cobrada]]="Cobrada",Tabla5[[#This Row],[Ganancia Bruta]]-Tabla6[[#This Row],[Coste Cena]],-Tabla6[[#This Row],[Precio Cena]]+Tabla6[[#This Row],[Coste Cena]])</f>
        <v>96</v>
      </c>
      <c r="M117" s="10">
        <f>IF(Tabla5[[#This Row],[Orden Cobrada]]="Cobrada",((Tabla5[[#This Row],[Ganancia Neta]]/Tabla5[[#This Row],[Ganancia Bruta]])*100)/100,-((Tabla5[[#This Row],[Ganancia Neta]]/Tabla5[[#This Row],[Ganancia Bruta]]*100)/100))</f>
        <v>0.40506329113924056</v>
      </c>
      <c r="N117" s="5" t="str">
        <f>sala!F116</f>
        <v>Mesero_1</v>
      </c>
      <c r="AY117" cm="1">
        <f t="array" ref="AY117">SUM(IF(Cocina!A:A=Tabla5[[#This Row],[Nº Orden]],Cocina!F:F*Cocina!G:G,0))</f>
        <v>237</v>
      </c>
      <c r="AZ117" cm="1">
        <f t="array" ref="AZ117">SUM(IF(Cocina!A:A=Tabla5[[#This Row],[Nº Orden]],Cocina!E:E*Cocina!G:G,0))</f>
        <v>141</v>
      </c>
      <c r="BB117" t="str">
        <f>MID(Tabla4[[#This Row],[Cliente]], SEARCH("_", Tabla4[[#This Row],[Cliente]]) + 1, LEN(Tabla4[[#This Row],[Cliente]]) - SEARCH("_",Tabla4[[#This Row],[Cliente]]))</f>
        <v>313</v>
      </c>
      <c r="BC117" t="str">
        <f>sala!B116</f>
        <v>Cliente_313</v>
      </c>
      <c r="BD117" s="1">
        <f>sala!D116</f>
        <v>45017.154861111114</v>
      </c>
      <c r="BE117" s="1">
        <f>sala!E116</f>
        <v>45017.268055555556</v>
      </c>
      <c r="BF117">
        <f>sala!K116</f>
        <v>115</v>
      </c>
      <c r="BG117">
        <f>sala!I116</f>
        <v>4646</v>
      </c>
      <c r="BH117" cm="1">
        <f t="array" ref="BH117">SUM(IF(Cocina!A:A=Tabla4[[#This Row],[Número de Orden]],Cocina!F:F*Cocina!G:G,0))</f>
        <v>237</v>
      </c>
      <c r="BI117" t="str">
        <f>sala!J116</f>
        <v>Ocupada</v>
      </c>
      <c r="BJ117" s="4" t="str">
        <f>IF(Tabla4[[#This Row],[Estado mesa]]="Ocupada","00:15","00:00")</f>
        <v>00:15</v>
      </c>
      <c r="BK117" cm="1">
        <f t="array" ref="BK117">SUM(IF(Cocina!A:A=Tabla4[[#This Row],[Número de Orden]],Cocina!H:H,0))</f>
        <v>98</v>
      </c>
    </row>
    <row r="118" spans="1:63" x14ac:dyDescent="0.3">
      <c r="A118" s="8" t="str">
        <f>MID(Tabla4[[#This Row],[Cliente]], SEARCH("_", Tabla4[[#This Row],[Cliente]]) + 1, LEN(Tabla4[[#This Row],[Cliente]]) - SEARCH("_",Tabla4[[#This Row],[Cliente]]))</f>
        <v>949</v>
      </c>
      <c r="B118">
        <f>sala!K117</f>
        <v>116</v>
      </c>
      <c r="C118">
        <f>Tabla4[[#This Row],[Propina]]+Tabla4[[#This Row],[Precio Cena]]</f>
        <v>5038</v>
      </c>
      <c r="D118" s="3">
        <f>INT(sala!E117)</f>
        <v>45017</v>
      </c>
      <c r="E118" s="4">
        <f>MOD( sala!D117,1)</f>
        <v>0.13541666666424135</v>
      </c>
      <c r="F118" s="4">
        <f>MOD( sala!E117,1)</f>
        <v>0.27291666666860692</v>
      </c>
      <c r="G118" s="4">
        <f>Tabla5[[#This Row],[Hora de Salida]]-Tabla5[[#This Row],[Hora de Llegada]]+Tabla4[[#This Row],[Tiempo Extra]]</f>
        <v>0.14791666667103223</v>
      </c>
      <c r="H118" s="5" t="str">
        <f>TEXT(Tabla4[[#This Row],[Preparación en horas]]/1440, "h:mm")</f>
        <v>2:09</v>
      </c>
      <c r="I118" s="4">
        <f>IF(Tabla5[[#This Row],[Tiempo Permanencia]]-Tabla5[[#This Row],[Tiempo de Preparación ]]&gt;=0,Tabla5[[#This Row],[Tiempo Permanencia]]-Tabla5[[#This Row],[Tiempo de Preparación ]],0)</f>
        <v>5.8333333337698898E-2</v>
      </c>
      <c r="J118" s="5" t="str">
        <f>IF(Tabla5[[#This Row],[Tiempo de Degustación]]=0,"No Cobrada","Cobrada")</f>
        <v>Cobrada</v>
      </c>
      <c r="K118" s="5" cm="1">
        <f t="array" ref="K118">SUM(IF(Tabla5[[#This Row],[Orden Cobrada]]="Cobrada",IF(Cocina!A:A=Tabla5[[#This Row],[Nº Orden]],Cocina!F:F*Cocina!G:G,0),-Tabla6[[#This Row],[Precio Cena]]))</f>
        <v>269</v>
      </c>
      <c r="L118" s="5">
        <f>IF(Tabla5[[#This Row],[Orden Cobrada]]="Cobrada",Tabla5[[#This Row],[Ganancia Bruta]]-Tabla6[[#This Row],[Coste Cena]],-Tabla6[[#This Row],[Precio Cena]]+Tabla6[[#This Row],[Coste Cena]])</f>
        <v>109</v>
      </c>
      <c r="M118" s="10">
        <f>IF(Tabla5[[#This Row],[Orden Cobrada]]="Cobrada",((Tabla5[[#This Row],[Ganancia Neta]]/Tabla5[[#This Row],[Ganancia Bruta]])*100)/100,-((Tabla5[[#This Row],[Ganancia Neta]]/Tabla5[[#This Row],[Ganancia Bruta]]*100)/100))</f>
        <v>0.40520446096654278</v>
      </c>
      <c r="N118" s="5" t="str">
        <f>sala!F117</f>
        <v>Mesero_1</v>
      </c>
      <c r="AY118" cm="1">
        <f t="array" ref="AY118">SUM(IF(Cocina!A:A=Tabla5[[#This Row],[Nº Orden]],Cocina!F:F*Cocina!G:G,0))</f>
        <v>269</v>
      </c>
      <c r="AZ118" cm="1">
        <f t="array" ref="AZ118">SUM(IF(Cocina!A:A=Tabla5[[#This Row],[Nº Orden]],Cocina!E:E*Cocina!G:G,0))</f>
        <v>160</v>
      </c>
      <c r="BB118" t="str">
        <f>MID(Tabla4[[#This Row],[Cliente]], SEARCH("_", Tabla4[[#This Row],[Cliente]]) + 1, LEN(Tabla4[[#This Row],[Cliente]]) - SEARCH("_",Tabla4[[#This Row],[Cliente]]))</f>
        <v>949</v>
      </c>
      <c r="BC118" t="str">
        <f>sala!B117</f>
        <v>Cliente_949</v>
      </c>
      <c r="BD118" s="1">
        <f>sala!D117</f>
        <v>45017.135416666664</v>
      </c>
      <c r="BE118" s="1">
        <f>sala!E117</f>
        <v>45017.272916666669</v>
      </c>
      <c r="BF118">
        <f>sala!K117</f>
        <v>116</v>
      </c>
      <c r="BG118">
        <f>sala!I117</f>
        <v>4769</v>
      </c>
      <c r="BH118" cm="1">
        <f t="array" ref="BH118">SUM(IF(Cocina!A:A=Tabla4[[#This Row],[Número de Orden]],Cocina!F:F*Cocina!G:G,0))</f>
        <v>269</v>
      </c>
      <c r="BI118" t="str">
        <f>sala!J117</f>
        <v>Ocupada</v>
      </c>
      <c r="BJ118" s="4" t="str">
        <f>IF(Tabla4[[#This Row],[Estado mesa]]="Ocupada","00:15","00:00")</f>
        <v>00:15</v>
      </c>
      <c r="BK118" cm="1">
        <f t="array" ref="BK118">SUM(IF(Cocina!A:A=Tabla4[[#This Row],[Número de Orden]],Cocina!H:H,0))</f>
        <v>129</v>
      </c>
    </row>
    <row r="119" spans="1:63" x14ac:dyDescent="0.3">
      <c r="A119" s="8" t="str">
        <f>MID(Tabla4[[#This Row],[Cliente]], SEARCH("_", Tabla4[[#This Row],[Cliente]]) + 1, LEN(Tabla4[[#This Row],[Cliente]]) - SEARCH("_",Tabla4[[#This Row],[Cliente]]))</f>
        <v>863</v>
      </c>
      <c r="B119">
        <f>sala!K118</f>
        <v>117</v>
      </c>
      <c r="C119">
        <f>Tabla4[[#This Row],[Propina]]+Tabla4[[#This Row],[Precio Cena]]</f>
        <v>1235</v>
      </c>
      <c r="D119" s="3">
        <f>INT(sala!E118)</f>
        <v>45017</v>
      </c>
      <c r="E119" s="4">
        <f>MOD( sala!D118,1)</f>
        <v>0.12152777778101154</v>
      </c>
      <c r="F119" s="4">
        <f>MOD( sala!E118,1)</f>
        <v>0.23958333333575865</v>
      </c>
      <c r="G119" s="4">
        <f>Tabla5[[#This Row],[Hora de Salida]]-Tabla5[[#This Row],[Hora de Llegada]]+Tabla4[[#This Row],[Tiempo Extra]]</f>
        <v>0.12847222222141377</v>
      </c>
      <c r="H119" s="5" t="str">
        <f>TEXT(Tabla4[[#This Row],[Preparación en horas]]/1440, "h:mm")</f>
        <v>0:08</v>
      </c>
      <c r="I119" s="4">
        <f>IF(Tabla5[[#This Row],[Tiempo Permanencia]]-Tabla5[[#This Row],[Tiempo de Preparación ]]&gt;=0,Tabla5[[#This Row],[Tiempo Permanencia]]-Tabla5[[#This Row],[Tiempo de Preparación ]],0)</f>
        <v>0.12291666666585822</v>
      </c>
      <c r="J119" s="5" t="str">
        <f>IF(Tabla5[[#This Row],[Tiempo de Degustación]]=0,"No Cobrada","Cobrada")</f>
        <v>Cobrada</v>
      </c>
      <c r="K119" s="5" cm="1">
        <f t="array" ref="K119">SUM(IF(Tabla5[[#This Row],[Orden Cobrada]]="Cobrada",IF(Cocina!A:A=Tabla5[[#This Row],[Nº Orden]],Cocina!F:F*Cocina!G:G,0),-Tabla6[[#This Row],[Precio Cena]]))</f>
        <v>70</v>
      </c>
      <c r="L119" s="5">
        <f>IF(Tabla5[[#This Row],[Orden Cobrada]]="Cobrada",Tabla5[[#This Row],[Ganancia Bruta]]-Tabla6[[#This Row],[Coste Cena]],-Tabla6[[#This Row],[Precio Cena]]+Tabla6[[#This Row],[Coste Cena]])</f>
        <v>28</v>
      </c>
      <c r="M119" s="10">
        <f>IF(Tabla5[[#This Row],[Orden Cobrada]]="Cobrada",((Tabla5[[#This Row],[Ganancia Neta]]/Tabla5[[#This Row],[Ganancia Bruta]])*100)/100,-((Tabla5[[#This Row],[Ganancia Neta]]/Tabla5[[#This Row],[Ganancia Bruta]]*100)/100))</f>
        <v>0.4</v>
      </c>
      <c r="N119" s="5" t="str">
        <f>sala!F118</f>
        <v>Mesero_3</v>
      </c>
      <c r="AY119" cm="1">
        <f t="array" ref="AY119">SUM(IF(Cocina!A:A=Tabla5[[#This Row],[Nº Orden]],Cocina!F:F*Cocina!G:G,0))</f>
        <v>70</v>
      </c>
      <c r="AZ119" cm="1">
        <f t="array" ref="AZ119">SUM(IF(Cocina!A:A=Tabla5[[#This Row],[Nº Orden]],Cocina!E:E*Cocina!G:G,0))</f>
        <v>42</v>
      </c>
      <c r="BB119" t="str">
        <f>MID(Tabla4[[#This Row],[Cliente]], SEARCH("_", Tabla4[[#This Row],[Cliente]]) + 1, LEN(Tabla4[[#This Row],[Cliente]]) - SEARCH("_",Tabla4[[#This Row],[Cliente]]))</f>
        <v>863</v>
      </c>
      <c r="BC119" t="str">
        <f>sala!B118</f>
        <v>Cliente_863</v>
      </c>
      <c r="BD119" s="1">
        <f>sala!D118</f>
        <v>45017.121527777781</v>
      </c>
      <c r="BE119" s="1">
        <f>sala!E118</f>
        <v>45017.239583333336</v>
      </c>
      <c r="BF119">
        <f>sala!K118</f>
        <v>117</v>
      </c>
      <c r="BG119">
        <f>sala!I118</f>
        <v>1165</v>
      </c>
      <c r="BH119" cm="1">
        <f t="array" ref="BH119">SUM(IF(Cocina!A:A=Tabla4[[#This Row],[Número de Orden]],Cocina!F:F*Cocina!G:G,0))</f>
        <v>70</v>
      </c>
      <c r="BI119" t="str">
        <f>sala!J118</f>
        <v>Ocupada</v>
      </c>
      <c r="BJ119" s="4" t="str">
        <f>IF(Tabla4[[#This Row],[Estado mesa]]="Ocupada","00:15","00:00")</f>
        <v>00:15</v>
      </c>
      <c r="BK119" cm="1">
        <f t="array" ref="BK119">SUM(IF(Cocina!A:A=Tabla4[[#This Row],[Número de Orden]],Cocina!H:H,0))</f>
        <v>8</v>
      </c>
    </row>
    <row r="120" spans="1:63" x14ac:dyDescent="0.3">
      <c r="A120" s="8" t="str">
        <f>MID(Tabla4[[#This Row],[Cliente]], SEARCH("_", Tabla4[[#This Row],[Cliente]]) + 1, LEN(Tabla4[[#This Row],[Cliente]]) - SEARCH("_",Tabla4[[#This Row],[Cliente]]))</f>
        <v>140</v>
      </c>
      <c r="B120">
        <f>sala!K119</f>
        <v>118</v>
      </c>
      <c r="C120">
        <f>Tabla4[[#This Row],[Propina]]+Tabla4[[#This Row],[Precio Cena]]</f>
        <v>5141</v>
      </c>
      <c r="D120" s="3">
        <f>INT(sala!E119)</f>
        <v>45017</v>
      </c>
      <c r="E120" s="4">
        <f>MOD( sala!D119,1)</f>
        <v>2.361111110803904E-2</v>
      </c>
      <c r="F120" s="4">
        <f>MOD( sala!E119,1)</f>
        <v>7.2916666664241347E-2</v>
      </c>
      <c r="G120" s="4">
        <f>Tabla5[[#This Row],[Hora de Salida]]-Tabla5[[#This Row],[Hora de Llegada]]+Tabla4[[#This Row],[Tiempo Extra]]</f>
        <v>4.9305555556202307E-2</v>
      </c>
      <c r="H120" s="5" t="str">
        <f>TEXT(Tabla4[[#This Row],[Preparación en horas]]/1440, "h:mm")</f>
        <v>2:16</v>
      </c>
      <c r="I120" s="4">
        <f>IF(Tabla5[[#This Row],[Tiempo Permanencia]]-Tabla5[[#This Row],[Tiempo de Preparación ]]&gt;=0,Tabla5[[#This Row],[Tiempo Permanencia]]-Tabla5[[#This Row],[Tiempo de Preparación ]],0)</f>
        <v>0</v>
      </c>
      <c r="J120" s="5" t="str">
        <f>IF(Tabla5[[#This Row],[Tiempo de Degustación]]=0,"No Cobrada","Cobrada")</f>
        <v>No Cobrada</v>
      </c>
      <c r="K120" s="5" cm="1">
        <f t="array" ref="K120">SUM(IF(Tabla5[[#This Row],[Orden Cobrada]]="Cobrada",IF(Cocina!A:A=Tabla5[[#This Row],[Nº Orden]],Cocina!F:F*Cocina!G:G,0),-Tabla6[[#This Row],[Precio Cena]]))</f>
        <v>-209</v>
      </c>
      <c r="L120" s="5">
        <f>IF(Tabla5[[#This Row],[Orden Cobrada]]="Cobrada",Tabla5[[#This Row],[Ganancia Bruta]]-Tabla6[[#This Row],[Coste Cena]],-Tabla6[[#This Row],[Precio Cena]]+Tabla6[[#This Row],[Coste Cena]])</f>
        <v>-86</v>
      </c>
      <c r="M120" s="10">
        <f>IF(Tabla5[[#This Row],[Orden Cobrada]]="Cobrada",((Tabla5[[#This Row],[Ganancia Neta]]/Tabla5[[#This Row],[Ganancia Bruta]])*100)/100,-((Tabla5[[#This Row],[Ganancia Neta]]/Tabla5[[#This Row],[Ganancia Bruta]]*100)/100))</f>
        <v>-0.41148325358851673</v>
      </c>
      <c r="N120" s="5" t="str">
        <f>sala!F119</f>
        <v>Mesero_5</v>
      </c>
      <c r="AY120" cm="1">
        <f t="array" ref="AY120">SUM(IF(Cocina!A:A=Tabla5[[#This Row],[Nº Orden]],Cocina!F:F*Cocina!G:G,0))</f>
        <v>209</v>
      </c>
      <c r="AZ120" cm="1">
        <f t="array" ref="AZ120">SUM(IF(Cocina!A:A=Tabla5[[#This Row],[Nº Orden]],Cocina!E:E*Cocina!G:G,0))</f>
        <v>123</v>
      </c>
      <c r="BB120" t="str">
        <f>MID(Tabla4[[#This Row],[Cliente]], SEARCH("_", Tabla4[[#This Row],[Cliente]]) + 1, LEN(Tabla4[[#This Row],[Cliente]]) - SEARCH("_",Tabla4[[#This Row],[Cliente]]))</f>
        <v>140</v>
      </c>
      <c r="BC120" t="str">
        <f>sala!B119</f>
        <v>Cliente_140</v>
      </c>
      <c r="BD120" s="1">
        <f>sala!D119</f>
        <v>45017.023611111108</v>
      </c>
      <c r="BE120" s="1">
        <f>sala!E119</f>
        <v>45017.072916666664</v>
      </c>
      <c r="BF120">
        <f>sala!K119</f>
        <v>118</v>
      </c>
      <c r="BG120">
        <f>sala!I119</f>
        <v>4932</v>
      </c>
      <c r="BH120" cm="1">
        <f t="array" ref="BH120">SUM(IF(Cocina!A:A=Tabla4[[#This Row],[Número de Orden]],Cocina!F:F*Cocina!G:G,0))</f>
        <v>209</v>
      </c>
      <c r="BI120" t="str">
        <f>sala!J119</f>
        <v>Libre</v>
      </c>
      <c r="BJ120" s="4" t="str">
        <f>IF(Tabla4[[#This Row],[Estado mesa]]="Ocupada","00:15","00:00")</f>
        <v>00:00</v>
      </c>
      <c r="BK120" cm="1">
        <f t="array" ref="BK120">SUM(IF(Cocina!A:A=Tabla4[[#This Row],[Número de Orden]],Cocina!H:H,0))</f>
        <v>136</v>
      </c>
    </row>
    <row r="121" spans="1:63" x14ac:dyDescent="0.3">
      <c r="A121" s="8" t="str">
        <f>MID(Tabla4[[#This Row],[Cliente]], SEARCH("_", Tabla4[[#This Row],[Cliente]]) + 1, LEN(Tabla4[[#This Row],[Cliente]]) - SEARCH("_",Tabla4[[#This Row],[Cliente]]))</f>
        <v>523</v>
      </c>
      <c r="B121">
        <f>sala!K120</f>
        <v>119</v>
      </c>
      <c r="C121">
        <f>Tabla4[[#This Row],[Propina]]+Tabla4[[#This Row],[Precio Cena]]</f>
        <v>249</v>
      </c>
      <c r="D121" s="3">
        <f>INT(sala!E120)</f>
        <v>45018</v>
      </c>
      <c r="E121" s="4">
        <f>MOD( sala!D120,1)</f>
        <v>0.14166666667006211</v>
      </c>
      <c r="F121" s="4">
        <f>MOD( sala!E120,1)</f>
        <v>0.21041666666860692</v>
      </c>
      <c r="G121" s="4">
        <f>Tabla5[[#This Row],[Hora de Salida]]-Tabla5[[#This Row],[Hora de Llegada]]+Tabla4[[#This Row],[Tiempo Extra]]</f>
        <v>6.8749999998544808E-2</v>
      </c>
      <c r="H121" s="5" t="str">
        <f>TEXT(Tabla4[[#This Row],[Preparación en horas]]/1440, "h:mm")</f>
        <v>0:54</v>
      </c>
      <c r="I121" s="4">
        <f>IF(Tabla5[[#This Row],[Tiempo Permanencia]]-Tabla5[[#This Row],[Tiempo de Preparación ]]&gt;=0,Tabla5[[#This Row],[Tiempo Permanencia]]-Tabla5[[#This Row],[Tiempo de Preparación ]],0)</f>
        <v>3.124999999854481E-2</v>
      </c>
      <c r="J121" s="5" t="str">
        <f>IF(Tabla5[[#This Row],[Tiempo de Degustación]]=0,"No Cobrada","Cobrada")</f>
        <v>Cobrada</v>
      </c>
      <c r="K121" s="5" cm="1">
        <f t="array" ref="K121">SUM(IF(Tabla5[[#This Row],[Orden Cobrada]]="Cobrada",IF(Cocina!A:A=Tabla5[[#This Row],[Nº Orden]],Cocina!F:F*Cocina!G:G,0),-Tabla6[[#This Row],[Precio Cena]]))</f>
        <v>134</v>
      </c>
      <c r="L121" s="5">
        <f>IF(Tabla5[[#This Row],[Orden Cobrada]]="Cobrada",Tabla5[[#This Row],[Ganancia Bruta]]-Tabla6[[#This Row],[Coste Cena]],-Tabla6[[#This Row],[Precio Cena]]+Tabla6[[#This Row],[Coste Cena]])</f>
        <v>55</v>
      </c>
      <c r="M121" s="10">
        <f>IF(Tabla5[[#This Row],[Orden Cobrada]]="Cobrada",((Tabla5[[#This Row],[Ganancia Neta]]/Tabla5[[#This Row],[Ganancia Bruta]])*100)/100,-((Tabla5[[#This Row],[Ganancia Neta]]/Tabla5[[#This Row],[Ganancia Bruta]]*100)/100))</f>
        <v>0.41044776119402987</v>
      </c>
      <c r="N121" s="5" t="str">
        <f>sala!F120</f>
        <v>Mesero_2</v>
      </c>
      <c r="AY121" cm="1">
        <f t="array" ref="AY121">SUM(IF(Cocina!A:A=Tabla5[[#This Row],[Nº Orden]],Cocina!F:F*Cocina!G:G,0))</f>
        <v>134</v>
      </c>
      <c r="AZ121" cm="1">
        <f t="array" ref="AZ121">SUM(IF(Cocina!A:A=Tabla5[[#This Row],[Nº Orden]],Cocina!E:E*Cocina!G:G,0))</f>
        <v>79</v>
      </c>
      <c r="BB121" t="str">
        <f>MID(Tabla4[[#This Row],[Cliente]], SEARCH("_", Tabla4[[#This Row],[Cliente]]) + 1, LEN(Tabla4[[#This Row],[Cliente]]) - SEARCH("_",Tabla4[[#This Row],[Cliente]]))</f>
        <v>523</v>
      </c>
      <c r="BC121" t="str">
        <f>sala!B120</f>
        <v>Cliente_523</v>
      </c>
      <c r="BD121" s="1">
        <f>sala!D120</f>
        <v>45018.14166666667</v>
      </c>
      <c r="BE121" s="1">
        <f>sala!E120</f>
        <v>45018.210416666669</v>
      </c>
      <c r="BF121">
        <f>sala!K120</f>
        <v>119</v>
      </c>
      <c r="BG121">
        <f>sala!I120</f>
        <v>115</v>
      </c>
      <c r="BH121" cm="1">
        <f t="array" ref="BH121">SUM(IF(Cocina!A:A=Tabla4[[#This Row],[Número de Orden]],Cocina!F:F*Cocina!G:G,0))</f>
        <v>134</v>
      </c>
      <c r="BI121" t="str">
        <f>sala!J120</f>
        <v>Reservada</v>
      </c>
      <c r="BJ121" s="4" t="str">
        <f>IF(Tabla4[[#This Row],[Estado mesa]]="Ocupada","00:15","00:00")</f>
        <v>00:00</v>
      </c>
      <c r="BK121" cm="1">
        <f t="array" ref="BK121">SUM(IF(Cocina!A:A=Tabla4[[#This Row],[Número de Orden]],Cocina!H:H,0))</f>
        <v>54</v>
      </c>
    </row>
    <row r="122" spans="1:63" x14ac:dyDescent="0.3">
      <c r="A122" s="8" t="str">
        <f>MID(Tabla4[[#This Row],[Cliente]], SEARCH("_", Tabla4[[#This Row],[Cliente]]) + 1, LEN(Tabla4[[#This Row],[Cliente]]) - SEARCH("_",Tabla4[[#This Row],[Cliente]]))</f>
        <v>916</v>
      </c>
      <c r="B122">
        <f>sala!K121</f>
        <v>120</v>
      </c>
      <c r="C122">
        <f>Tabla4[[#This Row],[Propina]]+Tabla4[[#This Row],[Precio Cena]]</f>
        <v>1396</v>
      </c>
      <c r="D122" s="3">
        <f>INT(sala!E121)</f>
        <v>45018</v>
      </c>
      <c r="E122" s="4">
        <f>MOD( sala!D121,1)</f>
        <v>2.6388888887595385E-2</v>
      </c>
      <c r="F122" s="4">
        <f>MOD( sala!E121,1)</f>
        <v>7.0833333331393078E-2</v>
      </c>
      <c r="G122" s="4">
        <f>Tabla5[[#This Row],[Hora de Salida]]-Tabla5[[#This Row],[Hora de Llegada]]+Tabla4[[#This Row],[Tiempo Extra]]</f>
        <v>4.4444444443797693E-2</v>
      </c>
      <c r="H122" s="5" t="str">
        <f>TEXT(Tabla4[[#This Row],[Preparación en horas]]/1440, "h:mm")</f>
        <v>1:37</v>
      </c>
      <c r="I122" s="4">
        <f>IF(Tabla5[[#This Row],[Tiempo Permanencia]]-Tabla5[[#This Row],[Tiempo de Preparación ]]&gt;=0,Tabla5[[#This Row],[Tiempo Permanencia]]-Tabla5[[#This Row],[Tiempo de Preparación ]],0)</f>
        <v>0</v>
      </c>
      <c r="J122" s="5" t="str">
        <f>IF(Tabla5[[#This Row],[Tiempo de Degustación]]=0,"No Cobrada","Cobrada")</f>
        <v>No Cobrada</v>
      </c>
      <c r="K122" s="5" cm="1">
        <f t="array" ref="K122">SUM(IF(Tabla5[[#This Row],[Orden Cobrada]]="Cobrada",IF(Cocina!A:A=Tabla5[[#This Row],[Nº Orden]],Cocina!F:F*Cocina!G:G,0),-Tabla6[[#This Row],[Precio Cena]]))</f>
        <v>-145</v>
      </c>
      <c r="L122" s="5">
        <f>IF(Tabla5[[#This Row],[Orden Cobrada]]="Cobrada",Tabla5[[#This Row],[Ganancia Bruta]]-Tabla6[[#This Row],[Coste Cena]],-Tabla6[[#This Row],[Precio Cena]]+Tabla6[[#This Row],[Coste Cena]])</f>
        <v>-58</v>
      </c>
      <c r="M122" s="10">
        <f>IF(Tabla5[[#This Row],[Orden Cobrada]]="Cobrada",((Tabla5[[#This Row],[Ganancia Neta]]/Tabla5[[#This Row],[Ganancia Bruta]])*100)/100,-((Tabla5[[#This Row],[Ganancia Neta]]/Tabla5[[#This Row],[Ganancia Bruta]]*100)/100))</f>
        <v>-0.4</v>
      </c>
      <c r="N122" s="5" t="str">
        <f>sala!F121</f>
        <v>Mesero_1</v>
      </c>
      <c r="AY122" cm="1">
        <f t="array" ref="AY122">SUM(IF(Cocina!A:A=Tabla5[[#This Row],[Nº Orden]],Cocina!F:F*Cocina!G:G,0))</f>
        <v>145</v>
      </c>
      <c r="AZ122" cm="1">
        <f t="array" ref="AZ122">SUM(IF(Cocina!A:A=Tabla5[[#This Row],[Nº Orden]],Cocina!E:E*Cocina!G:G,0))</f>
        <v>87</v>
      </c>
      <c r="BB122" t="str">
        <f>MID(Tabla4[[#This Row],[Cliente]], SEARCH("_", Tabla4[[#This Row],[Cliente]]) + 1, LEN(Tabla4[[#This Row],[Cliente]]) - SEARCH("_",Tabla4[[#This Row],[Cliente]]))</f>
        <v>916</v>
      </c>
      <c r="BC122" t="str">
        <f>sala!B121</f>
        <v>Cliente_916</v>
      </c>
      <c r="BD122" s="1">
        <f>sala!D121</f>
        <v>45018.026388888888</v>
      </c>
      <c r="BE122" s="1">
        <f>sala!E121</f>
        <v>45018.070833333331</v>
      </c>
      <c r="BF122">
        <f>sala!K121</f>
        <v>120</v>
      </c>
      <c r="BG122">
        <f>sala!I121</f>
        <v>1251</v>
      </c>
      <c r="BH122" cm="1">
        <f t="array" ref="BH122">SUM(IF(Cocina!A:A=Tabla4[[#This Row],[Número de Orden]],Cocina!F:F*Cocina!G:G,0))</f>
        <v>145</v>
      </c>
      <c r="BI122" t="str">
        <f>sala!J121</f>
        <v>Reservada</v>
      </c>
      <c r="BJ122" s="4" t="str">
        <f>IF(Tabla4[[#This Row],[Estado mesa]]="Ocupada","00:15","00:00")</f>
        <v>00:00</v>
      </c>
      <c r="BK122" cm="1">
        <f t="array" ref="BK122">SUM(IF(Cocina!A:A=Tabla4[[#This Row],[Número de Orden]],Cocina!H:H,0))</f>
        <v>97</v>
      </c>
    </row>
    <row r="123" spans="1:63" x14ac:dyDescent="0.3">
      <c r="A123" s="8" t="str">
        <f>MID(Tabla4[[#This Row],[Cliente]], SEARCH("_", Tabla4[[#This Row],[Cliente]]) + 1, LEN(Tabla4[[#This Row],[Cliente]]) - SEARCH("_",Tabla4[[#This Row],[Cliente]]))</f>
        <v>416</v>
      </c>
      <c r="B123">
        <f>sala!K122</f>
        <v>121</v>
      </c>
      <c r="C123">
        <f>Tabla4[[#This Row],[Propina]]+Tabla4[[#This Row],[Precio Cena]]</f>
        <v>175</v>
      </c>
      <c r="D123" s="3">
        <f>INT(sala!E122)</f>
        <v>45018</v>
      </c>
      <c r="E123" s="4">
        <f>MOD( sala!D122,1)</f>
        <v>0.15625</v>
      </c>
      <c r="F123" s="4">
        <f>MOD( sala!E122,1)</f>
        <v>0.25902777777810115</v>
      </c>
      <c r="G123" s="4">
        <f>Tabla5[[#This Row],[Hora de Salida]]-Tabla5[[#This Row],[Hora de Llegada]]+Tabla4[[#This Row],[Tiempo Extra]]</f>
        <v>0.10277777777810115</v>
      </c>
      <c r="H123" s="5" t="str">
        <f>TEXT(Tabla4[[#This Row],[Preparación en horas]]/1440, "h:mm")</f>
        <v>0:38</v>
      </c>
      <c r="I123" s="4">
        <f>IF(Tabla5[[#This Row],[Tiempo Permanencia]]-Tabla5[[#This Row],[Tiempo de Preparación ]]&gt;=0,Tabla5[[#This Row],[Tiempo Permanencia]]-Tabla5[[#This Row],[Tiempo de Preparación ]],0)</f>
        <v>7.6388888889212261E-2</v>
      </c>
      <c r="J123" s="5" t="str">
        <f>IF(Tabla5[[#This Row],[Tiempo de Degustación]]=0,"No Cobrada","Cobrada")</f>
        <v>Cobrada</v>
      </c>
      <c r="K123" s="5" cm="1">
        <f t="array" ref="K123">SUM(IF(Tabla5[[#This Row],[Orden Cobrada]]="Cobrada",IF(Cocina!A:A=Tabla5[[#This Row],[Nº Orden]],Cocina!F:F*Cocina!G:G,0),-Tabla6[[#This Row],[Precio Cena]]))</f>
        <v>52</v>
      </c>
      <c r="L123" s="5">
        <f>IF(Tabla5[[#This Row],[Orden Cobrada]]="Cobrada",Tabla5[[#This Row],[Ganancia Bruta]]-Tabla6[[#This Row],[Coste Cena]],-Tabla6[[#This Row],[Precio Cena]]+Tabla6[[#This Row],[Coste Cena]])</f>
        <v>22</v>
      </c>
      <c r="M123" s="10">
        <f>IF(Tabla5[[#This Row],[Orden Cobrada]]="Cobrada",((Tabla5[[#This Row],[Ganancia Neta]]/Tabla5[[#This Row],[Ganancia Bruta]])*100)/100,-((Tabla5[[#This Row],[Ganancia Neta]]/Tabla5[[#This Row],[Ganancia Bruta]]*100)/100))</f>
        <v>0.42307692307692307</v>
      </c>
      <c r="N123" s="5" t="str">
        <f>sala!F122</f>
        <v>Mesero_4</v>
      </c>
      <c r="AY123" cm="1">
        <f t="array" ref="AY123">SUM(IF(Cocina!A:A=Tabla5[[#This Row],[Nº Orden]],Cocina!F:F*Cocina!G:G,0))</f>
        <v>52</v>
      </c>
      <c r="AZ123" cm="1">
        <f t="array" ref="AZ123">SUM(IF(Cocina!A:A=Tabla5[[#This Row],[Nº Orden]],Cocina!E:E*Cocina!G:G,0))</f>
        <v>30</v>
      </c>
      <c r="BB123" t="str">
        <f>MID(Tabla4[[#This Row],[Cliente]], SEARCH("_", Tabla4[[#This Row],[Cliente]]) + 1, LEN(Tabla4[[#This Row],[Cliente]]) - SEARCH("_",Tabla4[[#This Row],[Cliente]]))</f>
        <v>416</v>
      </c>
      <c r="BC123" t="str">
        <f>sala!B122</f>
        <v>Cliente_416</v>
      </c>
      <c r="BD123" s="1">
        <f>sala!D122</f>
        <v>45018.15625</v>
      </c>
      <c r="BE123" s="1">
        <f>sala!E122</f>
        <v>45018.259027777778</v>
      </c>
      <c r="BF123">
        <f>sala!K122</f>
        <v>121</v>
      </c>
      <c r="BG123">
        <f>sala!I122</f>
        <v>123</v>
      </c>
      <c r="BH123" cm="1">
        <f t="array" ref="BH123">SUM(IF(Cocina!A:A=Tabla4[[#This Row],[Número de Orden]],Cocina!F:F*Cocina!G:G,0))</f>
        <v>52</v>
      </c>
      <c r="BI123" t="str">
        <f>sala!J122</f>
        <v>Reservada</v>
      </c>
      <c r="BJ123" s="4" t="str">
        <f>IF(Tabla4[[#This Row],[Estado mesa]]="Ocupada","00:15","00:00")</f>
        <v>00:00</v>
      </c>
      <c r="BK123" cm="1">
        <f t="array" ref="BK123">SUM(IF(Cocina!A:A=Tabla4[[#This Row],[Número de Orden]],Cocina!H:H,0))</f>
        <v>38</v>
      </c>
    </row>
    <row r="124" spans="1:63" x14ac:dyDescent="0.3">
      <c r="A124" s="8" t="str">
        <f>MID(Tabla4[[#This Row],[Cliente]], SEARCH("_", Tabla4[[#This Row],[Cliente]]) + 1, LEN(Tabla4[[#This Row],[Cliente]]) - SEARCH("_",Tabla4[[#This Row],[Cliente]]))</f>
        <v>346</v>
      </c>
      <c r="B124">
        <f>sala!K123</f>
        <v>122</v>
      </c>
      <c r="C124">
        <f>Tabla4[[#This Row],[Propina]]+Tabla4[[#This Row],[Precio Cena]]</f>
        <v>2143</v>
      </c>
      <c r="D124" s="3">
        <f>INT(sala!E123)</f>
        <v>45018</v>
      </c>
      <c r="E124" s="4">
        <f>MOD( sala!D123,1)</f>
        <v>5.7638888887595385E-2</v>
      </c>
      <c r="F124" s="4">
        <f>MOD( sala!E123,1)</f>
        <v>0.11666666666860692</v>
      </c>
      <c r="G124" s="4">
        <f>Tabla5[[#This Row],[Hora de Salida]]-Tabla5[[#This Row],[Hora de Llegada]]+Tabla4[[#This Row],[Tiempo Extra]]</f>
        <v>6.9444444447678208E-2</v>
      </c>
      <c r="H124" s="5" t="str">
        <f>TEXT(Tabla4[[#This Row],[Preparación en horas]]/1440, "h:mm")</f>
        <v>0:32</v>
      </c>
      <c r="I124" s="4">
        <f>IF(Tabla5[[#This Row],[Tiempo Permanencia]]-Tabla5[[#This Row],[Tiempo de Preparación ]]&gt;=0,Tabla5[[#This Row],[Tiempo Permanencia]]-Tabla5[[#This Row],[Tiempo de Preparación ]],0)</f>
        <v>4.7222222225455981E-2</v>
      </c>
      <c r="J124" s="5" t="str">
        <f>IF(Tabla5[[#This Row],[Tiempo de Degustación]]=0,"No Cobrada","Cobrada")</f>
        <v>Cobrada</v>
      </c>
      <c r="K124" s="5" cm="1">
        <f t="array" ref="K124">SUM(IF(Tabla5[[#This Row],[Orden Cobrada]]="Cobrada",IF(Cocina!A:A=Tabla5[[#This Row],[Nº Orden]],Cocina!F:F*Cocina!G:G,0),-Tabla6[[#This Row],[Precio Cena]]))</f>
        <v>105</v>
      </c>
      <c r="L124" s="5">
        <f>IF(Tabla5[[#This Row],[Orden Cobrada]]="Cobrada",Tabla5[[#This Row],[Ganancia Bruta]]-Tabla6[[#This Row],[Coste Cena]],-Tabla6[[#This Row],[Precio Cena]]+Tabla6[[#This Row],[Coste Cena]])</f>
        <v>42</v>
      </c>
      <c r="M124" s="10">
        <f>IF(Tabla5[[#This Row],[Orden Cobrada]]="Cobrada",((Tabla5[[#This Row],[Ganancia Neta]]/Tabla5[[#This Row],[Ganancia Bruta]])*100)/100,-((Tabla5[[#This Row],[Ganancia Neta]]/Tabla5[[#This Row],[Ganancia Bruta]]*100)/100))</f>
        <v>0.4</v>
      </c>
      <c r="N124" s="5" t="str">
        <f>sala!F123</f>
        <v>Mesero_1</v>
      </c>
      <c r="AY124" cm="1">
        <f t="array" ref="AY124">SUM(IF(Cocina!A:A=Tabla5[[#This Row],[Nº Orden]],Cocina!F:F*Cocina!G:G,0))</f>
        <v>105</v>
      </c>
      <c r="AZ124" cm="1">
        <f t="array" ref="AZ124">SUM(IF(Cocina!A:A=Tabla5[[#This Row],[Nº Orden]],Cocina!E:E*Cocina!G:G,0))</f>
        <v>63</v>
      </c>
      <c r="BB124" t="str">
        <f>MID(Tabla4[[#This Row],[Cliente]], SEARCH("_", Tabla4[[#This Row],[Cliente]]) + 1, LEN(Tabla4[[#This Row],[Cliente]]) - SEARCH("_",Tabla4[[#This Row],[Cliente]]))</f>
        <v>346</v>
      </c>
      <c r="BC124" t="str">
        <f>sala!B123</f>
        <v>Cliente_346</v>
      </c>
      <c r="BD124" s="1">
        <f>sala!D123</f>
        <v>45018.057638888888</v>
      </c>
      <c r="BE124" s="1">
        <f>sala!E123</f>
        <v>45018.116666666669</v>
      </c>
      <c r="BF124">
        <f>sala!K123</f>
        <v>122</v>
      </c>
      <c r="BG124">
        <f>sala!I123</f>
        <v>2038</v>
      </c>
      <c r="BH124" cm="1">
        <f t="array" ref="BH124">SUM(IF(Cocina!A:A=Tabla4[[#This Row],[Número de Orden]],Cocina!F:F*Cocina!G:G,0))</f>
        <v>105</v>
      </c>
      <c r="BI124" t="str">
        <f>sala!J123</f>
        <v>Ocupada</v>
      </c>
      <c r="BJ124" s="4" t="str">
        <f>IF(Tabla4[[#This Row],[Estado mesa]]="Ocupada","00:15","00:00")</f>
        <v>00:15</v>
      </c>
      <c r="BK124" cm="1">
        <f t="array" ref="BK124">SUM(IF(Cocina!A:A=Tabla4[[#This Row],[Número de Orden]],Cocina!H:H,0))</f>
        <v>32</v>
      </c>
    </row>
    <row r="125" spans="1:63" x14ac:dyDescent="0.3">
      <c r="A125" s="8" t="str">
        <f>MID(Tabla4[[#This Row],[Cliente]], SEARCH("_", Tabla4[[#This Row],[Cliente]]) + 1, LEN(Tabla4[[#This Row],[Cliente]]) - SEARCH("_",Tabla4[[#This Row],[Cliente]]))</f>
        <v>381</v>
      </c>
      <c r="B125">
        <f>sala!K124</f>
        <v>123</v>
      </c>
      <c r="C125">
        <f>Tabla4[[#This Row],[Propina]]+Tabla4[[#This Row],[Precio Cena]]</f>
        <v>4712</v>
      </c>
      <c r="D125" s="3">
        <f>INT(sala!E124)</f>
        <v>45018</v>
      </c>
      <c r="E125" s="4">
        <f>MOD( sala!D124,1)</f>
        <v>0.13124999999854481</v>
      </c>
      <c r="F125" s="4">
        <f>MOD( sala!E124,1)</f>
        <v>0.17361111110949423</v>
      </c>
      <c r="G125" s="4">
        <f>Tabla5[[#This Row],[Hora de Salida]]-Tabla5[[#This Row],[Hora de Llegada]]+Tabla4[[#This Row],[Tiempo Extra]]</f>
        <v>4.2361111110949423E-2</v>
      </c>
      <c r="H125" s="5" t="str">
        <f>TEXT(Tabla4[[#This Row],[Preparación en horas]]/1440, "h:mm")</f>
        <v>0:33</v>
      </c>
      <c r="I125" s="4">
        <f>IF(Tabla5[[#This Row],[Tiempo Permanencia]]-Tabla5[[#This Row],[Tiempo de Preparación ]]&gt;=0,Tabla5[[#This Row],[Tiempo Permanencia]]-Tabla5[[#This Row],[Tiempo de Preparación ]],0)</f>
        <v>1.9444444444282758E-2</v>
      </c>
      <c r="J125" s="5" t="str">
        <f>IF(Tabla5[[#This Row],[Tiempo de Degustación]]=0,"No Cobrada","Cobrada")</f>
        <v>Cobrada</v>
      </c>
      <c r="K125" s="5" cm="1">
        <f t="array" ref="K125">SUM(IF(Tabla5[[#This Row],[Orden Cobrada]]="Cobrada",IF(Cocina!A:A=Tabla5[[#This Row],[Nº Orden]],Cocina!F:F*Cocina!G:G,0),-Tabla6[[#This Row],[Precio Cena]]))</f>
        <v>24</v>
      </c>
      <c r="L125" s="5">
        <f>IF(Tabla5[[#This Row],[Orden Cobrada]]="Cobrada",Tabla5[[#This Row],[Ganancia Bruta]]-Tabla6[[#This Row],[Coste Cena]],-Tabla6[[#This Row],[Precio Cena]]+Tabla6[[#This Row],[Coste Cena]])</f>
        <v>10</v>
      </c>
      <c r="M125" s="10">
        <f>IF(Tabla5[[#This Row],[Orden Cobrada]]="Cobrada",((Tabla5[[#This Row],[Ganancia Neta]]/Tabla5[[#This Row],[Ganancia Bruta]])*100)/100,-((Tabla5[[#This Row],[Ganancia Neta]]/Tabla5[[#This Row],[Ganancia Bruta]]*100)/100))</f>
        <v>0.41666666666666674</v>
      </c>
      <c r="N125" s="5" t="str">
        <f>sala!F124</f>
        <v>Mesero_4</v>
      </c>
      <c r="AY125" cm="1">
        <f t="array" ref="AY125">SUM(IF(Cocina!A:A=Tabla5[[#This Row],[Nº Orden]],Cocina!F:F*Cocina!G:G,0))</f>
        <v>24</v>
      </c>
      <c r="AZ125" cm="1">
        <f t="array" ref="AZ125">SUM(IF(Cocina!A:A=Tabla5[[#This Row],[Nº Orden]],Cocina!E:E*Cocina!G:G,0))</f>
        <v>14</v>
      </c>
      <c r="BB125" t="str">
        <f>MID(Tabla4[[#This Row],[Cliente]], SEARCH("_", Tabla4[[#This Row],[Cliente]]) + 1, LEN(Tabla4[[#This Row],[Cliente]]) - SEARCH("_",Tabla4[[#This Row],[Cliente]]))</f>
        <v>381</v>
      </c>
      <c r="BC125" t="str">
        <f>sala!B124</f>
        <v>Cliente_381</v>
      </c>
      <c r="BD125" s="1">
        <f>sala!D124</f>
        <v>45018.131249999999</v>
      </c>
      <c r="BE125" s="1">
        <f>sala!E124</f>
        <v>45018.173611111109</v>
      </c>
      <c r="BF125">
        <f>sala!K124</f>
        <v>123</v>
      </c>
      <c r="BG125">
        <f>sala!I124</f>
        <v>4688</v>
      </c>
      <c r="BH125" cm="1">
        <f t="array" ref="BH125">SUM(IF(Cocina!A:A=Tabla4[[#This Row],[Número de Orden]],Cocina!F:F*Cocina!G:G,0))</f>
        <v>24</v>
      </c>
      <c r="BI125" t="str">
        <f>sala!J124</f>
        <v>Reservada</v>
      </c>
      <c r="BJ125" s="4" t="str">
        <f>IF(Tabla4[[#This Row],[Estado mesa]]="Ocupada","00:15","00:00")</f>
        <v>00:00</v>
      </c>
      <c r="BK125" cm="1">
        <f t="array" ref="BK125">SUM(IF(Cocina!A:A=Tabla4[[#This Row],[Número de Orden]],Cocina!H:H,0))</f>
        <v>33</v>
      </c>
    </row>
    <row r="126" spans="1:63" x14ac:dyDescent="0.3">
      <c r="A126" s="8" t="str">
        <f>MID(Tabla4[[#This Row],[Cliente]], SEARCH("_", Tabla4[[#This Row],[Cliente]]) + 1, LEN(Tabla4[[#This Row],[Cliente]]) - SEARCH("_",Tabla4[[#This Row],[Cliente]]))</f>
        <v>791</v>
      </c>
      <c r="B126">
        <f>sala!K125</f>
        <v>124</v>
      </c>
      <c r="C126">
        <f>Tabla4[[#This Row],[Propina]]+Tabla4[[#This Row],[Precio Cena]]</f>
        <v>1307</v>
      </c>
      <c r="D126" s="3">
        <f>INT(sala!E125)</f>
        <v>45018</v>
      </c>
      <c r="E126" s="4">
        <f>MOD( sala!D125,1)</f>
        <v>0.15208333333430346</v>
      </c>
      <c r="F126" s="4">
        <f>MOD( sala!E125,1)</f>
        <v>0.22361111111240461</v>
      </c>
      <c r="G126" s="4">
        <f>Tabla5[[#This Row],[Hora de Salida]]-Tabla5[[#This Row],[Hora de Llegada]]+Tabla4[[#This Row],[Tiempo Extra]]</f>
        <v>7.1527777778101154E-2</v>
      </c>
      <c r="H126" s="5" t="str">
        <f>TEXT(Tabla4[[#This Row],[Preparación en horas]]/1440, "h:mm")</f>
        <v>2:18</v>
      </c>
      <c r="I126" s="4">
        <f>IF(Tabla5[[#This Row],[Tiempo Permanencia]]-Tabla5[[#This Row],[Tiempo de Preparación ]]&gt;=0,Tabla5[[#This Row],[Tiempo Permanencia]]-Tabla5[[#This Row],[Tiempo de Preparación ]],0)</f>
        <v>0</v>
      </c>
      <c r="J126" s="5" t="str">
        <f>IF(Tabla5[[#This Row],[Tiempo de Degustación]]=0,"No Cobrada","Cobrada")</f>
        <v>No Cobrada</v>
      </c>
      <c r="K126" s="5" cm="1">
        <f t="array" ref="K126">SUM(IF(Tabla5[[#This Row],[Orden Cobrada]]="Cobrada",IF(Cocina!A:A=Tabla5[[#This Row],[Nº Orden]],Cocina!F:F*Cocina!G:G,0),-Tabla6[[#This Row],[Precio Cena]]))</f>
        <v>-222</v>
      </c>
      <c r="L126" s="5">
        <f>IF(Tabla5[[#This Row],[Orden Cobrada]]="Cobrada",Tabla5[[#This Row],[Ganancia Bruta]]-Tabla6[[#This Row],[Coste Cena]],-Tabla6[[#This Row],[Precio Cena]]+Tabla6[[#This Row],[Coste Cena]])</f>
        <v>-89</v>
      </c>
      <c r="M126" s="10">
        <f>IF(Tabla5[[#This Row],[Orden Cobrada]]="Cobrada",((Tabla5[[#This Row],[Ganancia Neta]]/Tabla5[[#This Row],[Ganancia Bruta]])*100)/100,-((Tabla5[[#This Row],[Ganancia Neta]]/Tabla5[[#This Row],[Ganancia Bruta]]*100)/100))</f>
        <v>-0.40090090090090091</v>
      </c>
      <c r="N126" s="5" t="str">
        <f>sala!F125</f>
        <v>Mesero_3</v>
      </c>
      <c r="AY126" cm="1">
        <f t="array" ref="AY126">SUM(IF(Cocina!A:A=Tabla5[[#This Row],[Nº Orden]],Cocina!F:F*Cocina!G:G,0))</f>
        <v>222</v>
      </c>
      <c r="AZ126" cm="1">
        <f t="array" ref="AZ126">SUM(IF(Cocina!A:A=Tabla5[[#This Row],[Nº Orden]],Cocina!E:E*Cocina!G:G,0))</f>
        <v>133</v>
      </c>
      <c r="BB126" t="str">
        <f>MID(Tabla4[[#This Row],[Cliente]], SEARCH("_", Tabla4[[#This Row],[Cliente]]) + 1, LEN(Tabla4[[#This Row],[Cliente]]) - SEARCH("_",Tabla4[[#This Row],[Cliente]]))</f>
        <v>791</v>
      </c>
      <c r="BC126" t="str">
        <f>sala!B125</f>
        <v>Cliente_791</v>
      </c>
      <c r="BD126" s="1">
        <f>sala!D125</f>
        <v>45018.152083333334</v>
      </c>
      <c r="BE126" s="1">
        <f>sala!E125</f>
        <v>45018.223611111112</v>
      </c>
      <c r="BF126">
        <f>sala!K125</f>
        <v>124</v>
      </c>
      <c r="BG126">
        <f>sala!I125</f>
        <v>1085</v>
      </c>
      <c r="BH126" cm="1">
        <f t="array" ref="BH126">SUM(IF(Cocina!A:A=Tabla4[[#This Row],[Número de Orden]],Cocina!F:F*Cocina!G:G,0))</f>
        <v>222</v>
      </c>
      <c r="BI126" t="str">
        <f>sala!J125</f>
        <v>Libre</v>
      </c>
      <c r="BJ126" s="4" t="str">
        <f>IF(Tabla4[[#This Row],[Estado mesa]]="Ocupada","00:15","00:00")</f>
        <v>00:00</v>
      </c>
      <c r="BK126" cm="1">
        <f t="array" ref="BK126">SUM(IF(Cocina!A:A=Tabla4[[#This Row],[Número de Orden]],Cocina!H:H,0))</f>
        <v>138</v>
      </c>
    </row>
    <row r="127" spans="1:63" x14ac:dyDescent="0.3">
      <c r="A127" s="8" t="str">
        <f>MID(Tabla4[[#This Row],[Cliente]], SEARCH("_", Tabla4[[#This Row],[Cliente]]) + 1, LEN(Tabla4[[#This Row],[Cliente]]) - SEARCH("_",Tabla4[[#This Row],[Cliente]]))</f>
        <v>697</v>
      </c>
      <c r="B127">
        <f>sala!K126</f>
        <v>125</v>
      </c>
      <c r="C127">
        <f>Tabla4[[#This Row],[Propina]]+Tabla4[[#This Row],[Precio Cena]]</f>
        <v>2650</v>
      </c>
      <c r="D127" s="3">
        <f>INT(sala!E126)</f>
        <v>45018</v>
      </c>
      <c r="E127" s="4">
        <f>MOD( sala!D126,1)</f>
        <v>0.12222222222044365</v>
      </c>
      <c r="F127" s="4">
        <f>MOD( sala!E126,1)</f>
        <v>0.25902777777810115</v>
      </c>
      <c r="G127" s="4">
        <f>Tabla5[[#This Row],[Hora de Salida]]-Tabla5[[#This Row],[Hora de Llegada]]+Tabla4[[#This Row],[Tiempo Extra]]</f>
        <v>0.1368055555576575</v>
      </c>
      <c r="H127" s="5" t="str">
        <f>TEXT(Tabla4[[#This Row],[Preparación en horas]]/1440, "h:mm")</f>
        <v>1:24</v>
      </c>
      <c r="I127" s="4">
        <f>IF(Tabla5[[#This Row],[Tiempo Permanencia]]-Tabla5[[#This Row],[Tiempo de Preparación ]]&gt;=0,Tabla5[[#This Row],[Tiempo Permanencia]]-Tabla5[[#This Row],[Tiempo de Preparación ]],0)</f>
        <v>7.8472222224324165E-2</v>
      </c>
      <c r="J127" s="5" t="str">
        <f>IF(Tabla5[[#This Row],[Tiempo de Degustación]]=0,"No Cobrada","Cobrada")</f>
        <v>Cobrada</v>
      </c>
      <c r="K127" s="5" cm="1">
        <f t="array" ref="K127">SUM(IF(Tabla5[[#This Row],[Orden Cobrada]]="Cobrada",IF(Cocina!A:A=Tabla5[[#This Row],[Nº Orden]],Cocina!F:F*Cocina!G:G,0),-Tabla6[[#This Row],[Precio Cena]]))</f>
        <v>184</v>
      </c>
      <c r="L127" s="5">
        <f>IF(Tabla5[[#This Row],[Orden Cobrada]]="Cobrada",Tabla5[[#This Row],[Ganancia Bruta]]-Tabla6[[#This Row],[Coste Cena]],-Tabla6[[#This Row],[Precio Cena]]+Tabla6[[#This Row],[Coste Cena]])</f>
        <v>76</v>
      </c>
      <c r="M127" s="10">
        <f>IF(Tabla5[[#This Row],[Orden Cobrada]]="Cobrada",((Tabla5[[#This Row],[Ganancia Neta]]/Tabla5[[#This Row],[Ganancia Bruta]])*100)/100,-((Tabla5[[#This Row],[Ganancia Neta]]/Tabla5[[#This Row],[Ganancia Bruta]]*100)/100))</f>
        <v>0.41304347826086951</v>
      </c>
      <c r="N127" s="5" t="str">
        <f>sala!F126</f>
        <v>Mesero_3</v>
      </c>
      <c r="AY127" cm="1">
        <f t="array" ref="AY127">SUM(IF(Cocina!A:A=Tabla5[[#This Row],[Nº Orden]],Cocina!F:F*Cocina!G:G,0))</f>
        <v>184</v>
      </c>
      <c r="AZ127" cm="1">
        <f t="array" ref="AZ127">SUM(IF(Cocina!A:A=Tabla5[[#This Row],[Nº Orden]],Cocina!E:E*Cocina!G:G,0))</f>
        <v>108</v>
      </c>
      <c r="BB127" t="str">
        <f>MID(Tabla4[[#This Row],[Cliente]], SEARCH("_", Tabla4[[#This Row],[Cliente]]) + 1, LEN(Tabla4[[#This Row],[Cliente]]) - SEARCH("_",Tabla4[[#This Row],[Cliente]]))</f>
        <v>697</v>
      </c>
      <c r="BC127" t="str">
        <f>sala!B126</f>
        <v>Cliente_697</v>
      </c>
      <c r="BD127" s="1">
        <f>sala!D126</f>
        <v>45018.12222222222</v>
      </c>
      <c r="BE127" s="1">
        <f>sala!E126</f>
        <v>45018.259027777778</v>
      </c>
      <c r="BF127">
        <f>sala!K126</f>
        <v>125</v>
      </c>
      <c r="BG127">
        <f>sala!I126</f>
        <v>2466</v>
      </c>
      <c r="BH127" cm="1">
        <f t="array" ref="BH127">SUM(IF(Cocina!A:A=Tabla4[[#This Row],[Número de Orden]],Cocina!F:F*Cocina!G:G,0))</f>
        <v>184</v>
      </c>
      <c r="BI127" t="str">
        <f>sala!J126</f>
        <v>Libre</v>
      </c>
      <c r="BJ127" s="4" t="str">
        <f>IF(Tabla4[[#This Row],[Estado mesa]]="Ocupada","00:15","00:00")</f>
        <v>00:00</v>
      </c>
      <c r="BK127" cm="1">
        <f t="array" ref="BK127">SUM(IF(Cocina!A:A=Tabla4[[#This Row],[Número de Orden]],Cocina!H:H,0))</f>
        <v>84</v>
      </c>
    </row>
    <row r="128" spans="1:63" x14ac:dyDescent="0.3">
      <c r="A128" s="8" t="str">
        <f>MID(Tabla4[[#This Row],[Cliente]], SEARCH("_", Tabla4[[#This Row],[Cliente]]) + 1, LEN(Tabla4[[#This Row],[Cliente]]) - SEARCH("_",Tabla4[[#This Row],[Cliente]]))</f>
        <v>516</v>
      </c>
      <c r="B128">
        <f>sala!K127</f>
        <v>126</v>
      </c>
      <c r="C128">
        <f>Tabla4[[#This Row],[Propina]]+Tabla4[[#This Row],[Precio Cena]]</f>
        <v>4347</v>
      </c>
      <c r="D128" s="3">
        <f>INT(sala!E127)</f>
        <v>45018</v>
      </c>
      <c r="E128" s="4">
        <f>MOD( sala!D127,1)</f>
        <v>0.11458333333575865</v>
      </c>
      <c r="F128" s="4">
        <f>MOD( sala!E127,1)</f>
        <v>0.21666666666715173</v>
      </c>
      <c r="G128" s="4">
        <f>Tabla5[[#This Row],[Hora de Salida]]-Tabla5[[#This Row],[Hora de Llegada]]+Tabla4[[#This Row],[Tiempo Extra]]</f>
        <v>0.10208333333139308</v>
      </c>
      <c r="H128" s="5" t="str">
        <f>TEXT(Tabla4[[#This Row],[Preparación en horas]]/1440, "h:mm")</f>
        <v>2:19</v>
      </c>
      <c r="I128" s="4">
        <f>IF(Tabla5[[#This Row],[Tiempo Permanencia]]-Tabla5[[#This Row],[Tiempo de Preparación ]]&gt;=0,Tabla5[[#This Row],[Tiempo Permanencia]]-Tabla5[[#This Row],[Tiempo de Preparación ]],0)</f>
        <v>5.5555555536152962E-3</v>
      </c>
      <c r="J128" s="5" t="str">
        <f>IF(Tabla5[[#This Row],[Tiempo de Degustación]]=0,"No Cobrada","Cobrada")</f>
        <v>Cobrada</v>
      </c>
      <c r="K128" s="5" cm="1">
        <f t="array" ref="K128">SUM(IF(Tabla5[[#This Row],[Orden Cobrada]]="Cobrada",IF(Cocina!A:A=Tabla5[[#This Row],[Nº Orden]],Cocina!F:F*Cocina!G:G,0),-Tabla6[[#This Row],[Precio Cena]]))</f>
        <v>165</v>
      </c>
      <c r="L128" s="5">
        <f>IF(Tabla5[[#This Row],[Orden Cobrada]]="Cobrada",Tabla5[[#This Row],[Ganancia Bruta]]-Tabla6[[#This Row],[Coste Cena]],-Tabla6[[#This Row],[Precio Cena]]+Tabla6[[#This Row],[Coste Cena]])</f>
        <v>68</v>
      </c>
      <c r="M128" s="10">
        <f>IF(Tabla5[[#This Row],[Orden Cobrada]]="Cobrada",((Tabla5[[#This Row],[Ganancia Neta]]/Tabla5[[#This Row],[Ganancia Bruta]])*100)/100,-((Tabla5[[#This Row],[Ganancia Neta]]/Tabla5[[#This Row],[Ganancia Bruta]]*100)/100))</f>
        <v>0.41212121212121211</v>
      </c>
      <c r="N128" s="5" t="str">
        <f>sala!F127</f>
        <v>Mesero_1</v>
      </c>
      <c r="AY128" cm="1">
        <f t="array" ref="AY128">SUM(IF(Cocina!A:A=Tabla5[[#This Row],[Nº Orden]],Cocina!F:F*Cocina!G:G,0))</f>
        <v>165</v>
      </c>
      <c r="AZ128" cm="1">
        <f t="array" ref="AZ128">SUM(IF(Cocina!A:A=Tabla5[[#This Row],[Nº Orden]],Cocina!E:E*Cocina!G:G,0))</f>
        <v>97</v>
      </c>
      <c r="BB128" t="str">
        <f>MID(Tabla4[[#This Row],[Cliente]], SEARCH("_", Tabla4[[#This Row],[Cliente]]) + 1, LEN(Tabla4[[#This Row],[Cliente]]) - SEARCH("_",Tabla4[[#This Row],[Cliente]]))</f>
        <v>516</v>
      </c>
      <c r="BC128" t="str">
        <f>sala!B127</f>
        <v>Cliente_516</v>
      </c>
      <c r="BD128" s="1">
        <f>sala!D127</f>
        <v>45018.114583333336</v>
      </c>
      <c r="BE128" s="1">
        <f>sala!E127</f>
        <v>45018.216666666667</v>
      </c>
      <c r="BF128">
        <f>sala!K127</f>
        <v>126</v>
      </c>
      <c r="BG128">
        <f>sala!I127</f>
        <v>4182</v>
      </c>
      <c r="BH128" cm="1">
        <f t="array" ref="BH128">SUM(IF(Cocina!A:A=Tabla4[[#This Row],[Número de Orden]],Cocina!F:F*Cocina!G:G,0))</f>
        <v>165</v>
      </c>
      <c r="BI128" t="str">
        <f>sala!J127</f>
        <v>Libre</v>
      </c>
      <c r="BJ128" s="4" t="str">
        <f>IF(Tabla4[[#This Row],[Estado mesa]]="Ocupada","00:15","00:00")</f>
        <v>00:00</v>
      </c>
      <c r="BK128" cm="1">
        <f t="array" ref="BK128">SUM(IF(Cocina!A:A=Tabla4[[#This Row],[Número de Orden]],Cocina!H:H,0))</f>
        <v>139</v>
      </c>
    </row>
    <row r="129" spans="1:63" x14ac:dyDescent="0.3">
      <c r="A129" s="8" t="str">
        <f>MID(Tabla4[[#This Row],[Cliente]], SEARCH("_", Tabla4[[#This Row],[Cliente]]) + 1, LEN(Tabla4[[#This Row],[Cliente]]) - SEARCH("_",Tabla4[[#This Row],[Cliente]]))</f>
        <v>541</v>
      </c>
      <c r="B129">
        <f>sala!K128</f>
        <v>127</v>
      </c>
      <c r="C129">
        <f>Tabla4[[#This Row],[Propina]]+Tabla4[[#This Row],[Precio Cena]]</f>
        <v>3354</v>
      </c>
      <c r="D129" s="3">
        <f>INT(sala!E128)</f>
        <v>45018</v>
      </c>
      <c r="E129" s="4">
        <f>MOD( sala!D128,1)</f>
        <v>2.9166666667151731E-2</v>
      </c>
      <c r="F129" s="4">
        <f>MOD( sala!E128,1)</f>
        <v>0.10277777777810115</v>
      </c>
      <c r="G129" s="4">
        <f>Tabla5[[#This Row],[Hora de Salida]]-Tabla5[[#This Row],[Hora de Llegada]]+Tabla4[[#This Row],[Tiempo Extra]]</f>
        <v>7.3611111110949423E-2</v>
      </c>
      <c r="H129" s="5" t="str">
        <f>TEXT(Tabla4[[#This Row],[Preparación en horas]]/1440, "h:mm")</f>
        <v>0:30</v>
      </c>
      <c r="I129" s="4">
        <f>IF(Tabla5[[#This Row],[Tiempo Permanencia]]-Tabla5[[#This Row],[Tiempo de Preparación ]]&gt;=0,Tabla5[[#This Row],[Tiempo Permanencia]]-Tabla5[[#This Row],[Tiempo de Preparación ]],0)</f>
        <v>5.2777777777616094E-2</v>
      </c>
      <c r="J129" s="5" t="str">
        <f>IF(Tabla5[[#This Row],[Tiempo de Degustación]]=0,"No Cobrada","Cobrada")</f>
        <v>Cobrada</v>
      </c>
      <c r="K129" s="5" cm="1">
        <f t="array" ref="K129">SUM(IF(Tabla5[[#This Row],[Orden Cobrada]]="Cobrada",IF(Cocina!A:A=Tabla5[[#This Row],[Nº Orden]],Cocina!F:F*Cocina!G:G,0),-Tabla6[[#This Row],[Precio Cena]]))</f>
        <v>72</v>
      </c>
      <c r="L129" s="5">
        <f>IF(Tabla5[[#This Row],[Orden Cobrada]]="Cobrada",Tabla5[[#This Row],[Ganancia Bruta]]-Tabla6[[#This Row],[Coste Cena]],-Tabla6[[#This Row],[Precio Cena]]+Tabla6[[#This Row],[Coste Cena]])</f>
        <v>28</v>
      </c>
      <c r="M129" s="10">
        <f>IF(Tabla5[[#This Row],[Orden Cobrada]]="Cobrada",((Tabla5[[#This Row],[Ganancia Neta]]/Tabla5[[#This Row],[Ganancia Bruta]])*100)/100,-((Tabla5[[#This Row],[Ganancia Neta]]/Tabla5[[#This Row],[Ganancia Bruta]]*100)/100))</f>
        <v>0.38888888888888895</v>
      </c>
      <c r="N129" s="5" t="str">
        <f>sala!F128</f>
        <v>Mesero_4</v>
      </c>
      <c r="AY129" cm="1">
        <f t="array" ref="AY129">SUM(IF(Cocina!A:A=Tabla5[[#This Row],[Nº Orden]],Cocina!F:F*Cocina!G:G,0))</f>
        <v>72</v>
      </c>
      <c r="AZ129" cm="1">
        <f t="array" ref="AZ129">SUM(IF(Cocina!A:A=Tabla5[[#This Row],[Nº Orden]],Cocina!E:E*Cocina!G:G,0))</f>
        <v>44</v>
      </c>
      <c r="BB129" t="str">
        <f>MID(Tabla4[[#This Row],[Cliente]], SEARCH("_", Tabla4[[#This Row],[Cliente]]) + 1, LEN(Tabla4[[#This Row],[Cliente]]) - SEARCH("_",Tabla4[[#This Row],[Cliente]]))</f>
        <v>541</v>
      </c>
      <c r="BC129" t="str">
        <f>sala!B128</f>
        <v>Cliente_541</v>
      </c>
      <c r="BD129" s="1">
        <f>sala!D128</f>
        <v>45018.029166666667</v>
      </c>
      <c r="BE129" s="1">
        <f>sala!E128</f>
        <v>45018.102777777778</v>
      </c>
      <c r="BF129">
        <f>sala!K128</f>
        <v>127</v>
      </c>
      <c r="BG129">
        <f>sala!I128</f>
        <v>3282</v>
      </c>
      <c r="BH129" cm="1">
        <f t="array" ref="BH129">SUM(IF(Cocina!A:A=Tabla4[[#This Row],[Número de Orden]],Cocina!F:F*Cocina!G:G,0))</f>
        <v>72</v>
      </c>
      <c r="BI129" t="str">
        <f>sala!J128</f>
        <v>Libre</v>
      </c>
      <c r="BJ129" s="4" t="str">
        <f>IF(Tabla4[[#This Row],[Estado mesa]]="Ocupada","00:15","00:00")</f>
        <v>00:00</v>
      </c>
      <c r="BK129" cm="1">
        <f t="array" ref="BK129">SUM(IF(Cocina!A:A=Tabla4[[#This Row],[Número de Orden]],Cocina!H:H,0))</f>
        <v>30</v>
      </c>
    </row>
    <row r="130" spans="1:63" x14ac:dyDescent="0.3">
      <c r="A130" s="8" t="str">
        <f>MID(Tabla4[[#This Row],[Cliente]], SEARCH("_", Tabla4[[#This Row],[Cliente]]) + 1, LEN(Tabla4[[#This Row],[Cliente]]) - SEARCH("_",Tabla4[[#This Row],[Cliente]]))</f>
        <v>830</v>
      </c>
      <c r="B130">
        <f>sala!K129</f>
        <v>128</v>
      </c>
      <c r="C130">
        <f>Tabla4[[#This Row],[Propina]]+Tabla4[[#This Row],[Precio Cena]]</f>
        <v>5175</v>
      </c>
      <c r="D130" s="3">
        <f>INT(sala!E129)</f>
        <v>45018</v>
      </c>
      <c r="E130" s="4">
        <f>MOD( sala!D129,1)</f>
        <v>6.3194444446708076E-2</v>
      </c>
      <c r="F130" s="4">
        <f>MOD( sala!E129,1)</f>
        <v>0.1444444444423425</v>
      </c>
      <c r="G130" s="4">
        <f>Tabla5[[#This Row],[Hora de Salida]]-Tabla5[[#This Row],[Hora de Llegada]]+Tabla4[[#This Row],[Tiempo Extra]]</f>
        <v>9.1666666662301097E-2</v>
      </c>
      <c r="H130" s="5" t="str">
        <f>TEXT(Tabla4[[#This Row],[Preparación en horas]]/1440, "h:mm")</f>
        <v>2:52</v>
      </c>
      <c r="I130" s="4">
        <f>IF(Tabla5[[#This Row],[Tiempo Permanencia]]-Tabla5[[#This Row],[Tiempo de Preparación ]]&gt;=0,Tabla5[[#This Row],[Tiempo Permanencia]]-Tabla5[[#This Row],[Tiempo de Preparación ]],0)</f>
        <v>0</v>
      </c>
      <c r="J130" s="5" t="str">
        <f>IF(Tabla5[[#This Row],[Tiempo de Degustación]]=0,"No Cobrada","Cobrada")</f>
        <v>No Cobrada</v>
      </c>
      <c r="K130" s="5" cm="1">
        <f t="array" ref="K130">SUM(IF(Tabla5[[#This Row],[Orden Cobrada]]="Cobrada",IF(Cocina!A:A=Tabla5[[#This Row],[Nº Orden]],Cocina!F:F*Cocina!G:G,0),-Tabla6[[#This Row],[Precio Cena]]))</f>
        <v>-239</v>
      </c>
      <c r="L130" s="5">
        <f>IF(Tabla5[[#This Row],[Orden Cobrada]]="Cobrada",Tabla5[[#This Row],[Ganancia Bruta]]-Tabla6[[#This Row],[Coste Cena]],-Tabla6[[#This Row],[Precio Cena]]+Tabla6[[#This Row],[Coste Cena]])</f>
        <v>-98</v>
      </c>
      <c r="M130" s="10">
        <f>IF(Tabla5[[#This Row],[Orden Cobrada]]="Cobrada",((Tabla5[[#This Row],[Ganancia Neta]]/Tabla5[[#This Row],[Ganancia Bruta]])*100)/100,-((Tabla5[[#This Row],[Ganancia Neta]]/Tabla5[[#This Row],[Ganancia Bruta]]*100)/100))</f>
        <v>-0.41004184100418412</v>
      </c>
      <c r="N130" s="5" t="str">
        <f>sala!F129</f>
        <v>Mesero_2</v>
      </c>
      <c r="AY130" cm="1">
        <f t="array" ref="AY130">SUM(IF(Cocina!A:A=Tabla5[[#This Row],[Nº Orden]],Cocina!F:F*Cocina!G:G,0))</f>
        <v>239</v>
      </c>
      <c r="AZ130" cm="1">
        <f t="array" ref="AZ130">SUM(IF(Cocina!A:A=Tabla5[[#This Row],[Nº Orden]],Cocina!E:E*Cocina!G:G,0))</f>
        <v>141</v>
      </c>
      <c r="BB130" t="str">
        <f>MID(Tabla4[[#This Row],[Cliente]], SEARCH("_", Tabla4[[#This Row],[Cliente]]) + 1, LEN(Tabla4[[#This Row],[Cliente]]) - SEARCH("_",Tabla4[[#This Row],[Cliente]]))</f>
        <v>830</v>
      </c>
      <c r="BC130" t="str">
        <f>sala!B129</f>
        <v>Cliente_830</v>
      </c>
      <c r="BD130" s="1">
        <f>sala!D129</f>
        <v>45018.063194444447</v>
      </c>
      <c r="BE130" s="1">
        <f>sala!E129</f>
        <v>45018.144444444442</v>
      </c>
      <c r="BF130">
        <f>sala!K129</f>
        <v>128</v>
      </c>
      <c r="BG130">
        <f>sala!I129</f>
        <v>4936</v>
      </c>
      <c r="BH130" cm="1">
        <f t="array" ref="BH130">SUM(IF(Cocina!A:A=Tabla4[[#This Row],[Número de Orden]],Cocina!F:F*Cocina!G:G,0))</f>
        <v>239</v>
      </c>
      <c r="BI130" t="str">
        <f>sala!J129</f>
        <v>Ocupada</v>
      </c>
      <c r="BJ130" s="4" t="str">
        <f>IF(Tabla4[[#This Row],[Estado mesa]]="Ocupada","00:15","00:00")</f>
        <v>00:15</v>
      </c>
      <c r="BK130" cm="1">
        <f t="array" ref="BK130">SUM(IF(Cocina!A:A=Tabla4[[#This Row],[Número de Orden]],Cocina!H:H,0))</f>
        <v>172</v>
      </c>
    </row>
    <row r="131" spans="1:63" x14ac:dyDescent="0.3">
      <c r="A131" s="8" t="str">
        <f>MID(Tabla4[[#This Row],[Cliente]], SEARCH("_", Tabla4[[#This Row],[Cliente]]) + 1, LEN(Tabla4[[#This Row],[Cliente]]) - SEARCH("_",Tabla4[[#This Row],[Cliente]]))</f>
        <v>656</v>
      </c>
      <c r="B131">
        <f>sala!K130</f>
        <v>129</v>
      </c>
      <c r="C131">
        <f>Tabla4[[#This Row],[Propina]]+Tabla4[[#This Row],[Precio Cena]]</f>
        <v>599</v>
      </c>
      <c r="D131" s="3">
        <f>INT(sala!E130)</f>
        <v>45018</v>
      </c>
      <c r="E131" s="4">
        <f>MOD( sala!D130,1)</f>
        <v>2.8472222220443655E-2</v>
      </c>
      <c r="F131" s="4">
        <f>MOD( sala!E130,1)</f>
        <v>0.11180555555620231</v>
      </c>
      <c r="G131" s="4">
        <f>Tabla5[[#This Row],[Hora de Salida]]-Tabla5[[#This Row],[Hora de Llegada]]+Tabla4[[#This Row],[Tiempo Extra]]</f>
        <v>8.3333333335758653E-2</v>
      </c>
      <c r="H131" s="5" t="str">
        <f>TEXT(Tabla4[[#This Row],[Preparación en horas]]/1440, "h:mm")</f>
        <v>1:20</v>
      </c>
      <c r="I131" s="4">
        <f>IF(Tabla5[[#This Row],[Tiempo Permanencia]]-Tabla5[[#This Row],[Tiempo de Preparación ]]&gt;=0,Tabla5[[#This Row],[Tiempo Permanencia]]-Tabla5[[#This Row],[Tiempo de Preparación ]],0)</f>
        <v>2.77777777802031E-2</v>
      </c>
      <c r="J131" s="5" t="str">
        <f>IF(Tabla5[[#This Row],[Tiempo de Degustación]]=0,"No Cobrada","Cobrada")</f>
        <v>Cobrada</v>
      </c>
      <c r="K131" s="5" cm="1">
        <f t="array" ref="K131">SUM(IF(Tabla5[[#This Row],[Orden Cobrada]]="Cobrada",IF(Cocina!A:A=Tabla5[[#This Row],[Nº Orden]],Cocina!F:F*Cocina!G:G,0),-Tabla6[[#This Row],[Precio Cena]]))</f>
        <v>106</v>
      </c>
      <c r="L131" s="5">
        <f>IF(Tabla5[[#This Row],[Orden Cobrada]]="Cobrada",Tabla5[[#This Row],[Ganancia Bruta]]-Tabla6[[#This Row],[Coste Cena]],-Tabla6[[#This Row],[Precio Cena]]+Tabla6[[#This Row],[Coste Cena]])</f>
        <v>44</v>
      </c>
      <c r="M131" s="10">
        <f>IF(Tabla5[[#This Row],[Orden Cobrada]]="Cobrada",((Tabla5[[#This Row],[Ganancia Neta]]/Tabla5[[#This Row],[Ganancia Bruta]])*100)/100,-((Tabla5[[#This Row],[Ganancia Neta]]/Tabla5[[#This Row],[Ganancia Bruta]]*100)/100))</f>
        <v>0.41509433962264153</v>
      </c>
      <c r="N131" s="5" t="str">
        <f>sala!F130</f>
        <v>Mesero_2</v>
      </c>
      <c r="AY131" cm="1">
        <f t="array" ref="AY131">SUM(IF(Cocina!A:A=Tabla5[[#This Row],[Nº Orden]],Cocina!F:F*Cocina!G:G,0))</f>
        <v>106</v>
      </c>
      <c r="AZ131" cm="1">
        <f t="array" ref="AZ131">SUM(IF(Cocina!A:A=Tabla5[[#This Row],[Nº Orden]],Cocina!E:E*Cocina!G:G,0))</f>
        <v>62</v>
      </c>
      <c r="BB131" t="str">
        <f>MID(Tabla4[[#This Row],[Cliente]], SEARCH("_", Tabla4[[#This Row],[Cliente]]) + 1, LEN(Tabla4[[#This Row],[Cliente]]) - SEARCH("_",Tabla4[[#This Row],[Cliente]]))</f>
        <v>656</v>
      </c>
      <c r="BC131" t="str">
        <f>sala!B130</f>
        <v>Cliente_656</v>
      </c>
      <c r="BD131" s="1">
        <f>sala!D130</f>
        <v>45018.02847222222</v>
      </c>
      <c r="BE131" s="1">
        <f>sala!E130</f>
        <v>45018.111805555556</v>
      </c>
      <c r="BF131">
        <f>sala!K130</f>
        <v>129</v>
      </c>
      <c r="BG131">
        <f>sala!I130</f>
        <v>493</v>
      </c>
      <c r="BH131" cm="1">
        <f t="array" ref="BH131">SUM(IF(Cocina!A:A=Tabla4[[#This Row],[Número de Orden]],Cocina!F:F*Cocina!G:G,0))</f>
        <v>106</v>
      </c>
      <c r="BI131" t="str">
        <f>sala!J130</f>
        <v>Reservada</v>
      </c>
      <c r="BJ131" s="4" t="str">
        <f>IF(Tabla4[[#This Row],[Estado mesa]]="Ocupada","00:15","00:00")</f>
        <v>00:00</v>
      </c>
      <c r="BK131" cm="1">
        <f t="array" ref="BK131">SUM(IF(Cocina!A:A=Tabla4[[#This Row],[Número de Orden]],Cocina!H:H,0))</f>
        <v>80</v>
      </c>
    </row>
    <row r="132" spans="1:63" x14ac:dyDescent="0.3">
      <c r="A132" s="8" t="str">
        <f>MID(Tabla4[[#This Row],[Cliente]], SEARCH("_", Tabla4[[#This Row],[Cliente]]) + 1, LEN(Tabla4[[#This Row],[Cliente]]) - SEARCH("_",Tabla4[[#This Row],[Cliente]]))</f>
        <v>486</v>
      </c>
      <c r="B132">
        <f>sala!K131</f>
        <v>130</v>
      </c>
      <c r="C132">
        <f>Tabla4[[#This Row],[Propina]]+Tabla4[[#This Row],[Precio Cena]]</f>
        <v>3848</v>
      </c>
      <c r="D132" s="3">
        <f>INT(sala!E131)</f>
        <v>45018</v>
      </c>
      <c r="E132" s="4">
        <f>MOD( sala!D131,1)</f>
        <v>1.8055555556202307E-2</v>
      </c>
      <c r="F132" s="4">
        <f>MOD( sala!E131,1)</f>
        <v>6.3888888886140194E-2</v>
      </c>
      <c r="G132" s="4">
        <f>Tabla5[[#This Row],[Hora de Salida]]-Tabla5[[#This Row],[Hora de Llegada]]+Tabla4[[#This Row],[Tiempo Extra]]</f>
        <v>4.5833333329937886E-2</v>
      </c>
      <c r="H132" s="5" t="str">
        <f>TEXT(Tabla4[[#This Row],[Preparación en horas]]/1440, "h:mm")</f>
        <v>0:25</v>
      </c>
      <c r="I132" s="4">
        <f>IF(Tabla5[[#This Row],[Tiempo Permanencia]]-Tabla5[[#This Row],[Tiempo de Preparación ]]&gt;=0,Tabla5[[#This Row],[Tiempo Permanencia]]-Tabla5[[#This Row],[Tiempo de Preparación ]],0)</f>
        <v>2.8472222218826775E-2</v>
      </c>
      <c r="J132" s="5" t="str">
        <f>IF(Tabla5[[#This Row],[Tiempo de Degustación]]=0,"No Cobrada","Cobrada")</f>
        <v>Cobrada</v>
      </c>
      <c r="K132" s="5" cm="1">
        <f t="array" ref="K132">SUM(IF(Tabla5[[#This Row],[Orden Cobrada]]="Cobrada",IF(Cocina!A:A=Tabla5[[#This Row],[Nº Orden]],Cocina!F:F*Cocina!G:G,0),-Tabla6[[#This Row],[Precio Cena]]))</f>
        <v>35</v>
      </c>
      <c r="L132" s="5">
        <f>IF(Tabla5[[#This Row],[Orden Cobrada]]="Cobrada",Tabla5[[#This Row],[Ganancia Bruta]]-Tabla6[[#This Row],[Coste Cena]],-Tabla6[[#This Row],[Precio Cena]]+Tabla6[[#This Row],[Coste Cena]])</f>
        <v>14</v>
      </c>
      <c r="M132" s="10">
        <f>IF(Tabla5[[#This Row],[Orden Cobrada]]="Cobrada",((Tabla5[[#This Row],[Ganancia Neta]]/Tabla5[[#This Row],[Ganancia Bruta]])*100)/100,-((Tabla5[[#This Row],[Ganancia Neta]]/Tabla5[[#This Row],[Ganancia Bruta]]*100)/100))</f>
        <v>0.4</v>
      </c>
      <c r="N132" s="5" t="str">
        <f>sala!F131</f>
        <v>Mesero_2</v>
      </c>
      <c r="AY132" cm="1">
        <f t="array" ref="AY132">SUM(IF(Cocina!A:A=Tabla5[[#This Row],[Nº Orden]],Cocina!F:F*Cocina!G:G,0))</f>
        <v>35</v>
      </c>
      <c r="AZ132" cm="1">
        <f t="array" ref="AZ132">SUM(IF(Cocina!A:A=Tabla5[[#This Row],[Nº Orden]],Cocina!E:E*Cocina!G:G,0))</f>
        <v>21</v>
      </c>
      <c r="BB132" t="str">
        <f>MID(Tabla4[[#This Row],[Cliente]], SEARCH("_", Tabla4[[#This Row],[Cliente]]) + 1, LEN(Tabla4[[#This Row],[Cliente]]) - SEARCH("_",Tabla4[[#This Row],[Cliente]]))</f>
        <v>486</v>
      </c>
      <c r="BC132" t="str">
        <f>sala!B131</f>
        <v>Cliente_486</v>
      </c>
      <c r="BD132" s="1">
        <f>sala!D131</f>
        <v>45018.018055555556</v>
      </c>
      <c r="BE132" s="1">
        <f>sala!E131</f>
        <v>45018.063888888886</v>
      </c>
      <c r="BF132">
        <f>sala!K131</f>
        <v>130</v>
      </c>
      <c r="BG132">
        <f>sala!I131</f>
        <v>3813</v>
      </c>
      <c r="BH132" cm="1">
        <f t="array" ref="BH132">SUM(IF(Cocina!A:A=Tabla4[[#This Row],[Número de Orden]],Cocina!F:F*Cocina!G:G,0))</f>
        <v>35</v>
      </c>
      <c r="BI132" t="str">
        <f>sala!J131</f>
        <v>Libre</v>
      </c>
      <c r="BJ132" s="4" t="str">
        <f>IF(Tabla4[[#This Row],[Estado mesa]]="Ocupada","00:15","00:00")</f>
        <v>00:00</v>
      </c>
      <c r="BK132" cm="1">
        <f t="array" ref="BK132">SUM(IF(Cocina!A:A=Tabla4[[#This Row],[Número de Orden]],Cocina!H:H,0))</f>
        <v>25</v>
      </c>
    </row>
    <row r="133" spans="1:63" x14ac:dyDescent="0.3">
      <c r="A133" s="8" t="str">
        <f>MID(Tabla4[[#This Row],[Cliente]], SEARCH("_", Tabla4[[#This Row],[Cliente]]) + 1, LEN(Tabla4[[#This Row],[Cliente]]) - SEARCH("_",Tabla4[[#This Row],[Cliente]]))</f>
        <v>728</v>
      </c>
      <c r="B133">
        <f>sala!K132</f>
        <v>131</v>
      </c>
      <c r="C133">
        <f>Tabla4[[#This Row],[Propina]]+Tabla4[[#This Row],[Precio Cena]]</f>
        <v>4398</v>
      </c>
      <c r="D133" s="3">
        <f>INT(sala!E132)</f>
        <v>45018</v>
      </c>
      <c r="E133" s="4">
        <f>MOD( sala!D132,1)</f>
        <v>2.9861111113859806E-2</v>
      </c>
      <c r="F133" s="4">
        <f>MOD( sala!E132,1)</f>
        <v>0.17916666666860692</v>
      </c>
      <c r="G133" s="4">
        <f>Tabla5[[#This Row],[Hora de Salida]]-Tabla5[[#This Row],[Hora de Llegada]]+Tabla4[[#This Row],[Tiempo Extra]]</f>
        <v>0.15972222222141377</v>
      </c>
      <c r="H133" s="5" t="str">
        <f>TEXT(Tabla4[[#This Row],[Preparación en horas]]/1440, "h:mm")</f>
        <v>2:00</v>
      </c>
      <c r="I133" s="4">
        <f>IF(Tabla5[[#This Row],[Tiempo Permanencia]]-Tabla5[[#This Row],[Tiempo de Preparación ]]&gt;=0,Tabla5[[#This Row],[Tiempo Permanencia]]-Tabla5[[#This Row],[Tiempo de Preparación ]],0)</f>
        <v>7.6388888888080445E-2</v>
      </c>
      <c r="J133" s="5" t="str">
        <f>IF(Tabla5[[#This Row],[Tiempo de Degustación]]=0,"No Cobrada","Cobrada")</f>
        <v>Cobrada</v>
      </c>
      <c r="K133" s="5" cm="1">
        <f t="array" ref="K133">SUM(IF(Tabla5[[#This Row],[Orden Cobrada]]="Cobrada",IF(Cocina!A:A=Tabla5[[#This Row],[Nº Orden]],Cocina!F:F*Cocina!G:G,0),-Tabla6[[#This Row],[Precio Cena]]))</f>
        <v>157</v>
      </c>
      <c r="L133" s="5">
        <f>IF(Tabla5[[#This Row],[Orden Cobrada]]="Cobrada",Tabla5[[#This Row],[Ganancia Bruta]]-Tabla6[[#This Row],[Coste Cena]],-Tabla6[[#This Row],[Precio Cena]]+Tabla6[[#This Row],[Coste Cena]])</f>
        <v>63</v>
      </c>
      <c r="M133" s="10">
        <f>IF(Tabla5[[#This Row],[Orden Cobrada]]="Cobrada",((Tabla5[[#This Row],[Ganancia Neta]]/Tabla5[[#This Row],[Ganancia Bruta]])*100)/100,-((Tabla5[[#This Row],[Ganancia Neta]]/Tabla5[[#This Row],[Ganancia Bruta]]*100)/100))</f>
        <v>0.40127388535031849</v>
      </c>
      <c r="N133" s="5" t="str">
        <f>sala!F132</f>
        <v>Mesero_4</v>
      </c>
      <c r="AY133" cm="1">
        <f t="array" ref="AY133">SUM(IF(Cocina!A:A=Tabla5[[#This Row],[Nº Orden]],Cocina!F:F*Cocina!G:G,0))</f>
        <v>157</v>
      </c>
      <c r="AZ133" cm="1">
        <f t="array" ref="AZ133">SUM(IF(Cocina!A:A=Tabla5[[#This Row],[Nº Orden]],Cocina!E:E*Cocina!G:G,0))</f>
        <v>94</v>
      </c>
      <c r="BB133" t="str">
        <f>MID(Tabla4[[#This Row],[Cliente]], SEARCH("_", Tabla4[[#This Row],[Cliente]]) + 1, LEN(Tabla4[[#This Row],[Cliente]]) - SEARCH("_",Tabla4[[#This Row],[Cliente]]))</f>
        <v>728</v>
      </c>
      <c r="BC133" t="str">
        <f>sala!B132</f>
        <v>Cliente_728</v>
      </c>
      <c r="BD133" s="1">
        <f>sala!D132</f>
        <v>45018.029861111114</v>
      </c>
      <c r="BE133" s="1">
        <f>sala!E132</f>
        <v>45018.179166666669</v>
      </c>
      <c r="BF133">
        <f>sala!K132</f>
        <v>131</v>
      </c>
      <c r="BG133">
        <f>sala!I132</f>
        <v>4241</v>
      </c>
      <c r="BH133" cm="1">
        <f t="array" ref="BH133">SUM(IF(Cocina!A:A=Tabla4[[#This Row],[Número de Orden]],Cocina!F:F*Cocina!G:G,0))</f>
        <v>157</v>
      </c>
      <c r="BI133" t="str">
        <f>sala!J132</f>
        <v>Ocupada</v>
      </c>
      <c r="BJ133" s="4" t="str">
        <f>IF(Tabla4[[#This Row],[Estado mesa]]="Ocupada","00:15","00:00")</f>
        <v>00:15</v>
      </c>
      <c r="BK133" cm="1">
        <f t="array" ref="BK133">SUM(IF(Cocina!A:A=Tabla4[[#This Row],[Número de Orden]],Cocina!H:H,0))</f>
        <v>120</v>
      </c>
    </row>
    <row r="134" spans="1:63" x14ac:dyDescent="0.3">
      <c r="A134" s="8" t="str">
        <f>MID(Tabla4[[#This Row],[Cliente]], SEARCH("_", Tabla4[[#This Row],[Cliente]]) + 1, LEN(Tabla4[[#This Row],[Cliente]]) - SEARCH("_",Tabla4[[#This Row],[Cliente]]))</f>
        <v>774</v>
      </c>
      <c r="B134">
        <f>sala!K133</f>
        <v>132</v>
      </c>
      <c r="C134">
        <f>Tabla4[[#This Row],[Propina]]+Tabla4[[#This Row],[Precio Cena]]</f>
        <v>3302</v>
      </c>
      <c r="D134" s="3">
        <f>INT(sala!E133)</f>
        <v>45018</v>
      </c>
      <c r="E134" s="4">
        <f>MOD( sala!D133,1)</f>
        <v>5.9722222220443655E-2</v>
      </c>
      <c r="F134" s="4">
        <f>MOD( sala!E133,1)</f>
        <v>0.1131944444423425</v>
      </c>
      <c r="G134" s="4">
        <f>Tabla5[[#This Row],[Hora de Salida]]-Tabla5[[#This Row],[Hora de Llegada]]+Tabla4[[#This Row],[Tiempo Extra]]</f>
        <v>5.3472222221898846E-2</v>
      </c>
      <c r="H134" s="5" t="str">
        <f>TEXT(Tabla4[[#This Row],[Preparación en horas]]/1440, "h:mm")</f>
        <v>1:42</v>
      </c>
      <c r="I134" s="4">
        <f>IF(Tabla5[[#This Row],[Tiempo Permanencia]]-Tabla5[[#This Row],[Tiempo de Preparación ]]&gt;=0,Tabla5[[#This Row],[Tiempo Permanencia]]-Tabla5[[#This Row],[Tiempo de Preparación ]],0)</f>
        <v>0</v>
      </c>
      <c r="J134" s="5" t="str">
        <f>IF(Tabla5[[#This Row],[Tiempo de Degustación]]=0,"No Cobrada","Cobrada")</f>
        <v>No Cobrada</v>
      </c>
      <c r="K134" s="5" cm="1">
        <f t="array" ref="K134">SUM(IF(Tabla5[[#This Row],[Orden Cobrada]]="Cobrada",IF(Cocina!A:A=Tabla5[[#This Row],[Nº Orden]],Cocina!F:F*Cocina!G:G,0),-Tabla6[[#This Row],[Precio Cena]]))</f>
        <v>-206</v>
      </c>
      <c r="L134" s="5">
        <f>IF(Tabla5[[#This Row],[Orden Cobrada]]="Cobrada",Tabla5[[#This Row],[Ganancia Bruta]]-Tabla6[[#This Row],[Coste Cena]],-Tabla6[[#This Row],[Precio Cena]]+Tabla6[[#This Row],[Coste Cena]])</f>
        <v>-81</v>
      </c>
      <c r="M134" s="10">
        <f>IF(Tabla5[[#This Row],[Orden Cobrada]]="Cobrada",((Tabla5[[#This Row],[Ganancia Neta]]/Tabla5[[#This Row],[Ganancia Bruta]])*100)/100,-((Tabla5[[#This Row],[Ganancia Neta]]/Tabla5[[#This Row],[Ganancia Bruta]]*100)/100))</f>
        <v>-0.39320388349514557</v>
      </c>
      <c r="N134" s="5" t="str">
        <f>sala!F133</f>
        <v>Mesero_3</v>
      </c>
      <c r="AY134" cm="1">
        <f t="array" ref="AY134">SUM(IF(Cocina!A:A=Tabla5[[#This Row],[Nº Orden]],Cocina!F:F*Cocina!G:G,0))</f>
        <v>206</v>
      </c>
      <c r="AZ134" cm="1">
        <f t="array" ref="AZ134">SUM(IF(Cocina!A:A=Tabla5[[#This Row],[Nº Orden]],Cocina!E:E*Cocina!G:G,0))</f>
        <v>125</v>
      </c>
      <c r="BB134" t="str">
        <f>MID(Tabla4[[#This Row],[Cliente]], SEARCH("_", Tabla4[[#This Row],[Cliente]]) + 1, LEN(Tabla4[[#This Row],[Cliente]]) - SEARCH("_",Tabla4[[#This Row],[Cliente]]))</f>
        <v>774</v>
      </c>
      <c r="BC134" t="str">
        <f>sala!B133</f>
        <v>Cliente_774</v>
      </c>
      <c r="BD134" s="1">
        <f>sala!D133</f>
        <v>45018.05972222222</v>
      </c>
      <c r="BE134" s="1">
        <f>sala!E133</f>
        <v>45018.113194444442</v>
      </c>
      <c r="BF134">
        <f>sala!K133</f>
        <v>132</v>
      </c>
      <c r="BG134">
        <f>sala!I133</f>
        <v>3096</v>
      </c>
      <c r="BH134" cm="1">
        <f t="array" ref="BH134">SUM(IF(Cocina!A:A=Tabla4[[#This Row],[Número de Orden]],Cocina!F:F*Cocina!G:G,0))</f>
        <v>206</v>
      </c>
      <c r="BI134" t="str">
        <f>sala!J133</f>
        <v>Reservada</v>
      </c>
      <c r="BJ134" s="4" t="str">
        <f>IF(Tabla4[[#This Row],[Estado mesa]]="Ocupada","00:15","00:00")</f>
        <v>00:00</v>
      </c>
      <c r="BK134" cm="1">
        <f t="array" ref="BK134">SUM(IF(Cocina!A:A=Tabla4[[#This Row],[Número de Orden]],Cocina!H:H,0))</f>
        <v>102</v>
      </c>
    </row>
    <row r="135" spans="1:63" x14ac:dyDescent="0.3">
      <c r="A135" s="8" t="str">
        <f>MID(Tabla4[[#This Row],[Cliente]], SEARCH("_", Tabla4[[#This Row],[Cliente]]) + 1, LEN(Tabla4[[#This Row],[Cliente]]) - SEARCH("_",Tabla4[[#This Row],[Cliente]]))</f>
        <v>26</v>
      </c>
      <c r="B135">
        <f>sala!K134</f>
        <v>133</v>
      </c>
      <c r="C135">
        <f>Tabla4[[#This Row],[Propina]]+Tabla4[[#This Row],[Precio Cena]]</f>
        <v>4156</v>
      </c>
      <c r="D135" s="3">
        <f>INT(sala!E134)</f>
        <v>45018</v>
      </c>
      <c r="E135" s="4">
        <f>MOD( sala!D134,1)</f>
        <v>3.7499999998544808E-2</v>
      </c>
      <c r="F135" s="4">
        <f>MOD( sala!E134,1)</f>
        <v>0.16111111111240461</v>
      </c>
      <c r="G135" s="4">
        <f>Tabla5[[#This Row],[Hora de Salida]]-Tabla5[[#This Row],[Hora de Llegada]]+Tabla4[[#This Row],[Tiempo Extra]]</f>
        <v>0.13402777778052646</v>
      </c>
      <c r="H135" s="5" t="str">
        <f>TEXT(Tabla4[[#This Row],[Preparación en horas]]/1440, "h:mm")</f>
        <v>1:47</v>
      </c>
      <c r="I135" s="4">
        <f>IF(Tabla5[[#This Row],[Tiempo Permanencia]]-Tabla5[[#This Row],[Tiempo de Preparación ]]&gt;=0,Tabla5[[#This Row],[Tiempo Permanencia]]-Tabla5[[#This Row],[Tiempo de Preparación ]],0)</f>
        <v>5.9722222224970908E-2</v>
      </c>
      <c r="J135" s="5" t="str">
        <f>IF(Tabla5[[#This Row],[Tiempo de Degustación]]=0,"No Cobrada","Cobrada")</f>
        <v>Cobrada</v>
      </c>
      <c r="K135" s="5" cm="1">
        <f t="array" ref="K135">SUM(IF(Tabla5[[#This Row],[Orden Cobrada]]="Cobrada",IF(Cocina!A:A=Tabla5[[#This Row],[Nº Orden]],Cocina!F:F*Cocina!G:G,0),-Tabla6[[#This Row],[Precio Cena]]))</f>
        <v>182</v>
      </c>
      <c r="L135" s="5">
        <f>IF(Tabla5[[#This Row],[Orden Cobrada]]="Cobrada",Tabla5[[#This Row],[Ganancia Bruta]]-Tabla6[[#This Row],[Coste Cena]],-Tabla6[[#This Row],[Precio Cena]]+Tabla6[[#This Row],[Coste Cena]])</f>
        <v>75</v>
      </c>
      <c r="M135" s="10">
        <f>IF(Tabla5[[#This Row],[Orden Cobrada]]="Cobrada",((Tabla5[[#This Row],[Ganancia Neta]]/Tabla5[[#This Row],[Ganancia Bruta]])*100)/100,-((Tabla5[[#This Row],[Ganancia Neta]]/Tabla5[[#This Row],[Ganancia Bruta]]*100)/100))</f>
        <v>0.41208791208791207</v>
      </c>
      <c r="N135" s="5" t="str">
        <f>sala!F134</f>
        <v>Mesero_2</v>
      </c>
      <c r="AY135" cm="1">
        <f t="array" ref="AY135">SUM(IF(Cocina!A:A=Tabla5[[#This Row],[Nº Orden]],Cocina!F:F*Cocina!G:G,0))</f>
        <v>182</v>
      </c>
      <c r="AZ135" cm="1">
        <f t="array" ref="AZ135">SUM(IF(Cocina!A:A=Tabla5[[#This Row],[Nº Orden]],Cocina!E:E*Cocina!G:G,0))</f>
        <v>107</v>
      </c>
      <c r="BB135" t="str">
        <f>MID(Tabla4[[#This Row],[Cliente]], SEARCH("_", Tabla4[[#This Row],[Cliente]]) + 1, LEN(Tabla4[[#This Row],[Cliente]]) - SEARCH("_",Tabla4[[#This Row],[Cliente]]))</f>
        <v>26</v>
      </c>
      <c r="BC135" t="str">
        <f>sala!B134</f>
        <v>Cliente_26</v>
      </c>
      <c r="BD135" s="1">
        <f>sala!D134</f>
        <v>45018.037499999999</v>
      </c>
      <c r="BE135" s="1">
        <f>sala!E134</f>
        <v>45018.161111111112</v>
      </c>
      <c r="BF135">
        <f>sala!K134</f>
        <v>133</v>
      </c>
      <c r="BG135">
        <f>sala!I134</f>
        <v>3974</v>
      </c>
      <c r="BH135" cm="1">
        <f t="array" ref="BH135">SUM(IF(Cocina!A:A=Tabla4[[#This Row],[Número de Orden]],Cocina!F:F*Cocina!G:G,0))</f>
        <v>182</v>
      </c>
      <c r="BI135" t="str">
        <f>sala!J134</f>
        <v>Ocupada</v>
      </c>
      <c r="BJ135" s="4" t="str">
        <f>IF(Tabla4[[#This Row],[Estado mesa]]="Ocupada","00:15","00:00")</f>
        <v>00:15</v>
      </c>
      <c r="BK135" cm="1">
        <f t="array" ref="BK135">SUM(IF(Cocina!A:A=Tabla4[[#This Row],[Número de Orden]],Cocina!H:H,0))</f>
        <v>107</v>
      </c>
    </row>
    <row r="136" spans="1:63" x14ac:dyDescent="0.3">
      <c r="A136" s="8" t="str">
        <f>MID(Tabla4[[#This Row],[Cliente]], SEARCH("_", Tabla4[[#This Row],[Cliente]]) + 1, LEN(Tabla4[[#This Row],[Cliente]]) - SEARCH("_",Tabla4[[#This Row],[Cliente]]))</f>
        <v>273</v>
      </c>
      <c r="B136">
        <f>sala!K135</f>
        <v>134</v>
      </c>
      <c r="C136">
        <f>Tabla4[[#This Row],[Propina]]+Tabla4[[#This Row],[Precio Cena]]</f>
        <v>421</v>
      </c>
      <c r="D136" s="3">
        <f>INT(sala!E135)</f>
        <v>45018</v>
      </c>
      <c r="E136" s="4">
        <f>MOD( sala!D135,1)</f>
        <v>4.8611111124046147E-3</v>
      </c>
      <c r="F136" s="4">
        <f>MOD( sala!E135,1)</f>
        <v>0.16111111111240461</v>
      </c>
      <c r="G136" s="4">
        <f>Tabla5[[#This Row],[Hora de Salida]]-Tabla5[[#This Row],[Hora de Llegada]]+Tabla4[[#This Row],[Tiempo Extra]]</f>
        <v>0.15625</v>
      </c>
      <c r="H136" s="5" t="str">
        <f>TEXT(Tabla4[[#This Row],[Preparación en horas]]/1440, "h:mm")</f>
        <v>0:48</v>
      </c>
      <c r="I136" s="4">
        <f>IF(Tabla5[[#This Row],[Tiempo Permanencia]]-Tabla5[[#This Row],[Tiempo de Preparación ]]&gt;=0,Tabla5[[#This Row],[Tiempo Permanencia]]-Tabla5[[#This Row],[Tiempo de Preparación ]],0)</f>
        <v>0.12291666666666667</v>
      </c>
      <c r="J136" s="5" t="str">
        <f>IF(Tabla5[[#This Row],[Tiempo de Degustación]]=0,"No Cobrada","Cobrada")</f>
        <v>Cobrada</v>
      </c>
      <c r="K136" s="5" cm="1">
        <f t="array" ref="K136">SUM(IF(Tabla5[[#This Row],[Orden Cobrada]]="Cobrada",IF(Cocina!A:A=Tabla5[[#This Row],[Nº Orden]],Cocina!F:F*Cocina!G:G,0),-Tabla6[[#This Row],[Precio Cena]]))</f>
        <v>120</v>
      </c>
      <c r="L136" s="5">
        <f>IF(Tabla5[[#This Row],[Orden Cobrada]]="Cobrada",Tabla5[[#This Row],[Ganancia Bruta]]-Tabla6[[#This Row],[Coste Cena]],-Tabla6[[#This Row],[Precio Cena]]+Tabla6[[#This Row],[Coste Cena]])</f>
        <v>49</v>
      </c>
      <c r="M136" s="10">
        <f>IF(Tabla5[[#This Row],[Orden Cobrada]]="Cobrada",((Tabla5[[#This Row],[Ganancia Neta]]/Tabla5[[#This Row],[Ganancia Bruta]])*100)/100,-((Tabla5[[#This Row],[Ganancia Neta]]/Tabla5[[#This Row],[Ganancia Bruta]]*100)/100))</f>
        <v>0.40833333333333338</v>
      </c>
      <c r="N136" s="5" t="str">
        <f>sala!F135</f>
        <v>Mesero_1</v>
      </c>
      <c r="AY136" cm="1">
        <f t="array" ref="AY136">SUM(IF(Cocina!A:A=Tabla5[[#This Row],[Nº Orden]],Cocina!F:F*Cocina!G:G,0))</f>
        <v>120</v>
      </c>
      <c r="AZ136" cm="1">
        <f t="array" ref="AZ136">SUM(IF(Cocina!A:A=Tabla5[[#This Row],[Nº Orden]],Cocina!E:E*Cocina!G:G,0))</f>
        <v>71</v>
      </c>
      <c r="BB136" t="str">
        <f>MID(Tabla4[[#This Row],[Cliente]], SEARCH("_", Tabla4[[#This Row],[Cliente]]) + 1, LEN(Tabla4[[#This Row],[Cliente]]) - SEARCH("_",Tabla4[[#This Row],[Cliente]]))</f>
        <v>273</v>
      </c>
      <c r="BC136" t="str">
        <f>sala!B135</f>
        <v>Cliente_273</v>
      </c>
      <c r="BD136" s="1">
        <f>sala!D135</f>
        <v>45018.004861111112</v>
      </c>
      <c r="BE136" s="1">
        <f>sala!E135</f>
        <v>45018.161111111112</v>
      </c>
      <c r="BF136">
        <f>sala!K135</f>
        <v>134</v>
      </c>
      <c r="BG136">
        <f>sala!I135</f>
        <v>301</v>
      </c>
      <c r="BH136" cm="1">
        <f t="array" ref="BH136">SUM(IF(Cocina!A:A=Tabla4[[#This Row],[Número de Orden]],Cocina!F:F*Cocina!G:G,0))</f>
        <v>120</v>
      </c>
      <c r="BI136" t="str">
        <f>sala!J135</f>
        <v>Libre</v>
      </c>
      <c r="BJ136" s="4" t="str">
        <f>IF(Tabla4[[#This Row],[Estado mesa]]="Ocupada","00:15","00:00")</f>
        <v>00:00</v>
      </c>
      <c r="BK136" cm="1">
        <f t="array" ref="BK136">SUM(IF(Cocina!A:A=Tabla4[[#This Row],[Número de Orden]],Cocina!H:H,0))</f>
        <v>48</v>
      </c>
    </row>
    <row r="137" spans="1:63" x14ac:dyDescent="0.3">
      <c r="A137" s="8" t="str">
        <f>MID(Tabla4[[#This Row],[Cliente]], SEARCH("_", Tabla4[[#This Row],[Cliente]]) + 1, LEN(Tabla4[[#This Row],[Cliente]]) - SEARCH("_",Tabla4[[#This Row],[Cliente]]))</f>
        <v>798</v>
      </c>
      <c r="B137">
        <f>sala!K136</f>
        <v>135</v>
      </c>
      <c r="C137">
        <f>Tabla4[[#This Row],[Propina]]+Tabla4[[#This Row],[Precio Cena]]</f>
        <v>607</v>
      </c>
      <c r="D137" s="3">
        <f>INT(sala!E136)</f>
        <v>45018</v>
      </c>
      <c r="E137" s="4">
        <f>MOD( sala!D136,1)</f>
        <v>4.1666666664241347E-2</v>
      </c>
      <c r="F137" s="4">
        <f>MOD( sala!E136,1)</f>
        <v>0.12569444444670808</v>
      </c>
      <c r="G137" s="4">
        <f>Tabla5[[#This Row],[Hora de Salida]]-Tabla5[[#This Row],[Hora de Llegada]]+Tabla4[[#This Row],[Tiempo Extra]]</f>
        <v>9.44444444491334E-2</v>
      </c>
      <c r="H137" s="5" t="str">
        <f>TEXT(Tabla4[[#This Row],[Preparación en horas]]/1440, "h:mm")</f>
        <v>1:28</v>
      </c>
      <c r="I137" s="4">
        <f>IF(Tabla5[[#This Row],[Tiempo Permanencia]]-Tabla5[[#This Row],[Tiempo de Preparación ]]&gt;=0,Tabla5[[#This Row],[Tiempo Permanencia]]-Tabla5[[#This Row],[Tiempo de Preparación ]],0)</f>
        <v>3.333333333802229E-2</v>
      </c>
      <c r="J137" s="5" t="str">
        <f>IF(Tabla5[[#This Row],[Tiempo de Degustación]]=0,"No Cobrada","Cobrada")</f>
        <v>Cobrada</v>
      </c>
      <c r="K137" s="5" cm="1">
        <f t="array" ref="K137">SUM(IF(Tabla5[[#This Row],[Orden Cobrada]]="Cobrada",IF(Cocina!A:A=Tabla5[[#This Row],[Nº Orden]],Cocina!F:F*Cocina!G:G,0),-Tabla6[[#This Row],[Precio Cena]]))</f>
        <v>260</v>
      </c>
      <c r="L137" s="5">
        <f>IF(Tabla5[[#This Row],[Orden Cobrada]]="Cobrada",Tabla5[[#This Row],[Ganancia Bruta]]-Tabla6[[#This Row],[Coste Cena]],-Tabla6[[#This Row],[Precio Cena]]+Tabla6[[#This Row],[Coste Cena]])</f>
        <v>102</v>
      </c>
      <c r="M137" s="10">
        <f>IF(Tabla5[[#This Row],[Orden Cobrada]]="Cobrada",((Tabla5[[#This Row],[Ganancia Neta]]/Tabla5[[#This Row],[Ganancia Bruta]])*100)/100,-((Tabla5[[#This Row],[Ganancia Neta]]/Tabla5[[#This Row],[Ganancia Bruta]]*100)/100))</f>
        <v>0.39230769230769236</v>
      </c>
      <c r="N137" s="5" t="str">
        <f>sala!F136</f>
        <v>Mesero_5</v>
      </c>
      <c r="AY137" cm="1">
        <f t="array" ref="AY137">SUM(IF(Cocina!A:A=Tabla5[[#This Row],[Nº Orden]],Cocina!F:F*Cocina!G:G,0))</f>
        <v>260</v>
      </c>
      <c r="AZ137" cm="1">
        <f t="array" ref="AZ137">SUM(IF(Cocina!A:A=Tabla5[[#This Row],[Nº Orden]],Cocina!E:E*Cocina!G:G,0))</f>
        <v>158</v>
      </c>
      <c r="BB137" t="str">
        <f>MID(Tabla4[[#This Row],[Cliente]], SEARCH("_", Tabla4[[#This Row],[Cliente]]) + 1, LEN(Tabla4[[#This Row],[Cliente]]) - SEARCH("_",Tabla4[[#This Row],[Cliente]]))</f>
        <v>798</v>
      </c>
      <c r="BC137" t="str">
        <f>sala!B136</f>
        <v>Cliente_798</v>
      </c>
      <c r="BD137" s="1">
        <f>sala!D136</f>
        <v>45018.041666666664</v>
      </c>
      <c r="BE137" s="1">
        <f>sala!E136</f>
        <v>45018.125694444447</v>
      </c>
      <c r="BF137">
        <f>sala!K136</f>
        <v>135</v>
      </c>
      <c r="BG137">
        <f>sala!I136</f>
        <v>347</v>
      </c>
      <c r="BH137" cm="1">
        <f t="array" ref="BH137">SUM(IF(Cocina!A:A=Tabla4[[#This Row],[Número de Orden]],Cocina!F:F*Cocina!G:G,0))</f>
        <v>260</v>
      </c>
      <c r="BI137" t="str">
        <f>sala!J136</f>
        <v>Ocupada</v>
      </c>
      <c r="BJ137" s="4" t="str">
        <f>IF(Tabla4[[#This Row],[Estado mesa]]="Ocupada","00:15","00:00")</f>
        <v>00:15</v>
      </c>
      <c r="BK137" cm="1">
        <f t="array" ref="BK137">SUM(IF(Cocina!A:A=Tabla4[[#This Row],[Número de Orden]],Cocina!H:H,0))</f>
        <v>88</v>
      </c>
    </row>
    <row r="138" spans="1:63" x14ac:dyDescent="0.3">
      <c r="A138" s="8" t="str">
        <f>MID(Tabla4[[#This Row],[Cliente]], SEARCH("_", Tabla4[[#This Row],[Cliente]]) + 1, LEN(Tabla4[[#This Row],[Cliente]]) - SEARCH("_",Tabla4[[#This Row],[Cliente]]))</f>
        <v>8</v>
      </c>
      <c r="B138">
        <f>sala!K137</f>
        <v>136</v>
      </c>
      <c r="C138">
        <f>Tabla4[[#This Row],[Propina]]+Tabla4[[#This Row],[Precio Cena]]</f>
        <v>3105</v>
      </c>
      <c r="D138" s="3">
        <f>INT(sala!E137)</f>
        <v>45018</v>
      </c>
      <c r="E138" s="4">
        <f>MOD( sala!D137,1)</f>
        <v>7.6388888890505768E-2</v>
      </c>
      <c r="F138" s="4">
        <f>MOD( sala!E137,1)</f>
        <v>0.20902777777519077</v>
      </c>
      <c r="G138" s="4">
        <f>Tabla5[[#This Row],[Hora de Salida]]-Tabla5[[#This Row],[Hora de Llegada]]+Tabla4[[#This Row],[Tiempo Extra]]</f>
        <v>0.14305555555135166</v>
      </c>
      <c r="H138" s="5" t="str">
        <f>TEXT(Tabla4[[#This Row],[Preparación en horas]]/1440, "h:mm")</f>
        <v>0:13</v>
      </c>
      <c r="I138" s="4">
        <f>IF(Tabla5[[#This Row],[Tiempo Permanencia]]-Tabla5[[#This Row],[Tiempo de Preparación ]]&gt;=0,Tabla5[[#This Row],[Tiempo Permanencia]]-Tabla5[[#This Row],[Tiempo de Preparación ]],0)</f>
        <v>0.13402777777357389</v>
      </c>
      <c r="J138" s="5" t="str">
        <f>IF(Tabla5[[#This Row],[Tiempo de Degustación]]=0,"No Cobrada","Cobrada")</f>
        <v>Cobrada</v>
      </c>
      <c r="K138" s="5" cm="1">
        <f t="array" ref="K138">SUM(IF(Tabla5[[#This Row],[Orden Cobrada]]="Cobrada",IF(Cocina!A:A=Tabla5[[#This Row],[Nº Orden]],Cocina!F:F*Cocina!G:G,0),-Tabla6[[#This Row],[Precio Cena]]))</f>
        <v>80</v>
      </c>
      <c r="L138" s="5">
        <f>IF(Tabla5[[#This Row],[Orden Cobrada]]="Cobrada",Tabla5[[#This Row],[Ganancia Bruta]]-Tabla6[[#This Row],[Coste Cena]],-Tabla6[[#This Row],[Precio Cena]]+Tabla6[[#This Row],[Coste Cena]])</f>
        <v>30</v>
      </c>
      <c r="M138" s="10">
        <f>IF(Tabla5[[#This Row],[Orden Cobrada]]="Cobrada",((Tabla5[[#This Row],[Ganancia Neta]]/Tabla5[[#This Row],[Ganancia Bruta]])*100)/100,-((Tabla5[[#This Row],[Ganancia Neta]]/Tabla5[[#This Row],[Ganancia Bruta]]*100)/100))</f>
        <v>0.375</v>
      </c>
      <c r="N138" s="5" t="str">
        <f>sala!F137</f>
        <v>Mesero_1</v>
      </c>
      <c r="AY138" cm="1">
        <f t="array" ref="AY138">SUM(IF(Cocina!A:A=Tabla5[[#This Row],[Nº Orden]],Cocina!F:F*Cocina!G:G,0))</f>
        <v>80</v>
      </c>
      <c r="AZ138" cm="1">
        <f t="array" ref="AZ138">SUM(IF(Cocina!A:A=Tabla5[[#This Row],[Nº Orden]],Cocina!E:E*Cocina!G:G,0))</f>
        <v>50</v>
      </c>
      <c r="BB138" t="str">
        <f>MID(Tabla4[[#This Row],[Cliente]], SEARCH("_", Tabla4[[#This Row],[Cliente]]) + 1, LEN(Tabla4[[#This Row],[Cliente]]) - SEARCH("_",Tabla4[[#This Row],[Cliente]]))</f>
        <v>8</v>
      </c>
      <c r="BC138" t="str">
        <f>sala!B137</f>
        <v>Cliente_8</v>
      </c>
      <c r="BD138" s="1">
        <f>sala!D137</f>
        <v>45018.076388888891</v>
      </c>
      <c r="BE138" s="1">
        <f>sala!E137</f>
        <v>45018.209027777775</v>
      </c>
      <c r="BF138">
        <f>sala!K137</f>
        <v>136</v>
      </c>
      <c r="BG138">
        <f>sala!I137</f>
        <v>3025</v>
      </c>
      <c r="BH138" cm="1">
        <f t="array" ref="BH138">SUM(IF(Cocina!A:A=Tabla4[[#This Row],[Número de Orden]],Cocina!F:F*Cocina!G:G,0))</f>
        <v>80</v>
      </c>
      <c r="BI138" t="str">
        <f>sala!J137</f>
        <v>Ocupada</v>
      </c>
      <c r="BJ138" s="4" t="str">
        <f>IF(Tabla4[[#This Row],[Estado mesa]]="Ocupada","00:15","00:00")</f>
        <v>00:15</v>
      </c>
      <c r="BK138" cm="1">
        <f t="array" ref="BK138">SUM(IF(Cocina!A:A=Tabla4[[#This Row],[Número de Orden]],Cocina!H:H,0))</f>
        <v>13</v>
      </c>
    </row>
    <row r="139" spans="1:63" x14ac:dyDescent="0.3">
      <c r="A139" s="8" t="str">
        <f>MID(Tabla4[[#This Row],[Cliente]], SEARCH("_", Tabla4[[#This Row],[Cliente]]) + 1, LEN(Tabla4[[#This Row],[Cliente]]) - SEARCH("_",Tabla4[[#This Row],[Cliente]]))</f>
        <v>31</v>
      </c>
      <c r="B139">
        <f>sala!K138</f>
        <v>137</v>
      </c>
      <c r="C139">
        <f>Tabla4[[#This Row],[Propina]]+Tabla4[[#This Row],[Precio Cena]]</f>
        <v>187</v>
      </c>
      <c r="D139" s="3">
        <f>INT(sala!E138)</f>
        <v>45018</v>
      </c>
      <c r="E139" s="4">
        <f>MOD( sala!D138,1)</f>
        <v>5.6250000001455192E-2</v>
      </c>
      <c r="F139" s="4">
        <f>MOD( sala!E138,1)</f>
        <v>0.17430555555620231</v>
      </c>
      <c r="G139" s="4">
        <f>Tabla5[[#This Row],[Hora de Salida]]-Tabla5[[#This Row],[Hora de Llegada]]+Tabla4[[#This Row],[Tiempo Extra]]</f>
        <v>0.12847222222141377</v>
      </c>
      <c r="H139" s="5" t="str">
        <f>TEXT(Tabla4[[#This Row],[Preparación en horas]]/1440, "h:mm")</f>
        <v>0:41</v>
      </c>
      <c r="I139" s="4">
        <f>IF(Tabla5[[#This Row],[Tiempo Permanencia]]-Tabla5[[#This Row],[Tiempo de Preparación ]]&gt;=0,Tabla5[[#This Row],[Tiempo Permanencia]]-Tabla5[[#This Row],[Tiempo de Preparación ]],0)</f>
        <v>9.9999999999191555E-2</v>
      </c>
      <c r="J139" s="5" t="str">
        <f>IF(Tabla5[[#This Row],[Tiempo de Degustación]]=0,"No Cobrada","Cobrada")</f>
        <v>Cobrada</v>
      </c>
      <c r="K139" s="5" cm="1">
        <f t="array" ref="K139">SUM(IF(Tabla5[[#This Row],[Orden Cobrada]]="Cobrada",IF(Cocina!A:A=Tabla5[[#This Row],[Nº Orden]],Cocina!F:F*Cocina!G:G,0),-Tabla6[[#This Row],[Precio Cena]]))</f>
        <v>63</v>
      </c>
      <c r="L139" s="5">
        <f>IF(Tabla5[[#This Row],[Orden Cobrada]]="Cobrada",Tabla5[[#This Row],[Ganancia Bruta]]-Tabla6[[#This Row],[Coste Cena]],-Tabla6[[#This Row],[Precio Cena]]+Tabla6[[#This Row],[Coste Cena]])</f>
        <v>24</v>
      </c>
      <c r="M139" s="10">
        <f>IF(Tabla5[[#This Row],[Orden Cobrada]]="Cobrada",((Tabla5[[#This Row],[Ganancia Neta]]/Tabla5[[#This Row],[Ganancia Bruta]])*100)/100,-((Tabla5[[#This Row],[Ganancia Neta]]/Tabla5[[#This Row],[Ganancia Bruta]]*100)/100))</f>
        <v>0.38095238095238093</v>
      </c>
      <c r="N139" s="5" t="str">
        <f>sala!F138</f>
        <v>Mesero_4</v>
      </c>
      <c r="AY139" cm="1">
        <f t="array" ref="AY139">SUM(IF(Cocina!A:A=Tabla5[[#This Row],[Nº Orden]],Cocina!F:F*Cocina!G:G,0))</f>
        <v>63</v>
      </c>
      <c r="AZ139" cm="1">
        <f t="array" ref="AZ139">SUM(IF(Cocina!A:A=Tabla5[[#This Row],[Nº Orden]],Cocina!E:E*Cocina!G:G,0))</f>
        <v>39</v>
      </c>
      <c r="BB139" t="str">
        <f>MID(Tabla4[[#This Row],[Cliente]], SEARCH("_", Tabla4[[#This Row],[Cliente]]) + 1, LEN(Tabla4[[#This Row],[Cliente]]) - SEARCH("_",Tabla4[[#This Row],[Cliente]]))</f>
        <v>31</v>
      </c>
      <c r="BC139" t="str">
        <f>sala!B138</f>
        <v>Cliente_31</v>
      </c>
      <c r="BD139" s="1">
        <f>sala!D138</f>
        <v>45018.056250000001</v>
      </c>
      <c r="BE139" s="1">
        <f>sala!E138</f>
        <v>45018.174305555556</v>
      </c>
      <c r="BF139">
        <f>sala!K138</f>
        <v>137</v>
      </c>
      <c r="BG139">
        <f>sala!I138</f>
        <v>124</v>
      </c>
      <c r="BH139" cm="1">
        <f t="array" ref="BH139">SUM(IF(Cocina!A:A=Tabla4[[#This Row],[Número de Orden]],Cocina!F:F*Cocina!G:G,0))</f>
        <v>63</v>
      </c>
      <c r="BI139" t="str">
        <f>sala!J138</f>
        <v>Ocupada</v>
      </c>
      <c r="BJ139" s="4" t="str">
        <f>IF(Tabla4[[#This Row],[Estado mesa]]="Ocupada","00:15","00:00")</f>
        <v>00:15</v>
      </c>
      <c r="BK139" cm="1">
        <f t="array" ref="BK139">SUM(IF(Cocina!A:A=Tabla4[[#This Row],[Número de Orden]],Cocina!H:H,0))</f>
        <v>41</v>
      </c>
    </row>
    <row r="140" spans="1:63" x14ac:dyDescent="0.3">
      <c r="A140" s="8" t="str">
        <f>MID(Tabla4[[#This Row],[Cliente]], SEARCH("_", Tabla4[[#This Row],[Cliente]]) + 1, LEN(Tabla4[[#This Row],[Cliente]]) - SEARCH("_",Tabla4[[#This Row],[Cliente]]))</f>
        <v>658</v>
      </c>
      <c r="B140">
        <f>sala!K139</f>
        <v>138</v>
      </c>
      <c r="C140">
        <f>Tabla4[[#This Row],[Propina]]+Tabla4[[#This Row],[Precio Cena]]</f>
        <v>3517</v>
      </c>
      <c r="D140" s="3">
        <f>INT(sala!E139)</f>
        <v>45018</v>
      </c>
      <c r="E140" s="4">
        <f>MOD( sala!D139,1)</f>
        <v>0.15833333333284827</v>
      </c>
      <c r="F140" s="4">
        <f>MOD( sala!E139,1)</f>
        <v>0.21458333333430346</v>
      </c>
      <c r="G140" s="4">
        <f>Tabla5[[#This Row],[Hora de Salida]]-Tabla5[[#This Row],[Hora de Llegada]]+Tabla4[[#This Row],[Tiempo Extra]]</f>
        <v>6.6666666668121863E-2</v>
      </c>
      <c r="H140" s="5" t="str">
        <f>TEXT(Tabla4[[#This Row],[Preparación en horas]]/1440, "h:mm")</f>
        <v>1:37</v>
      </c>
      <c r="I140" s="4">
        <f>IF(Tabla5[[#This Row],[Tiempo Permanencia]]-Tabla5[[#This Row],[Tiempo de Preparación ]]&gt;=0,Tabla5[[#This Row],[Tiempo Permanencia]]-Tabla5[[#This Row],[Tiempo de Preparación ]],0)</f>
        <v>0</v>
      </c>
      <c r="J140" s="5" t="str">
        <f>IF(Tabla5[[#This Row],[Tiempo de Degustación]]=0,"No Cobrada","Cobrada")</f>
        <v>No Cobrada</v>
      </c>
      <c r="K140" s="5" cm="1">
        <f t="array" ref="K140">SUM(IF(Tabla5[[#This Row],[Orden Cobrada]]="Cobrada",IF(Cocina!A:A=Tabla5[[#This Row],[Nº Orden]],Cocina!F:F*Cocina!G:G,0),-Tabla6[[#This Row],[Precio Cena]]))</f>
        <v>-238</v>
      </c>
      <c r="L140" s="5">
        <f>IF(Tabla5[[#This Row],[Orden Cobrada]]="Cobrada",Tabla5[[#This Row],[Ganancia Bruta]]-Tabla6[[#This Row],[Coste Cena]],-Tabla6[[#This Row],[Precio Cena]]+Tabla6[[#This Row],[Coste Cena]])</f>
        <v>-97</v>
      </c>
      <c r="M140" s="10">
        <f>IF(Tabla5[[#This Row],[Orden Cobrada]]="Cobrada",((Tabla5[[#This Row],[Ganancia Neta]]/Tabla5[[#This Row],[Ganancia Bruta]])*100)/100,-((Tabla5[[#This Row],[Ganancia Neta]]/Tabla5[[#This Row],[Ganancia Bruta]]*100)/100))</f>
        <v>-0.40756302521008403</v>
      </c>
      <c r="N140" s="5" t="str">
        <f>sala!F139</f>
        <v>Mesero_2</v>
      </c>
      <c r="AY140" cm="1">
        <f t="array" ref="AY140">SUM(IF(Cocina!A:A=Tabla5[[#This Row],[Nº Orden]],Cocina!F:F*Cocina!G:G,0))</f>
        <v>238</v>
      </c>
      <c r="AZ140" cm="1">
        <f t="array" ref="AZ140">SUM(IF(Cocina!A:A=Tabla5[[#This Row],[Nº Orden]],Cocina!E:E*Cocina!G:G,0))</f>
        <v>141</v>
      </c>
      <c r="BB140" t="str">
        <f>MID(Tabla4[[#This Row],[Cliente]], SEARCH("_", Tabla4[[#This Row],[Cliente]]) + 1, LEN(Tabla4[[#This Row],[Cliente]]) - SEARCH("_",Tabla4[[#This Row],[Cliente]]))</f>
        <v>658</v>
      </c>
      <c r="BC140" t="str">
        <f>sala!B139</f>
        <v>Cliente_658</v>
      </c>
      <c r="BD140" s="1">
        <f>sala!D139</f>
        <v>45018.158333333333</v>
      </c>
      <c r="BE140" s="1">
        <f>sala!E139</f>
        <v>45018.214583333334</v>
      </c>
      <c r="BF140">
        <f>sala!K139</f>
        <v>138</v>
      </c>
      <c r="BG140">
        <f>sala!I139</f>
        <v>3279</v>
      </c>
      <c r="BH140" cm="1">
        <f t="array" ref="BH140">SUM(IF(Cocina!A:A=Tabla4[[#This Row],[Número de Orden]],Cocina!F:F*Cocina!G:G,0))</f>
        <v>238</v>
      </c>
      <c r="BI140" t="str">
        <f>sala!J139</f>
        <v>Ocupada</v>
      </c>
      <c r="BJ140" s="4" t="str">
        <f>IF(Tabla4[[#This Row],[Estado mesa]]="Ocupada","00:15","00:00")</f>
        <v>00:15</v>
      </c>
      <c r="BK140" cm="1">
        <f t="array" ref="BK140">SUM(IF(Cocina!A:A=Tabla4[[#This Row],[Número de Orden]],Cocina!H:H,0))</f>
        <v>97</v>
      </c>
    </row>
    <row r="141" spans="1:63" x14ac:dyDescent="0.3">
      <c r="A141" s="8" t="str">
        <f>MID(Tabla4[[#This Row],[Cliente]], SEARCH("_", Tabla4[[#This Row],[Cliente]]) + 1, LEN(Tabla4[[#This Row],[Cliente]]) - SEARCH("_",Tabla4[[#This Row],[Cliente]]))</f>
        <v>773</v>
      </c>
      <c r="B141">
        <f>sala!K140</f>
        <v>139</v>
      </c>
      <c r="C141">
        <f>Tabla4[[#This Row],[Propina]]+Tabla4[[#This Row],[Precio Cena]]</f>
        <v>507</v>
      </c>
      <c r="D141" s="3">
        <f>INT(sala!E140)</f>
        <v>45018</v>
      </c>
      <c r="E141" s="4">
        <f>MOD( sala!D140,1)</f>
        <v>2.7777777781011537E-2</v>
      </c>
      <c r="F141" s="4">
        <f>MOD( sala!E140,1)</f>
        <v>0.19374999999854481</v>
      </c>
      <c r="G141" s="4">
        <f>Tabla5[[#This Row],[Hora de Salida]]-Tabla5[[#This Row],[Hora de Llegada]]+Tabla4[[#This Row],[Tiempo Extra]]</f>
        <v>0.16597222221753327</v>
      </c>
      <c r="H141" s="5" t="str">
        <f>TEXT(Tabla4[[#This Row],[Preparación en horas]]/1440, "h:mm")</f>
        <v>0:26</v>
      </c>
      <c r="I141" s="4">
        <f>IF(Tabla5[[#This Row],[Tiempo Permanencia]]-Tabla5[[#This Row],[Tiempo de Preparación ]]&gt;=0,Tabla5[[#This Row],[Tiempo Permanencia]]-Tabla5[[#This Row],[Tiempo de Preparación ]],0)</f>
        <v>0.14791666666197772</v>
      </c>
      <c r="J141" s="5" t="str">
        <f>IF(Tabla5[[#This Row],[Tiempo de Degustación]]=0,"No Cobrada","Cobrada")</f>
        <v>Cobrada</v>
      </c>
      <c r="K141" s="5" cm="1">
        <f t="array" ref="K141">SUM(IF(Tabla5[[#This Row],[Orden Cobrada]]="Cobrada",IF(Cocina!A:A=Tabla5[[#This Row],[Nº Orden]],Cocina!F:F*Cocina!G:G,0),-Tabla6[[#This Row],[Precio Cena]]))</f>
        <v>35</v>
      </c>
      <c r="L141" s="5">
        <f>IF(Tabla5[[#This Row],[Orden Cobrada]]="Cobrada",Tabla5[[#This Row],[Ganancia Bruta]]-Tabla6[[#This Row],[Coste Cena]],-Tabla6[[#This Row],[Precio Cena]]+Tabla6[[#This Row],[Coste Cena]])</f>
        <v>14</v>
      </c>
      <c r="M141" s="10">
        <f>IF(Tabla5[[#This Row],[Orden Cobrada]]="Cobrada",((Tabla5[[#This Row],[Ganancia Neta]]/Tabla5[[#This Row],[Ganancia Bruta]])*100)/100,-((Tabla5[[#This Row],[Ganancia Neta]]/Tabla5[[#This Row],[Ganancia Bruta]]*100)/100))</f>
        <v>0.4</v>
      </c>
      <c r="N141" s="5" t="str">
        <f>sala!F140</f>
        <v>Mesero_2</v>
      </c>
      <c r="AY141" cm="1">
        <f t="array" ref="AY141">SUM(IF(Cocina!A:A=Tabla5[[#This Row],[Nº Orden]],Cocina!F:F*Cocina!G:G,0))</f>
        <v>35</v>
      </c>
      <c r="AZ141" cm="1">
        <f t="array" ref="AZ141">SUM(IF(Cocina!A:A=Tabla5[[#This Row],[Nº Orden]],Cocina!E:E*Cocina!G:G,0))</f>
        <v>21</v>
      </c>
      <c r="BB141" t="str">
        <f>MID(Tabla4[[#This Row],[Cliente]], SEARCH("_", Tabla4[[#This Row],[Cliente]]) + 1, LEN(Tabla4[[#This Row],[Cliente]]) - SEARCH("_",Tabla4[[#This Row],[Cliente]]))</f>
        <v>773</v>
      </c>
      <c r="BC141" t="str">
        <f>sala!B140</f>
        <v>Cliente_773</v>
      </c>
      <c r="BD141" s="1">
        <f>sala!D140</f>
        <v>45018.027777777781</v>
      </c>
      <c r="BE141" s="1">
        <f>sala!E140</f>
        <v>45018.193749999999</v>
      </c>
      <c r="BF141">
        <f>sala!K140</f>
        <v>139</v>
      </c>
      <c r="BG141">
        <f>sala!I140</f>
        <v>472</v>
      </c>
      <c r="BH141" cm="1">
        <f t="array" ref="BH141">SUM(IF(Cocina!A:A=Tabla4[[#This Row],[Número de Orden]],Cocina!F:F*Cocina!G:G,0))</f>
        <v>35</v>
      </c>
      <c r="BI141" t="str">
        <f>sala!J140</f>
        <v>Libre</v>
      </c>
      <c r="BJ141" s="4" t="str">
        <f>IF(Tabla4[[#This Row],[Estado mesa]]="Ocupada","00:15","00:00")</f>
        <v>00:00</v>
      </c>
      <c r="BK141" cm="1">
        <f t="array" ref="BK141">SUM(IF(Cocina!A:A=Tabla4[[#This Row],[Número de Orden]],Cocina!H:H,0))</f>
        <v>26</v>
      </c>
    </row>
    <row r="142" spans="1:63" x14ac:dyDescent="0.3">
      <c r="A142" s="8" t="str">
        <f>MID(Tabla4[[#This Row],[Cliente]], SEARCH("_", Tabla4[[#This Row],[Cliente]]) + 1, LEN(Tabla4[[#This Row],[Cliente]]) - SEARCH("_",Tabla4[[#This Row],[Cliente]]))</f>
        <v>158</v>
      </c>
      <c r="B142">
        <f>sala!K141</f>
        <v>140</v>
      </c>
      <c r="C142">
        <f>Tabla4[[#This Row],[Propina]]+Tabla4[[#This Row],[Precio Cena]]</f>
        <v>3404</v>
      </c>
      <c r="D142" s="3">
        <f>INT(sala!E141)</f>
        <v>45018</v>
      </c>
      <c r="E142" s="4">
        <f>MOD( sala!D141,1)</f>
        <v>0.15902777777955635</v>
      </c>
      <c r="F142" s="4">
        <f>MOD( sala!E141,1)</f>
        <v>0.27013888888905058</v>
      </c>
      <c r="G142" s="4">
        <f>Tabla5[[#This Row],[Hora de Salida]]-Tabla5[[#This Row],[Hora de Llegada]]+Tabla4[[#This Row],[Tiempo Extra]]</f>
        <v>0.11111111110949423</v>
      </c>
      <c r="H142" s="5" t="str">
        <f>TEXT(Tabla4[[#This Row],[Preparación en horas]]/1440, "h:mm")</f>
        <v>1:58</v>
      </c>
      <c r="I142" s="4">
        <f>IF(Tabla5[[#This Row],[Tiempo Permanencia]]-Tabla5[[#This Row],[Tiempo de Preparación ]]&gt;=0,Tabla5[[#This Row],[Tiempo Permanencia]]-Tabla5[[#This Row],[Tiempo de Preparación ]],0)</f>
        <v>2.9166666665049787E-2</v>
      </c>
      <c r="J142" s="5" t="str">
        <f>IF(Tabla5[[#This Row],[Tiempo de Degustación]]=0,"No Cobrada","Cobrada")</f>
        <v>Cobrada</v>
      </c>
      <c r="K142" s="5" cm="1">
        <f t="array" ref="K142">SUM(IF(Tabla5[[#This Row],[Orden Cobrada]]="Cobrada",IF(Cocina!A:A=Tabla5[[#This Row],[Nº Orden]],Cocina!F:F*Cocina!G:G,0),-Tabla6[[#This Row],[Precio Cena]]))</f>
        <v>191</v>
      </c>
      <c r="L142" s="5">
        <f>IF(Tabla5[[#This Row],[Orden Cobrada]]="Cobrada",Tabla5[[#This Row],[Ganancia Bruta]]-Tabla6[[#This Row],[Coste Cena]],-Tabla6[[#This Row],[Precio Cena]]+Tabla6[[#This Row],[Coste Cena]])</f>
        <v>78</v>
      </c>
      <c r="M142" s="10">
        <f>IF(Tabla5[[#This Row],[Orden Cobrada]]="Cobrada",((Tabla5[[#This Row],[Ganancia Neta]]/Tabla5[[#This Row],[Ganancia Bruta]])*100)/100,-((Tabla5[[#This Row],[Ganancia Neta]]/Tabla5[[#This Row],[Ganancia Bruta]]*100)/100))</f>
        <v>0.40837696335078533</v>
      </c>
      <c r="N142" s="5" t="str">
        <f>sala!F141</f>
        <v>Mesero_2</v>
      </c>
      <c r="AY142" cm="1">
        <f t="array" ref="AY142">SUM(IF(Cocina!A:A=Tabla5[[#This Row],[Nº Orden]],Cocina!F:F*Cocina!G:G,0))</f>
        <v>191</v>
      </c>
      <c r="AZ142" cm="1">
        <f t="array" ref="AZ142">SUM(IF(Cocina!A:A=Tabla5[[#This Row],[Nº Orden]],Cocina!E:E*Cocina!G:G,0))</f>
        <v>113</v>
      </c>
      <c r="BB142" t="str">
        <f>MID(Tabla4[[#This Row],[Cliente]], SEARCH("_", Tabla4[[#This Row],[Cliente]]) + 1, LEN(Tabla4[[#This Row],[Cliente]]) - SEARCH("_",Tabla4[[#This Row],[Cliente]]))</f>
        <v>158</v>
      </c>
      <c r="BC142" t="str">
        <f>sala!B141</f>
        <v>Cliente_158</v>
      </c>
      <c r="BD142" s="1">
        <f>sala!D141</f>
        <v>45018.15902777778</v>
      </c>
      <c r="BE142" s="1">
        <f>sala!E141</f>
        <v>45018.270138888889</v>
      </c>
      <c r="BF142">
        <f>sala!K141</f>
        <v>140</v>
      </c>
      <c r="BG142">
        <f>sala!I141</f>
        <v>3213</v>
      </c>
      <c r="BH142" cm="1">
        <f t="array" ref="BH142">SUM(IF(Cocina!A:A=Tabla4[[#This Row],[Número de Orden]],Cocina!F:F*Cocina!G:G,0))</f>
        <v>191</v>
      </c>
      <c r="BI142" t="str">
        <f>sala!J141</f>
        <v>Libre</v>
      </c>
      <c r="BJ142" s="4" t="str">
        <f>IF(Tabla4[[#This Row],[Estado mesa]]="Ocupada","00:15","00:00")</f>
        <v>00:00</v>
      </c>
      <c r="BK142" cm="1">
        <f t="array" ref="BK142">SUM(IF(Cocina!A:A=Tabla4[[#This Row],[Número de Orden]],Cocina!H:H,0))</f>
        <v>118</v>
      </c>
    </row>
    <row r="143" spans="1:63" x14ac:dyDescent="0.3">
      <c r="A143" s="8" t="str">
        <f>MID(Tabla4[[#This Row],[Cliente]], SEARCH("_", Tabla4[[#This Row],[Cliente]]) + 1, LEN(Tabla4[[#This Row],[Cliente]]) - SEARCH("_",Tabla4[[#This Row],[Cliente]]))</f>
        <v>569</v>
      </c>
      <c r="B143">
        <f>sala!K142</f>
        <v>141</v>
      </c>
      <c r="C143">
        <f>Tabla4[[#This Row],[Propina]]+Tabla4[[#This Row],[Precio Cena]]</f>
        <v>4177</v>
      </c>
      <c r="D143" s="3">
        <f>INT(sala!E142)</f>
        <v>45018</v>
      </c>
      <c r="E143" s="4">
        <f>MOD( sala!D142,1)</f>
        <v>8.1944444442342501E-2</v>
      </c>
      <c r="F143" s="4">
        <f>MOD( sala!E142,1)</f>
        <v>0.23958333333575865</v>
      </c>
      <c r="G143" s="4">
        <f>Tabla5[[#This Row],[Hora de Salida]]-Tabla5[[#This Row],[Hora de Llegada]]+Tabla4[[#This Row],[Tiempo Extra]]</f>
        <v>0.15763888889341615</v>
      </c>
      <c r="H143" s="5" t="str">
        <f>TEXT(Tabla4[[#This Row],[Preparación en horas]]/1440, "h:mm")</f>
        <v>0:28</v>
      </c>
      <c r="I143" s="4">
        <f>IF(Tabla5[[#This Row],[Tiempo Permanencia]]-Tabla5[[#This Row],[Tiempo de Preparación ]]&gt;=0,Tabla5[[#This Row],[Tiempo Permanencia]]-Tabla5[[#This Row],[Tiempo de Preparación ]],0)</f>
        <v>0.13819444444897172</v>
      </c>
      <c r="J143" s="5" t="str">
        <f>IF(Tabla5[[#This Row],[Tiempo de Degustación]]=0,"No Cobrada","Cobrada")</f>
        <v>Cobrada</v>
      </c>
      <c r="K143" s="5" cm="1">
        <f t="array" ref="K143">SUM(IF(Tabla5[[#This Row],[Orden Cobrada]]="Cobrada",IF(Cocina!A:A=Tabla5[[#This Row],[Nº Orden]],Cocina!F:F*Cocina!G:G,0),-Tabla6[[#This Row],[Precio Cena]]))</f>
        <v>21</v>
      </c>
      <c r="L143" s="5">
        <f>IF(Tabla5[[#This Row],[Orden Cobrada]]="Cobrada",Tabla5[[#This Row],[Ganancia Bruta]]-Tabla6[[#This Row],[Coste Cena]],-Tabla6[[#This Row],[Precio Cena]]+Tabla6[[#This Row],[Coste Cena]])</f>
        <v>8</v>
      </c>
      <c r="M143" s="10">
        <f>IF(Tabla5[[#This Row],[Orden Cobrada]]="Cobrada",((Tabla5[[#This Row],[Ganancia Neta]]/Tabla5[[#This Row],[Ganancia Bruta]])*100)/100,-((Tabla5[[#This Row],[Ganancia Neta]]/Tabla5[[#This Row],[Ganancia Bruta]]*100)/100))</f>
        <v>0.38095238095238093</v>
      </c>
      <c r="N143" s="5" t="str">
        <f>sala!F142</f>
        <v>Mesero_3</v>
      </c>
      <c r="AY143" cm="1">
        <f t="array" ref="AY143">SUM(IF(Cocina!A:A=Tabla5[[#This Row],[Nº Orden]],Cocina!F:F*Cocina!G:G,0))</f>
        <v>21</v>
      </c>
      <c r="AZ143" cm="1">
        <f t="array" ref="AZ143">SUM(IF(Cocina!A:A=Tabla5[[#This Row],[Nº Orden]],Cocina!E:E*Cocina!G:G,0))</f>
        <v>13</v>
      </c>
      <c r="BB143" t="str">
        <f>MID(Tabla4[[#This Row],[Cliente]], SEARCH("_", Tabla4[[#This Row],[Cliente]]) + 1, LEN(Tabla4[[#This Row],[Cliente]]) - SEARCH("_",Tabla4[[#This Row],[Cliente]]))</f>
        <v>569</v>
      </c>
      <c r="BC143" t="str">
        <f>sala!B142</f>
        <v>Cliente_569</v>
      </c>
      <c r="BD143" s="1">
        <f>sala!D142</f>
        <v>45018.081944444442</v>
      </c>
      <c r="BE143" s="1">
        <f>sala!E142</f>
        <v>45018.239583333336</v>
      </c>
      <c r="BF143">
        <f>sala!K142</f>
        <v>141</v>
      </c>
      <c r="BG143">
        <f>sala!I142</f>
        <v>4156</v>
      </c>
      <c r="BH143" cm="1">
        <f t="array" ref="BH143">SUM(IF(Cocina!A:A=Tabla4[[#This Row],[Número de Orden]],Cocina!F:F*Cocina!G:G,0))</f>
        <v>21</v>
      </c>
      <c r="BI143" t="str">
        <f>sala!J142</f>
        <v>Reservada</v>
      </c>
      <c r="BJ143" s="4" t="str">
        <f>IF(Tabla4[[#This Row],[Estado mesa]]="Ocupada","00:15","00:00")</f>
        <v>00:00</v>
      </c>
      <c r="BK143" cm="1">
        <f t="array" ref="BK143">SUM(IF(Cocina!A:A=Tabla4[[#This Row],[Número de Orden]],Cocina!H:H,0))</f>
        <v>28</v>
      </c>
    </row>
    <row r="144" spans="1:63" x14ac:dyDescent="0.3">
      <c r="A144" s="8" t="str">
        <f>MID(Tabla4[[#This Row],[Cliente]], SEARCH("_", Tabla4[[#This Row],[Cliente]]) + 1, LEN(Tabla4[[#This Row],[Cliente]]) - SEARCH("_",Tabla4[[#This Row],[Cliente]]))</f>
        <v>286</v>
      </c>
      <c r="B144">
        <f>sala!K143</f>
        <v>142</v>
      </c>
      <c r="C144">
        <f>Tabla4[[#This Row],[Propina]]+Tabla4[[#This Row],[Precio Cena]]</f>
        <v>1810</v>
      </c>
      <c r="D144" s="3">
        <f>INT(sala!E143)</f>
        <v>45018</v>
      </c>
      <c r="E144" s="4">
        <f>MOD( sala!D143,1)</f>
        <v>8.6805555554747116E-2</v>
      </c>
      <c r="F144" s="4">
        <f>MOD( sala!E143,1)</f>
        <v>0.17013888889050577</v>
      </c>
      <c r="G144" s="4">
        <f>Tabla5[[#This Row],[Hora de Salida]]-Tabla5[[#This Row],[Hora de Llegada]]+Tabla4[[#This Row],[Tiempo Extra]]</f>
        <v>9.3750000002425324E-2</v>
      </c>
      <c r="H144" s="5" t="str">
        <f>TEXT(Tabla4[[#This Row],[Preparación en horas]]/1440, "h:mm")</f>
        <v>1:10</v>
      </c>
      <c r="I144" s="4">
        <f>IF(Tabla5[[#This Row],[Tiempo Permanencia]]-Tabla5[[#This Row],[Tiempo de Preparación ]]&gt;=0,Tabla5[[#This Row],[Tiempo Permanencia]]-Tabla5[[#This Row],[Tiempo de Preparación ]],0)</f>
        <v>4.5138888891314212E-2</v>
      </c>
      <c r="J144" s="5" t="str">
        <f>IF(Tabla5[[#This Row],[Tiempo de Degustación]]=0,"No Cobrada","Cobrada")</f>
        <v>Cobrada</v>
      </c>
      <c r="K144" s="5" cm="1">
        <f t="array" ref="K144">SUM(IF(Tabla5[[#This Row],[Orden Cobrada]]="Cobrada",IF(Cocina!A:A=Tabla5[[#This Row],[Nº Orden]],Cocina!F:F*Cocina!G:G,0),-Tabla6[[#This Row],[Precio Cena]]))</f>
        <v>181</v>
      </c>
      <c r="L144" s="5">
        <f>IF(Tabla5[[#This Row],[Orden Cobrada]]="Cobrada",Tabla5[[#This Row],[Ganancia Bruta]]-Tabla6[[#This Row],[Coste Cena]],-Tabla6[[#This Row],[Precio Cena]]+Tabla6[[#This Row],[Coste Cena]])</f>
        <v>72</v>
      </c>
      <c r="M144" s="10">
        <f>IF(Tabla5[[#This Row],[Orden Cobrada]]="Cobrada",((Tabla5[[#This Row],[Ganancia Neta]]/Tabla5[[#This Row],[Ganancia Bruta]])*100)/100,-((Tabla5[[#This Row],[Ganancia Neta]]/Tabla5[[#This Row],[Ganancia Bruta]]*100)/100))</f>
        <v>0.39779005524861882</v>
      </c>
      <c r="N144" s="5" t="str">
        <f>sala!F143</f>
        <v>Mesero_4</v>
      </c>
      <c r="AY144" cm="1">
        <f t="array" ref="AY144">SUM(IF(Cocina!A:A=Tabla5[[#This Row],[Nº Orden]],Cocina!F:F*Cocina!G:G,0))</f>
        <v>181</v>
      </c>
      <c r="AZ144" cm="1">
        <f t="array" ref="AZ144">SUM(IF(Cocina!A:A=Tabla5[[#This Row],[Nº Orden]],Cocina!E:E*Cocina!G:G,0))</f>
        <v>109</v>
      </c>
      <c r="BB144" t="str">
        <f>MID(Tabla4[[#This Row],[Cliente]], SEARCH("_", Tabla4[[#This Row],[Cliente]]) + 1, LEN(Tabla4[[#This Row],[Cliente]]) - SEARCH("_",Tabla4[[#This Row],[Cliente]]))</f>
        <v>286</v>
      </c>
      <c r="BC144" t="str">
        <f>sala!B143</f>
        <v>Cliente_286</v>
      </c>
      <c r="BD144" s="1">
        <f>sala!D143</f>
        <v>45018.086805555555</v>
      </c>
      <c r="BE144" s="1">
        <f>sala!E143</f>
        <v>45018.170138888891</v>
      </c>
      <c r="BF144">
        <f>sala!K143</f>
        <v>142</v>
      </c>
      <c r="BG144">
        <f>sala!I143</f>
        <v>1629</v>
      </c>
      <c r="BH144" cm="1">
        <f t="array" ref="BH144">SUM(IF(Cocina!A:A=Tabla4[[#This Row],[Número de Orden]],Cocina!F:F*Cocina!G:G,0))</f>
        <v>181</v>
      </c>
      <c r="BI144" t="str">
        <f>sala!J143</f>
        <v>Ocupada</v>
      </c>
      <c r="BJ144" s="4" t="str">
        <f>IF(Tabla4[[#This Row],[Estado mesa]]="Ocupada","00:15","00:00")</f>
        <v>00:15</v>
      </c>
      <c r="BK144" cm="1">
        <f t="array" ref="BK144">SUM(IF(Cocina!A:A=Tabla4[[#This Row],[Número de Orden]],Cocina!H:H,0))</f>
        <v>70</v>
      </c>
    </row>
    <row r="145" spans="1:63" x14ac:dyDescent="0.3">
      <c r="A145" s="8" t="str">
        <f>MID(Tabla4[[#This Row],[Cliente]], SEARCH("_", Tabla4[[#This Row],[Cliente]]) + 1, LEN(Tabla4[[#This Row],[Cliente]]) - SEARCH("_",Tabla4[[#This Row],[Cliente]]))</f>
        <v>199</v>
      </c>
      <c r="B145">
        <f>sala!K144</f>
        <v>143</v>
      </c>
      <c r="C145">
        <f>Tabla4[[#This Row],[Propina]]+Tabla4[[#This Row],[Precio Cena]]</f>
        <v>4876</v>
      </c>
      <c r="D145" s="3">
        <f>INT(sala!E144)</f>
        <v>45018</v>
      </c>
      <c r="E145" s="4">
        <f>MOD( sala!D144,1)</f>
        <v>2.2222222221898846E-2</v>
      </c>
      <c r="F145" s="4">
        <f>MOD( sala!E144,1)</f>
        <v>0.1875</v>
      </c>
      <c r="G145" s="4">
        <f>Tabla5[[#This Row],[Hora de Salida]]-Tabla5[[#This Row],[Hora de Llegada]]+Tabla4[[#This Row],[Tiempo Extra]]</f>
        <v>0.16527777777810115</v>
      </c>
      <c r="H145" s="5" t="str">
        <f>TEXT(Tabla4[[#This Row],[Preparación en horas]]/1440, "h:mm")</f>
        <v>0:16</v>
      </c>
      <c r="I145" s="4">
        <f>IF(Tabla5[[#This Row],[Tiempo Permanencia]]-Tabla5[[#This Row],[Tiempo de Preparación ]]&gt;=0,Tabla5[[#This Row],[Tiempo Permanencia]]-Tabla5[[#This Row],[Tiempo de Preparación ]],0)</f>
        <v>0.15416666666699005</v>
      </c>
      <c r="J145" s="5" t="str">
        <f>IF(Tabla5[[#This Row],[Tiempo de Degustación]]=0,"No Cobrada","Cobrada")</f>
        <v>Cobrada</v>
      </c>
      <c r="K145" s="5" cm="1">
        <f t="array" ref="K145">SUM(IF(Tabla5[[#This Row],[Orden Cobrada]]="Cobrada",IF(Cocina!A:A=Tabla5[[#This Row],[Nº Orden]],Cocina!F:F*Cocina!G:G,0),-Tabla6[[#This Row],[Precio Cena]]))</f>
        <v>50</v>
      </c>
      <c r="L145" s="5">
        <f>IF(Tabla5[[#This Row],[Orden Cobrada]]="Cobrada",Tabla5[[#This Row],[Ganancia Bruta]]-Tabla6[[#This Row],[Coste Cena]],-Tabla6[[#This Row],[Precio Cena]]+Tabla6[[#This Row],[Coste Cena]])</f>
        <v>20</v>
      </c>
      <c r="M145" s="10">
        <f>IF(Tabla5[[#This Row],[Orden Cobrada]]="Cobrada",((Tabla5[[#This Row],[Ganancia Neta]]/Tabla5[[#This Row],[Ganancia Bruta]])*100)/100,-((Tabla5[[#This Row],[Ganancia Neta]]/Tabla5[[#This Row],[Ganancia Bruta]]*100)/100))</f>
        <v>0.4</v>
      </c>
      <c r="N145" s="5" t="str">
        <f>sala!F144</f>
        <v>Mesero_4</v>
      </c>
      <c r="AY145" cm="1">
        <f t="array" ref="AY145">SUM(IF(Cocina!A:A=Tabla5[[#This Row],[Nº Orden]],Cocina!F:F*Cocina!G:G,0))</f>
        <v>50</v>
      </c>
      <c r="AZ145" cm="1">
        <f t="array" ref="AZ145">SUM(IF(Cocina!A:A=Tabla5[[#This Row],[Nº Orden]],Cocina!E:E*Cocina!G:G,0))</f>
        <v>30</v>
      </c>
      <c r="BB145" t="str">
        <f>MID(Tabla4[[#This Row],[Cliente]], SEARCH("_", Tabla4[[#This Row],[Cliente]]) + 1, LEN(Tabla4[[#This Row],[Cliente]]) - SEARCH("_",Tabla4[[#This Row],[Cliente]]))</f>
        <v>199</v>
      </c>
      <c r="BC145" t="str">
        <f>sala!B144</f>
        <v>Cliente_199</v>
      </c>
      <c r="BD145" s="1">
        <f>sala!D144</f>
        <v>45018.022222222222</v>
      </c>
      <c r="BE145" s="1">
        <f>sala!E144</f>
        <v>45018.1875</v>
      </c>
      <c r="BF145">
        <f>sala!K144</f>
        <v>143</v>
      </c>
      <c r="BG145">
        <f>sala!I144</f>
        <v>4826</v>
      </c>
      <c r="BH145" cm="1">
        <f t="array" ref="BH145">SUM(IF(Cocina!A:A=Tabla4[[#This Row],[Número de Orden]],Cocina!F:F*Cocina!G:G,0))</f>
        <v>50</v>
      </c>
      <c r="BI145" t="str">
        <f>sala!J144</f>
        <v>Libre</v>
      </c>
      <c r="BJ145" s="4" t="str">
        <f>IF(Tabla4[[#This Row],[Estado mesa]]="Ocupada","00:15","00:00")</f>
        <v>00:00</v>
      </c>
      <c r="BK145" cm="1">
        <f t="array" ref="BK145">SUM(IF(Cocina!A:A=Tabla4[[#This Row],[Número de Orden]],Cocina!H:H,0))</f>
        <v>16</v>
      </c>
    </row>
    <row r="146" spans="1:63" x14ac:dyDescent="0.3">
      <c r="A146" s="8" t="str">
        <f>MID(Tabla4[[#This Row],[Cliente]], SEARCH("_", Tabla4[[#This Row],[Cliente]]) + 1, LEN(Tabla4[[#This Row],[Cliente]]) - SEARCH("_",Tabla4[[#This Row],[Cliente]]))</f>
        <v>712</v>
      </c>
      <c r="B146">
        <f>sala!K145</f>
        <v>144</v>
      </c>
      <c r="C146">
        <f>Tabla4[[#This Row],[Propina]]+Tabla4[[#This Row],[Precio Cena]]</f>
        <v>1307</v>
      </c>
      <c r="D146" s="3">
        <f>INT(sala!E145)</f>
        <v>45018</v>
      </c>
      <c r="E146" s="4">
        <f>MOD( sala!D145,1)</f>
        <v>0.12361111111385981</v>
      </c>
      <c r="F146" s="4">
        <f>MOD( sala!E145,1)</f>
        <v>0.2305555555576575</v>
      </c>
      <c r="G146" s="4">
        <f>Tabla5[[#This Row],[Hora de Salida]]-Tabla5[[#This Row],[Hora de Llegada]]+Tabla4[[#This Row],[Tiempo Extra]]</f>
        <v>0.11736111111046436</v>
      </c>
      <c r="H146" s="5" t="str">
        <f>TEXT(Tabla4[[#This Row],[Preparación en horas]]/1440, "h:mm")</f>
        <v>2:30</v>
      </c>
      <c r="I146" s="4">
        <f>IF(Tabla5[[#This Row],[Tiempo Permanencia]]-Tabla5[[#This Row],[Tiempo de Preparación ]]&gt;=0,Tabla5[[#This Row],[Tiempo Permanencia]]-Tabla5[[#This Row],[Tiempo de Preparación ]],0)</f>
        <v>1.3194444443797693E-2</v>
      </c>
      <c r="J146" s="5" t="str">
        <f>IF(Tabla5[[#This Row],[Tiempo de Degustación]]=0,"No Cobrada","Cobrada")</f>
        <v>Cobrada</v>
      </c>
      <c r="K146" s="5" cm="1">
        <f t="array" ref="K146">SUM(IF(Tabla5[[#This Row],[Orden Cobrada]]="Cobrada",IF(Cocina!A:A=Tabla5[[#This Row],[Nº Orden]],Cocina!F:F*Cocina!G:G,0),-Tabla6[[#This Row],[Precio Cena]]))</f>
        <v>185</v>
      </c>
      <c r="L146" s="5">
        <f>IF(Tabla5[[#This Row],[Orden Cobrada]]="Cobrada",Tabla5[[#This Row],[Ganancia Bruta]]-Tabla6[[#This Row],[Coste Cena]],-Tabla6[[#This Row],[Precio Cena]]+Tabla6[[#This Row],[Coste Cena]])</f>
        <v>76</v>
      </c>
      <c r="M146" s="10">
        <f>IF(Tabla5[[#This Row],[Orden Cobrada]]="Cobrada",((Tabla5[[#This Row],[Ganancia Neta]]/Tabla5[[#This Row],[Ganancia Bruta]])*100)/100,-((Tabla5[[#This Row],[Ganancia Neta]]/Tabla5[[#This Row],[Ganancia Bruta]]*100)/100))</f>
        <v>0.41081081081081083</v>
      </c>
      <c r="N146" s="5" t="str">
        <f>sala!F145</f>
        <v>Mesero_4</v>
      </c>
      <c r="AY146" cm="1">
        <f t="array" ref="AY146">SUM(IF(Cocina!A:A=Tabla5[[#This Row],[Nº Orden]],Cocina!F:F*Cocina!G:G,0))</f>
        <v>185</v>
      </c>
      <c r="AZ146" cm="1">
        <f t="array" ref="AZ146">SUM(IF(Cocina!A:A=Tabla5[[#This Row],[Nº Orden]],Cocina!E:E*Cocina!G:G,0))</f>
        <v>109</v>
      </c>
      <c r="BB146" t="str">
        <f>MID(Tabla4[[#This Row],[Cliente]], SEARCH("_", Tabla4[[#This Row],[Cliente]]) + 1, LEN(Tabla4[[#This Row],[Cliente]]) - SEARCH("_",Tabla4[[#This Row],[Cliente]]))</f>
        <v>712</v>
      </c>
      <c r="BC146" t="str">
        <f>sala!B145</f>
        <v>Cliente_712</v>
      </c>
      <c r="BD146" s="1">
        <f>sala!D145</f>
        <v>45018.123611111114</v>
      </c>
      <c r="BE146" s="1">
        <f>sala!E145</f>
        <v>45018.230555555558</v>
      </c>
      <c r="BF146">
        <f>sala!K145</f>
        <v>144</v>
      </c>
      <c r="BG146">
        <f>sala!I145</f>
        <v>1122</v>
      </c>
      <c r="BH146" cm="1">
        <f t="array" ref="BH146">SUM(IF(Cocina!A:A=Tabla4[[#This Row],[Número de Orden]],Cocina!F:F*Cocina!G:G,0))</f>
        <v>185</v>
      </c>
      <c r="BI146" t="str">
        <f>sala!J145</f>
        <v>Ocupada</v>
      </c>
      <c r="BJ146" s="4" t="str">
        <f>IF(Tabla4[[#This Row],[Estado mesa]]="Ocupada","00:15","00:00")</f>
        <v>00:15</v>
      </c>
      <c r="BK146" cm="1">
        <f t="array" ref="BK146">SUM(IF(Cocina!A:A=Tabla4[[#This Row],[Número de Orden]],Cocina!H:H,0))</f>
        <v>150</v>
      </c>
    </row>
    <row r="147" spans="1:63" x14ac:dyDescent="0.3">
      <c r="A147" s="8" t="str">
        <f>MID(Tabla4[[#This Row],[Cliente]], SEARCH("_", Tabla4[[#This Row],[Cliente]]) + 1, LEN(Tabla4[[#This Row],[Cliente]]) - SEARCH("_",Tabla4[[#This Row],[Cliente]]))</f>
        <v>56</v>
      </c>
      <c r="B147">
        <f>sala!K146</f>
        <v>145</v>
      </c>
      <c r="C147">
        <f>Tabla4[[#This Row],[Propina]]+Tabla4[[#This Row],[Precio Cena]]</f>
        <v>1258</v>
      </c>
      <c r="D147" s="3">
        <f>INT(sala!E146)</f>
        <v>45018</v>
      </c>
      <c r="E147" s="4">
        <f>MOD( sala!D146,1)</f>
        <v>2.569444444088731E-2</v>
      </c>
      <c r="F147" s="4">
        <f>MOD( sala!E146,1)</f>
        <v>7.0833333331393078E-2</v>
      </c>
      <c r="G147" s="4">
        <f>Tabla5[[#This Row],[Hora de Salida]]-Tabla5[[#This Row],[Hora de Llegada]]+Tabla4[[#This Row],[Tiempo Extra]]</f>
        <v>5.5555555557172433E-2</v>
      </c>
      <c r="H147" s="5" t="str">
        <f>TEXT(Tabla4[[#This Row],[Preparación en horas]]/1440, "h:mm")</f>
        <v>1:46</v>
      </c>
      <c r="I147" s="4">
        <f>IF(Tabla5[[#This Row],[Tiempo Permanencia]]-Tabla5[[#This Row],[Tiempo de Preparación ]]&gt;=0,Tabla5[[#This Row],[Tiempo Permanencia]]-Tabla5[[#This Row],[Tiempo de Preparación ]],0)</f>
        <v>0</v>
      </c>
      <c r="J147" s="5" t="str">
        <f>IF(Tabla5[[#This Row],[Tiempo de Degustación]]=0,"No Cobrada","Cobrada")</f>
        <v>No Cobrada</v>
      </c>
      <c r="K147" s="5" cm="1">
        <f t="array" ref="K147">SUM(IF(Tabla5[[#This Row],[Orden Cobrada]]="Cobrada",IF(Cocina!A:A=Tabla5[[#This Row],[Nº Orden]],Cocina!F:F*Cocina!G:G,0),-Tabla6[[#This Row],[Precio Cena]]))</f>
        <v>-126</v>
      </c>
      <c r="L147" s="5">
        <f>IF(Tabla5[[#This Row],[Orden Cobrada]]="Cobrada",Tabla5[[#This Row],[Ganancia Bruta]]-Tabla6[[#This Row],[Coste Cena]],-Tabla6[[#This Row],[Precio Cena]]+Tabla6[[#This Row],[Coste Cena]])</f>
        <v>-51</v>
      </c>
      <c r="M147" s="10">
        <f>IF(Tabla5[[#This Row],[Orden Cobrada]]="Cobrada",((Tabla5[[#This Row],[Ganancia Neta]]/Tabla5[[#This Row],[Ganancia Bruta]])*100)/100,-((Tabla5[[#This Row],[Ganancia Neta]]/Tabla5[[#This Row],[Ganancia Bruta]]*100)/100))</f>
        <v>-0.40476190476190477</v>
      </c>
      <c r="N147" s="5" t="str">
        <f>sala!F146</f>
        <v>Mesero_2</v>
      </c>
      <c r="AY147" cm="1">
        <f t="array" ref="AY147">SUM(IF(Cocina!A:A=Tabla5[[#This Row],[Nº Orden]],Cocina!F:F*Cocina!G:G,0))</f>
        <v>126</v>
      </c>
      <c r="AZ147" cm="1">
        <f t="array" ref="AZ147">SUM(IF(Cocina!A:A=Tabla5[[#This Row],[Nº Orden]],Cocina!E:E*Cocina!G:G,0))</f>
        <v>75</v>
      </c>
      <c r="BB147" t="str">
        <f>MID(Tabla4[[#This Row],[Cliente]], SEARCH("_", Tabla4[[#This Row],[Cliente]]) + 1, LEN(Tabla4[[#This Row],[Cliente]]) - SEARCH("_",Tabla4[[#This Row],[Cliente]]))</f>
        <v>56</v>
      </c>
      <c r="BC147" t="str">
        <f>sala!B146</f>
        <v>Cliente_56</v>
      </c>
      <c r="BD147" s="1">
        <f>sala!D146</f>
        <v>45018.025694444441</v>
      </c>
      <c r="BE147" s="1">
        <f>sala!E146</f>
        <v>45018.070833333331</v>
      </c>
      <c r="BF147">
        <f>sala!K146</f>
        <v>145</v>
      </c>
      <c r="BG147">
        <f>sala!I146</f>
        <v>1132</v>
      </c>
      <c r="BH147" cm="1">
        <f t="array" ref="BH147">SUM(IF(Cocina!A:A=Tabla4[[#This Row],[Número de Orden]],Cocina!F:F*Cocina!G:G,0))</f>
        <v>126</v>
      </c>
      <c r="BI147" t="str">
        <f>sala!J146</f>
        <v>Ocupada</v>
      </c>
      <c r="BJ147" s="4" t="str">
        <f>IF(Tabla4[[#This Row],[Estado mesa]]="Ocupada","00:15","00:00")</f>
        <v>00:15</v>
      </c>
      <c r="BK147" cm="1">
        <f t="array" ref="BK147">SUM(IF(Cocina!A:A=Tabla4[[#This Row],[Número de Orden]],Cocina!H:H,0))</f>
        <v>106</v>
      </c>
    </row>
    <row r="148" spans="1:63" x14ac:dyDescent="0.3">
      <c r="A148" s="8" t="str">
        <f>MID(Tabla4[[#This Row],[Cliente]], SEARCH("_", Tabla4[[#This Row],[Cliente]]) + 1, LEN(Tabla4[[#This Row],[Cliente]]) - SEARCH("_",Tabla4[[#This Row],[Cliente]]))</f>
        <v>670</v>
      </c>
      <c r="B148">
        <f>sala!K147</f>
        <v>146</v>
      </c>
      <c r="C148">
        <f>Tabla4[[#This Row],[Propina]]+Tabla4[[#This Row],[Precio Cena]]</f>
        <v>446</v>
      </c>
      <c r="D148" s="3">
        <f>INT(sala!E147)</f>
        <v>45018</v>
      </c>
      <c r="E148" s="4">
        <f>MOD( sala!D147,1)</f>
        <v>6.9444444445252884E-2</v>
      </c>
      <c r="F148" s="4">
        <f>MOD( sala!E147,1)</f>
        <v>0.12083333333430346</v>
      </c>
      <c r="G148" s="4">
        <f>Tabla5[[#This Row],[Hora de Salida]]-Tabla5[[#This Row],[Hora de Llegada]]+Tabla4[[#This Row],[Tiempo Extra]]</f>
        <v>5.1388888889050577E-2</v>
      </c>
      <c r="H148" s="5" t="str">
        <f>TEXT(Tabla4[[#This Row],[Preparación en horas]]/1440, "h:mm")</f>
        <v>0:47</v>
      </c>
      <c r="I148" s="4">
        <f>IF(Tabla5[[#This Row],[Tiempo Permanencia]]-Tabla5[[#This Row],[Tiempo de Preparación ]]&gt;=0,Tabla5[[#This Row],[Tiempo Permanencia]]-Tabla5[[#This Row],[Tiempo de Preparación ]],0)</f>
        <v>1.8750000000161686E-2</v>
      </c>
      <c r="J148" s="5" t="str">
        <f>IF(Tabla5[[#This Row],[Tiempo de Degustación]]=0,"No Cobrada","Cobrada")</f>
        <v>Cobrada</v>
      </c>
      <c r="K148" s="5" cm="1">
        <f t="array" ref="K148">SUM(IF(Tabla5[[#This Row],[Orden Cobrada]]="Cobrada",IF(Cocina!A:A=Tabla5[[#This Row],[Nº Orden]],Cocina!F:F*Cocina!G:G,0),-Tabla6[[#This Row],[Precio Cena]]))</f>
        <v>62</v>
      </c>
      <c r="L148" s="5">
        <f>IF(Tabla5[[#This Row],[Orden Cobrada]]="Cobrada",Tabla5[[#This Row],[Ganancia Bruta]]-Tabla6[[#This Row],[Coste Cena]],-Tabla6[[#This Row],[Precio Cena]]+Tabla6[[#This Row],[Coste Cena]])</f>
        <v>24</v>
      </c>
      <c r="M148" s="10">
        <f>IF(Tabla5[[#This Row],[Orden Cobrada]]="Cobrada",((Tabla5[[#This Row],[Ganancia Neta]]/Tabla5[[#This Row],[Ganancia Bruta]])*100)/100,-((Tabla5[[#This Row],[Ganancia Neta]]/Tabla5[[#This Row],[Ganancia Bruta]]*100)/100))</f>
        <v>0.38709677419354838</v>
      </c>
      <c r="N148" s="5" t="str">
        <f>sala!F147</f>
        <v>Mesero_3</v>
      </c>
      <c r="AY148" cm="1">
        <f t="array" ref="AY148">SUM(IF(Cocina!A:A=Tabla5[[#This Row],[Nº Orden]],Cocina!F:F*Cocina!G:G,0))</f>
        <v>62</v>
      </c>
      <c r="AZ148" cm="1">
        <f t="array" ref="AZ148">SUM(IF(Cocina!A:A=Tabla5[[#This Row],[Nº Orden]],Cocina!E:E*Cocina!G:G,0))</f>
        <v>38</v>
      </c>
      <c r="BB148" t="str">
        <f>MID(Tabla4[[#This Row],[Cliente]], SEARCH("_", Tabla4[[#This Row],[Cliente]]) + 1, LEN(Tabla4[[#This Row],[Cliente]]) - SEARCH("_",Tabla4[[#This Row],[Cliente]]))</f>
        <v>670</v>
      </c>
      <c r="BC148" t="str">
        <f>sala!B147</f>
        <v>Cliente_670</v>
      </c>
      <c r="BD148" s="1">
        <f>sala!D147</f>
        <v>45018.069444444445</v>
      </c>
      <c r="BE148" s="1">
        <f>sala!E147</f>
        <v>45018.120833333334</v>
      </c>
      <c r="BF148">
        <f>sala!K147</f>
        <v>146</v>
      </c>
      <c r="BG148">
        <f>sala!I147</f>
        <v>384</v>
      </c>
      <c r="BH148" cm="1">
        <f t="array" ref="BH148">SUM(IF(Cocina!A:A=Tabla4[[#This Row],[Número de Orden]],Cocina!F:F*Cocina!G:G,0))</f>
        <v>62</v>
      </c>
      <c r="BI148" t="str">
        <f>sala!J147</f>
        <v>Reservada</v>
      </c>
      <c r="BJ148" s="4" t="str">
        <f>IF(Tabla4[[#This Row],[Estado mesa]]="Ocupada","00:15","00:00")</f>
        <v>00:00</v>
      </c>
      <c r="BK148" cm="1">
        <f t="array" ref="BK148">SUM(IF(Cocina!A:A=Tabla4[[#This Row],[Número de Orden]],Cocina!H:H,0))</f>
        <v>47</v>
      </c>
    </row>
    <row r="149" spans="1:63" x14ac:dyDescent="0.3">
      <c r="A149" s="8" t="str">
        <f>MID(Tabla4[[#This Row],[Cliente]], SEARCH("_", Tabla4[[#This Row],[Cliente]]) + 1, LEN(Tabla4[[#This Row],[Cliente]]) - SEARCH("_",Tabla4[[#This Row],[Cliente]]))</f>
        <v>909</v>
      </c>
      <c r="B149">
        <f>sala!K148</f>
        <v>147</v>
      </c>
      <c r="C149">
        <f>Tabla4[[#This Row],[Propina]]+Tabla4[[#This Row],[Precio Cena]]</f>
        <v>2798</v>
      </c>
      <c r="D149" s="3">
        <f>INT(sala!E148)</f>
        <v>45018</v>
      </c>
      <c r="E149" s="4">
        <f>MOD( sala!D148,1)</f>
        <v>0.13749999999708962</v>
      </c>
      <c r="F149" s="4">
        <f>MOD( sala!E148,1)</f>
        <v>0.2069444444423425</v>
      </c>
      <c r="G149" s="4">
        <f>Tabla5[[#This Row],[Hora de Salida]]-Tabla5[[#This Row],[Hora de Llegada]]+Tabla4[[#This Row],[Tiempo Extra]]</f>
        <v>6.9444444445252884E-2</v>
      </c>
      <c r="H149" s="5" t="str">
        <f>TEXT(Tabla4[[#This Row],[Preparación en horas]]/1440, "h:mm")</f>
        <v>0:33</v>
      </c>
      <c r="I149" s="4">
        <f>IF(Tabla5[[#This Row],[Tiempo Permanencia]]-Tabla5[[#This Row],[Tiempo de Preparación ]]&gt;=0,Tabla5[[#This Row],[Tiempo Permanencia]]-Tabla5[[#This Row],[Tiempo de Preparación ]],0)</f>
        <v>4.6527777778586216E-2</v>
      </c>
      <c r="J149" s="5" t="str">
        <f>IF(Tabla5[[#This Row],[Tiempo de Degustación]]=0,"No Cobrada","Cobrada")</f>
        <v>Cobrada</v>
      </c>
      <c r="K149" s="5" cm="1">
        <f t="array" ref="K149">SUM(IF(Tabla5[[#This Row],[Orden Cobrada]]="Cobrada",IF(Cocina!A:A=Tabla5[[#This Row],[Nº Orden]],Cocina!F:F*Cocina!G:G,0),-Tabla6[[#This Row],[Precio Cena]]))</f>
        <v>84</v>
      </c>
      <c r="L149" s="5">
        <f>IF(Tabla5[[#This Row],[Orden Cobrada]]="Cobrada",Tabla5[[#This Row],[Ganancia Bruta]]-Tabla6[[#This Row],[Coste Cena]],-Tabla6[[#This Row],[Precio Cena]]+Tabla6[[#This Row],[Coste Cena]])</f>
        <v>33</v>
      </c>
      <c r="M149" s="10">
        <f>IF(Tabla5[[#This Row],[Orden Cobrada]]="Cobrada",((Tabla5[[#This Row],[Ganancia Neta]]/Tabla5[[#This Row],[Ganancia Bruta]])*100)/100,-((Tabla5[[#This Row],[Ganancia Neta]]/Tabla5[[#This Row],[Ganancia Bruta]]*100)/100))</f>
        <v>0.39285714285714285</v>
      </c>
      <c r="N149" s="5" t="str">
        <f>sala!F148</f>
        <v>Mesero_3</v>
      </c>
      <c r="AY149" cm="1">
        <f t="array" ref="AY149">SUM(IF(Cocina!A:A=Tabla5[[#This Row],[Nº Orden]],Cocina!F:F*Cocina!G:G,0))</f>
        <v>84</v>
      </c>
      <c r="AZ149" cm="1">
        <f t="array" ref="AZ149">SUM(IF(Cocina!A:A=Tabla5[[#This Row],[Nº Orden]],Cocina!E:E*Cocina!G:G,0))</f>
        <v>51</v>
      </c>
      <c r="BB149" t="str">
        <f>MID(Tabla4[[#This Row],[Cliente]], SEARCH("_", Tabla4[[#This Row],[Cliente]]) + 1, LEN(Tabla4[[#This Row],[Cliente]]) - SEARCH("_",Tabla4[[#This Row],[Cliente]]))</f>
        <v>909</v>
      </c>
      <c r="BC149" t="str">
        <f>sala!B148</f>
        <v>Cliente_909</v>
      </c>
      <c r="BD149" s="1">
        <f>sala!D148</f>
        <v>45018.137499999997</v>
      </c>
      <c r="BE149" s="1">
        <f>sala!E148</f>
        <v>45018.206944444442</v>
      </c>
      <c r="BF149">
        <f>sala!K148</f>
        <v>147</v>
      </c>
      <c r="BG149">
        <f>sala!I148</f>
        <v>2714</v>
      </c>
      <c r="BH149" cm="1">
        <f t="array" ref="BH149">SUM(IF(Cocina!A:A=Tabla4[[#This Row],[Número de Orden]],Cocina!F:F*Cocina!G:G,0))</f>
        <v>84</v>
      </c>
      <c r="BI149" t="str">
        <f>sala!J148</f>
        <v>Reservada</v>
      </c>
      <c r="BJ149" s="4" t="str">
        <f>IF(Tabla4[[#This Row],[Estado mesa]]="Ocupada","00:15","00:00")</f>
        <v>00:00</v>
      </c>
      <c r="BK149" cm="1">
        <f t="array" ref="BK149">SUM(IF(Cocina!A:A=Tabla4[[#This Row],[Número de Orden]],Cocina!H:H,0))</f>
        <v>33</v>
      </c>
    </row>
    <row r="150" spans="1:63" x14ac:dyDescent="0.3">
      <c r="A150" s="8" t="str">
        <f>MID(Tabla4[[#This Row],[Cliente]], SEARCH("_", Tabla4[[#This Row],[Cliente]]) + 1, LEN(Tabla4[[#This Row],[Cliente]]) - SEARCH("_",Tabla4[[#This Row],[Cliente]]))</f>
        <v>402</v>
      </c>
      <c r="B150">
        <f>sala!K149</f>
        <v>148</v>
      </c>
      <c r="C150">
        <f>Tabla4[[#This Row],[Propina]]+Tabla4[[#This Row],[Precio Cena]]</f>
        <v>4838</v>
      </c>
      <c r="D150" s="3">
        <f>INT(sala!E149)</f>
        <v>45018</v>
      </c>
      <c r="E150" s="4">
        <f>MOD( sala!D149,1)</f>
        <v>0.16111111111240461</v>
      </c>
      <c r="F150" s="4">
        <f>MOD( sala!E149,1)</f>
        <v>0.24930555555329192</v>
      </c>
      <c r="G150" s="4">
        <f>Tabla5[[#This Row],[Hora de Salida]]-Tabla5[[#This Row],[Hora de Llegada]]+Tabla4[[#This Row],[Tiempo Extra]]</f>
        <v>9.8611111107553981E-2</v>
      </c>
      <c r="H150" s="5" t="str">
        <f>TEXT(Tabla4[[#This Row],[Preparación en horas]]/1440, "h:mm")</f>
        <v>2:39</v>
      </c>
      <c r="I150" s="4">
        <f>IF(Tabla5[[#This Row],[Tiempo Permanencia]]-Tabla5[[#This Row],[Tiempo de Preparación ]]&gt;=0,Tabla5[[#This Row],[Tiempo Permanencia]]-Tabla5[[#This Row],[Tiempo de Preparación ]],0)</f>
        <v>0</v>
      </c>
      <c r="J150" s="5" t="str">
        <f>IF(Tabla5[[#This Row],[Tiempo de Degustación]]=0,"No Cobrada","Cobrada")</f>
        <v>No Cobrada</v>
      </c>
      <c r="K150" s="5" cm="1">
        <f t="array" ref="K150">SUM(IF(Tabla5[[#This Row],[Orden Cobrada]]="Cobrada",IF(Cocina!A:A=Tabla5[[#This Row],[Nº Orden]],Cocina!F:F*Cocina!G:G,0),-Tabla6[[#This Row],[Precio Cena]]))</f>
        <v>-212</v>
      </c>
      <c r="L150" s="5">
        <f>IF(Tabla5[[#This Row],[Orden Cobrada]]="Cobrada",Tabla5[[#This Row],[Ganancia Bruta]]-Tabla6[[#This Row],[Coste Cena]],-Tabla6[[#This Row],[Precio Cena]]+Tabla6[[#This Row],[Coste Cena]])</f>
        <v>-87</v>
      </c>
      <c r="M150" s="10">
        <f>IF(Tabla5[[#This Row],[Orden Cobrada]]="Cobrada",((Tabla5[[#This Row],[Ganancia Neta]]/Tabla5[[#This Row],[Ganancia Bruta]])*100)/100,-((Tabla5[[#This Row],[Ganancia Neta]]/Tabla5[[#This Row],[Ganancia Bruta]]*100)/100))</f>
        <v>-0.410377358490566</v>
      </c>
      <c r="N150" s="5" t="str">
        <f>sala!F149</f>
        <v>Mesero_3</v>
      </c>
      <c r="AY150" cm="1">
        <f t="array" ref="AY150">SUM(IF(Cocina!A:A=Tabla5[[#This Row],[Nº Orden]],Cocina!F:F*Cocina!G:G,0))</f>
        <v>212</v>
      </c>
      <c r="AZ150" cm="1">
        <f t="array" ref="AZ150">SUM(IF(Cocina!A:A=Tabla5[[#This Row],[Nº Orden]],Cocina!E:E*Cocina!G:G,0))</f>
        <v>125</v>
      </c>
      <c r="BB150" t="str">
        <f>MID(Tabla4[[#This Row],[Cliente]], SEARCH("_", Tabla4[[#This Row],[Cliente]]) + 1, LEN(Tabla4[[#This Row],[Cliente]]) - SEARCH("_",Tabla4[[#This Row],[Cliente]]))</f>
        <v>402</v>
      </c>
      <c r="BC150" t="str">
        <f>sala!B149</f>
        <v>Cliente_402</v>
      </c>
      <c r="BD150" s="1">
        <f>sala!D149</f>
        <v>45018.161111111112</v>
      </c>
      <c r="BE150" s="1">
        <f>sala!E149</f>
        <v>45018.249305555553</v>
      </c>
      <c r="BF150">
        <f>sala!K149</f>
        <v>148</v>
      </c>
      <c r="BG150">
        <f>sala!I149</f>
        <v>4626</v>
      </c>
      <c r="BH150" cm="1">
        <f t="array" ref="BH150">SUM(IF(Cocina!A:A=Tabla4[[#This Row],[Número de Orden]],Cocina!F:F*Cocina!G:G,0))</f>
        <v>212</v>
      </c>
      <c r="BI150" t="str">
        <f>sala!J149</f>
        <v>Ocupada</v>
      </c>
      <c r="BJ150" s="4" t="str">
        <f>IF(Tabla4[[#This Row],[Estado mesa]]="Ocupada","00:15","00:00")</f>
        <v>00:15</v>
      </c>
      <c r="BK150" cm="1">
        <f t="array" ref="BK150">SUM(IF(Cocina!A:A=Tabla4[[#This Row],[Número de Orden]],Cocina!H:H,0))</f>
        <v>159</v>
      </c>
    </row>
    <row r="151" spans="1:63" x14ac:dyDescent="0.3">
      <c r="A151" s="8" t="str">
        <f>MID(Tabla4[[#This Row],[Cliente]], SEARCH("_", Tabla4[[#This Row],[Cliente]]) + 1, LEN(Tabla4[[#This Row],[Cliente]]) - SEARCH("_",Tabla4[[#This Row],[Cliente]]))</f>
        <v>709</v>
      </c>
      <c r="B151">
        <f>sala!K150</f>
        <v>149</v>
      </c>
      <c r="C151">
        <f>Tabla4[[#This Row],[Propina]]+Tabla4[[#This Row],[Precio Cena]]</f>
        <v>1818</v>
      </c>
      <c r="D151" s="3">
        <f>INT(sala!E150)</f>
        <v>45018</v>
      </c>
      <c r="E151" s="4">
        <f>MOD( sala!D150,1)</f>
        <v>6.5972222218988463E-2</v>
      </c>
      <c r="F151" s="4">
        <f>MOD( sala!E150,1)</f>
        <v>0.20138888889050577</v>
      </c>
      <c r="G151" s="4">
        <f>Tabla5[[#This Row],[Hora de Salida]]-Tabla5[[#This Row],[Hora de Llegada]]+Tabla4[[#This Row],[Tiempo Extra]]</f>
        <v>0.14583333333818396</v>
      </c>
      <c r="H151" s="5" t="str">
        <f>TEXT(Tabla4[[#This Row],[Preparación en horas]]/1440, "h:mm")</f>
        <v>2:19</v>
      </c>
      <c r="I151" s="4">
        <f>IF(Tabla5[[#This Row],[Tiempo Permanencia]]-Tabla5[[#This Row],[Tiempo de Preparación ]]&gt;=0,Tabla5[[#This Row],[Tiempo Permanencia]]-Tabla5[[#This Row],[Tiempo de Preparación ]],0)</f>
        <v>4.9305555560406181E-2</v>
      </c>
      <c r="J151" s="5" t="str">
        <f>IF(Tabla5[[#This Row],[Tiempo de Degustación]]=0,"No Cobrada","Cobrada")</f>
        <v>Cobrada</v>
      </c>
      <c r="K151" s="5" cm="1">
        <f t="array" ref="K151">SUM(IF(Tabla5[[#This Row],[Orden Cobrada]]="Cobrada",IF(Cocina!A:A=Tabla5[[#This Row],[Nº Orden]],Cocina!F:F*Cocina!G:G,0),-Tabla6[[#This Row],[Precio Cena]]))</f>
        <v>226</v>
      </c>
      <c r="L151" s="5">
        <f>IF(Tabla5[[#This Row],[Orden Cobrada]]="Cobrada",Tabla5[[#This Row],[Ganancia Bruta]]-Tabla6[[#This Row],[Coste Cena]],-Tabla6[[#This Row],[Precio Cena]]+Tabla6[[#This Row],[Coste Cena]])</f>
        <v>94</v>
      </c>
      <c r="M151" s="10">
        <f>IF(Tabla5[[#This Row],[Orden Cobrada]]="Cobrada",((Tabla5[[#This Row],[Ganancia Neta]]/Tabla5[[#This Row],[Ganancia Bruta]])*100)/100,-((Tabla5[[#This Row],[Ganancia Neta]]/Tabla5[[#This Row],[Ganancia Bruta]]*100)/100))</f>
        <v>0.41592920353982299</v>
      </c>
      <c r="N151" s="5" t="str">
        <f>sala!F150</f>
        <v>Mesero_5</v>
      </c>
      <c r="AY151" cm="1">
        <f t="array" ref="AY151">SUM(IF(Cocina!A:A=Tabla5[[#This Row],[Nº Orden]],Cocina!F:F*Cocina!G:G,0))</f>
        <v>226</v>
      </c>
      <c r="AZ151" cm="1">
        <f t="array" ref="AZ151">SUM(IF(Cocina!A:A=Tabla5[[#This Row],[Nº Orden]],Cocina!E:E*Cocina!G:G,0))</f>
        <v>132</v>
      </c>
      <c r="BB151" t="str">
        <f>MID(Tabla4[[#This Row],[Cliente]], SEARCH("_", Tabla4[[#This Row],[Cliente]]) + 1, LEN(Tabla4[[#This Row],[Cliente]]) - SEARCH("_",Tabla4[[#This Row],[Cliente]]))</f>
        <v>709</v>
      </c>
      <c r="BC151" t="str">
        <f>sala!B150</f>
        <v>Cliente_709</v>
      </c>
      <c r="BD151" s="1">
        <f>sala!D150</f>
        <v>45018.065972222219</v>
      </c>
      <c r="BE151" s="1">
        <f>sala!E150</f>
        <v>45018.201388888891</v>
      </c>
      <c r="BF151">
        <f>sala!K150</f>
        <v>149</v>
      </c>
      <c r="BG151">
        <f>sala!I150</f>
        <v>1592</v>
      </c>
      <c r="BH151" cm="1">
        <f t="array" ref="BH151">SUM(IF(Cocina!A:A=Tabla4[[#This Row],[Número de Orden]],Cocina!F:F*Cocina!G:G,0))</f>
        <v>226</v>
      </c>
      <c r="BI151" t="str">
        <f>sala!J150</f>
        <v>Ocupada</v>
      </c>
      <c r="BJ151" s="4" t="str">
        <f>IF(Tabla4[[#This Row],[Estado mesa]]="Ocupada","00:15","00:00")</f>
        <v>00:15</v>
      </c>
      <c r="BK151" cm="1">
        <f t="array" ref="BK151">SUM(IF(Cocina!A:A=Tabla4[[#This Row],[Número de Orden]],Cocina!H:H,0))</f>
        <v>139</v>
      </c>
    </row>
    <row r="152" spans="1:63" x14ac:dyDescent="0.3">
      <c r="A152" s="8" t="str">
        <f>MID(Tabla4[[#This Row],[Cliente]], SEARCH("_", Tabla4[[#This Row],[Cliente]]) + 1, LEN(Tabla4[[#This Row],[Cliente]]) - SEARCH("_",Tabla4[[#This Row],[Cliente]]))</f>
        <v>533</v>
      </c>
      <c r="B152">
        <f>sala!K151</f>
        <v>150</v>
      </c>
      <c r="C152">
        <f>Tabla4[[#This Row],[Propina]]+Tabla4[[#This Row],[Precio Cena]]</f>
        <v>4993</v>
      </c>
      <c r="D152" s="3">
        <f>INT(sala!E151)</f>
        <v>45018</v>
      </c>
      <c r="E152" s="4">
        <f>MOD( sala!D151,1)</f>
        <v>2.569444444088731E-2</v>
      </c>
      <c r="F152" s="4">
        <f>MOD( sala!E151,1)</f>
        <v>0.13194444444525288</v>
      </c>
      <c r="G152" s="4">
        <f>Tabla5[[#This Row],[Hora de Salida]]-Tabla5[[#This Row],[Hora de Llegada]]+Tabla4[[#This Row],[Tiempo Extra]]</f>
        <v>0.10625000000436557</v>
      </c>
      <c r="H152" s="5" t="str">
        <f>TEXT(Tabla4[[#This Row],[Preparación en horas]]/1440, "h:mm")</f>
        <v>1:46</v>
      </c>
      <c r="I152" s="4">
        <f>IF(Tabla5[[#This Row],[Tiempo Permanencia]]-Tabla5[[#This Row],[Tiempo de Preparación ]]&gt;=0,Tabla5[[#This Row],[Tiempo Permanencia]]-Tabla5[[#This Row],[Tiempo de Preparación ]],0)</f>
        <v>3.2638888893254461E-2</v>
      </c>
      <c r="J152" s="5" t="str">
        <f>IF(Tabla5[[#This Row],[Tiempo de Degustación]]=0,"No Cobrada","Cobrada")</f>
        <v>Cobrada</v>
      </c>
      <c r="K152" s="5" cm="1">
        <f t="array" ref="K152">SUM(IF(Tabla5[[#This Row],[Orden Cobrada]]="Cobrada",IF(Cocina!A:A=Tabla5[[#This Row],[Nº Orden]],Cocina!F:F*Cocina!G:G,0),-Tabla6[[#This Row],[Precio Cena]]))</f>
        <v>150</v>
      </c>
      <c r="L152" s="5">
        <f>IF(Tabla5[[#This Row],[Orden Cobrada]]="Cobrada",Tabla5[[#This Row],[Ganancia Bruta]]-Tabla6[[#This Row],[Coste Cena]],-Tabla6[[#This Row],[Precio Cena]]+Tabla6[[#This Row],[Coste Cena]])</f>
        <v>60</v>
      </c>
      <c r="M152" s="10">
        <f>IF(Tabla5[[#This Row],[Orden Cobrada]]="Cobrada",((Tabla5[[#This Row],[Ganancia Neta]]/Tabla5[[#This Row],[Ganancia Bruta]])*100)/100,-((Tabla5[[#This Row],[Ganancia Neta]]/Tabla5[[#This Row],[Ganancia Bruta]]*100)/100))</f>
        <v>0.4</v>
      </c>
      <c r="N152" s="5" t="str">
        <f>sala!F151</f>
        <v>Mesero_1</v>
      </c>
      <c r="AY152" cm="1">
        <f t="array" ref="AY152">SUM(IF(Cocina!A:A=Tabla5[[#This Row],[Nº Orden]],Cocina!F:F*Cocina!G:G,0))</f>
        <v>150</v>
      </c>
      <c r="AZ152" cm="1">
        <f t="array" ref="AZ152">SUM(IF(Cocina!A:A=Tabla5[[#This Row],[Nº Orden]],Cocina!E:E*Cocina!G:G,0))</f>
        <v>90</v>
      </c>
      <c r="BB152" t="str">
        <f>MID(Tabla4[[#This Row],[Cliente]], SEARCH("_", Tabla4[[#This Row],[Cliente]]) + 1, LEN(Tabla4[[#This Row],[Cliente]]) - SEARCH("_",Tabla4[[#This Row],[Cliente]]))</f>
        <v>533</v>
      </c>
      <c r="BC152" t="str">
        <f>sala!B151</f>
        <v>Cliente_533</v>
      </c>
      <c r="BD152" s="1">
        <f>sala!D151</f>
        <v>45018.025694444441</v>
      </c>
      <c r="BE152" s="1">
        <f>sala!E151</f>
        <v>45018.131944444445</v>
      </c>
      <c r="BF152">
        <f>sala!K151</f>
        <v>150</v>
      </c>
      <c r="BG152">
        <f>sala!I151</f>
        <v>4843</v>
      </c>
      <c r="BH152" cm="1">
        <f t="array" ref="BH152">SUM(IF(Cocina!A:A=Tabla4[[#This Row],[Número de Orden]],Cocina!F:F*Cocina!G:G,0))</f>
        <v>150</v>
      </c>
      <c r="BI152" t="str">
        <f>sala!J151</f>
        <v>Libre</v>
      </c>
      <c r="BJ152" s="4" t="str">
        <f>IF(Tabla4[[#This Row],[Estado mesa]]="Ocupada","00:15","00:00")</f>
        <v>00:00</v>
      </c>
      <c r="BK152" cm="1">
        <f t="array" ref="BK152">SUM(IF(Cocina!A:A=Tabla4[[#This Row],[Número de Orden]],Cocina!H:H,0))</f>
        <v>106</v>
      </c>
    </row>
    <row r="153" spans="1:63" x14ac:dyDescent="0.3">
      <c r="A153" s="8" t="str">
        <f>MID(Tabla4[[#This Row],[Cliente]], SEARCH("_", Tabla4[[#This Row],[Cliente]]) + 1, LEN(Tabla4[[#This Row],[Cliente]]) - SEARCH("_",Tabla4[[#This Row],[Cliente]]))</f>
        <v>953</v>
      </c>
      <c r="B153">
        <f>sala!K152</f>
        <v>151</v>
      </c>
      <c r="C153">
        <f>Tabla4[[#This Row],[Propina]]+Tabla4[[#This Row],[Precio Cena]]</f>
        <v>4283</v>
      </c>
      <c r="D153" s="3">
        <f>INT(sala!E152)</f>
        <v>45018</v>
      </c>
      <c r="E153" s="4">
        <f>MOD( sala!D152,1)</f>
        <v>0.13541666666424135</v>
      </c>
      <c r="F153" s="4">
        <f>MOD( sala!E152,1)</f>
        <v>0.28680555555911269</v>
      </c>
      <c r="G153" s="4">
        <f>Tabla5[[#This Row],[Hora de Salida]]-Tabla5[[#This Row],[Hora de Llegada]]+Tabla4[[#This Row],[Tiempo Extra]]</f>
        <v>0.161805555561538</v>
      </c>
      <c r="H153" s="5" t="str">
        <f>TEXT(Tabla4[[#This Row],[Preparación en horas]]/1440, "h:mm")</f>
        <v>0:19</v>
      </c>
      <c r="I153" s="4">
        <f>IF(Tabla5[[#This Row],[Tiempo Permanencia]]-Tabla5[[#This Row],[Tiempo de Preparación ]]&gt;=0,Tabla5[[#This Row],[Tiempo Permanencia]]-Tabla5[[#This Row],[Tiempo de Preparación ]],0)</f>
        <v>0.14861111111709355</v>
      </c>
      <c r="J153" s="5" t="str">
        <f>IF(Tabla5[[#This Row],[Tiempo de Degustación]]=0,"No Cobrada","Cobrada")</f>
        <v>Cobrada</v>
      </c>
      <c r="K153" s="5" cm="1">
        <f t="array" ref="K153">SUM(IF(Tabla5[[#This Row],[Orden Cobrada]]="Cobrada",IF(Cocina!A:A=Tabla5[[#This Row],[Nº Orden]],Cocina!F:F*Cocina!G:G,0),-Tabla6[[#This Row],[Precio Cena]]))</f>
        <v>132</v>
      </c>
      <c r="L153" s="5">
        <f>IF(Tabla5[[#This Row],[Orden Cobrada]]="Cobrada",Tabla5[[#This Row],[Ganancia Bruta]]-Tabla6[[#This Row],[Coste Cena]],-Tabla6[[#This Row],[Precio Cena]]+Tabla6[[#This Row],[Coste Cena]])</f>
        <v>51</v>
      </c>
      <c r="M153" s="10">
        <f>IF(Tabla5[[#This Row],[Orden Cobrada]]="Cobrada",((Tabla5[[#This Row],[Ganancia Neta]]/Tabla5[[#This Row],[Ganancia Bruta]])*100)/100,-((Tabla5[[#This Row],[Ganancia Neta]]/Tabla5[[#This Row],[Ganancia Bruta]]*100)/100))</f>
        <v>0.38636363636363635</v>
      </c>
      <c r="N153" s="5" t="str">
        <f>sala!F152</f>
        <v>Mesero_4</v>
      </c>
      <c r="AY153" cm="1">
        <f t="array" ref="AY153">SUM(IF(Cocina!A:A=Tabla5[[#This Row],[Nº Orden]],Cocina!F:F*Cocina!G:G,0))</f>
        <v>132</v>
      </c>
      <c r="AZ153" cm="1">
        <f t="array" ref="AZ153">SUM(IF(Cocina!A:A=Tabla5[[#This Row],[Nº Orden]],Cocina!E:E*Cocina!G:G,0))</f>
        <v>81</v>
      </c>
      <c r="BB153" t="str">
        <f>MID(Tabla4[[#This Row],[Cliente]], SEARCH("_", Tabla4[[#This Row],[Cliente]]) + 1, LEN(Tabla4[[#This Row],[Cliente]]) - SEARCH("_",Tabla4[[#This Row],[Cliente]]))</f>
        <v>953</v>
      </c>
      <c r="BC153" t="str">
        <f>sala!B152</f>
        <v>Cliente_953</v>
      </c>
      <c r="BD153" s="1">
        <f>sala!D152</f>
        <v>45018.135416666664</v>
      </c>
      <c r="BE153" s="1">
        <f>sala!E152</f>
        <v>45018.286805555559</v>
      </c>
      <c r="BF153">
        <f>sala!K152</f>
        <v>151</v>
      </c>
      <c r="BG153">
        <f>sala!I152</f>
        <v>4151</v>
      </c>
      <c r="BH153" cm="1">
        <f t="array" ref="BH153">SUM(IF(Cocina!A:A=Tabla4[[#This Row],[Número de Orden]],Cocina!F:F*Cocina!G:G,0))</f>
        <v>132</v>
      </c>
      <c r="BI153" t="str">
        <f>sala!J152</f>
        <v>Ocupada</v>
      </c>
      <c r="BJ153" s="4" t="str">
        <f>IF(Tabla4[[#This Row],[Estado mesa]]="Ocupada","00:15","00:00")</f>
        <v>00:15</v>
      </c>
      <c r="BK153" cm="1">
        <f t="array" ref="BK153">SUM(IF(Cocina!A:A=Tabla4[[#This Row],[Número de Orden]],Cocina!H:H,0))</f>
        <v>19</v>
      </c>
    </row>
    <row r="154" spans="1:63" x14ac:dyDescent="0.3">
      <c r="A154" s="8" t="str">
        <f>MID(Tabla4[[#This Row],[Cliente]], SEARCH("_", Tabla4[[#This Row],[Cliente]]) + 1, LEN(Tabla4[[#This Row],[Cliente]]) - SEARCH("_",Tabla4[[#This Row],[Cliente]]))</f>
        <v>380</v>
      </c>
      <c r="B154">
        <f>sala!K153</f>
        <v>152</v>
      </c>
      <c r="C154">
        <f>Tabla4[[#This Row],[Propina]]+Tabla4[[#This Row],[Precio Cena]]</f>
        <v>2613</v>
      </c>
      <c r="D154" s="3">
        <f>INT(sala!E153)</f>
        <v>45018</v>
      </c>
      <c r="E154" s="4">
        <f>MOD( sala!D153,1)</f>
        <v>5.1388888889050577E-2</v>
      </c>
      <c r="F154" s="4">
        <f>MOD( sala!E153,1)</f>
        <v>0.11944444444088731</v>
      </c>
      <c r="G154" s="4">
        <f>Tabla5[[#This Row],[Hora de Salida]]-Tabla5[[#This Row],[Hora de Llegada]]+Tabla4[[#This Row],[Tiempo Extra]]</f>
        <v>6.8055555551836733E-2</v>
      </c>
      <c r="H154" s="5" t="str">
        <f>TEXT(Tabla4[[#This Row],[Preparación en horas]]/1440, "h:mm")</f>
        <v>0:12</v>
      </c>
      <c r="I154" s="4">
        <f>IF(Tabla5[[#This Row],[Tiempo Permanencia]]-Tabla5[[#This Row],[Tiempo de Preparación ]]&gt;=0,Tabla5[[#This Row],[Tiempo Permanencia]]-Tabla5[[#This Row],[Tiempo de Preparación ]],0)</f>
        <v>5.9722222218503401E-2</v>
      </c>
      <c r="J154" s="5" t="str">
        <f>IF(Tabla5[[#This Row],[Tiempo de Degustación]]=0,"No Cobrada","Cobrada")</f>
        <v>Cobrada</v>
      </c>
      <c r="K154" s="5" cm="1">
        <f t="array" ref="K154">SUM(IF(Tabla5[[#This Row],[Orden Cobrada]]="Cobrada",IF(Cocina!A:A=Tabla5[[#This Row],[Nº Orden]],Cocina!F:F*Cocina!G:G,0),-Tabla6[[#This Row],[Precio Cena]]))</f>
        <v>56</v>
      </c>
      <c r="L154" s="5">
        <f>IF(Tabla5[[#This Row],[Orden Cobrada]]="Cobrada",Tabla5[[#This Row],[Ganancia Bruta]]-Tabla6[[#This Row],[Coste Cena]],-Tabla6[[#This Row],[Precio Cena]]+Tabla6[[#This Row],[Coste Cena]])</f>
        <v>24</v>
      </c>
      <c r="M154" s="10">
        <f>IF(Tabla5[[#This Row],[Orden Cobrada]]="Cobrada",((Tabla5[[#This Row],[Ganancia Neta]]/Tabla5[[#This Row],[Ganancia Bruta]])*100)/100,-((Tabla5[[#This Row],[Ganancia Neta]]/Tabla5[[#This Row],[Ganancia Bruta]]*100)/100))</f>
        <v>0.42857142857142855</v>
      </c>
      <c r="N154" s="5" t="str">
        <f>sala!F153</f>
        <v>Mesero_4</v>
      </c>
      <c r="AY154" cm="1">
        <f t="array" ref="AY154">SUM(IF(Cocina!A:A=Tabla5[[#This Row],[Nº Orden]],Cocina!F:F*Cocina!G:G,0))</f>
        <v>56</v>
      </c>
      <c r="AZ154" cm="1">
        <f t="array" ref="AZ154">SUM(IF(Cocina!A:A=Tabla5[[#This Row],[Nº Orden]],Cocina!E:E*Cocina!G:G,0))</f>
        <v>32</v>
      </c>
      <c r="BB154" t="str">
        <f>MID(Tabla4[[#This Row],[Cliente]], SEARCH("_", Tabla4[[#This Row],[Cliente]]) + 1, LEN(Tabla4[[#This Row],[Cliente]]) - SEARCH("_",Tabla4[[#This Row],[Cliente]]))</f>
        <v>380</v>
      </c>
      <c r="BC154" t="str">
        <f>sala!B153</f>
        <v>Cliente_380</v>
      </c>
      <c r="BD154" s="1">
        <f>sala!D153</f>
        <v>45018.051388888889</v>
      </c>
      <c r="BE154" s="1">
        <f>sala!E153</f>
        <v>45018.119444444441</v>
      </c>
      <c r="BF154">
        <f>sala!K153</f>
        <v>152</v>
      </c>
      <c r="BG154">
        <f>sala!I153</f>
        <v>2557</v>
      </c>
      <c r="BH154" cm="1">
        <f t="array" ref="BH154">SUM(IF(Cocina!A:A=Tabla4[[#This Row],[Número de Orden]],Cocina!F:F*Cocina!G:G,0))</f>
        <v>56</v>
      </c>
      <c r="BI154" t="str">
        <f>sala!J153</f>
        <v>Reservada</v>
      </c>
      <c r="BJ154" s="4" t="str">
        <f>IF(Tabla4[[#This Row],[Estado mesa]]="Ocupada","00:15","00:00")</f>
        <v>00:00</v>
      </c>
      <c r="BK154" cm="1">
        <f t="array" ref="BK154">SUM(IF(Cocina!A:A=Tabla4[[#This Row],[Número de Orden]],Cocina!H:H,0))</f>
        <v>12</v>
      </c>
    </row>
    <row r="155" spans="1:63" x14ac:dyDescent="0.3">
      <c r="A155" s="8" t="str">
        <f>MID(Tabla4[[#This Row],[Cliente]], SEARCH("_", Tabla4[[#This Row],[Cliente]]) + 1, LEN(Tabla4[[#This Row],[Cliente]]) - SEARCH("_",Tabla4[[#This Row],[Cliente]]))</f>
        <v>870</v>
      </c>
      <c r="B155">
        <f>sala!K154</f>
        <v>153</v>
      </c>
      <c r="C155">
        <f>Tabla4[[#This Row],[Propina]]+Tabla4[[#This Row],[Precio Cena]]</f>
        <v>4487</v>
      </c>
      <c r="D155" s="3">
        <f>INT(sala!E154)</f>
        <v>45018</v>
      </c>
      <c r="E155" s="4">
        <f>MOD( sala!D154,1)</f>
        <v>0.12916666666569654</v>
      </c>
      <c r="F155" s="4">
        <f>MOD( sala!E154,1)</f>
        <v>0.22638888889196096</v>
      </c>
      <c r="G155" s="4">
        <f>Tabla5[[#This Row],[Hora de Salida]]-Tabla5[[#This Row],[Hora de Llegada]]+Tabla4[[#This Row],[Tiempo Extra]]</f>
        <v>0.10763888889293109</v>
      </c>
      <c r="H155" s="5" t="str">
        <f>TEXT(Tabla4[[#This Row],[Preparación en horas]]/1440, "h:mm")</f>
        <v>1:29</v>
      </c>
      <c r="I155" s="4">
        <f>IF(Tabla5[[#This Row],[Tiempo Permanencia]]-Tabla5[[#This Row],[Tiempo de Preparación ]]&gt;=0,Tabla5[[#This Row],[Tiempo Permanencia]]-Tabla5[[#This Row],[Tiempo de Preparación ]],0)</f>
        <v>4.5833333337375534E-2</v>
      </c>
      <c r="J155" s="5" t="str">
        <f>IF(Tabla5[[#This Row],[Tiempo de Degustación]]=0,"No Cobrada","Cobrada")</f>
        <v>Cobrada</v>
      </c>
      <c r="K155" s="5" cm="1">
        <f t="array" ref="K155">SUM(IF(Tabla5[[#This Row],[Orden Cobrada]]="Cobrada",IF(Cocina!A:A=Tabla5[[#This Row],[Nº Orden]],Cocina!F:F*Cocina!G:G,0),-Tabla6[[#This Row],[Precio Cena]]))</f>
        <v>203</v>
      </c>
      <c r="L155" s="5">
        <f>IF(Tabla5[[#This Row],[Orden Cobrada]]="Cobrada",Tabla5[[#This Row],[Ganancia Bruta]]-Tabla6[[#This Row],[Coste Cena]],-Tabla6[[#This Row],[Precio Cena]]+Tabla6[[#This Row],[Coste Cena]])</f>
        <v>79</v>
      </c>
      <c r="M155" s="10">
        <f>IF(Tabla5[[#This Row],[Orden Cobrada]]="Cobrada",((Tabla5[[#This Row],[Ganancia Neta]]/Tabla5[[#This Row],[Ganancia Bruta]])*100)/100,-((Tabla5[[#This Row],[Ganancia Neta]]/Tabla5[[#This Row],[Ganancia Bruta]]*100)/100))</f>
        <v>0.38916256157635476</v>
      </c>
      <c r="N155" s="5" t="str">
        <f>sala!F154</f>
        <v>Mesero_2</v>
      </c>
      <c r="AY155" cm="1">
        <f t="array" ref="AY155">SUM(IF(Cocina!A:A=Tabla5[[#This Row],[Nº Orden]],Cocina!F:F*Cocina!G:G,0))</f>
        <v>203</v>
      </c>
      <c r="AZ155" cm="1">
        <f t="array" ref="AZ155">SUM(IF(Cocina!A:A=Tabla5[[#This Row],[Nº Orden]],Cocina!E:E*Cocina!G:G,0))</f>
        <v>124</v>
      </c>
      <c r="BB155" t="str">
        <f>MID(Tabla4[[#This Row],[Cliente]], SEARCH("_", Tabla4[[#This Row],[Cliente]]) + 1, LEN(Tabla4[[#This Row],[Cliente]]) - SEARCH("_",Tabla4[[#This Row],[Cliente]]))</f>
        <v>870</v>
      </c>
      <c r="BC155" t="str">
        <f>sala!B154</f>
        <v>Cliente_870</v>
      </c>
      <c r="BD155" s="1">
        <f>sala!D154</f>
        <v>45018.129166666666</v>
      </c>
      <c r="BE155" s="1">
        <f>sala!E154</f>
        <v>45018.226388888892</v>
      </c>
      <c r="BF155">
        <f>sala!K154</f>
        <v>153</v>
      </c>
      <c r="BG155">
        <f>sala!I154</f>
        <v>4284</v>
      </c>
      <c r="BH155" cm="1">
        <f t="array" ref="BH155">SUM(IF(Cocina!A:A=Tabla4[[#This Row],[Número de Orden]],Cocina!F:F*Cocina!G:G,0))</f>
        <v>203</v>
      </c>
      <c r="BI155" t="str">
        <f>sala!J154</f>
        <v>Ocupada</v>
      </c>
      <c r="BJ155" s="4" t="str">
        <f>IF(Tabla4[[#This Row],[Estado mesa]]="Ocupada","00:15","00:00")</f>
        <v>00:15</v>
      </c>
      <c r="BK155" cm="1">
        <f t="array" ref="BK155">SUM(IF(Cocina!A:A=Tabla4[[#This Row],[Número de Orden]],Cocina!H:H,0))</f>
        <v>89</v>
      </c>
    </row>
    <row r="156" spans="1:63" x14ac:dyDescent="0.3">
      <c r="A156" s="8" t="str">
        <f>MID(Tabla4[[#This Row],[Cliente]], SEARCH("_", Tabla4[[#This Row],[Cliente]]) + 1, LEN(Tabla4[[#This Row],[Cliente]]) - SEARCH("_",Tabla4[[#This Row],[Cliente]]))</f>
        <v>964</v>
      </c>
      <c r="B156">
        <f>sala!K155</f>
        <v>154</v>
      </c>
      <c r="C156">
        <f>Tabla4[[#This Row],[Propina]]+Tabla4[[#This Row],[Precio Cena]]</f>
        <v>316</v>
      </c>
      <c r="D156" s="3">
        <f>INT(sala!E155)</f>
        <v>45018</v>
      </c>
      <c r="E156" s="4">
        <f>MOD( sala!D155,1)</f>
        <v>8.9583333334303461E-2</v>
      </c>
      <c r="F156" s="4">
        <f>MOD( sala!E155,1)</f>
        <v>0.15000000000145519</v>
      </c>
      <c r="G156" s="4">
        <f>Tabla5[[#This Row],[Hora de Salida]]-Tabla5[[#This Row],[Hora de Llegada]]+Tabla4[[#This Row],[Tiempo Extra]]</f>
        <v>6.0416666667151731E-2</v>
      </c>
      <c r="H156" s="5" t="str">
        <f>TEXT(Tabla4[[#This Row],[Preparación en horas]]/1440, "h:mm")</f>
        <v>1:22</v>
      </c>
      <c r="I156" s="4">
        <f>IF(Tabla5[[#This Row],[Tiempo Permanencia]]-Tabla5[[#This Row],[Tiempo de Preparación ]]&gt;=0,Tabla5[[#This Row],[Tiempo Permanencia]]-Tabla5[[#This Row],[Tiempo de Preparación ]],0)</f>
        <v>3.4722222227072871E-3</v>
      </c>
      <c r="J156" s="5" t="str">
        <f>IF(Tabla5[[#This Row],[Tiempo de Degustación]]=0,"No Cobrada","Cobrada")</f>
        <v>Cobrada</v>
      </c>
      <c r="K156" s="5" cm="1">
        <f t="array" ref="K156">SUM(IF(Tabla5[[#This Row],[Orden Cobrada]]="Cobrada",IF(Cocina!A:A=Tabla5[[#This Row],[Nº Orden]],Cocina!F:F*Cocina!G:G,0),-Tabla6[[#This Row],[Precio Cena]]))</f>
        <v>144</v>
      </c>
      <c r="L156" s="5">
        <f>IF(Tabla5[[#This Row],[Orden Cobrada]]="Cobrada",Tabla5[[#This Row],[Ganancia Bruta]]-Tabla6[[#This Row],[Coste Cena]],-Tabla6[[#This Row],[Precio Cena]]+Tabla6[[#This Row],[Coste Cena]])</f>
        <v>58</v>
      </c>
      <c r="M156" s="10">
        <f>IF(Tabla5[[#This Row],[Orden Cobrada]]="Cobrada",((Tabla5[[#This Row],[Ganancia Neta]]/Tabla5[[#This Row],[Ganancia Bruta]])*100)/100,-((Tabla5[[#This Row],[Ganancia Neta]]/Tabla5[[#This Row],[Ganancia Bruta]]*100)/100))</f>
        <v>0.40277777777777779</v>
      </c>
      <c r="N156" s="5" t="str">
        <f>sala!F155</f>
        <v>Mesero_1</v>
      </c>
      <c r="AY156" cm="1">
        <f t="array" ref="AY156">SUM(IF(Cocina!A:A=Tabla5[[#This Row],[Nº Orden]],Cocina!F:F*Cocina!G:G,0))</f>
        <v>144</v>
      </c>
      <c r="AZ156" cm="1">
        <f t="array" ref="AZ156">SUM(IF(Cocina!A:A=Tabla5[[#This Row],[Nº Orden]],Cocina!E:E*Cocina!G:G,0))</f>
        <v>86</v>
      </c>
      <c r="BB156" t="str">
        <f>MID(Tabla4[[#This Row],[Cliente]], SEARCH("_", Tabla4[[#This Row],[Cliente]]) + 1, LEN(Tabla4[[#This Row],[Cliente]]) - SEARCH("_",Tabla4[[#This Row],[Cliente]]))</f>
        <v>964</v>
      </c>
      <c r="BC156" t="str">
        <f>sala!B155</f>
        <v>Cliente_964</v>
      </c>
      <c r="BD156" s="1">
        <f>sala!D155</f>
        <v>45018.089583333334</v>
      </c>
      <c r="BE156" s="1">
        <f>sala!E155</f>
        <v>45018.15</v>
      </c>
      <c r="BF156">
        <f>sala!K155</f>
        <v>154</v>
      </c>
      <c r="BG156">
        <f>sala!I155</f>
        <v>172</v>
      </c>
      <c r="BH156" cm="1">
        <f t="array" ref="BH156">SUM(IF(Cocina!A:A=Tabla4[[#This Row],[Número de Orden]],Cocina!F:F*Cocina!G:G,0))</f>
        <v>144</v>
      </c>
      <c r="BI156" t="str">
        <f>sala!J155</f>
        <v>Libre</v>
      </c>
      <c r="BJ156" s="4" t="str">
        <f>IF(Tabla4[[#This Row],[Estado mesa]]="Ocupada","00:15","00:00")</f>
        <v>00:00</v>
      </c>
      <c r="BK156" cm="1">
        <f t="array" ref="BK156">SUM(IF(Cocina!A:A=Tabla4[[#This Row],[Número de Orden]],Cocina!H:H,0))</f>
        <v>82</v>
      </c>
    </row>
    <row r="157" spans="1:63" x14ac:dyDescent="0.3">
      <c r="A157" s="8" t="str">
        <f>MID(Tabla4[[#This Row],[Cliente]], SEARCH("_", Tabla4[[#This Row],[Cliente]]) + 1, LEN(Tabla4[[#This Row],[Cliente]]) - SEARCH("_",Tabla4[[#This Row],[Cliente]]))</f>
        <v>939</v>
      </c>
      <c r="B157">
        <f>sala!K156</f>
        <v>155</v>
      </c>
      <c r="C157">
        <f>Tabla4[[#This Row],[Propina]]+Tabla4[[#This Row],[Precio Cena]]</f>
        <v>2708</v>
      </c>
      <c r="D157" s="3">
        <f>INT(sala!E156)</f>
        <v>45018</v>
      </c>
      <c r="E157" s="4">
        <f>MOD( sala!D156,1)</f>
        <v>7.8472222223354038E-2</v>
      </c>
      <c r="F157" s="4">
        <f>MOD( sala!E156,1)</f>
        <v>0.19722222222480923</v>
      </c>
      <c r="G157" s="4">
        <f>Tabla5[[#This Row],[Hora de Salida]]-Tabla5[[#This Row],[Hora de Llegada]]+Tabla4[[#This Row],[Tiempo Extra]]</f>
        <v>0.11875000000145519</v>
      </c>
      <c r="H157" s="5" t="str">
        <f>TEXT(Tabla4[[#This Row],[Preparación en horas]]/1440, "h:mm")</f>
        <v>1:40</v>
      </c>
      <c r="I157" s="4">
        <f>IF(Tabla5[[#This Row],[Tiempo Permanencia]]-Tabla5[[#This Row],[Tiempo de Preparación ]]&gt;=0,Tabla5[[#This Row],[Tiempo Permanencia]]-Tabla5[[#This Row],[Tiempo de Preparación ]],0)</f>
        <v>4.9305555557010744E-2</v>
      </c>
      <c r="J157" s="5" t="str">
        <f>IF(Tabla5[[#This Row],[Tiempo de Degustación]]=0,"No Cobrada","Cobrada")</f>
        <v>Cobrada</v>
      </c>
      <c r="K157" s="5" cm="1">
        <f t="array" ref="K157">SUM(IF(Tabla5[[#This Row],[Orden Cobrada]]="Cobrada",IF(Cocina!A:A=Tabla5[[#This Row],[Nº Orden]],Cocina!F:F*Cocina!G:G,0),-Tabla6[[#This Row],[Precio Cena]]))</f>
        <v>136</v>
      </c>
      <c r="L157" s="5">
        <f>IF(Tabla5[[#This Row],[Orden Cobrada]]="Cobrada",Tabla5[[#This Row],[Ganancia Bruta]]-Tabla6[[#This Row],[Coste Cena]],-Tabla6[[#This Row],[Precio Cena]]+Tabla6[[#This Row],[Coste Cena]])</f>
        <v>54</v>
      </c>
      <c r="M157" s="10">
        <f>IF(Tabla5[[#This Row],[Orden Cobrada]]="Cobrada",((Tabla5[[#This Row],[Ganancia Neta]]/Tabla5[[#This Row],[Ganancia Bruta]])*100)/100,-((Tabla5[[#This Row],[Ganancia Neta]]/Tabla5[[#This Row],[Ganancia Bruta]]*100)/100))</f>
        <v>0.39705882352941174</v>
      </c>
      <c r="N157" s="5" t="str">
        <f>sala!F156</f>
        <v>Mesero_5</v>
      </c>
      <c r="AY157" cm="1">
        <f t="array" ref="AY157">SUM(IF(Cocina!A:A=Tabla5[[#This Row],[Nº Orden]],Cocina!F:F*Cocina!G:G,0))</f>
        <v>136</v>
      </c>
      <c r="AZ157" cm="1">
        <f t="array" ref="AZ157">SUM(IF(Cocina!A:A=Tabla5[[#This Row],[Nº Orden]],Cocina!E:E*Cocina!G:G,0))</f>
        <v>82</v>
      </c>
      <c r="BB157" t="str">
        <f>MID(Tabla4[[#This Row],[Cliente]], SEARCH("_", Tabla4[[#This Row],[Cliente]]) + 1, LEN(Tabla4[[#This Row],[Cliente]]) - SEARCH("_",Tabla4[[#This Row],[Cliente]]))</f>
        <v>939</v>
      </c>
      <c r="BC157" t="str">
        <f>sala!B156</f>
        <v>Cliente_939</v>
      </c>
      <c r="BD157" s="1">
        <f>sala!D156</f>
        <v>45018.078472222223</v>
      </c>
      <c r="BE157" s="1">
        <f>sala!E156</f>
        <v>45018.197222222225</v>
      </c>
      <c r="BF157">
        <f>sala!K156</f>
        <v>155</v>
      </c>
      <c r="BG157">
        <f>sala!I156</f>
        <v>2572</v>
      </c>
      <c r="BH157" cm="1">
        <f t="array" ref="BH157">SUM(IF(Cocina!A:A=Tabla4[[#This Row],[Número de Orden]],Cocina!F:F*Cocina!G:G,0))</f>
        <v>136</v>
      </c>
      <c r="BI157" t="str">
        <f>sala!J156</f>
        <v>Reservada</v>
      </c>
      <c r="BJ157" s="4" t="str">
        <f>IF(Tabla4[[#This Row],[Estado mesa]]="Ocupada","00:15","00:00")</f>
        <v>00:00</v>
      </c>
      <c r="BK157" cm="1">
        <f t="array" ref="BK157">SUM(IF(Cocina!A:A=Tabla4[[#This Row],[Número de Orden]],Cocina!H:H,0))</f>
        <v>100</v>
      </c>
    </row>
    <row r="158" spans="1:63" x14ac:dyDescent="0.3">
      <c r="A158" s="8" t="str">
        <f>MID(Tabla4[[#This Row],[Cliente]], SEARCH("_", Tabla4[[#This Row],[Cliente]]) + 1, LEN(Tabla4[[#This Row],[Cliente]]) - SEARCH("_",Tabla4[[#This Row],[Cliente]]))</f>
        <v>536</v>
      </c>
      <c r="B158">
        <f>sala!K157</f>
        <v>156</v>
      </c>
      <c r="C158">
        <f>Tabla4[[#This Row],[Propina]]+Tabla4[[#This Row],[Precio Cena]]</f>
        <v>1959</v>
      </c>
      <c r="D158" s="3">
        <f>INT(sala!E157)</f>
        <v>45018</v>
      </c>
      <c r="E158" s="4">
        <f>MOD( sala!D157,1)</f>
        <v>2.7777777781011537E-2</v>
      </c>
      <c r="F158" s="4">
        <f>MOD( sala!E157,1)</f>
        <v>0.17847222222189885</v>
      </c>
      <c r="G158" s="4">
        <f>Tabla5[[#This Row],[Hora de Salida]]-Tabla5[[#This Row],[Hora de Llegada]]+Tabla4[[#This Row],[Tiempo Extra]]</f>
        <v>0.15069444444088731</v>
      </c>
      <c r="H158" s="5" t="str">
        <f>TEXT(Tabla4[[#This Row],[Preparación en horas]]/1440, "h:mm")</f>
        <v>0:06</v>
      </c>
      <c r="I158" s="4">
        <f>IF(Tabla5[[#This Row],[Tiempo Permanencia]]-Tabla5[[#This Row],[Tiempo de Preparación ]]&gt;=0,Tabla5[[#This Row],[Tiempo Permanencia]]-Tabla5[[#This Row],[Tiempo de Preparación ]],0)</f>
        <v>0.14652777777422063</v>
      </c>
      <c r="J158" s="5" t="str">
        <f>IF(Tabla5[[#This Row],[Tiempo de Degustación]]=0,"No Cobrada","Cobrada")</f>
        <v>Cobrada</v>
      </c>
      <c r="K158" s="5" cm="1">
        <f t="array" ref="K158">SUM(IF(Tabla5[[#This Row],[Orden Cobrada]]="Cobrada",IF(Cocina!A:A=Tabla5[[#This Row],[Nº Orden]],Cocina!F:F*Cocina!G:G,0),-Tabla6[[#This Row],[Precio Cena]]))</f>
        <v>56</v>
      </c>
      <c r="L158" s="5">
        <f>IF(Tabla5[[#This Row],[Orden Cobrada]]="Cobrada",Tabla5[[#This Row],[Ganancia Bruta]]-Tabla6[[#This Row],[Coste Cena]],-Tabla6[[#This Row],[Precio Cena]]+Tabla6[[#This Row],[Coste Cena]])</f>
        <v>24</v>
      </c>
      <c r="M158" s="10">
        <f>IF(Tabla5[[#This Row],[Orden Cobrada]]="Cobrada",((Tabla5[[#This Row],[Ganancia Neta]]/Tabla5[[#This Row],[Ganancia Bruta]])*100)/100,-((Tabla5[[#This Row],[Ganancia Neta]]/Tabla5[[#This Row],[Ganancia Bruta]]*100)/100))</f>
        <v>0.42857142857142855</v>
      </c>
      <c r="N158" s="5" t="str">
        <f>sala!F157</f>
        <v>Mesero_3</v>
      </c>
      <c r="AY158" cm="1">
        <f t="array" ref="AY158">SUM(IF(Cocina!A:A=Tabla5[[#This Row],[Nº Orden]],Cocina!F:F*Cocina!G:G,0))</f>
        <v>56</v>
      </c>
      <c r="AZ158" cm="1">
        <f t="array" ref="AZ158">SUM(IF(Cocina!A:A=Tabla5[[#This Row],[Nº Orden]],Cocina!E:E*Cocina!G:G,0))</f>
        <v>32</v>
      </c>
      <c r="BB158" t="str">
        <f>MID(Tabla4[[#This Row],[Cliente]], SEARCH("_", Tabla4[[#This Row],[Cliente]]) + 1, LEN(Tabla4[[#This Row],[Cliente]]) - SEARCH("_",Tabla4[[#This Row],[Cliente]]))</f>
        <v>536</v>
      </c>
      <c r="BC158" t="str">
        <f>sala!B157</f>
        <v>Cliente_536</v>
      </c>
      <c r="BD158" s="1">
        <f>sala!D157</f>
        <v>45018.027777777781</v>
      </c>
      <c r="BE158" s="1">
        <f>sala!E157</f>
        <v>45018.178472222222</v>
      </c>
      <c r="BF158">
        <f>sala!K157</f>
        <v>156</v>
      </c>
      <c r="BG158">
        <f>sala!I157</f>
        <v>1903</v>
      </c>
      <c r="BH158" cm="1">
        <f t="array" ref="BH158">SUM(IF(Cocina!A:A=Tabla4[[#This Row],[Número de Orden]],Cocina!F:F*Cocina!G:G,0))</f>
        <v>56</v>
      </c>
      <c r="BI158" t="str">
        <f>sala!J157</f>
        <v>Libre</v>
      </c>
      <c r="BJ158" s="4" t="str">
        <f>IF(Tabla4[[#This Row],[Estado mesa]]="Ocupada","00:15","00:00")</f>
        <v>00:00</v>
      </c>
      <c r="BK158" cm="1">
        <f t="array" ref="BK158">SUM(IF(Cocina!A:A=Tabla4[[#This Row],[Número de Orden]],Cocina!H:H,0))</f>
        <v>6</v>
      </c>
    </row>
    <row r="159" spans="1:63" x14ac:dyDescent="0.3">
      <c r="A159" s="8" t="str">
        <f>MID(Tabla4[[#This Row],[Cliente]], SEARCH("_", Tabla4[[#This Row],[Cliente]]) + 1, LEN(Tabla4[[#This Row],[Cliente]]) - SEARCH("_",Tabla4[[#This Row],[Cliente]]))</f>
        <v>5</v>
      </c>
      <c r="B159">
        <f>sala!K158</f>
        <v>157</v>
      </c>
      <c r="C159">
        <f>Tabla4[[#This Row],[Propina]]+Tabla4[[#This Row],[Precio Cena]]</f>
        <v>3119</v>
      </c>
      <c r="D159" s="3">
        <f>INT(sala!E158)</f>
        <v>45018</v>
      </c>
      <c r="E159" s="4">
        <f>MOD( sala!D158,1)</f>
        <v>0.14027777777664596</v>
      </c>
      <c r="F159" s="4">
        <f>MOD( sala!E158,1)</f>
        <v>0.26041666666424135</v>
      </c>
      <c r="G159" s="4">
        <f>Tabla5[[#This Row],[Hora de Salida]]-Tabla5[[#This Row],[Hora de Llegada]]+Tabla4[[#This Row],[Tiempo Extra]]</f>
        <v>0.13055555555426204</v>
      </c>
      <c r="H159" s="5" t="str">
        <f>TEXT(Tabla4[[#This Row],[Preparación en horas]]/1440, "h:mm")</f>
        <v>2:30</v>
      </c>
      <c r="I159" s="4">
        <f>IF(Tabla5[[#This Row],[Tiempo Permanencia]]-Tabla5[[#This Row],[Tiempo de Preparación ]]&gt;=0,Tabla5[[#This Row],[Tiempo Permanencia]]-Tabla5[[#This Row],[Tiempo de Preparación ]],0)</f>
        <v>2.6388888887595371E-2</v>
      </c>
      <c r="J159" s="5" t="str">
        <f>IF(Tabla5[[#This Row],[Tiempo de Degustación]]=0,"No Cobrada","Cobrada")</f>
        <v>Cobrada</v>
      </c>
      <c r="K159" s="5" cm="1">
        <f t="array" ref="K159">SUM(IF(Tabla5[[#This Row],[Orden Cobrada]]="Cobrada",IF(Cocina!A:A=Tabla5[[#This Row],[Nº Orden]],Cocina!F:F*Cocina!G:G,0),-Tabla6[[#This Row],[Precio Cena]]))</f>
        <v>271</v>
      </c>
      <c r="L159" s="5">
        <f>IF(Tabla5[[#This Row],[Orden Cobrada]]="Cobrada",Tabla5[[#This Row],[Ganancia Bruta]]-Tabla6[[#This Row],[Coste Cena]],-Tabla6[[#This Row],[Precio Cena]]+Tabla6[[#This Row],[Coste Cena]])</f>
        <v>108</v>
      </c>
      <c r="M159" s="10">
        <f>IF(Tabla5[[#This Row],[Orden Cobrada]]="Cobrada",((Tabla5[[#This Row],[Ganancia Neta]]/Tabla5[[#This Row],[Ganancia Bruta]])*100)/100,-((Tabla5[[#This Row],[Ganancia Neta]]/Tabla5[[#This Row],[Ganancia Bruta]]*100)/100))</f>
        <v>0.39852398523985239</v>
      </c>
      <c r="N159" s="5" t="str">
        <f>sala!F158</f>
        <v>Mesero_3</v>
      </c>
      <c r="AY159" cm="1">
        <f t="array" ref="AY159">SUM(IF(Cocina!A:A=Tabla5[[#This Row],[Nº Orden]],Cocina!F:F*Cocina!G:G,0))</f>
        <v>271</v>
      </c>
      <c r="AZ159" cm="1">
        <f t="array" ref="AZ159">SUM(IF(Cocina!A:A=Tabla5[[#This Row],[Nº Orden]],Cocina!E:E*Cocina!G:G,0))</f>
        <v>163</v>
      </c>
      <c r="BB159" t="str">
        <f>MID(Tabla4[[#This Row],[Cliente]], SEARCH("_", Tabla4[[#This Row],[Cliente]]) + 1, LEN(Tabla4[[#This Row],[Cliente]]) - SEARCH("_",Tabla4[[#This Row],[Cliente]]))</f>
        <v>5</v>
      </c>
      <c r="BC159" t="str">
        <f>sala!B158</f>
        <v>Cliente_5</v>
      </c>
      <c r="BD159" s="1">
        <f>sala!D158</f>
        <v>45018.140277777777</v>
      </c>
      <c r="BE159" s="1">
        <f>sala!E158</f>
        <v>45018.260416666664</v>
      </c>
      <c r="BF159">
        <f>sala!K158</f>
        <v>157</v>
      </c>
      <c r="BG159">
        <f>sala!I158</f>
        <v>2848</v>
      </c>
      <c r="BH159" cm="1">
        <f t="array" ref="BH159">SUM(IF(Cocina!A:A=Tabla4[[#This Row],[Número de Orden]],Cocina!F:F*Cocina!G:G,0))</f>
        <v>271</v>
      </c>
      <c r="BI159" t="str">
        <f>sala!J158</f>
        <v>Ocupada</v>
      </c>
      <c r="BJ159" s="4" t="str">
        <f>IF(Tabla4[[#This Row],[Estado mesa]]="Ocupada","00:15","00:00")</f>
        <v>00:15</v>
      </c>
      <c r="BK159" cm="1">
        <f t="array" ref="BK159">SUM(IF(Cocina!A:A=Tabla4[[#This Row],[Número de Orden]],Cocina!H:H,0))</f>
        <v>150</v>
      </c>
    </row>
    <row r="160" spans="1:63" x14ac:dyDescent="0.3">
      <c r="A160" s="8" t="str">
        <f>MID(Tabla4[[#This Row],[Cliente]], SEARCH("_", Tabla4[[#This Row],[Cliente]]) + 1, LEN(Tabla4[[#This Row],[Cliente]]) - SEARCH("_",Tabla4[[#This Row],[Cliente]]))</f>
        <v>115</v>
      </c>
      <c r="B160">
        <f>sala!K159</f>
        <v>158</v>
      </c>
      <c r="C160">
        <f>Tabla4[[#This Row],[Propina]]+Tabla4[[#This Row],[Precio Cena]]</f>
        <v>5185</v>
      </c>
      <c r="D160" s="3">
        <f>INT(sala!E159)</f>
        <v>45018</v>
      </c>
      <c r="E160" s="4">
        <f>MOD( sala!D159,1)</f>
        <v>0.11458333333575865</v>
      </c>
      <c r="F160" s="4">
        <f>MOD( sala!E159,1)</f>
        <v>0.16597222222480923</v>
      </c>
      <c r="G160" s="4">
        <f>Tabla5[[#This Row],[Hora de Salida]]-Tabla5[[#This Row],[Hora de Llegada]]+Tabla4[[#This Row],[Tiempo Extra]]</f>
        <v>5.1388888889050577E-2</v>
      </c>
      <c r="H160" s="5" t="str">
        <f>TEXT(Tabla4[[#This Row],[Preparación en horas]]/1440, "h:mm")</f>
        <v>2:15</v>
      </c>
      <c r="I160" s="4">
        <f>IF(Tabla5[[#This Row],[Tiempo Permanencia]]-Tabla5[[#This Row],[Tiempo de Preparación ]]&gt;=0,Tabla5[[#This Row],[Tiempo Permanencia]]-Tabla5[[#This Row],[Tiempo de Preparación ]],0)</f>
        <v>0</v>
      </c>
      <c r="J160" s="5" t="str">
        <f>IF(Tabla5[[#This Row],[Tiempo de Degustación]]=0,"No Cobrada","Cobrada")</f>
        <v>No Cobrada</v>
      </c>
      <c r="K160" s="5" cm="1">
        <f t="array" ref="K160">SUM(IF(Tabla5[[#This Row],[Orden Cobrada]]="Cobrada",IF(Cocina!A:A=Tabla5[[#This Row],[Nº Orden]],Cocina!F:F*Cocina!G:G,0),-Tabla6[[#This Row],[Precio Cena]]))</f>
        <v>-310</v>
      </c>
      <c r="L160" s="5">
        <f>IF(Tabla5[[#This Row],[Orden Cobrada]]="Cobrada",Tabla5[[#This Row],[Ganancia Bruta]]-Tabla6[[#This Row],[Coste Cena]],-Tabla6[[#This Row],[Precio Cena]]+Tabla6[[#This Row],[Coste Cena]])</f>
        <v>-125</v>
      </c>
      <c r="M160" s="10">
        <f>IF(Tabla5[[#This Row],[Orden Cobrada]]="Cobrada",((Tabla5[[#This Row],[Ganancia Neta]]/Tabla5[[#This Row],[Ganancia Bruta]])*100)/100,-((Tabla5[[#This Row],[Ganancia Neta]]/Tabla5[[#This Row],[Ganancia Bruta]]*100)/100))</f>
        <v>-0.40322580645161288</v>
      </c>
      <c r="N160" s="5" t="str">
        <f>sala!F159</f>
        <v>Mesero_3</v>
      </c>
      <c r="AY160" cm="1">
        <f t="array" ref="AY160">SUM(IF(Cocina!A:A=Tabla5[[#This Row],[Nº Orden]],Cocina!F:F*Cocina!G:G,0))</f>
        <v>310</v>
      </c>
      <c r="AZ160" cm="1">
        <f t="array" ref="AZ160">SUM(IF(Cocina!A:A=Tabla5[[#This Row],[Nº Orden]],Cocina!E:E*Cocina!G:G,0))</f>
        <v>185</v>
      </c>
      <c r="BB160" t="str">
        <f>MID(Tabla4[[#This Row],[Cliente]], SEARCH("_", Tabla4[[#This Row],[Cliente]]) + 1, LEN(Tabla4[[#This Row],[Cliente]]) - SEARCH("_",Tabla4[[#This Row],[Cliente]]))</f>
        <v>115</v>
      </c>
      <c r="BC160" t="str">
        <f>sala!B159</f>
        <v>Cliente_115</v>
      </c>
      <c r="BD160" s="1">
        <f>sala!D159</f>
        <v>45018.114583333336</v>
      </c>
      <c r="BE160" s="1">
        <f>sala!E159</f>
        <v>45018.165972222225</v>
      </c>
      <c r="BF160">
        <f>sala!K159</f>
        <v>158</v>
      </c>
      <c r="BG160">
        <f>sala!I159</f>
        <v>4875</v>
      </c>
      <c r="BH160" cm="1">
        <f t="array" ref="BH160">SUM(IF(Cocina!A:A=Tabla4[[#This Row],[Número de Orden]],Cocina!F:F*Cocina!G:G,0))</f>
        <v>310</v>
      </c>
      <c r="BI160" t="str">
        <f>sala!J159</f>
        <v>Libre</v>
      </c>
      <c r="BJ160" s="4" t="str">
        <f>IF(Tabla4[[#This Row],[Estado mesa]]="Ocupada","00:15","00:00")</f>
        <v>00:00</v>
      </c>
      <c r="BK160" cm="1">
        <f t="array" ref="BK160">SUM(IF(Cocina!A:A=Tabla4[[#This Row],[Número de Orden]],Cocina!H:H,0))</f>
        <v>135</v>
      </c>
    </row>
    <row r="161" spans="1:63" x14ac:dyDescent="0.3">
      <c r="A161" s="8" t="str">
        <f>MID(Tabla4[[#This Row],[Cliente]], SEARCH("_", Tabla4[[#This Row],[Cliente]]) + 1, LEN(Tabla4[[#This Row],[Cliente]]) - SEARCH("_",Tabla4[[#This Row],[Cliente]]))</f>
        <v>580</v>
      </c>
      <c r="B161">
        <f>sala!K160</f>
        <v>159</v>
      </c>
      <c r="C161">
        <f>Tabla4[[#This Row],[Propina]]+Tabla4[[#This Row],[Precio Cena]]</f>
        <v>5034</v>
      </c>
      <c r="D161" s="3">
        <f>INT(sala!E160)</f>
        <v>45018</v>
      </c>
      <c r="E161" s="4">
        <f>MOD( sala!D160,1)</f>
        <v>6.9444444452528842E-3</v>
      </c>
      <c r="F161" s="4">
        <f>MOD( sala!E160,1)</f>
        <v>5.2083333335758653E-2</v>
      </c>
      <c r="G161" s="4">
        <f>Tabla5[[#This Row],[Hora de Salida]]-Tabla5[[#This Row],[Hora de Llegada]]+Tabla4[[#This Row],[Tiempo Extra]]</f>
        <v>5.5555555557172433E-2</v>
      </c>
      <c r="H161" s="5" t="str">
        <f>TEXT(Tabla4[[#This Row],[Preparación en horas]]/1440, "h:mm")</f>
        <v>1:14</v>
      </c>
      <c r="I161" s="4">
        <f>IF(Tabla5[[#This Row],[Tiempo Permanencia]]-Tabla5[[#This Row],[Tiempo de Preparación ]]&gt;=0,Tabla5[[#This Row],[Tiempo Permanencia]]-Tabla5[[#This Row],[Tiempo de Preparación ]],0)</f>
        <v>4.166666668283546E-3</v>
      </c>
      <c r="J161" s="5" t="str">
        <f>IF(Tabla5[[#This Row],[Tiempo de Degustación]]=0,"No Cobrada","Cobrada")</f>
        <v>Cobrada</v>
      </c>
      <c r="K161" s="5" cm="1">
        <f t="array" ref="K161">SUM(IF(Tabla5[[#This Row],[Orden Cobrada]]="Cobrada",IF(Cocina!A:A=Tabla5[[#This Row],[Nº Orden]],Cocina!F:F*Cocina!G:G,0),-Tabla6[[#This Row],[Precio Cena]]))</f>
        <v>253</v>
      </c>
      <c r="L161" s="5">
        <f>IF(Tabla5[[#This Row],[Orden Cobrada]]="Cobrada",Tabla5[[#This Row],[Ganancia Bruta]]-Tabla6[[#This Row],[Coste Cena]],-Tabla6[[#This Row],[Precio Cena]]+Tabla6[[#This Row],[Coste Cena]])</f>
        <v>103</v>
      </c>
      <c r="M161" s="10">
        <f>IF(Tabla5[[#This Row],[Orden Cobrada]]="Cobrada",((Tabla5[[#This Row],[Ganancia Neta]]/Tabla5[[#This Row],[Ganancia Bruta]])*100)/100,-((Tabla5[[#This Row],[Ganancia Neta]]/Tabla5[[#This Row],[Ganancia Bruta]]*100)/100))</f>
        <v>0.40711462450592883</v>
      </c>
      <c r="N161" s="5" t="str">
        <f>sala!F160</f>
        <v>Mesero_3</v>
      </c>
      <c r="AY161" cm="1">
        <f t="array" ref="AY161">SUM(IF(Cocina!A:A=Tabla5[[#This Row],[Nº Orden]],Cocina!F:F*Cocina!G:G,0))</f>
        <v>253</v>
      </c>
      <c r="AZ161" cm="1">
        <f t="array" ref="AZ161">SUM(IF(Cocina!A:A=Tabla5[[#This Row],[Nº Orden]],Cocina!E:E*Cocina!G:G,0))</f>
        <v>150</v>
      </c>
      <c r="BB161" t="str">
        <f>MID(Tabla4[[#This Row],[Cliente]], SEARCH("_", Tabla4[[#This Row],[Cliente]]) + 1, LEN(Tabla4[[#This Row],[Cliente]]) - SEARCH("_",Tabla4[[#This Row],[Cliente]]))</f>
        <v>580</v>
      </c>
      <c r="BC161" t="str">
        <f>sala!B160</f>
        <v>Cliente_580</v>
      </c>
      <c r="BD161" s="1">
        <f>sala!D160</f>
        <v>45018.006944444445</v>
      </c>
      <c r="BE161" s="1">
        <f>sala!E160</f>
        <v>45018.052083333336</v>
      </c>
      <c r="BF161">
        <f>sala!K160</f>
        <v>159</v>
      </c>
      <c r="BG161">
        <f>sala!I160</f>
        <v>4781</v>
      </c>
      <c r="BH161" cm="1">
        <f t="array" ref="BH161">SUM(IF(Cocina!A:A=Tabla4[[#This Row],[Número de Orden]],Cocina!F:F*Cocina!G:G,0))</f>
        <v>253</v>
      </c>
      <c r="BI161" t="str">
        <f>sala!J160</f>
        <v>Ocupada</v>
      </c>
      <c r="BJ161" s="4" t="str">
        <f>IF(Tabla4[[#This Row],[Estado mesa]]="Ocupada","00:15","00:00")</f>
        <v>00:15</v>
      </c>
      <c r="BK161" cm="1">
        <f t="array" ref="BK161">SUM(IF(Cocina!A:A=Tabla4[[#This Row],[Número de Orden]],Cocina!H:H,0))</f>
        <v>74</v>
      </c>
    </row>
    <row r="162" spans="1:63" x14ac:dyDescent="0.3">
      <c r="A162" s="8" t="str">
        <f>MID(Tabla4[[#This Row],[Cliente]], SEARCH("_", Tabla4[[#This Row],[Cliente]]) + 1, LEN(Tabla4[[#This Row],[Cliente]]) - SEARCH("_",Tabla4[[#This Row],[Cliente]]))</f>
        <v>788</v>
      </c>
      <c r="B162">
        <f>sala!K161</f>
        <v>160</v>
      </c>
      <c r="C162">
        <f>Tabla4[[#This Row],[Propina]]+Tabla4[[#This Row],[Precio Cena]]</f>
        <v>2758</v>
      </c>
      <c r="D162" s="3">
        <f>INT(sala!E161)</f>
        <v>45018</v>
      </c>
      <c r="E162" s="4">
        <f>MOD( sala!D161,1)</f>
        <v>4.5833333329937886E-2</v>
      </c>
      <c r="F162" s="4">
        <f>MOD( sala!E161,1)</f>
        <v>0.18958333333284827</v>
      </c>
      <c r="G162" s="4">
        <f>Tabla5[[#This Row],[Hora de Salida]]-Tabla5[[#This Row],[Hora de Llegada]]+Tabla4[[#This Row],[Tiempo Extra]]</f>
        <v>0.14375000000291038</v>
      </c>
      <c r="H162" s="5" t="str">
        <f>TEXT(Tabla4[[#This Row],[Preparación en horas]]/1440, "h:mm")</f>
        <v>1:07</v>
      </c>
      <c r="I162" s="4">
        <f>IF(Tabla5[[#This Row],[Tiempo Permanencia]]-Tabla5[[#This Row],[Tiempo de Preparación ]]&gt;=0,Tabla5[[#This Row],[Tiempo Permanencia]]-Tabla5[[#This Row],[Tiempo de Preparación ]],0)</f>
        <v>9.7222222225132604E-2</v>
      </c>
      <c r="J162" s="5" t="str">
        <f>IF(Tabla5[[#This Row],[Tiempo de Degustación]]=0,"No Cobrada","Cobrada")</f>
        <v>Cobrada</v>
      </c>
      <c r="K162" s="5" cm="1">
        <f t="array" ref="K162">SUM(IF(Tabla5[[#This Row],[Orden Cobrada]]="Cobrada",IF(Cocina!A:A=Tabla5[[#This Row],[Nº Orden]],Cocina!F:F*Cocina!G:G,0),-Tabla6[[#This Row],[Precio Cena]]))</f>
        <v>156</v>
      </c>
      <c r="L162" s="5">
        <f>IF(Tabla5[[#This Row],[Orden Cobrada]]="Cobrada",Tabla5[[#This Row],[Ganancia Bruta]]-Tabla6[[#This Row],[Coste Cena]],-Tabla6[[#This Row],[Precio Cena]]+Tabla6[[#This Row],[Coste Cena]])</f>
        <v>62</v>
      </c>
      <c r="M162" s="10">
        <f>IF(Tabla5[[#This Row],[Orden Cobrada]]="Cobrada",((Tabla5[[#This Row],[Ganancia Neta]]/Tabla5[[#This Row],[Ganancia Bruta]])*100)/100,-((Tabla5[[#This Row],[Ganancia Neta]]/Tabla5[[#This Row],[Ganancia Bruta]]*100)/100))</f>
        <v>0.39743589743589747</v>
      </c>
      <c r="N162" s="5" t="str">
        <f>sala!F161</f>
        <v>Mesero_2</v>
      </c>
      <c r="AY162" cm="1">
        <f t="array" ref="AY162">SUM(IF(Cocina!A:A=Tabla5[[#This Row],[Nº Orden]],Cocina!F:F*Cocina!G:G,0))</f>
        <v>156</v>
      </c>
      <c r="AZ162" cm="1">
        <f t="array" ref="AZ162">SUM(IF(Cocina!A:A=Tabla5[[#This Row],[Nº Orden]],Cocina!E:E*Cocina!G:G,0))</f>
        <v>94</v>
      </c>
      <c r="BB162" t="str">
        <f>MID(Tabla4[[#This Row],[Cliente]], SEARCH("_", Tabla4[[#This Row],[Cliente]]) + 1, LEN(Tabla4[[#This Row],[Cliente]]) - SEARCH("_",Tabla4[[#This Row],[Cliente]]))</f>
        <v>788</v>
      </c>
      <c r="BC162" t="str">
        <f>sala!B161</f>
        <v>Cliente_788</v>
      </c>
      <c r="BD162" s="1">
        <f>sala!D161</f>
        <v>45018.04583333333</v>
      </c>
      <c r="BE162" s="1">
        <f>sala!E161</f>
        <v>45018.189583333333</v>
      </c>
      <c r="BF162">
        <f>sala!K161</f>
        <v>160</v>
      </c>
      <c r="BG162">
        <f>sala!I161</f>
        <v>2602</v>
      </c>
      <c r="BH162" cm="1">
        <f t="array" ref="BH162">SUM(IF(Cocina!A:A=Tabla4[[#This Row],[Número de Orden]],Cocina!F:F*Cocina!G:G,0))</f>
        <v>156</v>
      </c>
      <c r="BI162" t="str">
        <f>sala!J161</f>
        <v>Reservada</v>
      </c>
      <c r="BJ162" s="4" t="str">
        <f>IF(Tabla4[[#This Row],[Estado mesa]]="Ocupada","00:15","00:00")</f>
        <v>00:00</v>
      </c>
      <c r="BK162" cm="1">
        <f t="array" ref="BK162">SUM(IF(Cocina!A:A=Tabla4[[#This Row],[Número de Orden]],Cocina!H:H,0))</f>
        <v>67</v>
      </c>
    </row>
    <row r="163" spans="1:63" x14ac:dyDescent="0.3">
      <c r="A163" s="8" t="str">
        <f>MID(Tabla4[[#This Row],[Cliente]], SEARCH("_", Tabla4[[#This Row],[Cliente]]) + 1, LEN(Tabla4[[#This Row],[Cliente]]) - SEARCH("_",Tabla4[[#This Row],[Cliente]]))</f>
        <v>892</v>
      </c>
      <c r="B163">
        <f>sala!K162</f>
        <v>161</v>
      </c>
      <c r="C163">
        <f>Tabla4[[#This Row],[Propina]]+Tabla4[[#This Row],[Precio Cena]]</f>
        <v>1970</v>
      </c>
      <c r="D163" s="3">
        <f>INT(sala!E162)</f>
        <v>45018</v>
      </c>
      <c r="E163" s="4">
        <f>MOD( sala!D162,1)</f>
        <v>3.125E-2</v>
      </c>
      <c r="F163" s="4">
        <f>MOD( sala!E162,1)</f>
        <v>0.18263888888759539</v>
      </c>
      <c r="G163" s="4">
        <f>Tabla5[[#This Row],[Hora de Salida]]-Tabla5[[#This Row],[Hora de Llegada]]+Tabla4[[#This Row],[Tiempo Extra]]</f>
        <v>0.15138888888759539</v>
      </c>
      <c r="H163" s="5" t="str">
        <f>TEXT(Tabla4[[#This Row],[Preparación en horas]]/1440, "h:mm")</f>
        <v>0:57</v>
      </c>
      <c r="I163" s="4">
        <f>IF(Tabla5[[#This Row],[Tiempo Permanencia]]-Tabla5[[#This Row],[Tiempo de Preparación ]]&gt;=0,Tabla5[[#This Row],[Tiempo Permanencia]]-Tabla5[[#This Row],[Tiempo de Preparación ]],0)</f>
        <v>0.11180555555426205</v>
      </c>
      <c r="J163" s="5" t="str">
        <f>IF(Tabla5[[#This Row],[Tiempo de Degustación]]=0,"No Cobrada","Cobrada")</f>
        <v>Cobrada</v>
      </c>
      <c r="K163" s="5" cm="1">
        <f t="array" ref="K163">SUM(IF(Tabla5[[#This Row],[Orden Cobrada]]="Cobrada",IF(Cocina!A:A=Tabla5[[#This Row],[Nº Orden]],Cocina!F:F*Cocina!G:G,0),-Tabla6[[#This Row],[Precio Cena]]))</f>
        <v>84</v>
      </c>
      <c r="L163" s="5">
        <f>IF(Tabla5[[#This Row],[Orden Cobrada]]="Cobrada",Tabla5[[#This Row],[Ganancia Bruta]]-Tabla6[[#This Row],[Coste Cena]],-Tabla6[[#This Row],[Precio Cena]]+Tabla6[[#This Row],[Coste Cena]])</f>
        <v>36</v>
      </c>
      <c r="M163" s="10">
        <f>IF(Tabla5[[#This Row],[Orden Cobrada]]="Cobrada",((Tabla5[[#This Row],[Ganancia Neta]]/Tabla5[[#This Row],[Ganancia Bruta]])*100)/100,-((Tabla5[[#This Row],[Ganancia Neta]]/Tabla5[[#This Row],[Ganancia Bruta]]*100)/100))</f>
        <v>0.42857142857142855</v>
      </c>
      <c r="N163" s="5" t="str">
        <f>sala!F162</f>
        <v>Mesero_2</v>
      </c>
      <c r="AY163" cm="1">
        <f t="array" ref="AY163">SUM(IF(Cocina!A:A=Tabla5[[#This Row],[Nº Orden]],Cocina!F:F*Cocina!G:G,0))</f>
        <v>84</v>
      </c>
      <c r="AZ163" cm="1">
        <f t="array" ref="AZ163">SUM(IF(Cocina!A:A=Tabla5[[#This Row],[Nº Orden]],Cocina!E:E*Cocina!G:G,0))</f>
        <v>48</v>
      </c>
      <c r="BB163" t="str">
        <f>MID(Tabla4[[#This Row],[Cliente]], SEARCH("_", Tabla4[[#This Row],[Cliente]]) + 1, LEN(Tabla4[[#This Row],[Cliente]]) - SEARCH("_",Tabla4[[#This Row],[Cliente]]))</f>
        <v>892</v>
      </c>
      <c r="BC163" t="str">
        <f>sala!B162</f>
        <v>Cliente_892</v>
      </c>
      <c r="BD163" s="1">
        <f>sala!D162</f>
        <v>45018.03125</v>
      </c>
      <c r="BE163" s="1">
        <f>sala!E162</f>
        <v>45018.182638888888</v>
      </c>
      <c r="BF163">
        <f>sala!K162</f>
        <v>161</v>
      </c>
      <c r="BG163">
        <f>sala!I162</f>
        <v>1886</v>
      </c>
      <c r="BH163" cm="1">
        <f t="array" ref="BH163">SUM(IF(Cocina!A:A=Tabla4[[#This Row],[Número de Orden]],Cocina!F:F*Cocina!G:G,0))</f>
        <v>84</v>
      </c>
      <c r="BI163" t="str">
        <f>sala!J162</f>
        <v>Reservada</v>
      </c>
      <c r="BJ163" s="4" t="str">
        <f>IF(Tabla4[[#This Row],[Estado mesa]]="Ocupada","00:15","00:00")</f>
        <v>00:00</v>
      </c>
      <c r="BK163" cm="1">
        <f t="array" ref="BK163">SUM(IF(Cocina!A:A=Tabla4[[#This Row],[Número de Orden]],Cocina!H:H,0))</f>
        <v>57</v>
      </c>
    </row>
    <row r="164" spans="1:63" x14ac:dyDescent="0.3">
      <c r="A164" s="8" t="str">
        <f>MID(Tabla4[[#This Row],[Cliente]], SEARCH("_", Tabla4[[#This Row],[Cliente]]) + 1, LEN(Tabla4[[#This Row],[Cliente]]) - SEARCH("_",Tabla4[[#This Row],[Cliente]]))</f>
        <v>406</v>
      </c>
      <c r="B164">
        <f>sala!K163</f>
        <v>162</v>
      </c>
      <c r="C164">
        <f>Tabla4[[#This Row],[Propina]]+Tabla4[[#This Row],[Precio Cena]]</f>
        <v>1827</v>
      </c>
      <c r="D164" s="3">
        <f>INT(sala!E163)</f>
        <v>45018</v>
      </c>
      <c r="E164" s="4">
        <f>MOD( sala!D163,1)</f>
        <v>3.9583333331393078E-2</v>
      </c>
      <c r="F164" s="4">
        <f>MOD( sala!E163,1)</f>
        <v>0.10694444444379769</v>
      </c>
      <c r="G164" s="4">
        <f>Tabla5[[#This Row],[Hora de Salida]]-Tabla5[[#This Row],[Hora de Llegada]]+Tabla4[[#This Row],[Tiempo Extra]]</f>
        <v>6.7361111112404615E-2</v>
      </c>
      <c r="H164" s="5" t="str">
        <f>TEXT(Tabla4[[#This Row],[Preparación en horas]]/1440, "h:mm")</f>
        <v>0:25</v>
      </c>
      <c r="I164" s="4">
        <f>IF(Tabla5[[#This Row],[Tiempo Permanencia]]-Tabla5[[#This Row],[Tiempo de Preparación ]]&gt;=0,Tabla5[[#This Row],[Tiempo Permanencia]]-Tabla5[[#This Row],[Tiempo de Preparación ]],0)</f>
        <v>5.0000000001293503E-2</v>
      </c>
      <c r="J164" s="5" t="str">
        <f>IF(Tabla5[[#This Row],[Tiempo de Degustación]]=0,"No Cobrada","Cobrada")</f>
        <v>Cobrada</v>
      </c>
      <c r="K164" s="5" cm="1">
        <f t="array" ref="K164">SUM(IF(Tabla5[[#This Row],[Orden Cobrada]]="Cobrada",IF(Cocina!A:A=Tabla5[[#This Row],[Nº Orden]],Cocina!F:F*Cocina!G:G,0),-Tabla6[[#This Row],[Precio Cena]]))</f>
        <v>72</v>
      </c>
      <c r="L164" s="5">
        <f>IF(Tabla5[[#This Row],[Orden Cobrada]]="Cobrada",Tabla5[[#This Row],[Ganancia Bruta]]-Tabla6[[#This Row],[Coste Cena]],-Tabla6[[#This Row],[Precio Cena]]+Tabla6[[#This Row],[Coste Cena]])</f>
        <v>30</v>
      </c>
      <c r="M164" s="10">
        <f>IF(Tabla5[[#This Row],[Orden Cobrada]]="Cobrada",((Tabla5[[#This Row],[Ganancia Neta]]/Tabla5[[#This Row],[Ganancia Bruta]])*100)/100,-((Tabla5[[#This Row],[Ganancia Neta]]/Tabla5[[#This Row],[Ganancia Bruta]]*100)/100))</f>
        <v>0.41666666666666674</v>
      </c>
      <c r="N164" s="5" t="str">
        <f>sala!F163</f>
        <v>Mesero_1</v>
      </c>
      <c r="AY164" cm="1">
        <f t="array" ref="AY164">SUM(IF(Cocina!A:A=Tabla5[[#This Row],[Nº Orden]],Cocina!F:F*Cocina!G:G,0))</f>
        <v>72</v>
      </c>
      <c r="AZ164" cm="1">
        <f t="array" ref="AZ164">SUM(IF(Cocina!A:A=Tabla5[[#This Row],[Nº Orden]],Cocina!E:E*Cocina!G:G,0))</f>
        <v>42</v>
      </c>
      <c r="BB164" t="str">
        <f>MID(Tabla4[[#This Row],[Cliente]], SEARCH("_", Tabla4[[#This Row],[Cliente]]) + 1, LEN(Tabla4[[#This Row],[Cliente]]) - SEARCH("_",Tabla4[[#This Row],[Cliente]]))</f>
        <v>406</v>
      </c>
      <c r="BC164" t="str">
        <f>sala!B163</f>
        <v>Cliente_406</v>
      </c>
      <c r="BD164" s="1">
        <f>sala!D163</f>
        <v>45018.039583333331</v>
      </c>
      <c r="BE164" s="1">
        <f>sala!E163</f>
        <v>45018.106944444444</v>
      </c>
      <c r="BF164">
        <f>sala!K163</f>
        <v>162</v>
      </c>
      <c r="BG164">
        <f>sala!I163</f>
        <v>1755</v>
      </c>
      <c r="BH164" cm="1">
        <f t="array" ref="BH164">SUM(IF(Cocina!A:A=Tabla4[[#This Row],[Número de Orden]],Cocina!F:F*Cocina!G:G,0))</f>
        <v>72</v>
      </c>
      <c r="BI164" t="str">
        <f>sala!J163</f>
        <v>Reservada</v>
      </c>
      <c r="BJ164" s="4" t="str">
        <f>IF(Tabla4[[#This Row],[Estado mesa]]="Ocupada","00:15","00:00")</f>
        <v>00:00</v>
      </c>
      <c r="BK164" cm="1">
        <f t="array" ref="BK164">SUM(IF(Cocina!A:A=Tabla4[[#This Row],[Número de Orden]],Cocina!H:H,0))</f>
        <v>25</v>
      </c>
    </row>
    <row r="165" spans="1:63" x14ac:dyDescent="0.3">
      <c r="A165" s="8" t="str">
        <f>MID(Tabla4[[#This Row],[Cliente]], SEARCH("_", Tabla4[[#This Row],[Cliente]]) + 1, LEN(Tabla4[[#This Row],[Cliente]]) - SEARCH("_",Tabla4[[#This Row],[Cliente]]))</f>
        <v>295</v>
      </c>
      <c r="B165">
        <f>sala!K164</f>
        <v>163</v>
      </c>
      <c r="C165">
        <f>Tabla4[[#This Row],[Propina]]+Tabla4[[#This Row],[Precio Cena]]</f>
        <v>1765</v>
      </c>
      <c r="D165" s="3">
        <f>INT(sala!E164)</f>
        <v>45018</v>
      </c>
      <c r="E165" s="4">
        <f>MOD( sala!D164,1)</f>
        <v>6.5972222218988463E-2</v>
      </c>
      <c r="F165" s="4">
        <f>MOD( sala!E164,1)</f>
        <v>0.17291666667006211</v>
      </c>
      <c r="G165" s="4">
        <f>Tabla5[[#This Row],[Hora de Salida]]-Tabla5[[#This Row],[Hora de Llegada]]+Tabla4[[#This Row],[Tiempo Extra]]</f>
        <v>0.11736111111774032</v>
      </c>
      <c r="H165" s="5" t="str">
        <f>TEXT(Tabla4[[#This Row],[Preparación en horas]]/1440, "h:mm")</f>
        <v>1:11</v>
      </c>
      <c r="I165" s="4">
        <f>IF(Tabla5[[#This Row],[Tiempo Permanencia]]-Tabla5[[#This Row],[Tiempo de Preparación ]]&gt;=0,Tabla5[[#This Row],[Tiempo Permanencia]]-Tabla5[[#This Row],[Tiempo de Preparación ]],0)</f>
        <v>6.8055555562184761E-2</v>
      </c>
      <c r="J165" s="5" t="str">
        <f>IF(Tabla5[[#This Row],[Tiempo de Degustación]]=0,"No Cobrada","Cobrada")</f>
        <v>Cobrada</v>
      </c>
      <c r="K165" s="5" cm="1">
        <f t="array" ref="K165">SUM(IF(Tabla5[[#This Row],[Orden Cobrada]]="Cobrada",IF(Cocina!A:A=Tabla5[[#This Row],[Nº Orden]],Cocina!F:F*Cocina!G:G,0),-Tabla6[[#This Row],[Precio Cena]]))</f>
        <v>271</v>
      </c>
      <c r="L165" s="5">
        <f>IF(Tabla5[[#This Row],[Orden Cobrada]]="Cobrada",Tabla5[[#This Row],[Ganancia Bruta]]-Tabla6[[#This Row],[Coste Cena]],-Tabla6[[#This Row],[Precio Cena]]+Tabla6[[#This Row],[Coste Cena]])</f>
        <v>107</v>
      </c>
      <c r="M165" s="10">
        <f>IF(Tabla5[[#This Row],[Orden Cobrada]]="Cobrada",((Tabla5[[#This Row],[Ganancia Neta]]/Tabla5[[#This Row],[Ganancia Bruta]])*100)/100,-((Tabla5[[#This Row],[Ganancia Neta]]/Tabla5[[#This Row],[Ganancia Bruta]]*100)/100))</f>
        <v>0.39483394833948338</v>
      </c>
      <c r="N165" s="5" t="str">
        <f>sala!F164</f>
        <v>Mesero_5</v>
      </c>
      <c r="AY165" cm="1">
        <f t="array" ref="AY165">SUM(IF(Cocina!A:A=Tabla5[[#This Row],[Nº Orden]],Cocina!F:F*Cocina!G:G,0))</f>
        <v>271</v>
      </c>
      <c r="AZ165" cm="1">
        <f t="array" ref="AZ165">SUM(IF(Cocina!A:A=Tabla5[[#This Row],[Nº Orden]],Cocina!E:E*Cocina!G:G,0))</f>
        <v>164</v>
      </c>
      <c r="BB165" t="str">
        <f>MID(Tabla4[[#This Row],[Cliente]], SEARCH("_", Tabla4[[#This Row],[Cliente]]) + 1, LEN(Tabla4[[#This Row],[Cliente]]) - SEARCH("_",Tabla4[[#This Row],[Cliente]]))</f>
        <v>295</v>
      </c>
      <c r="BC165" t="str">
        <f>sala!B164</f>
        <v>Cliente_295</v>
      </c>
      <c r="BD165" s="1">
        <f>sala!D164</f>
        <v>45018.065972222219</v>
      </c>
      <c r="BE165" s="1">
        <f>sala!E164</f>
        <v>45018.17291666667</v>
      </c>
      <c r="BF165">
        <f>sala!K164</f>
        <v>163</v>
      </c>
      <c r="BG165">
        <f>sala!I164</f>
        <v>1494</v>
      </c>
      <c r="BH165" cm="1">
        <f t="array" ref="BH165">SUM(IF(Cocina!A:A=Tabla4[[#This Row],[Número de Orden]],Cocina!F:F*Cocina!G:G,0))</f>
        <v>271</v>
      </c>
      <c r="BI165" t="str">
        <f>sala!J164</f>
        <v>Ocupada</v>
      </c>
      <c r="BJ165" s="4" t="str">
        <f>IF(Tabla4[[#This Row],[Estado mesa]]="Ocupada","00:15","00:00")</f>
        <v>00:15</v>
      </c>
      <c r="BK165" cm="1">
        <f t="array" ref="BK165">SUM(IF(Cocina!A:A=Tabla4[[#This Row],[Número de Orden]],Cocina!H:H,0))</f>
        <v>71</v>
      </c>
    </row>
    <row r="166" spans="1:63" x14ac:dyDescent="0.3">
      <c r="A166" s="8" t="str">
        <f>MID(Tabla4[[#This Row],[Cliente]], SEARCH("_", Tabla4[[#This Row],[Cliente]]) + 1, LEN(Tabla4[[#This Row],[Cliente]]) - SEARCH("_",Tabla4[[#This Row],[Cliente]]))</f>
        <v>547</v>
      </c>
      <c r="B166">
        <f>sala!K165</f>
        <v>164</v>
      </c>
      <c r="C166">
        <f>Tabla4[[#This Row],[Propina]]+Tabla4[[#This Row],[Precio Cena]]</f>
        <v>4923</v>
      </c>
      <c r="D166" s="3">
        <f>INT(sala!E165)</f>
        <v>45018</v>
      </c>
      <c r="E166" s="4">
        <f>MOD( sala!D165,1)</f>
        <v>0.10694444444379769</v>
      </c>
      <c r="F166" s="4">
        <f>MOD( sala!E165,1)</f>
        <v>0.25138888888614019</v>
      </c>
      <c r="G166" s="4">
        <f>Tabla5[[#This Row],[Hora de Salida]]-Tabla5[[#This Row],[Hora de Llegada]]+Tabla4[[#This Row],[Tiempo Extra]]</f>
        <v>0.1444444444423425</v>
      </c>
      <c r="H166" s="5" t="str">
        <f>TEXT(Tabla4[[#This Row],[Preparación en horas]]/1440, "h:mm")</f>
        <v>1:45</v>
      </c>
      <c r="I166" s="4">
        <f>IF(Tabla5[[#This Row],[Tiempo Permanencia]]-Tabla5[[#This Row],[Tiempo de Preparación ]]&gt;=0,Tabla5[[#This Row],[Tiempo Permanencia]]-Tabla5[[#This Row],[Tiempo de Preparación ]],0)</f>
        <v>7.152777777567583E-2</v>
      </c>
      <c r="J166" s="5" t="str">
        <f>IF(Tabla5[[#This Row],[Tiempo de Degustación]]=0,"No Cobrada","Cobrada")</f>
        <v>Cobrada</v>
      </c>
      <c r="K166" s="5" cm="1">
        <f t="array" ref="K166">SUM(IF(Tabla5[[#This Row],[Orden Cobrada]]="Cobrada",IF(Cocina!A:A=Tabla5[[#This Row],[Nº Orden]],Cocina!F:F*Cocina!G:G,0),-Tabla6[[#This Row],[Precio Cena]]))</f>
        <v>170</v>
      </c>
      <c r="L166" s="5">
        <f>IF(Tabla5[[#This Row],[Orden Cobrada]]="Cobrada",Tabla5[[#This Row],[Ganancia Bruta]]-Tabla6[[#This Row],[Coste Cena]],-Tabla6[[#This Row],[Precio Cena]]+Tabla6[[#This Row],[Coste Cena]])</f>
        <v>69</v>
      </c>
      <c r="M166" s="10">
        <f>IF(Tabla5[[#This Row],[Orden Cobrada]]="Cobrada",((Tabla5[[#This Row],[Ganancia Neta]]/Tabla5[[#This Row],[Ganancia Bruta]])*100)/100,-((Tabla5[[#This Row],[Ganancia Neta]]/Tabla5[[#This Row],[Ganancia Bruta]]*100)/100))</f>
        <v>0.40588235294117647</v>
      </c>
      <c r="N166" s="5" t="str">
        <f>sala!F165</f>
        <v>Mesero_4</v>
      </c>
      <c r="AY166" cm="1">
        <f t="array" ref="AY166">SUM(IF(Cocina!A:A=Tabla5[[#This Row],[Nº Orden]],Cocina!F:F*Cocina!G:G,0))</f>
        <v>170</v>
      </c>
      <c r="AZ166" cm="1">
        <f t="array" ref="AZ166">SUM(IF(Cocina!A:A=Tabla5[[#This Row],[Nº Orden]],Cocina!E:E*Cocina!G:G,0))</f>
        <v>101</v>
      </c>
      <c r="BB166" t="str">
        <f>MID(Tabla4[[#This Row],[Cliente]], SEARCH("_", Tabla4[[#This Row],[Cliente]]) + 1, LEN(Tabla4[[#This Row],[Cliente]]) - SEARCH("_",Tabla4[[#This Row],[Cliente]]))</f>
        <v>547</v>
      </c>
      <c r="BC166" t="str">
        <f>sala!B165</f>
        <v>Cliente_547</v>
      </c>
      <c r="BD166" s="1">
        <f>sala!D165</f>
        <v>45018.106944444444</v>
      </c>
      <c r="BE166" s="1">
        <f>sala!E165</f>
        <v>45018.251388888886</v>
      </c>
      <c r="BF166">
        <f>sala!K165</f>
        <v>164</v>
      </c>
      <c r="BG166">
        <f>sala!I165</f>
        <v>4753</v>
      </c>
      <c r="BH166" cm="1">
        <f t="array" ref="BH166">SUM(IF(Cocina!A:A=Tabla4[[#This Row],[Número de Orden]],Cocina!F:F*Cocina!G:G,0))</f>
        <v>170</v>
      </c>
      <c r="BI166" t="str">
        <f>sala!J165</f>
        <v>Reservada</v>
      </c>
      <c r="BJ166" s="4" t="str">
        <f>IF(Tabla4[[#This Row],[Estado mesa]]="Ocupada","00:15","00:00")</f>
        <v>00:00</v>
      </c>
      <c r="BK166" cm="1">
        <f t="array" ref="BK166">SUM(IF(Cocina!A:A=Tabla4[[#This Row],[Número de Orden]],Cocina!H:H,0))</f>
        <v>105</v>
      </c>
    </row>
    <row r="167" spans="1:63" x14ac:dyDescent="0.3">
      <c r="A167" s="8" t="str">
        <f>MID(Tabla4[[#This Row],[Cliente]], SEARCH("_", Tabla4[[#This Row],[Cliente]]) + 1, LEN(Tabla4[[#This Row],[Cliente]]) - SEARCH("_",Tabla4[[#This Row],[Cliente]]))</f>
        <v>156</v>
      </c>
      <c r="B167">
        <f>sala!K166</f>
        <v>165</v>
      </c>
      <c r="C167">
        <f>Tabla4[[#This Row],[Propina]]+Tabla4[[#This Row],[Precio Cena]]</f>
        <v>509</v>
      </c>
      <c r="D167" s="3">
        <f>INT(sala!E166)</f>
        <v>45018</v>
      </c>
      <c r="E167" s="4">
        <f>MOD( sala!D166,1)</f>
        <v>9.7916666665696539E-2</v>
      </c>
      <c r="F167" s="4">
        <f>MOD( sala!E166,1)</f>
        <v>0.21666666666715173</v>
      </c>
      <c r="G167" s="4">
        <f>Tabla5[[#This Row],[Hora de Salida]]-Tabla5[[#This Row],[Hora de Llegada]]+Tabla4[[#This Row],[Tiempo Extra]]</f>
        <v>0.12916666666812185</v>
      </c>
      <c r="H167" s="5" t="str">
        <f>TEXT(Tabla4[[#This Row],[Preparación en horas]]/1440, "h:mm")</f>
        <v>0:56</v>
      </c>
      <c r="I167" s="4">
        <f>IF(Tabla5[[#This Row],[Tiempo Permanencia]]-Tabla5[[#This Row],[Tiempo de Preparación ]]&gt;=0,Tabla5[[#This Row],[Tiempo Permanencia]]-Tabla5[[#This Row],[Tiempo de Preparación ]],0)</f>
        <v>9.0277777779232959E-2</v>
      </c>
      <c r="J167" s="5" t="str">
        <f>IF(Tabla5[[#This Row],[Tiempo de Degustación]]=0,"No Cobrada","Cobrada")</f>
        <v>Cobrada</v>
      </c>
      <c r="K167" s="5" cm="1">
        <f t="array" ref="K167">SUM(IF(Tabla5[[#This Row],[Orden Cobrada]]="Cobrada",IF(Cocina!A:A=Tabla5[[#This Row],[Nº Orden]],Cocina!F:F*Cocina!G:G,0),-Tabla6[[#This Row],[Precio Cena]]))</f>
        <v>90</v>
      </c>
      <c r="L167" s="5">
        <f>IF(Tabla5[[#This Row],[Orden Cobrada]]="Cobrada",Tabla5[[#This Row],[Ganancia Bruta]]-Tabla6[[#This Row],[Coste Cena]],-Tabla6[[#This Row],[Precio Cena]]+Tabla6[[#This Row],[Coste Cena]])</f>
        <v>36</v>
      </c>
      <c r="M167" s="10">
        <f>IF(Tabla5[[#This Row],[Orden Cobrada]]="Cobrada",((Tabla5[[#This Row],[Ganancia Neta]]/Tabla5[[#This Row],[Ganancia Bruta]])*100)/100,-((Tabla5[[#This Row],[Ganancia Neta]]/Tabla5[[#This Row],[Ganancia Bruta]]*100)/100))</f>
        <v>0.4</v>
      </c>
      <c r="N167" s="5" t="str">
        <f>sala!F166</f>
        <v>Mesero_3</v>
      </c>
      <c r="AY167" cm="1">
        <f t="array" ref="AY167">SUM(IF(Cocina!A:A=Tabla5[[#This Row],[Nº Orden]],Cocina!F:F*Cocina!G:G,0))</f>
        <v>90</v>
      </c>
      <c r="AZ167" cm="1">
        <f t="array" ref="AZ167">SUM(IF(Cocina!A:A=Tabla5[[#This Row],[Nº Orden]],Cocina!E:E*Cocina!G:G,0))</f>
        <v>54</v>
      </c>
      <c r="BB167" t="str">
        <f>MID(Tabla4[[#This Row],[Cliente]], SEARCH("_", Tabla4[[#This Row],[Cliente]]) + 1, LEN(Tabla4[[#This Row],[Cliente]]) - SEARCH("_",Tabla4[[#This Row],[Cliente]]))</f>
        <v>156</v>
      </c>
      <c r="BC167" t="str">
        <f>sala!B166</f>
        <v>Cliente_156</v>
      </c>
      <c r="BD167" s="1">
        <f>sala!D166</f>
        <v>45018.097916666666</v>
      </c>
      <c r="BE167" s="1">
        <f>sala!E166</f>
        <v>45018.216666666667</v>
      </c>
      <c r="BF167">
        <f>sala!K166</f>
        <v>165</v>
      </c>
      <c r="BG167">
        <f>sala!I166</f>
        <v>419</v>
      </c>
      <c r="BH167" cm="1">
        <f t="array" ref="BH167">SUM(IF(Cocina!A:A=Tabla4[[#This Row],[Número de Orden]],Cocina!F:F*Cocina!G:G,0))</f>
        <v>90</v>
      </c>
      <c r="BI167" t="str">
        <f>sala!J166</f>
        <v>Ocupada</v>
      </c>
      <c r="BJ167" s="4" t="str">
        <f>IF(Tabla4[[#This Row],[Estado mesa]]="Ocupada","00:15","00:00")</f>
        <v>00:15</v>
      </c>
      <c r="BK167" cm="1">
        <f t="array" ref="BK167">SUM(IF(Cocina!A:A=Tabla4[[#This Row],[Número de Orden]],Cocina!H:H,0))</f>
        <v>56</v>
      </c>
    </row>
    <row r="168" spans="1:63" x14ac:dyDescent="0.3">
      <c r="A168" s="8" t="str">
        <f>MID(Tabla4[[#This Row],[Cliente]], SEARCH("_", Tabla4[[#This Row],[Cliente]]) + 1, LEN(Tabla4[[#This Row],[Cliente]]) - SEARCH("_",Tabla4[[#This Row],[Cliente]]))</f>
        <v>768</v>
      </c>
      <c r="B168">
        <f>sala!K167</f>
        <v>166</v>
      </c>
      <c r="C168">
        <f>Tabla4[[#This Row],[Propina]]+Tabla4[[#This Row],[Precio Cena]]</f>
        <v>4441</v>
      </c>
      <c r="D168" s="3">
        <f>INT(sala!E167)</f>
        <v>45018</v>
      </c>
      <c r="E168" s="4">
        <f>MOD( sala!D167,1)</f>
        <v>5.4166666668606922E-2</v>
      </c>
      <c r="F168" s="4">
        <f>MOD( sala!E167,1)</f>
        <v>0.11388888888905058</v>
      </c>
      <c r="G168" s="4">
        <f>Tabla5[[#This Row],[Hora de Salida]]-Tabla5[[#This Row],[Hora de Llegada]]+Tabla4[[#This Row],[Tiempo Extra]]</f>
        <v>7.0138888887110326E-2</v>
      </c>
      <c r="H168" s="5" t="str">
        <f>TEXT(Tabla4[[#This Row],[Preparación en horas]]/1440, "h:mm")</f>
        <v>0:22</v>
      </c>
      <c r="I168" s="4">
        <f>IF(Tabla5[[#This Row],[Tiempo Permanencia]]-Tabla5[[#This Row],[Tiempo de Preparación ]]&gt;=0,Tabla5[[#This Row],[Tiempo Permanencia]]-Tabla5[[#This Row],[Tiempo de Preparación ]],0)</f>
        <v>5.4861111109332547E-2</v>
      </c>
      <c r="J168" s="5" t="str">
        <f>IF(Tabla5[[#This Row],[Tiempo de Degustación]]=0,"No Cobrada","Cobrada")</f>
        <v>Cobrada</v>
      </c>
      <c r="K168" s="5" cm="1">
        <f t="array" ref="K168">SUM(IF(Tabla5[[#This Row],[Orden Cobrada]]="Cobrada",IF(Cocina!A:A=Tabla5[[#This Row],[Nº Orden]],Cocina!F:F*Cocina!G:G,0),-Tabla6[[#This Row],[Precio Cena]]))</f>
        <v>46</v>
      </c>
      <c r="L168" s="5">
        <f>IF(Tabla5[[#This Row],[Orden Cobrada]]="Cobrada",Tabla5[[#This Row],[Ganancia Bruta]]-Tabla6[[#This Row],[Coste Cena]],-Tabla6[[#This Row],[Precio Cena]]+Tabla6[[#This Row],[Coste Cena]])</f>
        <v>18</v>
      </c>
      <c r="M168" s="10">
        <f>IF(Tabla5[[#This Row],[Orden Cobrada]]="Cobrada",((Tabla5[[#This Row],[Ganancia Neta]]/Tabla5[[#This Row],[Ganancia Bruta]])*100)/100,-((Tabla5[[#This Row],[Ganancia Neta]]/Tabla5[[#This Row],[Ganancia Bruta]]*100)/100))</f>
        <v>0.39130434782608697</v>
      </c>
      <c r="N168" s="5" t="str">
        <f>sala!F167</f>
        <v>Mesero_4</v>
      </c>
      <c r="AY168" cm="1">
        <f t="array" ref="AY168">SUM(IF(Cocina!A:A=Tabla5[[#This Row],[Nº Orden]],Cocina!F:F*Cocina!G:G,0))</f>
        <v>46</v>
      </c>
      <c r="AZ168" cm="1">
        <f t="array" ref="AZ168">SUM(IF(Cocina!A:A=Tabla5[[#This Row],[Nº Orden]],Cocina!E:E*Cocina!G:G,0))</f>
        <v>28</v>
      </c>
      <c r="BB168" t="str">
        <f>MID(Tabla4[[#This Row],[Cliente]], SEARCH("_", Tabla4[[#This Row],[Cliente]]) + 1, LEN(Tabla4[[#This Row],[Cliente]]) - SEARCH("_",Tabla4[[#This Row],[Cliente]]))</f>
        <v>768</v>
      </c>
      <c r="BC168" t="str">
        <f>sala!B167</f>
        <v>Cliente_768</v>
      </c>
      <c r="BD168" s="1">
        <f>sala!D167</f>
        <v>45018.054166666669</v>
      </c>
      <c r="BE168" s="1">
        <f>sala!E167</f>
        <v>45018.113888888889</v>
      </c>
      <c r="BF168">
        <f>sala!K167</f>
        <v>166</v>
      </c>
      <c r="BG168">
        <f>sala!I167</f>
        <v>4395</v>
      </c>
      <c r="BH168" cm="1">
        <f t="array" ref="BH168">SUM(IF(Cocina!A:A=Tabla4[[#This Row],[Número de Orden]],Cocina!F:F*Cocina!G:G,0))</f>
        <v>46</v>
      </c>
      <c r="BI168" t="str">
        <f>sala!J167</f>
        <v>Ocupada</v>
      </c>
      <c r="BJ168" s="4" t="str">
        <f>IF(Tabla4[[#This Row],[Estado mesa]]="Ocupada","00:15","00:00")</f>
        <v>00:15</v>
      </c>
      <c r="BK168" cm="1">
        <f t="array" ref="BK168">SUM(IF(Cocina!A:A=Tabla4[[#This Row],[Número de Orden]],Cocina!H:H,0))</f>
        <v>22</v>
      </c>
    </row>
    <row r="169" spans="1:63" x14ac:dyDescent="0.3">
      <c r="A169" s="8" t="str">
        <f>MID(Tabla4[[#This Row],[Cliente]], SEARCH("_", Tabla4[[#This Row],[Cliente]]) + 1, LEN(Tabla4[[#This Row],[Cliente]]) - SEARCH("_",Tabla4[[#This Row],[Cliente]]))</f>
        <v>359</v>
      </c>
      <c r="B169">
        <f>sala!K168</f>
        <v>167</v>
      </c>
      <c r="C169">
        <f>Tabla4[[#This Row],[Propina]]+Tabla4[[#This Row],[Precio Cena]]</f>
        <v>4426</v>
      </c>
      <c r="D169" s="3">
        <f>INT(sala!E168)</f>
        <v>45018</v>
      </c>
      <c r="E169" s="4">
        <f>MOD( sala!D168,1)</f>
        <v>5.486111110803904E-2</v>
      </c>
      <c r="F169" s="4">
        <f>MOD( sala!E168,1)</f>
        <v>0.11527777777519077</v>
      </c>
      <c r="G169" s="4">
        <f>Tabla5[[#This Row],[Hora de Salida]]-Tabla5[[#This Row],[Hora de Llegada]]+Tabla4[[#This Row],[Tiempo Extra]]</f>
        <v>6.0416666667151731E-2</v>
      </c>
      <c r="H169" s="5" t="str">
        <f>TEXT(Tabla4[[#This Row],[Preparación en horas]]/1440, "h:mm")</f>
        <v>1:16</v>
      </c>
      <c r="I169" s="4">
        <f>IF(Tabla5[[#This Row],[Tiempo Permanencia]]-Tabla5[[#This Row],[Tiempo de Preparación ]]&gt;=0,Tabla5[[#This Row],[Tiempo Permanencia]]-Tabla5[[#This Row],[Tiempo de Preparación ]],0)</f>
        <v>7.6388888893739529E-3</v>
      </c>
      <c r="J169" s="5" t="str">
        <f>IF(Tabla5[[#This Row],[Tiempo de Degustación]]=0,"No Cobrada","Cobrada")</f>
        <v>Cobrada</v>
      </c>
      <c r="K169" s="5" cm="1">
        <f t="array" ref="K169">SUM(IF(Tabla5[[#This Row],[Orden Cobrada]]="Cobrada",IF(Cocina!A:A=Tabla5[[#This Row],[Nº Orden]],Cocina!F:F*Cocina!G:G,0),-Tabla6[[#This Row],[Precio Cena]]))</f>
        <v>152</v>
      </c>
      <c r="L169" s="5">
        <f>IF(Tabla5[[#This Row],[Orden Cobrada]]="Cobrada",Tabla5[[#This Row],[Ganancia Bruta]]-Tabla6[[#This Row],[Coste Cena]],-Tabla6[[#This Row],[Precio Cena]]+Tabla6[[#This Row],[Coste Cena]])</f>
        <v>62</v>
      </c>
      <c r="M169" s="10">
        <f>IF(Tabla5[[#This Row],[Orden Cobrada]]="Cobrada",((Tabla5[[#This Row],[Ganancia Neta]]/Tabla5[[#This Row],[Ganancia Bruta]])*100)/100,-((Tabla5[[#This Row],[Ganancia Neta]]/Tabla5[[#This Row],[Ganancia Bruta]]*100)/100))</f>
        <v>0.40789473684210525</v>
      </c>
      <c r="N169" s="5" t="str">
        <f>sala!F168</f>
        <v>Mesero_2</v>
      </c>
      <c r="AY169" cm="1">
        <f t="array" ref="AY169">SUM(IF(Cocina!A:A=Tabla5[[#This Row],[Nº Orden]],Cocina!F:F*Cocina!G:G,0))</f>
        <v>152</v>
      </c>
      <c r="AZ169" cm="1">
        <f t="array" ref="AZ169">SUM(IF(Cocina!A:A=Tabla5[[#This Row],[Nº Orden]],Cocina!E:E*Cocina!G:G,0))</f>
        <v>90</v>
      </c>
      <c r="BB169" t="str">
        <f>MID(Tabla4[[#This Row],[Cliente]], SEARCH("_", Tabla4[[#This Row],[Cliente]]) + 1, LEN(Tabla4[[#This Row],[Cliente]]) - SEARCH("_",Tabla4[[#This Row],[Cliente]]))</f>
        <v>359</v>
      </c>
      <c r="BC169" t="str">
        <f>sala!B168</f>
        <v>Cliente_359</v>
      </c>
      <c r="BD169" s="1">
        <f>sala!D168</f>
        <v>45018.054861111108</v>
      </c>
      <c r="BE169" s="1">
        <f>sala!E168</f>
        <v>45018.115277777775</v>
      </c>
      <c r="BF169">
        <f>sala!K168</f>
        <v>167</v>
      </c>
      <c r="BG169">
        <f>sala!I168</f>
        <v>4274</v>
      </c>
      <c r="BH169" cm="1">
        <f t="array" ref="BH169">SUM(IF(Cocina!A:A=Tabla4[[#This Row],[Número de Orden]],Cocina!F:F*Cocina!G:G,0))</f>
        <v>152</v>
      </c>
      <c r="BI169" t="str">
        <f>sala!J168</f>
        <v>Reservada</v>
      </c>
      <c r="BJ169" s="4" t="str">
        <f>IF(Tabla4[[#This Row],[Estado mesa]]="Ocupada","00:15","00:00")</f>
        <v>00:00</v>
      </c>
      <c r="BK169" cm="1">
        <f t="array" ref="BK169">SUM(IF(Cocina!A:A=Tabla4[[#This Row],[Número de Orden]],Cocina!H:H,0))</f>
        <v>76</v>
      </c>
    </row>
    <row r="170" spans="1:63" x14ac:dyDescent="0.3">
      <c r="A170" s="8" t="str">
        <f>MID(Tabla4[[#This Row],[Cliente]], SEARCH("_", Tabla4[[#This Row],[Cliente]]) + 1, LEN(Tabla4[[#This Row],[Cliente]]) - SEARCH("_",Tabla4[[#This Row],[Cliente]]))</f>
        <v>131</v>
      </c>
      <c r="B170">
        <f>sala!K169</f>
        <v>168</v>
      </c>
      <c r="C170">
        <f>Tabla4[[#This Row],[Propina]]+Tabla4[[#This Row],[Precio Cena]]</f>
        <v>1753</v>
      </c>
      <c r="D170" s="3">
        <f>INT(sala!E169)</f>
        <v>45018</v>
      </c>
      <c r="E170" s="4">
        <f>MOD( sala!D169,1)</f>
        <v>8.6805555554747116E-2</v>
      </c>
      <c r="F170" s="4">
        <f>MOD( sala!E169,1)</f>
        <v>0.14097222222335404</v>
      </c>
      <c r="G170" s="4">
        <f>Tabla5[[#This Row],[Hora de Salida]]-Tabla5[[#This Row],[Hora de Llegada]]+Tabla4[[#This Row],[Tiempo Extra]]</f>
        <v>5.4166666668606922E-2</v>
      </c>
      <c r="H170" s="5" t="str">
        <f>TEXT(Tabla4[[#This Row],[Preparación en horas]]/1440, "h:mm")</f>
        <v>0:07</v>
      </c>
      <c r="I170" s="4">
        <f>IF(Tabla5[[#This Row],[Tiempo Permanencia]]-Tabla5[[#This Row],[Tiempo de Preparación ]]&gt;=0,Tabla5[[#This Row],[Tiempo Permanencia]]-Tabla5[[#This Row],[Tiempo de Preparación ]],0)</f>
        <v>4.9305555557495814E-2</v>
      </c>
      <c r="J170" s="5" t="str">
        <f>IF(Tabla5[[#This Row],[Tiempo de Degustación]]=0,"No Cobrada","Cobrada")</f>
        <v>Cobrada</v>
      </c>
      <c r="K170" s="5" cm="1">
        <f t="array" ref="K170">SUM(IF(Tabla5[[#This Row],[Orden Cobrada]]="Cobrada",IF(Cocina!A:A=Tabla5[[#This Row],[Nº Orden]],Cocina!F:F*Cocina!G:G,0),-Tabla6[[#This Row],[Precio Cena]]))</f>
        <v>44</v>
      </c>
      <c r="L170" s="5">
        <f>IF(Tabla5[[#This Row],[Orden Cobrada]]="Cobrada",Tabla5[[#This Row],[Ganancia Bruta]]-Tabla6[[#This Row],[Coste Cena]],-Tabla6[[#This Row],[Precio Cena]]+Tabla6[[#This Row],[Coste Cena]])</f>
        <v>18</v>
      </c>
      <c r="M170" s="10">
        <f>IF(Tabla5[[#This Row],[Orden Cobrada]]="Cobrada",((Tabla5[[#This Row],[Ganancia Neta]]/Tabla5[[#This Row],[Ganancia Bruta]])*100)/100,-((Tabla5[[#This Row],[Ganancia Neta]]/Tabla5[[#This Row],[Ganancia Bruta]]*100)/100))</f>
        <v>0.40909090909090912</v>
      </c>
      <c r="N170" s="5" t="str">
        <f>sala!F169</f>
        <v>Mesero_1</v>
      </c>
      <c r="AY170" cm="1">
        <f t="array" ref="AY170">SUM(IF(Cocina!A:A=Tabla5[[#This Row],[Nº Orden]],Cocina!F:F*Cocina!G:G,0))</f>
        <v>44</v>
      </c>
      <c r="AZ170" cm="1">
        <f t="array" ref="AZ170">SUM(IF(Cocina!A:A=Tabla5[[#This Row],[Nº Orden]],Cocina!E:E*Cocina!G:G,0))</f>
        <v>26</v>
      </c>
      <c r="BB170" t="str">
        <f>MID(Tabla4[[#This Row],[Cliente]], SEARCH("_", Tabla4[[#This Row],[Cliente]]) + 1, LEN(Tabla4[[#This Row],[Cliente]]) - SEARCH("_",Tabla4[[#This Row],[Cliente]]))</f>
        <v>131</v>
      </c>
      <c r="BC170" t="str">
        <f>sala!B169</f>
        <v>Cliente_131</v>
      </c>
      <c r="BD170" s="1">
        <f>sala!D169</f>
        <v>45018.086805555555</v>
      </c>
      <c r="BE170" s="1">
        <f>sala!E169</f>
        <v>45018.140972222223</v>
      </c>
      <c r="BF170">
        <f>sala!K169</f>
        <v>168</v>
      </c>
      <c r="BG170">
        <f>sala!I169</f>
        <v>1709</v>
      </c>
      <c r="BH170" cm="1">
        <f t="array" ref="BH170">SUM(IF(Cocina!A:A=Tabla4[[#This Row],[Número de Orden]],Cocina!F:F*Cocina!G:G,0))</f>
        <v>44</v>
      </c>
      <c r="BI170" t="str">
        <f>sala!J169</f>
        <v>Reservada</v>
      </c>
      <c r="BJ170" s="4" t="str">
        <f>IF(Tabla4[[#This Row],[Estado mesa]]="Ocupada","00:15","00:00")</f>
        <v>00:00</v>
      </c>
      <c r="BK170" cm="1">
        <f t="array" ref="BK170">SUM(IF(Cocina!A:A=Tabla4[[#This Row],[Número de Orden]],Cocina!H:H,0))</f>
        <v>7</v>
      </c>
    </row>
    <row r="171" spans="1:63" x14ac:dyDescent="0.3">
      <c r="A171" s="8" t="str">
        <f>MID(Tabla4[[#This Row],[Cliente]], SEARCH("_", Tabla4[[#This Row],[Cliente]]) + 1, LEN(Tabla4[[#This Row],[Cliente]]) - SEARCH("_",Tabla4[[#This Row],[Cliente]]))</f>
        <v>485</v>
      </c>
      <c r="B171">
        <f>sala!K170</f>
        <v>169</v>
      </c>
      <c r="C171">
        <f>Tabla4[[#This Row],[Propina]]+Tabla4[[#This Row],[Precio Cena]]</f>
        <v>1816</v>
      </c>
      <c r="D171" s="3">
        <f>INT(sala!E170)</f>
        <v>45018</v>
      </c>
      <c r="E171" s="4">
        <f>MOD( sala!D170,1)</f>
        <v>8.0555555556202307E-2</v>
      </c>
      <c r="F171" s="4">
        <f>MOD( sala!E170,1)</f>
        <v>0.21805555555329192</v>
      </c>
      <c r="G171" s="4">
        <f>Tabla5[[#This Row],[Hora de Salida]]-Tabla5[[#This Row],[Hora de Llegada]]+Tabla4[[#This Row],[Tiempo Extra]]</f>
        <v>0.13749999999708962</v>
      </c>
      <c r="H171" s="5" t="str">
        <f>TEXT(Tabla4[[#This Row],[Preparación en horas]]/1440, "h:mm")</f>
        <v>1:50</v>
      </c>
      <c r="I171" s="4">
        <f>IF(Tabla5[[#This Row],[Tiempo Permanencia]]-Tabla5[[#This Row],[Tiempo de Preparación ]]&gt;=0,Tabla5[[#This Row],[Tiempo Permanencia]]-Tabla5[[#This Row],[Tiempo de Preparación ]],0)</f>
        <v>6.1111111108200722E-2</v>
      </c>
      <c r="J171" s="5" t="str">
        <f>IF(Tabla5[[#This Row],[Tiempo de Degustación]]=0,"No Cobrada","Cobrada")</f>
        <v>Cobrada</v>
      </c>
      <c r="K171" s="5" cm="1">
        <f t="array" ref="K171">SUM(IF(Tabla5[[#This Row],[Orden Cobrada]]="Cobrada",IF(Cocina!A:A=Tabla5[[#This Row],[Nº Orden]],Cocina!F:F*Cocina!G:G,0),-Tabla6[[#This Row],[Precio Cena]]))</f>
        <v>154</v>
      </c>
      <c r="L171" s="5">
        <f>IF(Tabla5[[#This Row],[Orden Cobrada]]="Cobrada",Tabla5[[#This Row],[Ganancia Bruta]]-Tabla6[[#This Row],[Coste Cena]],-Tabla6[[#This Row],[Precio Cena]]+Tabla6[[#This Row],[Coste Cena]])</f>
        <v>62</v>
      </c>
      <c r="M171" s="10">
        <f>IF(Tabla5[[#This Row],[Orden Cobrada]]="Cobrada",((Tabla5[[#This Row],[Ganancia Neta]]/Tabla5[[#This Row],[Ganancia Bruta]])*100)/100,-((Tabla5[[#This Row],[Ganancia Neta]]/Tabla5[[#This Row],[Ganancia Bruta]]*100)/100))</f>
        <v>0.40259740259740262</v>
      </c>
      <c r="N171" s="5" t="str">
        <f>sala!F170</f>
        <v>Mesero_3</v>
      </c>
      <c r="AY171" cm="1">
        <f t="array" ref="AY171">SUM(IF(Cocina!A:A=Tabla5[[#This Row],[Nº Orden]],Cocina!F:F*Cocina!G:G,0))</f>
        <v>154</v>
      </c>
      <c r="AZ171" cm="1">
        <f t="array" ref="AZ171">SUM(IF(Cocina!A:A=Tabla5[[#This Row],[Nº Orden]],Cocina!E:E*Cocina!G:G,0))</f>
        <v>92</v>
      </c>
      <c r="BB171" t="str">
        <f>MID(Tabla4[[#This Row],[Cliente]], SEARCH("_", Tabla4[[#This Row],[Cliente]]) + 1, LEN(Tabla4[[#This Row],[Cliente]]) - SEARCH("_",Tabla4[[#This Row],[Cliente]]))</f>
        <v>485</v>
      </c>
      <c r="BC171" t="str">
        <f>sala!B170</f>
        <v>Cliente_485</v>
      </c>
      <c r="BD171" s="1">
        <f>sala!D170</f>
        <v>45018.080555555556</v>
      </c>
      <c r="BE171" s="1">
        <f>sala!E170</f>
        <v>45018.218055555553</v>
      </c>
      <c r="BF171">
        <f>sala!K170</f>
        <v>169</v>
      </c>
      <c r="BG171">
        <f>sala!I170</f>
        <v>1662</v>
      </c>
      <c r="BH171" cm="1">
        <f t="array" ref="BH171">SUM(IF(Cocina!A:A=Tabla4[[#This Row],[Número de Orden]],Cocina!F:F*Cocina!G:G,0))</f>
        <v>154</v>
      </c>
      <c r="BI171" t="str">
        <f>sala!J170</f>
        <v>Libre</v>
      </c>
      <c r="BJ171" s="4" t="str">
        <f>IF(Tabla4[[#This Row],[Estado mesa]]="Ocupada","00:15","00:00")</f>
        <v>00:00</v>
      </c>
      <c r="BK171" cm="1">
        <f t="array" ref="BK171">SUM(IF(Cocina!A:A=Tabla4[[#This Row],[Número de Orden]],Cocina!H:H,0))</f>
        <v>110</v>
      </c>
    </row>
    <row r="172" spans="1:63" x14ac:dyDescent="0.3">
      <c r="A172" s="8" t="str">
        <f>MID(Tabla4[[#This Row],[Cliente]], SEARCH("_", Tabla4[[#This Row],[Cliente]]) + 1, LEN(Tabla4[[#This Row],[Cliente]]) - SEARCH("_",Tabla4[[#This Row],[Cliente]]))</f>
        <v>493</v>
      </c>
      <c r="B172">
        <f>sala!K171</f>
        <v>170</v>
      </c>
      <c r="C172">
        <f>Tabla4[[#This Row],[Propina]]+Tabla4[[#This Row],[Precio Cena]]</f>
        <v>2841</v>
      </c>
      <c r="D172" s="3">
        <f>INT(sala!E171)</f>
        <v>45018</v>
      </c>
      <c r="E172" s="4">
        <f>MOD( sala!D171,1)</f>
        <v>0.10902777777664596</v>
      </c>
      <c r="F172" s="4">
        <f>MOD( sala!E171,1)</f>
        <v>0.22638888889196096</v>
      </c>
      <c r="G172" s="4">
        <f>Tabla5[[#This Row],[Hora de Salida]]-Tabla5[[#This Row],[Hora de Llegada]]+Tabla4[[#This Row],[Tiempo Extra]]</f>
        <v>0.117361111115315</v>
      </c>
      <c r="H172" s="5" t="str">
        <f>TEXT(Tabla4[[#This Row],[Preparación en horas]]/1440, "h:mm")</f>
        <v>1:13</v>
      </c>
      <c r="I172" s="4">
        <f>IF(Tabla5[[#This Row],[Tiempo Permanencia]]-Tabla5[[#This Row],[Tiempo de Preparación ]]&gt;=0,Tabla5[[#This Row],[Tiempo Permanencia]]-Tabla5[[#This Row],[Tiempo de Preparación ]],0)</f>
        <v>6.6666666670870553E-2</v>
      </c>
      <c r="J172" s="5" t="str">
        <f>IF(Tabla5[[#This Row],[Tiempo de Degustación]]=0,"No Cobrada","Cobrada")</f>
        <v>Cobrada</v>
      </c>
      <c r="K172" s="5" cm="1">
        <f t="array" ref="K172">SUM(IF(Tabla5[[#This Row],[Orden Cobrada]]="Cobrada",IF(Cocina!A:A=Tabla5[[#This Row],[Nº Orden]],Cocina!F:F*Cocina!G:G,0),-Tabla6[[#This Row],[Precio Cena]]))</f>
        <v>243</v>
      </c>
      <c r="L172" s="5">
        <f>IF(Tabla5[[#This Row],[Orden Cobrada]]="Cobrada",Tabla5[[#This Row],[Ganancia Bruta]]-Tabla6[[#This Row],[Coste Cena]],-Tabla6[[#This Row],[Precio Cena]]+Tabla6[[#This Row],[Coste Cena]])</f>
        <v>98</v>
      </c>
      <c r="M172" s="10">
        <f>IF(Tabla5[[#This Row],[Orden Cobrada]]="Cobrada",((Tabla5[[#This Row],[Ganancia Neta]]/Tabla5[[#This Row],[Ganancia Bruta]])*100)/100,-((Tabla5[[#This Row],[Ganancia Neta]]/Tabla5[[#This Row],[Ganancia Bruta]]*100)/100))</f>
        <v>0.40329218106995879</v>
      </c>
      <c r="N172" s="5" t="str">
        <f>sala!F171</f>
        <v>Mesero_2</v>
      </c>
      <c r="AY172" cm="1">
        <f t="array" ref="AY172">SUM(IF(Cocina!A:A=Tabla5[[#This Row],[Nº Orden]],Cocina!F:F*Cocina!G:G,0))</f>
        <v>243</v>
      </c>
      <c r="AZ172" cm="1">
        <f t="array" ref="AZ172">SUM(IF(Cocina!A:A=Tabla5[[#This Row],[Nº Orden]],Cocina!E:E*Cocina!G:G,0))</f>
        <v>145</v>
      </c>
      <c r="BB172" t="str">
        <f>MID(Tabla4[[#This Row],[Cliente]], SEARCH("_", Tabla4[[#This Row],[Cliente]]) + 1, LEN(Tabla4[[#This Row],[Cliente]]) - SEARCH("_",Tabla4[[#This Row],[Cliente]]))</f>
        <v>493</v>
      </c>
      <c r="BC172" t="str">
        <f>sala!B171</f>
        <v>Cliente_493</v>
      </c>
      <c r="BD172" s="1">
        <f>sala!D171</f>
        <v>45018.109027777777</v>
      </c>
      <c r="BE172" s="1">
        <f>sala!E171</f>
        <v>45018.226388888892</v>
      </c>
      <c r="BF172">
        <f>sala!K171</f>
        <v>170</v>
      </c>
      <c r="BG172">
        <f>sala!I171</f>
        <v>2598</v>
      </c>
      <c r="BH172" cm="1">
        <f t="array" ref="BH172">SUM(IF(Cocina!A:A=Tabla4[[#This Row],[Número de Orden]],Cocina!F:F*Cocina!G:G,0))</f>
        <v>243</v>
      </c>
      <c r="BI172" t="str">
        <f>sala!J171</f>
        <v>Libre</v>
      </c>
      <c r="BJ172" s="4" t="str">
        <f>IF(Tabla4[[#This Row],[Estado mesa]]="Ocupada","00:15","00:00")</f>
        <v>00:00</v>
      </c>
      <c r="BK172" cm="1">
        <f t="array" ref="BK172">SUM(IF(Cocina!A:A=Tabla4[[#This Row],[Número de Orden]],Cocina!H:H,0))</f>
        <v>73</v>
      </c>
    </row>
    <row r="173" spans="1:63" x14ac:dyDescent="0.3">
      <c r="A173" s="8" t="str">
        <f>MID(Tabla4[[#This Row],[Cliente]], SEARCH("_", Tabla4[[#This Row],[Cliente]]) + 1, LEN(Tabla4[[#This Row],[Cliente]]) - SEARCH("_",Tabla4[[#This Row],[Cliente]]))</f>
        <v>282</v>
      </c>
      <c r="B173">
        <f>sala!K172</f>
        <v>171</v>
      </c>
      <c r="C173">
        <f>Tabla4[[#This Row],[Propina]]+Tabla4[[#This Row],[Precio Cena]]</f>
        <v>4795</v>
      </c>
      <c r="D173" s="3">
        <f>INT(sala!E172)</f>
        <v>45018</v>
      </c>
      <c r="E173" s="4">
        <f>MOD( sala!D172,1)</f>
        <v>7.8472222223354038E-2</v>
      </c>
      <c r="F173" s="4">
        <f>MOD( sala!E172,1)</f>
        <v>0.12777777777955635</v>
      </c>
      <c r="G173" s="4">
        <f>Tabla5[[#This Row],[Hora de Salida]]-Tabla5[[#This Row],[Hora de Llegada]]+Tabla4[[#This Row],[Tiempo Extra]]</f>
        <v>4.9305555556202307E-2</v>
      </c>
      <c r="H173" s="5" t="str">
        <f>TEXT(Tabla4[[#This Row],[Preparación en horas]]/1440, "h:mm")</f>
        <v>0:51</v>
      </c>
      <c r="I173" s="4">
        <f>IF(Tabla5[[#This Row],[Tiempo Permanencia]]-Tabla5[[#This Row],[Tiempo de Preparación ]]&gt;=0,Tabla5[[#This Row],[Tiempo Permanencia]]-Tabla5[[#This Row],[Tiempo de Preparación ]],0)</f>
        <v>1.3888888889535642E-2</v>
      </c>
      <c r="J173" s="5" t="str">
        <f>IF(Tabla5[[#This Row],[Tiempo de Degustación]]=0,"No Cobrada","Cobrada")</f>
        <v>Cobrada</v>
      </c>
      <c r="K173" s="5" cm="1">
        <f t="array" ref="K173">SUM(IF(Tabla5[[#This Row],[Orden Cobrada]]="Cobrada",IF(Cocina!A:A=Tabla5[[#This Row],[Nº Orden]],Cocina!F:F*Cocina!G:G,0),-Tabla6[[#This Row],[Precio Cena]]))</f>
        <v>139</v>
      </c>
      <c r="L173" s="5">
        <f>IF(Tabla5[[#This Row],[Orden Cobrada]]="Cobrada",Tabla5[[#This Row],[Ganancia Bruta]]-Tabla6[[#This Row],[Coste Cena]],-Tabla6[[#This Row],[Precio Cena]]+Tabla6[[#This Row],[Coste Cena]])</f>
        <v>58</v>
      </c>
      <c r="M173" s="10">
        <f>IF(Tabla5[[#This Row],[Orden Cobrada]]="Cobrada",((Tabla5[[#This Row],[Ganancia Neta]]/Tabla5[[#This Row],[Ganancia Bruta]])*100)/100,-((Tabla5[[#This Row],[Ganancia Neta]]/Tabla5[[#This Row],[Ganancia Bruta]]*100)/100))</f>
        <v>0.41726618705035973</v>
      </c>
      <c r="N173" s="5" t="str">
        <f>sala!F172</f>
        <v>Mesero_2</v>
      </c>
      <c r="AY173" cm="1">
        <f t="array" ref="AY173">SUM(IF(Cocina!A:A=Tabla5[[#This Row],[Nº Orden]],Cocina!F:F*Cocina!G:G,0))</f>
        <v>139</v>
      </c>
      <c r="AZ173" cm="1">
        <f t="array" ref="AZ173">SUM(IF(Cocina!A:A=Tabla5[[#This Row],[Nº Orden]],Cocina!E:E*Cocina!G:G,0))</f>
        <v>81</v>
      </c>
      <c r="BB173" t="str">
        <f>MID(Tabla4[[#This Row],[Cliente]], SEARCH("_", Tabla4[[#This Row],[Cliente]]) + 1, LEN(Tabla4[[#This Row],[Cliente]]) - SEARCH("_",Tabla4[[#This Row],[Cliente]]))</f>
        <v>282</v>
      </c>
      <c r="BC173" t="str">
        <f>sala!B172</f>
        <v>Cliente_282</v>
      </c>
      <c r="BD173" s="1">
        <f>sala!D172</f>
        <v>45018.078472222223</v>
      </c>
      <c r="BE173" s="1">
        <f>sala!E172</f>
        <v>45018.12777777778</v>
      </c>
      <c r="BF173">
        <f>sala!K172</f>
        <v>171</v>
      </c>
      <c r="BG173">
        <f>sala!I172</f>
        <v>4656</v>
      </c>
      <c r="BH173" cm="1">
        <f t="array" ref="BH173">SUM(IF(Cocina!A:A=Tabla4[[#This Row],[Número de Orden]],Cocina!F:F*Cocina!G:G,0))</f>
        <v>139</v>
      </c>
      <c r="BI173" t="str">
        <f>sala!J172</f>
        <v>Libre</v>
      </c>
      <c r="BJ173" s="4" t="str">
        <f>IF(Tabla4[[#This Row],[Estado mesa]]="Ocupada","00:15","00:00")</f>
        <v>00:00</v>
      </c>
      <c r="BK173" cm="1">
        <f t="array" ref="BK173">SUM(IF(Cocina!A:A=Tabla4[[#This Row],[Número de Orden]],Cocina!H:H,0))</f>
        <v>51</v>
      </c>
    </row>
    <row r="174" spans="1:63" x14ac:dyDescent="0.3">
      <c r="A174" s="8" t="str">
        <f>MID(Tabla4[[#This Row],[Cliente]], SEARCH("_", Tabla4[[#This Row],[Cliente]]) + 1, LEN(Tabla4[[#This Row],[Cliente]]) - SEARCH("_",Tabla4[[#This Row],[Cliente]]))</f>
        <v>850</v>
      </c>
      <c r="B174">
        <f>sala!K173</f>
        <v>172</v>
      </c>
      <c r="C174">
        <f>Tabla4[[#This Row],[Propina]]+Tabla4[[#This Row],[Precio Cena]]</f>
        <v>4585</v>
      </c>
      <c r="D174" s="3">
        <f>INT(sala!E173)</f>
        <v>45018</v>
      </c>
      <c r="E174" s="4">
        <f>MOD( sala!D173,1)</f>
        <v>0.11736111110803904</v>
      </c>
      <c r="F174" s="4">
        <f>MOD( sala!E173,1)</f>
        <v>0.25416666666569654</v>
      </c>
      <c r="G174" s="4">
        <f>Tabla5[[#This Row],[Hora de Salida]]-Tabla5[[#This Row],[Hora de Llegada]]+Tabla4[[#This Row],[Tiempo Extra]]</f>
        <v>0.14722222222432416</v>
      </c>
      <c r="H174" s="5" t="str">
        <f>TEXT(Tabla4[[#This Row],[Preparación en horas]]/1440, "h:mm")</f>
        <v>0:27</v>
      </c>
      <c r="I174" s="4">
        <f>IF(Tabla5[[#This Row],[Tiempo Permanencia]]-Tabla5[[#This Row],[Tiempo de Preparación ]]&gt;=0,Tabla5[[#This Row],[Tiempo Permanencia]]-Tabla5[[#This Row],[Tiempo de Preparación ]],0)</f>
        <v>0.12847222222432417</v>
      </c>
      <c r="J174" s="5" t="str">
        <f>IF(Tabla5[[#This Row],[Tiempo de Degustación]]=0,"No Cobrada","Cobrada")</f>
        <v>Cobrada</v>
      </c>
      <c r="K174" s="5" cm="1">
        <f t="array" ref="K174">SUM(IF(Tabla5[[#This Row],[Orden Cobrada]]="Cobrada",IF(Cocina!A:A=Tabla5[[#This Row],[Nº Orden]],Cocina!F:F*Cocina!G:G,0),-Tabla6[[#This Row],[Precio Cena]]))</f>
        <v>68</v>
      </c>
      <c r="L174" s="5">
        <f>IF(Tabla5[[#This Row],[Orden Cobrada]]="Cobrada",Tabla5[[#This Row],[Ganancia Bruta]]-Tabla6[[#This Row],[Coste Cena]],-Tabla6[[#This Row],[Precio Cena]]+Tabla6[[#This Row],[Coste Cena]])</f>
        <v>28</v>
      </c>
      <c r="M174" s="10">
        <f>IF(Tabla5[[#This Row],[Orden Cobrada]]="Cobrada",((Tabla5[[#This Row],[Ganancia Neta]]/Tabla5[[#This Row],[Ganancia Bruta]])*100)/100,-((Tabla5[[#This Row],[Ganancia Neta]]/Tabla5[[#This Row],[Ganancia Bruta]]*100)/100))</f>
        <v>0.41176470588235292</v>
      </c>
      <c r="N174" s="5" t="str">
        <f>sala!F173</f>
        <v>Mesero_1</v>
      </c>
      <c r="AY174" cm="1">
        <f t="array" ref="AY174">SUM(IF(Cocina!A:A=Tabla5[[#This Row],[Nº Orden]],Cocina!F:F*Cocina!G:G,0))</f>
        <v>68</v>
      </c>
      <c r="AZ174" cm="1">
        <f t="array" ref="AZ174">SUM(IF(Cocina!A:A=Tabla5[[#This Row],[Nº Orden]],Cocina!E:E*Cocina!G:G,0))</f>
        <v>40</v>
      </c>
      <c r="BB174" t="str">
        <f>MID(Tabla4[[#This Row],[Cliente]], SEARCH("_", Tabla4[[#This Row],[Cliente]]) + 1, LEN(Tabla4[[#This Row],[Cliente]]) - SEARCH("_",Tabla4[[#This Row],[Cliente]]))</f>
        <v>850</v>
      </c>
      <c r="BC174" t="str">
        <f>sala!B173</f>
        <v>Cliente_850</v>
      </c>
      <c r="BD174" s="1">
        <f>sala!D173</f>
        <v>45018.117361111108</v>
      </c>
      <c r="BE174" s="1">
        <f>sala!E173</f>
        <v>45018.254166666666</v>
      </c>
      <c r="BF174">
        <f>sala!K173</f>
        <v>172</v>
      </c>
      <c r="BG174">
        <f>sala!I173</f>
        <v>4517</v>
      </c>
      <c r="BH174" cm="1">
        <f t="array" ref="BH174">SUM(IF(Cocina!A:A=Tabla4[[#This Row],[Número de Orden]],Cocina!F:F*Cocina!G:G,0))</f>
        <v>68</v>
      </c>
      <c r="BI174" t="str">
        <f>sala!J173</f>
        <v>Ocupada</v>
      </c>
      <c r="BJ174" s="4" t="str">
        <f>IF(Tabla4[[#This Row],[Estado mesa]]="Ocupada","00:15","00:00")</f>
        <v>00:15</v>
      </c>
      <c r="BK174" cm="1">
        <f t="array" ref="BK174">SUM(IF(Cocina!A:A=Tabla4[[#This Row],[Número de Orden]],Cocina!H:H,0))</f>
        <v>27</v>
      </c>
    </row>
    <row r="175" spans="1:63" x14ac:dyDescent="0.3">
      <c r="A175" s="8" t="str">
        <f>MID(Tabla4[[#This Row],[Cliente]], SEARCH("_", Tabla4[[#This Row],[Cliente]]) + 1, LEN(Tabla4[[#This Row],[Cliente]]) - SEARCH("_",Tabla4[[#This Row],[Cliente]]))</f>
        <v>301</v>
      </c>
      <c r="B175">
        <f>sala!K174</f>
        <v>173</v>
      </c>
      <c r="C175">
        <f>Tabla4[[#This Row],[Propina]]+Tabla4[[#This Row],[Precio Cena]]</f>
        <v>5050</v>
      </c>
      <c r="D175" s="3">
        <f>INT(sala!E174)</f>
        <v>45018</v>
      </c>
      <c r="E175" s="4">
        <f>MOD( sala!D174,1)</f>
        <v>1.2499999997089617E-2</v>
      </c>
      <c r="F175" s="4">
        <f>MOD( sala!E174,1)</f>
        <v>0.15486111111385981</v>
      </c>
      <c r="G175" s="4">
        <f>Tabla5[[#This Row],[Hora de Salida]]-Tabla5[[#This Row],[Hora de Llegada]]+Tabla4[[#This Row],[Tiempo Extra]]</f>
        <v>0.15277777778343685</v>
      </c>
      <c r="H175" s="5" t="str">
        <f>TEXT(Tabla4[[#This Row],[Preparación en horas]]/1440, "h:mm")</f>
        <v>1:07</v>
      </c>
      <c r="I175" s="4">
        <f>IF(Tabla5[[#This Row],[Tiempo Permanencia]]-Tabla5[[#This Row],[Tiempo de Preparación ]]&gt;=0,Tabla5[[#This Row],[Tiempo Permanencia]]-Tabla5[[#This Row],[Tiempo de Preparación ]],0)</f>
        <v>0.10625000000565907</v>
      </c>
      <c r="J175" s="5" t="str">
        <f>IF(Tabla5[[#This Row],[Tiempo de Degustación]]=0,"No Cobrada","Cobrada")</f>
        <v>Cobrada</v>
      </c>
      <c r="K175" s="5" cm="1">
        <f t="array" ref="K175">SUM(IF(Tabla5[[#This Row],[Orden Cobrada]]="Cobrada",IF(Cocina!A:A=Tabla5[[#This Row],[Nº Orden]],Cocina!F:F*Cocina!G:G,0),-Tabla6[[#This Row],[Precio Cena]]))</f>
        <v>177</v>
      </c>
      <c r="L175" s="5">
        <f>IF(Tabla5[[#This Row],[Orden Cobrada]]="Cobrada",Tabla5[[#This Row],[Ganancia Bruta]]-Tabla6[[#This Row],[Coste Cena]],-Tabla6[[#This Row],[Precio Cena]]+Tabla6[[#This Row],[Coste Cena]])</f>
        <v>72</v>
      </c>
      <c r="M175" s="10">
        <f>IF(Tabla5[[#This Row],[Orden Cobrada]]="Cobrada",((Tabla5[[#This Row],[Ganancia Neta]]/Tabla5[[#This Row],[Ganancia Bruta]])*100)/100,-((Tabla5[[#This Row],[Ganancia Neta]]/Tabla5[[#This Row],[Ganancia Bruta]]*100)/100))</f>
        <v>0.40677966101694918</v>
      </c>
      <c r="N175" s="5" t="str">
        <f>sala!F174</f>
        <v>Mesero_4</v>
      </c>
      <c r="AY175" cm="1">
        <f t="array" ref="AY175">SUM(IF(Cocina!A:A=Tabla5[[#This Row],[Nº Orden]],Cocina!F:F*Cocina!G:G,0))</f>
        <v>177</v>
      </c>
      <c r="AZ175" cm="1">
        <f t="array" ref="AZ175">SUM(IF(Cocina!A:A=Tabla5[[#This Row],[Nº Orden]],Cocina!E:E*Cocina!G:G,0))</f>
        <v>105</v>
      </c>
      <c r="BB175" t="str">
        <f>MID(Tabla4[[#This Row],[Cliente]], SEARCH("_", Tabla4[[#This Row],[Cliente]]) + 1, LEN(Tabla4[[#This Row],[Cliente]]) - SEARCH("_",Tabla4[[#This Row],[Cliente]]))</f>
        <v>301</v>
      </c>
      <c r="BC175" t="str">
        <f>sala!B174</f>
        <v>Cliente_301</v>
      </c>
      <c r="BD175" s="1">
        <f>sala!D174</f>
        <v>45018.012499999997</v>
      </c>
      <c r="BE175" s="1">
        <f>sala!E174</f>
        <v>45018.154861111114</v>
      </c>
      <c r="BF175">
        <f>sala!K174</f>
        <v>173</v>
      </c>
      <c r="BG175">
        <f>sala!I174</f>
        <v>4873</v>
      </c>
      <c r="BH175" cm="1">
        <f t="array" ref="BH175">SUM(IF(Cocina!A:A=Tabla4[[#This Row],[Número de Orden]],Cocina!F:F*Cocina!G:G,0))</f>
        <v>177</v>
      </c>
      <c r="BI175" t="str">
        <f>sala!J174</f>
        <v>Ocupada</v>
      </c>
      <c r="BJ175" s="4" t="str">
        <f>IF(Tabla4[[#This Row],[Estado mesa]]="Ocupada","00:15","00:00")</f>
        <v>00:15</v>
      </c>
      <c r="BK175" cm="1">
        <f t="array" ref="BK175">SUM(IF(Cocina!A:A=Tabla4[[#This Row],[Número de Orden]],Cocina!H:H,0))</f>
        <v>67</v>
      </c>
    </row>
    <row r="176" spans="1:63" x14ac:dyDescent="0.3">
      <c r="A176" s="8" t="str">
        <f>MID(Tabla4[[#This Row],[Cliente]], SEARCH("_", Tabla4[[#This Row],[Cliente]]) + 1, LEN(Tabla4[[#This Row],[Cliente]]) - SEARCH("_",Tabla4[[#This Row],[Cliente]]))</f>
        <v>124</v>
      </c>
      <c r="B176">
        <f>sala!K175</f>
        <v>174</v>
      </c>
      <c r="C176">
        <f>Tabla4[[#This Row],[Propina]]+Tabla4[[#This Row],[Precio Cena]]</f>
        <v>4884</v>
      </c>
      <c r="D176" s="3">
        <f>INT(sala!E175)</f>
        <v>45018</v>
      </c>
      <c r="E176" s="4">
        <f>MOD( sala!D175,1)</f>
        <v>6.2499999985448085E-3</v>
      </c>
      <c r="F176" s="4">
        <f>MOD( sala!E175,1)</f>
        <v>5.0000000002910383E-2</v>
      </c>
      <c r="G176" s="4">
        <f>Tabla5[[#This Row],[Hora de Salida]]-Tabla5[[#This Row],[Hora de Llegada]]+Tabla4[[#This Row],[Tiempo Extra]]</f>
        <v>4.3750000004365575E-2</v>
      </c>
      <c r="H176" s="5" t="str">
        <f>TEXT(Tabla4[[#This Row],[Preparación en horas]]/1440, "h:mm")</f>
        <v>0:12</v>
      </c>
      <c r="I176" s="4">
        <f>IF(Tabla5[[#This Row],[Tiempo Permanencia]]-Tabla5[[#This Row],[Tiempo de Preparación ]]&gt;=0,Tabla5[[#This Row],[Tiempo Permanencia]]-Tabla5[[#This Row],[Tiempo de Preparación ]],0)</f>
        <v>3.5416666671032243E-2</v>
      </c>
      <c r="J176" s="5" t="str">
        <f>IF(Tabla5[[#This Row],[Tiempo de Degustación]]=0,"No Cobrada","Cobrada")</f>
        <v>Cobrada</v>
      </c>
      <c r="K176" s="5" cm="1">
        <f t="array" ref="K176">SUM(IF(Tabla5[[#This Row],[Orden Cobrada]]="Cobrada",IF(Cocina!A:A=Tabla5[[#This Row],[Nº Orden]],Cocina!F:F*Cocina!G:G,0),-Tabla6[[#This Row],[Precio Cena]]))</f>
        <v>60</v>
      </c>
      <c r="L176" s="5">
        <f>IF(Tabla5[[#This Row],[Orden Cobrada]]="Cobrada",Tabla5[[#This Row],[Ganancia Bruta]]-Tabla6[[#This Row],[Coste Cena]],-Tabla6[[#This Row],[Precio Cena]]+Tabla6[[#This Row],[Coste Cena]])</f>
        <v>24</v>
      </c>
      <c r="M176" s="10">
        <f>IF(Tabla5[[#This Row],[Orden Cobrada]]="Cobrada",((Tabla5[[#This Row],[Ganancia Neta]]/Tabla5[[#This Row],[Ganancia Bruta]])*100)/100,-((Tabla5[[#This Row],[Ganancia Neta]]/Tabla5[[#This Row],[Ganancia Bruta]]*100)/100))</f>
        <v>0.4</v>
      </c>
      <c r="N176" s="5" t="str">
        <f>sala!F175</f>
        <v>Mesero_4</v>
      </c>
      <c r="AY176" cm="1">
        <f t="array" ref="AY176">SUM(IF(Cocina!A:A=Tabla5[[#This Row],[Nº Orden]],Cocina!F:F*Cocina!G:G,0))</f>
        <v>60</v>
      </c>
      <c r="AZ176" cm="1">
        <f t="array" ref="AZ176">SUM(IF(Cocina!A:A=Tabla5[[#This Row],[Nº Orden]],Cocina!E:E*Cocina!G:G,0))</f>
        <v>36</v>
      </c>
      <c r="BB176" t="str">
        <f>MID(Tabla4[[#This Row],[Cliente]], SEARCH("_", Tabla4[[#This Row],[Cliente]]) + 1, LEN(Tabla4[[#This Row],[Cliente]]) - SEARCH("_",Tabla4[[#This Row],[Cliente]]))</f>
        <v>124</v>
      </c>
      <c r="BC176" t="str">
        <f>sala!B175</f>
        <v>Cliente_124</v>
      </c>
      <c r="BD176" s="1">
        <f>sala!D175</f>
        <v>45018.006249999999</v>
      </c>
      <c r="BE176" s="1">
        <f>sala!E175</f>
        <v>45018.05</v>
      </c>
      <c r="BF176">
        <f>sala!K175</f>
        <v>174</v>
      </c>
      <c r="BG176">
        <f>sala!I175</f>
        <v>4824</v>
      </c>
      <c r="BH176" cm="1">
        <f t="array" ref="BH176">SUM(IF(Cocina!A:A=Tabla4[[#This Row],[Número de Orden]],Cocina!F:F*Cocina!G:G,0))</f>
        <v>60</v>
      </c>
      <c r="BI176" t="str">
        <f>sala!J175</f>
        <v>Reservada</v>
      </c>
      <c r="BJ176" s="4" t="str">
        <f>IF(Tabla4[[#This Row],[Estado mesa]]="Ocupada","00:15","00:00")</f>
        <v>00:00</v>
      </c>
      <c r="BK176" cm="1">
        <f t="array" ref="BK176">SUM(IF(Cocina!A:A=Tabla4[[#This Row],[Número de Orden]],Cocina!H:H,0))</f>
        <v>12</v>
      </c>
    </row>
    <row r="177" spans="1:63" x14ac:dyDescent="0.3">
      <c r="A177" s="8" t="str">
        <f>MID(Tabla4[[#This Row],[Cliente]], SEARCH("_", Tabla4[[#This Row],[Cliente]]) + 1, LEN(Tabla4[[#This Row],[Cliente]]) - SEARCH("_",Tabla4[[#This Row],[Cliente]]))</f>
        <v>747</v>
      </c>
      <c r="B177">
        <f>sala!K176</f>
        <v>175</v>
      </c>
      <c r="C177">
        <f>Tabla4[[#This Row],[Propina]]+Tabla4[[#This Row],[Precio Cena]]</f>
        <v>2938</v>
      </c>
      <c r="D177" s="3">
        <f>INT(sala!E176)</f>
        <v>45018</v>
      </c>
      <c r="E177" s="4">
        <f>MOD( sala!D176,1)</f>
        <v>6.0416666667151731E-2</v>
      </c>
      <c r="F177" s="4">
        <f>MOD( sala!E176,1)</f>
        <v>0.12777777777955635</v>
      </c>
      <c r="G177" s="4">
        <f>Tabla5[[#This Row],[Hora de Salida]]-Tabla5[[#This Row],[Hora de Llegada]]+Tabla4[[#This Row],[Tiempo Extra]]</f>
        <v>6.7361111112404615E-2</v>
      </c>
      <c r="H177" s="5" t="str">
        <f>TEXT(Tabla4[[#This Row],[Preparación en horas]]/1440, "h:mm")</f>
        <v>0:47</v>
      </c>
      <c r="I177" s="4">
        <f>IF(Tabla5[[#This Row],[Tiempo Permanencia]]-Tabla5[[#This Row],[Tiempo de Preparación ]]&gt;=0,Tabla5[[#This Row],[Tiempo Permanencia]]-Tabla5[[#This Row],[Tiempo de Preparación ]],0)</f>
        <v>3.4722222223515724E-2</v>
      </c>
      <c r="J177" s="5" t="str">
        <f>IF(Tabla5[[#This Row],[Tiempo de Degustación]]=0,"No Cobrada","Cobrada")</f>
        <v>Cobrada</v>
      </c>
      <c r="K177" s="5" cm="1">
        <f t="array" ref="K177">SUM(IF(Tabla5[[#This Row],[Orden Cobrada]]="Cobrada",IF(Cocina!A:A=Tabla5[[#This Row],[Nº Orden]],Cocina!F:F*Cocina!G:G,0),-Tabla6[[#This Row],[Precio Cena]]))</f>
        <v>144</v>
      </c>
      <c r="L177" s="5">
        <f>IF(Tabla5[[#This Row],[Orden Cobrada]]="Cobrada",Tabla5[[#This Row],[Ganancia Bruta]]-Tabla6[[#This Row],[Coste Cena]],-Tabla6[[#This Row],[Precio Cena]]+Tabla6[[#This Row],[Coste Cena]])</f>
        <v>59</v>
      </c>
      <c r="M177" s="10">
        <f>IF(Tabla5[[#This Row],[Orden Cobrada]]="Cobrada",((Tabla5[[#This Row],[Ganancia Neta]]/Tabla5[[#This Row],[Ganancia Bruta]])*100)/100,-((Tabla5[[#This Row],[Ganancia Neta]]/Tabla5[[#This Row],[Ganancia Bruta]]*100)/100))</f>
        <v>0.40972222222222221</v>
      </c>
      <c r="N177" s="5" t="str">
        <f>sala!F176</f>
        <v>Mesero_3</v>
      </c>
      <c r="AY177" cm="1">
        <f t="array" ref="AY177">SUM(IF(Cocina!A:A=Tabla5[[#This Row],[Nº Orden]],Cocina!F:F*Cocina!G:G,0))</f>
        <v>144</v>
      </c>
      <c r="AZ177" cm="1">
        <f t="array" ref="AZ177">SUM(IF(Cocina!A:A=Tabla5[[#This Row],[Nº Orden]],Cocina!E:E*Cocina!G:G,0))</f>
        <v>85</v>
      </c>
      <c r="BB177" t="str">
        <f>MID(Tabla4[[#This Row],[Cliente]], SEARCH("_", Tabla4[[#This Row],[Cliente]]) + 1, LEN(Tabla4[[#This Row],[Cliente]]) - SEARCH("_",Tabla4[[#This Row],[Cliente]]))</f>
        <v>747</v>
      </c>
      <c r="BC177" t="str">
        <f>sala!B176</f>
        <v>Cliente_747</v>
      </c>
      <c r="BD177" s="1">
        <f>sala!D176</f>
        <v>45018.060416666667</v>
      </c>
      <c r="BE177" s="1">
        <f>sala!E176</f>
        <v>45018.12777777778</v>
      </c>
      <c r="BF177">
        <f>sala!K176</f>
        <v>175</v>
      </c>
      <c r="BG177">
        <f>sala!I176</f>
        <v>2794</v>
      </c>
      <c r="BH177" cm="1">
        <f t="array" ref="BH177">SUM(IF(Cocina!A:A=Tabla4[[#This Row],[Número de Orden]],Cocina!F:F*Cocina!G:G,0))</f>
        <v>144</v>
      </c>
      <c r="BI177" t="str">
        <f>sala!J176</f>
        <v>Reservada</v>
      </c>
      <c r="BJ177" s="4" t="str">
        <f>IF(Tabla4[[#This Row],[Estado mesa]]="Ocupada","00:15","00:00")</f>
        <v>00:00</v>
      </c>
      <c r="BK177" cm="1">
        <f t="array" ref="BK177">SUM(IF(Cocina!A:A=Tabla4[[#This Row],[Número de Orden]],Cocina!H:H,0))</f>
        <v>47</v>
      </c>
    </row>
    <row r="178" spans="1:63" x14ac:dyDescent="0.3">
      <c r="A178" s="8" t="str">
        <f>MID(Tabla4[[#This Row],[Cliente]], SEARCH("_", Tabla4[[#This Row],[Cliente]]) + 1, LEN(Tabla4[[#This Row],[Cliente]]) - SEARCH("_",Tabla4[[#This Row],[Cliente]]))</f>
        <v>741</v>
      </c>
      <c r="B178">
        <f>sala!K177</f>
        <v>176</v>
      </c>
      <c r="C178">
        <f>Tabla4[[#This Row],[Propina]]+Tabla4[[#This Row],[Precio Cena]]</f>
        <v>368</v>
      </c>
      <c r="D178" s="3">
        <f>INT(sala!E177)</f>
        <v>45018</v>
      </c>
      <c r="E178" s="4">
        <f>MOD( sala!D177,1)</f>
        <v>0.10208333333139308</v>
      </c>
      <c r="F178" s="4">
        <f>MOD( sala!E177,1)</f>
        <v>0.18888888888614019</v>
      </c>
      <c r="G178" s="4">
        <f>Tabla5[[#This Row],[Hora de Salida]]-Tabla5[[#This Row],[Hora de Llegada]]+Tabla4[[#This Row],[Tiempo Extra]]</f>
        <v>9.7222222221413787E-2</v>
      </c>
      <c r="H178" s="5" t="str">
        <f>TEXT(Tabla4[[#This Row],[Preparación en horas]]/1440, "h:mm")</f>
        <v>0:48</v>
      </c>
      <c r="I178" s="4">
        <f>IF(Tabla5[[#This Row],[Tiempo Permanencia]]-Tabla5[[#This Row],[Tiempo de Preparación ]]&gt;=0,Tabla5[[#This Row],[Tiempo Permanencia]]-Tabla5[[#This Row],[Tiempo de Preparación ]],0)</f>
        <v>6.3888888888080447E-2</v>
      </c>
      <c r="J178" s="5" t="str">
        <f>IF(Tabla5[[#This Row],[Tiempo de Degustación]]=0,"No Cobrada","Cobrada")</f>
        <v>Cobrada</v>
      </c>
      <c r="K178" s="5" cm="1">
        <f t="array" ref="K178">SUM(IF(Tabla5[[#This Row],[Orden Cobrada]]="Cobrada",IF(Cocina!A:A=Tabla5[[#This Row],[Nº Orden]],Cocina!F:F*Cocina!G:G,0),-Tabla6[[#This Row],[Precio Cena]]))</f>
        <v>63</v>
      </c>
      <c r="L178" s="5">
        <f>IF(Tabla5[[#This Row],[Orden Cobrada]]="Cobrada",Tabla5[[#This Row],[Ganancia Bruta]]-Tabla6[[#This Row],[Coste Cena]],-Tabla6[[#This Row],[Precio Cena]]+Tabla6[[#This Row],[Coste Cena]])</f>
        <v>24</v>
      </c>
      <c r="M178" s="10">
        <f>IF(Tabla5[[#This Row],[Orden Cobrada]]="Cobrada",((Tabla5[[#This Row],[Ganancia Neta]]/Tabla5[[#This Row],[Ganancia Bruta]])*100)/100,-((Tabla5[[#This Row],[Ganancia Neta]]/Tabla5[[#This Row],[Ganancia Bruta]]*100)/100))</f>
        <v>0.38095238095238093</v>
      </c>
      <c r="N178" s="5" t="str">
        <f>sala!F177</f>
        <v>Mesero_2</v>
      </c>
      <c r="AY178" cm="1">
        <f t="array" ref="AY178">SUM(IF(Cocina!A:A=Tabla5[[#This Row],[Nº Orden]],Cocina!F:F*Cocina!G:G,0))</f>
        <v>63</v>
      </c>
      <c r="AZ178" cm="1">
        <f t="array" ref="AZ178">SUM(IF(Cocina!A:A=Tabla5[[#This Row],[Nº Orden]],Cocina!E:E*Cocina!G:G,0))</f>
        <v>39</v>
      </c>
      <c r="BB178" t="str">
        <f>MID(Tabla4[[#This Row],[Cliente]], SEARCH("_", Tabla4[[#This Row],[Cliente]]) + 1, LEN(Tabla4[[#This Row],[Cliente]]) - SEARCH("_",Tabla4[[#This Row],[Cliente]]))</f>
        <v>741</v>
      </c>
      <c r="BC178" t="str">
        <f>sala!B177</f>
        <v>Cliente_741</v>
      </c>
      <c r="BD178" s="1">
        <f>sala!D177</f>
        <v>45018.102083333331</v>
      </c>
      <c r="BE178" s="1">
        <f>sala!E177</f>
        <v>45018.188888888886</v>
      </c>
      <c r="BF178">
        <f>sala!K177</f>
        <v>176</v>
      </c>
      <c r="BG178">
        <f>sala!I177</f>
        <v>305</v>
      </c>
      <c r="BH178" cm="1">
        <f t="array" ref="BH178">SUM(IF(Cocina!A:A=Tabla4[[#This Row],[Número de Orden]],Cocina!F:F*Cocina!G:G,0))</f>
        <v>63</v>
      </c>
      <c r="BI178" t="str">
        <f>sala!J177</f>
        <v>Ocupada</v>
      </c>
      <c r="BJ178" s="4" t="str">
        <f>IF(Tabla4[[#This Row],[Estado mesa]]="Ocupada","00:15","00:00")</f>
        <v>00:15</v>
      </c>
      <c r="BK178" cm="1">
        <f t="array" ref="BK178">SUM(IF(Cocina!A:A=Tabla4[[#This Row],[Número de Orden]],Cocina!H:H,0))</f>
        <v>48</v>
      </c>
    </row>
    <row r="179" spans="1:63" x14ac:dyDescent="0.3">
      <c r="A179" s="8" t="str">
        <f>MID(Tabla4[[#This Row],[Cliente]], SEARCH("_", Tabla4[[#This Row],[Cliente]]) + 1, LEN(Tabla4[[#This Row],[Cliente]]) - SEARCH("_",Tabla4[[#This Row],[Cliente]]))</f>
        <v>610</v>
      </c>
      <c r="B179">
        <f>sala!K178</f>
        <v>177</v>
      </c>
      <c r="C179">
        <f>Tabla4[[#This Row],[Propina]]+Tabla4[[#This Row],[Precio Cena]]</f>
        <v>1212</v>
      </c>
      <c r="D179" s="3">
        <f>INT(sala!E178)</f>
        <v>45018</v>
      </c>
      <c r="E179" s="4">
        <f>MOD( sala!D178,1)</f>
        <v>9.7222222248092294E-3</v>
      </c>
      <c r="F179" s="4">
        <f>MOD( sala!E178,1)</f>
        <v>5.1388888889050577E-2</v>
      </c>
      <c r="G179" s="4">
        <f>Tabla5[[#This Row],[Hora de Salida]]-Tabla5[[#This Row],[Hora de Llegada]]+Tabla4[[#This Row],[Tiempo Extra]]</f>
        <v>5.2083333330908012E-2</v>
      </c>
      <c r="H179" s="5" t="str">
        <f>TEXT(Tabla4[[#This Row],[Preparación en horas]]/1440, "h:mm")</f>
        <v>2:22</v>
      </c>
      <c r="I179" s="4">
        <f>IF(Tabla5[[#This Row],[Tiempo Permanencia]]-Tabla5[[#This Row],[Tiempo de Preparación ]]&gt;=0,Tabla5[[#This Row],[Tiempo Permanencia]]-Tabla5[[#This Row],[Tiempo de Preparación ]],0)</f>
        <v>0</v>
      </c>
      <c r="J179" s="5" t="str">
        <f>IF(Tabla5[[#This Row],[Tiempo de Degustación]]=0,"No Cobrada","Cobrada")</f>
        <v>No Cobrada</v>
      </c>
      <c r="K179" s="5" cm="1">
        <f t="array" ref="K179">SUM(IF(Tabla5[[#This Row],[Orden Cobrada]]="Cobrada",IF(Cocina!A:A=Tabla5[[#This Row],[Nº Orden]],Cocina!F:F*Cocina!G:G,0),-Tabla6[[#This Row],[Precio Cena]]))</f>
        <v>-173</v>
      </c>
      <c r="L179" s="5">
        <f>IF(Tabla5[[#This Row],[Orden Cobrada]]="Cobrada",Tabla5[[#This Row],[Ganancia Bruta]]-Tabla6[[#This Row],[Coste Cena]],-Tabla6[[#This Row],[Precio Cena]]+Tabla6[[#This Row],[Coste Cena]])</f>
        <v>-71</v>
      </c>
      <c r="M179" s="10">
        <f>IF(Tabla5[[#This Row],[Orden Cobrada]]="Cobrada",((Tabla5[[#This Row],[Ganancia Neta]]/Tabla5[[#This Row],[Ganancia Bruta]])*100)/100,-((Tabla5[[#This Row],[Ganancia Neta]]/Tabla5[[#This Row],[Ganancia Bruta]]*100)/100))</f>
        <v>-0.41040462427745666</v>
      </c>
      <c r="N179" s="5" t="str">
        <f>sala!F178</f>
        <v>Mesero_4</v>
      </c>
      <c r="AY179" cm="1">
        <f t="array" ref="AY179">SUM(IF(Cocina!A:A=Tabla5[[#This Row],[Nº Orden]],Cocina!F:F*Cocina!G:G,0))</f>
        <v>173</v>
      </c>
      <c r="AZ179" cm="1">
        <f t="array" ref="AZ179">SUM(IF(Cocina!A:A=Tabla5[[#This Row],[Nº Orden]],Cocina!E:E*Cocina!G:G,0))</f>
        <v>102</v>
      </c>
      <c r="BB179" t="str">
        <f>MID(Tabla4[[#This Row],[Cliente]], SEARCH("_", Tabla4[[#This Row],[Cliente]]) + 1, LEN(Tabla4[[#This Row],[Cliente]]) - SEARCH("_",Tabla4[[#This Row],[Cliente]]))</f>
        <v>610</v>
      </c>
      <c r="BC179" t="str">
        <f>sala!B178</f>
        <v>Cliente_610</v>
      </c>
      <c r="BD179" s="1">
        <f>sala!D178</f>
        <v>45018.009722222225</v>
      </c>
      <c r="BE179" s="1">
        <f>sala!E178</f>
        <v>45018.051388888889</v>
      </c>
      <c r="BF179">
        <f>sala!K178</f>
        <v>177</v>
      </c>
      <c r="BG179">
        <f>sala!I178</f>
        <v>1039</v>
      </c>
      <c r="BH179" cm="1">
        <f t="array" ref="BH179">SUM(IF(Cocina!A:A=Tabla4[[#This Row],[Número de Orden]],Cocina!F:F*Cocina!G:G,0))</f>
        <v>173</v>
      </c>
      <c r="BI179" t="str">
        <f>sala!J178</f>
        <v>Ocupada</v>
      </c>
      <c r="BJ179" s="4" t="str">
        <f>IF(Tabla4[[#This Row],[Estado mesa]]="Ocupada","00:15","00:00")</f>
        <v>00:15</v>
      </c>
      <c r="BK179" cm="1">
        <f t="array" ref="BK179">SUM(IF(Cocina!A:A=Tabla4[[#This Row],[Número de Orden]],Cocina!H:H,0))</f>
        <v>142</v>
      </c>
    </row>
    <row r="180" spans="1:63" x14ac:dyDescent="0.3">
      <c r="A180" s="8" t="str">
        <f>MID(Tabla4[[#This Row],[Cliente]], SEARCH("_", Tabla4[[#This Row],[Cliente]]) + 1, LEN(Tabla4[[#This Row],[Cliente]]) - SEARCH("_",Tabla4[[#This Row],[Cliente]]))</f>
        <v>681</v>
      </c>
      <c r="B180">
        <f>sala!K179</f>
        <v>178</v>
      </c>
      <c r="C180">
        <f>Tabla4[[#This Row],[Propina]]+Tabla4[[#This Row],[Precio Cena]]</f>
        <v>524</v>
      </c>
      <c r="D180" s="3">
        <f>INT(sala!E179)</f>
        <v>45018</v>
      </c>
      <c r="E180" s="4">
        <f>MOD( sala!D179,1)</f>
        <v>7.8472222223354038E-2</v>
      </c>
      <c r="F180" s="4">
        <f>MOD( sala!E179,1)</f>
        <v>0.22083333333284827</v>
      </c>
      <c r="G180" s="4">
        <f>Tabla5[[#This Row],[Hora de Salida]]-Tabla5[[#This Row],[Hora de Llegada]]+Tabla4[[#This Row],[Tiempo Extra]]</f>
        <v>0.14236111110949423</v>
      </c>
      <c r="H180" s="5" t="str">
        <f>TEXT(Tabla4[[#This Row],[Preparación en horas]]/1440, "h:mm")</f>
        <v>2:26</v>
      </c>
      <c r="I180" s="4">
        <f>IF(Tabla5[[#This Row],[Tiempo Permanencia]]-Tabla5[[#This Row],[Tiempo de Preparación ]]&gt;=0,Tabla5[[#This Row],[Tiempo Permanencia]]-Tabla5[[#This Row],[Tiempo de Preparación ]],0)</f>
        <v>4.0972222220605342E-2</v>
      </c>
      <c r="J180" s="5" t="str">
        <f>IF(Tabla5[[#This Row],[Tiempo de Degustación]]=0,"No Cobrada","Cobrada")</f>
        <v>Cobrada</v>
      </c>
      <c r="K180" s="5" cm="1">
        <f t="array" ref="K180">SUM(IF(Tabla5[[#This Row],[Orden Cobrada]]="Cobrada",IF(Cocina!A:A=Tabla5[[#This Row],[Nº Orden]],Cocina!F:F*Cocina!G:G,0),-Tabla6[[#This Row],[Precio Cena]]))</f>
        <v>208</v>
      </c>
      <c r="L180" s="5">
        <f>IF(Tabla5[[#This Row],[Orden Cobrada]]="Cobrada",Tabla5[[#This Row],[Ganancia Bruta]]-Tabla6[[#This Row],[Coste Cena]],-Tabla6[[#This Row],[Precio Cena]]+Tabla6[[#This Row],[Coste Cena]])</f>
        <v>83</v>
      </c>
      <c r="M180" s="10">
        <f>IF(Tabla5[[#This Row],[Orden Cobrada]]="Cobrada",((Tabla5[[#This Row],[Ganancia Neta]]/Tabla5[[#This Row],[Ganancia Bruta]])*100)/100,-((Tabla5[[#This Row],[Ganancia Neta]]/Tabla5[[#This Row],[Ganancia Bruta]]*100)/100))</f>
        <v>0.39903846153846151</v>
      </c>
      <c r="N180" s="5" t="str">
        <f>sala!F179</f>
        <v>Mesero_3</v>
      </c>
      <c r="AY180" cm="1">
        <f t="array" ref="AY180">SUM(IF(Cocina!A:A=Tabla5[[#This Row],[Nº Orden]],Cocina!F:F*Cocina!G:G,0))</f>
        <v>208</v>
      </c>
      <c r="AZ180" cm="1">
        <f t="array" ref="AZ180">SUM(IF(Cocina!A:A=Tabla5[[#This Row],[Nº Orden]],Cocina!E:E*Cocina!G:G,0))</f>
        <v>125</v>
      </c>
      <c r="BB180" t="str">
        <f>MID(Tabla4[[#This Row],[Cliente]], SEARCH("_", Tabla4[[#This Row],[Cliente]]) + 1, LEN(Tabla4[[#This Row],[Cliente]]) - SEARCH("_",Tabla4[[#This Row],[Cliente]]))</f>
        <v>681</v>
      </c>
      <c r="BC180" t="str">
        <f>sala!B179</f>
        <v>Cliente_681</v>
      </c>
      <c r="BD180" s="1">
        <f>sala!D179</f>
        <v>45018.078472222223</v>
      </c>
      <c r="BE180" s="1">
        <f>sala!E179</f>
        <v>45018.220833333333</v>
      </c>
      <c r="BF180">
        <f>sala!K179</f>
        <v>178</v>
      </c>
      <c r="BG180">
        <f>sala!I179</f>
        <v>316</v>
      </c>
      <c r="BH180" cm="1">
        <f t="array" ref="BH180">SUM(IF(Cocina!A:A=Tabla4[[#This Row],[Número de Orden]],Cocina!F:F*Cocina!G:G,0))</f>
        <v>208</v>
      </c>
      <c r="BI180" t="str">
        <f>sala!J179</f>
        <v>Reservada</v>
      </c>
      <c r="BJ180" s="4" t="str">
        <f>IF(Tabla4[[#This Row],[Estado mesa]]="Ocupada","00:15","00:00")</f>
        <v>00:00</v>
      </c>
      <c r="BK180" cm="1">
        <f t="array" ref="BK180">SUM(IF(Cocina!A:A=Tabla4[[#This Row],[Número de Orden]],Cocina!H:H,0))</f>
        <v>146</v>
      </c>
    </row>
    <row r="181" spans="1:63" x14ac:dyDescent="0.3">
      <c r="A181" s="8" t="str">
        <f>MID(Tabla4[[#This Row],[Cliente]], SEARCH("_", Tabla4[[#This Row],[Cliente]]) + 1, LEN(Tabla4[[#This Row],[Cliente]]) - SEARCH("_",Tabla4[[#This Row],[Cliente]]))</f>
        <v>173</v>
      </c>
      <c r="B181">
        <f>sala!K180</f>
        <v>179</v>
      </c>
      <c r="C181">
        <f>Tabla4[[#This Row],[Propina]]+Tabla4[[#This Row],[Precio Cena]]</f>
        <v>195</v>
      </c>
      <c r="D181" s="3">
        <f>INT(sala!E180)</f>
        <v>45018</v>
      </c>
      <c r="E181" s="4">
        <f>MOD( sala!D180,1)</f>
        <v>3.0555555553291924E-2</v>
      </c>
      <c r="F181" s="4">
        <f>MOD( sala!E180,1)</f>
        <v>0.13055555555911269</v>
      </c>
      <c r="G181" s="4">
        <f>Tabla5[[#This Row],[Hora de Salida]]-Tabla5[[#This Row],[Hora de Llegada]]+Tabla4[[#This Row],[Tiempo Extra]]</f>
        <v>0.10000000000582077</v>
      </c>
      <c r="H181" s="5" t="str">
        <f>TEXT(Tabla4[[#This Row],[Preparación en horas]]/1440, "h:mm")</f>
        <v>0:26</v>
      </c>
      <c r="I181" s="4">
        <f>IF(Tabla5[[#This Row],[Tiempo Permanencia]]-Tabla5[[#This Row],[Tiempo de Preparación ]]&gt;=0,Tabla5[[#This Row],[Tiempo Permanencia]]-Tabla5[[#This Row],[Tiempo de Preparación ]],0)</f>
        <v>8.1944444450265219E-2</v>
      </c>
      <c r="J181" s="5" t="str">
        <f>IF(Tabla5[[#This Row],[Tiempo de Degustación]]=0,"No Cobrada","Cobrada")</f>
        <v>Cobrada</v>
      </c>
      <c r="K181" s="5" cm="1">
        <f t="array" ref="K181">SUM(IF(Tabla5[[#This Row],[Orden Cobrada]]="Cobrada",IF(Cocina!A:A=Tabla5[[#This Row],[Nº Orden]],Cocina!F:F*Cocina!G:G,0),-Tabla6[[#This Row],[Precio Cena]]))</f>
        <v>62</v>
      </c>
      <c r="L181" s="5">
        <f>IF(Tabla5[[#This Row],[Orden Cobrada]]="Cobrada",Tabla5[[#This Row],[Ganancia Bruta]]-Tabla6[[#This Row],[Coste Cena]],-Tabla6[[#This Row],[Precio Cena]]+Tabla6[[#This Row],[Coste Cena]])</f>
        <v>24</v>
      </c>
      <c r="M181" s="10">
        <f>IF(Tabla5[[#This Row],[Orden Cobrada]]="Cobrada",((Tabla5[[#This Row],[Ganancia Neta]]/Tabla5[[#This Row],[Ganancia Bruta]])*100)/100,-((Tabla5[[#This Row],[Ganancia Neta]]/Tabla5[[#This Row],[Ganancia Bruta]]*100)/100))</f>
        <v>0.38709677419354838</v>
      </c>
      <c r="N181" s="5" t="str">
        <f>sala!F180</f>
        <v>Mesero_4</v>
      </c>
      <c r="AY181" cm="1">
        <f t="array" ref="AY181">SUM(IF(Cocina!A:A=Tabla5[[#This Row],[Nº Orden]],Cocina!F:F*Cocina!G:G,0))</f>
        <v>62</v>
      </c>
      <c r="AZ181" cm="1">
        <f t="array" ref="AZ181">SUM(IF(Cocina!A:A=Tabla5[[#This Row],[Nº Orden]],Cocina!E:E*Cocina!G:G,0))</f>
        <v>38</v>
      </c>
      <c r="BB181" t="str">
        <f>MID(Tabla4[[#This Row],[Cliente]], SEARCH("_", Tabla4[[#This Row],[Cliente]]) + 1, LEN(Tabla4[[#This Row],[Cliente]]) - SEARCH("_",Tabla4[[#This Row],[Cliente]]))</f>
        <v>173</v>
      </c>
      <c r="BC181" t="str">
        <f>sala!B180</f>
        <v>Cliente_173</v>
      </c>
      <c r="BD181" s="1">
        <f>sala!D180</f>
        <v>45018.030555555553</v>
      </c>
      <c r="BE181" s="1">
        <f>sala!E180</f>
        <v>45018.130555555559</v>
      </c>
      <c r="BF181">
        <f>sala!K180</f>
        <v>179</v>
      </c>
      <c r="BG181">
        <f>sala!I180</f>
        <v>133</v>
      </c>
      <c r="BH181" cm="1">
        <f t="array" ref="BH181">SUM(IF(Cocina!A:A=Tabla4[[#This Row],[Número de Orden]],Cocina!F:F*Cocina!G:G,0))</f>
        <v>62</v>
      </c>
      <c r="BI181" t="str">
        <f>sala!J180</f>
        <v>Reservada</v>
      </c>
      <c r="BJ181" s="4" t="str">
        <f>IF(Tabla4[[#This Row],[Estado mesa]]="Ocupada","00:15","00:00")</f>
        <v>00:00</v>
      </c>
      <c r="BK181" cm="1">
        <f t="array" ref="BK181">SUM(IF(Cocina!A:A=Tabla4[[#This Row],[Número de Orden]],Cocina!H:H,0))</f>
        <v>26</v>
      </c>
    </row>
    <row r="182" spans="1:63" x14ac:dyDescent="0.3">
      <c r="A182" s="8" t="str">
        <f>MID(Tabla4[[#This Row],[Cliente]], SEARCH("_", Tabla4[[#This Row],[Cliente]]) + 1, LEN(Tabla4[[#This Row],[Cliente]]) - SEARCH("_",Tabla4[[#This Row],[Cliente]]))</f>
        <v>55</v>
      </c>
      <c r="B182">
        <f>sala!K181</f>
        <v>180</v>
      </c>
      <c r="C182">
        <f>Tabla4[[#This Row],[Propina]]+Tabla4[[#This Row],[Precio Cena]]</f>
        <v>4827</v>
      </c>
      <c r="D182" s="3">
        <f>INT(sala!E181)</f>
        <v>45018</v>
      </c>
      <c r="E182" s="4">
        <f>MOD( sala!D181,1)</f>
        <v>9.7916666665696539E-2</v>
      </c>
      <c r="F182" s="4">
        <f>MOD( sala!E181,1)</f>
        <v>0.21458333333430346</v>
      </c>
      <c r="G182" s="4">
        <f>Tabla5[[#This Row],[Hora de Salida]]-Tabla5[[#This Row],[Hora de Llegada]]+Tabla4[[#This Row],[Tiempo Extra]]</f>
        <v>0.11666666666860692</v>
      </c>
      <c r="H182" s="5" t="str">
        <f>TEXT(Tabla4[[#This Row],[Preparación en horas]]/1440, "h:mm")</f>
        <v>2:41</v>
      </c>
      <c r="I182" s="4">
        <f>IF(Tabla5[[#This Row],[Tiempo Permanencia]]-Tabla5[[#This Row],[Tiempo de Preparación ]]&gt;=0,Tabla5[[#This Row],[Tiempo Permanencia]]-Tabla5[[#This Row],[Tiempo de Preparación ]],0)</f>
        <v>4.8611111130513612E-3</v>
      </c>
      <c r="J182" s="5" t="str">
        <f>IF(Tabla5[[#This Row],[Tiempo de Degustación]]=0,"No Cobrada","Cobrada")</f>
        <v>Cobrada</v>
      </c>
      <c r="K182" s="5" cm="1">
        <f t="array" ref="K182">SUM(IF(Tabla5[[#This Row],[Orden Cobrada]]="Cobrada",IF(Cocina!A:A=Tabla5[[#This Row],[Nº Orden]],Cocina!F:F*Cocina!G:G,0),-Tabla6[[#This Row],[Precio Cena]]))</f>
        <v>166</v>
      </c>
      <c r="L182" s="5">
        <f>IF(Tabla5[[#This Row],[Orden Cobrada]]="Cobrada",Tabla5[[#This Row],[Ganancia Bruta]]-Tabla6[[#This Row],[Coste Cena]],-Tabla6[[#This Row],[Precio Cena]]+Tabla6[[#This Row],[Coste Cena]])</f>
        <v>67</v>
      </c>
      <c r="M182" s="10">
        <f>IF(Tabla5[[#This Row],[Orden Cobrada]]="Cobrada",((Tabla5[[#This Row],[Ganancia Neta]]/Tabla5[[#This Row],[Ganancia Bruta]])*100)/100,-((Tabla5[[#This Row],[Ganancia Neta]]/Tabla5[[#This Row],[Ganancia Bruta]]*100)/100))</f>
        <v>0.40361445783132532</v>
      </c>
      <c r="N182" s="5" t="str">
        <f>sala!F181</f>
        <v>Mesero_2</v>
      </c>
      <c r="AY182" cm="1">
        <f t="array" ref="AY182">SUM(IF(Cocina!A:A=Tabla5[[#This Row],[Nº Orden]],Cocina!F:F*Cocina!G:G,0))</f>
        <v>166</v>
      </c>
      <c r="AZ182" cm="1">
        <f t="array" ref="AZ182">SUM(IF(Cocina!A:A=Tabla5[[#This Row],[Nº Orden]],Cocina!E:E*Cocina!G:G,0))</f>
        <v>99</v>
      </c>
      <c r="BB182" t="str">
        <f>MID(Tabla4[[#This Row],[Cliente]], SEARCH("_", Tabla4[[#This Row],[Cliente]]) + 1, LEN(Tabla4[[#This Row],[Cliente]]) - SEARCH("_",Tabla4[[#This Row],[Cliente]]))</f>
        <v>55</v>
      </c>
      <c r="BC182" t="str">
        <f>sala!B181</f>
        <v>Cliente_55</v>
      </c>
      <c r="BD182" s="1">
        <f>sala!D181</f>
        <v>45018.097916666666</v>
      </c>
      <c r="BE182" s="1">
        <f>sala!E181</f>
        <v>45018.214583333334</v>
      </c>
      <c r="BF182">
        <f>sala!K181</f>
        <v>180</v>
      </c>
      <c r="BG182">
        <f>sala!I181</f>
        <v>4661</v>
      </c>
      <c r="BH182" cm="1">
        <f t="array" ref="BH182">SUM(IF(Cocina!A:A=Tabla4[[#This Row],[Número de Orden]],Cocina!F:F*Cocina!G:G,0))</f>
        <v>166</v>
      </c>
      <c r="BI182" t="str">
        <f>sala!J181</f>
        <v>Reservada</v>
      </c>
      <c r="BJ182" s="4" t="str">
        <f>IF(Tabla4[[#This Row],[Estado mesa]]="Ocupada","00:15","00:00")</f>
        <v>00:00</v>
      </c>
      <c r="BK182" cm="1">
        <f t="array" ref="BK182">SUM(IF(Cocina!A:A=Tabla4[[#This Row],[Número de Orden]],Cocina!H:H,0))</f>
        <v>161</v>
      </c>
    </row>
    <row r="183" spans="1:63" x14ac:dyDescent="0.3">
      <c r="A183" s="8" t="str">
        <f>MID(Tabla4[[#This Row],[Cliente]], SEARCH("_", Tabla4[[#This Row],[Cliente]]) + 1, LEN(Tabla4[[#This Row],[Cliente]]) - SEARCH("_",Tabla4[[#This Row],[Cliente]]))</f>
        <v>653</v>
      </c>
      <c r="B183">
        <f>sala!K182</f>
        <v>181</v>
      </c>
      <c r="C183">
        <f>Tabla4[[#This Row],[Propina]]+Tabla4[[#This Row],[Precio Cena]]</f>
        <v>4285</v>
      </c>
      <c r="D183" s="3">
        <f>INT(sala!E182)</f>
        <v>45018</v>
      </c>
      <c r="E183" s="4">
        <f>MOD( sala!D182,1)</f>
        <v>0.11458333333575865</v>
      </c>
      <c r="F183" s="4">
        <f>MOD( sala!E182,1)</f>
        <v>0.16249999999854481</v>
      </c>
      <c r="G183" s="4">
        <f>Tabla5[[#This Row],[Hora de Salida]]-Tabla5[[#This Row],[Hora de Llegada]]+Tabla4[[#This Row],[Tiempo Extra]]</f>
        <v>5.833333332945282E-2</v>
      </c>
      <c r="H183" s="5" t="str">
        <f>TEXT(Tabla4[[#This Row],[Preparación en horas]]/1440, "h:mm")</f>
        <v>0:55</v>
      </c>
      <c r="I183" s="4">
        <f>IF(Tabla5[[#This Row],[Tiempo Permanencia]]-Tabla5[[#This Row],[Tiempo de Preparación ]]&gt;=0,Tabla5[[#This Row],[Tiempo Permanencia]]-Tabla5[[#This Row],[Tiempo de Preparación ]],0)</f>
        <v>2.0138888885008373E-2</v>
      </c>
      <c r="J183" s="5" t="str">
        <f>IF(Tabla5[[#This Row],[Tiempo de Degustación]]=0,"No Cobrada","Cobrada")</f>
        <v>Cobrada</v>
      </c>
      <c r="K183" s="5" cm="1">
        <f t="array" ref="K183">SUM(IF(Tabla5[[#This Row],[Orden Cobrada]]="Cobrada",IF(Cocina!A:A=Tabla5[[#This Row],[Nº Orden]],Cocina!F:F*Cocina!G:G,0),-Tabla6[[#This Row],[Precio Cena]]))</f>
        <v>27</v>
      </c>
      <c r="L183" s="5">
        <f>IF(Tabla5[[#This Row],[Orden Cobrada]]="Cobrada",Tabla5[[#This Row],[Ganancia Bruta]]-Tabla6[[#This Row],[Coste Cena]],-Tabla6[[#This Row],[Precio Cena]]+Tabla6[[#This Row],[Coste Cena]])</f>
        <v>11</v>
      </c>
      <c r="M183" s="10">
        <f>IF(Tabla5[[#This Row],[Orden Cobrada]]="Cobrada",((Tabla5[[#This Row],[Ganancia Neta]]/Tabla5[[#This Row],[Ganancia Bruta]])*100)/100,-((Tabla5[[#This Row],[Ganancia Neta]]/Tabla5[[#This Row],[Ganancia Bruta]]*100)/100))</f>
        <v>0.40740740740740738</v>
      </c>
      <c r="N183" s="5" t="str">
        <f>sala!F182</f>
        <v>Mesero_1</v>
      </c>
      <c r="AY183" cm="1">
        <f t="array" ref="AY183">SUM(IF(Cocina!A:A=Tabla5[[#This Row],[Nº Orden]],Cocina!F:F*Cocina!G:G,0))</f>
        <v>27</v>
      </c>
      <c r="AZ183" cm="1">
        <f t="array" ref="AZ183">SUM(IF(Cocina!A:A=Tabla5[[#This Row],[Nº Orden]],Cocina!E:E*Cocina!G:G,0))</f>
        <v>16</v>
      </c>
      <c r="BB183" t="str">
        <f>MID(Tabla4[[#This Row],[Cliente]], SEARCH("_", Tabla4[[#This Row],[Cliente]]) + 1, LEN(Tabla4[[#This Row],[Cliente]]) - SEARCH("_",Tabla4[[#This Row],[Cliente]]))</f>
        <v>653</v>
      </c>
      <c r="BC183" t="str">
        <f>sala!B182</f>
        <v>Cliente_653</v>
      </c>
      <c r="BD183" s="1">
        <f>sala!D182</f>
        <v>45018.114583333336</v>
      </c>
      <c r="BE183" s="1">
        <f>sala!E182</f>
        <v>45018.162499999999</v>
      </c>
      <c r="BF183">
        <f>sala!K182</f>
        <v>181</v>
      </c>
      <c r="BG183">
        <f>sala!I182</f>
        <v>4258</v>
      </c>
      <c r="BH183" cm="1">
        <f t="array" ref="BH183">SUM(IF(Cocina!A:A=Tabla4[[#This Row],[Número de Orden]],Cocina!F:F*Cocina!G:G,0))</f>
        <v>27</v>
      </c>
      <c r="BI183" t="str">
        <f>sala!J182</f>
        <v>Ocupada</v>
      </c>
      <c r="BJ183" s="4" t="str">
        <f>IF(Tabla4[[#This Row],[Estado mesa]]="Ocupada","00:15","00:00")</f>
        <v>00:15</v>
      </c>
      <c r="BK183" cm="1">
        <f t="array" ref="BK183">SUM(IF(Cocina!A:A=Tabla4[[#This Row],[Número de Orden]],Cocina!H:H,0))</f>
        <v>55</v>
      </c>
    </row>
    <row r="184" spans="1:63" x14ac:dyDescent="0.3">
      <c r="A184" s="8" t="str">
        <f>MID(Tabla4[[#This Row],[Cliente]], SEARCH("_", Tabla4[[#This Row],[Cliente]]) + 1, LEN(Tabla4[[#This Row],[Cliente]]) - SEARCH("_",Tabla4[[#This Row],[Cliente]]))</f>
        <v>628</v>
      </c>
      <c r="B184">
        <f>sala!K183</f>
        <v>182</v>
      </c>
      <c r="C184">
        <f>Tabla4[[#This Row],[Propina]]+Tabla4[[#This Row],[Precio Cena]]</f>
        <v>3874</v>
      </c>
      <c r="D184" s="3">
        <f>INT(sala!E183)</f>
        <v>45018</v>
      </c>
      <c r="E184" s="4">
        <f>MOD( sala!D183,1)</f>
        <v>0.16180555555911269</v>
      </c>
      <c r="F184" s="4">
        <f>MOD( sala!E183,1)</f>
        <v>0.27083333333575865</v>
      </c>
      <c r="G184" s="4">
        <f>Tabla5[[#This Row],[Hora de Salida]]-Tabla5[[#This Row],[Hora de Llegada]]+Tabla4[[#This Row],[Tiempo Extra]]</f>
        <v>0.10902777777664596</v>
      </c>
      <c r="H184" s="5" t="str">
        <f>TEXT(Tabla4[[#This Row],[Preparación en horas]]/1440, "h:mm")</f>
        <v>0:11</v>
      </c>
      <c r="I184" s="4">
        <f>IF(Tabla5[[#This Row],[Tiempo Permanencia]]-Tabla5[[#This Row],[Tiempo de Preparación ]]&gt;=0,Tabla5[[#This Row],[Tiempo Permanencia]]-Tabla5[[#This Row],[Tiempo de Preparación ]],0)</f>
        <v>0.10138888888775707</v>
      </c>
      <c r="J184" s="5" t="str">
        <f>IF(Tabla5[[#This Row],[Tiempo de Degustación]]=0,"No Cobrada","Cobrada")</f>
        <v>Cobrada</v>
      </c>
      <c r="K184" s="5" cm="1">
        <f t="array" ref="K184">SUM(IF(Tabla5[[#This Row],[Orden Cobrada]]="Cobrada",IF(Cocina!A:A=Tabla5[[#This Row],[Nº Orden]],Cocina!F:F*Cocina!G:G,0),-Tabla6[[#This Row],[Precio Cena]]))</f>
        <v>38</v>
      </c>
      <c r="L184" s="5">
        <f>IF(Tabla5[[#This Row],[Orden Cobrada]]="Cobrada",Tabla5[[#This Row],[Ganancia Bruta]]-Tabla6[[#This Row],[Coste Cena]],-Tabla6[[#This Row],[Precio Cena]]+Tabla6[[#This Row],[Coste Cena]])</f>
        <v>16</v>
      </c>
      <c r="M184" s="10">
        <f>IF(Tabla5[[#This Row],[Orden Cobrada]]="Cobrada",((Tabla5[[#This Row],[Ganancia Neta]]/Tabla5[[#This Row],[Ganancia Bruta]])*100)/100,-((Tabla5[[#This Row],[Ganancia Neta]]/Tabla5[[#This Row],[Ganancia Bruta]]*100)/100))</f>
        <v>0.42105263157894735</v>
      </c>
      <c r="N184" s="5" t="str">
        <f>sala!F183</f>
        <v>Mesero_3</v>
      </c>
      <c r="AY184" cm="1">
        <f t="array" ref="AY184">SUM(IF(Cocina!A:A=Tabla5[[#This Row],[Nº Orden]],Cocina!F:F*Cocina!G:G,0))</f>
        <v>38</v>
      </c>
      <c r="AZ184" cm="1">
        <f t="array" ref="AZ184">SUM(IF(Cocina!A:A=Tabla5[[#This Row],[Nº Orden]],Cocina!E:E*Cocina!G:G,0))</f>
        <v>22</v>
      </c>
      <c r="BB184" t="str">
        <f>MID(Tabla4[[#This Row],[Cliente]], SEARCH("_", Tabla4[[#This Row],[Cliente]]) + 1, LEN(Tabla4[[#This Row],[Cliente]]) - SEARCH("_",Tabla4[[#This Row],[Cliente]]))</f>
        <v>628</v>
      </c>
      <c r="BC184" t="str">
        <f>sala!B183</f>
        <v>Cliente_628</v>
      </c>
      <c r="BD184" s="1">
        <f>sala!D183</f>
        <v>45018.161805555559</v>
      </c>
      <c r="BE184" s="1">
        <f>sala!E183</f>
        <v>45018.270833333336</v>
      </c>
      <c r="BF184">
        <f>sala!K183</f>
        <v>182</v>
      </c>
      <c r="BG184">
        <f>sala!I183</f>
        <v>3836</v>
      </c>
      <c r="BH184" cm="1">
        <f t="array" ref="BH184">SUM(IF(Cocina!A:A=Tabla4[[#This Row],[Número de Orden]],Cocina!F:F*Cocina!G:G,0))</f>
        <v>38</v>
      </c>
      <c r="BI184" t="str">
        <f>sala!J183</f>
        <v>Libre</v>
      </c>
      <c r="BJ184" s="4" t="str">
        <f>IF(Tabla4[[#This Row],[Estado mesa]]="Ocupada","00:15","00:00")</f>
        <v>00:00</v>
      </c>
      <c r="BK184" cm="1">
        <f t="array" ref="BK184">SUM(IF(Cocina!A:A=Tabla4[[#This Row],[Número de Orden]],Cocina!H:H,0))</f>
        <v>11</v>
      </c>
    </row>
    <row r="185" spans="1:63" x14ac:dyDescent="0.3">
      <c r="A185" s="8" t="str">
        <f>MID(Tabla4[[#This Row],[Cliente]], SEARCH("_", Tabla4[[#This Row],[Cliente]]) + 1, LEN(Tabla4[[#This Row],[Cliente]]) - SEARCH("_",Tabla4[[#This Row],[Cliente]]))</f>
        <v>715</v>
      </c>
      <c r="B185">
        <f>sala!K184</f>
        <v>183</v>
      </c>
      <c r="C185">
        <f>Tabla4[[#This Row],[Propina]]+Tabla4[[#This Row],[Precio Cena]]</f>
        <v>1424</v>
      </c>
      <c r="D185" s="3">
        <f>INT(sala!E184)</f>
        <v>45018</v>
      </c>
      <c r="E185" s="4">
        <f>MOD( sala!D184,1)</f>
        <v>0.11527777777519077</v>
      </c>
      <c r="F185" s="4">
        <f>MOD( sala!E184,1)</f>
        <v>0.2694444444423425</v>
      </c>
      <c r="G185" s="4">
        <f>Tabla5[[#This Row],[Hora de Salida]]-Tabla5[[#This Row],[Hora de Llegada]]+Tabla4[[#This Row],[Tiempo Extra]]</f>
        <v>0.16458333333381839</v>
      </c>
      <c r="H185" s="5" t="str">
        <f>TEXT(Tabla4[[#This Row],[Preparación en horas]]/1440, "h:mm")</f>
        <v>2:46</v>
      </c>
      <c r="I185" s="4">
        <f>IF(Tabla5[[#This Row],[Tiempo Permanencia]]-Tabla5[[#This Row],[Tiempo de Preparación ]]&gt;=0,Tabla5[[#This Row],[Tiempo Permanencia]]-Tabla5[[#This Row],[Tiempo de Preparación ]],0)</f>
        <v>4.9305555556040603E-2</v>
      </c>
      <c r="J185" s="5" t="str">
        <f>IF(Tabla5[[#This Row],[Tiempo de Degustación]]=0,"No Cobrada","Cobrada")</f>
        <v>Cobrada</v>
      </c>
      <c r="K185" s="5" cm="1">
        <f t="array" ref="K185">SUM(IF(Tabla5[[#This Row],[Orden Cobrada]]="Cobrada",IF(Cocina!A:A=Tabla5[[#This Row],[Nº Orden]],Cocina!F:F*Cocina!G:G,0),-Tabla6[[#This Row],[Precio Cena]]))</f>
        <v>255</v>
      </c>
      <c r="L185" s="5">
        <f>IF(Tabla5[[#This Row],[Orden Cobrada]]="Cobrada",Tabla5[[#This Row],[Ganancia Bruta]]-Tabla6[[#This Row],[Coste Cena]],-Tabla6[[#This Row],[Precio Cena]]+Tabla6[[#This Row],[Coste Cena]])</f>
        <v>103</v>
      </c>
      <c r="M185" s="10">
        <f>IF(Tabla5[[#This Row],[Orden Cobrada]]="Cobrada",((Tabla5[[#This Row],[Ganancia Neta]]/Tabla5[[#This Row],[Ganancia Bruta]])*100)/100,-((Tabla5[[#This Row],[Ganancia Neta]]/Tabla5[[#This Row],[Ganancia Bruta]]*100)/100))</f>
        <v>0.40392156862745099</v>
      </c>
      <c r="N185" s="5" t="str">
        <f>sala!F184</f>
        <v>Mesero_1</v>
      </c>
      <c r="AY185" cm="1">
        <f t="array" ref="AY185">SUM(IF(Cocina!A:A=Tabla5[[#This Row],[Nº Orden]],Cocina!F:F*Cocina!G:G,0))</f>
        <v>255</v>
      </c>
      <c r="AZ185" cm="1">
        <f t="array" ref="AZ185">SUM(IF(Cocina!A:A=Tabla5[[#This Row],[Nº Orden]],Cocina!E:E*Cocina!G:G,0))</f>
        <v>152</v>
      </c>
      <c r="BB185" t="str">
        <f>MID(Tabla4[[#This Row],[Cliente]], SEARCH("_", Tabla4[[#This Row],[Cliente]]) + 1, LEN(Tabla4[[#This Row],[Cliente]]) - SEARCH("_",Tabla4[[#This Row],[Cliente]]))</f>
        <v>715</v>
      </c>
      <c r="BC185" t="str">
        <f>sala!B184</f>
        <v>Cliente_715</v>
      </c>
      <c r="BD185" s="1">
        <f>sala!D184</f>
        <v>45018.115277777775</v>
      </c>
      <c r="BE185" s="1">
        <f>sala!E184</f>
        <v>45018.269444444442</v>
      </c>
      <c r="BF185">
        <f>sala!K184</f>
        <v>183</v>
      </c>
      <c r="BG185">
        <f>sala!I184</f>
        <v>1169</v>
      </c>
      <c r="BH185" cm="1">
        <f t="array" ref="BH185">SUM(IF(Cocina!A:A=Tabla4[[#This Row],[Número de Orden]],Cocina!F:F*Cocina!G:G,0))</f>
        <v>255</v>
      </c>
      <c r="BI185" t="str">
        <f>sala!J184</f>
        <v>Ocupada</v>
      </c>
      <c r="BJ185" s="4" t="str">
        <f>IF(Tabla4[[#This Row],[Estado mesa]]="Ocupada","00:15","00:00")</f>
        <v>00:15</v>
      </c>
      <c r="BK185" cm="1">
        <f t="array" ref="BK185">SUM(IF(Cocina!A:A=Tabla4[[#This Row],[Número de Orden]],Cocina!H:H,0))</f>
        <v>166</v>
      </c>
    </row>
    <row r="186" spans="1:63" x14ac:dyDescent="0.3">
      <c r="A186" s="8" t="str">
        <f>MID(Tabla4[[#This Row],[Cliente]], SEARCH("_", Tabla4[[#This Row],[Cliente]]) + 1, LEN(Tabla4[[#This Row],[Cliente]]) - SEARCH("_",Tabla4[[#This Row],[Cliente]]))</f>
        <v>321</v>
      </c>
      <c r="B186">
        <f>sala!K185</f>
        <v>184</v>
      </c>
      <c r="C186">
        <f>Tabla4[[#This Row],[Propina]]+Tabla4[[#This Row],[Precio Cena]]</f>
        <v>2629</v>
      </c>
      <c r="D186" s="3">
        <f>INT(sala!E185)</f>
        <v>45018</v>
      </c>
      <c r="E186" s="4">
        <f>MOD( sala!D185,1)</f>
        <v>0.16319444444525288</v>
      </c>
      <c r="F186" s="4">
        <f>MOD( sala!E185,1)</f>
        <v>0.29236111111094942</v>
      </c>
      <c r="G186" s="4">
        <f>Tabla5[[#This Row],[Hora de Salida]]-Tabla5[[#This Row],[Hora de Llegada]]+Tabla4[[#This Row],[Tiempo Extra]]</f>
        <v>0.1395833333323632</v>
      </c>
      <c r="H186" s="5" t="str">
        <f>TEXT(Tabla4[[#This Row],[Preparación en horas]]/1440, "h:mm")</f>
        <v>0:29</v>
      </c>
      <c r="I186" s="4">
        <f>IF(Tabla5[[#This Row],[Tiempo Permanencia]]-Tabla5[[#This Row],[Tiempo de Preparación ]]&gt;=0,Tabla5[[#This Row],[Tiempo Permanencia]]-Tabla5[[#This Row],[Tiempo de Preparación ]],0)</f>
        <v>0.11944444444347431</v>
      </c>
      <c r="J186" s="5" t="str">
        <f>IF(Tabla5[[#This Row],[Tiempo de Degustación]]=0,"No Cobrada","Cobrada")</f>
        <v>Cobrada</v>
      </c>
      <c r="K186" s="5" cm="1">
        <f t="array" ref="K186">SUM(IF(Tabla5[[#This Row],[Orden Cobrada]]="Cobrada",IF(Cocina!A:A=Tabla5[[#This Row],[Nº Orden]],Cocina!F:F*Cocina!G:G,0),-Tabla6[[#This Row],[Precio Cena]]))</f>
        <v>205</v>
      </c>
      <c r="L186" s="5">
        <f>IF(Tabla5[[#This Row],[Orden Cobrada]]="Cobrada",Tabla5[[#This Row],[Ganancia Bruta]]-Tabla6[[#This Row],[Coste Cena]],-Tabla6[[#This Row],[Precio Cena]]+Tabla6[[#This Row],[Coste Cena]])</f>
        <v>85</v>
      </c>
      <c r="M186" s="10">
        <f>IF(Tabla5[[#This Row],[Orden Cobrada]]="Cobrada",((Tabla5[[#This Row],[Ganancia Neta]]/Tabla5[[#This Row],[Ganancia Bruta]])*100)/100,-((Tabla5[[#This Row],[Ganancia Neta]]/Tabla5[[#This Row],[Ganancia Bruta]]*100)/100))</f>
        <v>0.41463414634146339</v>
      </c>
      <c r="N186" s="5" t="str">
        <f>sala!F185</f>
        <v>Mesero_5</v>
      </c>
      <c r="AY186" cm="1">
        <f t="array" ref="AY186">SUM(IF(Cocina!A:A=Tabla5[[#This Row],[Nº Orden]],Cocina!F:F*Cocina!G:G,0))</f>
        <v>205</v>
      </c>
      <c r="AZ186" cm="1">
        <f t="array" ref="AZ186">SUM(IF(Cocina!A:A=Tabla5[[#This Row],[Nº Orden]],Cocina!E:E*Cocina!G:G,0))</f>
        <v>120</v>
      </c>
      <c r="BB186" t="str">
        <f>MID(Tabla4[[#This Row],[Cliente]], SEARCH("_", Tabla4[[#This Row],[Cliente]]) + 1, LEN(Tabla4[[#This Row],[Cliente]]) - SEARCH("_",Tabla4[[#This Row],[Cliente]]))</f>
        <v>321</v>
      </c>
      <c r="BC186" t="str">
        <f>sala!B185</f>
        <v>Cliente_321</v>
      </c>
      <c r="BD186" s="1">
        <f>sala!D185</f>
        <v>45018.163194444445</v>
      </c>
      <c r="BE186" s="1">
        <f>sala!E185</f>
        <v>45018.292361111111</v>
      </c>
      <c r="BF186">
        <f>sala!K185</f>
        <v>184</v>
      </c>
      <c r="BG186">
        <f>sala!I185</f>
        <v>2424</v>
      </c>
      <c r="BH186" cm="1">
        <f t="array" ref="BH186">SUM(IF(Cocina!A:A=Tabla4[[#This Row],[Número de Orden]],Cocina!F:F*Cocina!G:G,0))</f>
        <v>205</v>
      </c>
      <c r="BI186" t="str">
        <f>sala!J185</f>
        <v>Ocupada</v>
      </c>
      <c r="BJ186" s="4" t="str">
        <f>IF(Tabla4[[#This Row],[Estado mesa]]="Ocupada","00:15","00:00")</f>
        <v>00:15</v>
      </c>
      <c r="BK186" cm="1">
        <f t="array" ref="BK186">SUM(IF(Cocina!A:A=Tabla4[[#This Row],[Número de Orden]],Cocina!H:H,0))</f>
        <v>29</v>
      </c>
    </row>
    <row r="187" spans="1:63" x14ac:dyDescent="0.3">
      <c r="A187" s="8" t="str">
        <f>MID(Tabla4[[#This Row],[Cliente]], SEARCH("_", Tabla4[[#This Row],[Cliente]]) + 1, LEN(Tabla4[[#This Row],[Cliente]]) - SEARCH("_",Tabla4[[#This Row],[Cliente]]))</f>
        <v>670</v>
      </c>
      <c r="B187">
        <f>sala!K186</f>
        <v>185</v>
      </c>
      <c r="C187">
        <f>Tabla4[[#This Row],[Propina]]+Tabla4[[#This Row],[Precio Cena]]</f>
        <v>2898</v>
      </c>
      <c r="D187" s="3">
        <f>INT(sala!E186)</f>
        <v>45018</v>
      </c>
      <c r="E187" s="4">
        <f>MOD( sala!D186,1)</f>
        <v>0.11597222222189885</v>
      </c>
      <c r="F187" s="4">
        <f>MOD( sala!E186,1)</f>
        <v>0.26805555555620231</v>
      </c>
      <c r="G187" s="4">
        <f>Tabla5[[#This Row],[Hora de Salida]]-Tabla5[[#This Row],[Hora de Llegada]]+Tabla4[[#This Row],[Tiempo Extra]]</f>
        <v>0.15208333333430346</v>
      </c>
      <c r="H187" s="5" t="str">
        <f>TEXT(Tabla4[[#This Row],[Preparación en horas]]/1440, "h:mm")</f>
        <v>0:40</v>
      </c>
      <c r="I187" s="4">
        <f>IF(Tabla5[[#This Row],[Tiempo Permanencia]]-Tabla5[[#This Row],[Tiempo de Preparación ]]&gt;=0,Tabla5[[#This Row],[Tiempo Permanencia]]-Tabla5[[#This Row],[Tiempo de Preparación ]],0)</f>
        <v>0.12430555555652568</v>
      </c>
      <c r="J187" s="5" t="str">
        <f>IF(Tabla5[[#This Row],[Tiempo de Degustación]]=0,"No Cobrada","Cobrada")</f>
        <v>Cobrada</v>
      </c>
      <c r="K187" s="5" cm="1">
        <f t="array" ref="K187">SUM(IF(Tabla5[[#This Row],[Orden Cobrada]]="Cobrada",IF(Cocina!A:A=Tabla5[[#This Row],[Nº Orden]],Cocina!F:F*Cocina!G:G,0),-Tabla6[[#This Row],[Precio Cena]]))</f>
        <v>91</v>
      </c>
      <c r="L187" s="5">
        <f>IF(Tabla5[[#This Row],[Orden Cobrada]]="Cobrada",Tabla5[[#This Row],[Ganancia Bruta]]-Tabla6[[#This Row],[Coste Cena]],-Tabla6[[#This Row],[Precio Cena]]+Tabla6[[#This Row],[Coste Cena]])</f>
        <v>36</v>
      </c>
      <c r="M187" s="10">
        <f>IF(Tabla5[[#This Row],[Orden Cobrada]]="Cobrada",((Tabla5[[#This Row],[Ganancia Neta]]/Tabla5[[#This Row],[Ganancia Bruta]])*100)/100,-((Tabla5[[#This Row],[Ganancia Neta]]/Tabla5[[#This Row],[Ganancia Bruta]]*100)/100))</f>
        <v>0.39560439560439564</v>
      </c>
      <c r="N187" s="5" t="str">
        <f>sala!F186</f>
        <v>Mesero_1</v>
      </c>
      <c r="AY187" cm="1">
        <f t="array" ref="AY187">SUM(IF(Cocina!A:A=Tabla5[[#This Row],[Nº Orden]],Cocina!F:F*Cocina!G:G,0))</f>
        <v>91</v>
      </c>
      <c r="AZ187" cm="1">
        <f t="array" ref="AZ187">SUM(IF(Cocina!A:A=Tabla5[[#This Row],[Nº Orden]],Cocina!E:E*Cocina!G:G,0))</f>
        <v>55</v>
      </c>
      <c r="BB187" t="str">
        <f>MID(Tabla4[[#This Row],[Cliente]], SEARCH("_", Tabla4[[#This Row],[Cliente]]) + 1, LEN(Tabla4[[#This Row],[Cliente]]) - SEARCH("_",Tabla4[[#This Row],[Cliente]]))</f>
        <v>670</v>
      </c>
      <c r="BC187" t="str">
        <f>sala!B186</f>
        <v>Cliente_670</v>
      </c>
      <c r="BD187" s="1">
        <f>sala!D186</f>
        <v>45018.115972222222</v>
      </c>
      <c r="BE187" s="1">
        <f>sala!E186</f>
        <v>45018.268055555556</v>
      </c>
      <c r="BF187">
        <f>sala!K186</f>
        <v>185</v>
      </c>
      <c r="BG187">
        <f>sala!I186</f>
        <v>2807</v>
      </c>
      <c r="BH187" cm="1">
        <f t="array" ref="BH187">SUM(IF(Cocina!A:A=Tabla4[[#This Row],[Número de Orden]],Cocina!F:F*Cocina!G:G,0))</f>
        <v>91</v>
      </c>
      <c r="BI187" t="str">
        <f>sala!J186</f>
        <v>Libre</v>
      </c>
      <c r="BJ187" s="4" t="str">
        <f>IF(Tabla4[[#This Row],[Estado mesa]]="Ocupada","00:15","00:00")</f>
        <v>00:00</v>
      </c>
      <c r="BK187" cm="1">
        <f t="array" ref="BK187">SUM(IF(Cocina!A:A=Tabla4[[#This Row],[Número de Orden]],Cocina!H:H,0))</f>
        <v>40</v>
      </c>
    </row>
    <row r="188" spans="1:63" x14ac:dyDescent="0.3">
      <c r="A188" s="8" t="str">
        <f>MID(Tabla4[[#This Row],[Cliente]], SEARCH("_", Tabla4[[#This Row],[Cliente]]) + 1, LEN(Tabla4[[#This Row],[Cliente]]) - SEARCH("_",Tabla4[[#This Row],[Cliente]]))</f>
        <v>442</v>
      </c>
      <c r="B188">
        <f>sala!K187</f>
        <v>186</v>
      </c>
      <c r="C188">
        <f>Tabla4[[#This Row],[Propina]]+Tabla4[[#This Row],[Precio Cena]]</f>
        <v>2025</v>
      </c>
      <c r="D188" s="3">
        <f>INT(sala!E187)</f>
        <v>45018</v>
      </c>
      <c r="E188" s="4">
        <f>MOD( sala!D187,1)</f>
        <v>2.7777777781011537E-2</v>
      </c>
      <c r="F188" s="4">
        <f>MOD( sala!E187,1)</f>
        <v>0.17638888888905058</v>
      </c>
      <c r="G188" s="4">
        <f>Tabla5[[#This Row],[Hora de Salida]]-Tabla5[[#This Row],[Hora de Llegada]]+Tabla4[[#This Row],[Tiempo Extra]]</f>
        <v>0.14861111110803904</v>
      </c>
      <c r="H188" s="5" t="str">
        <f>TEXT(Tabla4[[#This Row],[Preparación en horas]]/1440, "h:mm")</f>
        <v>1:33</v>
      </c>
      <c r="I188" s="4">
        <f>IF(Tabla5[[#This Row],[Tiempo Permanencia]]-Tabla5[[#This Row],[Tiempo de Preparación ]]&gt;=0,Tabla5[[#This Row],[Tiempo Permanencia]]-Tabla5[[#This Row],[Tiempo de Preparación ]],0)</f>
        <v>8.40277777747057E-2</v>
      </c>
      <c r="J188" s="5" t="str">
        <f>IF(Tabla5[[#This Row],[Tiempo de Degustación]]=0,"No Cobrada","Cobrada")</f>
        <v>Cobrada</v>
      </c>
      <c r="K188" s="5" cm="1">
        <f t="array" ref="K188">SUM(IF(Tabla5[[#This Row],[Orden Cobrada]]="Cobrada",IF(Cocina!A:A=Tabla5[[#This Row],[Nº Orden]],Cocina!F:F*Cocina!G:G,0),-Tabla6[[#This Row],[Precio Cena]]))</f>
        <v>270</v>
      </c>
      <c r="L188" s="5">
        <f>IF(Tabla5[[#This Row],[Orden Cobrada]]="Cobrada",Tabla5[[#This Row],[Ganancia Bruta]]-Tabla6[[#This Row],[Coste Cena]],-Tabla6[[#This Row],[Precio Cena]]+Tabla6[[#This Row],[Coste Cena]])</f>
        <v>108</v>
      </c>
      <c r="M188" s="10">
        <f>IF(Tabla5[[#This Row],[Orden Cobrada]]="Cobrada",((Tabla5[[#This Row],[Ganancia Neta]]/Tabla5[[#This Row],[Ganancia Bruta]])*100)/100,-((Tabla5[[#This Row],[Ganancia Neta]]/Tabla5[[#This Row],[Ganancia Bruta]]*100)/100))</f>
        <v>0.4</v>
      </c>
      <c r="N188" s="5" t="str">
        <f>sala!F187</f>
        <v>Mesero_1</v>
      </c>
      <c r="AY188" cm="1">
        <f t="array" ref="AY188">SUM(IF(Cocina!A:A=Tabla5[[#This Row],[Nº Orden]],Cocina!F:F*Cocina!G:G,0))</f>
        <v>270</v>
      </c>
      <c r="AZ188" cm="1">
        <f t="array" ref="AZ188">SUM(IF(Cocina!A:A=Tabla5[[#This Row],[Nº Orden]],Cocina!E:E*Cocina!G:G,0))</f>
        <v>162</v>
      </c>
      <c r="BB188" t="str">
        <f>MID(Tabla4[[#This Row],[Cliente]], SEARCH("_", Tabla4[[#This Row],[Cliente]]) + 1, LEN(Tabla4[[#This Row],[Cliente]]) - SEARCH("_",Tabla4[[#This Row],[Cliente]]))</f>
        <v>442</v>
      </c>
      <c r="BC188" t="str">
        <f>sala!B187</f>
        <v>Cliente_442</v>
      </c>
      <c r="BD188" s="1">
        <f>sala!D187</f>
        <v>45018.027777777781</v>
      </c>
      <c r="BE188" s="1">
        <f>sala!E187</f>
        <v>45018.176388888889</v>
      </c>
      <c r="BF188">
        <f>sala!K187</f>
        <v>186</v>
      </c>
      <c r="BG188">
        <f>sala!I187</f>
        <v>1755</v>
      </c>
      <c r="BH188" cm="1">
        <f t="array" ref="BH188">SUM(IF(Cocina!A:A=Tabla4[[#This Row],[Número de Orden]],Cocina!F:F*Cocina!G:G,0))</f>
        <v>270</v>
      </c>
      <c r="BI188" t="str">
        <f>sala!J187</f>
        <v>Reservada</v>
      </c>
      <c r="BJ188" s="4" t="str">
        <f>IF(Tabla4[[#This Row],[Estado mesa]]="Ocupada","00:15","00:00")</f>
        <v>00:00</v>
      </c>
      <c r="BK188" cm="1">
        <f t="array" ref="BK188">SUM(IF(Cocina!A:A=Tabla4[[#This Row],[Número de Orden]],Cocina!H:H,0))</f>
        <v>93</v>
      </c>
    </row>
    <row r="189" spans="1:63" x14ac:dyDescent="0.3">
      <c r="A189" s="8" t="str">
        <f>MID(Tabla4[[#This Row],[Cliente]], SEARCH("_", Tabla4[[#This Row],[Cliente]]) + 1, LEN(Tabla4[[#This Row],[Cliente]]) - SEARCH("_",Tabla4[[#This Row],[Cliente]]))</f>
        <v>752</v>
      </c>
      <c r="B189">
        <f>sala!K188</f>
        <v>187</v>
      </c>
      <c r="C189">
        <f>Tabla4[[#This Row],[Propina]]+Tabla4[[#This Row],[Precio Cena]]</f>
        <v>382</v>
      </c>
      <c r="D189" s="3">
        <f>INT(sala!E188)</f>
        <v>45018</v>
      </c>
      <c r="E189" s="4">
        <f>MOD( sala!D188,1)</f>
        <v>9.930555555911269E-2</v>
      </c>
      <c r="F189" s="4">
        <f>MOD( sala!E188,1)</f>
        <v>0.22777777777810115</v>
      </c>
      <c r="G189" s="4">
        <f>Tabla5[[#This Row],[Hora de Salida]]-Tabla5[[#This Row],[Hora de Llegada]]+Tabla4[[#This Row],[Tiempo Extra]]</f>
        <v>0.12847222221898846</v>
      </c>
      <c r="H189" s="5" t="str">
        <f>TEXT(Tabla4[[#This Row],[Preparación en horas]]/1440, "h:mm")</f>
        <v>2:06</v>
      </c>
      <c r="I189" s="4">
        <f>IF(Tabla5[[#This Row],[Tiempo Permanencia]]-Tabla5[[#This Row],[Tiempo de Preparación ]]&gt;=0,Tabla5[[#This Row],[Tiempo Permanencia]]-Tabla5[[#This Row],[Tiempo de Preparación ]],0)</f>
        <v>4.0972222218988469E-2</v>
      </c>
      <c r="J189" s="5" t="str">
        <f>IF(Tabla5[[#This Row],[Tiempo de Degustación]]=0,"No Cobrada","Cobrada")</f>
        <v>Cobrada</v>
      </c>
      <c r="K189" s="5" cm="1">
        <f t="array" ref="K189">SUM(IF(Tabla5[[#This Row],[Orden Cobrada]]="Cobrada",IF(Cocina!A:A=Tabla5[[#This Row],[Nº Orden]],Cocina!F:F*Cocina!G:G,0),-Tabla6[[#This Row],[Precio Cena]]))</f>
        <v>208</v>
      </c>
      <c r="L189" s="5">
        <f>IF(Tabla5[[#This Row],[Orden Cobrada]]="Cobrada",Tabla5[[#This Row],[Ganancia Bruta]]-Tabla6[[#This Row],[Coste Cena]],-Tabla6[[#This Row],[Precio Cena]]+Tabla6[[#This Row],[Coste Cena]])</f>
        <v>86</v>
      </c>
      <c r="M189" s="10">
        <f>IF(Tabla5[[#This Row],[Orden Cobrada]]="Cobrada",((Tabla5[[#This Row],[Ganancia Neta]]/Tabla5[[#This Row],[Ganancia Bruta]])*100)/100,-((Tabla5[[#This Row],[Ganancia Neta]]/Tabla5[[#This Row],[Ganancia Bruta]]*100)/100))</f>
        <v>0.41346153846153849</v>
      </c>
      <c r="N189" s="5" t="str">
        <f>sala!F188</f>
        <v>Mesero_4</v>
      </c>
      <c r="AY189" cm="1">
        <f t="array" ref="AY189">SUM(IF(Cocina!A:A=Tabla5[[#This Row],[Nº Orden]],Cocina!F:F*Cocina!G:G,0))</f>
        <v>208</v>
      </c>
      <c r="AZ189" cm="1">
        <f t="array" ref="AZ189">SUM(IF(Cocina!A:A=Tabla5[[#This Row],[Nº Orden]],Cocina!E:E*Cocina!G:G,0))</f>
        <v>122</v>
      </c>
      <c r="BB189" t="str">
        <f>MID(Tabla4[[#This Row],[Cliente]], SEARCH("_", Tabla4[[#This Row],[Cliente]]) + 1, LEN(Tabla4[[#This Row],[Cliente]]) - SEARCH("_",Tabla4[[#This Row],[Cliente]]))</f>
        <v>752</v>
      </c>
      <c r="BC189" t="str">
        <f>sala!B188</f>
        <v>Cliente_752</v>
      </c>
      <c r="BD189" s="1">
        <f>sala!D188</f>
        <v>45018.099305555559</v>
      </c>
      <c r="BE189" s="1">
        <f>sala!E188</f>
        <v>45018.227777777778</v>
      </c>
      <c r="BF189">
        <f>sala!K188</f>
        <v>187</v>
      </c>
      <c r="BG189">
        <f>sala!I188</f>
        <v>174</v>
      </c>
      <c r="BH189" cm="1">
        <f t="array" ref="BH189">SUM(IF(Cocina!A:A=Tabla4[[#This Row],[Número de Orden]],Cocina!F:F*Cocina!G:G,0))</f>
        <v>208</v>
      </c>
      <c r="BI189" t="str">
        <f>sala!J188</f>
        <v>Libre</v>
      </c>
      <c r="BJ189" s="4" t="str">
        <f>IF(Tabla4[[#This Row],[Estado mesa]]="Ocupada","00:15","00:00")</f>
        <v>00:00</v>
      </c>
      <c r="BK189" cm="1">
        <f t="array" ref="BK189">SUM(IF(Cocina!A:A=Tabla4[[#This Row],[Número de Orden]],Cocina!H:H,0))</f>
        <v>126</v>
      </c>
    </row>
    <row r="190" spans="1:63" x14ac:dyDescent="0.3">
      <c r="A190" s="8" t="str">
        <f>MID(Tabla4[[#This Row],[Cliente]], SEARCH("_", Tabla4[[#This Row],[Cliente]]) + 1, LEN(Tabla4[[#This Row],[Cliente]]) - SEARCH("_",Tabla4[[#This Row],[Cliente]]))</f>
        <v>727</v>
      </c>
      <c r="B190">
        <f>sala!K189</f>
        <v>188</v>
      </c>
      <c r="C190">
        <f>Tabla4[[#This Row],[Propina]]+Tabla4[[#This Row],[Precio Cena]]</f>
        <v>1478</v>
      </c>
      <c r="D190" s="3">
        <f>INT(sala!E189)</f>
        <v>45018</v>
      </c>
      <c r="E190" s="4">
        <f>MOD( sala!D189,1)</f>
        <v>0.15277777778101154</v>
      </c>
      <c r="F190" s="4">
        <f>MOD( sala!E189,1)</f>
        <v>0.22291666666569654</v>
      </c>
      <c r="G190" s="4">
        <f>Tabla5[[#This Row],[Hora de Salida]]-Tabla5[[#This Row],[Hora de Llegada]]+Tabla4[[#This Row],[Tiempo Extra]]</f>
        <v>7.0138888884685002E-2</v>
      </c>
      <c r="H190" s="5" t="str">
        <f>TEXT(Tabla4[[#This Row],[Preparación en horas]]/1440, "h:mm")</f>
        <v>1:45</v>
      </c>
      <c r="I190" s="4">
        <f>IF(Tabla5[[#This Row],[Tiempo Permanencia]]-Tabla5[[#This Row],[Tiempo de Preparación ]]&gt;=0,Tabla5[[#This Row],[Tiempo Permanencia]]-Tabla5[[#This Row],[Tiempo de Preparación ]],0)</f>
        <v>0</v>
      </c>
      <c r="J190" s="5" t="str">
        <f>IF(Tabla5[[#This Row],[Tiempo de Degustación]]=0,"No Cobrada","Cobrada")</f>
        <v>No Cobrada</v>
      </c>
      <c r="K190" s="5" cm="1">
        <f t="array" ref="K190">SUM(IF(Tabla5[[#This Row],[Orden Cobrada]]="Cobrada",IF(Cocina!A:A=Tabla5[[#This Row],[Nº Orden]],Cocina!F:F*Cocina!G:G,0),-Tabla6[[#This Row],[Precio Cena]]))</f>
        <v>-83</v>
      </c>
      <c r="L190" s="5">
        <f>IF(Tabla5[[#This Row],[Orden Cobrada]]="Cobrada",Tabla5[[#This Row],[Ganancia Bruta]]-Tabla6[[#This Row],[Coste Cena]],-Tabla6[[#This Row],[Precio Cena]]+Tabla6[[#This Row],[Coste Cena]])</f>
        <v>-34</v>
      </c>
      <c r="M190" s="10">
        <f>IF(Tabla5[[#This Row],[Orden Cobrada]]="Cobrada",((Tabla5[[#This Row],[Ganancia Neta]]/Tabla5[[#This Row],[Ganancia Bruta]])*100)/100,-((Tabla5[[#This Row],[Ganancia Neta]]/Tabla5[[#This Row],[Ganancia Bruta]]*100)/100))</f>
        <v>-0.40963855421686746</v>
      </c>
      <c r="N190" s="5" t="str">
        <f>sala!F189</f>
        <v>Mesero_3</v>
      </c>
      <c r="AY190" cm="1">
        <f t="array" ref="AY190">SUM(IF(Cocina!A:A=Tabla5[[#This Row],[Nº Orden]],Cocina!F:F*Cocina!G:G,0))</f>
        <v>83</v>
      </c>
      <c r="AZ190" cm="1">
        <f t="array" ref="AZ190">SUM(IF(Cocina!A:A=Tabla5[[#This Row],[Nº Orden]],Cocina!E:E*Cocina!G:G,0))</f>
        <v>49</v>
      </c>
      <c r="BB190" t="str">
        <f>MID(Tabla4[[#This Row],[Cliente]], SEARCH("_", Tabla4[[#This Row],[Cliente]]) + 1, LEN(Tabla4[[#This Row],[Cliente]]) - SEARCH("_",Tabla4[[#This Row],[Cliente]]))</f>
        <v>727</v>
      </c>
      <c r="BC190" t="str">
        <f>sala!B189</f>
        <v>Cliente_727</v>
      </c>
      <c r="BD190" s="1">
        <f>sala!D189</f>
        <v>45018.152777777781</v>
      </c>
      <c r="BE190" s="1">
        <f>sala!E189</f>
        <v>45018.222916666666</v>
      </c>
      <c r="BF190">
        <f>sala!K189</f>
        <v>188</v>
      </c>
      <c r="BG190">
        <f>sala!I189</f>
        <v>1395</v>
      </c>
      <c r="BH190" cm="1">
        <f t="array" ref="BH190">SUM(IF(Cocina!A:A=Tabla4[[#This Row],[Número de Orden]],Cocina!F:F*Cocina!G:G,0))</f>
        <v>83</v>
      </c>
      <c r="BI190" t="str">
        <f>sala!J189</f>
        <v>Reservada</v>
      </c>
      <c r="BJ190" s="4" t="str">
        <f>IF(Tabla4[[#This Row],[Estado mesa]]="Ocupada","00:15","00:00")</f>
        <v>00:00</v>
      </c>
      <c r="BK190" cm="1">
        <f t="array" ref="BK190">SUM(IF(Cocina!A:A=Tabla4[[#This Row],[Número de Orden]],Cocina!H:H,0))</f>
        <v>105</v>
      </c>
    </row>
    <row r="191" spans="1:63" x14ac:dyDescent="0.3">
      <c r="A191" s="8" t="str">
        <f>MID(Tabla4[[#This Row],[Cliente]], SEARCH("_", Tabla4[[#This Row],[Cliente]]) + 1, LEN(Tabla4[[#This Row],[Cliente]]) - SEARCH("_",Tabla4[[#This Row],[Cliente]]))</f>
        <v>548</v>
      </c>
      <c r="B191">
        <f>sala!K190</f>
        <v>189</v>
      </c>
      <c r="C191">
        <f>Tabla4[[#This Row],[Propina]]+Tabla4[[#This Row],[Precio Cena]]</f>
        <v>4358</v>
      </c>
      <c r="D191" s="3">
        <f>INT(sala!E190)</f>
        <v>45018</v>
      </c>
      <c r="E191" s="4">
        <f>MOD( sala!D190,1)</f>
        <v>0.15833333333284827</v>
      </c>
      <c r="F191" s="4">
        <f>MOD( sala!E190,1)</f>
        <v>0.25694444444525288</v>
      </c>
      <c r="G191" s="4">
        <f>Tabla5[[#This Row],[Hora de Salida]]-Tabla5[[#This Row],[Hora de Llegada]]+Tabla4[[#This Row],[Tiempo Extra]]</f>
        <v>9.8611111112404615E-2</v>
      </c>
      <c r="H191" s="5" t="str">
        <f>TEXT(Tabla4[[#This Row],[Preparación en horas]]/1440, "h:mm")</f>
        <v>1:57</v>
      </c>
      <c r="I191" s="4">
        <f>IF(Tabla5[[#This Row],[Tiempo Permanencia]]-Tabla5[[#This Row],[Tiempo de Preparación ]]&gt;=0,Tabla5[[#This Row],[Tiempo Permanencia]]-Tabla5[[#This Row],[Tiempo de Preparación ]],0)</f>
        <v>1.7361111112404612E-2</v>
      </c>
      <c r="J191" s="5" t="str">
        <f>IF(Tabla5[[#This Row],[Tiempo de Degustación]]=0,"No Cobrada","Cobrada")</f>
        <v>Cobrada</v>
      </c>
      <c r="K191" s="5" cm="1">
        <f t="array" ref="K191">SUM(IF(Tabla5[[#This Row],[Orden Cobrada]]="Cobrada",IF(Cocina!A:A=Tabla5[[#This Row],[Nº Orden]],Cocina!F:F*Cocina!G:G,0),-Tabla6[[#This Row],[Precio Cena]]))</f>
        <v>192</v>
      </c>
      <c r="L191" s="5">
        <f>IF(Tabla5[[#This Row],[Orden Cobrada]]="Cobrada",Tabla5[[#This Row],[Ganancia Bruta]]-Tabla6[[#This Row],[Coste Cena]],-Tabla6[[#This Row],[Precio Cena]]+Tabla6[[#This Row],[Coste Cena]])</f>
        <v>80</v>
      </c>
      <c r="M191" s="10">
        <f>IF(Tabla5[[#This Row],[Orden Cobrada]]="Cobrada",((Tabla5[[#This Row],[Ganancia Neta]]/Tabla5[[#This Row],[Ganancia Bruta]])*100)/100,-((Tabla5[[#This Row],[Ganancia Neta]]/Tabla5[[#This Row],[Ganancia Bruta]]*100)/100))</f>
        <v>0.41666666666666674</v>
      </c>
      <c r="N191" s="5" t="str">
        <f>sala!F190</f>
        <v>Mesero_2</v>
      </c>
      <c r="AY191" cm="1">
        <f t="array" ref="AY191">SUM(IF(Cocina!A:A=Tabla5[[#This Row],[Nº Orden]],Cocina!F:F*Cocina!G:G,0))</f>
        <v>192</v>
      </c>
      <c r="AZ191" cm="1">
        <f t="array" ref="AZ191">SUM(IF(Cocina!A:A=Tabla5[[#This Row],[Nº Orden]],Cocina!E:E*Cocina!G:G,0))</f>
        <v>112</v>
      </c>
      <c r="BB191" t="str">
        <f>MID(Tabla4[[#This Row],[Cliente]], SEARCH("_", Tabla4[[#This Row],[Cliente]]) + 1, LEN(Tabla4[[#This Row],[Cliente]]) - SEARCH("_",Tabla4[[#This Row],[Cliente]]))</f>
        <v>548</v>
      </c>
      <c r="BC191" t="str">
        <f>sala!B190</f>
        <v>Cliente_548</v>
      </c>
      <c r="BD191" s="1">
        <f>sala!D190</f>
        <v>45018.158333333333</v>
      </c>
      <c r="BE191" s="1">
        <f>sala!E190</f>
        <v>45018.256944444445</v>
      </c>
      <c r="BF191">
        <f>sala!K190</f>
        <v>189</v>
      </c>
      <c r="BG191">
        <f>sala!I190</f>
        <v>4166</v>
      </c>
      <c r="BH191" cm="1">
        <f t="array" ref="BH191">SUM(IF(Cocina!A:A=Tabla4[[#This Row],[Número de Orden]],Cocina!F:F*Cocina!G:G,0))</f>
        <v>192</v>
      </c>
      <c r="BI191" t="str">
        <f>sala!J190</f>
        <v>Reservada</v>
      </c>
      <c r="BJ191" s="4" t="str">
        <f>IF(Tabla4[[#This Row],[Estado mesa]]="Ocupada","00:15","00:00")</f>
        <v>00:00</v>
      </c>
      <c r="BK191" cm="1">
        <f t="array" ref="BK191">SUM(IF(Cocina!A:A=Tabla4[[#This Row],[Número de Orden]],Cocina!H:H,0))</f>
        <v>117</v>
      </c>
    </row>
    <row r="192" spans="1:63" x14ac:dyDescent="0.3">
      <c r="A192" s="8" t="str">
        <f>MID(Tabla4[[#This Row],[Cliente]], SEARCH("_", Tabla4[[#This Row],[Cliente]]) + 1, LEN(Tabla4[[#This Row],[Cliente]]) - SEARCH("_",Tabla4[[#This Row],[Cliente]]))</f>
        <v>709</v>
      </c>
      <c r="B192">
        <f>sala!K191</f>
        <v>190</v>
      </c>
      <c r="C192">
        <f>Tabla4[[#This Row],[Propina]]+Tabla4[[#This Row],[Precio Cena]]</f>
        <v>4090</v>
      </c>
      <c r="D192" s="3">
        <f>INT(sala!E191)</f>
        <v>45018</v>
      </c>
      <c r="E192" s="4">
        <f>MOD( sala!D191,1)</f>
        <v>6.3194444446708076E-2</v>
      </c>
      <c r="F192" s="4">
        <f>MOD( sala!E191,1)</f>
        <v>0.14027777777664596</v>
      </c>
      <c r="G192" s="4">
        <f>Tabla5[[#This Row],[Hora de Salida]]-Tabla5[[#This Row],[Hora de Llegada]]+Tabla4[[#This Row],[Tiempo Extra]]</f>
        <v>7.7083333329937886E-2</v>
      </c>
      <c r="H192" s="5" t="str">
        <f>TEXT(Tabla4[[#This Row],[Preparación en horas]]/1440, "h:mm")</f>
        <v>1:42</v>
      </c>
      <c r="I192" s="4">
        <f>IF(Tabla5[[#This Row],[Tiempo Permanencia]]-Tabla5[[#This Row],[Tiempo de Preparación ]]&gt;=0,Tabla5[[#This Row],[Tiempo Permanencia]]-Tabla5[[#This Row],[Tiempo de Preparación ]],0)</f>
        <v>6.249999996604555E-3</v>
      </c>
      <c r="J192" s="5" t="str">
        <f>IF(Tabla5[[#This Row],[Tiempo de Degustación]]=0,"No Cobrada","Cobrada")</f>
        <v>Cobrada</v>
      </c>
      <c r="K192" s="5" cm="1">
        <f t="array" ref="K192">SUM(IF(Tabla5[[#This Row],[Orden Cobrada]]="Cobrada",IF(Cocina!A:A=Tabla5[[#This Row],[Nº Orden]],Cocina!F:F*Cocina!G:G,0),-Tabla6[[#This Row],[Precio Cena]]))</f>
        <v>202</v>
      </c>
      <c r="L192" s="5">
        <f>IF(Tabla5[[#This Row],[Orden Cobrada]]="Cobrada",Tabla5[[#This Row],[Ganancia Bruta]]-Tabla6[[#This Row],[Coste Cena]],-Tabla6[[#This Row],[Precio Cena]]+Tabla6[[#This Row],[Coste Cena]])</f>
        <v>79</v>
      </c>
      <c r="M192" s="10">
        <f>IF(Tabla5[[#This Row],[Orden Cobrada]]="Cobrada",((Tabla5[[#This Row],[Ganancia Neta]]/Tabla5[[#This Row],[Ganancia Bruta]])*100)/100,-((Tabla5[[#This Row],[Ganancia Neta]]/Tabla5[[#This Row],[Ganancia Bruta]]*100)/100))</f>
        <v>0.3910891089108911</v>
      </c>
      <c r="N192" s="5" t="str">
        <f>sala!F191</f>
        <v>Mesero_2</v>
      </c>
      <c r="AY192" cm="1">
        <f t="array" ref="AY192">SUM(IF(Cocina!A:A=Tabla5[[#This Row],[Nº Orden]],Cocina!F:F*Cocina!G:G,0))</f>
        <v>202</v>
      </c>
      <c r="AZ192" cm="1">
        <f t="array" ref="AZ192">SUM(IF(Cocina!A:A=Tabla5[[#This Row],[Nº Orden]],Cocina!E:E*Cocina!G:G,0))</f>
        <v>123</v>
      </c>
      <c r="BB192" t="str">
        <f>MID(Tabla4[[#This Row],[Cliente]], SEARCH("_", Tabla4[[#This Row],[Cliente]]) + 1, LEN(Tabla4[[#This Row],[Cliente]]) - SEARCH("_",Tabla4[[#This Row],[Cliente]]))</f>
        <v>709</v>
      </c>
      <c r="BC192" t="str">
        <f>sala!B191</f>
        <v>Cliente_709</v>
      </c>
      <c r="BD192" s="1">
        <f>sala!D191</f>
        <v>45018.063194444447</v>
      </c>
      <c r="BE192" s="1">
        <f>sala!E191</f>
        <v>45018.140277777777</v>
      </c>
      <c r="BF192">
        <f>sala!K191</f>
        <v>190</v>
      </c>
      <c r="BG192">
        <f>sala!I191</f>
        <v>3888</v>
      </c>
      <c r="BH192" cm="1">
        <f t="array" ref="BH192">SUM(IF(Cocina!A:A=Tabla4[[#This Row],[Número de Orden]],Cocina!F:F*Cocina!G:G,0))</f>
        <v>202</v>
      </c>
      <c r="BI192" t="str">
        <f>sala!J191</f>
        <v>Libre</v>
      </c>
      <c r="BJ192" s="4" t="str">
        <f>IF(Tabla4[[#This Row],[Estado mesa]]="Ocupada","00:15","00:00")</f>
        <v>00:00</v>
      </c>
      <c r="BK192" cm="1">
        <f t="array" ref="BK192">SUM(IF(Cocina!A:A=Tabla4[[#This Row],[Número de Orden]],Cocina!H:H,0))</f>
        <v>102</v>
      </c>
    </row>
    <row r="193" spans="1:63" x14ac:dyDescent="0.3">
      <c r="A193" s="8" t="str">
        <f>MID(Tabla4[[#This Row],[Cliente]], SEARCH("_", Tabla4[[#This Row],[Cliente]]) + 1, LEN(Tabla4[[#This Row],[Cliente]]) - SEARCH("_",Tabla4[[#This Row],[Cliente]]))</f>
        <v>30</v>
      </c>
      <c r="B193">
        <f>sala!K192</f>
        <v>191</v>
      </c>
      <c r="C193">
        <f>Tabla4[[#This Row],[Propina]]+Tabla4[[#This Row],[Precio Cena]]</f>
        <v>2598</v>
      </c>
      <c r="D193" s="3">
        <f>INT(sala!E192)</f>
        <v>45018</v>
      </c>
      <c r="E193" s="4">
        <f>MOD( sala!D192,1)</f>
        <v>0</v>
      </c>
      <c r="F193" s="4">
        <f>MOD( sala!E192,1)</f>
        <v>0.10833333332993789</v>
      </c>
      <c r="G193" s="4">
        <f>Tabla5[[#This Row],[Hora de Salida]]-Tabla5[[#This Row],[Hora de Llegada]]+Tabla4[[#This Row],[Tiempo Extra]]</f>
        <v>0.11874999999660456</v>
      </c>
      <c r="H193" s="5" t="str">
        <f>TEXT(Tabla4[[#This Row],[Preparación en horas]]/1440, "h:mm")</f>
        <v>1:27</v>
      </c>
      <c r="I193" s="4">
        <f>IF(Tabla5[[#This Row],[Tiempo Permanencia]]-Tabla5[[#This Row],[Tiempo de Preparación ]]&gt;=0,Tabla5[[#This Row],[Tiempo Permanencia]]-Tabla5[[#This Row],[Tiempo de Preparación ]],0)</f>
        <v>5.8333333329937891E-2</v>
      </c>
      <c r="J193" s="5" t="str">
        <f>IF(Tabla5[[#This Row],[Tiempo de Degustación]]=0,"No Cobrada","Cobrada")</f>
        <v>Cobrada</v>
      </c>
      <c r="K193" s="5" cm="1">
        <f t="array" ref="K193">SUM(IF(Tabla5[[#This Row],[Orden Cobrada]]="Cobrada",IF(Cocina!A:A=Tabla5[[#This Row],[Nº Orden]],Cocina!F:F*Cocina!G:G,0),-Tabla6[[#This Row],[Precio Cena]]))</f>
        <v>162</v>
      </c>
      <c r="L193" s="5">
        <f>IF(Tabla5[[#This Row],[Orden Cobrada]]="Cobrada",Tabla5[[#This Row],[Ganancia Bruta]]-Tabla6[[#This Row],[Coste Cena]],-Tabla6[[#This Row],[Precio Cena]]+Tabla6[[#This Row],[Coste Cena]])</f>
        <v>66</v>
      </c>
      <c r="M193" s="10">
        <f>IF(Tabla5[[#This Row],[Orden Cobrada]]="Cobrada",((Tabla5[[#This Row],[Ganancia Neta]]/Tabla5[[#This Row],[Ganancia Bruta]])*100)/100,-((Tabla5[[#This Row],[Ganancia Neta]]/Tabla5[[#This Row],[Ganancia Bruta]]*100)/100))</f>
        <v>0.40740740740740738</v>
      </c>
      <c r="N193" s="5" t="str">
        <f>sala!F192</f>
        <v>Mesero_2</v>
      </c>
      <c r="AY193" cm="1">
        <f t="array" ref="AY193">SUM(IF(Cocina!A:A=Tabla5[[#This Row],[Nº Orden]],Cocina!F:F*Cocina!G:G,0))</f>
        <v>162</v>
      </c>
      <c r="AZ193" cm="1">
        <f t="array" ref="AZ193">SUM(IF(Cocina!A:A=Tabla5[[#This Row],[Nº Orden]],Cocina!E:E*Cocina!G:G,0))</f>
        <v>96</v>
      </c>
      <c r="BB193" t="str">
        <f>MID(Tabla4[[#This Row],[Cliente]], SEARCH("_", Tabla4[[#This Row],[Cliente]]) + 1, LEN(Tabla4[[#This Row],[Cliente]]) - SEARCH("_",Tabla4[[#This Row],[Cliente]]))</f>
        <v>30</v>
      </c>
      <c r="BC193" t="str">
        <f>sala!B192</f>
        <v>Cliente_30</v>
      </c>
      <c r="BD193" s="1">
        <f>sala!D192</f>
        <v>45018</v>
      </c>
      <c r="BE193" s="1">
        <f>sala!E192</f>
        <v>45018.10833333333</v>
      </c>
      <c r="BF193">
        <f>sala!K192</f>
        <v>191</v>
      </c>
      <c r="BG193">
        <f>sala!I192</f>
        <v>2436</v>
      </c>
      <c r="BH193" cm="1">
        <f t="array" ref="BH193">SUM(IF(Cocina!A:A=Tabla4[[#This Row],[Número de Orden]],Cocina!F:F*Cocina!G:G,0))</f>
        <v>162</v>
      </c>
      <c r="BI193" t="str">
        <f>sala!J192</f>
        <v>Ocupada</v>
      </c>
      <c r="BJ193" s="4" t="str">
        <f>IF(Tabla4[[#This Row],[Estado mesa]]="Ocupada","00:15","00:00")</f>
        <v>00:15</v>
      </c>
      <c r="BK193" cm="1">
        <f t="array" ref="BK193">SUM(IF(Cocina!A:A=Tabla4[[#This Row],[Número de Orden]],Cocina!H:H,0))</f>
        <v>87</v>
      </c>
    </row>
    <row r="194" spans="1:63" x14ac:dyDescent="0.3">
      <c r="A194" s="8" t="str">
        <f>MID(Tabla4[[#This Row],[Cliente]], SEARCH("_", Tabla4[[#This Row],[Cliente]]) + 1, LEN(Tabla4[[#This Row],[Cliente]]) - SEARCH("_",Tabla4[[#This Row],[Cliente]]))</f>
        <v>412</v>
      </c>
      <c r="B194">
        <f>sala!K193</f>
        <v>192</v>
      </c>
      <c r="C194">
        <f>Tabla4[[#This Row],[Propina]]+Tabla4[[#This Row],[Precio Cena]]</f>
        <v>1674</v>
      </c>
      <c r="D194" s="3">
        <f>INT(sala!E193)</f>
        <v>45018</v>
      </c>
      <c r="E194" s="4">
        <f>MOD( sala!D193,1)</f>
        <v>0.10833333332993789</v>
      </c>
      <c r="F194" s="4">
        <f>MOD( sala!E193,1)</f>
        <v>0.20347222222335404</v>
      </c>
      <c r="G194" s="4">
        <f>Tabla5[[#This Row],[Hora de Salida]]-Tabla5[[#This Row],[Hora de Llegada]]+Tabla4[[#This Row],[Tiempo Extra]]</f>
        <v>9.5138888893416151E-2</v>
      </c>
      <c r="H194" s="5" t="str">
        <f>TEXT(Tabla4[[#This Row],[Preparación en horas]]/1440, "h:mm")</f>
        <v>0:26</v>
      </c>
      <c r="I194" s="4">
        <f>IF(Tabla5[[#This Row],[Tiempo Permanencia]]-Tabla5[[#This Row],[Tiempo de Preparación ]]&gt;=0,Tabla5[[#This Row],[Tiempo Permanencia]]-Tabla5[[#This Row],[Tiempo de Preparación ]],0)</f>
        <v>7.7083333337860604E-2</v>
      </c>
      <c r="J194" s="5" t="str">
        <f>IF(Tabla5[[#This Row],[Tiempo de Degustación]]=0,"No Cobrada","Cobrada")</f>
        <v>Cobrada</v>
      </c>
      <c r="K194" s="5" cm="1">
        <f t="array" ref="K194">SUM(IF(Tabla5[[#This Row],[Orden Cobrada]]="Cobrada",IF(Cocina!A:A=Tabla5[[#This Row],[Nº Orden]],Cocina!F:F*Cocina!G:G,0),-Tabla6[[#This Row],[Precio Cena]]))</f>
        <v>75</v>
      </c>
      <c r="L194" s="5">
        <f>IF(Tabla5[[#This Row],[Orden Cobrada]]="Cobrada",Tabla5[[#This Row],[Ganancia Bruta]]-Tabla6[[#This Row],[Coste Cena]],-Tabla6[[#This Row],[Precio Cena]]+Tabla6[[#This Row],[Coste Cena]])</f>
        <v>30</v>
      </c>
      <c r="M194" s="10">
        <f>IF(Tabla5[[#This Row],[Orden Cobrada]]="Cobrada",((Tabla5[[#This Row],[Ganancia Neta]]/Tabla5[[#This Row],[Ganancia Bruta]])*100)/100,-((Tabla5[[#This Row],[Ganancia Neta]]/Tabla5[[#This Row],[Ganancia Bruta]]*100)/100))</f>
        <v>0.4</v>
      </c>
      <c r="N194" s="5" t="str">
        <f>sala!F193</f>
        <v>Mesero_2</v>
      </c>
      <c r="AY194" cm="1">
        <f t="array" ref="AY194">SUM(IF(Cocina!A:A=Tabla5[[#This Row],[Nº Orden]],Cocina!F:F*Cocina!G:G,0))</f>
        <v>75</v>
      </c>
      <c r="AZ194" cm="1">
        <f t="array" ref="AZ194">SUM(IF(Cocina!A:A=Tabla5[[#This Row],[Nº Orden]],Cocina!E:E*Cocina!G:G,0))</f>
        <v>45</v>
      </c>
      <c r="BB194" t="str">
        <f>MID(Tabla4[[#This Row],[Cliente]], SEARCH("_", Tabla4[[#This Row],[Cliente]]) + 1, LEN(Tabla4[[#This Row],[Cliente]]) - SEARCH("_",Tabla4[[#This Row],[Cliente]]))</f>
        <v>412</v>
      </c>
      <c r="BC194" t="str">
        <f>sala!B193</f>
        <v>Cliente_412</v>
      </c>
      <c r="BD194" s="1">
        <f>sala!D193</f>
        <v>45018.10833333333</v>
      </c>
      <c r="BE194" s="1">
        <f>sala!E193</f>
        <v>45018.203472222223</v>
      </c>
      <c r="BF194">
        <f>sala!K193</f>
        <v>192</v>
      </c>
      <c r="BG194">
        <f>sala!I193</f>
        <v>1599</v>
      </c>
      <c r="BH194" cm="1">
        <f t="array" ref="BH194">SUM(IF(Cocina!A:A=Tabla4[[#This Row],[Número de Orden]],Cocina!F:F*Cocina!G:G,0))</f>
        <v>75</v>
      </c>
      <c r="BI194" t="str">
        <f>sala!J193</f>
        <v>Libre</v>
      </c>
      <c r="BJ194" s="4" t="str">
        <f>IF(Tabla4[[#This Row],[Estado mesa]]="Ocupada","00:15","00:00")</f>
        <v>00:00</v>
      </c>
      <c r="BK194" cm="1">
        <f t="array" ref="BK194">SUM(IF(Cocina!A:A=Tabla4[[#This Row],[Número de Orden]],Cocina!H:H,0))</f>
        <v>26</v>
      </c>
    </row>
    <row r="195" spans="1:63" x14ac:dyDescent="0.3">
      <c r="A195" s="8" t="str">
        <f>MID(Tabla4[[#This Row],[Cliente]], SEARCH("_", Tabla4[[#This Row],[Cliente]]) + 1, LEN(Tabla4[[#This Row],[Cliente]]) - SEARCH("_",Tabla4[[#This Row],[Cliente]]))</f>
        <v>646</v>
      </c>
      <c r="B195">
        <f>sala!K194</f>
        <v>193</v>
      </c>
      <c r="C195">
        <f>Tabla4[[#This Row],[Propina]]+Tabla4[[#This Row],[Precio Cena]]</f>
        <v>2705</v>
      </c>
      <c r="D195" s="3">
        <f>INT(sala!E194)</f>
        <v>45018</v>
      </c>
      <c r="E195" s="4">
        <f>MOD( sala!D194,1)</f>
        <v>8.333333331393078E-3</v>
      </c>
      <c r="F195" s="4">
        <f>MOD( sala!E194,1)</f>
        <v>0.12777777777955635</v>
      </c>
      <c r="G195" s="4">
        <f>Tabla5[[#This Row],[Hora de Salida]]-Tabla5[[#This Row],[Hora de Llegada]]+Tabla4[[#This Row],[Tiempo Extra]]</f>
        <v>0.11944444444816327</v>
      </c>
      <c r="H195" s="5" t="str">
        <f>TEXT(Tabla4[[#This Row],[Preparación en horas]]/1440, "h:mm")</f>
        <v>2:51</v>
      </c>
      <c r="I195" s="4">
        <f>IF(Tabla5[[#This Row],[Tiempo Permanencia]]-Tabla5[[#This Row],[Tiempo de Preparación ]]&gt;=0,Tabla5[[#This Row],[Tiempo Permanencia]]-Tabla5[[#This Row],[Tiempo de Preparación ]],0)</f>
        <v>6.9444444816327278E-4</v>
      </c>
      <c r="J195" s="5" t="str">
        <f>IF(Tabla5[[#This Row],[Tiempo de Degustación]]=0,"No Cobrada","Cobrada")</f>
        <v>Cobrada</v>
      </c>
      <c r="K195" s="5" cm="1">
        <f t="array" ref="K195">SUM(IF(Tabla5[[#This Row],[Orden Cobrada]]="Cobrada",IF(Cocina!A:A=Tabla5[[#This Row],[Nº Orden]],Cocina!F:F*Cocina!G:G,0),-Tabla6[[#This Row],[Precio Cena]]))</f>
        <v>220</v>
      </c>
      <c r="L195" s="5">
        <f>IF(Tabla5[[#This Row],[Orden Cobrada]]="Cobrada",Tabla5[[#This Row],[Ganancia Bruta]]-Tabla6[[#This Row],[Coste Cena]],-Tabla6[[#This Row],[Precio Cena]]+Tabla6[[#This Row],[Coste Cena]])</f>
        <v>88</v>
      </c>
      <c r="M195" s="10">
        <f>IF(Tabla5[[#This Row],[Orden Cobrada]]="Cobrada",((Tabla5[[#This Row],[Ganancia Neta]]/Tabla5[[#This Row],[Ganancia Bruta]])*100)/100,-((Tabla5[[#This Row],[Ganancia Neta]]/Tabla5[[#This Row],[Ganancia Bruta]]*100)/100))</f>
        <v>0.4</v>
      </c>
      <c r="N195" s="5" t="str">
        <f>sala!F194</f>
        <v>Mesero_5</v>
      </c>
      <c r="AY195" cm="1">
        <f t="array" ref="AY195">SUM(IF(Cocina!A:A=Tabla5[[#This Row],[Nº Orden]],Cocina!F:F*Cocina!G:G,0))</f>
        <v>220</v>
      </c>
      <c r="AZ195" cm="1">
        <f t="array" ref="AZ195">SUM(IF(Cocina!A:A=Tabla5[[#This Row],[Nº Orden]],Cocina!E:E*Cocina!G:G,0))</f>
        <v>132</v>
      </c>
      <c r="BB195" t="str">
        <f>MID(Tabla4[[#This Row],[Cliente]], SEARCH("_", Tabla4[[#This Row],[Cliente]]) + 1, LEN(Tabla4[[#This Row],[Cliente]]) - SEARCH("_",Tabla4[[#This Row],[Cliente]]))</f>
        <v>646</v>
      </c>
      <c r="BC195" t="str">
        <f>sala!B194</f>
        <v>Cliente_646</v>
      </c>
      <c r="BD195" s="1">
        <f>sala!D194</f>
        <v>45018.008333333331</v>
      </c>
      <c r="BE195" s="1">
        <f>sala!E194</f>
        <v>45018.12777777778</v>
      </c>
      <c r="BF195">
        <f>sala!K194</f>
        <v>193</v>
      </c>
      <c r="BG195">
        <f>sala!I194</f>
        <v>2485</v>
      </c>
      <c r="BH195" cm="1">
        <f t="array" ref="BH195">SUM(IF(Cocina!A:A=Tabla4[[#This Row],[Número de Orden]],Cocina!F:F*Cocina!G:G,0))</f>
        <v>220</v>
      </c>
      <c r="BI195" t="str">
        <f>sala!J194</f>
        <v>Reservada</v>
      </c>
      <c r="BJ195" s="4" t="str">
        <f>IF(Tabla4[[#This Row],[Estado mesa]]="Ocupada","00:15","00:00")</f>
        <v>00:00</v>
      </c>
      <c r="BK195" cm="1">
        <f t="array" ref="BK195">SUM(IF(Cocina!A:A=Tabla4[[#This Row],[Número de Orden]],Cocina!H:H,0))</f>
        <v>171</v>
      </c>
    </row>
    <row r="196" spans="1:63" x14ac:dyDescent="0.3">
      <c r="A196" s="8" t="str">
        <f>MID(Tabla4[[#This Row],[Cliente]], SEARCH("_", Tabla4[[#This Row],[Cliente]]) + 1, LEN(Tabla4[[#This Row],[Cliente]]) - SEARCH("_",Tabla4[[#This Row],[Cliente]]))</f>
        <v>151</v>
      </c>
      <c r="B196">
        <f>sala!K195</f>
        <v>194</v>
      </c>
      <c r="C196">
        <f>Tabla4[[#This Row],[Propina]]+Tabla4[[#This Row],[Precio Cena]]</f>
        <v>1237</v>
      </c>
      <c r="D196" s="3">
        <f>INT(sala!E195)</f>
        <v>45018</v>
      </c>
      <c r="E196" s="4">
        <f>MOD( sala!D195,1)</f>
        <v>0.11111111110949423</v>
      </c>
      <c r="F196" s="4">
        <f>MOD( sala!E195,1)</f>
        <v>0.16388888889196096</v>
      </c>
      <c r="G196" s="4">
        <f>Tabla5[[#This Row],[Hora de Salida]]-Tabla5[[#This Row],[Hora de Llegada]]+Tabla4[[#This Row],[Tiempo Extra]]</f>
        <v>5.2777777782466728E-2</v>
      </c>
      <c r="H196" s="5" t="str">
        <f>TEXT(Tabla4[[#This Row],[Preparación en horas]]/1440, "h:mm")</f>
        <v>1:08</v>
      </c>
      <c r="I196" s="4">
        <f>IF(Tabla5[[#This Row],[Tiempo Permanencia]]-Tabla5[[#This Row],[Tiempo de Preparación ]]&gt;=0,Tabla5[[#This Row],[Tiempo Permanencia]]-Tabla5[[#This Row],[Tiempo de Preparación ]],0)</f>
        <v>5.5555555602445073E-3</v>
      </c>
      <c r="J196" s="5" t="str">
        <f>IF(Tabla5[[#This Row],[Tiempo de Degustación]]=0,"No Cobrada","Cobrada")</f>
        <v>Cobrada</v>
      </c>
      <c r="K196" s="5" cm="1">
        <f t="array" ref="K196">SUM(IF(Tabla5[[#This Row],[Orden Cobrada]]="Cobrada",IF(Cocina!A:A=Tabla5[[#This Row],[Nº Orden]],Cocina!F:F*Cocina!G:G,0),-Tabla6[[#This Row],[Precio Cena]]))</f>
        <v>96</v>
      </c>
      <c r="L196" s="5">
        <f>IF(Tabla5[[#This Row],[Orden Cobrada]]="Cobrada",Tabla5[[#This Row],[Ganancia Bruta]]-Tabla6[[#This Row],[Coste Cena]],-Tabla6[[#This Row],[Precio Cena]]+Tabla6[[#This Row],[Coste Cena]])</f>
        <v>38</v>
      </c>
      <c r="M196" s="10">
        <f>IF(Tabla5[[#This Row],[Orden Cobrada]]="Cobrada",((Tabla5[[#This Row],[Ganancia Neta]]/Tabla5[[#This Row],[Ganancia Bruta]])*100)/100,-((Tabla5[[#This Row],[Ganancia Neta]]/Tabla5[[#This Row],[Ganancia Bruta]]*100)/100))</f>
        <v>0.39583333333333326</v>
      </c>
      <c r="N196" s="5" t="str">
        <f>sala!F195</f>
        <v>Mesero_5</v>
      </c>
      <c r="AY196" cm="1">
        <f t="array" ref="AY196">SUM(IF(Cocina!A:A=Tabla5[[#This Row],[Nº Orden]],Cocina!F:F*Cocina!G:G,0))</f>
        <v>96</v>
      </c>
      <c r="AZ196" cm="1">
        <f t="array" ref="AZ196">SUM(IF(Cocina!A:A=Tabla5[[#This Row],[Nº Orden]],Cocina!E:E*Cocina!G:G,0))</f>
        <v>58</v>
      </c>
      <c r="BB196" t="str">
        <f>MID(Tabla4[[#This Row],[Cliente]], SEARCH("_", Tabla4[[#This Row],[Cliente]]) + 1, LEN(Tabla4[[#This Row],[Cliente]]) - SEARCH("_",Tabla4[[#This Row],[Cliente]]))</f>
        <v>151</v>
      </c>
      <c r="BC196" t="str">
        <f>sala!B195</f>
        <v>Cliente_151</v>
      </c>
      <c r="BD196" s="1">
        <f>sala!D195</f>
        <v>45018.111111111109</v>
      </c>
      <c r="BE196" s="1">
        <f>sala!E195</f>
        <v>45018.163888888892</v>
      </c>
      <c r="BF196">
        <f>sala!K195</f>
        <v>194</v>
      </c>
      <c r="BG196">
        <f>sala!I195</f>
        <v>1141</v>
      </c>
      <c r="BH196" cm="1">
        <f t="array" ref="BH196">SUM(IF(Cocina!A:A=Tabla4[[#This Row],[Número de Orden]],Cocina!F:F*Cocina!G:G,0))</f>
        <v>96</v>
      </c>
      <c r="BI196" t="str">
        <f>sala!J195</f>
        <v>Reservada</v>
      </c>
      <c r="BJ196" s="4" t="str">
        <f>IF(Tabla4[[#This Row],[Estado mesa]]="Ocupada","00:15","00:00")</f>
        <v>00:00</v>
      </c>
      <c r="BK196" cm="1">
        <f t="array" ref="BK196">SUM(IF(Cocina!A:A=Tabla4[[#This Row],[Número de Orden]],Cocina!H:H,0))</f>
        <v>68</v>
      </c>
    </row>
    <row r="197" spans="1:63" x14ac:dyDescent="0.3">
      <c r="A197" s="8" t="str">
        <f>MID(Tabla4[[#This Row],[Cliente]], SEARCH("_", Tabla4[[#This Row],[Cliente]]) + 1, LEN(Tabla4[[#This Row],[Cliente]]) - SEARCH("_",Tabla4[[#This Row],[Cliente]]))</f>
        <v>318</v>
      </c>
      <c r="B197">
        <f>sala!K196</f>
        <v>195</v>
      </c>
      <c r="C197">
        <f>Tabla4[[#This Row],[Propina]]+Tabla4[[#This Row],[Precio Cena]]</f>
        <v>1056</v>
      </c>
      <c r="D197" s="3">
        <f>INT(sala!E196)</f>
        <v>45018</v>
      </c>
      <c r="E197" s="4">
        <f>MOD( sala!D196,1)</f>
        <v>0.12777777777955635</v>
      </c>
      <c r="F197" s="4">
        <f>MOD( sala!E196,1)</f>
        <v>0.17291666667006211</v>
      </c>
      <c r="G197" s="4">
        <f>Tabla5[[#This Row],[Hora de Salida]]-Tabla5[[#This Row],[Hora de Llegada]]+Tabla4[[#This Row],[Tiempo Extra]]</f>
        <v>5.5555555557172433E-2</v>
      </c>
      <c r="H197" s="5" t="str">
        <f>TEXT(Tabla4[[#This Row],[Preparación en horas]]/1440, "h:mm")</f>
        <v>0:51</v>
      </c>
      <c r="I197" s="4">
        <f>IF(Tabla5[[#This Row],[Tiempo Permanencia]]-Tabla5[[#This Row],[Tiempo de Preparación ]]&gt;=0,Tabla5[[#This Row],[Tiempo Permanencia]]-Tabla5[[#This Row],[Tiempo de Preparación ]],0)</f>
        <v>2.0138888890505767E-2</v>
      </c>
      <c r="J197" s="5" t="str">
        <f>IF(Tabla5[[#This Row],[Tiempo de Degustación]]=0,"No Cobrada","Cobrada")</f>
        <v>Cobrada</v>
      </c>
      <c r="K197" s="5" cm="1">
        <f t="array" ref="K197">SUM(IF(Tabla5[[#This Row],[Orden Cobrada]]="Cobrada",IF(Cocina!A:A=Tabla5[[#This Row],[Nº Orden]],Cocina!F:F*Cocina!G:G,0),-Tabla6[[#This Row],[Precio Cena]]))</f>
        <v>50</v>
      </c>
      <c r="L197" s="5">
        <f>IF(Tabla5[[#This Row],[Orden Cobrada]]="Cobrada",Tabla5[[#This Row],[Ganancia Bruta]]-Tabla6[[#This Row],[Coste Cena]],-Tabla6[[#This Row],[Precio Cena]]+Tabla6[[#This Row],[Coste Cena]])</f>
        <v>20</v>
      </c>
      <c r="M197" s="10">
        <f>IF(Tabla5[[#This Row],[Orden Cobrada]]="Cobrada",((Tabla5[[#This Row],[Ganancia Neta]]/Tabla5[[#This Row],[Ganancia Bruta]])*100)/100,-((Tabla5[[#This Row],[Ganancia Neta]]/Tabla5[[#This Row],[Ganancia Bruta]]*100)/100))</f>
        <v>0.4</v>
      </c>
      <c r="N197" s="5" t="str">
        <f>sala!F196</f>
        <v>Mesero_3</v>
      </c>
      <c r="AY197" cm="1">
        <f t="array" ref="AY197">SUM(IF(Cocina!A:A=Tabla5[[#This Row],[Nº Orden]],Cocina!F:F*Cocina!G:G,0))</f>
        <v>50</v>
      </c>
      <c r="AZ197" cm="1">
        <f t="array" ref="AZ197">SUM(IF(Cocina!A:A=Tabla5[[#This Row],[Nº Orden]],Cocina!E:E*Cocina!G:G,0))</f>
        <v>30</v>
      </c>
      <c r="BB197" t="str">
        <f>MID(Tabla4[[#This Row],[Cliente]], SEARCH("_", Tabla4[[#This Row],[Cliente]]) + 1, LEN(Tabla4[[#This Row],[Cliente]]) - SEARCH("_",Tabla4[[#This Row],[Cliente]]))</f>
        <v>318</v>
      </c>
      <c r="BC197" t="str">
        <f>sala!B196</f>
        <v>Cliente_318</v>
      </c>
      <c r="BD197" s="1">
        <f>sala!D196</f>
        <v>45018.12777777778</v>
      </c>
      <c r="BE197" s="1">
        <f>sala!E196</f>
        <v>45018.17291666667</v>
      </c>
      <c r="BF197">
        <f>sala!K196</f>
        <v>195</v>
      </c>
      <c r="BG197">
        <f>sala!I196</f>
        <v>1006</v>
      </c>
      <c r="BH197" cm="1">
        <f t="array" ref="BH197">SUM(IF(Cocina!A:A=Tabla4[[#This Row],[Número de Orden]],Cocina!F:F*Cocina!G:G,0))</f>
        <v>50</v>
      </c>
      <c r="BI197" t="str">
        <f>sala!J196</f>
        <v>Ocupada</v>
      </c>
      <c r="BJ197" s="4" t="str">
        <f>IF(Tabla4[[#This Row],[Estado mesa]]="Ocupada","00:15","00:00")</f>
        <v>00:15</v>
      </c>
      <c r="BK197" cm="1">
        <f t="array" ref="BK197">SUM(IF(Cocina!A:A=Tabla4[[#This Row],[Número de Orden]],Cocina!H:H,0))</f>
        <v>51</v>
      </c>
    </row>
    <row r="198" spans="1:63" x14ac:dyDescent="0.3">
      <c r="A198" s="8" t="str">
        <f>MID(Tabla4[[#This Row],[Cliente]], SEARCH("_", Tabla4[[#This Row],[Cliente]]) + 1, LEN(Tabla4[[#This Row],[Cliente]]) - SEARCH("_",Tabla4[[#This Row],[Cliente]]))</f>
        <v>965</v>
      </c>
      <c r="B198">
        <f>sala!K197</f>
        <v>196</v>
      </c>
      <c r="C198">
        <f>Tabla4[[#This Row],[Propina]]+Tabla4[[#This Row],[Precio Cena]]</f>
        <v>4456</v>
      </c>
      <c r="D198" s="3">
        <f>INT(sala!E197)</f>
        <v>45018</v>
      </c>
      <c r="E198" s="4">
        <f>MOD( sala!D197,1)</f>
        <v>7.6388888919609599E-3</v>
      </c>
      <c r="F198" s="4">
        <f>MOD( sala!E197,1)</f>
        <v>0.17361111110949423</v>
      </c>
      <c r="G198" s="4">
        <f>Tabla5[[#This Row],[Hora de Salida]]-Tabla5[[#This Row],[Hora de Llegada]]+Tabla4[[#This Row],[Tiempo Extra]]</f>
        <v>0.16597222221753327</v>
      </c>
      <c r="H198" s="5" t="str">
        <f>TEXT(Tabla4[[#This Row],[Preparación en horas]]/1440, "h:mm")</f>
        <v>2:56</v>
      </c>
      <c r="I198" s="4">
        <f>IF(Tabla5[[#This Row],[Tiempo Permanencia]]-Tabla5[[#This Row],[Tiempo de Preparación ]]&gt;=0,Tabla5[[#This Row],[Tiempo Permanencia]]-Tabla5[[#This Row],[Tiempo de Preparación ]],0)</f>
        <v>4.3749999995311054E-2</v>
      </c>
      <c r="J198" s="5" t="str">
        <f>IF(Tabla5[[#This Row],[Tiempo de Degustación]]=0,"No Cobrada","Cobrada")</f>
        <v>Cobrada</v>
      </c>
      <c r="K198" s="5" cm="1">
        <f t="array" ref="K198">SUM(IF(Tabla5[[#This Row],[Orden Cobrada]]="Cobrada",IF(Cocina!A:A=Tabla5[[#This Row],[Nº Orden]],Cocina!F:F*Cocina!G:G,0),-Tabla6[[#This Row],[Precio Cena]]))</f>
        <v>191</v>
      </c>
      <c r="L198" s="5">
        <f>IF(Tabla5[[#This Row],[Orden Cobrada]]="Cobrada",Tabla5[[#This Row],[Ganancia Bruta]]-Tabla6[[#This Row],[Coste Cena]],-Tabla6[[#This Row],[Precio Cena]]+Tabla6[[#This Row],[Coste Cena]])</f>
        <v>78</v>
      </c>
      <c r="M198" s="10">
        <f>IF(Tabla5[[#This Row],[Orden Cobrada]]="Cobrada",((Tabla5[[#This Row],[Ganancia Neta]]/Tabla5[[#This Row],[Ganancia Bruta]])*100)/100,-((Tabla5[[#This Row],[Ganancia Neta]]/Tabla5[[#This Row],[Ganancia Bruta]]*100)/100))</f>
        <v>0.40837696335078533</v>
      </c>
      <c r="N198" s="5" t="str">
        <f>sala!F197</f>
        <v>Mesero_2</v>
      </c>
      <c r="AY198" cm="1">
        <f t="array" ref="AY198">SUM(IF(Cocina!A:A=Tabla5[[#This Row],[Nº Orden]],Cocina!F:F*Cocina!G:G,0))</f>
        <v>191</v>
      </c>
      <c r="AZ198" cm="1">
        <f t="array" ref="AZ198">SUM(IF(Cocina!A:A=Tabla5[[#This Row],[Nº Orden]],Cocina!E:E*Cocina!G:G,0))</f>
        <v>113</v>
      </c>
      <c r="BB198" t="str">
        <f>MID(Tabla4[[#This Row],[Cliente]], SEARCH("_", Tabla4[[#This Row],[Cliente]]) + 1, LEN(Tabla4[[#This Row],[Cliente]]) - SEARCH("_",Tabla4[[#This Row],[Cliente]]))</f>
        <v>965</v>
      </c>
      <c r="BC198" t="str">
        <f>sala!B197</f>
        <v>Cliente_965</v>
      </c>
      <c r="BD198" s="1">
        <f>sala!D197</f>
        <v>45018.007638888892</v>
      </c>
      <c r="BE198" s="1">
        <f>sala!E197</f>
        <v>45018.173611111109</v>
      </c>
      <c r="BF198">
        <f>sala!K197</f>
        <v>196</v>
      </c>
      <c r="BG198">
        <f>sala!I197</f>
        <v>4265</v>
      </c>
      <c r="BH198" cm="1">
        <f t="array" ref="BH198">SUM(IF(Cocina!A:A=Tabla4[[#This Row],[Número de Orden]],Cocina!F:F*Cocina!G:G,0))</f>
        <v>191</v>
      </c>
      <c r="BI198" t="str">
        <f>sala!J197</f>
        <v>Reservada</v>
      </c>
      <c r="BJ198" s="4" t="str">
        <f>IF(Tabla4[[#This Row],[Estado mesa]]="Ocupada","00:15","00:00")</f>
        <v>00:00</v>
      </c>
      <c r="BK198" cm="1">
        <f t="array" ref="BK198">SUM(IF(Cocina!A:A=Tabla4[[#This Row],[Número de Orden]],Cocina!H:H,0))</f>
        <v>176</v>
      </c>
    </row>
    <row r="199" spans="1:63" x14ac:dyDescent="0.3">
      <c r="A199" s="8" t="str">
        <f>MID(Tabla4[[#This Row],[Cliente]], SEARCH("_", Tabla4[[#This Row],[Cliente]]) + 1, LEN(Tabla4[[#This Row],[Cliente]]) - SEARCH("_",Tabla4[[#This Row],[Cliente]]))</f>
        <v>336</v>
      </c>
      <c r="B199">
        <f>sala!K198</f>
        <v>197</v>
      </c>
      <c r="C199">
        <f>Tabla4[[#This Row],[Propina]]+Tabla4[[#This Row],[Precio Cena]]</f>
        <v>2140</v>
      </c>
      <c r="D199" s="3">
        <f>INT(sala!E198)</f>
        <v>45018</v>
      </c>
      <c r="E199" s="4">
        <f>MOD( sala!D198,1)</f>
        <v>0.11527777777519077</v>
      </c>
      <c r="F199" s="4">
        <f>MOD( sala!E198,1)</f>
        <v>0.20416666667006211</v>
      </c>
      <c r="G199" s="4">
        <f>Tabla5[[#This Row],[Hora de Salida]]-Tabla5[[#This Row],[Hora de Llegada]]+Tabla4[[#This Row],[Tiempo Extra]]</f>
        <v>9.9305555561538014E-2</v>
      </c>
      <c r="H199" s="5" t="str">
        <f>TEXT(Tabla4[[#This Row],[Preparación en horas]]/1440, "h:mm")</f>
        <v>1:12</v>
      </c>
      <c r="I199" s="4">
        <f>IF(Tabla5[[#This Row],[Tiempo Permanencia]]-Tabla5[[#This Row],[Tiempo de Preparación ]]&gt;=0,Tabla5[[#This Row],[Tiempo Permanencia]]-Tabla5[[#This Row],[Tiempo de Preparación ]],0)</f>
        <v>4.9305555561538011E-2</v>
      </c>
      <c r="J199" s="5" t="str">
        <f>IF(Tabla5[[#This Row],[Tiempo de Degustación]]=0,"No Cobrada","Cobrada")</f>
        <v>Cobrada</v>
      </c>
      <c r="K199" s="5" cm="1">
        <f t="array" ref="K199">SUM(IF(Tabla5[[#This Row],[Orden Cobrada]]="Cobrada",IF(Cocina!A:A=Tabla5[[#This Row],[Nº Orden]],Cocina!F:F*Cocina!G:G,0),-Tabla6[[#This Row],[Precio Cena]]))</f>
        <v>129</v>
      </c>
      <c r="L199" s="5">
        <f>IF(Tabla5[[#This Row],[Orden Cobrada]]="Cobrada",Tabla5[[#This Row],[Ganancia Bruta]]-Tabla6[[#This Row],[Coste Cena]],-Tabla6[[#This Row],[Precio Cena]]+Tabla6[[#This Row],[Coste Cena]])</f>
        <v>53</v>
      </c>
      <c r="M199" s="10">
        <f>IF(Tabla5[[#This Row],[Orden Cobrada]]="Cobrada",((Tabla5[[#This Row],[Ganancia Neta]]/Tabla5[[#This Row],[Ganancia Bruta]])*100)/100,-((Tabla5[[#This Row],[Ganancia Neta]]/Tabla5[[#This Row],[Ganancia Bruta]]*100)/100))</f>
        <v>0.41085271317829458</v>
      </c>
      <c r="N199" s="5" t="str">
        <f>sala!F198</f>
        <v>Mesero_2</v>
      </c>
      <c r="AY199" cm="1">
        <f t="array" ref="AY199">SUM(IF(Cocina!A:A=Tabla5[[#This Row],[Nº Orden]],Cocina!F:F*Cocina!G:G,0))</f>
        <v>129</v>
      </c>
      <c r="AZ199" cm="1">
        <f t="array" ref="AZ199">SUM(IF(Cocina!A:A=Tabla5[[#This Row],[Nº Orden]],Cocina!E:E*Cocina!G:G,0))</f>
        <v>76</v>
      </c>
      <c r="BB199" t="str">
        <f>MID(Tabla4[[#This Row],[Cliente]], SEARCH("_", Tabla4[[#This Row],[Cliente]]) + 1, LEN(Tabla4[[#This Row],[Cliente]]) - SEARCH("_",Tabla4[[#This Row],[Cliente]]))</f>
        <v>336</v>
      </c>
      <c r="BC199" t="str">
        <f>sala!B198</f>
        <v>Cliente_336</v>
      </c>
      <c r="BD199" s="1">
        <f>sala!D198</f>
        <v>45018.115277777775</v>
      </c>
      <c r="BE199" s="1">
        <f>sala!E198</f>
        <v>45018.20416666667</v>
      </c>
      <c r="BF199">
        <f>sala!K198</f>
        <v>197</v>
      </c>
      <c r="BG199">
        <f>sala!I198</f>
        <v>2011</v>
      </c>
      <c r="BH199" cm="1">
        <f t="array" ref="BH199">SUM(IF(Cocina!A:A=Tabla4[[#This Row],[Número de Orden]],Cocina!F:F*Cocina!G:G,0))</f>
        <v>129</v>
      </c>
      <c r="BI199" t="str">
        <f>sala!J198</f>
        <v>Ocupada</v>
      </c>
      <c r="BJ199" s="4" t="str">
        <f>IF(Tabla4[[#This Row],[Estado mesa]]="Ocupada","00:15","00:00")</f>
        <v>00:15</v>
      </c>
      <c r="BK199" cm="1">
        <f t="array" ref="BK199">SUM(IF(Cocina!A:A=Tabla4[[#This Row],[Número de Orden]],Cocina!H:H,0))</f>
        <v>72</v>
      </c>
    </row>
    <row r="200" spans="1:63" x14ac:dyDescent="0.3">
      <c r="A200" s="8" t="str">
        <f>MID(Tabla4[[#This Row],[Cliente]], SEARCH("_", Tabla4[[#This Row],[Cliente]]) + 1, LEN(Tabla4[[#This Row],[Cliente]]) - SEARCH("_",Tabla4[[#This Row],[Cliente]]))</f>
        <v>560</v>
      </c>
      <c r="B200">
        <f>sala!K199</f>
        <v>198</v>
      </c>
      <c r="C200">
        <f>Tabla4[[#This Row],[Propina]]+Tabla4[[#This Row],[Precio Cena]]</f>
        <v>3726</v>
      </c>
      <c r="D200" s="3">
        <f>INT(sala!E199)</f>
        <v>45018</v>
      </c>
      <c r="E200" s="4">
        <f>MOD( sala!D199,1)</f>
        <v>2.5000000001455192E-2</v>
      </c>
      <c r="F200" s="4">
        <f>MOD( sala!E199,1)</f>
        <v>0.12847222221898846</v>
      </c>
      <c r="G200" s="4">
        <f>Tabla5[[#This Row],[Hora de Salida]]-Tabla5[[#This Row],[Hora de Llegada]]+Tabla4[[#This Row],[Tiempo Extra]]</f>
        <v>0.10347222221753327</v>
      </c>
      <c r="H200" s="5" t="str">
        <f>TEXT(Tabla4[[#This Row],[Preparación en horas]]/1440, "h:mm")</f>
        <v>0:33</v>
      </c>
      <c r="I200" s="4">
        <f>IF(Tabla5[[#This Row],[Tiempo Permanencia]]-Tabla5[[#This Row],[Tiempo de Preparación ]]&gt;=0,Tabla5[[#This Row],[Tiempo Permanencia]]-Tabla5[[#This Row],[Tiempo de Preparación ]],0)</f>
        <v>8.0555555550866603E-2</v>
      </c>
      <c r="J200" s="5" t="str">
        <f>IF(Tabla5[[#This Row],[Tiempo de Degustación]]=0,"No Cobrada","Cobrada")</f>
        <v>Cobrada</v>
      </c>
      <c r="K200" s="5" cm="1">
        <f t="array" ref="K200">SUM(IF(Tabla5[[#This Row],[Orden Cobrada]]="Cobrada",IF(Cocina!A:A=Tabla5[[#This Row],[Nº Orden]],Cocina!F:F*Cocina!G:G,0),-Tabla6[[#This Row],[Precio Cena]]))</f>
        <v>54</v>
      </c>
      <c r="L200" s="5">
        <f>IF(Tabla5[[#This Row],[Orden Cobrada]]="Cobrada",Tabla5[[#This Row],[Ganancia Bruta]]-Tabla6[[#This Row],[Coste Cena]],-Tabla6[[#This Row],[Precio Cena]]+Tabla6[[#This Row],[Coste Cena]])</f>
        <v>22</v>
      </c>
      <c r="M200" s="10">
        <f>IF(Tabla5[[#This Row],[Orden Cobrada]]="Cobrada",((Tabla5[[#This Row],[Ganancia Neta]]/Tabla5[[#This Row],[Ganancia Bruta]])*100)/100,-((Tabla5[[#This Row],[Ganancia Neta]]/Tabla5[[#This Row],[Ganancia Bruta]]*100)/100))</f>
        <v>0.40740740740740738</v>
      </c>
      <c r="N200" s="5" t="str">
        <f>sala!F199</f>
        <v>Mesero_1</v>
      </c>
      <c r="AY200" cm="1">
        <f t="array" ref="AY200">SUM(IF(Cocina!A:A=Tabla5[[#This Row],[Nº Orden]],Cocina!F:F*Cocina!G:G,0))</f>
        <v>54</v>
      </c>
      <c r="AZ200" cm="1">
        <f t="array" ref="AZ200">SUM(IF(Cocina!A:A=Tabla5[[#This Row],[Nº Orden]],Cocina!E:E*Cocina!G:G,0))</f>
        <v>32</v>
      </c>
      <c r="BB200" t="str">
        <f>MID(Tabla4[[#This Row],[Cliente]], SEARCH("_", Tabla4[[#This Row],[Cliente]]) + 1, LEN(Tabla4[[#This Row],[Cliente]]) - SEARCH("_",Tabla4[[#This Row],[Cliente]]))</f>
        <v>560</v>
      </c>
      <c r="BC200" t="str">
        <f>sala!B199</f>
        <v>Cliente_560</v>
      </c>
      <c r="BD200" s="1">
        <f>sala!D199</f>
        <v>45018.025000000001</v>
      </c>
      <c r="BE200" s="1">
        <f>sala!E199</f>
        <v>45018.128472222219</v>
      </c>
      <c r="BF200">
        <f>sala!K199</f>
        <v>198</v>
      </c>
      <c r="BG200">
        <f>sala!I199</f>
        <v>3672</v>
      </c>
      <c r="BH200" cm="1">
        <f t="array" ref="BH200">SUM(IF(Cocina!A:A=Tabla4[[#This Row],[Número de Orden]],Cocina!F:F*Cocina!G:G,0))</f>
        <v>54</v>
      </c>
      <c r="BI200" t="str">
        <f>sala!J199</f>
        <v>Reservada</v>
      </c>
      <c r="BJ200" s="4" t="str">
        <f>IF(Tabla4[[#This Row],[Estado mesa]]="Ocupada","00:15","00:00")</f>
        <v>00:00</v>
      </c>
      <c r="BK200" cm="1">
        <f t="array" ref="BK200">SUM(IF(Cocina!A:A=Tabla4[[#This Row],[Número de Orden]],Cocina!H:H,0))</f>
        <v>33</v>
      </c>
    </row>
    <row r="201" spans="1:63" x14ac:dyDescent="0.3">
      <c r="A201" s="8" t="str">
        <f>MID(Tabla4[[#This Row],[Cliente]], SEARCH("_", Tabla4[[#This Row],[Cliente]]) + 1, LEN(Tabla4[[#This Row],[Cliente]]) - SEARCH("_",Tabla4[[#This Row],[Cliente]]))</f>
        <v>367</v>
      </c>
      <c r="B201">
        <f>sala!K200</f>
        <v>199</v>
      </c>
      <c r="C201">
        <f>Tabla4[[#This Row],[Propina]]+Tabla4[[#This Row],[Precio Cena]]</f>
        <v>1587</v>
      </c>
      <c r="D201" s="3">
        <f>INT(sala!E200)</f>
        <v>45018</v>
      </c>
      <c r="E201" s="4">
        <f>MOD( sala!D200,1)</f>
        <v>8.0555555556202307E-2</v>
      </c>
      <c r="F201" s="4">
        <f>MOD( sala!E200,1)</f>
        <v>0.23611111110949423</v>
      </c>
      <c r="G201" s="4">
        <f>Tabla5[[#This Row],[Hora de Salida]]-Tabla5[[#This Row],[Hora de Llegada]]+Tabla4[[#This Row],[Tiempo Extra]]</f>
        <v>0.15555555555329192</v>
      </c>
      <c r="H201" s="5" t="str">
        <f>TEXT(Tabla4[[#This Row],[Preparación en horas]]/1440, "h:mm")</f>
        <v>2:22</v>
      </c>
      <c r="I201" s="4">
        <f>IF(Tabla5[[#This Row],[Tiempo Permanencia]]-Tabla5[[#This Row],[Tiempo de Preparación ]]&gt;=0,Tabla5[[#This Row],[Tiempo Permanencia]]-Tabla5[[#This Row],[Tiempo de Preparación ]],0)</f>
        <v>5.6944444442180817E-2</v>
      </c>
      <c r="J201" s="5" t="str">
        <f>IF(Tabla5[[#This Row],[Tiempo de Degustación]]=0,"No Cobrada","Cobrada")</f>
        <v>Cobrada</v>
      </c>
      <c r="K201" s="5" cm="1">
        <f t="array" ref="K201">SUM(IF(Tabla5[[#This Row],[Orden Cobrada]]="Cobrada",IF(Cocina!A:A=Tabla5[[#This Row],[Nº Orden]],Cocina!F:F*Cocina!G:G,0),-Tabla6[[#This Row],[Precio Cena]]))</f>
        <v>261</v>
      </c>
      <c r="L201" s="5">
        <f>IF(Tabla5[[#This Row],[Orden Cobrada]]="Cobrada",Tabla5[[#This Row],[Ganancia Bruta]]-Tabla6[[#This Row],[Coste Cena]],-Tabla6[[#This Row],[Precio Cena]]+Tabla6[[#This Row],[Coste Cena]])</f>
        <v>105</v>
      </c>
      <c r="M201" s="10">
        <f>IF(Tabla5[[#This Row],[Orden Cobrada]]="Cobrada",((Tabla5[[#This Row],[Ganancia Neta]]/Tabla5[[#This Row],[Ganancia Bruta]])*100)/100,-((Tabla5[[#This Row],[Ganancia Neta]]/Tabla5[[#This Row],[Ganancia Bruta]]*100)/100))</f>
        <v>0.40229885057471265</v>
      </c>
      <c r="N201" s="5" t="str">
        <f>sala!F200</f>
        <v>Mesero_2</v>
      </c>
      <c r="AY201" cm="1">
        <f t="array" ref="AY201">SUM(IF(Cocina!A:A=Tabla5[[#This Row],[Nº Orden]],Cocina!F:F*Cocina!G:G,0))</f>
        <v>261</v>
      </c>
      <c r="AZ201" cm="1">
        <f t="array" ref="AZ201">SUM(IF(Cocina!A:A=Tabla5[[#This Row],[Nº Orden]],Cocina!E:E*Cocina!G:G,0))</f>
        <v>156</v>
      </c>
      <c r="BB201" t="str">
        <f>MID(Tabla4[[#This Row],[Cliente]], SEARCH("_", Tabla4[[#This Row],[Cliente]]) + 1, LEN(Tabla4[[#This Row],[Cliente]]) - SEARCH("_",Tabla4[[#This Row],[Cliente]]))</f>
        <v>367</v>
      </c>
      <c r="BC201" t="str">
        <f>sala!B200</f>
        <v>Cliente_367</v>
      </c>
      <c r="BD201" s="1">
        <f>sala!D200</f>
        <v>45018.080555555556</v>
      </c>
      <c r="BE201" s="1">
        <f>sala!E200</f>
        <v>45018.236111111109</v>
      </c>
      <c r="BF201">
        <f>sala!K200</f>
        <v>199</v>
      </c>
      <c r="BG201">
        <f>sala!I200</f>
        <v>1326</v>
      </c>
      <c r="BH201" cm="1">
        <f t="array" ref="BH201">SUM(IF(Cocina!A:A=Tabla4[[#This Row],[Número de Orden]],Cocina!F:F*Cocina!G:G,0))</f>
        <v>261</v>
      </c>
      <c r="BI201" t="str">
        <f>sala!J200</f>
        <v>Libre</v>
      </c>
      <c r="BJ201" s="4" t="str">
        <f>IF(Tabla4[[#This Row],[Estado mesa]]="Ocupada","00:15","00:00")</f>
        <v>00:00</v>
      </c>
      <c r="BK201" cm="1">
        <f t="array" ref="BK201">SUM(IF(Cocina!A:A=Tabla4[[#This Row],[Número de Orden]],Cocina!H:H,0))</f>
        <v>142</v>
      </c>
    </row>
    <row r="202" spans="1:63" x14ac:dyDescent="0.3">
      <c r="A202" s="8" t="str">
        <f>MID(Tabla4[[#This Row],[Cliente]], SEARCH("_", Tabla4[[#This Row],[Cliente]]) + 1, LEN(Tabla4[[#This Row],[Cliente]]) - SEARCH("_",Tabla4[[#This Row],[Cliente]]))</f>
        <v>765</v>
      </c>
      <c r="B202">
        <f>sala!K201</f>
        <v>200</v>
      </c>
      <c r="C202">
        <f>Tabla4[[#This Row],[Propina]]+Tabla4[[#This Row],[Precio Cena]]</f>
        <v>4961</v>
      </c>
      <c r="D202" s="3">
        <f>INT(sala!E201)</f>
        <v>45018</v>
      </c>
      <c r="E202" s="4">
        <f>MOD( sala!D201,1)</f>
        <v>0.10763888889050577</v>
      </c>
      <c r="F202" s="4">
        <f>MOD( sala!E201,1)</f>
        <v>0.22638888889196096</v>
      </c>
      <c r="G202" s="4">
        <f>Tabla5[[#This Row],[Hora de Salida]]-Tabla5[[#This Row],[Hora de Llegada]]+Tabla4[[#This Row],[Tiempo Extra]]</f>
        <v>0.11875000000145519</v>
      </c>
      <c r="H202" s="5" t="str">
        <f>TEXT(Tabla4[[#This Row],[Preparación en horas]]/1440, "h:mm")</f>
        <v>1:07</v>
      </c>
      <c r="I202" s="4">
        <f>IF(Tabla5[[#This Row],[Tiempo Permanencia]]-Tabla5[[#This Row],[Tiempo de Preparación ]]&gt;=0,Tabla5[[#This Row],[Tiempo Permanencia]]-Tabla5[[#This Row],[Tiempo de Preparación ]],0)</f>
        <v>7.2222222223677413E-2</v>
      </c>
      <c r="J202" s="5" t="str">
        <f>IF(Tabla5[[#This Row],[Tiempo de Degustación]]=0,"No Cobrada","Cobrada")</f>
        <v>Cobrada</v>
      </c>
      <c r="K202" s="5" cm="1">
        <f t="array" ref="K202">SUM(IF(Tabla5[[#This Row],[Orden Cobrada]]="Cobrada",IF(Cocina!A:A=Tabla5[[#This Row],[Nº Orden]],Cocina!F:F*Cocina!G:G,0),-Tabla6[[#This Row],[Precio Cena]]))</f>
        <v>88</v>
      </c>
      <c r="L202" s="5">
        <f>IF(Tabla5[[#This Row],[Orden Cobrada]]="Cobrada",Tabla5[[#This Row],[Ganancia Bruta]]-Tabla6[[#This Row],[Coste Cena]],-Tabla6[[#This Row],[Precio Cena]]+Tabla6[[#This Row],[Coste Cena]])</f>
        <v>36</v>
      </c>
      <c r="M202" s="10">
        <f>IF(Tabla5[[#This Row],[Orden Cobrada]]="Cobrada",((Tabla5[[#This Row],[Ganancia Neta]]/Tabla5[[#This Row],[Ganancia Bruta]])*100)/100,-((Tabla5[[#This Row],[Ganancia Neta]]/Tabla5[[#This Row],[Ganancia Bruta]]*100)/100))</f>
        <v>0.40909090909090912</v>
      </c>
      <c r="N202" s="5" t="str">
        <f>sala!F201</f>
        <v>Mesero_3</v>
      </c>
      <c r="AY202" cm="1">
        <f t="array" ref="AY202">SUM(IF(Cocina!A:A=Tabla5[[#This Row],[Nº Orden]],Cocina!F:F*Cocina!G:G,0))</f>
        <v>88</v>
      </c>
      <c r="AZ202" cm="1">
        <f t="array" ref="AZ202">SUM(IF(Cocina!A:A=Tabla5[[#This Row],[Nº Orden]],Cocina!E:E*Cocina!G:G,0))</f>
        <v>52</v>
      </c>
      <c r="BB202" t="str">
        <f>MID(Tabla4[[#This Row],[Cliente]], SEARCH("_", Tabla4[[#This Row],[Cliente]]) + 1, LEN(Tabla4[[#This Row],[Cliente]]) - SEARCH("_",Tabla4[[#This Row],[Cliente]]))</f>
        <v>765</v>
      </c>
      <c r="BC202" t="str">
        <f>sala!B201</f>
        <v>Cliente_765</v>
      </c>
      <c r="BD202" s="1">
        <f>sala!D201</f>
        <v>45018.107638888891</v>
      </c>
      <c r="BE202" s="1">
        <f>sala!E201</f>
        <v>45018.226388888892</v>
      </c>
      <c r="BF202">
        <f>sala!K201</f>
        <v>200</v>
      </c>
      <c r="BG202">
        <f>sala!I201</f>
        <v>4873</v>
      </c>
      <c r="BH202" cm="1">
        <f t="array" ref="BH202">SUM(IF(Cocina!A:A=Tabla4[[#This Row],[Número de Orden]],Cocina!F:F*Cocina!G:G,0))</f>
        <v>88</v>
      </c>
      <c r="BI202" t="str">
        <f>sala!J201</f>
        <v>Reservada</v>
      </c>
      <c r="BJ202" s="4" t="str">
        <f>IF(Tabla4[[#This Row],[Estado mesa]]="Ocupada","00:15","00:00")</f>
        <v>00:00</v>
      </c>
      <c r="BK202" cm="1">
        <f t="array" ref="BK202">SUM(IF(Cocina!A:A=Tabla4[[#This Row],[Número de Orden]],Cocina!H:H,0))</f>
        <v>67</v>
      </c>
    </row>
    <row r="203" spans="1:63" x14ac:dyDescent="0.3">
      <c r="A203" s="8" t="str">
        <f>MID(Tabla4[[#This Row],[Cliente]], SEARCH("_", Tabla4[[#This Row],[Cliente]]) + 1, LEN(Tabla4[[#This Row],[Cliente]]) - SEARCH("_",Tabla4[[#This Row],[Cliente]]))</f>
        <v>679</v>
      </c>
      <c r="B203">
        <f>sala!K202</f>
        <v>201</v>
      </c>
      <c r="C203">
        <f>Tabla4[[#This Row],[Propina]]+Tabla4[[#This Row],[Precio Cena]]</f>
        <v>2056</v>
      </c>
      <c r="D203" s="3">
        <f>INT(sala!E202)</f>
        <v>45018</v>
      </c>
      <c r="E203" s="4">
        <f>MOD( sala!D202,1)</f>
        <v>1.2499999997089617E-2</v>
      </c>
      <c r="F203" s="4">
        <f>MOD( sala!E202,1)</f>
        <v>7.6388888890505768E-2</v>
      </c>
      <c r="G203" s="4">
        <f>Tabla5[[#This Row],[Hora de Salida]]-Tabla5[[#This Row],[Hora de Llegada]]+Tabla4[[#This Row],[Tiempo Extra]]</f>
        <v>6.3888888893416151E-2</v>
      </c>
      <c r="H203" s="5" t="str">
        <f>TEXT(Tabla4[[#This Row],[Preparación en horas]]/1440, "h:mm")</f>
        <v>0:58</v>
      </c>
      <c r="I203" s="4">
        <f>IF(Tabla5[[#This Row],[Tiempo Permanencia]]-Tabla5[[#This Row],[Tiempo de Preparación ]]&gt;=0,Tabla5[[#This Row],[Tiempo Permanencia]]-Tabla5[[#This Row],[Tiempo de Preparación ]],0)</f>
        <v>2.3611111115638371E-2</v>
      </c>
      <c r="J203" s="5" t="str">
        <f>IF(Tabla5[[#This Row],[Tiempo de Degustación]]=0,"No Cobrada","Cobrada")</f>
        <v>Cobrada</v>
      </c>
      <c r="K203" s="5" cm="1">
        <f t="array" ref="K203">SUM(IF(Tabla5[[#This Row],[Orden Cobrada]]="Cobrada",IF(Cocina!A:A=Tabla5[[#This Row],[Nº Orden]],Cocina!F:F*Cocina!G:G,0),-Tabla6[[#This Row],[Precio Cena]]))</f>
        <v>72</v>
      </c>
      <c r="L203" s="5">
        <f>IF(Tabla5[[#This Row],[Orden Cobrada]]="Cobrada",Tabla5[[#This Row],[Ganancia Bruta]]-Tabla6[[#This Row],[Coste Cena]],-Tabla6[[#This Row],[Precio Cena]]+Tabla6[[#This Row],[Coste Cena]])</f>
        <v>30</v>
      </c>
      <c r="M203" s="10">
        <f>IF(Tabla5[[#This Row],[Orden Cobrada]]="Cobrada",((Tabla5[[#This Row],[Ganancia Neta]]/Tabla5[[#This Row],[Ganancia Bruta]])*100)/100,-((Tabla5[[#This Row],[Ganancia Neta]]/Tabla5[[#This Row],[Ganancia Bruta]]*100)/100))</f>
        <v>0.41666666666666674</v>
      </c>
      <c r="N203" s="5" t="str">
        <f>sala!F202</f>
        <v>Mesero_1</v>
      </c>
      <c r="AY203" cm="1">
        <f t="array" ref="AY203">SUM(IF(Cocina!A:A=Tabla5[[#This Row],[Nº Orden]],Cocina!F:F*Cocina!G:G,0))</f>
        <v>72</v>
      </c>
      <c r="AZ203" cm="1">
        <f t="array" ref="AZ203">SUM(IF(Cocina!A:A=Tabla5[[#This Row],[Nº Orden]],Cocina!E:E*Cocina!G:G,0))</f>
        <v>42</v>
      </c>
      <c r="BB203" t="str">
        <f>MID(Tabla4[[#This Row],[Cliente]], SEARCH("_", Tabla4[[#This Row],[Cliente]]) + 1, LEN(Tabla4[[#This Row],[Cliente]]) - SEARCH("_",Tabla4[[#This Row],[Cliente]]))</f>
        <v>679</v>
      </c>
      <c r="BC203" t="str">
        <f>sala!B202</f>
        <v>Cliente_679</v>
      </c>
      <c r="BD203" s="1">
        <f>sala!D202</f>
        <v>45018.012499999997</v>
      </c>
      <c r="BE203" s="1">
        <f>sala!E202</f>
        <v>45018.076388888891</v>
      </c>
      <c r="BF203">
        <f>sala!K202</f>
        <v>201</v>
      </c>
      <c r="BG203">
        <f>sala!I202</f>
        <v>1984</v>
      </c>
      <c r="BH203" cm="1">
        <f t="array" ref="BH203">SUM(IF(Cocina!A:A=Tabla4[[#This Row],[Número de Orden]],Cocina!F:F*Cocina!G:G,0))</f>
        <v>72</v>
      </c>
      <c r="BI203" t="str">
        <f>sala!J202</f>
        <v>Reservada</v>
      </c>
      <c r="BJ203" s="4" t="str">
        <f>IF(Tabla4[[#This Row],[Estado mesa]]="Ocupada","00:15","00:00")</f>
        <v>00:00</v>
      </c>
      <c r="BK203" cm="1">
        <f t="array" ref="BK203">SUM(IF(Cocina!A:A=Tabla4[[#This Row],[Número de Orden]],Cocina!H:H,0))</f>
        <v>58</v>
      </c>
    </row>
    <row r="204" spans="1:63" x14ac:dyDescent="0.3">
      <c r="A204" s="8" t="str">
        <f>MID(Tabla4[[#This Row],[Cliente]], SEARCH("_", Tabla4[[#This Row],[Cliente]]) + 1, LEN(Tabla4[[#This Row],[Cliente]]) - SEARCH("_",Tabla4[[#This Row],[Cliente]]))</f>
        <v>512</v>
      </c>
      <c r="B204">
        <f>sala!K203</f>
        <v>202</v>
      </c>
      <c r="C204">
        <f>Tabla4[[#This Row],[Propina]]+Tabla4[[#This Row],[Precio Cena]]</f>
        <v>2625</v>
      </c>
      <c r="D204" s="3">
        <f>INT(sala!E203)</f>
        <v>45018</v>
      </c>
      <c r="E204" s="4">
        <f>MOD( sala!D203,1)</f>
        <v>4.0277777778101154E-2</v>
      </c>
      <c r="F204" s="4">
        <f>MOD( sala!E203,1)</f>
        <v>8.3333333335758653E-2</v>
      </c>
      <c r="G204" s="4">
        <f>Tabla5[[#This Row],[Hora de Salida]]-Tabla5[[#This Row],[Hora de Llegada]]+Tabla4[[#This Row],[Tiempo Extra]]</f>
        <v>5.3472222224324163E-2</v>
      </c>
      <c r="H204" s="5" t="str">
        <f>TEXT(Tabla4[[#This Row],[Preparación en horas]]/1440, "h:mm")</f>
        <v>2:36</v>
      </c>
      <c r="I204" s="4">
        <f>IF(Tabla5[[#This Row],[Tiempo Permanencia]]-Tabla5[[#This Row],[Tiempo de Preparación ]]&gt;=0,Tabla5[[#This Row],[Tiempo Permanencia]]-Tabla5[[#This Row],[Tiempo de Preparación ]],0)</f>
        <v>0</v>
      </c>
      <c r="J204" s="5" t="str">
        <f>IF(Tabla5[[#This Row],[Tiempo de Degustación]]=0,"No Cobrada","Cobrada")</f>
        <v>No Cobrada</v>
      </c>
      <c r="K204" s="5" cm="1">
        <f t="array" ref="K204">SUM(IF(Tabla5[[#This Row],[Orden Cobrada]]="Cobrada",IF(Cocina!A:A=Tabla5[[#This Row],[Nº Orden]],Cocina!F:F*Cocina!G:G,0),-Tabla6[[#This Row],[Precio Cena]]))</f>
        <v>-206</v>
      </c>
      <c r="L204" s="5">
        <f>IF(Tabla5[[#This Row],[Orden Cobrada]]="Cobrada",Tabla5[[#This Row],[Ganancia Bruta]]-Tabla6[[#This Row],[Coste Cena]],-Tabla6[[#This Row],[Precio Cena]]+Tabla6[[#This Row],[Coste Cena]])</f>
        <v>-80</v>
      </c>
      <c r="M204" s="10">
        <f>IF(Tabla5[[#This Row],[Orden Cobrada]]="Cobrada",((Tabla5[[#This Row],[Ganancia Neta]]/Tabla5[[#This Row],[Ganancia Bruta]])*100)/100,-((Tabla5[[#This Row],[Ganancia Neta]]/Tabla5[[#This Row],[Ganancia Bruta]]*100)/100))</f>
        <v>-0.38834951456310679</v>
      </c>
      <c r="N204" s="5" t="str">
        <f>sala!F203</f>
        <v>Mesero_3</v>
      </c>
      <c r="AY204" cm="1">
        <f t="array" ref="AY204">SUM(IF(Cocina!A:A=Tabla5[[#This Row],[Nº Orden]],Cocina!F:F*Cocina!G:G,0))</f>
        <v>206</v>
      </c>
      <c r="AZ204" cm="1">
        <f t="array" ref="AZ204">SUM(IF(Cocina!A:A=Tabla5[[#This Row],[Nº Orden]],Cocina!E:E*Cocina!G:G,0))</f>
        <v>126</v>
      </c>
      <c r="BB204" t="str">
        <f>MID(Tabla4[[#This Row],[Cliente]], SEARCH("_", Tabla4[[#This Row],[Cliente]]) + 1, LEN(Tabla4[[#This Row],[Cliente]]) - SEARCH("_",Tabla4[[#This Row],[Cliente]]))</f>
        <v>512</v>
      </c>
      <c r="BC204" t="str">
        <f>sala!B203</f>
        <v>Cliente_512</v>
      </c>
      <c r="BD204" s="1">
        <f>sala!D203</f>
        <v>45018.040277777778</v>
      </c>
      <c r="BE204" s="1">
        <f>sala!E203</f>
        <v>45018.083333333336</v>
      </c>
      <c r="BF204">
        <f>sala!K203</f>
        <v>202</v>
      </c>
      <c r="BG204">
        <f>sala!I203</f>
        <v>2419</v>
      </c>
      <c r="BH204" cm="1">
        <f t="array" ref="BH204">SUM(IF(Cocina!A:A=Tabla4[[#This Row],[Número de Orden]],Cocina!F:F*Cocina!G:G,0))</f>
        <v>206</v>
      </c>
      <c r="BI204" t="str">
        <f>sala!J203</f>
        <v>Ocupada</v>
      </c>
      <c r="BJ204" s="4" t="str">
        <f>IF(Tabla4[[#This Row],[Estado mesa]]="Ocupada","00:15","00:00")</f>
        <v>00:15</v>
      </c>
      <c r="BK204" cm="1">
        <f t="array" ref="BK204">SUM(IF(Cocina!A:A=Tabla4[[#This Row],[Número de Orden]],Cocina!H:H,0))</f>
        <v>156</v>
      </c>
    </row>
    <row r="205" spans="1:63" x14ac:dyDescent="0.3">
      <c r="A205" s="8" t="str">
        <f>MID(Tabla4[[#This Row],[Cliente]], SEARCH("_", Tabla4[[#This Row],[Cliente]]) + 1, LEN(Tabla4[[#This Row],[Cliente]]) - SEARCH("_",Tabla4[[#This Row],[Cliente]]))</f>
        <v>701</v>
      </c>
      <c r="B205">
        <f>sala!K204</f>
        <v>203</v>
      </c>
      <c r="C205">
        <f>Tabla4[[#This Row],[Propina]]+Tabla4[[#This Row],[Precio Cena]]</f>
        <v>4175</v>
      </c>
      <c r="D205" s="3">
        <f>INT(sala!E204)</f>
        <v>45018</v>
      </c>
      <c r="E205" s="4">
        <f>MOD( sala!D204,1)</f>
        <v>0.16458333333139308</v>
      </c>
      <c r="F205" s="4">
        <f>MOD( sala!E204,1)</f>
        <v>0.22291666666569654</v>
      </c>
      <c r="G205" s="4">
        <f>Tabla5[[#This Row],[Hora de Salida]]-Tabla5[[#This Row],[Hora de Llegada]]+Tabla4[[#This Row],[Tiempo Extra]]</f>
        <v>5.8333333334303461E-2</v>
      </c>
      <c r="H205" s="5" t="str">
        <f>TEXT(Tabla4[[#This Row],[Preparación en horas]]/1440, "h:mm")</f>
        <v>1:25</v>
      </c>
      <c r="I205" s="4">
        <f>IF(Tabla5[[#This Row],[Tiempo Permanencia]]-Tabla5[[#This Row],[Tiempo de Preparación ]]&gt;=0,Tabla5[[#This Row],[Tiempo Permanencia]]-Tabla5[[#This Row],[Tiempo de Preparación ]],0)</f>
        <v>0</v>
      </c>
      <c r="J205" s="5" t="str">
        <f>IF(Tabla5[[#This Row],[Tiempo de Degustación]]=0,"No Cobrada","Cobrada")</f>
        <v>No Cobrada</v>
      </c>
      <c r="K205" s="5" cm="1">
        <f t="array" ref="K205">SUM(IF(Tabla5[[#This Row],[Orden Cobrada]]="Cobrada",IF(Cocina!A:A=Tabla5[[#This Row],[Nº Orden]],Cocina!F:F*Cocina!G:G,0),-Tabla6[[#This Row],[Precio Cena]]))</f>
        <v>-156</v>
      </c>
      <c r="L205" s="5">
        <f>IF(Tabla5[[#This Row],[Orden Cobrada]]="Cobrada",Tabla5[[#This Row],[Ganancia Bruta]]-Tabla6[[#This Row],[Coste Cena]],-Tabla6[[#This Row],[Precio Cena]]+Tabla6[[#This Row],[Coste Cena]])</f>
        <v>-60</v>
      </c>
      <c r="M205" s="10">
        <f>IF(Tabla5[[#This Row],[Orden Cobrada]]="Cobrada",((Tabla5[[#This Row],[Ganancia Neta]]/Tabla5[[#This Row],[Ganancia Bruta]])*100)/100,-((Tabla5[[#This Row],[Ganancia Neta]]/Tabla5[[#This Row],[Ganancia Bruta]]*100)/100))</f>
        <v>-0.38461538461538469</v>
      </c>
      <c r="N205" s="5" t="str">
        <f>sala!F204</f>
        <v>Mesero_1</v>
      </c>
      <c r="AY205" cm="1">
        <f t="array" ref="AY205">SUM(IF(Cocina!A:A=Tabla5[[#This Row],[Nº Orden]],Cocina!F:F*Cocina!G:G,0))</f>
        <v>156</v>
      </c>
      <c r="AZ205" cm="1">
        <f t="array" ref="AZ205">SUM(IF(Cocina!A:A=Tabla5[[#This Row],[Nº Orden]],Cocina!E:E*Cocina!G:G,0))</f>
        <v>96</v>
      </c>
      <c r="BB205" t="str">
        <f>MID(Tabla4[[#This Row],[Cliente]], SEARCH("_", Tabla4[[#This Row],[Cliente]]) + 1, LEN(Tabla4[[#This Row],[Cliente]]) - SEARCH("_",Tabla4[[#This Row],[Cliente]]))</f>
        <v>701</v>
      </c>
      <c r="BC205" t="str">
        <f>sala!B204</f>
        <v>Cliente_701</v>
      </c>
      <c r="BD205" s="1">
        <f>sala!D204</f>
        <v>45018.164583333331</v>
      </c>
      <c r="BE205" s="1">
        <f>sala!E204</f>
        <v>45018.222916666666</v>
      </c>
      <c r="BF205">
        <f>sala!K204</f>
        <v>203</v>
      </c>
      <c r="BG205">
        <f>sala!I204</f>
        <v>4019</v>
      </c>
      <c r="BH205" cm="1">
        <f t="array" ref="BH205">SUM(IF(Cocina!A:A=Tabla4[[#This Row],[Número de Orden]],Cocina!F:F*Cocina!G:G,0))</f>
        <v>156</v>
      </c>
      <c r="BI205" t="str">
        <f>sala!J204</f>
        <v>Libre</v>
      </c>
      <c r="BJ205" s="4" t="str">
        <f>IF(Tabla4[[#This Row],[Estado mesa]]="Ocupada","00:15","00:00")</f>
        <v>00:00</v>
      </c>
      <c r="BK205" cm="1">
        <f t="array" ref="BK205">SUM(IF(Cocina!A:A=Tabla4[[#This Row],[Número de Orden]],Cocina!H:H,0))</f>
        <v>85</v>
      </c>
    </row>
    <row r="206" spans="1:63" x14ac:dyDescent="0.3">
      <c r="A206" s="8" t="str">
        <f>MID(Tabla4[[#This Row],[Cliente]], SEARCH("_", Tabla4[[#This Row],[Cliente]]) + 1, LEN(Tabla4[[#This Row],[Cliente]]) - SEARCH("_",Tabla4[[#This Row],[Cliente]]))</f>
        <v>331</v>
      </c>
      <c r="B206">
        <f>sala!K205</f>
        <v>204</v>
      </c>
      <c r="C206">
        <f>Tabla4[[#This Row],[Propina]]+Tabla4[[#This Row],[Precio Cena]]</f>
        <v>5004</v>
      </c>
      <c r="D206" s="3">
        <f>INT(sala!E205)</f>
        <v>45018</v>
      </c>
      <c r="E206" s="4">
        <f>MOD( sala!D205,1)</f>
        <v>1.1805555557657499E-2</v>
      </c>
      <c r="F206" s="4">
        <f>MOD( sala!E205,1)</f>
        <v>0.10069444444525288</v>
      </c>
      <c r="G206" s="4">
        <f>Tabla5[[#This Row],[Hora de Salida]]-Tabla5[[#This Row],[Hora de Llegada]]+Tabla4[[#This Row],[Tiempo Extra]]</f>
        <v>8.8888888887595385E-2</v>
      </c>
      <c r="H206" s="5" t="str">
        <f>TEXT(Tabla4[[#This Row],[Preparación en horas]]/1440, "h:mm")</f>
        <v>0:21</v>
      </c>
      <c r="I206" s="4">
        <f>IF(Tabla5[[#This Row],[Tiempo Permanencia]]-Tabla5[[#This Row],[Tiempo de Preparación ]]&gt;=0,Tabla5[[#This Row],[Tiempo Permanencia]]-Tabla5[[#This Row],[Tiempo de Preparación ]],0)</f>
        <v>7.4305555554262048E-2</v>
      </c>
      <c r="J206" s="5" t="str">
        <f>IF(Tabla5[[#This Row],[Tiempo de Degustación]]=0,"No Cobrada","Cobrada")</f>
        <v>Cobrada</v>
      </c>
      <c r="K206" s="5" cm="1">
        <f t="array" ref="K206">SUM(IF(Tabla5[[#This Row],[Orden Cobrada]]="Cobrada",IF(Cocina!A:A=Tabla5[[#This Row],[Nº Orden]],Cocina!F:F*Cocina!G:G,0),-Tabla6[[#This Row],[Precio Cena]]))</f>
        <v>48</v>
      </c>
      <c r="L206" s="5">
        <f>IF(Tabla5[[#This Row],[Orden Cobrada]]="Cobrada",Tabla5[[#This Row],[Ganancia Bruta]]-Tabla6[[#This Row],[Coste Cena]],-Tabla6[[#This Row],[Precio Cena]]+Tabla6[[#This Row],[Coste Cena]])</f>
        <v>20</v>
      </c>
      <c r="M206" s="10">
        <f>IF(Tabla5[[#This Row],[Orden Cobrada]]="Cobrada",((Tabla5[[#This Row],[Ganancia Neta]]/Tabla5[[#This Row],[Ganancia Bruta]])*100)/100,-((Tabla5[[#This Row],[Ganancia Neta]]/Tabla5[[#This Row],[Ganancia Bruta]]*100)/100))</f>
        <v>0.41666666666666674</v>
      </c>
      <c r="N206" s="5" t="str">
        <f>sala!F205</f>
        <v>Mesero_1</v>
      </c>
      <c r="AY206" cm="1">
        <f t="array" ref="AY206">SUM(IF(Cocina!A:A=Tabla5[[#This Row],[Nº Orden]],Cocina!F:F*Cocina!G:G,0))</f>
        <v>48</v>
      </c>
      <c r="AZ206" cm="1">
        <f t="array" ref="AZ206">SUM(IF(Cocina!A:A=Tabla5[[#This Row],[Nº Orden]],Cocina!E:E*Cocina!G:G,0))</f>
        <v>28</v>
      </c>
      <c r="BB206" t="str">
        <f>MID(Tabla4[[#This Row],[Cliente]], SEARCH("_", Tabla4[[#This Row],[Cliente]]) + 1, LEN(Tabla4[[#This Row],[Cliente]]) - SEARCH("_",Tabla4[[#This Row],[Cliente]]))</f>
        <v>331</v>
      </c>
      <c r="BC206" t="str">
        <f>sala!B205</f>
        <v>Cliente_331</v>
      </c>
      <c r="BD206" s="1">
        <f>sala!D205</f>
        <v>45018.011805555558</v>
      </c>
      <c r="BE206" s="1">
        <f>sala!E205</f>
        <v>45018.100694444445</v>
      </c>
      <c r="BF206">
        <f>sala!K205</f>
        <v>204</v>
      </c>
      <c r="BG206">
        <f>sala!I205</f>
        <v>4956</v>
      </c>
      <c r="BH206" cm="1">
        <f t="array" ref="BH206">SUM(IF(Cocina!A:A=Tabla4[[#This Row],[Número de Orden]],Cocina!F:F*Cocina!G:G,0))</f>
        <v>48</v>
      </c>
      <c r="BI206" t="str">
        <f>sala!J205</f>
        <v>Libre</v>
      </c>
      <c r="BJ206" s="4" t="str">
        <f>IF(Tabla4[[#This Row],[Estado mesa]]="Ocupada","00:15","00:00")</f>
        <v>00:00</v>
      </c>
      <c r="BK206" cm="1">
        <f t="array" ref="BK206">SUM(IF(Cocina!A:A=Tabla4[[#This Row],[Número de Orden]],Cocina!H:H,0))</f>
        <v>21</v>
      </c>
    </row>
    <row r="207" spans="1:63" x14ac:dyDescent="0.3">
      <c r="A207" s="8" t="str">
        <f>MID(Tabla4[[#This Row],[Cliente]], SEARCH("_", Tabla4[[#This Row],[Cliente]]) + 1, LEN(Tabla4[[#This Row],[Cliente]]) - SEARCH("_",Tabla4[[#This Row],[Cliente]]))</f>
        <v>83</v>
      </c>
      <c r="B207">
        <f>sala!K206</f>
        <v>205</v>
      </c>
      <c r="C207">
        <f>Tabla4[[#This Row],[Propina]]+Tabla4[[#This Row],[Precio Cena]]</f>
        <v>2710</v>
      </c>
      <c r="D207" s="3">
        <f>INT(sala!E206)</f>
        <v>45018</v>
      </c>
      <c r="E207" s="4">
        <f>MOD( sala!D206,1)</f>
        <v>9.375E-2</v>
      </c>
      <c r="F207" s="4">
        <f>MOD( sala!E206,1)</f>
        <v>0.25972222222480923</v>
      </c>
      <c r="G207" s="4">
        <f>Tabla5[[#This Row],[Hora de Salida]]-Tabla5[[#This Row],[Hora de Llegada]]+Tabla4[[#This Row],[Tiempo Extra]]</f>
        <v>0.16597222222480923</v>
      </c>
      <c r="H207" s="5" t="str">
        <f>TEXT(Tabla4[[#This Row],[Preparación en horas]]/1440, "h:mm")</f>
        <v>1:26</v>
      </c>
      <c r="I207" s="4">
        <f>IF(Tabla5[[#This Row],[Tiempo Permanencia]]-Tabla5[[#This Row],[Tiempo de Preparación ]]&gt;=0,Tabla5[[#This Row],[Tiempo Permanencia]]-Tabla5[[#This Row],[Tiempo de Preparación ]],0)</f>
        <v>0.106250000002587</v>
      </c>
      <c r="J207" s="5" t="str">
        <f>IF(Tabla5[[#This Row],[Tiempo de Degustación]]=0,"No Cobrada","Cobrada")</f>
        <v>Cobrada</v>
      </c>
      <c r="K207" s="5" cm="1">
        <f t="array" ref="K207">SUM(IF(Tabla5[[#This Row],[Orden Cobrada]]="Cobrada",IF(Cocina!A:A=Tabla5[[#This Row],[Nº Orden]],Cocina!F:F*Cocina!G:G,0),-Tabla6[[#This Row],[Precio Cena]]))</f>
        <v>61</v>
      </c>
      <c r="L207" s="5">
        <f>IF(Tabla5[[#This Row],[Orden Cobrada]]="Cobrada",Tabla5[[#This Row],[Ganancia Bruta]]-Tabla6[[#This Row],[Coste Cena]],-Tabla6[[#This Row],[Precio Cena]]+Tabla6[[#This Row],[Coste Cena]])</f>
        <v>25</v>
      </c>
      <c r="M207" s="10">
        <f>IF(Tabla5[[#This Row],[Orden Cobrada]]="Cobrada",((Tabla5[[#This Row],[Ganancia Neta]]/Tabla5[[#This Row],[Ganancia Bruta]])*100)/100,-((Tabla5[[#This Row],[Ganancia Neta]]/Tabla5[[#This Row],[Ganancia Bruta]]*100)/100))</f>
        <v>0.4098360655737705</v>
      </c>
      <c r="N207" s="5" t="str">
        <f>sala!F206</f>
        <v>Mesero_2</v>
      </c>
      <c r="AY207" cm="1">
        <f t="array" ref="AY207">SUM(IF(Cocina!A:A=Tabla5[[#This Row],[Nº Orden]],Cocina!F:F*Cocina!G:G,0))</f>
        <v>61</v>
      </c>
      <c r="AZ207" cm="1">
        <f t="array" ref="AZ207">SUM(IF(Cocina!A:A=Tabla5[[#This Row],[Nº Orden]],Cocina!E:E*Cocina!G:G,0))</f>
        <v>36</v>
      </c>
      <c r="BB207" t="str">
        <f>MID(Tabla4[[#This Row],[Cliente]], SEARCH("_", Tabla4[[#This Row],[Cliente]]) + 1, LEN(Tabla4[[#This Row],[Cliente]]) - SEARCH("_",Tabla4[[#This Row],[Cliente]]))</f>
        <v>83</v>
      </c>
      <c r="BC207" t="str">
        <f>sala!B206</f>
        <v>Cliente_83</v>
      </c>
      <c r="BD207" s="1">
        <f>sala!D206</f>
        <v>45018.09375</v>
      </c>
      <c r="BE207" s="1">
        <f>sala!E206</f>
        <v>45018.259722222225</v>
      </c>
      <c r="BF207">
        <f>sala!K206</f>
        <v>205</v>
      </c>
      <c r="BG207">
        <f>sala!I206</f>
        <v>2649</v>
      </c>
      <c r="BH207" cm="1">
        <f t="array" ref="BH207">SUM(IF(Cocina!A:A=Tabla4[[#This Row],[Número de Orden]],Cocina!F:F*Cocina!G:G,0))</f>
        <v>61</v>
      </c>
      <c r="BI207" t="str">
        <f>sala!J206</f>
        <v>Libre</v>
      </c>
      <c r="BJ207" s="4" t="str">
        <f>IF(Tabla4[[#This Row],[Estado mesa]]="Ocupada","00:15","00:00")</f>
        <v>00:00</v>
      </c>
      <c r="BK207" cm="1">
        <f t="array" ref="BK207">SUM(IF(Cocina!A:A=Tabla4[[#This Row],[Número de Orden]],Cocina!H:H,0))</f>
        <v>86</v>
      </c>
    </row>
    <row r="208" spans="1:63" x14ac:dyDescent="0.3">
      <c r="A208" s="8" t="str">
        <f>MID(Tabla4[[#This Row],[Cliente]], SEARCH("_", Tabla4[[#This Row],[Cliente]]) + 1, LEN(Tabla4[[#This Row],[Cliente]]) - SEARCH("_",Tabla4[[#This Row],[Cliente]]))</f>
        <v>339</v>
      </c>
      <c r="B208">
        <f>sala!K207</f>
        <v>206</v>
      </c>
      <c r="C208">
        <f>Tabla4[[#This Row],[Propina]]+Tabla4[[#This Row],[Precio Cena]]</f>
        <v>3726</v>
      </c>
      <c r="D208" s="3">
        <f>INT(sala!E207)</f>
        <v>45018</v>
      </c>
      <c r="E208" s="4">
        <f>MOD( sala!D207,1)</f>
        <v>0.14375000000291038</v>
      </c>
      <c r="F208" s="4">
        <f>MOD( sala!E207,1)</f>
        <v>0.25624999999854481</v>
      </c>
      <c r="G208" s="4">
        <f>Tabla5[[#This Row],[Hora de Salida]]-Tabla5[[#This Row],[Hora de Llegada]]+Tabla4[[#This Row],[Tiempo Extra]]</f>
        <v>0.1229166666623011</v>
      </c>
      <c r="H208" s="5" t="str">
        <f>TEXT(Tabla4[[#This Row],[Preparación en horas]]/1440, "h:mm")</f>
        <v>0:58</v>
      </c>
      <c r="I208" s="4">
        <f>IF(Tabla5[[#This Row],[Tiempo Permanencia]]-Tabla5[[#This Row],[Tiempo de Preparación ]]&gt;=0,Tabla5[[#This Row],[Tiempo Permanencia]]-Tabla5[[#This Row],[Tiempo de Preparación ]],0)</f>
        <v>8.2638888884523309E-2</v>
      </c>
      <c r="J208" s="5" t="str">
        <f>IF(Tabla5[[#This Row],[Tiempo de Degustación]]=0,"No Cobrada","Cobrada")</f>
        <v>Cobrada</v>
      </c>
      <c r="K208" s="5" cm="1">
        <f t="array" ref="K208">SUM(IF(Tabla5[[#This Row],[Orden Cobrada]]="Cobrada",IF(Cocina!A:A=Tabla5[[#This Row],[Nº Orden]],Cocina!F:F*Cocina!G:G,0),-Tabla6[[#This Row],[Precio Cena]]))</f>
        <v>30</v>
      </c>
      <c r="L208" s="5">
        <f>IF(Tabla5[[#This Row],[Orden Cobrada]]="Cobrada",Tabla5[[#This Row],[Ganancia Bruta]]-Tabla6[[#This Row],[Coste Cena]],-Tabla6[[#This Row],[Precio Cena]]+Tabla6[[#This Row],[Coste Cena]])</f>
        <v>12</v>
      </c>
      <c r="M208" s="10">
        <f>IF(Tabla5[[#This Row],[Orden Cobrada]]="Cobrada",((Tabla5[[#This Row],[Ganancia Neta]]/Tabla5[[#This Row],[Ganancia Bruta]])*100)/100,-((Tabla5[[#This Row],[Ganancia Neta]]/Tabla5[[#This Row],[Ganancia Bruta]]*100)/100))</f>
        <v>0.4</v>
      </c>
      <c r="N208" s="5" t="str">
        <f>sala!F207</f>
        <v>Mesero_4</v>
      </c>
      <c r="AY208" cm="1">
        <f t="array" ref="AY208">SUM(IF(Cocina!A:A=Tabla5[[#This Row],[Nº Orden]],Cocina!F:F*Cocina!G:G,0))</f>
        <v>30</v>
      </c>
      <c r="AZ208" cm="1">
        <f t="array" ref="AZ208">SUM(IF(Cocina!A:A=Tabla5[[#This Row],[Nº Orden]],Cocina!E:E*Cocina!G:G,0))</f>
        <v>18</v>
      </c>
      <c r="BB208" t="str">
        <f>MID(Tabla4[[#This Row],[Cliente]], SEARCH("_", Tabla4[[#This Row],[Cliente]]) + 1, LEN(Tabla4[[#This Row],[Cliente]]) - SEARCH("_",Tabla4[[#This Row],[Cliente]]))</f>
        <v>339</v>
      </c>
      <c r="BC208" t="str">
        <f>sala!B207</f>
        <v>Cliente_339</v>
      </c>
      <c r="BD208" s="1">
        <f>sala!D207</f>
        <v>45018.143750000003</v>
      </c>
      <c r="BE208" s="1">
        <f>sala!E207</f>
        <v>45018.256249999999</v>
      </c>
      <c r="BF208">
        <f>sala!K207</f>
        <v>206</v>
      </c>
      <c r="BG208">
        <f>sala!I207</f>
        <v>3696</v>
      </c>
      <c r="BH208" cm="1">
        <f t="array" ref="BH208">SUM(IF(Cocina!A:A=Tabla4[[#This Row],[Número de Orden]],Cocina!F:F*Cocina!G:G,0))</f>
        <v>30</v>
      </c>
      <c r="BI208" t="str">
        <f>sala!J207</f>
        <v>Ocupada</v>
      </c>
      <c r="BJ208" s="4" t="str">
        <f>IF(Tabla4[[#This Row],[Estado mesa]]="Ocupada","00:15","00:00")</f>
        <v>00:15</v>
      </c>
      <c r="BK208" cm="1">
        <f t="array" ref="BK208">SUM(IF(Cocina!A:A=Tabla4[[#This Row],[Número de Orden]],Cocina!H:H,0))</f>
        <v>58</v>
      </c>
    </row>
    <row r="209" spans="1:63" x14ac:dyDescent="0.3">
      <c r="A209" s="8" t="str">
        <f>MID(Tabla4[[#This Row],[Cliente]], SEARCH("_", Tabla4[[#This Row],[Cliente]]) + 1, LEN(Tabla4[[#This Row],[Cliente]]) - SEARCH("_",Tabla4[[#This Row],[Cliente]]))</f>
        <v>323</v>
      </c>
      <c r="B209">
        <f>sala!K208</f>
        <v>207</v>
      </c>
      <c r="C209">
        <f>Tabla4[[#This Row],[Propina]]+Tabla4[[#This Row],[Precio Cena]]</f>
        <v>4834</v>
      </c>
      <c r="D209" s="3">
        <f>INT(sala!E208)</f>
        <v>45018</v>
      </c>
      <c r="E209" s="4">
        <f>MOD( sala!D208,1)</f>
        <v>0.11736111110803904</v>
      </c>
      <c r="F209" s="4">
        <f>MOD( sala!E208,1)</f>
        <v>0.1680555555576575</v>
      </c>
      <c r="G209" s="4">
        <f>Tabla5[[#This Row],[Hora de Salida]]-Tabla5[[#This Row],[Hora de Llegada]]+Tabla4[[#This Row],[Tiempo Extra]]</f>
        <v>5.0694444449618459E-2</v>
      </c>
      <c r="H209" s="5" t="str">
        <f>TEXT(Tabla4[[#This Row],[Preparación en horas]]/1440, "h:mm")</f>
        <v>1:51</v>
      </c>
      <c r="I209" s="4">
        <f>IF(Tabla5[[#This Row],[Tiempo Permanencia]]-Tabla5[[#This Row],[Tiempo de Preparación ]]&gt;=0,Tabla5[[#This Row],[Tiempo Permanencia]]-Tabla5[[#This Row],[Tiempo de Preparación ]],0)</f>
        <v>0</v>
      </c>
      <c r="J209" s="5" t="str">
        <f>IF(Tabla5[[#This Row],[Tiempo de Degustación]]=0,"No Cobrada","Cobrada")</f>
        <v>No Cobrada</v>
      </c>
      <c r="K209" s="5" cm="1">
        <f t="array" ref="K209">SUM(IF(Tabla5[[#This Row],[Orden Cobrada]]="Cobrada",IF(Cocina!A:A=Tabla5[[#This Row],[Nº Orden]],Cocina!F:F*Cocina!G:G,0),-Tabla6[[#This Row],[Precio Cena]]))</f>
        <v>-180</v>
      </c>
      <c r="L209" s="5">
        <f>IF(Tabla5[[#This Row],[Orden Cobrada]]="Cobrada",Tabla5[[#This Row],[Ganancia Bruta]]-Tabla6[[#This Row],[Coste Cena]],-Tabla6[[#This Row],[Precio Cena]]+Tabla6[[#This Row],[Coste Cena]])</f>
        <v>-72</v>
      </c>
      <c r="M209" s="10">
        <f>IF(Tabla5[[#This Row],[Orden Cobrada]]="Cobrada",((Tabla5[[#This Row],[Ganancia Neta]]/Tabla5[[#This Row],[Ganancia Bruta]])*100)/100,-((Tabla5[[#This Row],[Ganancia Neta]]/Tabla5[[#This Row],[Ganancia Bruta]]*100)/100))</f>
        <v>-0.4</v>
      </c>
      <c r="N209" s="5" t="str">
        <f>sala!F208</f>
        <v>Mesero_5</v>
      </c>
      <c r="AY209" cm="1">
        <f t="array" ref="AY209">SUM(IF(Cocina!A:A=Tabla5[[#This Row],[Nº Orden]],Cocina!F:F*Cocina!G:G,0))</f>
        <v>180</v>
      </c>
      <c r="AZ209" cm="1">
        <f t="array" ref="AZ209">SUM(IF(Cocina!A:A=Tabla5[[#This Row],[Nº Orden]],Cocina!E:E*Cocina!G:G,0))</f>
        <v>108</v>
      </c>
      <c r="BB209" t="str">
        <f>MID(Tabla4[[#This Row],[Cliente]], SEARCH("_", Tabla4[[#This Row],[Cliente]]) + 1, LEN(Tabla4[[#This Row],[Cliente]]) - SEARCH("_",Tabla4[[#This Row],[Cliente]]))</f>
        <v>323</v>
      </c>
      <c r="BC209" t="str">
        <f>sala!B208</f>
        <v>Cliente_323</v>
      </c>
      <c r="BD209" s="1">
        <f>sala!D208</f>
        <v>45018.117361111108</v>
      </c>
      <c r="BE209" s="1">
        <f>sala!E208</f>
        <v>45018.168055555558</v>
      </c>
      <c r="BF209">
        <f>sala!K208</f>
        <v>207</v>
      </c>
      <c r="BG209">
        <f>sala!I208</f>
        <v>4654</v>
      </c>
      <c r="BH209" cm="1">
        <f t="array" ref="BH209">SUM(IF(Cocina!A:A=Tabla4[[#This Row],[Número de Orden]],Cocina!F:F*Cocina!G:G,0))</f>
        <v>180</v>
      </c>
      <c r="BI209" t="str">
        <f>sala!J208</f>
        <v>Reservada</v>
      </c>
      <c r="BJ209" s="4" t="str">
        <f>IF(Tabla4[[#This Row],[Estado mesa]]="Ocupada","00:15","00:00")</f>
        <v>00:00</v>
      </c>
      <c r="BK209" cm="1">
        <f t="array" ref="BK209">SUM(IF(Cocina!A:A=Tabla4[[#This Row],[Número de Orden]],Cocina!H:H,0))</f>
        <v>111</v>
      </c>
    </row>
    <row r="210" spans="1:63" x14ac:dyDescent="0.3">
      <c r="A210" s="8" t="str">
        <f>MID(Tabla4[[#This Row],[Cliente]], SEARCH("_", Tabla4[[#This Row],[Cliente]]) + 1, LEN(Tabla4[[#This Row],[Cliente]]) - SEARCH("_",Tabla4[[#This Row],[Cliente]]))</f>
        <v>678</v>
      </c>
      <c r="B210">
        <f>sala!K209</f>
        <v>208</v>
      </c>
      <c r="C210">
        <f>Tabla4[[#This Row],[Propina]]+Tabla4[[#This Row],[Precio Cena]]</f>
        <v>547</v>
      </c>
      <c r="D210" s="3">
        <f>INT(sala!E209)</f>
        <v>45018</v>
      </c>
      <c r="E210" s="4">
        <f>MOD( sala!D209,1)</f>
        <v>0.14791666666860692</v>
      </c>
      <c r="F210" s="4">
        <f>MOD( sala!E209,1)</f>
        <v>0.27500000000145519</v>
      </c>
      <c r="G210" s="4">
        <f>Tabla5[[#This Row],[Hora de Salida]]-Tabla5[[#This Row],[Hora de Llegada]]+Tabla4[[#This Row],[Tiempo Extra]]</f>
        <v>0.13749999999951493</v>
      </c>
      <c r="H210" s="5" t="str">
        <f>TEXT(Tabla4[[#This Row],[Preparación en horas]]/1440, "h:mm")</f>
        <v>1:40</v>
      </c>
      <c r="I210" s="4">
        <f>IF(Tabla5[[#This Row],[Tiempo Permanencia]]-Tabla5[[#This Row],[Tiempo de Preparación ]]&gt;=0,Tabla5[[#This Row],[Tiempo Permanencia]]-Tabla5[[#This Row],[Tiempo de Preparación ]],0)</f>
        <v>6.8055555555070479E-2</v>
      </c>
      <c r="J210" s="5" t="str">
        <f>IF(Tabla5[[#This Row],[Tiempo de Degustación]]=0,"No Cobrada","Cobrada")</f>
        <v>Cobrada</v>
      </c>
      <c r="K210" s="5" cm="1">
        <f t="array" ref="K210">SUM(IF(Tabla5[[#This Row],[Orden Cobrada]]="Cobrada",IF(Cocina!A:A=Tabla5[[#This Row],[Nº Orden]],Cocina!F:F*Cocina!G:G,0),-Tabla6[[#This Row],[Precio Cena]]))</f>
        <v>180</v>
      </c>
      <c r="L210" s="5">
        <f>IF(Tabla5[[#This Row],[Orden Cobrada]]="Cobrada",Tabla5[[#This Row],[Ganancia Bruta]]-Tabla6[[#This Row],[Coste Cena]],-Tabla6[[#This Row],[Precio Cena]]+Tabla6[[#This Row],[Coste Cena]])</f>
        <v>71</v>
      </c>
      <c r="M210" s="10">
        <f>IF(Tabla5[[#This Row],[Orden Cobrada]]="Cobrada",((Tabla5[[#This Row],[Ganancia Neta]]/Tabla5[[#This Row],[Ganancia Bruta]])*100)/100,-((Tabla5[[#This Row],[Ganancia Neta]]/Tabla5[[#This Row],[Ganancia Bruta]]*100)/100))</f>
        <v>0.39444444444444443</v>
      </c>
      <c r="N210" s="5" t="str">
        <f>sala!F209</f>
        <v>Mesero_1</v>
      </c>
      <c r="AY210" cm="1">
        <f t="array" ref="AY210">SUM(IF(Cocina!A:A=Tabla5[[#This Row],[Nº Orden]],Cocina!F:F*Cocina!G:G,0))</f>
        <v>180</v>
      </c>
      <c r="AZ210" cm="1">
        <f t="array" ref="AZ210">SUM(IF(Cocina!A:A=Tabla5[[#This Row],[Nº Orden]],Cocina!E:E*Cocina!G:G,0))</f>
        <v>109</v>
      </c>
      <c r="BB210" t="str">
        <f>MID(Tabla4[[#This Row],[Cliente]], SEARCH("_", Tabla4[[#This Row],[Cliente]]) + 1, LEN(Tabla4[[#This Row],[Cliente]]) - SEARCH("_",Tabla4[[#This Row],[Cliente]]))</f>
        <v>678</v>
      </c>
      <c r="BC210" t="str">
        <f>sala!B209</f>
        <v>Cliente_678</v>
      </c>
      <c r="BD210" s="1">
        <f>sala!D209</f>
        <v>45018.147916666669</v>
      </c>
      <c r="BE210" s="1">
        <f>sala!E209</f>
        <v>45018.275000000001</v>
      </c>
      <c r="BF210">
        <f>sala!K209</f>
        <v>208</v>
      </c>
      <c r="BG210">
        <f>sala!I209</f>
        <v>367</v>
      </c>
      <c r="BH210" cm="1">
        <f t="array" ref="BH210">SUM(IF(Cocina!A:A=Tabla4[[#This Row],[Número de Orden]],Cocina!F:F*Cocina!G:G,0))</f>
        <v>180</v>
      </c>
      <c r="BI210" t="str">
        <f>sala!J209</f>
        <v>Ocupada</v>
      </c>
      <c r="BJ210" s="4" t="str">
        <f>IF(Tabla4[[#This Row],[Estado mesa]]="Ocupada","00:15","00:00")</f>
        <v>00:15</v>
      </c>
      <c r="BK210" cm="1">
        <f t="array" ref="BK210">SUM(IF(Cocina!A:A=Tabla4[[#This Row],[Número de Orden]],Cocina!H:H,0))</f>
        <v>100</v>
      </c>
    </row>
    <row r="211" spans="1:63" x14ac:dyDescent="0.3">
      <c r="A211" s="8" t="str">
        <f>MID(Tabla4[[#This Row],[Cliente]], SEARCH("_", Tabla4[[#This Row],[Cliente]]) + 1, LEN(Tabla4[[#This Row],[Cliente]]) - SEARCH("_",Tabla4[[#This Row],[Cliente]]))</f>
        <v>74</v>
      </c>
      <c r="B211">
        <f>sala!K210</f>
        <v>209</v>
      </c>
      <c r="C211">
        <f>Tabla4[[#This Row],[Propina]]+Tabla4[[#This Row],[Precio Cena]]</f>
        <v>3663</v>
      </c>
      <c r="D211" s="3">
        <f>INT(sala!E210)</f>
        <v>45018</v>
      </c>
      <c r="E211" s="4">
        <f>MOD( sala!D210,1)</f>
        <v>6.3194444446708076E-2</v>
      </c>
      <c r="F211" s="4">
        <f>MOD( sala!E210,1)</f>
        <v>0.17083333332993789</v>
      </c>
      <c r="G211" s="4">
        <f>Tabla5[[#This Row],[Hora de Salida]]-Tabla5[[#This Row],[Hora de Llegada]]+Tabla4[[#This Row],[Tiempo Extra]]</f>
        <v>0.10763888888322981</v>
      </c>
      <c r="H211" s="5" t="str">
        <f>TEXT(Tabla4[[#This Row],[Preparación en horas]]/1440, "h:mm")</f>
        <v>2:51</v>
      </c>
      <c r="I211" s="4">
        <f>IF(Tabla5[[#This Row],[Tiempo Permanencia]]-Tabla5[[#This Row],[Tiempo de Preparación ]]&gt;=0,Tabla5[[#This Row],[Tiempo Permanencia]]-Tabla5[[#This Row],[Tiempo de Preparación ]],0)</f>
        <v>0</v>
      </c>
      <c r="J211" s="5" t="str">
        <f>IF(Tabla5[[#This Row],[Tiempo de Degustación]]=0,"No Cobrada","Cobrada")</f>
        <v>No Cobrada</v>
      </c>
      <c r="K211" s="5" cm="1">
        <f t="array" ref="K211">SUM(IF(Tabla5[[#This Row],[Orden Cobrada]]="Cobrada",IF(Cocina!A:A=Tabla5[[#This Row],[Nº Orden]],Cocina!F:F*Cocina!G:G,0),-Tabla6[[#This Row],[Precio Cena]]))</f>
        <v>-214</v>
      </c>
      <c r="L211" s="5">
        <f>IF(Tabla5[[#This Row],[Orden Cobrada]]="Cobrada",Tabla5[[#This Row],[Ganancia Bruta]]-Tabla6[[#This Row],[Coste Cena]],-Tabla6[[#This Row],[Precio Cena]]+Tabla6[[#This Row],[Coste Cena]])</f>
        <v>-87</v>
      </c>
      <c r="M211" s="10">
        <f>IF(Tabla5[[#This Row],[Orden Cobrada]]="Cobrada",((Tabla5[[#This Row],[Ganancia Neta]]/Tabla5[[#This Row],[Ganancia Bruta]])*100)/100,-((Tabla5[[#This Row],[Ganancia Neta]]/Tabla5[[#This Row],[Ganancia Bruta]]*100)/100))</f>
        <v>-0.40654205607476634</v>
      </c>
      <c r="N211" s="5" t="str">
        <f>sala!F210</f>
        <v>Mesero_1</v>
      </c>
      <c r="AY211" cm="1">
        <f t="array" ref="AY211">SUM(IF(Cocina!A:A=Tabla5[[#This Row],[Nº Orden]],Cocina!F:F*Cocina!G:G,0))</f>
        <v>214</v>
      </c>
      <c r="AZ211" cm="1">
        <f t="array" ref="AZ211">SUM(IF(Cocina!A:A=Tabla5[[#This Row],[Nº Orden]],Cocina!E:E*Cocina!G:G,0))</f>
        <v>127</v>
      </c>
      <c r="BB211" t="str">
        <f>MID(Tabla4[[#This Row],[Cliente]], SEARCH("_", Tabla4[[#This Row],[Cliente]]) + 1, LEN(Tabla4[[#This Row],[Cliente]]) - SEARCH("_",Tabla4[[#This Row],[Cliente]]))</f>
        <v>74</v>
      </c>
      <c r="BC211" t="str">
        <f>sala!B210</f>
        <v>Cliente_74</v>
      </c>
      <c r="BD211" s="1">
        <f>sala!D210</f>
        <v>45018.063194444447</v>
      </c>
      <c r="BE211" s="1">
        <f>sala!E210</f>
        <v>45018.17083333333</v>
      </c>
      <c r="BF211">
        <f>sala!K210</f>
        <v>209</v>
      </c>
      <c r="BG211">
        <f>sala!I210</f>
        <v>3449</v>
      </c>
      <c r="BH211" cm="1">
        <f t="array" ref="BH211">SUM(IF(Cocina!A:A=Tabla4[[#This Row],[Número de Orden]],Cocina!F:F*Cocina!G:G,0))</f>
        <v>214</v>
      </c>
      <c r="BI211" t="str">
        <f>sala!J210</f>
        <v>Reservada</v>
      </c>
      <c r="BJ211" s="4" t="str">
        <f>IF(Tabla4[[#This Row],[Estado mesa]]="Ocupada","00:15","00:00")</f>
        <v>00:00</v>
      </c>
      <c r="BK211" cm="1">
        <f t="array" ref="BK211">SUM(IF(Cocina!A:A=Tabla4[[#This Row],[Número de Orden]],Cocina!H:H,0))</f>
        <v>171</v>
      </c>
    </row>
    <row r="212" spans="1:63" x14ac:dyDescent="0.3">
      <c r="A212" s="8" t="str">
        <f>MID(Tabla4[[#This Row],[Cliente]], SEARCH("_", Tabla4[[#This Row],[Cliente]]) + 1, LEN(Tabla4[[#This Row],[Cliente]]) - SEARCH("_",Tabla4[[#This Row],[Cliente]]))</f>
        <v>146</v>
      </c>
      <c r="B212">
        <f>sala!K211</f>
        <v>210</v>
      </c>
      <c r="C212">
        <f>Tabla4[[#This Row],[Propina]]+Tabla4[[#This Row],[Precio Cena]]</f>
        <v>1662</v>
      </c>
      <c r="D212" s="3">
        <f>INT(sala!E211)</f>
        <v>45018</v>
      </c>
      <c r="E212" s="4">
        <f>MOD( sala!D211,1)</f>
        <v>0.1131944444423425</v>
      </c>
      <c r="F212" s="4">
        <f>MOD( sala!E211,1)</f>
        <v>0.18680555555329192</v>
      </c>
      <c r="G212" s="4">
        <f>Tabla5[[#This Row],[Hora de Salida]]-Tabla5[[#This Row],[Hora de Llegada]]+Tabla4[[#This Row],[Tiempo Extra]]</f>
        <v>7.3611111110949423E-2</v>
      </c>
      <c r="H212" s="5" t="str">
        <f>TEXT(Tabla4[[#This Row],[Preparación en horas]]/1440, "h:mm")</f>
        <v>2:38</v>
      </c>
      <c r="I212" s="4">
        <f>IF(Tabla5[[#This Row],[Tiempo Permanencia]]-Tabla5[[#This Row],[Tiempo de Preparación ]]&gt;=0,Tabla5[[#This Row],[Tiempo Permanencia]]-Tabla5[[#This Row],[Tiempo de Preparación ]],0)</f>
        <v>0</v>
      </c>
      <c r="J212" s="5" t="str">
        <f>IF(Tabla5[[#This Row],[Tiempo de Degustación]]=0,"No Cobrada","Cobrada")</f>
        <v>No Cobrada</v>
      </c>
      <c r="K212" s="5" cm="1">
        <f t="array" ref="K212">SUM(IF(Tabla5[[#This Row],[Orden Cobrada]]="Cobrada",IF(Cocina!A:A=Tabla5[[#This Row],[Nº Orden]],Cocina!F:F*Cocina!G:G,0),-Tabla6[[#This Row],[Precio Cena]]))</f>
        <v>-195</v>
      </c>
      <c r="L212" s="5">
        <f>IF(Tabla5[[#This Row],[Orden Cobrada]]="Cobrada",Tabla5[[#This Row],[Ganancia Bruta]]-Tabla6[[#This Row],[Coste Cena]],-Tabla6[[#This Row],[Precio Cena]]+Tabla6[[#This Row],[Coste Cena]])</f>
        <v>-75</v>
      </c>
      <c r="M212" s="10">
        <f>IF(Tabla5[[#This Row],[Orden Cobrada]]="Cobrada",((Tabla5[[#This Row],[Ganancia Neta]]/Tabla5[[#This Row],[Ganancia Bruta]])*100)/100,-((Tabla5[[#This Row],[Ganancia Neta]]/Tabla5[[#This Row],[Ganancia Bruta]]*100)/100))</f>
        <v>-0.38461538461538469</v>
      </c>
      <c r="N212" s="5" t="str">
        <f>sala!F211</f>
        <v>Mesero_2</v>
      </c>
      <c r="AY212" cm="1">
        <f t="array" ref="AY212">SUM(IF(Cocina!A:A=Tabla5[[#This Row],[Nº Orden]],Cocina!F:F*Cocina!G:G,0))</f>
        <v>195</v>
      </c>
      <c r="AZ212" cm="1">
        <f t="array" ref="AZ212">SUM(IF(Cocina!A:A=Tabla5[[#This Row],[Nº Orden]],Cocina!E:E*Cocina!G:G,0))</f>
        <v>120</v>
      </c>
      <c r="BB212" t="str">
        <f>MID(Tabla4[[#This Row],[Cliente]], SEARCH("_", Tabla4[[#This Row],[Cliente]]) + 1, LEN(Tabla4[[#This Row],[Cliente]]) - SEARCH("_",Tabla4[[#This Row],[Cliente]]))</f>
        <v>146</v>
      </c>
      <c r="BC212" t="str">
        <f>sala!B211</f>
        <v>Cliente_146</v>
      </c>
      <c r="BD212" s="1">
        <f>sala!D211</f>
        <v>45018.113194444442</v>
      </c>
      <c r="BE212" s="1">
        <f>sala!E211</f>
        <v>45018.186805555553</v>
      </c>
      <c r="BF212">
        <f>sala!K211</f>
        <v>210</v>
      </c>
      <c r="BG212">
        <f>sala!I211</f>
        <v>1467</v>
      </c>
      <c r="BH212" cm="1">
        <f t="array" ref="BH212">SUM(IF(Cocina!A:A=Tabla4[[#This Row],[Número de Orden]],Cocina!F:F*Cocina!G:G,0))</f>
        <v>195</v>
      </c>
      <c r="BI212" t="str">
        <f>sala!J211</f>
        <v>Libre</v>
      </c>
      <c r="BJ212" s="4" t="str">
        <f>IF(Tabla4[[#This Row],[Estado mesa]]="Ocupada","00:15","00:00")</f>
        <v>00:00</v>
      </c>
      <c r="BK212" cm="1">
        <f t="array" ref="BK212">SUM(IF(Cocina!A:A=Tabla4[[#This Row],[Número de Orden]],Cocina!H:H,0))</f>
        <v>158</v>
      </c>
    </row>
    <row r="213" spans="1:63" x14ac:dyDescent="0.3">
      <c r="A213" s="8" t="str">
        <f>MID(Tabla4[[#This Row],[Cliente]], SEARCH("_", Tabla4[[#This Row],[Cliente]]) + 1, LEN(Tabla4[[#This Row],[Cliente]]) - SEARCH("_",Tabla4[[#This Row],[Cliente]]))</f>
        <v>212</v>
      </c>
      <c r="B213">
        <f>sala!K212</f>
        <v>211</v>
      </c>
      <c r="C213">
        <f>Tabla4[[#This Row],[Propina]]+Tabla4[[#This Row],[Precio Cena]]</f>
        <v>1282</v>
      </c>
      <c r="D213" s="3">
        <f>INT(sala!E212)</f>
        <v>45018</v>
      </c>
      <c r="E213" s="4">
        <f>MOD( sala!D212,1)</f>
        <v>0.15277777778101154</v>
      </c>
      <c r="F213" s="4">
        <f>MOD( sala!E212,1)</f>
        <v>0.22638888889196096</v>
      </c>
      <c r="G213" s="4">
        <f>Tabla5[[#This Row],[Hora de Salida]]-Tabla5[[#This Row],[Hora de Llegada]]+Tabla4[[#This Row],[Tiempo Extra]]</f>
        <v>7.3611111110949423E-2</v>
      </c>
      <c r="H213" s="5" t="str">
        <f>TEXT(Tabla4[[#This Row],[Preparación en horas]]/1440, "h:mm")</f>
        <v>2:15</v>
      </c>
      <c r="I213" s="4">
        <f>IF(Tabla5[[#This Row],[Tiempo Permanencia]]-Tabla5[[#This Row],[Tiempo de Preparación ]]&gt;=0,Tabla5[[#This Row],[Tiempo Permanencia]]-Tabla5[[#This Row],[Tiempo de Preparación ]],0)</f>
        <v>0</v>
      </c>
      <c r="J213" s="5" t="str">
        <f>IF(Tabla5[[#This Row],[Tiempo de Degustación]]=0,"No Cobrada","Cobrada")</f>
        <v>No Cobrada</v>
      </c>
      <c r="K213" s="5" cm="1">
        <f t="array" ref="K213">SUM(IF(Tabla5[[#This Row],[Orden Cobrada]]="Cobrada",IF(Cocina!A:A=Tabla5[[#This Row],[Nº Orden]],Cocina!F:F*Cocina!G:G,0),-Tabla6[[#This Row],[Precio Cena]]))</f>
        <v>-169</v>
      </c>
      <c r="L213" s="5">
        <f>IF(Tabla5[[#This Row],[Orden Cobrada]]="Cobrada",Tabla5[[#This Row],[Ganancia Bruta]]-Tabla6[[#This Row],[Coste Cena]],-Tabla6[[#This Row],[Precio Cena]]+Tabla6[[#This Row],[Coste Cena]])</f>
        <v>-68</v>
      </c>
      <c r="M213" s="10">
        <f>IF(Tabla5[[#This Row],[Orden Cobrada]]="Cobrada",((Tabla5[[#This Row],[Ganancia Neta]]/Tabla5[[#This Row],[Ganancia Bruta]])*100)/100,-((Tabla5[[#This Row],[Ganancia Neta]]/Tabla5[[#This Row],[Ganancia Bruta]]*100)/100))</f>
        <v>-0.4023668639053255</v>
      </c>
      <c r="N213" s="5" t="str">
        <f>sala!F212</f>
        <v>Mesero_1</v>
      </c>
      <c r="AY213" cm="1">
        <f t="array" ref="AY213">SUM(IF(Cocina!A:A=Tabla5[[#This Row],[Nº Orden]],Cocina!F:F*Cocina!G:G,0))</f>
        <v>169</v>
      </c>
      <c r="AZ213" cm="1">
        <f t="array" ref="AZ213">SUM(IF(Cocina!A:A=Tabla5[[#This Row],[Nº Orden]],Cocina!E:E*Cocina!G:G,0))</f>
        <v>101</v>
      </c>
      <c r="BB213" t="str">
        <f>MID(Tabla4[[#This Row],[Cliente]], SEARCH("_", Tabla4[[#This Row],[Cliente]]) + 1, LEN(Tabla4[[#This Row],[Cliente]]) - SEARCH("_",Tabla4[[#This Row],[Cliente]]))</f>
        <v>212</v>
      </c>
      <c r="BC213" t="str">
        <f>sala!B212</f>
        <v>Cliente_212</v>
      </c>
      <c r="BD213" s="1">
        <f>sala!D212</f>
        <v>45018.152777777781</v>
      </c>
      <c r="BE213" s="1">
        <f>sala!E212</f>
        <v>45018.226388888892</v>
      </c>
      <c r="BF213">
        <f>sala!K212</f>
        <v>211</v>
      </c>
      <c r="BG213">
        <f>sala!I212</f>
        <v>1113</v>
      </c>
      <c r="BH213" cm="1">
        <f t="array" ref="BH213">SUM(IF(Cocina!A:A=Tabla4[[#This Row],[Número de Orden]],Cocina!F:F*Cocina!G:G,0))</f>
        <v>169</v>
      </c>
      <c r="BI213" t="str">
        <f>sala!J212</f>
        <v>Reservada</v>
      </c>
      <c r="BJ213" s="4" t="str">
        <f>IF(Tabla4[[#This Row],[Estado mesa]]="Ocupada","00:15","00:00")</f>
        <v>00:00</v>
      </c>
      <c r="BK213" cm="1">
        <f t="array" ref="BK213">SUM(IF(Cocina!A:A=Tabla4[[#This Row],[Número de Orden]],Cocina!H:H,0))</f>
        <v>135</v>
      </c>
    </row>
    <row r="214" spans="1:63" x14ac:dyDescent="0.3">
      <c r="A214" s="8" t="str">
        <f>MID(Tabla4[[#This Row],[Cliente]], SEARCH("_", Tabla4[[#This Row],[Cliente]]) + 1, LEN(Tabla4[[#This Row],[Cliente]]) - SEARCH("_",Tabla4[[#This Row],[Cliente]]))</f>
        <v>36</v>
      </c>
      <c r="B214">
        <f>sala!K213</f>
        <v>212</v>
      </c>
      <c r="C214">
        <f>Tabla4[[#This Row],[Propina]]+Tabla4[[#This Row],[Precio Cena]]</f>
        <v>2130</v>
      </c>
      <c r="D214" s="3">
        <f>INT(sala!E213)</f>
        <v>45018</v>
      </c>
      <c r="E214" s="4">
        <f>MOD( sala!D213,1)</f>
        <v>0.10763888889050577</v>
      </c>
      <c r="F214" s="4">
        <f>MOD( sala!E213,1)</f>
        <v>0.15277777778101154</v>
      </c>
      <c r="G214" s="4">
        <f>Tabla5[[#This Row],[Hora de Salida]]-Tabla5[[#This Row],[Hora de Llegada]]+Tabla4[[#This Row],[Tiempo Extra]]</f>
        <v>5.5555555557172433E-2</v>
      </c>
      <c r="H214" s="5" t="str">
        <f>TEXT(Tabla4[[#This Row],[Preparación en horas]]/1440, "h:mm")</f>
        <v>2:44</v>
      </c>
      <c r="I214" s="4">
        <f>IF(Tabla5[[#This Row],[Tiempo Permanencia]]-Tabla5[[#This Row],[Tiempo de Preparación ]]&gt;=0,Tabla5[[#This Row],[Tiempo Permanencia]]-Tabla5[[#This Row],[Tiempo de Preparación ]],0)</f>
        <v>0</v>
      </c>
      <c r="J214" s="5" t="str">
        <f>IF(Tabla5[[#This Row],[Tiempo de Degustación]]=0,"No Cobrada","Cobrada")</f>
        <v>No Cobrada</v>
      </c>
      <c r="K214" s="5" cm="1">
        <f t="array" ref="K214">SUM(IF(Tabla5[[#This Row],[Orden Cobrada]]="Cobrada",IF(Cocina!A:A=Tabla5[[#This Row],[Nº Orden]],Cocina!F:F*Cocina!G:G,0),-Tabla6[[#This Row],[Precio Cena]]))</f>
        <v>-245</v>
      </c>
      <c r="L214" s="5">
        <f>IF(Tabla5[[#This Row],[Orden Cobrada]]="Cobrada",Tabla5[[#This Row],[Ganancia Bruta]]-Tabla6[[#This Row],[Coste Cena]],-Tabla6[[#This Row],[Precio Cena]]+Tabla6[[#This Row],[Coste Cena]])</f>
        <v>-101</v>
      </c>
      <c r="M214" s="10">
        <f>IF(Tabla5[[#This Row],[Orden Cobrada]]="Cobrada",((Tabla5[[#This Row],[Ganancia Neta]]/Tabla5[[#This Row],[Ganancia Bruta]])*100)/100,-((Tabla5[[#This Row],[Ganancia Neta]]/Tabla5[[#This Row],[Ganancia Bruta]]*100)/100))</f>
        <v>-0.41224489795918368</v>
      </c>
      <c r="N214" s="5" t="str">
        <f>sala!F213</f>
        <v>Mesero_4</v>
      </c>
      <c r="AY214" cm="1">
        <f t="array" ref="AY214">SUM(IF(Cocina!A:A=Tabla5[[#This Row],[Nº Orden]],Cocina!F:F*Cocina!G:G,0))</f>
        <v>245</v>
      </c>
      <c r="AZ214" cm="1">
        <f t="array" ref="AZ214">SUM(IF(Cocina!A:A=Tabla5[[#This Row],[Nº Orden]],Cocina!E:E*Cocina!G:G,0))</f>
        <v>144</v>
      </c>
      <c r="BB214" t="str">
        <f>MID(Tabla4[[#This Row],[Cliente]], SEARCH("_", Tabla4[[#This Row],[Cliente]]) + 1, LEN(Tabla4[[#This Row],[Cliente]]) - SEARCH("_",Tabla4[[#This Row],[Cliente]]))</f>
        <v>36</v>
      </c>
      <c r="BC214" t="str">
        <f>sala!B213</f>
        <v>Cliente_36</v>
      </c>
      <c r="BD214" s="1">
        <f>sala!D213</f>
        <v>45018.107638888891</v>
      </c>
      <c r="BE214" s="1">
        <f>sala!E213</f>
        <v>45018.152777777781</v>
      </c>
      <c r="BF214">
        <f>sala!K213</f>
        <v>212</v>
      </c>
      <c r="BG214">
        <f>sala!I213</f>
        <v>1885</v>
      </c>
      <c r="BH214" cm="1">
        <f t="array" ref="BH214">SUM(IF(Cocina!A:A=Tabla4[[#This Row],[Número de Orden]],Cocina!F:F*Cocina!G:G,0))</f>
        <v>245</v>
      </c>
      <c r="BI214" t="str">
        <f>sala!J213</f>
        <v>Ocupada</v>
      </c>
      <c r="BJ214" s="4" t="str">
        <f>IF(Tabla4[[#This Row],[Estado mesa]]="Ocupada","00:15","00:00")</f>
        <v>00:15</v>
      </c>
      <c r="BK214" cm="1">
        <f t="array" ref="BK214">SUM(IF(Cocina!A:A=Tabla4[[#This Row],[Número de Orden]],Cocina!H:H,0))</f>
        <v>164</v>
      </c>
    </row>
    <row r="215" spans="1:63" x14ac:dyDescent="0.3">
      <c r="A215" s="8" t="str">
        <f>MID(Tabla4[[#This Row],[Cliente]], SEARCH("_", Tabla4[[#This Row],[Cliente]]) + 1, LEN(Tabla4[[#This Row],[Cliente]]) - SEARCH("_",Tabla4[[#This Row],[Cliente]]))</f>
        <v>3</v>
      </c>
      <c r="B215">
        <f>sala!K214</f>
        <v>213</v>
      </c>
      <c r="C215">
        <f>Tabla4[[#This Row],[Propina]]+Tabla4[[#This Row],[Precio Cena]]</f>
        <v>368</v>
      </c>
      <c r="D215" s="3">
        <f>INT(sala!E214)</f>
        <v>45018</v>
      </c>
      <c r="E215" s="4">
        <f>MOD( sala!D214,1)</f>
        <v>7.3611111110949423E-2</v>
      </c>
      <c r="F215" s="4">
        <f>MOD( sala!E214,1)</f>
        <v>0.2069444444423425</v>
      </c>
      <c r="G215" s="4">
        <f>Tabla5[[#This Row],[Hora de Salida]]-Tabla5[[#This Row],[Hora de Llegada]]+Tabla4[[#This Row],[Tiempo Extra]]</f>
        <v>0.13333333333139308</v>
      </c>
      <c r="H215" s="5" t="str">
        <f>TEXT(Tabla4[[#This Row],[Preparación en horas]]/1440, "h:mm")</f>
        <v>1:40</v>
      </c>
      <c r="I215" s="4">
        <f>IF(Tabla5[[#This Row],[Tiempo Permanencia]]-Tabla5[[#This Row],[Tiempo de Preparación ]]&gt;=0,Tabla5[[#This Row],[Tiempo Permanencia]]-Tabla5[[#This Row],[Tiempo de Preparación ]],0)</f>
        <v>6.388888888694863E-2</v>
      </c>
      <c r="J215" s="5" t="str">
        <f>IF(Tabla5[[#This Row],[Tiempo de Degustación]]=0,"No Cobrada","Cobrada")</f>
        <v>Cobrada</v>
      </c>
      <c r="K215" s="5" cm="1">
        <f t="array" ref="K215">SUM(IF(Tabla5[[#This Row],[Orden Cobrada]]="Cobrada",IF(Cocina!A:A=Tabla5[[#This Row],[Nº Orden]],Cocina!F:F*Cocina!G:G,0),-Tabla6[[#This Row],[Precio Cena]]))</f>
        <v>87</v>
      </c>
      <c r="L215" s="5">
        <f>IF(Tabla5[[#This Row],[Orden Cobrada]]="Cobrada",Tabla5[[#This Row],[Ganancia Bruta]]-Tabla6[[#This Row],[Coste Cena]],-Tabla6[[#This Row],[Precio Cena]]+Tabla6[[#This Row],[Coste Cena]])</f>
        <v>35</v>
      </c>
      <c r="M215" s="10">
        <f>IF(Tabla5[[#This Row],[Orden Cobrada]]="Cobrada",((Tabla5[[#This Row],[Ganancia Neta]]/Tabla5[[#This Row],[Ganancia Bruta]])*100)/100,-((Tabla5[[#This Row],[Ganancia Neta]]/Tabla5[[#This Row],[Ganancia Bruta]]*100)/100))</f>
        <v>0.40229885057471265</v>
      </c>
      <c r="N215" s="5" t="str">
        <f>sala!F214</f>
        <v>Mesero_5</v>
      </c>
      <c r="AY215" cm="1">
        <f t="array" ref="AY215">SUM(IF(Cocina!A:A=Tabla5[[#This Row],[Nº Orden]],Cocina!F:F*Cocina!G:G,0))</f>
        <v>87</v>
      </c>
      <c r="AZ215" cm="1">
        <f t="array" ref="AZ215">SUM(IF(Cocina!A:A=Tabla5[[#This Row],[Nº Orden]],Cocina!E:E*Cocina!G:G,0))</f>
        <v>52</v>
      </c>
      <c r="BB215" t="str">
        <f>MID(Tabla4[[#This Row],[Cliente]], SEARCH("_", Tabla4[[#This Row],[Cliente]]) + 1, LEN(Tabla4[[#This Row],[Cliente]]) - SEARCH("_",Tabla4[[#This Row],[Cliente]]))</f>
        <v>3</v>
      </c>
      <c r="BC215" t="str">
        <f>sala!B214</f>
        <v>Cliente_3</v>
      </c>
      <c r="BD215" s="1">
        <f>sala!D214</f>
        <v>45018.073611111111</v>
      </c>
      <c r="BE215" s="1">
        <f>sala!E214</f>
        <v>45018.206944444442</v>
      </c>
      <c r="BF215">
        <f>sala!K214</f>
        <v>213</v>
      </c>
      <c r="BG215">
        <f>sala!I214</f>
        <v>281</v>
      </c>
      <c r="BH215" cm="1">
        <f t="array" ref="BH215">SUM(IF(Cocina!A:A=Tabla4[[#This Row],[Número de Orden]],Cocina!F:F*Cocina!G:G,0))</f>
        <v>87</v>
      </c>
      <c r="BI215" t="str">
        <f>sala!J214</f>
        <v>Libre</v>
      </c>
      <c r="BJ215" s="4" t="str">
        <f>IF(Tabla4[[#This Row],[Estado mesa]]="Ocupada","00:15","00:00")</f>
        <v>00:00</v>
      </c>
      <c r="BK215" cm="1">
        <f t="array" ref="BK215">SUM(IF(Cocina!A:A=Tabla4[[#This Row],[Número de Orden]],Cocina!H:H,0))</f>
        <v>100</v>
      </c>
    </row>
    <row r="216" spans="1:63" x14ac:dyDescent="0.3">
      <c r="A216" s="8" t="str">
        <f>MID(Tabla4[[#This Row],[Cliente]], SEARCH("_", Tabla4[[#This Row],[Cliente]]) + 1, LEN(Tabla4[[#This Row],[Cliente]]) - SEARCH("_",Tabla4[[#This Row],[Cliente]]))</f>
        <v>176</v>
      </c>
      <c r="B216">
        <f>sala!K215</f>
        <v>214</v>
      </c>
      <c r="C216">
        <f>Tabla4[[#This Row],[Propina]]+Tabla4[[#This Row],[Precio Cena]]</f>
        <v>3567</v>
      </c>
      <c r="D216" s="3">
        <f>INT(sala!E215)</f>
        <v>45018</v>
      </c>
      <c r="E216" s="4">
        <f>MOD( sala!D215,1)</f>
        <v>0.13749999999708962</v>
      </c>
      <c r="F216" s="4">
        <f>MOD( sala!E215,1)</f>
        <v>0.21458333333430346</v>
      </c>
      <c r="G216" s="4">
        <f>Tabla5[[#This Row],[Hora de Salida]]-Tabla5[[#This Row],[Hora de Llegada]]+Tabla4[[#This Row],[Tiempo Extra]]</f>
        <v>8.7500000003880515E-2</v>
      </c>
      <c r="H216" s="5" t="str">
        <f>TEXT(Tabla4[[#This Row],[Preparación en horas]]/1440, "h:mm")</f>
        <v>0:38</v>
      </c>
      <c r="I216" s="4">
        <f>IF(Tabla5[[#This Row],[Tiempo Permanencia]]-Tabla5[[#This Row],[Tiempo de Preparación ]]&gt;=0,Tabla5[[#This Row],[Tiempo Permanencia]]-Tabla5[[#This Row],[Tiempo de Preparación ]],0)</f>
        <v>6.1111111114991623E-2</v>
      </c>
      <c r="J216" s="5" t="str">
        <f>IF(Tabla5[[#This Row],[Tiempo de Degustación]]=0,"No Cobrada","Cobrada")</f>
        <v>Cobrada</v>
      </c>
      <c r="K216" s="5" cm="1">
        <f t="array" ref="K216">SUM(IF(Tabla5[[#This Row],[Orden Cobrada]]="Cobrada",IF(Cocina!A:A=Tabla5[[#This Row],[Nº Orden]],Cocina!F:F*Cocina!G:G,0),-Tabla6[[#This Row],[Precio Cena]]))</f>
        <v>228</v>
      </c>
      <c r="L216" s="5">
        <f>IF(Tabla5[[#This Row],[Orden Cobrada]]="Cobrada",Tabla5[[#This Row],[Ganancia Bruta]]-Tabla6[[#This Row],[Coste Cena]],-Tabla6[[#This Row],[Precio Cena]]+Tabla6[[#This Row],[Coste Cena]])</f>
        <v>89</v>
      </c>
      <c r="M216" s="10">
        <f>IF(Tabla5[[#This Row],[Orden Cobrada]]="Cobrada",((Tabla5[[#This Row],[Ganancia Neta]]/Tabla5[[#This Row],[Ganancia Bruta]])*100)/100,-((Tabla5[[#This Row],[Ganancia Neta]]/Tabla5[[#This Row],[Ganancia Bruta]]*100)/100))</f>
        <v>0.39035087719298245</v>
      </c>
      <c r="N216" s="5" t="str">
        <f>sala!F215</f>
        <v>Mesero_1</v>
      </c>
      <c r="AY216" cm="1">
        <f t="array" ref="AY216">SUM(IF(Cocina!A:A=Tabla5[[#This Row],[Nº Orden]],Cocina!F:F*Cocina!G:G,0))</f>
        <v>228</v>
      </c>
      <c r="AZ216" cm="1">
        <f t="array" ref="AZ216">SUM(IF(Cocina!A:A=Tabla5[[#This Row],[Nº Orden]],Cocina!E:E*Cocina!G:G,0))</f>
        <v>139</v>
      </c>
      <c r="BB216" t="str">
        <f>MID(Tabla4[[#This Row],[Cliente]], SEARCH("_", Tabla4[[#This Row],[Cliente]]) + 1, LEN(Tabla4[[#This Row],[Cliente]]) - SEARCH("_",Tabla4[[#This Row],[Cliente]]))</f>
        <v>176</v>
      </c>
      <c r="BC216" t="str">
        <f>sala!B215</f>
        <v>Cliente_176</v>
      </c>
      <c r="BD216" s="1">
        <f>sala!D215</f>
        <v>45018.137499999997</v>
      </c>
      <c r="BE216" s="1">
        <f>sala!E215</f>
        <v>45018.214583333334</v>
      </c>
      <c r="BF216">
        <f>sala!K215</f>
        <v>214</v>
      </c>
      <c r="BG216">
        <f>sala!I215</f>
        <v>3339</v>
      </c>
      <c r="BH216" cm="1">
        <f t="array" ref="BH216">SUM(IF(Cocina!A:A=Tabla4[[#This Row],[Número de Orden]],Cocina!F:F*Cocina!G:G,0))</f>
        <v>228</v>
      </c>
      <c r="BI216" t="str">
        <f>sala!J215</f>
        <v>Ocupada</v>
      </c>
      <c r="BJ216" s="4" t="str">
        <f>IF(Tabla4[[#This Row],[Estado mesa]]="Ocupada","00:15","00:00")</f>
        <v>00:15</v>
      </c>
      <c r="BK216" cm="1">
        <f t="array" ref="BK216">SUM(IF(Cocina!A:A=Tabla4[[#This Row],[Número de Orden]],Cocina!H:H,0))</f>
        <v>38</v>
      </c>
    </row>
    <row r="217" spans="1:63" x14ac:dyDescent="0.3">
      <c r="A217" s="8" t="str">
        <f>MID(Tabla4[[#This Row],[Cliente]], SEARCH("_", Tabla4[[#This Row],[Cliente]]) + 1, LEN(Tabla4[[#This Row],[Cliente]]) - SEARCH("_",Tabla4[[#This Row],[Cliente]]))</f>
        <v>551</v>
      </c>
      <c r="B217">
        <f>sala!K216</f>
        <v>215</v>
      </c>
      <c r="C217">
        <f>Tabla4[[#This Row],[Propina]]+Tabla4[[#This Row],[Precio Cena]]</f>
        <v>3722</v>
      </c>
      <c r="D217" s="3">
        <f>INT(sala!E216)</f>
        <v>45018</v>
      </c>
      <c r="E217" s="4">
        <f>MOD( sala!D216,1)</f>
        <v>0.16111111111240461</v>
      </c>
      <c r="F217" s="4">
        <f>MOD( sala!E216,1)</f>
        <v>0.26736111110949423</v>
      </c>
      <c r="G217" s="4">
        <f>Tabla5[[#This Row],[Hora de Salida]]-Tabla5[[#This Row],[Hora de Llegada]]+Tabla4[[#This Row],[Tiempo Extra]]</f>
        <v>0.11666666666375629</v>
      </c>
      <c r="H217" s="5" t="str">
        <f>TEXT(Tabla4[[#This Row],[Preparación en horas]]/1440, "h:mm")</f>
        <v>0:46</v>
      </c>
      <c r="I217" s="4">
        <f>IF(Tabla5[[#This Row],[Tiempo Permanencia]]-Tabla5[[#This Row],[Tiempo de Preparación ]]&gt;=0,Tabla5[[#This Row],[Tiempo Permanencia]]-Tabla5[[#This Row],[Tiempo de Preparación ]],0)</f>
        <v>8.4722222219311846E-2</v>
      </c>
      <c r="J217" s="5" t="str">
        <f>IF(Tabla5[[#This Row],[Tiempo de Degustación]]=0,"No Cobrada","Cobrada")</f>
        <v>Cobrada</v>
      </c>
      <c r="K217" s="5" cm="1">
        <f t="array" ref="K217">SUM(IF(Tabla5[[#This Row],[Orden Cobrada]]="Cobrada",IF(Cocina!A:A=Tabla5[[#This Row],[Nº Orden]],Cocina!F:F*Cocina!G:G,0),-Tabla6[[#This Row],[Precio Cena]]))</f>
        <v>158</v>
      </c>
      <c r="L217" s="5">
        <f>IF(Tabla5[[#This Row],[Orden Cobrada]]="Cobrada",Tabla5[[#This Row],[Ganancia Bruta]]-Tabla6[[#This Row],[Coste Cena]],-Tabla6[[#This Row],[Precio Cena]]+Tabla6[[#This Row],[Coste Cena]])</f>
        <v>64</v>
      </c>
      <c r="M217" s="10">
        <f>IF(Tabla5[[#This Row],[Orden Cobrada]]="Cobrada",((Tabla5[[#This Row],[Ganancia Neta]]/Tabla5[[#This Row],[Ganancia Bruta]])*100)/100,-((Tabla5[[#This Row],[Ganancia Neta]]/Tabla5[[#This Row],[Ganancia Bruta]]*100)/100))</f>
        <v>0.40506329113924056</v>
      </c>
      <c r="N217" s="5" t="str">
        <f>sala!F216</f>
        <v>Mesero_3</v>
      </c>
      <c r="AY217" cm="1">
        <f t="array" ref="AY217">SUM(IF(Cocina!A:A=Tabla5[[#This Row],[Nº Orden]],Cocina!F:F*Cocina!G:G,0))</f>
        <v>158</v>
      </c>
      <c r="AZ217" cm="1">
        <f t="array" ref="AZ217">SUM(IF(Cocina!A:A=Tabla5[[#This Row],[Nº Orden]],Cocina!E:E*Cocina!G:G,0))</f>
        <v>94</v>
      </c>
      <c r="BB217" t="str">
        <f>MID(Tabla4[[#This Row],[Cliente]], SEARCH("_", Tabla4[[#This Row],[Cliente]]) + 1, LEN(Tabla4[[#This Row],[Cliente]]) - SEARCH("_",Tabla4[[#This Row],[Cliente]]))</f>
        <v>551</v>
      </c>
      <c r="BC217" t="str">
        <f>sala!B216</f>
        <v>Cliente_551</v>
      </c>
      <c r="BD217" s="1">
        <f>sala!D216</f>
        <v>45018.161111111112</v>
      </c>
      <c r="BE217" s="1">
        <f>sala!E216</f>
        <v>45018.267361111109</v>
      </c>
      <c r="BF217">
        <f>sala!K216</f>
        <v>215</v>
      </c>
      <c r="BG217">
        <f>sala!I216</f>
        <v>3564</v>
      </c>
      <c r="BH217" cm="1">
        <f t="array" ref="BH217">SUM(IF(Cocina!A:A=Tabla4[[#This Row],[Número de Orden]],Cocina!F:F*Cocina!G:G,0))</f>
        <v>158</v>
      </c>
      <c r="BI217" t="str">
        <f>sala!J216</f>
        <v>Ocupada</v>
      </c>
      <c r="BJ217" s="4" t="str">
        <f>IF(Tabla4[[#This Row],[Estado mesa]]="Ocupada","00:15","00:00")</f>
        <v>00:15</v>
      </c>
      <c r="BK217" cm="1">
        <f t="array" ref="BK217">SUM(IF(Cocina!A:A=Tabla4[[#This Row],[Número de Orden]],Cocina!H:H,0))</f>
        <v>46</v>
      </c>
    </row>
    <row r="218" spans="1:63" x14ac:dyDescent="0.3">
      <c r="A218" s="8" t="str">
        <f>MID(Tabla4[[#This Row],[Cliente]], SEARCH("_", Tabla4[[#This Row],[Cliente]]) + 1, LEN(Tabla4[[#This Row],[Cliente]]) - SEARCH("_",Tabla4[[#This Row],[Cliente]]))</f>
        <v>240</v>
      </c>
      <c r="B218">
        <f>sala!K217</f>
        <v>216</v>
      </c>
      <c r="C218">
        <f>Tabla4[[#This Row],[Propina]]+Tabla4[[#This Row],[Precio Cena]]</f>
        <v>3711</v>
      </c>
      <c r="D218" s="3">
        <f>INT(sala!E217)</f>
        <v>45018</v>
      </c>
      <c r="E218" s="4">
        <f>MOD( sala!D217,1)</f>
        <v>7.3611111110949423E-2</v>
      </c>
      <c r="F218" s="4">
        <f>MOD( sala!E217,1)</f>
        <v>0.23333333332993789</v>
      </c>
      <c r="G218" s="4">
        <f>Tabla5[[#This Row],[Hora de Salida]]-Tabla5[[#This Row],[Hora de Llegada]]+Tabla4[[#This Row],[Tiempo Extra]]</f>
        <v>0.15972222221898846</v>
      </c>
      <c r="H218" s="5" t="str">
        <f>TEXT(Tabla4[[#This Row],[Preparación en horas]]/1440, "h:mm")</f>
        <v>2:00</v>
      </c>
      <c r="I218" s="4">
        <f>IF(Tabla5[[#This Row],[Tiempo Permanencia]]-Tabla5[[#This Row],[Tiempo de Preparación ]]&gt;=0,Tabla5[[#This Row],[Tiempo Permanencia]]-Tabla5[[#This Row],[Tiempo de Preparación ]],0)</f>
        <v>7.6388888885655135E-2</v>
      </c>
      <c r="J218" s="5" t="str">
        <f>IF(Tabla5[[#This Row],[Tiempo de Degustación]]=0,"No Cobrada","Cobrada")</f>
        <v>Cobrada</v>
      </c>
      <c r="K218" s="5" cm="1">
        <f t="array" ref="K218">SUM(IF(Tabla5[[#This Row],[Orden Cobrada]]="Cobrada",IF(Cocina!A:A=Tabla5[[#This Row],[Nº Orden]],Cocina!F:F*Cocina!G:G,0),-Tabla6[[#This Row],[Precio Cena]]))</f>
        <v>142</v>
      </c>
      <c r="L218" s="5">
        <f>IF(Tabla5[[#This Row],[Orden Cobrada]]="Cobrada",Tabla5[[#This Row],[Ganancia Bruta]]-Tabla6[[#This Row],[Coste Cena]],-Tabla6[[#This Row],[Precio Cena]]+Tabla6[[#This Row],[Coste Cena]])</f>
        <v>56</v>
      </c>
      <c r="M218" s="10">
        <f>IF(Tabla5[[#This Row],[Orden Cobrada]]="Cobrada",((Tabla5[[#This Row],[Ganancia Neta]]/Tabla5[[#This Row],[Ganancia Bruta]])*100)/100,-((Tabla5[[#This Row],[Ganancia Neta]]/Tabla5[[#This Row],[Ganancia Bruta]]*100)/100))</f>
        <v>0.39436619718309857</v>
      </c>
      <c r="N218" s="5" t="str">
        <f>sala!F217</f>
        <v>Mesero_2</v>
      </c>
      <c r="AY218" cm="1">
        <f t="array" ref="AY218">SUM(IF(Cocina!A:A=Tabla5[[#This Row],[Nº Orden]],Cocina!F:F*Cocina!G:G,0))</f>
        <v>142</v>
      </c>
      <c r="AZ218" cm="1">
        <f t="array" ref="AZ218">SUM(IF(Cocina!A:A=Tabla5[[#This Row],[Nº Orden]],Cocina!E:E*Cocina!G:G,0))</f>
        <v>86</v>
      </c>
      <c r="BB218" t="str">
        <f>MID(Tabla4[[#This Row],[Cliente]], SEARCH("_", Tabla4[[#This Row],[Cliente]]) + 1, LEN(Tabla4[[#This Row],[Cliente]]) - SEARCH("_",Tabla4[[#This Row],[Cliente]]))</f>
        <v>240</v>
      </c>
      <c r="BC218" t="str">
        <f>sala!B217</f>
        <v>Cliente_240</v>
      </c>
      <c r="BD218" s="1">
        <f>sala!D217</f>
        <v>45018.073611111111</v>
      </c>
      <c r="BE218" s="1">
        <f>sala!E217</f>
        <v>45018.23333333333</v>
      </c>
      <c r="BF218">
        <f>sala!K217</f>
        <v>216</v>
      </c>
      <c r="BG218">
        <f>sala!I217</f>
        <v>3569</v>
      </c>
      <c r="BH218" cm="1">
        <f t="array" ref="BH218">SUM(IF(Cocina!A:A=Tabla4[[#This Row],[Número de Orden]],Cocina!F:F*Cocina!G:G,0))</f>
        <v>142</v>
      </c>
      <c r="BI218" t="str">
        <f>sala!J217</f>
        <v>Libre</v>
      </c>
      <c r="BJ218" s="4" t="str">
        <f>IF(Tabla4[[#This Row],[Estado mesa]]="Ocupada","00:15","00:00")</f>
        <v>00:00</v>
      </c>
      <c r="BK218" cm="1">
        <f t="array" ref="BK218">SUM(IF(Cocina!A:A=Tabla4[[#This Row],[Número de Orden]],Cocina!H:H,0))</f>
        <v>120</v>
      </c>
    </row>
    <row r="219" spans="1:63" x14ac:dyDescent="0.3">
      <c r="A219" s="8" t="str">
        <f>MID(Tabla4[[#This Row],[Cliente]], SEARCH("_", Tabla4[[#This Row],[Cliente]]) + 1, LEN(Tabla4[[#This Row],[Cliente]]) - SEARCH("_",Tabla4[[#This Row],[Cliente]]))</f>
        <v>124</v>
      </c>
      <c r="B219">
        <f>sala!K218</f>
        <v>217</v>
      </c>
      <c r="C219">
        <f>Tabla4[[#This Row],[Propina]]+Tabla4[[#This Row],[Precio Cena]]</f>
        <v>3213</v>
      </c>
      <c r="D219" s="3">
        <f>INT(sala!E218)</f>
        <v>45018</v>
      </c>
      <c r="E219" s="4">
        <f>MOD( sala!D218,1)</f>
        <v>3.7499999998544808E-2</v>
      </c>
      <c r="F219" s="4">
        <f>MOD( sala!E218,1)</f>
        <v>0.19791666666424135</v>
      </c>
      <c r="G219" s="4">
        <f>Tabla5[[#This Row],[Hora de Salida]]-Tabla5[[#This Row],[Hora de Llegada]]+Tabla4[[#This Row],[Tiempo Extra]]</f>
        <v>0.1708333333323632</v>
      </c>
      <c r="H219" s="5" t="str">
        <f>TEXT(Tabla4[[#This Row],[Preparación en horas]]/1440, "h:mm")</f>
        <v>0:13</v>
      </c>
      <c r="I219" s="4">
        <f>IF(Tabla5[[#This Row],[Tiempo Permanencia]]-Tabla5[[#This Row],[Tiempo de Preparación ]]&gt;=0,Tabla5[[#This Row],[Tiempo Permanencia]]-Tabla5[[#This Row],[Tiempo de Preparación ]],0)</f>
        <v>0.16180555555458542</v>
      </c>
      <c r="J219" s="5" t="str">
        <f>IF(Tabla5[[#This Row],[Tiempo de Degustación]]=0,"No Cobrada","Cobrada")</f>
        <v>Cobrada</v>
      </c>
      <c r="K219" s="5" cm="1">
        <f t="array" ref="K219">SUM(IF(Tabla5[[#This Row],[Orden Cobrada]]="Cobrada",IF(Cocina!A:A=Tabla5[[#This Row],[Nº Orden]],Cocina!F:F*Cocina!G:G,0),-Tabla6[[#This Row],[Precio Cena]]))</f>
        <v>96</v>
      </c>
      <c r="L219" s="5">
        <f>IF(Tabla5[[#This Row],[Orden Cobrada]]="Cobrada",Tabla5[[#This Row],[Ganancia Bruta]]-Tabla6[[#This Row],[Coste Cena]],-Tabla6[[#This Row],[Precio Cena]]+Tabla6[[#This Row],[Coste Cena]])</f>
        <v>39</v>
      </c>
      <c r="M219" s="10">
        <f>IF(Tabla5[[#This Row],[Orden Cobrada]]="Cobrada",((Tabla5[[#This Row],[Ganancia Neta]]/Tabla5[[#This Row],[Ganancia Bruta]])*100)/100,-((Tabla5[[#This Row],[Ganancia Neta]]/Tabla5[[#This Row],[Ganancia Bruta]]*100)/100))</f>
        <v>0.40625</v>
      </c>
      <c r="N219" s="5" t="str">
        <f>sala!F218</f>
        <v>Mesero_3</v>
      </c>
      <c r="AY219" cm="1">
        <f t="array" ref="AY219">SUM(IF(Cocina!A:A=Tabla5[[#This Row],[Nº Orden]],Cocina!F:F*Cocina!G:G,0))</f>
        <v>96</v>
      </c>
      <c r="AZ219" cm="1">
        <f t="array" ref="AZ219">SUM(IF(Cocina!A:A=Tabla5[[#This Row],[Nº Orden]],Cocina!E:E*Cocina!G:G,0))</f>
        <v>57</v>
      </c>
      <c r="BB219" t="str">
        <f>MID(Tabla4[[#This Row],[Cliente]], SEARCH("_", Tabla4[[#This Row],[Cliente]]) + 1, LEN(Tabla4[[#This Row],[Cliente]]) - SEARCH("_",Tabla4[[#This Row],[Cliente]]))</f>
        <v>124</v>
      </c>
      <c r="BC219" t="str">
        <f>sala!B218</f>
        <v>Cliente_124</v>
      </c>
      <c r="BD219" s="1">
        <f>sala!D218</f>
        <v>45018.037499999999</v>
      </c>
      <c r="BE219" s="1">
        <f>sala!E218</f>
        <v>45018.197916666664</v>
      </c>
      <c r="BF219">
        <f>sala!K218</f>
        <v>217</v>
      </c>
      <c r="BG219">
        <f>sala!I218</f>
        <v>3117</v>
      </c>
      <c r="BH219" cm="1">
        <f t="array" ref="BH219">SUM(IF(Cocina!A:A=Tabla4[[#This Row],[Número de Orden]],Cocina!F:F*Cocina!G:G,0))</f>
        <v>96</v>
      </c>
      <c r="BI219" t="str">
        <f>sala!J218</f>
        <v>Ocupada</v>
      </c>
      <c r="BJ219" s="4" t="str">
        <f>IF(Tabla4[[#This Row],[Estado mesa]]="Ocupada","00:15","00:00")</f>
        <v>00:15</v>
      </c>
      <c r="BK219" cm="1">
        <f t="array" ref="BK219">SUM(IF(Cocina!A:A=Tabla4[[#This Row],[Número de Orden]],Cocina!H:H,0))</f>
        <v>13</v>
      </c>
    </row>
    <row r="220" spans="1:63" x14ac:dyDescent="0.3">
      <c r="A220" s="8" t="str">
        <f>MID(Tabla4[[#This Row],[Cliente]], SEARCH("_", Tabla4[[#This Row],[Cliente]]) + 1, LEN(Tabla4[[#This Row],[Cliente]]) - SEARCH("_",Tabla4[[#This Row],[Cliente]]))</f>
        <v>759</v>
      </c>
      <c r="B220">
        <f>sala!K219</f>
        <v>218</v>
      </c>
      <c r="C220">
        <f>Tabla4[[#This Row],[Propina]]+Tabla4[[#This Row],[Precio Cena]]</f>
        <v>2518</v>
      </c>
      <c r="D220" s="3">
        <f>INT(sala!E219)</f>
        <v>45018</v>
      </c>
      <c r="E220" s="4">
        <f>MOD( sala!D219,1)</f>
        <v>1.8750000002910383E-2</v>
      </c>
      <c r="F220" s="4">
        <f>MOD( sala!E219,1)</f>
        <v>0.15347222222044365</v>
      </c>
      <c r="G220" s="4">
        <f>Tabla5[[#This Row],[Hora de Salida]]-Tabla5[[#This Row],[Hora de Llegada]]+Tabla4[[#This Row],[Tiempo Extra]]</f>
        <v>0.14513888888419993</v>
      </c>
      <c r="H220" s="5" t="str">
        <f>TEXT(Tabla4[[#This Row],[Preparación en horas]]/1440, "h:mm")</f>
        <v>0:46</v>
      </c>
      <c r="I220" s="4">
        <f>IF(Tabla5[[#This Row],[Tiempo Permanencia]]-Tabla5[[#This Row],[Tiempo de Preparación ]]&gt;=0,Tabla5[[#This Row],[Tiempo Permanencia]]-Tabla5[[#This Row],[Tiempo de Preparación ]],0)</f>
        <v>0.11319444443975549</v>
      </c>
      <c r="J220" s="5" t="str">
        <f>IF(Tabla5[[#This Row],[Tiempo de Degustación]]=0,"No Cobrada","Cobrada")</f>
        <v>Cobrada</v>
      </c>
      <c r="K220" s="5" cm="1">
        <f t="array" ref="K220">SUM(IF(Tabla5[[#This Row],[Orden Cobrada]]="Cobrada",IF(Cocina!A:A=Tabla5[[#This Row],[Nº Orden]],Cocina!F:F*Cocina!G:G,0),-Tabla6[[#This Row],[Precio Cena]]))</f>
        <v>184</v>
      </c>
      <c r="L220" s="5">
        <f>IF(Tabla5[[#This Row],[Orden Cobrada]]="Cobrada",Tabla5[[#This Row],[Ganancia Bruta]]-Tabla6[[#This Row],[Coste Cena]],-Tabla6[[#This Row],[Precio Cena]]+Tabla6[[#This Row],[Coste Cena]])</f>
        <v>75</v>
      </c>
      <c r="M220" s="10">
        <f>IF(Tabla5[[#This Row],[Orden Cobrada]]="Cobrada",((Tabla5[[#This Row],[Ganancia Neta]]/Tabla5[[#This Row],[Ganancia Bruta]])*100)/100,-((Tabla5[[#This Row],[Ganancia Neta]]/Tabla5[[#This Row],[Ganancia Bruta]]*100)/100))</f>
        <v>0.40760869565217389</v>
      </c>
      <c r="N220" s="5" t="str">
        <f>sala!F219</f>
        <v>Mesero_5</v>
      </c>
      <c r="AY220" cm="1">
        <f t="array" ref="AY220">SUM(IF(Cocina!A:A=Tabla5[[#This Row],[Nº Orden]],Cocina!F:F*Cocina!G:G,0))</f>
        <v>184</v>
      </c>
      <c r="AZ220" cm="1">
        <f t="array" ref="AZ220">SUM(IF(Cocina!A:A=Tabla5[[#This Row],[Nº Orden]],Cocina!E:E*Cocina!G:G,0))</f>
        <v>109</v>
      </c>
      <c r="BB220" t="str">
        <f>MID(Tabla4[[#This Row],[Cliente]], SEARCH("_", Tabla4[[#This Row],[Cliente]]) + 1, LEN(Tabla4[[#This Row],[Cliente]]) - SEARCH("_",Tabla4[[#This Row],[Cliente]]))</f>
        <v>759</v>
      </c>
      <c r="BC220" t="str">
        <f>sala!B219</f>
        <v>Cliente_759</v>
      </c>
      <c r="BD220" s="1">
        <f>sala!D219</f>
        <v>45018.018750000003</v>
      </c>
      <c r="BE220" s="1">
        <f>sala!E219</f>
        <v>45018.15347222222</v>
      </c>
      <c r="BF220">
        <f>sala!K219</f>
        <v>218</v>
      </c>
      <c r="BG220">
        <f>sala!I219</f>
        <v>2334</v>
      </c>
      <c r="BH220" cm="1">
        <f t="array" ref="BH220">SUM(IF(Cocina!A:A=Tabla4[[#This Row],[Número de Orden]],Cocina!F:F*Cocina!G:G,0))</f>
        <v>184</v>
      </c>
      <c r="BI220" t="str">
        <f>sala!J219</f>
        <v>Ocupada</v>
      </c>
      <c r="BJ220" s="4" t="str">
        <f>IF(Tabla4[[#This Row],[Estado mesa]]="Ocupada","00:15","00:00")</f>
        <v>00:15</v>
      </c>
      <c r="BK220" cm="1">
        <f t="array" ref="BK220">SUM(IF(Cocina!A:A=Tabla4[[#This Row],[Número de Orden]],Cocina!H:H,0))</f>
        <v>46</v>
      </c>
    </row>
    <row r="221" spans="1:63" x14ac:dyDescent="0.3">
      <c r="A221" s="8" t="str">
        <f>MID(Tabla4[[#This Row],[Cliente]], SEARCH("_", Tabla4[[#This Row],[Cliente]]) + 1, LEN(Tabla4[[#This Row],[Cliente]]) - SEARCH("_",Tabla4[[#This Row],[Cliente]]))</f>
        <v>959</v>
      </c>
      <c r="B221">
        <f>sala!K220</f>
        <v>219</v>
      </c>
      <c r="C221">
        <f>Tabla4[[#This Row],[Propina]]+Tabla4[[#This Row],[Precio Cena]]</f>
        <v>4835</v>
      </c>
      <c r="D221" s="3">
        <f>INT(sala!E220)</f>
        <v>45018</v>
      </c>
      <c r="E221" s="4">
        <f>MOD( sala!D220,1)</f>
        <v>0.10624999999708962</v>
      </c>
      <c r="F221" s="4">
        <f>MOD( sala!E220,1)</f>
        <v>0.20069444444379769</v>
      </c>
      <c r="G221" s="4">
        <f>Tabla5[[#This Row],[Hora de Salida]]-Tabla5[[#This Row],[Hora de Llegada]]+Tabla4[[#This Row],[Tiempo Extra]]</f>
        <v>9.4444444446708076E-2</v>
      </c>
      <c r="H221" s="5" t="str">
        <f>TEXT(Tabla4[[#This Row],[Preparación en horas]]/1440, "h:mm")</f>
        <v>0:23</v>
      </c>
      <c r="I221" s="4">
        <f>IF(Tabla5[[#This Row],[Tiempo Permanencia]]-Tabla5[[#This Row],[Tiempo de Preparación ]]&gt;=0,Tabla5[[#This Row],[Tiempo Permanencia]]-Tabla5[[#This Row],[Tiempo de Preparación ]],0)</f>
        <v>7.8472222224485855E-2</v>
      </c>
      <c r="J221" s="5" t="str">
        <f>IF(Tabla5[[#This Row],[Tiempo de Degustación]]=0,"No Cobrada","Cobrada")</f>
        <v>Cobrada</v>
      </c>
      <c r="K221" s="5" cm="1">
        <f t="array" ref="K221">SUM(IF(Tabla5[[#This Row],[Orden Cobrada]]="Cobrada",IF(Cocina!A:A=Tabla5[[#This Row],[Nº Orden]],Cocina!F:F*Cocina!G:G,0),-Tabla6[[#This Row],[Precio Cena]]))</f>
        <v>139</v>
      </c>
      <c r="L221" s="5">
        <f>IF(Tabla5[[#This Row],[Orden Cobrada]]="Cobrada",Tabla5[[#This Row],[Ganancia Bruta]]-Tabla6[[#This Row],[Coste Cena]],-Tabla6[[#This Row],[Precio Cena]]+Tabla6[[#This Row],[Coste Cena]])</f>
        <v>54</v>
      </c>
      <c r="M221" s="10">
        <f>IF(Tabla5[[#This Row],[Orden Cobrada]]="Cobrada",((Tabla5[[#This Row],[Ganancia Neta]]/Tabla5[[#This Row],[Ganancia Bruta]])*100)/100,-((Tabla5[[#This Row],[Ganancia Neta]]/Tabla5[[#This Row],[Ganancia Bruta]]*100)/100))</f>
        <v>0.38848920863309355</v>
      </c>
      <c r="N221" s="5" t="str">
        <f>sala!F220</f>
        <v>Mesero_3</v>
      </c>
      <c r="AY221" cm="1">
        <f t="array" ref="AY221">SUM(IF(Cocina!A:A=Tabla5[[#This Row],[Nº Orden]],Cocina!F:F*Cocina!G:G,0))</f>
        <v>139</v>
      </c>
      <c r="AZ221" cm="1">
        <f t="array" ref="AZ221">SUM(IF(Cocina!A:A=Tabla5[[#This Row],[Nº Orden]],Cocina!E:E*Cocina!G:G,0))</f>
        <v>85</v>
      </c>
      <c r="BB221" t="str">
        <f>MID(Tabla4[[#This Row],[Cliente]], SEARCH("_", Tabla4[[#This Row],[Cliente]]) + 1, LEN(Tabla4[[#This Row],[Cliente]]) - SEARCH("_",Tabla4[[#This Row],[Cliente]]))</f>
        <v>959</v>
      </c>
      <c r="BC221" t="str">
        <f>sala!B220</f>
        <v>Cliente_959</v>
      </c>
      <c r="BD221" s="1">
        <f>sala!D220</f>
        <v>45018.106249999997</v>
      </c>
      <c r="BE221" s="1">
        <f>sala!E220</f>
        <v>45018.200694444444</v>
      </c>
      <c r="BF221">
        <f>sala!K220</f>
        <v>219</v>
      </c>
      <c r="BG221">
        <f>sala!I220</f>
        <v>4696</v>
      </c>
      <c r="BH221" cm="1">
        <f t="array" ref="BH221">SUM(IF(Cocina!A:A=Tabla4[[#This Row],[Número de Orden]],Cocina!F:F*Cocina!G:G,0))</f>
        <v>139</v>
      </c>
      <c r="BI221" t="str">
        <f>sala!J220</f>
        <v>Libre</v>
      </c>
      <c r="BJ221" s="4" t="str">
        <f>IF(Tabla4[[#This Row],[Estado mesa]]="Ocupada","00:15","00:00")</f>
        <v>00:00</v>
      </c>
      <c r="BK221" cm="1">
        <f t="array" ref="BK221">SUM(IF(Cocina!A:A=Tabla4[[#This Row],[Número de Orden]],Cocina!H:H,0))</f>
        <v>23</v>
      </c>
    </row>
    <row r="222" spans="1:63" x14ac:dyDescent="0.3">
      <c r="A222" s="8" t="str">
        <f>MID(Tabla4[[#This Row],[Cliente]], SEARCH("_", Tabla4[[#This Row],[Cliente]]) + 1, LEN(Tabla4[[#This Row],[Cliente]]) - SEARCH("_",Tabla4[[#This Row],[Cliente]]))</f>
        <v>151</v>
      </c>
      <c r="B222">
        <f>sala!K221</f>
        <v>220</v>
      </c>
      <c r="C222">
        <f>Tabla4[[#This Row],[Propina]]+Tabla4[[#This Row],[Precio Cena]]</f>
        <v>509</v>
      </c>
      <c r="D222" s="3">
        <f>INT(sala!E221)</f>
        <v>45018</v>
      </c>
      <c r="E222" s="4">
        <f>MOD( sala!D221,1)</f>
        <v>4.2361111110949423E-2</v>
      </c>
      <c r="F222" s="4">
        <f>MOD( sala!E221,1)</f>
        <v>0.20625000000291038</v>
      </c>
      <c r="G222" s="4">
        <f>Tabla5[[#This Row],[Hora de Salida]]-Tabla5[[#This Row],[Hora de Llegada]]+Tabla4[[#This Row],[Tiempo Extra]]</f>
        <v>0.16388888889196096</v>
      </c>
      <c r="H222" s="5" t="str">
        <f>TEXT(Tabla4[[#This Row],[Preparación en horas]]/1440, "h:mm")</f>
        <v>0:13</v>
      </c>
      <c r="I222" s="4">
        <f>IF(Tabla5[[#This Row],[Tiempo Permanencia]]-Tabla5[[#This Row],[Tiempo de Preparación ]]&gt;=0,Tabla5[[#This Row],[Tiempo Permanencia]]-Tabla5[[#This Row],[Tiempo de Preparación ]],0)</f>
        <v>0.15486111111418319</v>
      </c>
      <c r="J222" s="5" t="str">
        <f>IF(Tabla5[[#This Row],[Tiempo de Degustación]]=0,"No Cobrada","Cobrada")</f>
        <v>Cobrada</v>
      </c>
      <c r="K222" s="5" cm="1">
        <f t="array" ref="K222">SUM(IF(Tabla5[[#This Row],[Orden Cobrada]]="Cobrada",IF(Cocina!A:A=Tabla5[[#This Row],[Nº Orden]],Cocina!F:F*Cocina!G:G,0),-Tabla6[[#This Row],[Precio Cena]]))</f>
        <v>24</v>
      </c>
      <c r="L222" s="5">
        <f>IF(Tabla5[[#This Row],[Orden Cobrada]]="Cobrada",Tabla5[[#This Row],[Ganancia Bruta]]-Tabla6[[#This Row],[Coste Cena]],-Tabla6[[#This Row],[Precio Cena]]+Tabla6[[#This Row],[Coste Cena]])</f>
        <v>10</v>
      </c>
      <c r="M222" s="10">
        <f>IF(Tabla5[[#This Row],[Orden Cobrada]]="Cobrada",((Tabla5[[#This Row],[Ganancia Neta]]/Tabla5[[#This Row],[Ganancia Bruta]])*100)/100,-((Tabla5[[#This Row],[Ganancia Neta]]/Tabla5[[#This Row],[Ganancia Bruta]]*100)/100))</f>
        <v>0.41666666666666674</v>
      </c>
      <c r="N222" s="5" t="str">
        <f>sala!F221</f>
        <v>Mesero_5</v>
      </c>
      <c r="AY222" cm="1">
        <f t="array" ref="AY222">SUM(IF(Cocina!A:A=Tabla5[[#This Row],[Nº Orden]],Cocina!F:F*Cocina!G:G,0))</f>
        <v>24</v>
      </c>
      <c r="AZ222" cm="1">
        <f t="array" ref="AZ222">SUM(IF(Cocina!A:A=Tabla5[[#This Row],[Nº Orden]],Cocina!E:E*Cocina!G:G,0))</f>
        <v>14</v>
      </c>
      <c r="BB222" t="str">
        <f>MID(Tabla4[[#This Row],[Cliente]], SEARCH("_", Tabla4[[#This Row],[Cliente]]) + 1, LEN(Tabla4[[#This Row],[Cliente]]) - SEARCH("_",Tabla4[[#This Row],[Cliente]]))</f>
        <v>151</v>
      </c>
      <c r="BC222" t="str">
        <f>sala!B221</f>
        <v>Cliente_151</v>
      </c>
      <c r="BD222" s="1">
        <f>sala!D221</f>
        <v>45018.042361111111</v>
      </c>
      <c r="BE222" s="1">
        <f>sala!E221</f>
        <v>45018.206250000003</v>
      </c>
      <c r="BF222">
        <f>sala!K221</f>
        <v>220</v>
      </c>
      <c r="BG222">
        <f>sala!I221</f>
        <v>485</v>
      </c>
      <c r="BH222" cm="1">
        <f t="array" ref="BH222">SUM(IF(Cocina!A:A=Tabla4[[#This Row],[Número de Orden]],Cocina!F:F*Cocina!G:G,0))</f>
        <v>24</v>
      </c>
      <c r="BI222" t="str">
        <f>sala!J221</f>
        <v>Reservada</v>
      </c>
      <c r="BJ222" s="4" t="str">
        <f>IF(Tabla4[[#This Row],[Estado mesa]]="Ocupada","00:15","00:00")</f>
        <v>00:00</v>
      </c>
      <c r="BK222" cm="1">
        <f t="array" ref="BK222">SUM(IF(Cocina!A:A=Tabla4[[#This Row],[Número de Orden]],Cocina!H:H,0))</f>
        <v>13</v>
      </c>
    </row>
    <row r="223" spans="1:63" x14ac:dyDescent="0.3">
      <c r="A223" s="8" t="str">
        <f>MID(Tabla4[[#This Row],[Cliente]], SEARCH("_", Tabla4[[#This Row],[Cliente]]) + 1, LEN(Tabla4[[#This Row],[Cliente]]) - SEARCH("_",Tabla4[[#This Row],[Cliente]]))</f>
        <v>744</v>
      </c>
      <c r="B223">
        <f>sala!K222</f>
        <v>221</v>
      </c>
      <c r="C223">
        <f>Tabla4[[#This Row],[Propina]]+Tabla4[[#This Row],[Precio Cena]]</f>
        <v>1976</v>
      </c>
      <c r="D223" s="3">
        <f>INT(sala!E222)</f>
        <v>45018</v>
      </c>
      <c r="E223" s="4">
        <f>MOD( sala!D222,1)</f>
        <v>7.7083333329937886E-2</v>
      </c>
      <c r="F223" s="4">
        <f>MOD( sala!E222,1)</f>
        <v>0.12847222221898846</v>
      </c>
      <c r="G223" s="4">
        <f>Tabla5[[#This Row],[Hora de Salida]]-Tabla5[[#This Row],[Hora de Llegada]]+Tabla4[[#This Row],[Tiempo Extra]]</f>
        <v>5.1388888889050577E-2</v>
      </c>
      <c r="H223" s="5" t="str">
        <f>TEXT(Tabla4[[#This Row],[Preparación en horas]]/1440, "h:mm")</f>
        <v>1:48</v>
      </c>
      <c r="I223" s="4">
        <f>IF(Tabla5[[#This Row],[Tiempo Permanencia]]-Tabla5[[#This Row],[Tiempo de Preparación ]]&gt;=0,Tabla5[[#This Row],[Tiempo Permanencia]]-Tabla5[[#This Row],[Tiempo de Preparación ]],0)</f>
        <v>0</v>
      </c>
      <c r="J223" s="5" t="str">
        <f>IF(Tabla5[[#This Row],[Tiempo de Degustación]]=0,"No Cobrada","Cobrada")</f>
        <v>No Cobrada</v>
      </c>
      <c r="K223" s="5" cm="1">
        <f t="array" ref="K223">SUM(IF(Tabla5[[#This Row],[Orden Cobrada]]="Cobrada",IF(Cocina!A:A=Tabla5[[#This Row],[Nº Orden]],Cocina!F:F*Cocina!G:G,0),-Tabla6[[#This Row],[Precio Cena]]))</f>
        <v>-193</v>
      </c>
      <c r="L223" s="5">
        <f>IF(Tabla5[[#This Row],[Orden Cobrada]]="Cobrada",Tabla5[[#This Row],[Ganancia Bruta]]-Tabla6[[#This Row],[Coste Cena]],-Tabla6[[#This Row],[Precio Cena]]+Tabla6[[#This Row],[Coste Cena]])</f>
        <v>-79</v>
      </c>
      <c r="M223" s="10">
        <f>IF(Tabla5[[#This Row],[Orden Cobrada]]="Cobrada",((Tabla5[[#This Row],[Ganancia Neta]]/Tabla5[[#This Row],[Ganancia Bruta]])*100)/100,-((Tabla5[[#This Row],[Ganancia Neta]]/Tabla5[[#This Row],[Ganancia Bruta]]*100)/100))</f>
        <v>-0.40932642487046633</v>
      </c>
      <c r="N223" s="5" t="str">
        <f>sala!F222</f>
        <v>Mesero_3</v>
      </c>
      <c r="AY223" cm="1">
        <f t="array" ref="AY223">SUM(IF(Cocina!A:A=Tabla5[[#This Row],[Nº Orden]],Cocina!F:F*Cocina!G:G,0))</f>
        <v>193</v>
      </c>
      <c r="AZ223" cm="1">
        <f t="array" ref="AZ223">SUM(IF(Cocina!A:A=Tabla5[[#This Row],[Nº Orden]],Cocina!E:E*Cocina!G:G,0))</f>
        <v>114</v>
      </c>
      <c r="BB223" t="str">
        <f>MID(Tabla4[[#This Row],[Cliente]], SEARCH("_", Tabla4[[#This Row],[Cliente]]) + 1, LEN(Tabla4[[#This Row],[Cliente]]) - SEARCH("_",Tabla4[[#This Row],[Cliente]]))</f>
        <v>744</v>
      </c>
      <c r="BC223" t="str">
        <f>sala!B222</f>
        <v>Cliente_744</v>
      </c>
      <c r="BD223" s="1">
        <f>sala!D222</f>
        <v>45018.07708333333</v>
      </c>
      <c r="BE223" s="1">
        <f>sala!E222</f>
        <v>45018.128472222219</v>
      </c>
      <c r="BF223">
        <f>sala!K222</f>
        <v>221</v>
      </c>
      <c r="BG223">
        <f>sala!I222</f>
        <v>1783</v>
      </c>
      <c r="BH223" cm="1">
        <f t="array" ref="BH223">SUM(IF(Cocina!A:A=Tabla4[[#This Row],[Número de Orden]],Cocina!F:F*Cocina!G:G,0))</f>
        <v>193</v>
      </c>
      <c r="BI223" t="str">
        <f>sala!J222</f>
        <v>Libre</v>
      </c>
      <c r="BJ223" s="4" t="str">
        <f>IF(Tabla4[[#This Row],[Estado mesa]]="Ocupada","00:15","00:00")</f>
        <v>00:00</v>
      </c>
      <c r="BK223" cm="1">
        <f t="array" ref="BK223">SUM(IF(Cocina!A:A=Tabla4[[#This Row],[Número de Orden]],Cocina!H:H,0))</f>
        <v>108</v>
      </c>
    </row>
    <row r="224" spans="1:63" x14ac:dyDescent="0.3">
      <c r="A224" s="8" t="str">
        <f>MID(Tabla4[[#This Row],[Cliente]], SEARCH("_", Tabla4[[#This Row],[Cliente]]) + 1, LEN(Tabla4[[#This Row],[Cliente]]) - SEARCH("_",Tabla4[[#This Row],[Cliente]]))</f>
        <v>189</v>
      </c>
      <c r="B224">
        <f>sala!K223</f>
        <v>222</v>
      </c>
      <c r="C224">
        <f>Tabla4[[#This Row],[Propina]]+Tabla4[[#This Row],[Precio Cena]]</f>
        <v>3355</v>
      </c>
      <c r="D224" s="3">
        <f>INT(sala!E223)</f>
        <v>45018</v>
      </c>
      <c r="E224" s="4">
        <f>MOD( sala!D223,1)</f>
        <v>0.15138888888759539</v>
      </c>
      <c r="F224" s="4">
        <f>MOD( sala!E223,1)</f>
        <v>0.27916666666715173</v>
      </c>
      <c r="G224" s="4">
        <f>Tabla5[[#This Row],[Hora de Salida]]-Tabla5[[#This Row],[Hora de Llegada]]+Tabla4[[#This Row],[Tiempo Extra]]</f>
        <v>0.12777777777955635</v>
      </c>
      <c r="H224" s="5" t="str">
        <f>TEXT(Tabla4[[#This Row],[Preparación en horas]]/1440, "h:mm")</f>
        <v>1:25</v>
      </c>
      <c r="I224" s="4">
        <f>IF(Tabla5[[#This Row],[Tiempo Permanencia]]-Tabla5[[#This Row],[Tiempo de Preparación ]]&gt;=0,Tabla5[[#This Row],[Tiempo Permanencia]]-Tabla5[[#This Row],[Tiempo de Preparación ]],0)</f>
        <v>6.8750000001778569E-2</v>
      </c>
      <c r="J224" s="5" t="str">
        <f>IF(Tabla5[[#This Row],[Tiempo de Degustación]]=0,"No Cobrada","Cobrada")</f>
        <v>Cobrada</v>
      </c>
      <c r="K224" s="5" cm="1">
        <f t="array" ref="K224">SUM(IF(Tabla5[[#This Row],[Orden Cobrada]]="Cobrada",IF(Cocina!A:A=Tabla5[[#This Row],[Nº Orden]],Cocina!F:F*Cocina!G:G,0),-Tabla6[[#This Row],[Precio Cena]]))</f>
        <v>97</v>
      </c>
      <c r="L224" s="5">
        <f>IF(Tabla5[[#This Row],[Orden Cobrada]]="Cobrada",Tabla5[[#This Row],[Ganancia Bruta]]-Tabla6[[#This Row],[Coste Cena]],-Tabla6[[#This Row],[Precio Cena]]+Tabla6[[#This Row],[Coste Cena]])</f>
        <v>39</v>
      </c>
      <c r="M224" s="10">
        <f>IF(Tabla5[[#This Row],[Orden Cobrada]]="Cobrada",((Tabla5[[#This Row],[Ganancia Neta]]/Tabla5[[#This Row],[Ganancia Bruta]])*100)/100,-((Tabla5[[#This Row],[Ganancia Neta]]/Tabla5[[#This Row],[Ganancia Bruta]]*100)/100))</f>
        <v>0.40206185567010311</v>
      </c>
      <c r="N224" s="5" t="str">
        <f>sala!F223</f>
        <v>Mesero_5</v>
      </c>
      <c r="AY224" cm="1">
        <f t="array" ref="AY224">SUM(IF(Cocina!A:A=Tabla5[[#This Row],[Nº Orden]],Cocina!F:F*Cocina!G:G,0))</f>
        <v>97</v>
      </c>
      <c r="AZ224" cm="1">
        <f t="array" ref="AZ224">SUM(IF(Cocina!A:A=Tabla5[[#This Row],[Nº Orden]],Cocina!E:E*Cocina!G:G,0))</f>
        <v>58</v>
      </c>
      <c r="BB224" t="str">
        <f>MID(Tabla4[[#This Row],[Cliente]], SEARCH("_", Tabla4[[#This Row],[Cliente]]) + 1, LEN(Tabla4[[#This Row],[Cliente]]) - SEARCH("_",Tabla4[[#This Row],[Cliente]]))</f>
        <v>189</v>
      </c>
      <c r="BC224" t="str">
        <f>sala!B223</f>
        <v>Cliente_189</v>
      </c>
      <c r="BD224" s="1">
        <f>sala!D223</f>
        <v>45018.151388888888</v>
      </c>
      <c r="BE224" s="1">
        <f>sala!E223</f>
        <v>45018.279166666667</v>
      </c>
      <c r="BF224">
        <f>sala!K223</f>
        <v>222</v>
      </c>
      <c r="BG224">
        <f>sala!I223</f>
        <v>3258</v>
      </c>
      <c r="BH224" cm="1">
        <f t="array" ref="BH224">SUM(IF(Cocina!A:A=Tabla4[[#This Row],[Número de Orden]],Cocina!F:F*Cocina!G:G,0))</f>
        <v>97</v>
      </c>
      <c r="BI224" t="str">
        <f>sala!J223</f>
        <v>Libre</v>
      </c>
      <c r="BJ224" s="4" t="str">
        <f>IF(Tabla4[[#This Row],[Estado mesa]]="Ocupada","00:15","00:00")</f>
        <v>00:00</v>
      </c>
      <c r="BK224" cm="1">
        <f t="array" ref="BK224">SUM(IF(Cocina!A:A=Tabla4[[#This Row],[Número de Orden]],Cocina!H:H,0))</f>
        <v>85</v>
      </c>
    </row>
    <row r="225" spans="1:63" x14ac:dyDescent="0.3">
      <c r="A225" s="8" t="str">
        <f>MID(Tabla4[[#This Row],[Cliente]], SEARCH("_", Tabla4[[#This Row],[Cliente]]) + 1, LEN(Tabla4[[#This Row],[Cliente]]) - SEARCH("_",Tabla4[[#This Row],[Cliente]]))</f>
        <v>576</v>
      </c>
      <c r="B225">
        <f>sala!K224</f>
        <v>223</v>
      </c>
      <c r="C225">
        <f>Tabla4[[#This Row],[Propina]]+Tabla4[[#This Row],[Precio Cena]]</f>
        <v>4994</v>
      </c>
      <c r="D225" s="3">
        <f>INT(sala!E224)</f>
        <v>45018</v>
      </c>
      <c r="E225" s="4">
        <f>MOD( sala!D224,1)</f>
        <v>5.2777777775190771E-2</v>
      </c>
      <c r="F225" s="4">
        <f>MOD( sala!E224,1)</f>
        <v>0.11805555555474712</v>
      </c>
      <c r="G225" s="4">
        <f>Tabla5[[#This Row],[Hora de Salida]]-Tabla5[[#This Row],[Hora de Llegada]]+Tabla4[[#This Row],[Tiempo Extra]]</f>
        <v>6.5277777779556345E-2</v>
      </c>
      <c r="H225" s="5" t="str">
        <f>TEXT(Tabla4[[#This Row],[Preparación en horas]]/1440, "h:mm")</f>
        <v>0:53</v>
      </c>
      <c r="I225" s="4">
        <f>IF(Tabla5[[#This Row],[Tiempo Permanencia]]-Tabla5[[#This Row],[Tiempo de Preparación ]]&gt;=0,Tabla5[[#This Row],[Tiempo Permanencia]]-Tabla5[[#This Row],[Tiempo de Preparación ]],0)</f>
        <v>2.8472222224000789E-2</v>
      </c>
      <c r="J225" s="5" t="str">
        <f>IF(Tabla5[[#This Row],[Tiempo de Degustación]]=0,"No Cobrada","Cobrada")</f>
        <v>Cobrada</v>
      </c>
      <c r="K225" s="5" cm="1">
        <f t="array" ref="K225">SUM(IF(Tabla5[[#This Row],[Orden Cobrada]]="Cobrada",IF(Cocina!A:A=Tabla5[[#This Row],[Nº Orden]],Cocina!F:F*Cocina!G:G,0),-Tabla6[[#This Row],[Precio Cena]]))</f>
        <v>32</v>
      </c>
      <c r="L225" s="5">
        <f>IF(Tabla5[[#This Row],[Orden Cobrada]]="Cobrada",Tabla5[[#This Row],[Ganancia Bruta]]-Tabla6[[#This Row],[Coste Cena]],-Tabla6[[#This Row],[Precio Cena]]+Tabla6[[#This Row],[Coste Cena]])</f>
        <v>13</v>
      </c>
      <c r="M225" s="10">
        <f>IF(Tabla5[[#This Row],[Orden Cobrada]]="Cobrada",((Tabla5[[#This Row],[Ganancia Neta]]/Tabla5[[#This Row],[Ganancia Bruta]])*100)/100,-((Tabla5[[#This Row],[Ganancia Neta]]/Tabla5[[#This Row],[Ganancia Bruta]]*100)/100))</f>
        <v>0.40625</v>
      </c>
      <c r="N225" s="5" t="str">
        <f>sala!F224</f>
        <v>Mesero_5</v>
      </c>
      <c r="AY225" cm="1">
        <f t="array" ref="AY225">SUM(IF(Cocina!A:A=Tabla5[[#This Row],[Nº Orden]],Cocina!F:F*Cocina!G:G,0))</f>
        <v>32</v>
      </c>
      <c r="AZ225" cm="1">
        <f t="array" ref="AZ225">SUM(IF(Cocina!A:A=Tabla5[[#This Row],[Nº Orden]],Cocina!E:E*Cocina!G:G,0))</f>
        <v>19</v>
      </c>
      <c r="BB225" t="str">
        <f>MID(Tabla4[[#This Row],[Cliente]], SEARCH("_", Tabla4[[#This Row],[Cliente]]) + 1, LEN(Tabla4[[#This Row],[Cliente]]) - SEARCH("_",Tabla4[[#This Row],[Cliente]]))</f>
        <v>576</v>
      </c>
      <c r="BC225" t="str">
        <f>sala!B224</f>
        <v>Cliente_576</v>
      </c>
      <c r="BD225" s="1">
        <f>sala!D224</f>
        <v>45018.052777777775</v>
      </c>
      <c r="BE225" s="1">
        <f>sala!E224</f>
        <v>45018.118055555555</v>
      </c>
      <c r="BF225">
        <f>sala!K224</f>
        <v>223</v>
      </c>
      <c r="BG225">
        <f>sala!I224</f>
        <v>4962</v>
      </c>
      <c r="BH225" cm="1">
        <f t="array" ref="BH225">SUM(IF(Cocina!A:A=Tabla4[[#This Row],[Número de Orden]],Cocina!F:F*Cocina!G:G,0))</f>
        <v>32</v>
      </c>
      <c r="BI225" t="str">
        <f>sala!J224</f>
        <v>Reservada</v>
      </c>
      <c r="BJ225" s="4" t="str">
        <f>IF(Tabla4[[#This Row],[Estado mesa]]="Ocupada","00:15","00:00")</f>
        <v>00:00</v>
      </c>
      <c r="BK225" cm="1">
        <f t="array" ref="BK225">SUM(IF(Cocina!A:A=Tabla4[[#This Row],[Número de Orden]],Cocina!H:H,0))</f>
        <v>53</v>
      </c>
    </row>
    <row r="226" spans="1:63" x14ac:dyDescent="0.3">
      <c r="A226" s="8" t="str">
        <f>MID(Tabla4[[#This Row],[Cliente]], SEARCH("_", Tabla4[[#This Row],[Cliente]]) + 1, LEN(Tabla4[[#This Row],[Cliente]]) - SEARCH("_",Tabla4[[#This Row],[Cliente]]))</f>
        <v>474</v>
      </c>
      <c r="B226">
        <f>sala!K225</f>
        <v>224</v>
      </c>
      <c r="C226">
        <f>Tabla4[[#This Row],[Propina]]+Tabla4[[#This Row],[Precio Cena]]</f>
        <v>1813</v>
      </c>
      <c r="D226" s="3">
        <f>INT(sala!E225)</f>
        <v>45018</v>
      </c>
      <c r="E226" s="4">
        <f>MOD( sala!D225,1)</f>
        <v>8.819444444088731E-2</v>
      </c>
      <c r="F226" s="4">
        <f>MOD( sala!E225,1)</f>
        <v>0.24097222222189885</v>
      </c>
      <c r="G226" s="4">
        <f>Tabla5[[#This Row],[Hora de Salida]]-Tabla5[[#This Row],[Hora de Llegada]]+Tabla4[[#This Row],[Tiempo Extra]]</f>
        <v>0.16319444444767819</v>
      </c>
      <c r="H226" s="5" t="str">
        <f>TEXT(Tabla4[[#This Row],[Preparación en horas]]/1440, "h:mm")</f>
        <v>0:20</v>
      </c>
      <c r="I226" s="4">
        <f>IF(Tabla5[[#This Row],[Tiempo Permanencia]]-Tabla5[[#This Row],[Tiempo de Preparación ]]&gt;=0,Tabla5[[#This Row],[Tiempo Permanencia]]-Tabla5[[#This Row],[Tiempo de Preparación ]],0)</f>
        <v>0.1493055555587893</v>
      </c>
      <c r="J226" s="5" t="str">
        <f>IF(Tabla5[[#This Row],[Tiempo de Degustación]]=0,"No Cobrada","Cobrada")</f>
        <v>Cobrada</v>
      </c>
      <c r="K226" s="5" cm="1">
        <f t="array" ref="K226">SUM(IF(Tabla5[[#This Row],[Orden Cobrada]]="Cobrada",IF(Cocina!A:A=Tabla5[[#This Row],[Nº Orden]],Cocina!F:F*Cocina!G:G,0),-Tabla6[[#This Row],[Precio Cena]]))</f>
        <v>52</v>
      </c>
      <c r="L226" s="5">
        <f>IF(Tabla5[[#This Row],[Orden Cobrada]]="Cobrada",Tabla5[[#This Row],[Ganancia Bruta]]-Tabla6[[#This Row],[Coste Cena]],-Tabla6[[#This Row],[Precio Cena]]+Tabla6[[#This Row],[Coste Cena]])</f>
        <v>22</v>
      </c>
      <c r="M226" s="10">
        <f>IF(Tabla5[[#This Row],[Orden Cobrada]]="Cobrada",((Tabla5[[#This Row],[Ganancia Neta]]/Tabla5[[#This Row],[Ganancia Bruta]])*100)/100,-((Tabla5[[#This Row],[Ganancia Neta]]/Tabla5[[#This Row],[Ganancia Bruta]]*100)/100))</f>
        <v>0.42307692307692307</v>
      </c>
      <c r="N226" s="5" t="str">
        <f>sala!F225</f>
        <v>Mesero_3</v>
      </c>
      <c r="AY226" cm="1">
        <f t="array" ref="AY226">SUM(IF(Cocina!A:A=Tabla5[[#This Row],[Nº Orden]],Cocina!F:F*Cocina!G:G,0))</f>
        <v>52</v>
      </c>
      <c r="AZ226" cm="1">
        <f t="array" ref="AZ226">SUM(IF(Cocina!A:A=Tabla5[[#This Row],[Nº Orden]],Cocina!E:E*Cocina!G:G,0))</f>
        <v>30</v>
      </c>
      <c r="BB226" t="str">
        <f>MID(Tabla4[[#This Row],[Cliente]], SEARCH("_", Tabla4[[#This Row],[Cliente]]) + 1, LEN(Tabla4[[#This Row],[Cliente]]) - SEARCH("_",Tabla4[[#This Row],[Cliente]]))</f>
        <v>474</v>
      </c>
      <c r="BC226" t="str">
        <f>sala!B225</f>
        <v>Cliente_474</v>
      </c>
      <c r="BD226" s="1">
        <f>sala!D225</f>
        <v>45018.088194444441</v>
      </c>
      <c r="BE226" s="1">
        <f>sala!E225</f>
        <v>45018.240972222222</v>
      </c>
      <c r="BF226">
        <f>sala!K225</f>
        <v>224</v>
      </c>
      <c r="BG226">
        <f>sala!I225</f>
        <v>1761</v>
      </c>
      <c r="BH226" cm="1">
        <f t="array" ref="BH226">SUM(IF(Cocina!A:A=Tabla4[[#This Row],[Número de Orden]],Cocina!F:F*Cocina!G:G,0))</f>
        <v>52</v>
      </c>
      <c r="BI226" t="str">
        <f>sala!J225</f>
        <v>Ocupada</v>
      </c>
      <c r="BJ226" s="4" t="str">
        <f>IF(Tabla4[[#This Row],[Estado mesa]]="Ocupada","00:15","00:00")</f>
        <v>00:15</v>
      </c>
      <c r="BK226" cm="1">
        <f t="array" ref="BK226">SUM(IF(Cocina!A:A=Tabla4[[#This Row],[Número de Orden]],Cocina!H:H,0))</f>
        <v>20</v>
      </c>
    </row>
    <row r="227" spans="1:63" x14ac:dyDescent="0.3">
      <c r="A227" s="8" t="str">
        <f>MID(Tabla4[[#This Row],[Cliente]], SEARCH("_", Tabla4[[#This Row],[Cliente]]) + 1, LEN(Tabla4[[#This Row],[Cliente]]) - SEARCH("_",Tabla4[[#This Row],[Cliente]]))</f>
        <v>990</v>
      </c>
      <c r="B227">
        <f>sala!K226</f>
        <v>225</v>
      </c>
      <c r="C227">
        <f>Tabla4[[#This Row],[Propina]]+Tabla4[[#This Row],[Precio Cena]]</f>
        <v>3670</v>
      </c>
      <c r="D227" s="3">
        <f>INT(sala!E226)</f>
        <v>45018</v>
      </c>
      <c r="E227" s="4">
        <f>MOD( sala!D226,1)</f>
        <v>9.7222222248092294E-3</v>
      </c>
      <c r="F227" s="4">
        <f>MOD( sala!E226,1)</f>
        <v>5.8333333334303461E-2</v>
      </c>
      <c r="G227" s="4">
        <f>Tabla5[[#This Row],[Hora de Salida]]-Tabla5[[#This Row],[Hora de Llegada]]+Tabla4[[#This Row],[Tiempo Extra]]</f>
        <v>4.8611111109494232E-2</v>
      </c>
      <c r="H227" s="5" t="str">
        <f>TEXT(Tabla4[[#This Row],[Preparación en horas]]/1440, "h:mm")</f>
        <v>1:34</v>
      </c>
      <c r="I227" s="4">
        <f>IF(Tabla5[[#This Row],[Tiempo Permanencia]]-Tabla5[[#This Row],[Tiempo de Preparación ]]&gt;=0,Tabla5[[#This Row],[Tiempo Permanencia]]-Tabla5[[#This Row],[Tiempo de Preparación ]],0)</f>
        <v>0</v>
      </c>
      <c r="J227" s="5" t="str">
        <f>IF(Tabla5[[#This Row],[Tiempo de Degustación]]=0,"No Cobrada","Cobrada")</f>
        <v>No Cobrada</v>
      </c>
      <c r="K227" s="5" cm="1">
        <f t="array" ref="K227">SUM(IF(Tabla5[[#This Row],[Orden Cobrada]]="Cobrada",IF(Cocina!A:A=Tabla5[[#This Row],[Nº Orden]],Cocina!F:F*Cocina!G:G,0),-Tabla6[[#This Row],[Precio Cena]]))</f>
        <v>-168</v>
      </c>
      <c r="L227" s="5">
        <f>IF(Tabla5[[#This Row],[Orden Cobrada]]="Cobrada",Tabla5[[#This Row],[Ganancia Bruta]]-Tabla6[[#This Row],[Coste Cena]],-Tabla6[[#This Row],[Precio Cena]]+Tabla6[[#This Row],[Coste Cena]])</f>
        <v>-66</v>
      </c>
      <c r="M227" s="10">
        <f>IF(Tabla5[[#This Row],[Orden Cobrada]]="Cobrada",((Tabla5[[#This Row],[Ganancia Neta]]/Tabla5[[#This Row],[Ganancia Bruta]])*100)/100,-((Tabla5[[#This Row],[Ganancia Neta]]/Tabla5[[#This Row],[Ganancia Bruta]]*100)/100))</f>
        <v>-0.39285714285714285</v>
      </c>
      <c r="N227" s="5" t="str">
        <f>sala!F226</f>
        <v>Mesero_3</v>
      </c>
      <c r="AY227" cm="1">
        <f t="array" ref="AY227">SUM(IF(Cocina!A:A=Tabla5[[#This Row],[Nº Orden]],Cocina!F:F*Cocina!G:G,0))</f>
        <v>168</v>
      </c>
      <c r="AZ227" cm="1">
        <f t="array" ref="AZ227">SUM(IF(Cocina!A:A=Tabla5[[#This Row],[Nº Orden]],Cocina!E:E*Cocina!G:G,0))</f>
        <v>102</v>
      </c>
      <c r="BB227" t="str">
        <f>MID(Tabla4[[#This Row],[Cliente]], SEARCH("_", Tabla4[[#This Row],[Cliente]]) + 1, LEN(Tabla4[[#This Row],[Cliente]]) - SEARCH("_",Tabla4[[#This Row],[Cliente]]))</f>
        <v>990</v>
      </c>
      <c r="BC227" t="str">
        <f>sala!B226</f>
        <v>Cliente_990</v>
      </c>
      <c r="BD227" s="1">
        <f>sala!D226</f>
        <v>45018.009722222225</v>
      </c>
      <c r="BE227" s="1">
        <f>sala!E226</f>
        <v>45018.058333333334</v>
      </c>
      <c r="BF227">
        <f>sala!K226</f>
        <v>225</v>
      </c>
      <c r="BG227">
        <f>sala!I226</f>
        <v>3502</v>
      </c>
      <c r="BH227" cm="1">
        <f t="array" ref="BH227">SUM(IF(Cocina!A:A=Tabla4[[#This Row],[Número de Orden]],Cocina!F:F*Cocina!G:G,0))</f>
        <v>168</v>
      </c>
      <c r="BI227" t="str">
        <f>sala!J226</f>
        <v>Reservada</v>
      </c>
      <c r="BJ227" s="4" t="str">
        <f>IF(Tabla4[[#This Row],[Estado mesa]]="Ocupada","00:15","00:00")</f>
        <v>00:00</v>
      </c>
      <c r="BK227" cm="1">
        <f t="array" ref="BK227">SUM(IF(Cocina!A:A=Tabla4[[#This Row],[Número de Orden]],Cocina!H:H,0))</f>
        <v>94</v>
      </c>
    </row>
    <row r="228" spans="1:63" x14ac:dyDescent="0.3">
      <c r="A228" s="8" t="str">
        <f>MID(Tabla4[[#This Row],[Cliente]], SEARCH("_", Tabla4[[#This Row],[Cliente]]) + 1, LEN(Tabla4[[#This Row],[Cliente]]) - SEARCH("_",Tabla4[[#This Row],[Cliente]]))</f>
        <v>67</v>
      </c>
      <c r="B228">
        <f>sala!K227</f>
        <v>226</v>
      </c>
      <c r="C228">
        <f>Tabla4[[#This Row],[Propina]]+Tabla4[[#This Row],[Precio Cena]]</f>
        <v>4119</v>
      </c>
      <c r="D228" s="3">
        <f>INT(sala!E227)</f>
        <v>45018</v>
      </c>
      <c r="E228" s="4">
        <f>MOD( sala!D227,1)</f>
        <v>4.0277777778101154E-2</v>
      </c>
      <c r="F228" s="4">
        <f>MOD( sala!E227,1)</f>
        <v>0.17291666667006211</v>
      </c>
      <c r="G228" s="4">
        <f>Tabla5[[#This Row],[Hora de Salida]]-Tabla5[[#This Row],[Hora de Llegada]]+Tabla4[[#This Row],[Tiempo Extra]]</f>
        <v>0.13263888889196096</v>
      </c>
      <c r="H228" s="5" t="str">
        <f>TEXT(Tabla4[[#This Row],[Preparación en horas]]/1440, "h:mm")</f>
        <v>2:26</v>
      </c>
      <c r="I228" s="4">
        <f>IF(Tabla5[[#This Row],[Tiempo Permanencia]]-Tabla5[[#This Row],[Tiempo de Preparación ]]&gt;=0,Tabla5[[#This Row],[Tiempo Permanencia]]-Tabla5[[#This Row],[Tiempo de Preparación ]],0)</f>
        <v>3.125000000307207E-2</v>
      </c>
      <c r="J228" s="5" t="str">
        <f>IF(Tabla5[[#This Row],[Tiempo de Degustación]]=0,"No Cobrada","Cobrada")</f>
        <v>Cobrada</v>
      </c>
      <c r="K228" s="5" cm="1">
        <f t="array" ref="K228">SUM(IF(Tabla5[[#This Row],[Orden Cobrada]]="Cobrada",IF(Cocina!A:A=Tabla5[[#This Row],[Nº Orden]],Cocina!F:F*Cocina!G:G,0),-Tabla6[[#This Row],[Precio Cena]]))</f>
        <v>171</v>
      </c>
      <c r="L228" s="5">
        <f>IF(Tabla5[[#This Row],[Orden Cobrada]]="Cobrada",Tabla5[[#This Row],[Ganancia Bruta]]-Tabla6[[#This Row],[Coste Cena]],-Tabla6[[#This Row],[Precio Cena]]+Tabla6[[#This Row],[Coste Cena]])</f>
        <v>69</v>
      </c>
      <c r="M228" s="10">
        <f>IF(Tabla5[[#This Row],[Orden Cobrada]]="Cobrada",((Tabla5[[#This Row],[Ganancia Neta]]/Tabla5[[#This Row],[Ganancia Bruta]])*100)/100,-((Tabla5[[#This Row],[Ganancia Neta]]/Tabla5[[#This Row],[Ganancia Bruta]]*100)/100))</f>
        <v>0.40350877192982454</v>
      </c>
      <c r="N228" s="5" t="str">
        <f>sala!F227</f>
        <v>Mesero_1</v>
      </c>
      <c r="AY228" cm="1">
        <f t="array" ref="AY228">SUM(IF(Cocina!A:A=Tabla5[[#This Row],[Nº Orden]],Cocina!F:F*Cocina!G:G,0))</f>
        <v>171</v>
      </c>
      <c r="AZ228" cm="1">
        <f t="array" ref="AZ228">SUM(IF(Cocina!A:A=Tabla5[[#This Row],[Nº Orden]],Cocina!E:E*Cocina!G:G,0))</f>
        <v>102</v>
      </c>
      <c r="BB228" t="str">
        <f>MID(Tabla4[[#This Row],[Cliente]], SEARCH("_", Tabla4[[#This Row],[Cliente]]) + 1, LEN(Tabla4[[#This Row],[Cliente]]) - SEARCH("_",Tabla4[[#This Row],[Cliente]]))</f>
        <v>67</v>
      </c>
      <c r="BC228" t="str">
        <f>sala!B227</f>
        <v>Cliente_67</v>
      </c>
      <c r="BD228" s="1">
        <f>sala!D227</f>
        <v>45018.040277777778</v>
      </c>
      <c r="BE228" s="1">
        <f>sala!E227</f>
        <v>45018.17291666667</v>
      </c>
      <c r="BF228">
        <f>sala!K227</f>
        <v>226</v>
      </c>
      <c r="BG228">
        <f>sala!I227</f>
        <v>3948</v>
      </c>
      <c r="BH228" cm="1">
        <f t="array" ref="BH228">SUM(IF(Cocina!A:A=Tabla4[[#This Row],[Número de Orden]],Cocina!F:F*Cocina!G:G,0))</f>
        <v>171</v>
      </c>
      <c r="BI228" t="str">
        <f>sala!J227</f>
        <v>Reservada</v>
      </c>
      <c r="BJ228" s="4" t="str">
        <f>IF(Tabla4[[#This Row],[Estado mesa]]="Ocupada","00:15","00:00")</f>
        <v>00:00</v>
      </c>
      <c r="BK228" cm="1">
        <f t="array" ref="BK228">SUM(IF(Cocina!A:A=Tabla4[[#This Row],[Número de Orden]],Cocina!H:H,0))</f>
        <v>146</v>
      </c>
    </row>
    <row r="229" spans="1:63" x14ac:dyDescent="0.3">
      <c r="A229" s="8" t="str">
        <f>MID(Tabla4[[#This Row],[Cliente]], SEARCH("_", Tabla4[[#This Row],[Cliente]]) + 1, LEN(Tabla4[[#This Row],[Cliente]]) - SEARCH("_",Tabla4[[#This Row],[Cliente]]))</f>
        <v>378</v>
      </c>
      <c r="B229">
        <f>sala!K228</f>
        <v>227</v>
      </c>
      <c r="C229">
        <f>Tabla4[[#This Row],[Propina]]+Tabla4[[#This Row],[Precio Cena]]</f>
        <v>4316</v>
      </c>
      <c r="D229" s="3">
        <f>INT(sala!E228)</f>
        <v>45018</v>
      </c>
      <c r="E229" s="4">
        <f>MOD( sala!D228,1)</f>
        <v>7.5694444443797693E-2</v>
      </c>
      <c r="F229" s="4">
        <f>MOD( sala!E228,1)</f>
        <v>0.20277777777664596</v>
      </c>
      <c r="G229" s="4">
        <f>Tabla5[[#This Row],[Hora de Salida]]-Tabla5[[#This Row],[Hora de Llegada]]+Tabla4[[#This Row],[Tiempo Extra]]</f>
        <v>0.12708333333284827</v>
      </c>
      <c r="H229" s="5" t="str">
        <f>TEXT(Tabla4[[#This Row],[Preparación en horas]]/1440, "h:mm")</f>
        <v>1:59</v>
      </c>
      <c r="I229" s="4">
        <f>IF(Tabla5[[#This Row],[Tiempo Permanencia]]-Tabla5[[#This Row],[Tiempo de Preparación ]]&gt;=0,Tabla5[[#This Row],[Tiempo Permanencia]]-Tabla5[[#This Row],[Tiempo de Preparación ]],0)</f>
        <v>4.4444444443959383E-2</v>
      </c>
      <c r="J229" s="5" t="str">
        <f>IF(Tabla5[[#This Row],[Tiempo de Degustación]]=0,"No Cobrada","Cobrada")</f>
        <v>Cobrada</v>
      </c>
      <c r="K229" s="5" cm="1">
        <f t="array" ref="K229">SUM(IF(Tabla5[[#This Row],[Orden Cobrada]]="Cobrada",IF(Cocina!A:A=Tabla5[[#This Row],[Nº Orden]],Cocina!F:F*Cocina!G:G,0),-Tabla6[[#This Row],[Precio Cena]]))</f>
        <v>211</v>
      </c>
      <c r="L229" s="5">
        <f>IF(Tabla5[[#This Row],[Orden Cobrada]]="Cobrada",Tabla5[[#This Row],[Ganancia Bruta]]-Tabla6[[#This Row],[Coste Cena]],-Tabla6[[#This Row],[Precio Cena]]+Tabla6[[#This Row],[Coste Cena]])</f>
        <v>84</v>
      </c>
      <c r="M229" s="10">
        <f>IF(Tabla5[[#This Row],[Orden Cobrada]]="Cobrada",((Tabla5[[#This Row],[Ganancia Neta]]/Tabla5[[#This Row],[Ganancia Bruta]])*100)/100,-((Tabla5[[#This Row],[Ganancia Neta]]/Tabla5[[#This Row],[Ganancia Bruta]]*100)/100))</f>
        <v>0.3981042654028436</v>
      </c>
      <c r="N229" s="5" t="str">
        <f>sala!F228</f>
        <v>Mesero_5</v>
      </c>
      <c r="AY229" cm="1">
        <f t="array" ref="AY229">SUM(IF(Cocina!A:A=Tabla5[[#This Row],[Nº Orden]],Cocina!F:F*Cocina!G:G,0))</f>
        <v>211</v>
      </c>
      <c r="AZ229" cm="1">
        <f t="array" ref="AZ229">SUM(IF(Cocina!A:A=Tabla5[[#This Row],[Nº Orden]],Cocina!E:E*Cocina!G:G,0))</f>
        <v>127</v>
      </c>
      <c r="BB229" t="str">
        <f>MID(Tabla4[[#This Row],[Cliente]], SEARCH("_", Tabla4[[#This Row],[Cliente]]) + 1, LEN(Tabla4[[#This Row],[Cliente]]) - SEARCH("_",Tabla4[[#This Row],[Cliente]]))</f>
        <v>378</v>
      </c>
      <c r="BC229" t="str">
        <f>sala!B228</f>
        <v>Cliente_378</v>
      </c>
      <c r="BD229" s="1">
        <f>sala!D228</f>
        <v>45018.075694444444</v>
      </c>
      <c r="BE229" s="1">
        <f>sala!E228</f>
        <v>45018.202777777777</v>
      </c>
      <c r="BF229">
        <f>sala!K228</f>
        <v>227</v>
      </c>
      <c r="BG229">
        <f>sala!I228</f>
        <v>4105</v>
      </c>
      <c r="BH229" cm="1">
        <f t="array" ref="BH229">SUM(IF(Cocina!A:A=Tabla4[[#This Row],[Número de Orden]],Cocina!F:F*Cocina!G:G,0))</f>
        <v>211</v>
      </c>
      <c r="BI229" t="str">
        <f>sala!J228</f>
        <v>Libre</v>
      </c>
      <c r="BJ229" s="4" t="str">
        <f>IF(Tabla4[[#This Row],[Estado mesa]]="Ocupada","00:15","00:00")</f>
        <v>00:00</v>
      </c>
      <c r="BK229" cm="1">
        <f t="array" ref="BK229">SUM(IF(Cocina!A:A=Tabla4[[#This Row],[Número de Orden]],Cocina!H:H,0))</f>
        <v>119</v>
      </c>
    </row>
    <row r="230" spans="1:63" x14ac:dyDescent="0.3">
      <c r="A230" s="8" t="str">
        <f>MID(Tabla4[[#This Row],[Cliente]], SEARCH("_", Tabla4[[#This Row],[Cliente]]) + 1, LEN(Tabla4[[#This Row],[Cliente]]) - SEARCH("_",Tabla4[[#This Row],[Cliente]]))</f>
        <v>445</v>
      </c>
      <c r="B230">
        <f>sala!K229</f>
        <v>228</v>
      </c>
      <c r="C230">
        <f>Tabla4[[#This Row],[Propina]]+Tabla4[[#This Row],[Precio Cena]]</f>
        <v>1135</v>
      </c>
      <c r="D230" s="3">
        <f>INT(sala!E229)</f>
        <v>45018</v>
      </c>
      <c r="E230" s="4">
        <f>MOD( sala!D229,1)</f>
        <v>6.9444444445252884E-2</v>
      </c>
      <c r="F230" s="4">
        <f>MOD( sala!E229,1)</f>
        <v>0.1680555555576575</v>
      </c>
      <c r="G230" s="4">
        <f>Tabla5[[#This Row],[Hora de Salida]]-Tabla5[[#This Row],[Hora de Llegada]]+Tabla4[[#This Row],[Tiempo Extra]]</f>
        <v>0.10902777777907129</v>
      </c>
      <c r="H230" s="5" t="str">
        <f>TEXT(Tabla4[[#This Row],[Preparación en horas]]/1440, "h:mm")</f>
        <v>0:35</v>
      </c>
      <c r="I230" s="4">
        <f>IF(Tabla5[[#This Row],[Tiempo Permanencia]]-Tabla5[[#This Row],[Tiempo de Preparación ]]&gt;=0,Tabla5[[#This Row],[Tiempo Permanencia]]-Tabla5[[#This Row],[Tiempo de Preparación ]],0)</f>
        <v>8.4722222223515734E-2</v>
      </c>
      <c r="J230" s="5" t="str">
        <f>IF(Tabla5[[#This Row],[Tiempo de Degustación]]=0,"No Cobrada","Cobrada")</f>
        <v>Cobrada</v>
      </c>
      <c r="K230" s="5" cm="1">
        <f t="array" ref="K230">SUM(IF(Tabla5[[#This Row],[Orden Cobrada]]="Cobrada",IF(Cocina!A:A=Tabla5[[#This Row],[Nº Orden]],Cocina!F:F*Cocina!G:G,0),-Tabla6[[#This Row],[Precio Cena]]))</f>
        <v>69</v>
      </c>
      <c r="L230" s="5">
        <f>IF(Tabla5[[#This Row],[Orden Cobrada]]="Cobrada",Tabla5[[#This Row],[Ganancia Bruta]]-Tabla6[[#This Row],[Coste Cena]],-Tabla6[[#This Row],[Precio Cena]]+Tabla6[[#This Row],[Coste Cena]])</f>
        <v>27</v>
      </c>
      <c r="M230" s="10">
        <f>IF(Tabla5[[#This Row],[Orden Cobrada]]="Cobrada",((Tabla5[[#This Row],[Ganancia Neta]]/Tabla5[[#This Row],[Ganancia Bruta]])*100)/100,-((Tabla5[[#This Row],[Ganancia Neta]]/Tabla5[[#This Row],[Ganancia Bruta]]*100)/100))</f>
        <v>0.39130434782608697</v>
      </c>
      <c r="N230" s="5" t="str">
        <f>sala!F229</f>
        <v>Mesero_3</v>
      </c>
      <c r="AY230" cm="1">
        <f t="array" ref="AY230">SUM(IF(Cocina!A:A=Tabla5[[#This Row],[Nº Orden]],Cocina!F:F*Cocina!G:G,0))</f>
        <v>69</v>
      </c>
      <c r="AZ230" cm="1">
        <f t="array" ref="AZ230">SUM(IF(Cocina!A:A=Tabla5[[#This Row],[Nº Orden]],Cocina!E:E*Cocina!G:G,0))</f>
        <v>42</v>
      </c>
      <c r="BB230" t="str">
        <f>MID(Tabla4[[#This Row],[Cliente]], SEARCH("_", Tabla4[[#This Row],[Cliente]]) + 1, LEN(Tabla4[[#This Row],[Cliente]]) - SEARCH("_",Tabla4[[#This Row],[Cliente]]))</f>
        <v>445</v>
      </c>
      <c r="BC230" t="str">
        <f>sala!B229</f>
        <v>Cliente_445</v>
      </c>
      <c r="BD230" s="1">
        <f>sala!D229</f>
        <v>45018.069444444445</v>
      </c>
      <c r="BE230" s="1">
        <f>sala!E229</f>
        <v>45018.168055555558</v>
      </c>
      <c r="BF230">
        <f>sala!K229</f>
        <v>228</v>
      </c>
      <c r="BG230">
        <f>sala!I229</f>
        <v>1066</v>
      </c>
      <c r="BH230" cm="1">
        <f t="array" ref="BH230">SUM(IF(Cocina!A:A=Tabla4[[#This Row],[Número de Orden]],Cocina!F:F*Cocina!G:G,0))</f>
        <v>69</v>
      </c>
      <c r="BI230" t="str">
        <f>sala!J229</f>
        <v>Ocupada</v>
      </c>
      <c r="BJ230" s="4" t="str">
        <f>IF(Tabla4[[#This Row],[Estado mesa]]="Ocupada","00:15","00:00")</f>
        <v>00:15</v>
      </c>
      <c r="BK230" cm="1">
        <f t="array" ref="BK230">SUM(IF(Cocina!A:A=Tabla4[[#This Row],[Número de Orden]],Cocina!H:H,0))</f>
        <v>35</v>
      </c>
    </row>
    <row r="231" spans="1:63" x14ac:dyDescent="0.3">
      <c r="A231" s="8" t="str">
        <f>MID(Tabla4[[#This Row],[Cliente]], SEARCH("_", Tabla4[[#This Row],[Cliente]]) + 1, LEN(Tabla4[[#This Row],[Cliente]]) - SEARCH("_",Tabla4[[#This Row],[Cliente]]))</f>
        <v>984</v>
      </c>
      <c r="B231">
        <f>sala!K230</f>
        <v>229</v>
      </c>
      <c r="C231">
        <f>Tabla4[[#This Row],[Propina]]+Tabla4[[#This Row],[Precio Cena]]</f>
        <v>2982</v>
      </c>
      <c r="D231" s="3">
        <f>INT(sala!E230)</f>
        <v>45018</v>
      </c>
      <c r="E231" s="4">
        <f>MOD( sala!D230,1)</f>
        <v>0.10694444444379769</v>
      </c>
      <c r="F231" s="4">
        <f>MOD( sala!E230,1)</f>
        <v>0.1875</v>
      </c>
      <c r="G231" s="4">
        <f>Tabla5[[#This Row],[Hora de Salida]]-Tabla5[[#This Row],[Hora de Llegada]]+Tabla4[[#This Row],[Tiempo Extra]]</f>
        <v>8.0555555556202307E-2</v>
      </c>
      <c r="H231" s="5" t="str">
        <f>TEXT(Tabla4[[#This Row],[Preparación en horas]]/1440, "h:mm")</f>
        <v>1:57</v>
      </c>
      <c r="I231" s="4">
        <f>IF(Tabla5[[#This Row],[Tiempo Permanencia]]-Tabla5[[#This Row],[Tiempo de Preparación ]]&gt;=0,Tabla5[[#This Row],[Tiempo Permanencia]]-Tabla5[[#This Row],[Tiempo de Preparación ]],0)</f>
        <v>0</v>
      </c>
      <c r="J231" s="5" t="str">
        <f>IF(Tabla5[[#This Row],[Tiempo de Degustación]]=0,"No Cobrada","Cobrada")</f>
        <v>No Cobrada</v>
      </c>
      <c r="K231" s="5" cm="1">
        <f t="array" ref="K231">SUM(IF(Tabla5[[#This Row],[Orden Cobrada]]="Cobrada",IF(Cocina!A:A=Tabla5[[#This Row],[Nº Orden]],Cocina!F:F*Cocina!G:G,0),-Tabla6[[#This Row],[Precio Cena]]))</f>
        <v>-124</v>
      </c>
      <c r="L231" s="5">
        <f>IF(Tabla5[[#This Row],[Orden Cobrada]]="Cobrada",Tabla5[[#This Row],[Ganancia Bruta]]-Tabla6[[#This Row],[Coste Cena]],-Tabla6[[#This Row],[Precio Cena]]+Tabla6[[#This Row],[Coste Cena]])</f>
        <v>-50</v>
      </c>
      <c r="M231" s="10">
        <f>IF(Tabla5[[#This Row],[Orden Cobrada]]="Cobrada",((Tabla5[[#This Row],[Ganancia Neta]]/Tabla5[[#This Row],[Ganancia Bruta]])*100)/100,-((Tabla5[[#This Row],[Ganancia Neta]]/Tabla5[[#This Row],[Ganancia Bruta]]*100)/100))</f>
        <v>-0.40322580645161288</v>
      </c>
      <c r="N231" s="5" t="str">
        <f>sala!F230</f>
        <v>Mesero_2</v>
      </c>
      <c r="AY231" cm="1">
        <f t="array" ref="AY231">SUM(IF(Cocina!A:A=Tabla5[[#This Row],[Nº Orden]],Cocina!F:F*Cocina!G:G,0))</f>
        <v>124</v>
      </c>
      <c r="AZ231" cm="1">
        <f t="array" ref="AZ231">SUM(IF(Cocina!A:A=Tabla5[[#This Row],[Nº Orden]],Cocina!E:E*Cocina!G:G,0))</f>
        <v>74</v>
      </c>
      <c r="BB231" t="str">
        <f>MID(Tabla4[[#This Row],[Cliente]], SEARCH("_", Tabla4[[#This Row],[Cliente]]) + 1, LEN(Tabla4[[#This Row],[Cliente]]) - SEARCH("_",Tabla4[[#This Row],[Cliente]]))</f>
        <v>984</v>
      </c>
      <c r="BC231" t="str">
        <f>sala!B230</f>
        <v>Cliente_984</v>
      </c>
      <c r="BD231" s="1">
        <f>sala!D230</f>
        <v>45018.106944444444</v>
      </c>
      <c r="BE231" s="1">
        <f>sala!E230</f>
        <v>45018.1875</v>
      </c>
      <c r="BF231">
        <f>sala!K230</f>
        <v>229</v>
      </c>
      <c r="BG231">
        <f>sala!I230</f>
        <v>2858</v>
      </c>
      <c r="BH231" cm="1">
        <f t="array" ref="BH231">SUM(IF(Cocina!A:A=Tabla4[[#This Row],[Número de Orden]],Cocina!F:F*Cocina!G:G,0))</f>
        <v>124</v>
      </c>
      <c r="BI231" t="str">
        <f>sala!J230</f>
        <v>Reservada</v>
      </c>
      <c r="BJ231" s="4" t="str">
        <f>IF(Tabla4[[#This Row],[Estado mesa]]="Ocupada","00:15","00:00")</f>
        <v>00:00</v>
      </c>
      <c r="BK231" cm="1">
        <f t="array" ref="BK231">SUM(IF(Cocina!A:A=Tabla4[[#This Row],[Número de Orden]],Cocina!H:H,0))</f>
        <v>117</v>
      </c>
    </row>
    <row r="232" spans="1:63" x14ac:dyDescent="0.3">
      <c r="A232" s="8" t="str">
        <f>MID(Tabla4[[#This Row],[Cliente]], SEARCH("_", Tabla4[[#This Row],[Cliente]]) + 1, LEN(Tabla4[[#This Row],[Cliente]]) - SEARCH("_",Tabla4[[#This Row],[Cliente]]))</f>
        <v>167</v>
      </c>
      <c r="B232">
        <f>sala!K231</f>
        <v>230</v>
      </c>
      <c r="C232">
        <f>Tabla4[[#This Row],[Propina]]+Tabla4[[#This Row],[Precio Cena]]</f>
        <v>1798</v>
      </c>
      <c r="D232" s="3">
        <f>INT(sala!E231)</f>
        <v>45018</v>
      </c>
      <c r="E232" s="4">
        <f>MOD( sala!D231,1)</f>
        <v>9.375E-2</v>
      </c>
      <c r="F232" s="4">
        <f>MOD( sala!E231,1)</f>
        <v>0.19999999999708962</v>
      </c>
      <c r="G232" s="4">
        <f>Tabla5[[#This Row],[Hora de Salida]]-Tabla5[[#This Row],[Hora de Llegada]]+Tabla4[[#This Row],[Tiempo Extra]]</f>
        <v>0.10624999999708962</v>
      </c>
      <c r="H232" s="5" t="str">
        <f>TEXT(Tabla4[[#This Row],[Preparación en horas]]/1440, "h:mm")</f>
        <v>1:31</v>
      </c>
      <c r="I232" s="4">
        <f>IF(Tabla5[[#This Row],[Tiempo Permanencia]]-Tabla5[[#This Row],[Tiempo de Preparación ]]&gt;=0,Tabla5[[#This Row],[Tiempo Permanencia]]-Tabla5[[#This Row],[Tiempo de Preparación ]],0)</f>
        <v>4.3055555552645175E-2</v>
      </c>
      <c r="J232" s="5" t="str">
        <f>IF(Tabla5[[#This Row],[Tiempo de Degustación]]=0,"No Cobrada","Cobrada")</f>
        <v>Cobrada</v>
      </c>
      <c r="K232" s="5" cm="1">
        <f t="array" ref="K232">SUM(IF(Tabla5[[#This Row],[Orden Cobrada]]="Cobrada",IF(Cocina!A:A=Tabla5[[#This Row],[Nº Orden]],Cocina!F:F*Cocina!G:G,0),-Tabla6[[#This Row],[Precio Cena]]))</f>
        <v>214</v>
      </c>
      <c r="L232" s="5">
        <f>IF(Tabla5[[#This Row],[Orden Cobrada]]="Cobrada",Tabla5[[#This Row],[Ganancia Bruta]]-Tabla6[[#This Row],[Coste Cena]],-Tabla6[[#This Row],[Precio Cena]]+Tabla6[[#This Row],[Coste Cena]])</f>
        <v>87</v>
      </c>
      <c r="M232" s="10">
        <f>IF(Tabla5[[#This Row],[Orden Cobrada]]="Cobrada",((Tabla5[[#This Row],[Ganancia Neta]]/Tabla5[[#This Row],[Ganancia Bruta]])*100)/100,-((Tabla5[[#This Row],[Ganancia Neta]]/Tabla5[[#This Row],[Ganancia Bruta]]*100)/100))</f>
        <v>0.40654205607476634</v>
      </c>
      <c r="N232" s="5" t="str">
        <f>sala!F231</f>
        <v>Mesero_2</v>
      </c>
      <c r="AY232" cm="1">
        <f t="array" ref="AY232">SUM(IF(Cocina!A:A=Tabla5[[#This Row],[Nº Orden]],Cocina!F:F*Cocina!G:G,0))</f>
        <v>214</v>
      </c>
      <c r="AZ232" cm="1">
        <f t="array" ref="AZ232">SUM(IF(Cocina!A:A=Tabla5[[#This Row],[Nº Orden]],Cocina!E:E*Cocina!G:G,0))</f>
        <v>127</v>
      </c>
      <c r="BB232" t="str">
        <f>MID(Tabla4[[#This Row],[Cliente]], SEARCH("_", Tabla4[[#This Row],[Cliente]]) + 1, LEN(Tabla4[[#This Row],[Cliente]]) - SEARCH("_",Tabla4[[#This Row],[Cliente]]))</f>
        <v>167</v>
      </c>
      <c r="BC232" t="str">
        <f>sala!B231</f>
        <v>Cliente_167</v>
      </c>
      <c r="BD232" s="1">
        <f>sala!D231</f>
        <v>45018.09375</v>
      </c>
      <c r="BE232" s="1">
        <f>sala!E231</f>
        <v>45018.2</v>
      </c>
      <c r="BF232">
        <f>sala!K231</f>
        <v>230</v>
      </c>
      <c r="BG232">
        <f>sala!I231</f>
        <v>1584</v>
      </c>
      <c r="BH232" cm="1">
        <f t="array" ref="BH232">SUM(IF(Cocina!A:A=Tabla4[[#This Row],[Número de Orden]],Cocina!F:F*Cocina!G:G,0))</f>
        <v>214</v>
      </c>
      <c r="BI232" t="str">
        <f>sala!J231</f>
        <v>Libre</v>
      </c>
      <c r="BJ232" s="4" t="str">
        <f>IF(Tabla4[[#This Row],[Estado mesa]]="Ocupada","00:15","00:00")</f>
        <v>00:00</v>
      </c>
      <c r="BK232" cm="1">
        <f t="array" ref="BK232">SUM(IF(Cocina!A:A=Tabla4[[#This Row],[Número de Orden]],Cocina!H:H,0))</f>
        <v>91</v>
      </c>
    </row>
    <row r="233" spans="1:63" x14ac:dyDescent="0.3">
      <c r="A233" s="8" t="str">
        <f>MID(Tabla4[[#This Row],[Cliente]], SEARCH("_", Tabla4[[#This Row],[Cliente]]) + 1, LEN(Tabla4[[#This Row],[Cliente]]) - SEARCH("_",Tabla4[[#This Row],[Cliente]]))</f>
        <v>877</v>
      </c>
      <c r="B233">
        <f>sala!K232</f>
        <v>231</v>
      </c>
      <c r="C233">
        <f>Tabla4[[#This Row],[Propina]]+Tabla4[[#This Row],[Precio Cena]]</f>
        <v>699</v>
      </c>
      <c r="D233" s="3">
        <f>INT(sala!E232)</f>
        <v>45018</v>
      </c>
      <c r="E233" s="4">
        <f>MOD( sala!D232,1)</f>
        <v>5.0000000002910383E-2</v>
      </c>
      <c r="F233" s="4">
        <f>MOD( sala!E232,1)</f>
        <v>0.13194444444525288</v>
      </c>
      <c r="G233" s="4">
        <f>Tabla5[[#This Row],[Hora de Salida]]-Tabla5[[#This Row],[Hora de Llegada]]+Tabla4[[#This Row],[Tiempo Extra]]</f>
        <v>9.2361111109009172E-2</v>
      </c>
      <c r="H233" s="5" t="str">
        <f>TEXT(Tabla4[[#This Row],[Preparación en horas]]/1440, "h:mm")</f>
        <v>2:30</v>
      </c>
      <c r="I233" s="4">
        <f>IF(Tabla5[[#This Row],[Tiempo Permanencia]]-Tabla5[[#This Row],[Tiempo de Preparación ]]&gt;=0,Tabla5[[#This Row],[Tiempo Permanencia]]-Tabla5[[#This Row],[Tiempo de Preparación ]],0)</f>
        <v>0</v>
      </c>
      <c r="J233" s="5" t="str">
        <f>IF(Tabla5[[#This Row],[Tiempo de Degustación]]=0,"No Cobrada","Cobrada")</f>
        <v>No Cobrada</v>
      </c>
      <c r="K233" s="5" cm="1">
        <f t="array" ref="K233">SUM(IF(Tabla5[[#This Row],[Orden Cobrada]]="Cobrada",IF(Cocina!A:A=Tabla5[[#This Row],[Nº Orden]],Cocina!F:F*Cocina!G:G,0),-Tabla6[[#This Row],[Precio Cena]]))</f>
        <v>-208</v>
      </c>
      <c r="L233" s="5">
        <f>IF(Tabla5[[#This Row],[Orden Cobrada]]="Cobrada",Tabla5[[#This Row],[Ganancia Bruta]]-Tabla6[[#This Row],[Coste Cena]],-Tabla6[[#This Row],[Precio Cena]]+Tabla6[[#This Row],[Coste Cena]])</f>
        <v>-83</v>
      </c>
      <c r="M233" s="10">
        <f>IF(Tabla5[[#This Row],[Orden Cobrada]]="Cobrada",((Tabla5[[#This Row],[Ganancia Neta]]/Tabla5[[#This Row],[Ganancia Bruta]])*100)/100,-((Tabla5[[#This Row],[Ganancia Neta]]/Tabla5[[#This Row],[Ganancia Bruta]]*100)/100))</f>
        <v>-0.39903846153846151</v>
      </c>
      <c r="N233" s="5" t="str">
        <f>sala!F232</f>
        <v>Mesero_2</v>
      </c>
      <c r="AY233" cm="1">
        <f t="array" ref="AY233">SUM(IF(Cocina!A:A=Tabla5[[#This Row],[Nº Orden]],Cocina!F:F*Cocina!G:G,0))</f>
        <v>208</v>
      </c>
      <c r="AZ233" cm="1">
        <f t="array" ref="AZ233">SUM(IF(Cocina!A:A=Tabla5[[#This Row],[Nº Orden]],Cocina!E:E*Cocina!G:G,0))</f>
        <v>125</v>
      </c>
      <c r="BB233" t="str">
        <f>MID(Tabla4[[#This Row],[Cliente]], SEARCH("_", Tabla4[[#This Row],[Cliente]]) + 1, LEN(Tabla4[[#This Row],[Cliente]]) - SEARCH("_",Tabla4[[#This Row],[Cliente]]))</f>
        <v>877</v>
      </c>
      <c r="BC233" t="str">
        <f>sala!B232</f>
        <v>Cliente_877</v>
      </c>
      <c r="BD233" s="1">
        <f>sala!D232</f>
        <v>45018.05</v>
      </c>
      <c r="BE233" s="1">
        <f>sala!E232</f>
        <v>45018.131944444445</v>
      </c>
      <c r="BF233">
        <f>sala!K232</f>
        <v>231</v>
      </c>
      <c r="BG233">
        <f>sala!I232</f>
        <v>491</v>
      </c>
      <c r="BH233" cm="1">
        <f t="array" ref="BH233">SUM(IF(Cocina!A:A=Tabla4[[#This Row],[Número de Orden]],Cocina!F:F*Cocina!G:G,0))</f>
        <v>208</v>
      </c>
      <c r="BI233" t="str">
        <f>sala!J232</f>
        <v>Ocupada</v>
      </c>
      <c r="BJ233" s="4" t="str">
        <f>IF(Tabla4[[#This Row],[Estado mesa]]="Ocupada","00:15","00:00")</f>
        <v>00:15</v>
      </c>
      <c r="BK233" cm="1">
        <f t="array" ref="BK233">SUM(IF(Cocina!A:A=Tabla4[[#This Row],[Número de Orden]],Cocina!H:H,0))</f>
        <v>150</v>
      </c>
    </row>
    <row r="234" spans="1:63" x14ac:dyDescent="0.3">
      <c r="A234" s="8" t="str">
        <f>MID(Tabla4[[#This Row],[Cliente]], SEARCH("_", Tabla4[[#This Row],[Cliente]]) + 1, LEN(Tabla4[[#This Row],[Cliente]]) - SEARCH("_",Tabla4[[#This Row],[Cliente]]))</f>
        <v>494</v>
      </c>
      <c r="B234">
        <f>sala!K233</f>
        <v>232</v>
      </c>
      <c r="C234">
        <f>Tabla4[[#This Row],[Propina]]+Tabla4[[#This Row],[Precio Cena]]</f>
        <v>1733</v>
      </c>
      <c r="D234" s="3">
        <f>INT(sala!E233)</f>
        <v>45018</v>
      </c>
      <c r="E234" s="4">
        <f>MOD( sala!D233,1)</f>
        <v>8.611111110803904E-2</v>
      </c>
      <c r="F234" s="4">
        <f>MOD( sala!E233,1)</f>
        <v>0.14236111110949423</v>
      </c>
      <c r="G234" s="4">
        <f>Tabla5[[#This Row],[Hora de Salida]]-Tabla5[[#This Row],[Hora de Llegada]]+Tabla4[[#This Row],[Tiempo Extra]]</f>
        <v>5.6250000001455192E-2</v>
      </c>
      <c r="H234" s="5" t="str">
        <f>TEXT(Tabla4[[#This Row],[Preparación en horas]]/1440, "h:mm")</f>
        <v>2:19</v>
      </c>
      <c r="I234" s="4">
        <f>IF(Tabla5[[#This Row],[Tiempo Permanencia]]-Tabla5[[#This Row],[Tiempo de Preparación ]]&gt;=0,Tabla5[[#This Row],[Tiempo Permanencia]]-Tabla5[[#This Row],[Tiempo de Preparación ]],0)</f>
        <v>0</v>
      </c>
      <c r="J234" s="5" t="str">
        <f>IF(Tabla5[[#This Row],[Tiempo de Degustación]]=0,"No Cobrada","Cobrada")</f>
        <v>No Cobrada</v>
      </c>
      <c r="K234" s="5" cm="1">
        <f t="array" ref="K234">SUM(IF(Tabla5[[#This Row],[Orden Cobrada]]="Cobrada",IF(Cocina!A:A=Tabla5[[#This Row],[Nº Orden]],Cocina!F:F*Cocina!G:G,0),-Tabla6[[#This Row],[Precio Cena]]))</f>
        <v>-190</v>
      </c>
      <c r="L234" s="5">
        <f>IF(Tabla5[[#This Row],[Orden Cobrada]]="Cobrada",Tabla5[[#This Row],[Ganancia Bruta]]-Tabla6[[#This Row],[Coste Cena]],-Tabla6[[#This Row],[Precio Cena]]+Tabla6[[#This Row],[Coste Cena]])</f>
        <v>-78</v>
      </c>
      <c r="M234" s="10">
        <f>IF(Tabla5[[#This Row],[Orden Cobrada]]="Cobrada",((Tabla5[[#This Row],[Ganancia Neta]]/Tabla5[[#This Row],[Ganancia Bruta]])*100)/100,-((Tabla5[[#This Row],[Ganancia Neta]]/Tabla5[[#This Row],[Ganancia Bruta]]*100)/100))</f>
        <v>-0.41052631578947368</v>
      </c>
      <c r="N234" s="5" t="str">
        <f>sala!F233</f>
        <v>Mesero_1</v>
      </c>
      <c r="AY234" cm="1">
        <f t="array" ref="AY234">SUM(IF(Cocina!A:A=Tabla5[[#This Row],[Nº Orden]],Cocina!F:F*Cocina!G:G,0))</f>
        <v>190</v>
      </c>
      <c r="AZ234" cm="1">
        <f t="array" ref="AZ234">SUM(IF(Cocina!A:A=Tabla5[[#This Row],[Nº Orden]],Cocina!E:E*Cocina!G:G,0))</f>
        <v>112</v>
      </c>
      <c r="BB234" t="str">
        <f>MID(Tabla4[[#This Row],[Cliente]], SEARCH("_", Tabla4[[#This Row],[Cliente]]) + 1, LEN(Tabla4[[#This Row],[Cliente]]) - SEARCH("_",Tabla4[[#This Row],[Cliente]]))</f>
        <v>494</v>
      </c>
      <c r="BC234" t="str">
        <f>sala!B233</f>
        <v>Cliente_494</v>
      </c>
      <c r="BD234" s="1">
        <f>sala!D233</f>
        <v>45018.086111111108</v>
      </c>
      <c r="BE234" s="1">
        <f>sala!E233</f>
        <v>45018.142361111109</v>
      </c>
      <c r="BF234">
        <f>sala!K233</f>
        <v>232</v>
      </c>
      <c r="BG234">
        <f>sala!I233</f>
        <v>1543</v>
      </c>
      <c r="BH234" cm="1">
        <f t="array" ref="BH234">SUM(IF(Cocina!A:A=Tabla4[[#This Row],[Número de Orden]],Cocina!F:F*Cocina!G:G,0))</f>
        <v>190</v>
      </c>
      <c r="BI234" t="str">
        <f>sala!J233</f>
        <v>Reservada</v>
      </c>
      <c r="BJ234" s="4" t="str">
        <f>IF(Tabla4[[#This Row],[Estado mesa]]="Ocupada","00:15","00:00")</f>
        <v>00:00</v>
      </c>
      <c r="BK234" cm="1">
        <f t="array" ref="BK234">SUM(IF(Cocina!A:A=Tabla4[[#This Row],[Número de Orden]],Cocina!H:H,0))</f>
        <v>139</v>
      </c>
    </row>
    <row r="235" spans="1:63" x14ac:dyDescent="0.3">
      <c r="A235" s="8" t="str">
        <f>MID(Tabla4[[#This Row],[Cliente]], SEARCH("_", Tabla4[[#This Row],[Cliente]]) + 1, LEN(Tabla4[[#This Row],[Cliente]]) - SEARCH("_",Tabla4[[#This Row],[Cliente]]))</f>
        <v>881</v>
      </c>
      <c r="B235">
        <f>sala!K234</f>
        <v>233</v>
      </c>
      <c r="C235">
        <f>Tabla4[[#This Row],[Propina]]+Tabla4[[#This Row],[Precio Cena]]</f>
        <v>4602</v>
      </c>
      <c r="D235" s="3">
        <f>INT(sala!E234)</f>
        <v>45018</v>
      </c>
      <c r="E235" s="4">
        <f>MOD( sala!D234,1)</f>
        <v>3.6111111112404615E-2</v>
      </c>
      <c r="F235" s="4">
        <f>MOD( sala!E234,1)</f>
        <v>0.11041666667006211</v>
      </c>
      <c r="G235" s="4">
        <f>Tabla5[[#This Row],[Hora de Salida]]-Tabla5[[#This Row],[Hora de Llegada]]+Tabla4[[#This Row],[Tiempo Extra]]</f>
        <v>7.4305555557657499E-2</v>
      </c>
      <c r="H235" s="5" t="str">
        <f>TEXT(Tabla4[[#This Row],[Preparación en horas]]/1440, "h:mm")</f>
        <v>0:31</v>
      </c>
      <c r="I235" s="4">
        <f>IF(Tabla5[[#This Row],[Tiempo Permanencia]]-Tabla5[[#This Row],[Tiempo de Preparación ]]&gt;=0,Tabla5[[#This Row],[Tiempo Permanencia]]-Tabla5[[#This Row],[Tiempo de Preparación ]],0)</f>
        <v>5.2777777779879721E-2</v>
      </c>
      <c r="J235" s="5" t="str">
        <f>IF(Tabla5[[#This Row],[Tiempo de Degustación]]=0,"No Cobrada","Cobrada")</f>
        <v>Cobrada</v>
      </c>
      <c r="K235" s="5" cm="1">
        <f t="array" ref="K235">SUM(IF(Tabla5[[#This Row],[Orden Cobrada]]="Cobrada",IF(Cocina!A:A=Tabla5[[#This Row],[Nº Orden]],Cocina!F:F*Cocina!G:G,0),-Tabla6[[#This Row],[Precio Cena]]))</f>
        <v>38</v>
      </c>
      <c r="L235" s="5">
        <f>IF(Tabla5[[#This Row],[Orden Cobrada]]="Cobrada",Tabla5[[#This Row],[Ganancia Bruta]]-Tabla6[[#This Row],[Coste Cena]],-Tabla6[[#This Row],[Precio Cena]]+Tabla6[[#This Row],[Coste Cena]])</f>
        <v>16</v>
      </c>
      <c r="M235" s="10">
        <f>IF(Tabla5[[#This Row],[Orden Cobrada]]="Cobrada",((Tabla5[[#This Row],[Ganancia Neta]]/Tabla5[[#This Row],[Ganancia Bruta]])*100)/100,-((Tabla5[[#This Row],[Ganancia Neta]]/Tabla5[[#This Row],[Ganancia Bruta]]*100)/100))</f>
        <v>0.42105263157894735</v>
      </c>
      <c r="N235" s="5" t="str">
        <f>sala!F234</f>
        <v>Mesero_2</v>
      </c>
      <c r="AY235" cm="1">
        <f t="array" ref="AY235">SUM(IF(Cocina!A:A=Tabla5[[#This Row],[Nº Orden]],Cocina!F:F*Cocina!G:G,0))</f>
        <v>38</v>
      </c>
      <c r="AZ235" cm="1">
        <f t="array" ref="AZ235">SUM(IF(Cocina!A:A=Tabla5[[#This Row],[Nº Orden]],Cocina!E:E*Cocina!G:G,0))</f>
        <v>22</v>
      </c>
      <c r="BB235" t="str">
        <f>MID(Tabla4[[#This Row],[Cliente]], SEARCH("_", Tabla4[[#This Row],[Cliente]]) + 1, LEN(Tabla4[[#This Row],[Cliente]]) - SEARCH("_",Tabla4[[#This Row],[Cliente]]))</f>
        <v>881</v>
      </c>
      <c r="BC235" t="str">
        <f>sala!B234</f>
        <v>Cliente_881</v>
      </c>
      <c r="BD235" s="1">
        <f>sala!D234</f>
        <v>45018.036111111112</v>
      </c>
      <c r="BE235" s="1">
        <f>sala!E234</f>
        <v>45018.11041666667</v>
      </c>
      <c r="BF235">
        <f>sala!K234</f>
        <v>233</v>
      </c>
      <c r="BG235">
        <f>sala!I234</f>
        <v>4564</v>
      </c>
      <c r="BH235" cm="1">
        <f t="array" ref="BH235">SUM(IF(Cocina!A:A=Tabla4[[#This Row],[Número de Orden]],Cocina!F:F*Cocina!G:G,0))</f>
        <v>38</v>
      </c>
      <c r="BI235" t="str">
        <f>sala!J234</f>
        <v>Libre</v>
      </c>
      <c r="BJ235" s="4" t="str">
        <f>IF(Tabla4[[#This Row],[Estado mesa]]="Ocupada","00:15","00:00")</f>
        <v>00:00</v>
      </c>
      <c r="BK235" cm="1">
        <f t="array" ref="BK235">SUM(IF(Cocina!A:A=Tabla4[[#This Row],[Número de Orden]],Cocina!H:H,0))</f>
        <v>31</v>
      </c>
    </row>
    <row r="236" spans="1:63" x14ac:dyDescent="0.3">
      <c r="A236" s="8" t="str">
        <f>MID(Tabla4[[#This Row],[Cliente]], SEARCH("_", Tabla4[[#This Row],[Cliente]]) + 1, LEN(Tabla4[[#This Row],[Cliente]]) - SEARCH("_",Tabla4[[#This Row],[Cliente]]))</f>
        <v>264</v>
      </c>
      <c r="B236">
        <f>sala!K235</f>
        <v>234</v>
      </c>
      <c r="C236">
        <f>Tabla4[[#This Row],[Propina]]+Tabla4[[#This Row],[Precio Cena]]</f>
        <v>1247</v>
      </c>
      <c r="D236" s="3">
        <f>INT(sala!E235)</f>
        <v>45018</v>
      </c>
      <c r="E236" s="4">
        <f>MOD( sala!D235,1)</f>
        <v>0.11527777777519077</v>
      </c>
      <c r="F236" s="4">
        <f>MOD( sala!E235,1)</f>
        <v>0.22777777777810115</v>
      </c>
      <c r="G236" s="4">
        <f>Tabla5[[#This Row],[Hora de Salida]]-Tabla5[[#This Row],[Hora de Llegada]]+Tabla4[[#This Row],[Tiempo Extra]]</f>
        <v>0.11250000000291038</v>
      </c>
      <c r="H236" s="5" t="str">
        <f>TEXT(Tabla4[[#This Row],[Preparación en horas]]/1440, "h:mm")</f>
        <v>1:39</v>
      </c>
      <c r="I236" s="4">
        <f>IF(Tabla5[[#This Row],[Tiempo Permanencia]]-Tabla5[[#This Row],[Tiempo de Preparación ]]&gt;=0,Tabla5[[#This Row],[Tiempo Permanencia]]-Tabla5[[#This Row],[Tiempo de Preparación ]],0)</f>
        <v>4.3750000002910377E-2</v>
      </c>
      <c r="J236" s="5" t="str">
        <f>IF(Tabla5[[#This Row],[Tiempo de Degustación]]=0,"No Cobrada","Cobrada")</f>
        <v>Cobrada</v>
      </c>
      <c r="K236" s="5" cm="1">
        <f t="array" ref="K236">SUM(IF(Tabla5[[#This Row],[Orden Cobrada]]="Cobrada",IF(Cocina!A:A=Tabla5[[#This Row],[Nº Orden]],Cocina!F:F*Cocina!G:G,0),-Tabla6[[#This Row],[Precio Cena]]))</f>
        <v>225</v>
      </c>
      <c r="L236" s="5">
        <f>IF(Tabla5[[#This Row],[Orden Cobrada]]="Cobrada",Tabla5[[#This Row],[Ganancia Bruta]]-Tabla6[[#This Row],[Coste Cena]],-Tabla6[[#This Row],[Precio Cena]]+Tabla6[[#This Row],[Coste Cena]])</f>
        <v>90</v>
      </c>
      <c r="M236" s="10">
        <f>IF(Tabla5[[#This Row],[Orden Cobrada]]="Cobrada",((Tabla5[[#This Row],[Ganancia Neta]]/Tabla5[[#This Row],[Ganancia Bruta]])*100)/100,-((Tabla5[[#This Row],[Ganancia Neta]]/Tabla5[[#This Row],[Ganancia Bruta]]*100)/100))</f>
        <v>0.4</v>
      </c>
      <c r="N236" s="5" t="str">
        <f>sala!F235</f>
        <v>Mesero_3</v>
      </c>
      <c r="AY236" cm="1">
        <f t="array" ref="AY236">SUM(IF(Cocina!A:A=Tabla5[[#This Row],[Nº Orden]],Cocina!F:F*Cocina!G:G,0))</f>
        <v>225</v>
      </c>
      <c r="AZ236" cm="1">
        <f t="array" ref="AZ236">SUM(IF(Cocina!A:A=Tabla5[[#This Row],[Nº Orden]],Cocina!E:E*Cocina!G:G,0))</f>
        <v>135</v>
      </c>
      <c r="BB236" t="str">
        <f>MID(Tabla4[[#This Row],[Cliente]], SEARCH("_", Tabla4[[#This Row],[Cliente]]) + 1, LEN(Tabla4[[#This Row],[Cliente]]) - SEARCH("_",Tabla4[[#This Row],[Cliente]]))</f>
        <v>264</v>
      </c>
      <c r="BC236" t="str">
        <f>sala!B235</f>
        <v>Cliente_264</v>
      </c>
      <c r="BD236" s="1">
        <f>sala!D235</f>
        <v>45018.115277777775</v>
      </c>
      <c r="BE236" s="1">
        <f>sala!E235</f>
        <v>45018.227777777778</v>
      </c>
      <c r="BF236">
        <f>sala!K235</f>
        <v>234</v>
      </c>
      <c r="BG236">
        <f>sala!I235</f>
        <v>1022</v>
      </c>
      <c r="BH236" cm="1">
        <f t="array" ref="BH236">SUM(IF(Cocina!A:A=Tabla4[[#This Row],[Número de Orden]],Cocina!F:F*Cocina!G:G,0))</f>
        <v>225</v>
      </c>
      <c r="BI236" t="str">
        <f>sala!J235</f>
        <v>Libre</v>
      </c>
      <c r="BJ236" s="4" t="str">
        <f>IF(Tabla4[[#This Row],[Estado mesa]]="Ocupada","00:15","00:00")</f>
        <v>00:00</v>
      </c>
      <c r="BK236" cm="1">
        <f t="array" ref="BK236">SUM(IF(Cocina!A:A=Tabla4[[#This Row],[Número de Orden]],Cocina!H:H,0))</f>
        <v>99</v>
      </c>
    </row>
    <row r="237" spans="1:63" x14ac:dyDescent="0.3">
      <c r="A237" s="8" t="str">
        <f>MID(Tabla4[[#This Row],[Cliente]], SEARCH("_", Tabla4[[#This Row],[Cliente]]) + 1, LEN(Tabla4[[#This Row],[Cliente]]) - SEARCH("_",Tabla4[[#This Row],[Cliente]]))</f>
        <v>230</v>
      </c>
      <c r="B237">
        <f>sala!K236</f>
        <v>235</v>
      </c>
      <c r="C237">
        <f>Tabla4[[#This Row],[Propina]]+Tabla4[[#This Row],[Precio Cena]]</f>
        <v>2670</v>
      </c>
      <c r="D237" s="3">
        <f>INT(sala!E236)</f>
        <v>45018</v>
      </c>
      <c r="E237" s="4">
        <f>MOD( sala!D236,1)</f>
        <v>1.5277777776645962E-2</v>
      </c>
      <c r="F237" s="4">
        <f>MOD( sala!E236,1)</f>
        <v>0.11666666666860692</v>
      </c>
      <c r="G237" s="4">
        <f>Tabla5[[#This Row],[Hora de Salida]]-Tabla5[[#This Row],[Hora de Llegada]]+Tabla4[[#This Row],[Tiempo Extra]]</f>
        <v>0.10138888889196096</v>
      </c>
      <c r="H237" s="5" t="str">
        <f>TEXT(Tabla4[[#This Row],[Preparación en horas]]/1440, "h:mm")</f>
        <v>0:25</v>
      </c>
      <c r="I237" s="4">
        <f>IF(Tabla5[[#This Row],[Tiempo Permanencia]]-Tabla5[[#This Row],[Tiempo de Preparación ]]&gt;=0,Tabla5[[#This Row],[Tiempo Permanencia]]-Tabla5[[#This Row],[Tiempo de Preparación ]],0)</f>
        <v>8.4027777780849855E-2</v>
      </c>
      <c r="J237" s="5" t="str">
        <f>IF(Tabla5[[#This Row],[Tiempo de Degustación]]=0,"No Cobrada","Cobrada")</f>
        <v>Cobrada</v>
      </c>
      <c r="K237" s="5" cm="1">
        <f t="array" ref="K237">SUM(IF(Tabla5[[#This Row],[Orden Cobrada]]="Cobrada",IF(Cocina!A:A=Tabla5[[#This Row],[Nº Orden]],Cocina!F:F*Cocina!G:G,0),-Tabla6[[#This Row],[Precio Cena]]))</f>
        <v>33</v>
      </c>
      <c r="L237" s="5">
        <f>IF(Tabla5[[#This Row],[Orden Cobrada]]="Cobrada",Tabla5[[#This Row],[Ganancia Bruta]]-Tabla6[[#This Row],[Coste Cena]],-Tabla6[[#This Row],[Precio Cena]]+Tabla6[[#This Row],[Coste Cena]])</f>
        <v>13</v>
      </c>
      <c r="M237" s="10">
        <f>IF(Tabla5[[#This Row],[Orden Cobrada]]="Cobrada",((Tabla5[[#This Row],[Ganancia Neta]]/Tabla5[[#This Row],[Ganancia Bruta]])*100)/100,-((Tabla5[[#This Row],[Ganancia Neta]]/Tabla5[[#This Row],[Ganancia Bruta]]*100)/100))</f>
        <v>0.39393939393939392</v>
      </c>
      <c r="N237" s="5" t="str">
        <f>sala!F236</f>
        <v>Mesero_3</v>
      </c>
      <c r="AY237" cm="1">
        <f t="array" ref="AY237">SUM(IF(Cocina!A:A=Tabla5[[#This Row],[Nº Orden]],Cocina!F:F*Cocina!G:G,0))</f>
        <v>33</v>
      </c>
      <c r="AZ237" cm="1">
        <f t="array" ref="AZ237">SUM(IF(Cocina!A:A=Tabla5[[#This Row],[Nº Orden]],Cocina!E:E*Cocina!G:G,0))</f>
        <v>20</v>
      </c>
      <c r="BB237" t="str">
        <f>MID(Tabla4[[#This Row],[Cliente]], SEARCH("_", Tabla4[[#This Row],[Cliente]]) + 1, LEN(Tabla4[[#This Row],[Cliente]]) - SEARCH("_",Tabla4[[#This Row],[Cliente]]))</f>
        <v>230</v>
      </c>
      <c r="BC237" t="str">
        <f>sala!B236</f>
        <v>Cliente_230</v>
      </c>
      <c r="BD237" s="1">
        <f>sala!D236</f>
        <v>45018.015277777777</v>
      </c>
      <c r="BE237" s="1">
        <f>sala!E236</f>
        <v>45018.116666666669</v>
      </c>
      <c r="BF237">
        <f>sala!K236</f>
        <v>235</v>
      </c>
      <c r="BG237">
        <f>sala!I236</f>
        <v>2637</v>
      </c>
      <c r="BH237" cm="1">
        <f t="array" ref="BH237">SUM(IF(Cocina!A:A=Tabla4[[#This Row],[Número de Orden]],Cocina!F:F*Cocina!G:G,0))</f>
        <v>33</v>
      </c>
      <c r="BI237" t="str">
        <f>sala!J236</f>
        <v>Reservada</v>
      </c>
      <c r="BJ237" s="4" t="str">
        <f>IF(Tabla4[[#This Row],[Estado mesa]]="Ocupada","00:15","00:00")</f>
        <v>00:00</v>
      </c>
      <c r="BK237" cm="1">
        <f t="array" ref="BK237">SUM(IF(Cocina!A:A=Tabla4[[#This Row],[Número de Orden]],Cocina!H:H,0))</f>
        <v>25</v>
      </c>
    </row>
    <row r="238" spans="1:63" x14ac:dyDescent="0.3">
      <c r="A238" s="8" t="str">
        <f>MID(Tabla4[[#This Row],[Cliente]], SEARCH("_", Tabla4[[#This Row],[Cliente]]) + 1, LEN(Tabla4[[#This Row],[Cliente]]) - SEARCH("_",Tabla4[[#This Row],[Cliente]]))</f>
        <v>142</v>
      </c>
      <c r="B238">
        <f>sala!K237</f>
        <v>236</v>
      </c>
      <c r="C238">
        <f>Tabla4[[#This Row],[Propina]]+Tabla4[[#This Row],[Precio Cena]]</f>
        <v>4236</v>
      </c>
      <c r="D238" s="3">
        <f>INT(sala!E237)</f>
        <v>45018</v>
      </c>
      <c r="E238" s="4">
        <f>MOD( sala!D237,1)</f>
        <v>3.6111111112404615E-2</v>
      </c>
      <c r="F238" s="4">
        <f>MOD( sala!E237,1)</f>
        <v>0.10138888889196096</v>
      </c>
      <c r="G238" s="4">
        <f>Tabla5[[#This Row],[Hora de Salida]]-Tabla5[[#This Row],[Hora de Llegada]]+Tabla4[[#This Row],[Tiempo Extra]]</f>
        <v>6.5277777779556345E-2</v>
      </c>
      <c r="H238" s="5" t="str">
        <f>TEXT(Tabla4[[#This Row],[Preparación en horas]]/1440, "h:mm")</f>
        <v>1:41</v>
      </c>
      <c r="I238" s="4">
        <f>IF(Tabla5[[#This Row],[Tiempo Permanencia]]-Tabla5[[#This Row],[Tiempo de Preparación ]]&gt;=0,Tabla5[[#This Row],[Tiempo Permanencia]]-Tabla5[[#This Row],[Tiempo de Preparación ]],0)</f>
        <v>0</v>
      </c>
      <c r="J238" s="5" t="str">
        <f>IF(Tabla5[[#This Row],[Tiempo de Degustación]]=0,"No Cobrada","Cobrada")</f>
        <v>No Cobrada</v>
      </c>
      <c r="K238" s="5" cm="1">
        <f t="array" ref="K238">SUM(IF(Tabla5[[#This Row],[Orden Cobrada]]="Cobrada",IF(Cocina!A:A=Tabla5[[#This Row],[Nº Orden]],Cocina!F:F*Cocina!G:G,0),-Tabla6[[#This Row],[Precio Cena]]))</f>
        <v>-255</v>
      </c>
      <c r="L238" s="5">
        <f>IF(Tabla5[[#This Row],[Orden Cobrada]]="Cobrada",Tabla5[[#This Row],[Ganancia Bruta]]-Tabla6[[#This Row],[Coste Cena]],-Tabla6[[#This Row],[Precio Cena]]+Tabla6[[#This Row],[Coste Cena]])</f>
        <v>-102</v>
      </c>
      <c r="M238" s="10">
        <f>IF(Tabla5[[#This Row],[Orden Cobrada]]="Cobrada",((Tabla5[[#This Row],[Ganancia Neta]]/Tabla5[[#This Row],[Ganancia Bruta]])*100)/100,-((Tabla5[[#This Row],[Ganancia Neta]]/Tabla5[[#This Row],[Ganancia Bruta]]*100)/100))</f>
        <v>-0.4</v>
      </c>
      <c r="N238" s="5" t="str">
        <f>sala!F237</f>
        <v>Mesero_3</v>
      </c>
      <c r="AY238" cm="1">
        <f t="array" ref="AY238">SUM(IF(Cocina!A:A=Tabla5[[#This Row],[Nº Orden]],Cocina!F:F*Cocina!G:G,0))</f>
        <v>255</v>
      </c>
      <c r="AZ238" cm="1">
        <f t="array" ref="AZ238">SUM(IF(Cocina!A:A=Tabla5[[#This Row],[Nº Orden]],Cocina!E:E*Cocina!G:G,0))</f>
        <v>153</v>
      </c>
      <c r="BB238" t="str">
        <f>MID(Tabla4[[#This Row],[Cliente]], SEARCH("_", Tabla4[[#This Row],[Cliente]]) + 1, LEN(Tabla4[[#This Row],[Cliente]]) - SEARCH("_",Tabla4[[#This Row],[Cliente]]))</f>
        <v>142</v>
      </c>
      <c r="BC238" t="str">
        <f>sala!B237</f>
        <v>Cliente_142</v>
      </c>
      <c r="BD238" s="1">
        <f>sala!D237</f>
        <v>45018.036111111112</v>
      </c>
      <c r="BE238" s="1">
        <f>sala!E237</f>
        <v>45018.101388888892</v>
      </c>
      <c r="BF238">
        <f>sala!K237</f>
        <v>236</v>
      </c>
      <c r="BG238">
        <f>sala!I237</f>
        <v>3981</v>
      </c>
      <c r="BH238" cm="1">
        <f t="array" ref="BH238">SUM(IF(Cocina!A:A=Tabla4[[#This Row],[Número de Orden]],Cocina!F:F*Cocina!G:G,0))</f>
        <v>255</v>
      </c>
      <c r="BI238" t="str">
        <f>sala!J237</f>
        <v>Libre</v>
      </c>
      <c r="BJ238" s="4" t="str">
        <f>IF(Tabla4[[#This Row],[Estado mesa]]="Ocupada","00:15","00:00")</f>
        <v>00:00</v>
      </c>
      <c r="BK238" cm="1">
        <f t="array" ref="BK238">SUM(IF(Cocina!A:A=Tabla4[[#This Row],[Número de Orden]],Cocina!H:H,0))</f>
        <v>101</v>
      </c>
    </row>
    <row r="239" spans="1:63" x14ac:dyDescent="0.3">
      <c r="A239" s="8" t="str">
        <f>MID(Tabla4[[#This Row],[Cliente]], SEARCH("_", Tabla4[[#This Row],[Cliente]]) + 1, LEN(Tabla4[[#This Row],[Cliente]]) - SEARCH("_",Tabla4[[#This Row],[Cliente]]))</f>
        <v>55</v>
      </c>
      <c r="B239">
        <f>sala!K238</f>
        <v>237</v>
      </c>
      <c r="C239">
        <f>Tabla4[[#This Row],[Propina]]+Tabla4[[#This Row],[Precio Cena]]</f>
        <v>1421</v>
      </c>
      <c r="D239" s="3">
        <f>INT(sala!E238)</f>
        <v>45018</v>
      </c>
      <c r="E239" s="4">
        <f>MOD( sala!D238,1)</f>
        <v>0.11458333333575865</v>
      </c>
      <c r="F239" s="4">
        <f>MOD( sala!E238,1)</f>
        <v>0.25</v>
      </c>
      <c r="G239" s="4">
        <f>Tabla5[[#This Row],[Hora de Salida]]-Tabla5[[#This Row],[Hora de Llegada]]+Tabla4[[#This Row],[Tiempo Extra]]</f>
        <v>0.145833333330908</v>
      </c>
      <c r="H239" s="5" t="str">
        <f>TEXT(Tabla4[[#This Row],[Preparación en horas]]/1440, "h:mm")</f>
        <v>0:37</v>
      </c>
      <c r="I239" s="4">
        <f>IF(Tabla5[[#This Row],[Tiempo Permanencia]]-Tabla5[[#This Row],[Tiempo de Preparación ]]&gt;=0,Tabla5[[#This Row],[Tiempo Permanencia]]-Tabla5[[#This Row],[Tiempo de Preparación ]],0)</f>
        <v>0.12013888888646357</v>
      </c>
      <c r="J239" s="5" t="str">
        <f>IF(Tabla5[[#This Row],[Tiempo de Degustación]]=0,"No Cobrada","Cobrada")</f>
        <v>Cobrada</v>
      </c>
      <c r="K239" s="5" cm="1">
        <f t="array" ref="K239">SUM(IF(Tabla5[[#This Row],[Orden Cobrada]]="Cobrada",IF(Cocina!A:A=Tabla5[[#This Row],[Nº Orden]],Cocina!F:F*Cocina!G:G,0),-Tabla6[[#This Row],[Precio Cena]]))</f>
        <v>106</v>
      </c>
      <c r="L239" s="5">
        <f>IF(Tabla5[[#This Row],[Orden Cobrada]]="Cobrada",Tabla5[[#This Row],[Ganancia Bruta]]-Tabla6[[#This Row],[Coste Cena]],-Tabla6[[#This Row],[Precio Cena]]+Tabla6[[#This Row],[Coste Cena]])</f>
        <v>42</v>
      </c>
      <c r="M239" s="10">
        <f>IF(Tabla5[[#This Row],[Orden Cobrada]]="Cobrada",((Tabla5[[#This Row],[Ganancia Neta]]/Tabla5[[#This Row],[Ganancia Bruta]])*100)/100,-((Tabla5[[#This Row],[Ganancia Neta]]/Tabla5[[#This Row],[Ganancia Bruta]]*100)/100))</f>
        <v>0.39622641509433959</v>
      </c>
      <c r="N239" s="5" t="str">
        <f>sala!F238</f>
        <v>Mesero_2</v>
      </c>
      <c r="AY239" cm="1">
        <f t="array" ref="AY239">SUM(IF(Cocina!A:A=Tabla5[[#This Row],[Nº Orden]],Cocina!F:F*Cocina!G:G,0))</f>
        <v>106</v>
      </c>
      <c r="AZ239" cm="1">
        <f t="array" ref="AZ239">SUM(IF(Cocina!A:A=Tabla5[[#This Row],[Nº Orden]],Cocina!E:E*Cocina!G:G,0))</f>
        <v>64</v>
      </c>
      <c r="BB239" t="str">
        <f>MID(Tabla4[[#This Row],[Cliente]], SEARCH("_", Tabla4[[#This Row],[Cliente]]) + 1, LEN(Tabla4[[#This Row],[Cliente]]) - SEARCH("_",Tabla4[[#This Row],[Cliente]]))</f>
        <v>55</v>
      </c>
      <c r="BC239" t="str">
        <f>sala!B238</f>
        <v>Cliente_55</v>
      </c>
      <c r="BD239" s="1">
        <f>sala!D238</f>
        <v>45018.114583333336</v>
      </c>
      <c r="BE239" s="1">
        <f>sala!E238</f>
        <v>45018.25</v>
      </c>
      <c r="BF239">
        <f>sala!K238</f>
        <v>237</v>
      </c>
      <c r="BG239">
        <f>sala!I238</f>
        <v>1315</v>
      </c>
      <c r="BH239" cm="1">
        <f t="array" ref="BH239">SUM(IF(Cocina!A:A=Tabla4[[#This Row],[Número de Orden]],Cocina!F:F*Cocina!G:G,0))</f>
        <v>106</v>
      </c>
      <c r="BI239" t="str">
        <f>sala!J238</f>
        <v>Ocupada</v>
      </c>
      <c r="BJ239" s="4" t="str">
        <f>IF(Tabla4[[#This Row],[Estado mesa]]="Ocupada","00:15","00:00")</f>
        <v>00:15</v>
      </c>
      <c r="BK239" cm="1">
        <f t="array" ref="BK239">SUM(IF(Cocina!A:A=Tabla4[[#This Row],[Número de Orden]],Cocina!H:H,0))</f>
        <v>37</v>
      </c>
    </row>
    <row r="240" spans="1:63" x14ac:dyDescent="0.3">
      <c r="A240" s="8" t="str">
        <f>MID(Tabla4[[#This Row],[Cliente]], SEARCH("_", Tabla4[[#This Row],[Cliente]]) + 1, LEN(Tabla4[[#This Row],[Cliente]]) - SEARCH("_",Tabla4[[#This Row],[Cliente]]))</f>
        <v>599</v>
      </c>
      <c r="B240">
        <f>sala!K239</f>
        <v>238</v>
      </c>
      <c r="C240">
        <f>Tabla4[[#This Row],[Propina]]+Tabla4[[#This Row],[Precio Cena]]</f>
        <v>3374</v>
      </c>
      <c r="D240" s="3">
        <f>INT(sala!E239)</f>
        <v>45018</v>
      </c>
      <c r="E240" s="4">
        <f>MOD( sala!D239,1)</f>
        <v>9.5138888886140194E-2</v>
      </c>
      <c r="F240" s="4">
        <f>MOD( sala!E239,1)</f>
        <v>0.20555555555620231</v>
      </c>
      <c r="G240" s="4">
        <f>Tabla5[[#This Row],[Hora de Salida]]-Tabla5[[#This Row],[Hora de Llegada]]+Tabla4[[#This Row],[Tiempo Extra]]</f>
        <v>0.11041666667006211</v>
      </c>
      <c r="H240" s="5" t="str">
        <f>TEXT(Tabla4[[#This Row],[Preparación en horas]]/1440, "h:mm")</f>
        <v>0:45</v>
      </c>
      <c r="I240" s="4">
        <f>IF(Tabla5[[#This Row],[Tiempo Permanencia]]-Tabla5[[#This Row],[Tiempo de Preparación ]]&gt;=0,Tabla5[[#This Row],[Tiempo Permanencia]]-Tabla5[[#This Row],[Tiempo de Preparación ]],0)</f>
        <v>7.9166666670062114E-2</v>
      </c>
      <c r="J240" s="5" t="str">
        <f>IF(Tabla5[[#This Row],[Tiempo de Degustación]]=0,"No Cobrada","Cobrada")</f>
        <v>Cobrada</v>
      </c>
      <c r="K240" s="5" cm="1">
        <f t="array" ref="K240">SUM(IF(Tabla5[[#This Row],[Orden Cobrada]]="Cobrada",IF(Cocina!A:A=Tabla5[[#This Row],[Nº Orden]],Cocina!F:F*Cocina!G:G,0),-Tabla6[[#This Row],[Precio Cena]]))</f>
        <v>72</v>
      </c>
      <c r="L240" s="5">
        <f>IF(Tabla5[[#This Row],[Orden Cobrada]]="Cobrada",Tabla5[[#This Row],[Ganancia Bruta]]-Tabla6[[#This Row],[Coste Cena]],-Tabla6[[#This Row],[Precio Cena]]+Tabla6[[#This Row],[Coste Cena]])</f>
        <v>28</v>
      </c>
      <c r="M240" s="10">
        <f>IF(Tabla5[[#This Row],[Orden Cobrada]]="Cobrada",((Tabla5[[#This Row],[Ganancia Neta]]/Tabla5[[#This Row],[Ganancia Bruta]])*100)/100,-((Tabla5[[#This Row],[Ganancia Neta]]/Tabla5[[#This Row],[Ganancia Bruta]]*100)/100))</f>
        <v>0.38888888888888895</v>
      </c>
      <c r="N240" s="5" t="str">
        <f>sala!F239</f>
        <v>Mesero_2</v>
      </c>
      <c r="AY240" cm="1">
        <f t="array" ref="AY240">SUM(IF(Cocina!A:A=Tabla5[[#This Row],[Nº Orden]],Cocina!F:F*Cocina!G:G,0))</f>
        <v>72</v>
      </c>
      <c r="AZ240" cm="1">
        <f t="array" ref="AZ240">SUM(IF(Cocina!A:A=Tabla5[[#This Row],[Nº Orden]],Cocina!E:E*Cocina!G:G,0))</f>
        <v>44</v>
      </c>
      <c r="BB240" t="str">
        <f>MID(Tabla4[[#This Row],[Cliente]], SEARCH("_", Tabla4[[#This Row],[Cliente]]) + 1, LEN(Tabla4[[#This Row],[Cliente]]) - SEARCH("_",Tabla4[[#This Row],[Cliente]]))</f>
        <v>599</v>
      </c>
      <c r="BC240" t="str">
        <f>sala!B239</f>
        <v>Cliente_599</v>
      </c>
      <c r="BD240" s="1">
        <f>sala!D239</f>
        <v>45018.095138888886</v>
      </c>
      <c r="BE240" s="1">
        <f>sala!E239</f>
        <v>45018.205555555556</v>
      </c>
      <c r="BF240">
        <f>sala!K239</f>
        <v>238</v>
      </c>
      <c r="BG240">
        <f>sala!I239</f>
        <v>3302</v>
      </c>
      <c r="BH240" cm="1">
        <f t="array" ref="BH240">SUM(IF(Cocina!A:A=Tabla4[[#This Row],[Número de Orden]],Cocina!F:F*Cocina!G:G,0))</f>
        <v>72</v>
      </c>
      <c r="BI240" t="str">
        <f>sala!J239</f>
        <v>Libre</v>
      </c>
      <c r="BJ240" s="4" t="str">
        <f>IF(Tabla4[[#This Row],[Estado mesa]]="Ocupada","00:15","00:00")</f>
        <v>00:00</v>
      </c>
      <c r="BK240" cm="1">
        <f t="array" ref="BK240">SUM(IF(Cocina!A:A=Tabla4[[#This Row],[Número de Orden]],Cocina!H:H,0))</f>
        <v>45</v>
      </c>
    </row>
    <row r="241" spans="1:63" x14ac:dyDescent="0.3">
      <c r="A241" s="8" t="str">
        <f>MID(Tabla4[[#This Row],[Cliente]], SEARCH("_", Tabla4[[#This Row],[Cliente]]) + 1, LEN(Tabla4[[#This Row],[Cliente]]) - SEARCH("_",Tabla4[[#This Row],[Cliente]]))</f>
        <v>856</v>
      </c>
      <c r="B241">
        <f>sala!K240</f>
        <v>239</v>
      </c>
      <c r="C241">
        <f>Tabla4[[#This Row],[Propina]]+Tabla4[[#This Row],[Precio Cena]]</f>
        <v>1250</v>
      </c>
      <c r="D241" s="3">
        <f>INT(sala!E240)</f>
        <v>45018</v>
      </c>
      <c r="E241" s="4">
        <f>MOD( sala!D240,1)</f>
        <v>0.11527777777519077</v>
      </c>
      <c r="F241" s="4">
        <f>MOD( sala!E240,1)</f>
        <v>0.25486111111240461</v>
      </c>
      <c r="G241" s="4">
        <f>Tabla5[[#This Row],[Hora de Salida]]-Tabla5[[#This Row],[Hora de Llegada]]+Tabla4[[#This Row],[Tiempo Extra]]</f>
        <v>0.13958333333721384</v>
      </c>
      <c r="H241" s="5" t="str">
        <f>TEXT(Tabla4[[#This Row],[Preparación en horas]]/1440, "h:mm")</f>
        <v>1:13</v>
      </c>
      <c r="I241" s="4">
        <f>IF(Tabla5[[#This Row],[Tiempo Permanencia]]-Tabla5[[#This Row],[Tiempo de Preparación ]]&gt;=0,Tabla5[[#This Row],[Tiempo Permanencia]]-Tabla5[[#This Row],[Tiempo de Preparación ]],0)</f>
        <v>8.8888888892769399E-2</v>
      </c>
      <c r="J241" s="5" t="str">
        <f>IF(Tabla5[[#This Row],[Tiempo de Degustación]]=0,"No Cobrada","Cobrada")</f>
        <v>Cobrada</v>
      </c>
      <c r="K241" s="5" cm="1">
        <f t="array" ref="K241">SUM(IF(Tabla5[[#This Row],[Orden Cobrada]]="Cobrada",IF(Cocina!A:A=Tabla5[[#This Row],[Nº Orden]],Cocina!F:F*Cocina!G:G,0),-Tabla6[[#This Row],[Precio Cena]]))</f>
        <v>74</v>
      </c>
      <c r="L241" s="5">
        <f>IF(Tabla5[[#This Row],[Orden Cobrada]]="Cobrada",Tabla5[[#This Row],[Ganancia Bruta]]-Tabla6[[#This Row],[Coste Cena]],-Tabla6[[#This Row],[Precio Cena]]+Tabla6[[#This Row],[Coste Cena]])</f>
        <v>31</v>
      </c>
      <c r="M241" s="10">
        <f>IF(Tabla5[[#This Row],[Orden Cobrada]]="Cobrada",((Tabla5[[#This Row],[Ganancia Neta]]/Tabla5[[#This Row],[Ganancia Bruta]])*100)/100,-((Tabla5[[#This Row],[Ganancia Neta]]/Tabla5[[#This Row],[Ganancia Bruta]]*100)/100))</f>
        <v>0.41891891891891897</v>
      </c>
      <c r="N241" s="5" t="str">
        <f>sala!F240</f>
        <v>Mesero_4</v>
      </c>
      <c r="AY241" cm="1">
        <f t="array" ref="AY241">SUM(IF(Cocina!A:A=Tabla5[[#This Row],[Nº Orden]],Cocina!F:F*Cocina!G:G,0))</f>
        <v>74</v>
      </c>
      <c r="AZ241" cm="1">
        <f t="array" ref="AZ241">SUM(IF(Cocina!A:A=Tabla5[[#This Row],[Nº Orden]],Cocina!E:E*Cocina!G:G,0))</f>
        <v>43</v>
      </c>
      <c r="BB241" t="str">
        <f>MID(Tabla4[[#This Row],[Cliente]], SEARCH("_", Tabla4[[#This Row],[Cliente]]) + 1, LEN(Tabla4[[#This Row],[Cliente]]) - SEARCH("_",Tabla4[[#This Row],[Cliente]]))</f>
        <v>856</v>
      </c>
      <c r="BC241" t="str">
        <f>sala!B240</f>
        <v>Cliente_856</v>
      </c>
      <c r="BD241" s="1">
        <f>sala!D240</f>
        <v>45018.115277777775</v>
      </c>
      <c r="BE241" s="1">
        <f>sala!E240</f>
        <v>45018.254861111112</v>
      </c>
      <c r="BF241">
        <f>sala!K240</f>
        <v>239</v>
      </c>
      <c r="BG241">
        <f>sala!I240</f>
        <v>1176</v>
      </c>
      <c r="BH241" cm="1">
        <f t="array" ref="BH241">SUM(IF(Cocina!A:A=Tabla4[[#This Row],[Número de Orden]],Cocina!F:F*Cocina!G:G,0))</f>
        <v>74</v>
      </c>
      <c r="BI241" t="str">
        <f>sala!J240</f>
        <v>Reservada</v>
      </c>
      <c r="BJ241" s="4" t="str">
        <f>IF(Tabla4[[#This Row],[Estado mesa]]="Ocupada","00:15","00:00")</f>
        <v>00:00</v>
      </c>
      <c r="BK241" cm="1">
        <f t="array" ref="BK241">SUM(IF(Cocina!A:A=Tabla4[[#This Row],[Número de Orden]],Cocina!H:H,0))</f>
        <v>73</v>
      </c>
    </row>
    <row r="242" spans="1:63" x14ac:dyDescent="0.3">
      <c r="A242" s="8" t="str">
        <f>MID(Tabla4[[#This Row],[Cliente]], SEARCH("_", Tabla4[[#This Row],[Cliente]]) + 1, LEN(Tabla4[[#This Row],[Cliente]]) - SEARCH("_",Tabla4[[#This Row],[Cliente]]))</f>
        <v>722</v>
      </c>
      <c r="B242">
        <f>sala!K241</f>
        <v>240</v>
      </c>
      <c r="C242">
        <f>Tabla4[[#This Row],[Propina]]+Tabla4[[#This Row],[Precio Cena]]</f>
        <v>3675</v>
      </c>
      <c r="D242" s="3">
        <f>INT(sala!E241)</f>
        <v>45018</v>
      </c>
      <c r="E242" s="4">
        <f>MOD( sala!D241,1)</f>
        <v>1.1111111110949423E-2</v>
      </c>
      <c r="F242" s="4">
        <f>MOD( sala!E241,1)</f>
        <v>0.13194444444525288</v>
      </c>
      <c r="G242" s="4">
        <f>Tabla5[[#This Row],[Hora de Salida]]-Tabla5[[#This Row],[Hora de Llegada]]+Tabla4[[#This Row],[Tiempo Extra]]</f>
        <v>0.12083333333430346</v>
      </c>
      <c r="H242" s="5" t="str">
        <f>TEXT(Tabla4[[#This Row],[Preparación en horas]]/1440, "h:mm")</f>
        <v>2:09</v>
      </c>
      <c r="I242" s="4">
        <f>IF(Tabla5[[#This Row],[Tiempo Permanencia]]-Tabla5[[#This Row],[Tiempo de Preparación ]]&gt;=0,Tabla5[[#This Row],[Tiempo Permanencia]]-Tabla5[[#This Row],[Tiempo de Preparación ]],0)</f>
        <v>3.1250000000970127E-2</v>
      </c>
      <c r="J242" s="5" t="str">
        <f>IF(Tabla5[[#This Row],[Tiempo de Degustación]]=0,"No Cobrada","Cobrada")</f>
        <v>Cobrada</v>
      </c>
      <c r="K242" s="5" cm="1">
        <f t="array" ref="K242">SUM(IF(Tabla5[[#This Row],[Orden Cobrada]]="Cobrada",IF(Cocina!A:A=Tabla5[[#This Row],[Nº Orden]],Cocina!F:F*Cocina!G:G,0),-Tabla6[[#This Row],[Precio Cena]]))</f>
        <v>294</v>
      </c>
      <c r="L242" s="5">
        <f>IF(Tabla5[[#This Row],[Orden Cobrada]]="Cobrada",Tabla5[[#This Row],[Ganancia Bruta]]-Tabla6[[#This Row],[Coste Cena]],-Tabla6[[#This Row],[Precio Cena]]+Tabla6[[#This Row],[Coste Cena]])</f>
        <v>118</v>
      </c>
      <c r="M242" s="10">
        <f>IF(Tabla5[[#This Row],[Orden Cobrada]]="Cobrada",((Tabla5[[#This Row],[Ganancia Neta]]/Tabla5[[#This Row],[Ganancia Bruta]])*100)/100,-((Tabla5[[#This Row],[Ganancia Neta]]/Tabla5[[#This Row],[Ganancia Bruta]]*100)/100))</f>
        <v>0.40136054421768708</v>
      </c>
      <c r="N242" s="5" t="str">
        <f>sala!F241</f>
        <v>Mesero_3</v>
      </c>
      <c r="AY242" cm="1">
        <f t="array" ref="AY242">SUM(IF(Cocina!A:A=Tabla5[[#This Row],[Nº Orden]],Cocina!F:F*Cocina!G:G,0))</f>
        <v>294</v>
      </c>
      <c r="AZ242" cm="1">
        <f t="array" ref="AZ242">SUM(IF(Cocina!A:A=Tabla5[[#This Row],[Nº Orden]],Cocina!E:E*Cocina!G:G,0))</f>
        <v>176</v>
      </c>
      <c r="BB242" t="str">
        <f>MID(Tabla4[[#This Row],[Cliente]], SEARCH("_", Tabla4[[#This Row],[Cliente]]) + 1, LEN(Tabla4[[#This Row],[Cliente]]) - SEARCH("_",Tabla4[[#This Row],[Cliente]]))</f>
        <v>722</v>
      </c>
      <c r="BC242" t="str">
        <f>sala!B241</f>
        <v>Cliente_722</v>
      </c>
      <c r="BD242" s="1">
        <f>sala!D241</f>
        <v>45018.011111111111</v>
      </c>
      <c r="BE242" s="1">
        <f>sala!E241</f>
        <v>45018.131944444445</v>
      </c>
      <c r="BF242">
        <f>sala!K241</f>
        <v>240</v>
      </c>
      <c r="BG242">
        <f>sala!I241</f>
        <v>3381</v>
      </c>
      <c r="BH242" cm="1">
        <f t="array" ref="BH242">SUM(IF(Cocina!A:A=Tabla4[[#This Row],[Número de Orden]],Cocina!F:F*Cocina!G:G,0))</f>
        <v>294</v>
      </c>
      <c r="BI242" t="str">
        <f>sala!J241</f>
        <v>Libre</v>
      </c>
      <c r="BJ242" s="4" t="str">
        <f>IF(Tabla4[[#This Row],[Estado mesa]]="Ocupada","00:15","00:00")</f>
        <v>00:00</v>
      </c>
      <c r="BK242" cm="1">
        <f t="array" ref="BK242">SUM(IF(Cocina!A:A=Tabla4[[#This Row],[Número de Orden]],Cocina!H:H,0))</f>
        <v>129</v>
      </c>
    </row>
    <row r="243" spans="1:63" x14ac:dyDescent="0.3">
      <c r="A243" s="8" t="str">
        <f>MID(Tabla4[[#This Row],[Cliente]], SEARCH("_", Tabla4[[#This Row],[Cliente]]) + 1, LEN(Tabla4[[#This Row],[Cliente]]) - SEARCH("_",Tabla4[[#This Row],[Cliente]]))</f>
        <v>935</v>
      </c>
      <c r="B243">
        <f>sala!K242</f>
        <v>241</v>
      </c>
      <c r="C243">
        <f>Tabla4[[#This Row],[Propina]]+Tabla4[[#This Row],[Precio Cena]]</f>
        <v>3915</v>
      </c>
      <c r="D243" s="3">
        <f>INT(sala!E242)</f>
        <v>45018</v>
      </c>
      <c r="E243" s="4">
        <f>MOD( sala!D242,1)</f>
        <v>2.7777777795563452E-3</v>
      </c>
      <c r="F243" s="4">
        <f>MOD( sala!E242,1)</f>
        <v>4.4444444443797693E-2</v>
      </c>
      <c r="G243" s="4">
        <f>Tabla5[[#This Row],[Hora de Salida]]-Tabla5[[#This Row],[Hora de Llegada]]+Tabla4[[#This Row],[Tiempo Extra]]</f>
        <v>5.2083333330908012E-2</v>
      </c>
      <c r="H243" s="5" t="str">
        <f>TEXT(Tabla4[[#This Row],[Preparación en horas]]/1440, "h:mm")</f>
        <v>0:11</v>
      </c>
      <c r="I243" s="4">
        <f>IF(Tabla5[[#This Row],[Tiempo Permanencia]]-Tabla5[[#This Row],[Tiempo de Preparación ]]&gt;=0,Tabla5[[#This Row],[Tiempo Permanencia]]-Tabla5[[#This Row],[Tiempo de Preparación ]],0)</f>
        <v>4.4444444442019122E-2</v>
      </c>
      <c r="J243" s="5" t="str">
        <f>IF(Tabla5[[#This Row],[Tiempo de Degustación]]=0,"No Cobrada","Cobrada")</f>
        <v>Cobrada</v>
      </c>
      <c r="K243" s="5" cm="1">
        <f t="array" ref="K243">SUM(IF(Tabla5[[#This Row],[Orden Cobrada]]="Cobrada",IF(Cocina!A:A=Tabla5[[#This Row],[Nº Orden]],Cocina!F:F*Cocina!G:G,0),-Tabla6[[#This Row],[Precio Cena]]))</f>
        <v>18</v>
      </c>
      <c r="L243" s="5">
        <f>IF(Tabla5[[#This Row],[Orden Cobrada]]="Cobrada",Tabla5[[#This Row],[Ganancia Bruta]]-Tabla6[[#This Row],[Coste Cena]],-Tabla6[[#This Row],[Precio Cena]]+Tabla6[[#This Row],[Coste Cena]])</f>
        <v>8</v>
      </c>
      <c r="M243" s="10">
        <f>IF(Tabla5[[#This Row],[Orden Cobrada]]="Cobrada",((Tabla5[[#This Row],[Ganancia Neta]]/Tabla5[[#This Row],[Ganancia Bruta]])*100)/100,-((Tabla5[[#This Row],[Ganancia Neta]]/Tabla5[[#This Row],[Ganancia Bruta]]*100)/100))</f>
        <v>0.44444444444444442</v>
      </c>
      <c r="N243" s="5" t="str">
        <f>sala!F242</f>
        <v>Mesero_5</v>
      </c>
      <c r="AY243" cm="1">
        <f t="array" ref="AY243">SUM(IF(Cocina!A:A=Tabla5[[#This Row],[Nº Orden]],Cocina!F:F*Cocina!G:G,0))</f>
        <v>18</v>
      </c>
      <c r="AZ243" cm="1">
        <f t="array" ref="AZ243">SUM(IF(Cocina!A:A=Tabla5[[#This Row],[Nº Orden]],Cocina!E:E*Cocina!G:G,0))</f>
        <v>10</v>
      </c>
      <c r="BB243" t="str">
        <f>MID(Tabla4[[#This Row],[Cliente]], SEARCH("_", Tabla4[[#This Row],[Cliente]]) + 1, LEN(Tabla4[[#This Row],[Cliente]]) - SEARCH("_",Tabla4[[#This Row],[Cliente]]))</f>
        <v>935</v>
      </c>
      <c r="BC243" t="str">
        <f>sala!B242</f>
        <v>Cliente_935</v>
      </c>
      <c r="BD243" s="1">
        <f>sala!D242</f>
        <v>45018.00277777778</v>
      </c>
      <c r="BE243" s="1">
        <f>sala!E242</f>
        <v>45018.044444444444</v>
      </c>
      <c r="BF243">
        <f>sala!K242</f>
        <v>241</v>
      </c>
      <c r="BG243">
        <f>sala!I242</f>
        <v>3897</v>
      </c>
      <c r="BH243" cm="1">
        <f t="array" ref="BH243">SUM(IF(Cocina!A:A=Tabla4[[#This Row],[Número de Orden]],Cocina!F:F*Cocina!G:G,0))</f>
        <v>18</v>
      </c>
      <c r="BI243" t="str">
        <f>sala!J242</f>
        <v>Ocupada</v>
      </c>
      <c r="BJ243" s="4" t="str">
        <f>IF(Tabla4[[#This Row],[Estado mesa]]="Ocupada","00:15","00:00")</f>
        <v>00:15</v>
      </c>
      <c r="BK243" cm="1">
        <f t="array" ref="BK243">SUM(IF(Cocina!A:A=Tabla4[[#This Row],[Número de Orden]],Cocina!H:H,0))</f>
        <v>11</v>
      </c>
    </row>
    <row r="244" spans="1:63" x14ac:dyDescent="0.3">
      <c r="A244" s="8" t="str">
        <f>MID(Tabla4[[#This Row],[Cliente]], SEARCH("_", Tabla4[[#This Row],[Cliente]]) + 1, LEN(Tabla4[[#This Row],[Cliente]]) - SEARCH("_",Tabla4[[#This Row],[Cliente]]))</f>
        <v>961</v>
      </c>
      <c r="B244">
        <f>sala!K243</f>
        <v>242</v>
      </c>
      <c r="C244">
        <f>Tabla4[[#This Row],[Propina]]+Tabla4[[#This Row],[Precio Cena]]</f>
        <v>3263</v>
      </c>
      <c r="D244" s="3">
        <f>INT(sala!E243)</f>
        <v>45018</v>
      </c>
      <c r="E244" s="4">
        <f>MOD( sala!D243,1)</f>
        <v>0.15416666666715173</v>
      </c>
      <c r="F244" s="4">
        <f>MOD( sala!E243,1)</f>
        <v>0.21458333333430346</v>
      </c>
      <c r="G244" s="4">
        <f>Tabla5[[#This Row],[Hora de Salida]]-Tabla5[[#This Row],[Hora de Llegada]]+Tabla4[[#This Row],[Tiempo Extra]]</f>
        <v>6.0416666667151731E-2</v>
      </c>
      <c r="H244" s="5" t="str">
        <f>TEXT(Tabla4[[#This Row],[Preparación en horas]]/1440, "h:mm")</f>
        <v>1:39</v>
      </c>
      <c r="I244" s="4">
        <f>IF(Tabla5[[#This Row],[Tiempo Permanencia]]-Tabla5[[#This Row],[Tiempo de Preparación ]]&gt;=0,Tabla5[[#This Row],[Tiempo Permanencia]]-Tabla5[[#This Row],[Tiempo de Preparación ]],0)</f>
        <v>0</v>
      </c>
      <c r="J244" s="5" t="str">
        <f>IF(Tabla5[[#This Row],[Tiempo de Degustación]]=0,"No Cobrada","Cobrada")</f>
        <v>No Cobrada</v>
      </c>
      <c r="K244" s="5" cm="1">
        <f t="array" ref="K244">SUM(IF(Tabla5[[#This Row],[Orden Cobrada]]="Cobrada",IF(Cocina!A:A=Tabla5[[#This Row],[Nº Orden]],Cocina!F:F*Cocina!G:G,0),-Tabla6[[#This Row],[Precio Cena]]))</f>
        <v>-134</v>
      </c>
      <c r="L244" s="5">
        <f>IF(Tabla5[[#This Row],[Orden Cobrada]]="Cobrada",Tabla5[[#This Row],[Ganancia Bruta]]-Tabla6[[#This Row],[Coste Cena]],-Tabla6[[#This Row],[Precio Cena]]+Tabla6[[#This Row],[Coste Cena]])</f>
        <v>-54</v>
      </c>
      <c r="M244" s="10">
        <f>IF(Tabla5[[#This Row],[Orden Cobrada]]="Cobrada",((Tabla5[[#This Row],[Ganancia Neta]]/Tabla5[[#This Row],[Ganancia Bruta]])*100)/100,-((Tabla5[[#This Row],[Ganancia Neta]]/Tabla5[[#This Row],[Ganancia Bruta]]*100)/100))</f>
        <v>-0.40298507462686567</v>
      </c>
      <c r="N244" s="5" t="str">
        <f>sala!F243</f>
        <v>Mesero_2</v>
      </c>
      <c r="AY244" cm="1">
        <f t="array" ref="AY244">SUM(IF(Cocina!A:A=Tabla5[[#This Row],[Nº Orden]],Cocina!F:F*Cocina!G:G,0))</f>
        <v>134</v>
      </c>
      <c r="AZ244" cm="1">
        <f t="array" ref="AZ244">SUM(IF(Cocina!A:A=Tabla5[[#This Row],[Nº Orden]],Cocina!E:E*Cocina!G:G,0))</f>
        <v>80</v>
      </c>
      <c r="BB244" t="str">
        <f>MID(Tabla4[[#This Row],[Cliente]], SEARCH("_", Tabla4[[#This Row],[Cliente]]) + 1, LEN(Tabla4[[#This Row],[Cliente]]) - SEARCH("_",Tabla4[[#This Row],[Cliente]]))</f>
        <v>961</v>
      </c>
      <c r="BC244" t="str">
        <f>sala!B243</f>
        <v>Cliente_961</v>
      </c>
      <c r="BD244" s="1">
        <f>sala!D243</f>
        <v>45018.154166666667</v>
      </c>
      <c r="BE244" s="1">
        <f>sala!E243</f>
        <v>45018.214583333334</v>
      </c>
      <c r="BF244">
        <f>sala!K243</f>
        <v>242</v>
      </c>
      <c r="BG244">
        <f>sala!I243</f>
        <v>3129</v>
      </c>
      <c r="BH244" cm="1">
        <f t="array" ref="BH244">SUM(IF(Cocina!A:A=Tabla4[[#This Row],[Número de Orden]],Cocina!F:F*Cocina!G:G,0))</f>
        <v>134</v>
      </c>
      <c r="BI244" t="str">
        <f>sala!J243</f>
        <v>Reservada</v>
      </c>
      <c r="BJ244" s="4" t="str">
        <f>IF(Tabla4[[#This Row],[Estado mesa]]="Ocupada","00:15","00:00")</f>
        <v>00:00</v>
      </c>
      <c r="BK244" cm="1">
        <f t="array" ref="BK244">SUM(IF(Cocina!A:A=Tabla4[[#This Row],[Número de Orden]],Cocina!H:H,0))</f>
        <v>99</v>
      </c>
    </row>
    <row r="245" spans="1:63" x14ac:dyDescent="0.3">
      <c r="A245" s="8" t="str">
        <f>MID(Tabla4[[#This Row],[Cliente]], SEARCH("_", Tabla4[[#This Row],[Cliente]]) + 1, LEN(Tabla4[[#This Row],[Cliente]]) - SEARCH("_",Tabla4[[#This Row],[Cliente]]))</f>
        <v>924</v>
      </c>
      <c r="B245">
        <f>sala!K244</f>
        <v>243</v>
      </c>
      <c r="C245">
        <f>Tabla4[[#This Row],[Propina]]+Tabla4[[#This Row],[Precio Cena]]</f>
        <v>2265</v>
      </c>
      <c r="D245" s="3">
        <f>INT(sala!E244)</f>
        <v>45018</v>
      </c>
      <c r="E245" s="4">
        <f>MOD( sala!D244,1)</f>
        <v>2.9166666667151731E-2</v>
      </c>
      <c r="F245" s="4">
        <f>MOD( sala!E244,1)</f>
        <v>0.17430555555620231</v>
      </c>
      <c r="G245" s="4">
        <f>Tabla5[[#This Row],[Hora de Salida]]-Tabla5[[#This Row],[Hora de Llegada]]+Tabla4[[#This Row],[Tiempo Extra]]</f>
        <v>0.14513888888905058</v>
      </c>
      <c r="H245" s="5" t="str">
        <f>TEXT(Tabla4[[#This Row],[Preparación en horas]]/1440, "h:mm")</f>
        <v>0:22</v>
      </c>
      <c r="I245" s="4">
        <f>IF(Tabla5[[#This Row],[Tiempo Permanencia]]-Tabla5[[#This Row],[Tiempo de Preparación ]]&gt;=0,Tabla5[[#This Row],[Tiempo Permanencia]]-Tabla5[[#This Row],[Tiempo de Preparación ]],0)</f>
        <v>0.1298611111112728</v>
      </c>
      <c r="J245" s="5" t="str">
        <f>IF(Tabla5[[#This Row],[Tiempo de Degustación]]=0,"No Cobrada","Cobrada")</f>
        <v>Cobrada</v>
      </c>
      <c r="K245" s="5" cm="1">
        <f t="array" ref="K245">SUM(IF(Tabla5[[#This Row],[Orden Cobrada]]="Cobrada",IF(Cocina!A:A=Tabla5[[#This Row],[Nº Orden]],Cocina!F:F*Cocina!G:G,0),-Tabla6[[#This Row],[Precio Cena]]))</f>
        <v>120</v>
      </c>
      <c r="L245" s="5">
        <f>IF(Tabla5[[#This Row],[Orden Cobrada]]="Cobrada",Tabla5[[#This Row],[Ganancia Bruta]]-Tabla6[[#This Row],[Coste Cena]],-Tabla6[[#This Row],[Precio Cena]]+Tabla6[[#This Row],[Coste Cena]])</f>
        <v>45</v>
      </c>
      <c r="M245" s="10">
        <f>IF(Tabla5[[#This Row],[Orden Cobrada]]="Cobrada",((Tabla5[[#This Row],[Ganancia Neta]]/Tabla5[[#This Row],[Ganancia Bruta]])*100)/100,-((Tabla5[[#This Row],[Ganancia Neta]]/Tabla5[[#This Row],[Ganancia Bruta]]*100)/100))</f>
        <v>0.375</v>
      </c>
      <c r="N245" s="5" t="str">
        <f>sala!F244</f>
        <v>Mesero_2</v>
      </c>
      <c r="AY245" cm="1">
        <f t="array" ref="AY245">SUM(IF(Cocina!A:A=Tabla5[[#This Row],[Nº Orden]],Cocina!F:F*Cocina!G:G,0))</f>
        <v>120</v>
      </c>
      <c r="AZ245" cm="1">
        <f t="array" ref="AZ245">SUM(IF(Cocina!A:A=Tabla5[[#This Row],[Nº Orden]],Cocina!E:E*Cocina!G:G,0))</f>
        <v>75</v>
      </c>
      <c r="BB245" t="str">
        <f>MID(Tabla4[[#This Row],[Cliente]], SEARCH("_", Tabla4[[#This Row],[Cliente]]) + 1, LEN(Tabla4[[#This Row],[Cliente]]) - SEARCH("_",Tabla4[[#This Row],[Cliente]]))</f>
        <v>924</v>
      </c>
      <c r="BC245" t="str">
        <f>sala!B244</f>
        <v>Cliente_924</v>
      </c>
      <c r="BD245" s="1">
        <f>sala!D244</f>
        <v>45018.029166666667</v>
      </c>
      <c r="BE245" s="1">
        <f>sala!E244</f>
        <v>45018.174305555556</v>
      </c>
      <c r="BF245">
        <f>sala!K244</f>
        <v>243</v>
      </c>
      <c r="BG245">
        <f>sala!I244</f>
        <v>2145</v>
      </c>
      <c r="BH245" cm="1">
        <f t="array" ref="BH245">SUM(IF(Cocina!A:A=Tabla4[[#This Row],[Número de Orden]],Cocina!F:F*Cocina!G:G,0))</f>
        <v>120</v>
      </c>
      <c r="BI245" t="str">
        <f>sala!J244</f>
        <v>Libre</v>
      </c>
      <c r="BJ245" s="4" t="str">
        <f>IF(Tabla4[[#This Row],[Estado mesa]]="Ocupada","00:15","00:00")</f>
        <v>00:00</v>
      </c>
      <c r="BK245" cm="1">
        <f t="array" ref="BK245">SUM(IF(Cocina!A:A=Tabla4[[#This Row],[Número de Orden]],Cocina!H:H,0))</f>
        <v>22</v>
      </c>
    </row>
    <row r="246" spans="1:63" x14ac:dyDescent="0.3">
      <c r="A246" s="8" t="str">
        <f>MID(Tabla4[[#This Row],[Cliente]], SEARCH("_", Tabla4[[#This Row],[Cliente]]) + 1, LEN(Tabla4[[#This Row],[Cliente]]) - SEARCH("_",Tabla4[[#This Row],[Cliente]]))</f>
        <v>390</v>
      </c>
      <c r="B246">
        <f>sala!K245</f>
        <v>244</v>
      </c>
      <c r="C246">
        <f>Tabla4[[#This Row],[Propina]]+Tabla4[[#This Row],[Precio Cena]]</f>
        <v>1923</v>
      </c>
      <c r="D246" s="3">
        <f>INT(sala!E245)</f>
        <v>45018</v>
      </c>
      <c r="E246" s="4">
        <f>MOD( sala!D245,1)</f>
        <v>0.15555555555329192</v>
      </c>
      <c r="F246" s="4">
        <f>MOD( sala!E245,1)</f>
        <v>0.25069444444670808</v>
      </c>
      <c r="G246" s="4">
        <f>Tabla5[[#This Row],[Hora de Salida]]-Tabla5[[#This Row],[Hora de Llegada]]+Tabla4[[#This Row],[Tiempo Extra]]</f>
        <v>9.5138888893416151E-2</v>
      </c>
      <c r="H246" s="5" t="str">
        <f>TEXT(Tabla4[[#This Row],[Preparación en horas]]/1440, "h:mm")</f>
        <v>1:29</v>
      </c>
      <c r="I246" s="4">
        <f>IF(Tabla5[[#This Row],[Tiempo Permanencia]]-Tabla5[[#This Row],[Tiempo de Preparación ]]&gt;=0,Tabla5[[#This Row],[Tiempo Permanencia]]-Tabla5[[#This Row],[Tiempo de Preparación ]],0)</f>
        <v>3.3333333337860593E-2</v>
      </c>
      <c r="J246" s="5" t="str">
        <f>IF(Tabla5[[#This Row],[Tiempo de Degustación]]=0,"No Cobrada","Cobrada")</f>
        <v>Cobrada</v>
      </c>
      <c r="K246" s="5" cm="1">
        <f t="array" ref="K246">SUM(IF(Tabla5[[#This Row],[Orden Cobrada]]="Cobrada",IF(Cocina!A:A=Tabla5[[#This Row],[Nº Orden]],Cocina!F:F*Cocina!G:G,0),-Tabla6[[#This Row],[Precio Cena]]))</f>
        <v>158</v>
      </c>
      <c r="L246" s="5">
        <f>IF(Tabla5[[#This Row],[Orden Cobrada]]="Cobrada",Tabla5[[#This Row],[Ganancia Bruta]]-Tabla6[[#This Row],[Coste Cena]],-Tabla6[[#This Row],[Precio Cena]]+Tabla6[[#This Row],[Coste Cena]])</f>
        <v>61</v>
      </c>
      <c r="M246" s="10">
        <f>IF(Tabla5[[#This Row],[Orden Cobrada]]="Cobrada",((Tabla5[[#This Row],[Ganancia Neta]]/Tabla5[[#This Row],[Ganancia Bruta]])*100)/100,-((Tabla5[[#This Row],[Ganancia Neta]]/Tabla5[[#This Row],[Ganancia Bruta]]*100)/100))</f>
        <v>0.38607594936708867</v>
      </c>
      <c r="N246" s="5" t="str">
        <f>sala!F245</f>
        <v>Mesero_3</v>
      </c>
      <c r="AY246" cm="1">
        <f t="array" ref="AY246">SUM(IF(Cocina!A:A=Tabla5[[#This Row],[Nº Orden]],Cocina!F:F*Cocina!G:G,0))</f>
        <v>158</v>
      </c>
      <c r="AZ246" cm="1">
        <f t="array" ref="AZ246">SUM(IF(Cocina!A:A=Tabla5[[#This Row],[Nº Orden]],Cocina!E:E*Cocina!G:G,0))</f>
        <v>97</v>
      </c>
      <c r="BB246" t="str">
        <f>MID(Tabla4[[#This Row],[Cliente]], SEARCH("_", Tabla4[[#This Row],[Cliente]]) + 1, LEN(Tabla4[[#This Row],[Cliente]]) - SEARCH("_",Tabla4[[#This Row],[Cliente]]))</f>
        <v>390</v>
      </c>
      <c r="BC246" t="str">
        <f>sala!B245</f>
        <v>Cliente_390</v>
      </c>
      <c r="BD246" s="1">
        <f>sala!D245</f>
        <v>45018.155555555553</v>
      </c>
      <c r="BE246" s="1">
        <f>sala!E245</f>
        <v>45018.250694444447</v>
      </c>
      <c r="BF246">
        <f>sala!K245</f>
        <v>244</v>
      </c>
      <c r="BG246">
        <f>sala!I245</f>
        <v>1765</v>
      </c>
      <c r="BH246" cm="1">
        <f t="array" ref="BH246">SUM(IF(Cocina!A:A=Tabla4[[#This Row],[Número de Orden]],Cocina!F:F*Cocina!G:G,0))</f>
        <v>158</v>
      </c>
      <c r="BI246" t="str">
        <f>sala!J245</f>
        <v>Reservada</v>
      </c>
      <c r="BJ246" s="4" t="str">
        <f>IF(Tabla4[[#This Row],[Estado mesa]]="Ocupada","00:15","00:00")</f>
        <v>00:00</v>
      </c>
      <c r="BK246" cm="1">
        <f t="array" ref="BK246">SUM(IF(Cocina!A:A=Tabla4[[#This Row],[Número de Orden]],Cocina!H:H,0))</f>
        <v>89</v>
      </c>
    </row>
    <row r="247" spans="1:63" x14ac:dyDescent="0.3">
      <c r="A247" s="8" t="str">
        <f>MID(Tabla4[[#This Row],[Cliente]], SEARCH("_", Tabla4[[#This Row],[Cliente]]) + 1, LEN(Tabla4[[#This Row],[Cliente]]) - SEARCH("_",Tabla4[[#This Row],[Cliente]]))</f>
        <v>579</v>
      </c>
      <c r="B247">
        <f>sala!K246</f>
        <v>245</v>
      </c>
      <c r="C247">
        <f>Tabla4[[#This Row],[Propina]]+Tabla4[[#This Row],[Precio Cena]]</f>
        <v>1755</v>
      </c>
      <c r="D247" s="3">
        <f>INT(sala!E246)</f>
        <v>45018</v>
      </c>
      <c r="E247" s="4">
        <f>MOD( sala!D246,1)</f>
        <v>0.14652777777519077</v>
      </c>
      <c r="F247" s="4">
        <f>MOD( sala!E246,1)</f>
        <v>0.28958333333139308</v>
      </c>
      <c r="G247" s="4">
        <f>Tabla5[[#This Row],[Hora de Salida]]-Tabla5[[#This Row],[Hora de Llegada]]+Tabla4[[#This Row],[Tiempo Extra]]</f>
        <v>0.14305555555620231</v>
      </c>
      <c r="H247" s="5" t="str">
        <f>TEXT(Tabla4[[#This Row],[Preparación en horas]]/1440, "h:mm")</f>
        <v>1:56</v>
      </c>
      <c r="I247" s="4">
        <f>IF(Tabla5[[#This Row],[Tiempo Permanencia]]-Tabla5[[#This Row],[Tiempo de Preparación ]]&gt;=0,Tabla5[[#This Row],[Tiempo Permanencia]]-Tabla5[[#This Row],[Tiempo de Preparación ]],0)</f>
        <v>6.2500000000646747E-2</v>
      </c>
      <c r="J247" s="5" t="str">
        <f>IF(Tabla5[[#This Row],[Tiempo de Degustación]]=0,"No Cobrada","Cobrada")</f>
        <v>Cobrada</v>
      </c>
      <c r="K247" s="5" cm="1">
        <f t="array" ref="K247">SUM(IF(Tabla5[[#This Row],[Orden Cobrada]]="Cobrada",IF(Cocina!A:A=Tabla5[[#This Row],[Nº Orden]],Cocina!F:F*Cocina!G:G,0),-Tabla6[[#This Row],[Precio Cena]]))</f>
        <v>273</v>
      </c>
      <c r="L247" s="5">
        <f>IF(Tabla5[[#This Row],[Orden Cobrada]]="Cobrada",Tabla5[[#This Row],[Ganancia Bruta]]-Tabla6[[#This Row],[Coste Cena]],-Tabla6[[#This Row],[Precio Cena]]+Tabla6[[#This Row],[Coste Cena]])</f>
        <v>108</v>
      </c>
      <c r="M247" s="10">
        <f>IF(Tabla5[[#This Row],[Orden Cobrada]]="Cobrada",((Tabla5[[#This Row],[Ganancia Neta]]/Tabla5[[#This Row],[Ganancia Bruta]])*100)/100,-((Tabla5[[#This Row],[Ganancia Neta]]/Tabla5[[#This Row],[Ganancia Bruta]]*100)/100))</f>
        <v>0.39560439560439564</v>
      </c>
      <c r="N247" s="5" t="str">
        <f>sala!F246</f>
        <v>Mesero_1</v>
      </c>
      <c r="AY247" cm="1">
        <f t="array" ref="AY247">SUM(IF(Cocina!A:A=Tabla5[[#This Row],[Nº Orden]],Cocina!F:F*Cocina!G:G,0))</f>
        <v>273</v>
      </c>
      <c r="AZ247" cm="1">
        <f t="array" ref="AZ247">SUM(IF(Cocina!A:A=Tabla5[[#This Row],[Nº Orden]],Cocina!E:E*Cocina!G:G,0))</f>
        <v>165</v>
      </c>
      <c r="BB247" t="str">
        <f>MID(Tabla4[[#This Row],[Cliente]], SEARCH("_", Tabla4[[#This Row],[Cliente]]) + 1, LEN(Tabla4[[#This Row],[Cliente]]) - SEARCH("_",Tabla4[[#This Row],[Cliente]]))</f>
        <v>579</v>
      </c>
      <c r="BC247" t="str">
        <f>sala!B246</f>
        <v>Cliente_579</v>
      </c>
      <c r="BD247" s="1">
        <f>sala!D246</f>
        <v>45018.146527777775</v>
      </c>
      <c r="BE247" s="1">
        <f>sala!E246</f>
        <v>45018.289583333331</v>
      </c>
      <c r="BF247">
        <f>sala!K246</f>
        <v>245</v>
      </c>
      <c r="BG247">
        <f>sala!I246</f>
        <v>1482</v>
      </c>
      <c r="BH247" cm="1">
        <f t="array" ref="BH247">SUM(IF(Cocina!A:A=Tabla4[[#This Row],[Número de Orden]],Cocina!F:F*Cocina!G:G,0))</f>
        <v>273</v>
      </c>
      <c r="BI247" t="str">
        <f>sala!J246</f>
        <v>Reservada</v>
      </c>
      <c r="BJ247" s="4" t="str">
        <f>IF(Tabla4[[#This Row],[Estado mesa]]="Ocupada","00:15","00:00")</f>
        <v>00:00</v>
      </c>
      <c r="BK247" cm="1">
        <f t="array" ref="BK247">SUM(IF(Cocina!A:A=Tabla4[[#This Row],[Número de Orden]],Cocina!H:H,0))</f>
        <v>116</v>
      </c>
    </row>
    <row r="248" spans="1:63" x14ac:dyDescent="0.3">
      <c r="A248" s="8" t="str">
        <f>MID(Tabla4[[#This Row],[Cliente]], SEARCH("_", Tabla4[[#This Row],[Cliente]]) + 1, LEN(Tabla4[[#This Row],[Cliente]]) - SEARCH("_",Tabla4[[#This Row],[Cliente]]))</f>
        <v>961</v>
      </c>
      <c r="B248">
        <f>sala!K247</f>
        <v>246</v>
      </c>
      <c r="C248">
        <f>Tabla4[[#This Row],[Propina]]+Tabla4[[#This Row],[Precio Cena]]</f>
        <v>4602</v>
      </c>
      <c r="D248" s="3">
        <f>INT(sala!E247)</f>
        <v>45018</v>
      </c>
      <c r="E248" s="4">
        <f>MOD( sala!D247,1)</f>
        <v>7.6388888890505768E-2</v>
      </c>
      <c r="F248" s="4">
        <f>MOD( sala!E247,1)</f>
        <v>0.17291666667006211</v>
      </c>
      <c r="G248" s="4">
        <f>Tabla5[[#This Row],[Hora de Salida]]-Tabla5[[#This Row],[Hora de Llegada]]+Tabla4[[#This Row],[Tiempo Extra]]</f>
        <v>9.6527777779556345E-2</v>
      </c>
      <c r="H248" s="5" t="str">
        <f>TEXT(Tabla4[[#This Row],[Preparación en horas]]/1440, "h:mm")</f>
        <v>2:26</v>
      </c>
      <c r="I248" s="4">
        <f>IF(Tabla5[[#This Row],[Tiempo Permanencia]]-Tabla5[[#This Row],[Tiempo de Preparación ]]&gt;=0,Tabla5[[#This Row],[Tiempo Permanencia]]-Tabla5[[#This Row],[Tiempo de Preparación ]],0)</f>
        <v>0</v>
      </c>
      <c r="J248" s="5" t="str">
        <f>IF(Tabla5[[#This Row],[Tiempo de Degustación]]=0,"No Cobrada","Cobrada")</f>
        <v>No Cobrada</v>
      </c>
      <c r="K248" s="5" cm="1">
        <f t="array" ref="K248">SUM(IF(Tabla5[[#This Row],[Orden Cobrada]]="Cobrada",IF(Cocina!A:A=Tabla5[[#This Row],[Nº Orden]],Cocina!F:F*Cocina!G:G,0),-Tabla6[[#This Row],[Precio Cena]]))</f>
        <v>-327</v>
      </c>
      <c r="L248" s="5">
        <f>IF(Tabla5[[#This Row],[Orden Cobrada]]="Cobrada",Tabla5[[#This Row],[Ganancia Bruta]]-Tabla6[[#This Row],[Coste Cena]],-Tabla6[[#This Row],[Precio Cena]]+Tabla6[[#This Row],[Coste Cena]])</f>
        <v>-131</v>
      </c>
      <c r="M248" s="10">
        <f>IF(Tabla5[[#This Row],[Orden Cobrada]]="Cobrada",((Tabla5[[#This Row],[Ganancia Neta]]/Tabla5[[#This Row],[Ganancia Bruta]])*100)/100,-((Tabla5[[#This Row],[Ganancia Neta]]/Tabla5[[#This Row],[Ganancia Bruta]]*100)/100))</f>
        <v>-0.40061162079510704</v>
      </c>
      <c r="N248" s="5" t="str">
        <f>sala!F247</f>
        <v>Mesero_2</v>
      </c>
      <c r="AY248" cm="1">
        <f t="array" ref="AY248">SUM(IF(Cocina!A:A=Tabla5[[#This Row],[Nº Orden]],Cocina!F:F*Cocina!G:G,0))</f>
        <v>327</v>
      </c>
      <c r="AZ248" cm="1">
        <f t="array" ref="AZ248">SUM(IF(Cocina!A:A=Tabla5[[#This Row],[Nº Orden]],Cocina!E:E*Cocina!G:G,0))</f>
        <v>196</v>
      </c>
      <c r="BB248" t="str">
        <f>MID(Tabla4[[#This Row],[Cliente]], SEARCH("_", Tabla4[[#This Row],[Cliente]]) + 1, LEN(Tabla4[[#This Row],[Cliente]]) - SEARCH("_",Tabla4[[#This Row],[Cliente]]))</f>
        <v>961</v>
      </c>
      <c r="BC248" t="str">
        <f>sala!B247</f>
        <v>Cliente_961</v>
      </c>
      <c r="BD248" s="1">
        <f>sala!D247</f>
        <v>45018.076388888891</v>
      </c>
      <c r="BE248" s="1">
        <f>sala!E247</f>
        <v>45018.17291666667</v>
      </c>
      <c r="BF248">
        <f>sala!K247</f>
        <v>246</v>
      </c>
      <c r="BG248">
        <f>sala!I247</f>
        <v>4275</v>
      </c>
      <c r="BH248" cm="1">
        <f t="array" ref="BH248">SUM(IF(Cocina!A:A=Tabla4[[#This Row],[Número de Orden]],Cocina!F:F*Cocina!G:G,0))</f>
        <v>327</v>
      </c>
      <c r="BI248" t="str">
        <f>sala!J247</f>
        <v>Libre</v>
      </c>
      <c r="BJ248" s="4" t="str">
        <f>IF(Tabla4[[#This Row],[Estado mesa]]="Ocupada","00:15","00:00")</f>
        <v>00:00</v>
      </c>
      <c r="BK248" cm="1">
        <f t="array" ref="BK248">SUM(IF(Cocina!A:A=Tabla4[[#This Row],[Número de Orden]],Cocina!H:H,0))</f>
        <v>146</v>
      </c>
    </row>
    <row r="249" spans="1:63" x14ac:dyDescent="0.3">
      <c r="A249" s="8" t="str">
        <f>MID(Tabla4[[#This Row],[Cliente]], SEARCH("_", Tabla4[[#This Row],[Cliente]]) + 1, LEN(Tabla4[[#This Row],[Cliente]]) - SEARCH("_",Tabla4[[#This Row],[Cliente]]))</f>
        <v>788</v>
      </c>
      <c r="B249">
        <f>sala!K248</f>
        <v>247</v>
      </c>
      <c r="C249">
        <f>Tabla4[[#This Row],[Propina]]+Tabla4[[#This Row],[Precio Cena]]</f>
        <v>4973</v>
      </c>
      <c r="D249" s="3">
        <f>INT(sala!E248)</f>
        <v>45018</v>
      </c>
      <c r="E249" s="4">
        <f>MOD( sala!D248,1)</f>
        <v>0.10694444444379769</v>
      </c>
      <c r="F249" s="4">
        <f>MOD( sala!E248,1)</f>
        <v>0.22291666666569654</v>
      </c>
      <c r="G249" s="4">
        <f>Tabla5[[#This Row],[Hora de Salida]]-Tabla5[[#This Row],[Hora de Llegada]]+Tabla4[[#This Row],[Tiempo Extra]]</f>
        <v>0.1263888888885655</v>
      </c>
      <c r="H249" s="5" t="str">
        <f>TEXT(Tabla4[[#This Row],[Preparación en horas]]/1440, "h:mm")</f>
        <v>0:59</v>
      </c>
      <c r="I249" s="4">
        <f>IF(Tabla5[[#This Row],[Tiempo Permanencia]]-Tabla5[[#This Row],[Tiempo de Preparación ]]&gt;=0,Tabla5[[#This Row],[Tiempo Permanencia]]-Tabla5[[#This Row],[Tiempo de Preparación ]],0)</f>
        <v>8.5416666666343288E-2</v>
      </c>
      <c r="J249" s="5" t="str">
        <f>IF(Tabla5[[#This Row],[Tiempo de Degustación]]=0,"No Cobrada","Cobrada")</f>
        <v>Cobrada</v>
      </c>
      <c r="K249" s="5" cm="1">
        <f t="array" ref="K249">SUM(IF(Tabla5[[#This Row],[Orden Cobrada]]="Cobrada",IF(Cocina!A:A=Tabla5[[#This Row],[Nº Orden]],Cocina!F:F*Cocina!G:G,0),-Tabla6[[#This Row],[Precio Cena]]))</f>
        <v>66</v>
      </c>
      <c r="L249" s="5">
        <f>IF(Tabla5[[#This Row],[Orden Cobrada]]="Cobrada",Tabla5[[#This Row],[Ganancia Bruta]]-Tabla6[[#This Row],[Coste Cena]],-Tabla6[[#This Row],[Precio Cena]]+Tabla6[[#This Row],[Coste Cena]])</f>
        <v>26</v>
      </c>
      <c r="M249" s="10">
        <f>IF(Tabla5[[#This Row],[Orden Cobrada]]="Cobrada",((Tabla5[[#This Row],[Ganancia Neta]]/Tabla5[[#This Row],[Ganancia Bruta]])*100)/100,-((Tabla5[[#This Row],[Ganancia Neta]]/Tabla5[[#This Row],[Ganancia Bruta]]*100)/100))</f>
        <v>0.39393939393939392</v>
      </c>
      <c r="N249" s="5" t="str">
        <f>sala!F248</f>
        <v>Mesero_2</v>
      </c>
      <c r="AY249" cm="1">
        <f t="array" ref="AY249">SUM(IF(Cocina!A:A=Tabla5[[#This Row],[Nº Orden]],Cocina!F:F*Cocina!G:G,0))</f>
        <v>66</v>
      </c>
      <c r="AZ249" cm="1">
        <f t="array" ref="AZ249">SUM(IF(Cocina!A:A=Tabla5[[#This Row],[Nº Orden]],Cocina!E:E*Cocina!G:G,0))</f>
        <v>40</v>
      </c>
      <c r="BB249" t="str">
        <f>MID(Tabla4[[#This Row],[Cliente]], SEARCH("_", Tabla4[[#This Row],[Cliente]]) + 1, LEN(Tabla4[[#This Row],[Cliente]]) - SEARCH("_",Tabla4[[#This Row],[Cliente]]))</f>
        <v>788</v>
      </c>
      <c r="BC249" t="str">
        <f>sala!B248</f>
        <v>Cliente_788</v>
      </c>
      <c r="BD249" s="1">
        <f>sala!D248</f>
        <v>45018.106944444444</v>
      </c>
      <c r="BE249" s="1">
        <f>sala!E248</f>
        <v>45018.222916666666</v>
      </c>
      <c r="BF249">
        <f>sala!K248</f>
        <v>247</v>
      </c>
      <c r="BG249">
        <f>sala!I248</f>
        <v>4907</v>
      </c>
      <c r="BH249" cm="1">
        <f t="array" ref="BH249">SUM(IF(Cocina!A:A=Tabla4[[#This Row],[Número de Orden]],Cocina!F:F*Cocina!G:G,0))</f>
        <v>66</v>
      </c>
      <c r="BI249" t="str">
        <f>sala!J248</f>
        <v>Ocupada</v>
      </c>
      <c r="BJ249" s="4" t="str">
        <f>IF(Tabla4[[#This Row],[Estado mesa]]="Ocupada","00:15","00:00")</f>
        <v>00:15</v>
      </c>
      <c r="BK249" cm="1">
        <f t="array" ref="BK249">SUM(IF(Cocina!A:A=Tabla4[[#This Row],[Número de Orden]],Cocina!H:H,0))</f>
        <v>59</v>
      </c>
    </row>
    <row r="250" spans="1:63" x14ac:dyDescent="0.3">
      <c r="A250" s="8" t="str">
        <f>MID(Tabla4[[#This Row],[Cliente]], SEARCH("_", Tabla4[[#This Row],[Cliente]]) + 1, LEN(Tabla4[[#This Row],[Cliente]]) - SEARCH("_",Tabla4[[#This Row],[Cliente]]))</f>
        <v>567</v>
      </c>
      <c r="B250">
        <f>sala!K249</f>
        <v>248</v>
      </c>
      <c r="C250">
        <f>Tabla4[[#This Row],[Propina]]+Tabla4[[#This Row],[Precio Cena]]</f>
        <v>2094</v>
      </c>
      <c r="D250" s="3">
        <f>INT(sala!E249)</f>
        <v>45018</v>
      </c>
      <c r="E250" s="4">
        <f>MOD( sala!D249,1)</f>
        <v>1.8055555556202307E-2</v>
      </c>
      <c r="F250" s="4">
        <f>MOD( sala!E249,1)</f>
        <v>9.5833333332848269E-2</v>
      </c>
      <c r="G250" s="4">
        <f>Tabla5[[#This Row],[Hora de Salida]]-Tabla5[[#This Row],[Hora de Llegada]]+Tabla4[[#This Row],[Tiempo Extra]]</f>
        <v>8.8194444443312633E-2</v>
      </c>
      <c r="H250" s="5" t="str">
        <f>TEXT(Tabla4[[#This Row],[Preparación en horas]]/1440, "h:mm")</f>
        <v>2:00</v>
      </c>
      <c r="I250" s="4">
        <f>IF(Tabla5[[#This Row],[Tiempo Permanencia]]-Tabla5[[#This Row],[Tiempo de Preparación ]]&gt;=0,Tabla5[[#This Row],[Tiempo Permanencia]]-Tabla5[[#This Row],[Tiempo de Preparación ]],0)</f>
        <v>4.8611111099793047E-3</v>
      </c>
      <c r="J250" s="5" t="str">
        <f>IF(Tabla5[[#This Row],[Tiempo de Degustación]]=0,"No Cobrada","Cobrada")</f>
        <v>Cobrada</v>
      </c>
      <c r="K250" s="5" cm="1">
        <f t="array" ref="K250">SUM(IF(Tabla5[[#This Row],[Orden Cobrada]]="Cobrada",IF(Cocina!A:A=Tabla5[[#This Row],[Nº Orden]],Cocina!F:F*Cocina!G:G,0),-Tabla6[[#This Row],[Precio Cena]]))</f>
        <v>225</v>
      </c>
      <c r="L250" s="5">
        <f>IF(Tabla5[[#This Row],[Orden Cobrada]]="Cobrada",Tabla5[[#This Row],[Ganancia Bruta]]-Tabla6[[#This Row],[Coste Cena]],-Tabla6[[#This Row],[Precio Cena]]+Tabla6[[#This Row],[Coste Cena]])</f>
        <v>92</v>
      </c>
      <c r="M250" s="10">
        <f>IF(Tabla5[[#This Row],[Orden Cobrada]]="Cobrada",((Tabla5[[#This Row],[Ganancia Neta]]/Tabla5[[#This Row],[Ganancia Bruta]])*100)/100,-((Tabla5[[#This Row],[Ganancia Neta]]/Tabla5[[#This Row],[Ganancia Bruta]]*100)/100))</f>
        <v>0.40888888888888891</v>
      </c>
      <c r="N250" s="5" t="str">
        <f>sala!F249</f>
        <v>Mesero_2</v>
      </c>
      <c r="AY250" cm="1">
        <f t="array" ref="AY250">SUM(IF(Cocina!A:A=Tabla5[[#This Row],[Nº Orden]],Cocina!F:F*Cocina!G:G,0))</f>
        <v>225</v>
      </c>
      <c r="AZ250" cm="1">
        <f t="array" ref="AZ250">SUM(IF(Cocina!A:A=Tabla5[[#This Row],[Nº Orden]],Cocina!E:E*Cocina!G:G,0))</f>
        <v>133</v>
      </c>
      <c r="BB250" t="str">
        <f>MID(Tabla4[[#This Row],[Cliente]], SEARCH("_", Tabla4[[#This Row],[Cliente]]) + 1, LEN(Tabla4[[#This Row],[Cliente]]) - SEARCH("_",Tabla4[[#This Row],[Cliente]]))</f>
        <v>567</v>
      </c>
      <c r="BC250" t="str">
        <f>sala!B249</f>
        <v>Cliente_567</v>
      </c>
      <c r="BD250" s="1">
        <f>sala!D249</f>
        <v>45018.018055555556</v>
      </c>
      <c r="BE250" s="1">
        <f>sala!E249</f>
        <v>45018.095833333333</v>
      </c>
      <c r="BF250">
        <f>sala!K249</f>
        <v>248</v>
      </c>
      <c r="BG250">
        <f>sala!I249</f>
        <v>1869</v>
      </c>
      <c r="BH250" cm="1">
        <f t="array" ref="BH250">SUM(IF(Cocina!A:A=Tabla4[[#This Row],[Número de Orden]],Cocina!F:F*Cocina!G:G,0))</f>
        <v>225</v>
      </c>
      <c r="BI250" t="str">
        <f>sala!J249</f>
        <v>Ocupada</v>
      </c>
      <c r="BJ250" s="4" t="str">
        <f>IF(Tabla4[[#This Row],[Estado mesa]]="Ocupada","00:15","00:00")</f>
        <v>00:15</v>
      </c>
      <c r="BK250" cm="1">
        <f t="array" ref="BK250">SUM(IF(Cocina!A:A=Tabla4[[#This Row],[Número de Orden]],Cocina!H:H,0))</f>
        <v>120</v>
      </c>
    </row>
    <row r="251" spans="1:63" x14ac:dyDescent="0.3">
      <c r="A251" s="8" t="str">
        <f>MID(Tabla4[[#This Row],[Cliente]], SEARCH("_", Tabla4[[#This Row],[Cliente]]) + 1, LEN(Tabla4[[#This Row],[Cliente]]) - SEARCH("_",Tabla4[[#This Row],[Cliente]]))</f>
        <v>927</v>
      </c>
      <c r="B251">
        <f>sala!K250</f>
        <v>249</v>
      </c>
      <c r="C251">
        <f>Tabla4[[#This Row],[Propina]]+Tabla4[[#This Row],[Precio Cena]]</f>
        <v>4851</v>
      </c>
      <c r="D251" s="3">
        <f>INT(sala!E250)</f>
        <v>45018</v>
      </c>
      <c r="E251" s="4">
        <f>MOD( sala!D250,1)</f>
        <v>4.0277777778101154E-2</v>
      </c>
      <c r="F251" s="4">
        <f>MOD( sala!E250,1)</f>
        <v>0.16319444444525288</v>
      </c>
      <c r="G251" s="4">
        <f>Tabla5[[#This Row],[Hora de Salida]]-Tabla5[[#This Row],[Hora de Llegada]]+Tabla4[[#This Row],[Tiempo Extra]]</f>
        <v>0.13333333333381839</v>
      </c>
      <c r="H251" s="5" t="str">
        <f>TEXT(Tabla4[[#This Row],[Preparación en horas]]/1440, "h:mm")</f>
        <v>1:49</v>
      </c>
      <c r="I251" s="4">
        <f>IF(Tabla5[[#This Row],[Tiempo Permanencia]]-Tabla5[[#This Row],[Tiempo de Preparación ]]&gt;=0,Tabla5[[#This Row],[Tiempo Permanencia]]-Tabla5[[#This Row],[Tiempo de Preparación ]],0)</f>
        <v>5.7638888889373949E-2</v>
      </c>
      <c r="J251" s="5" t="str">
        <f>IF(Tabla5[[#This Row],[Tiempo de Degustación]]=0,"No Cobrada","Cobrada")</f>
        <v>Cobrada</v>
      </c>
      <c r="K251" s="5" cm="1">
        <f t="array" ref="K251">SUM(IF(Tabla5[[#This Row],[Orden Cobrada]]="Cobrada",IF(Cocina!A:A=Tabla5[[#This Row],[Nº Orden]],Cocina!F:F*Cocina!G:G,0),-Tabla6[[#This Row],[Precio Cena]]))</f>
        <v>80</v>
      </c>
      <c r="L251" s="5">
        <f>IF(Tabla5[[#This Row],[Orden Cobrada]]="Cobrada",Tabla5[[#This Row],[Ganancia Bruta]]-Tabla6[[#This Row],[Coste Cena]],-Tabla6[[#This Row],[Precio Cena]]+Tabla6[[#This Row],[Coste Cena]])</f>
        <v>34</v>
      </c>
      <c r="M251" s="10">
        <f>IF(Tabla5[[#This Row],[Orden Cobrada]]="Cobrada",((Tabla5[[#This Row],[Ganancia Neta]]/Tabla5[[#This Row],[Ganancia Bruta]])*100)/100,-((Tabla5[[#This Row],[Ganancia Neta]]/Tabla5[[#This Row],[Ganancia Bruta]]*100)/100))</f>
        <v>0.42499999999999999</v>
      </c>
      <c r="N251" s="5" t="str">
        <f>sala!F250</f>
        <v>Mesero_2</v>
      </c>
      <c r="AY251" cm="1">
        <f t="array" ref="AY251">SUM(IF(Cocina!A:A=Tabla5[[#This Row],[Nº Orden]],Cocina!F:F*Cocina!G:G,0))</f>
        <v>80</v>
      </c>
      <c r="AZ251" cm="1">
        <f t="array" ref="AZ251">SUM(IF(Cocina!A:A=Tabla5[[#This Row],[Nº Orden]],Cocina!E:E*Cocina!G:G,0))</f>
        <v>46</v>
      </c>
      <c r="BB251" t="str">
        <f>MID(Tabla4[[#This Row],[Cliente]], SEARCH("_", Tabla4[[#This Row],[Cliente]]) + 1, LEN(Tabla4[[#This Row],[Cliente]]) - SEARCH("_",Tabla4[[#This Row],[Cliente]]))</f>
        <v>927</v>
      </c>
      <c r="BC251" t="str">
        <f>sala!B250</f>
        <v>Cliente_927</v>
      </c>
      <c r="BD251" s="1">
        <f>sala!D250</f>
        <v>45018.040277777778</v>
      </c>
      <c r="BE251" s="1">
        <f>sala!E250</f>
        <v>45018.163194444445</v>
      </c>
      <c r="BF251">
        <f>sala!K250</f>
        <v>249</v>
      </c>
      <c r="BG251">
        <f>sala!I250</f>
        <v>4771</v>
      </c>
      <c r="BH251" cm="1">
        <f t="array" ref="BH251">SUM(IF(Cocina!A:A=Tabla4[[#This Row],[Número de Orden]],Cocina!F:F*Cocina!G:G,0))</f>
        <v>80</v>
      </c>
      <c r="BI251" t="str">
        <f>sala!J250</f>
        <v>Ocupada</v>
      </c>
      <c r="BJ251" s="4" t="str">
        <f>IF(Tabla4[[#This Row],[Estado mesa]]="Ocupada","00:15","00:00")</f>
        <v>00:15</v>
      </c>
      <c r="BK251" cm="1">
        <f t="array" ref="BK251">SUM(IF(Cocina!A:A=Tabla4[[#This Row],[Número de Orden]],Cocina!H:H,0))</f>
        <v>109</v>
      </c>
    </row>
    <row r="252" spans="1:63" x14ac:dyDescent="0.3">
      <c r="A252" s="8" t="str">
        <f>MID(Tabla4[[#This Row],[Cliente]], SEARCH("_", Tabla4[[#This Row],[Cliente]]) + 1, LEN(Tabla4[[#This Row],[Cliente]]) - SEARCH("_",Tabla4[[#This Row],[Cliente]]))</f>
        <v>539</v>
      </c>
      <c r="B252">
        <f>sala!K251</f>
        <v>250</v>
      </c>
      <c r="C252">
        <f>Tabla4[[#This Row],[Propina]]+Tabla4[[#This Row],[Precio Cena]]</f>
        <v>2341</v>
      </c>
      <c r="D252" s="3">
        <f>INT(sala!E251)</f>
        <v>45018</v>
      </c>
      <c r="E252" s="4">
        <f>MOD( sala!D251,1)</f>
        <v>0.12222222222044365</v>
      </c>
      <c r="F252" s="4">
        <f>MOD( sala!E251,1)</f>
        <v>0.27291666666860692</v>
      </c>
      <c r="G252" s="4">
        <f>Tabla5[[#This Row],[Hora de Salida]]-Tabla5[[#This Row],[Hora de Llegada]]+Tabla4[[#This Row],[Tiempo Extra]]</f>
        <v>0.15069444444816327</v>
      </c>
      <c r="H252" s="5" t="str">
        <f>TEXT(Tabla4[[#This Row],[Preparación en horas]]/1440, "h:mm")</f>
        <v>0:29</v>
      </c>
      <c r="I252" s="4">
        <f>IF(Tabla5[[#This Row],[Tiempo Permanencia]]-Tabla5[[#This Row],[Tiempo de Preparación ]]&gt;=0,Tabla5[[#This Row],[Tiempo Permanencia]]-Tabla5[[#This Row],[Tiempo de Preparación ]],0)</f>
        <v>0.13055555555927437</v>
      </c>
      <c r="J252" s="5" t="str">
        <f>IF(Tabla5[[#This Row],[Tiempo de Degustación]]=0,"No Cobrada","Cobrada")</f>
        <v>Cobrada</v>
      </c>
      <c r="K252" s="5" cm="1">
        <f t="array" ref="K252">SUM(IF(Tabla5[[#This Row],[Orden Cobrada]]="Cobrada",IF(Cocina!A:A=Tabla5[[#This Row],[Nº Orden]],Cocina!F:F*Cocina!G:G,0),-Tabla6[[#This Row],[Precio Cena]]))</f>
        <v>20</v>
      </c>
      <c r="L252" s="5">
        <f>IF(Tabla5[[#This Row],[Orden Cobrada]]="Cobrada",Tabla5[[#This Row],[Ganancia Bruta]]-Tabla6[[#This Row],[Coste Cena]],-Tabla6[[#This Row],[Precio Cena]]+Tabla6[[#This Row],[Coste Cena]])</f>
        <v>8</v>
      </c>
      <c r="M252" s="10">
        <f>IF(Tabla5[[#This Row],[Orden Cobrada]]="Cobrada",((Tabla5[[#This Row],[Ganancia Neta]]/Tabla5[[#This Row],[Ganancia Bruta]])*100)/100,-((Tabla5[[#This Row],[Ganancia Neta]]/Tabla5[[#This Row],[Ganancia Bruta]]*100)/100))</f>
        <v>0.4</v>
      </c>
      <c r="N252" s="5" t="str">
        <f>sala!F251</f>
        <v>Mesero_4</v>
      </c>
      <c r="AY252" cm="1">
        <f t="array" ref="AY252">SUM(IF(Cocina!A:A=Tabla5[[#This Row],[Nº Orden]],Cocina!F:F*Cocina!G:G,0))</f>
        <v>20</v>
      </c>
      <c r="AZ252" cm="1">
        <f t="array" ref="AZ252">SUM(IF(Cocina!A:A=Tabla5[[#This Row],[Nº Orden]],Cocina!E:E*Cocina!G:G,0))</f>
        <v>12</v>
      </c>
      <c r="BB252" t="str">
        <f>MID(Tabla4[[#This Row],[Cliente]], SEARCH("_", Tabla4[[#This Row],[Cliente]]) + 1, LEN(Tabla4[[#This Row],[Cliente]]) - SEARCH("_",Tabla4[[#This Row],[Cliente]]))</f>
        <v>539</v>
      </c>
      <c r="BC252" t="str">
        <f>sala!B251</f>
        <v>Cliente_539</v>
      </c>
      <c r="BD252" s="1">
        <f>sala!D251</f>
        <v>45018.12222222222</v>
      </c>
      <c r="BE252" s="1">
        <f>sala!E251</f>
        <v>45018.272916666669</v>
      </c>
      <c r="BF252">
        <f>sala!K251</f>
        <v>250</v>
      </c>
      <c r="BG252">
        <f>sala!I251</f>
        <v>2321</v>
      </c>
      <c r="BH252" cm="1">
        <f t="array" ref="BH252">SUM(IF(Cocina!A:A=Tabla4[[#This Row],[Número de Orden]],Cocina!F:F*Cocina!G:G,0))</f>
        <v>20</v>
      </c>
      <c r="BI252" t="str">
        <f>sala!J251</f>
        <v>Libre</v>
      </c>
      <c r="BJ252" s="4" t="str">
        <f>IF(Tabla4[[#This Row],[Estado mesa]]="Ocupada","00:15","00:00")</f>
        <v>00:00</v>
      </c>
      <c r="BK252" cm="1">
        <f t="array" ref="BK252">SUM(IF(Cocina!A:A=Tabla4[[#This Row],[Número de Orden]],Cocina!H:H,0))</f>
        <v>29</v>
      </c>
    </row>
    <row r="253" spans="1:63" x14ac:dyDescent="0.3">
      <c r="A253" s="8" t="str">
        <f>MID(Tabla4[[#This Row],[Cliente]], SEARCH("_", Tabla4[[#This Row],[Cliente]]) + 1, LEN(Tabla4[[#This Row],[Cliente]]) - SEARCH("_",Tabla4[[#This Row],[Cliente]]))</f>
        <v>872</v>
      </c>
      <c r="B253">
        <f>sala!K252</f>
        <v>251</v>
      </c>
      <c r="C253">
        <f>Tabla4[[#This Row],[Propina]]+Tabla4[[#This Row],[Precio Cena]]</f>
        <v>1478</v>
      </c>
      <c r="D253" s="3">
        <f>INT(sala!E252)</f>
        <v>45018</v>
      </c>
      <c r="E253" s="4">
        <f>MOD( sala!D252,1)</f>
        <v>5.5555555554747116E-2</v>
      </c>
      <c r="F253" s="4">
        <f>MOD( sala!E252,1)</f>
        <v>0.18333333333430346</v>
      </c>
      <c r="G253" s="4">
        <f>Tabla5[[#This Row],[Hora de Salida]]-Tabla5[[#This Row],[Hora de Llegada]]+Tabla4[[#This Row],[Tiempo Extra]]</f>
        <v>0.138194444446223</v>
      </c>
      <c r="H253" s="5" t="str">
        <f>TEXT(Tabla4[[#This Row],[Preparación en horas]]/1440, "h:mm")</f>
        <v>2:02</v>
      </c>
      <c r="I253" s="4">
        <f>IF(Tabla5[[#This Row],[Tiempo Permanencia]]-Tabla5[[#This Row],[Tiempo de Preparación ]]&gt;=0,Tabla5[[#This Row],[Tiempo Permanencia]]-Tabla5[[#This Row],[Tiempo de Preparación ]],0)</f>
        <v>5.3472222224000776E-2</v>
      </c>
      <c r="J253" s="5" t="str">
        <f>IF(Tabla5[[#This Row],[Tiempo de Degustación]]=0,"No Cobrada","Cobrada")</f>
        <v>Cobrada</v>
      </c>
      <c r="K253" s="5" cm="1">
        <f t="array" ref="K253">SUM(IF(Tabla5[[#This Row],[Orden Cobrada]]="Cobrada",IF(Cocina!A:A=Tabla5[[#This Row],[Nº Orden]],Cocina!F:F*Cocina!G:G,0),-Tabla6[[#This Row],[Precio Cena]]))</f>
        <v>109</v>
      </c>
      <c r="L253" s="5">
        <f>IF(Tabla5[[#This Row],[Orden Cobrada]]="Cobrada",Tabla5[[#This Row],[Ganancia Bruta]]-Tabla6[[#This Row],[Coste Cena]],-Tabla6[[#This Row],[Precio Cena]]+Tabla6[[#This Row],[Coste Cena]])</f>
        <v>45</v>
      </c>
      <c r="M253" s="10">
        <f>IF(Tabla5[[#This Row],[Orden Cobrada]]="Cobrada",((Tabla5[[#This Row],[Ganancia Neta]]/Tabla5[[#This Row],[Ganancia Bruta]])*100)/100,-((Tabla5[[#This Row],[Ganancia Neta]]/Tabla5[[#This Row],[Ganancia Bruta]]*100)/100))</f>
        <v>0.41284403669724773</v>
      </c>
      <c r="N253" s="5" t="str">
        <f>sala!F252</f>
        <v>Mesero_1</v>
      </c>
      <c r="AY253" cm="1">
        <f t="array" ref="AY253">SUM(IF(Cocina!A:A=Tabla5[[#This Row],[Nº Orden]],Cocina!F:F*Cocina!G:G,0))</f>
        <v>109</v>
      </c>
      <c r="AZ253" cm="1">
        <f t="array" ref="AZ253">SUM(IF(Cocina!A:A=Tabla5[[#This Row],[Nº Orden]],Cocina!E:E*Cocina!G:G,0))</f>
        <v>64</v>
      </c>
      <c r="BB253" t="str">
        <f>MID(Tabla4[[#This Row],[Cliente]], SEARCH("_", Tabla4[[#This Row],[Cliente]]) + 1, LEN(Tabla4[[#This Row],[Cliente]]) - SEARCH("_",Tabla4[[#This Row],[Cliente]]))</f>
        <v>872</v>
      </c>
      <c r="BC253" t="str">
        <f>sala!B252</f>
        <v>Cliente_872</v>
      </c>
      <c r="BD253" s="1">
        <f>sala!D252</f>
        <v>45018.055555555555</v>
      </c>
      <c r="BE253" s="1">
        <f>sala!E252</f>
        <v>45018.183333333334</v>
      </c>
      <c r="BF253">
        <f>sala!K252</f>
        <v>251</v>
      </c>
      <c r="BG253">
        <f>sala!I252</f>
        <v>1369</v>
      </c>
      <c r="BH253" cm="1">
        <f t="array" ref="BH253">SUM(IF(Cocina!A:A=Tabla4[[#This Row],[Número de Orden]],Cocina!F:F*Cocina!G:G,0))</f>
        <v>109</v>
      </c>
      <c r="BI253" t="str">
        <f>sala!J252</f>
        <v>Ocupada</v>
      </c>
      <c r="BJ253" s="4" t="str">
        <f>IF(Tabla4[[#This Row],[Estado mesa]]="Ocupada","00:15","00:00")</f>
        <v>00:15</v>
      </c>
      <c r="BK253" cm="1">
        <f t="array" ref="BK253">SUM(IF(Cocina!A:A=Tabla4[[#This Row],[Número de Orden]],Cocina!H:H,0))</f>
        <v>122</v>
      </c>
    </row>
    <row r="254" spans="1:63" x14ac:dyDescent="0.3">
      <c r="A254" s="8" t="str">
        <f>MID(Tabla4[[#This Row],[Cliente]], SEARCH("_", Tabla4[[#This Row],[Cliente]]) + 1, LEN(Tabla4[[#This Row],[Cliente]]) - SEARCH("_",Tabla4[[#This Row],[Cliente]]))</f>
        <v>425</v>
      </c>
      <c r="B254">
        <f>sala!K253</f>
        <v>252</v>
      </c>
      <c r="C254">
        <f>Tabla4[[#This Row],[Propina]]+Tabla4[[#This Row],[Precio Cena]]</f>
        <v>4483</v>
      </c>
      <c r="D254" s="3">
        <f>INT(sala!E253)</f>
        <v>45018</v>
      </c>
      <c r="E254" s="4">
        <f>MOD( sala!D253,1)</f>
        <v>2.7083333334303461E-2</v>
      </c>
      <c r="F254" s="4">
        <f>MOD( sala!E253,1)</f>
        <v>0.18333333333430346</v>
      </c>
      <c r="G254" s="4">
        <f>Tabla5[[#This Row],[Hora de Salida]]-Tabla5[[#This Row],[Hora de Llegada]]+Tabla4[[#This Row],[Tiempo Extra]]</f>
        <v>0.15625</v>
      </c>
      <c r="H254" s="5" t="str">
        <f>TEXT(Tabla4[[#This Row],[Preparación en horas]]/1440, "h:mm")</f>
        <v>1:24</v>
      </c>
      <c r="I254" s="4">
        <f>IF(Tabla5[[#This Row],[Tiempo Permanencia]]-Tabla5[[#This Row],[Tiempo de Preparación ]]&gt;=0,Tabla5[[#This Row],[Tiempo Permanencia]]-Tabla5[[#This Row],[Tiempo de Preparación ]],0)</f>
        <v>9.7916666666666666E-2</v>
      </c>
      <c r="J254" s="5" t="str">
        <f>IF(Tabla5[[#This Row],[Tiempo de Degustación]]=0,"No Cobrada","Cobrada")</f>
        <v>Cobrada</v>
      </c>
      <c r="K254" s="5" cm="1">
        <f t="array" ref="K254">SUM(IF(Tabla5[[#This Row],[Orden Cobrada]]="Cobrada",IF(Cocina!A:A=Tabla5[[#This Row],[Nº Orden]],Cocina!F:F*Cocina!G:G,0),-Tabla6[[#This Row],[Precio Cena]]))</f>
        <v>102</v>
      </c>
      <c r="L254" s="5">
        <f>IF(Tabla5[[#This Row],[Orden Cobrada]]="Cobrada",Tabla5[[#This Row],[Ganancia Bruta]]-Tabla6[[#This Row],[Coste Cena]],-Tabla6[[#This Row],[Precio Cena]]+Tabla6[[#This Row],[Coste Cena]])</f>
        <v>42</v>
      </c>
      <c r="M254" s="10">
        <f>IF(Tabla5[[#This Row],[Orden Cobrada]]="Cobrada",((Tabla5[[#This Row],[Ganancia Neta]]/Tabla5[[#This Row],[Ganancia Bruta]])*100)/100,-((Tabla5[[#This Row],[Ganancia Neta]]/Tabla5[[#This Row],[Ganancia Bruta]]*100)/100))</f>
        <v>0.41176470588235292</v>
      </c>
      <c r="N254" s="5" t="str">
        <f>sala!F253</f>
        <v>Mesero_4</v>
      </c>
      <c r="AY254" cm="1">
        <f t="array" ref="AY254">SUM(IF(Cocina!A:A=Tabla5[[#This Row],[Nº Orden]],Cocina!F:F*Cocina!G:G,0))</f>
        <v>102</v>
      </c>
      <c r="AZ254" cm="1">
        <f t="array" ref="AZ254">SUM(IF(Cocina!A:A=Tabla5[[#This Row],[Nº Orden]],Cocina!E:E*Cocina!G:G,0))</f>
        <v>60</v>
      </c>
      <c r="BB254" t="str">
        <f>MID(Tabla4[[#This Row],[Cliente]], SEARCH("_", Tabla4[[#This Row],[Cliente]]) + 1, LEN(Tabla4[[#This Row],[Cliente]]) - SEARCH("_",Tabla4[[#This Row],[Cliente]]))</f>
        <v>425</v>
      </c>
      <c r="BC254" t="str">
        <f>sala!B253</f>
        <v>Cliente_425</v>
      </c>
      <c r="BD254" s="1">
        <f>sala!D253</f>
        <v>45018.027083333334</v>
      </c>
      <c r="BE254" s="1">
        <f>sala!E253</f>
        <v>45018.183333333334</v>
      </c>
      <c r="BF254">
        <f>sala!K253</f>
        <v>252</v>
      </c>
      <c r="BG254">
        <f>sala!I253</f>
        <v>4381</v>
      </c>
      <c r="BH254" cm="1">
        <f t="array" ref="BH254">SUM(IF(Cocina!A:A=Tabla4[[#This Row],[Número de Orden]],Cocina!F:F*Cocina!G:G,0))</f>
        <v>102</v>
      </c>
      <c r="BI254" t="str">
        <f>sala!J253</f>
        <v>Libre</v>
      </c>
      <c r="BJ254" s="4" t="str">
        <f>IF(Tabla4[[#This Row],[Estado mesa]]="Ocupada","00:15","00:00")</f>
        <v>00:00</v>
      </c>
      <c r="BK254" cm="1">
        <f t="array" ref="BK254">SUM(IF(Cocina!A:A=Tabla4[[#This Row],[Número de Orden]],Cocina!H:H,0))</f>
        <v>84</v>
      </c>
    </row>
    <row r="255" spans="1:63" x14ac:dyDescent="0.3">
      <c r="A255" s="8" t="str">
        <f>MID(Tabla4[[#This Row],[Cliente]], SEARCH("_", Tabla4[[#This Row],[Cliente]]) + 1, LEN(Tabla4[[#This Row],[Cliente]]) - SEARCH("_",Tabla4[[#This Row],[Cliente]]))</f>
        <v>700</v>
      </c>
      <c r="B255">
        <f>sala!K254</f>
        <v>253</v>
      </c>
      <c r="C255">
        <f>Tabla4[[#This Row],[Propina]]+Tabla4[[#This Row],[Precio Cena]]</f>
        <v>3623</v>
      </c>
      <c r="D255" s="3">
        <f>INT(sala!E254)</f>
        <v>45018</v>
      </c>
      <c r="E255" s="4">
        <f>MOD( sala!D254,1)</f>
        <v>3.7499999998544808E-2</v>
      </c>
      <c r="F255" s="4">
        <f>MOD( sala!E254,1)</f>
        <v>0.15625</v>
      </c>
      <c r="G255" s="4">
        <f>Tabla5[[#This Row],[Hora de Salida]]-Tabla5[[#This Row],[Hora de Llegada]]+Tabla4[[#This Row],[Tiempo Extra]]</f>
        <v>0.12916666666812185</v>
      </c>
      <c r="H255" s="5" t="str">
        <f>TEXT(Tabla4[[#This Row],[Preparación en horas]]/1440, "h:mm")</f>
        <v>0:55</v>
      </c>
      <c r="I255" s="4">
        <f>IF(Tabla5[[#This Row],[Tiempo Permanencia]]-Tabla5[[#This Row],[Tiempo de Preparación ]]&gt;=0,Tabla5[[#This Row],[Tiempo Permanencia]]-Tabla5[[#This Row],[Tiempo de Preparación ]],0)</f>
        <v>9.0972222223677401E-2</v>
      </c>
      <c r="J255" s="5" t="str">
        <f>IF(Tabla5[[#This Row],[Tiempo de Degustación]]=0,"No Cobrada","Cobrada")</f>
        <v>Cobrada</v>
      </c>
      <c r="K255" s="5" cm="1">
        <f t="array" ref="K255">SUM(IF(Tabla5[[#This Row],[Orden Cobrada]]="Cobrada",IF(Cocina!A:A=Tabla5[[#This Row],[Nº Orden]],Cocina!F:F*Cocina!G:G,0),-Tabla6[[#This Row],[Precio Cena]]))</f>
        <v>154</v>
      </c>
      <c r="L255" s="5">
        <f>IF(Tabla5[[#This Row],[Orden Cobrada]]="Cobrada",Tabla5[[#This Row],[Ganancia Bruta]]-Tabla6[[#This Row],[Coste Cena]],-Tabla6[[#This Row],[Precio Cena]]+Tabla6[[#This Row],[Coste Cena]])</f>
        <v>62</v>
      </c>
      <c r="M255" s="10">
        <f>IF(Tabla5[[#This Row],[Orden Cobrada]]="Cobrada",((Tabla5[[#This Row],[Ganancia Neta]]/Tabla5[[#This Row],[Ganancia Bruta]])*100)/100,-((Tabla5[[#This Row],[Ganancia Neta]]/Tabla5[[#This Row],[Ganancia Bruta]]*100)/100))</f>
        <v>0.40259740259740262</v>
      </c>
      <c r="N255" s="5" t="str">
        <f>sala!F254</f>
        <v>Mesero_3</v>
      </c>
      <c r="AY255" cm="1">
        <f t="array" ref="AY255">SUM(IF(Cocina!A:A=Tabla5[[#This Row],[Nº Orden]],Cocina!F:F*Cocina!G:G,0))</f>
        <v>154</v>
      </c>
      <c r="AZ255" cm="1">
        <f t="array" ref="AZ255">SUM(IF(Cocina!A:A=Tabla5[[#This Row],[Nº Orden]],Cocina!E:E*Cocina!G:G,0))</f>
        <v>92</v>
      </c>
      <c r="BB255" t="str">
        <f>MID(Tabla4[[#This Row],[Cliente]], SEARCH("_", Tabla4[[#This Row],[Cliente]]) + 1, LEN(Tabla4[[#This Row],[Cliente]]) - SEARCH("_",Tabla4[[#This Row],[Cliente]]))</f>
        <v>700</v>
      </c>
      <c r="BC255" t="str">
        <f>sala!B254</f>
        <v>Cliente_700</v>
      </c>
      <c r="BD255" s="1">
        <f>sala!D254</f>
        <v>45018.037499999999</v>
      </c>
      <c r="BE255" s="1">
        <f>sala!E254</f>
        <v>45018.15625</v>
      </c>
      <c r="BF255">
        <f>sala!K254</f>
        <v>253</v>
      </c>
      <c r="BG255">
        <f>sala!I254</f>
        <v>3469</v>
      </c>
      <c r="BH255" cm="1">
        <f t="array" ref="BH255">SUM(IF(Cocina!A:A=Tabla4[[#This Row],[Número de Orden]],Cocina!F:F*Cocina!G:G,0))</f>
        <v>154</v>
      </c>
      <c r="BI255" t="str">
        <f>sala!J254</f>
        <v>Ocupada</v>
      </c>
      <c r="BJ255" s="4" t="str">
        <f>IF(Tabla4[[#This Row],[Estado mesa]]="Ocupada","00:15","00:00")</f>
        <v>00:15</v>
      </c>
      <c r="BK255" cm="1">
        <f t="array" ref="BK255">SUM(IF(Cocina!A:A=Tabla4[[#This Row],[Número de Orden]],Cocina!H:H,0))</f>
        <v>55</v>
      </c>
    </row>
    <row r="256" spans="1:63" x14ac:dyDescent="0.3">
      <c r="A256" s="8" t="str">
        <f>MID(Tabla4[[#This Row],[Cliente]], SEARCH("_", Tabla4[[#This Row],[Cliente]]) + 1, LEN(Tabla4[[#This Row],[Cliente]]) - SEARCH("_",Tabla4[[#This Row],[Cliente]]))</f>
        <v>665</v>
      </c>
      <c r="B256">
        <f>sala!K255</f>
        <v>254</v>
      </c>
      <c r="C256">
        <f>Tabla4[[#This Row],[Propina]]+Tabla4[[#This Row],[Precio Cena]]</f>
        <v>3940</v>
      </c>
      <c r="D256" s="3">
        <f>INT(sala!E255)</f>
        <v>45018</v>
      </c>
      <c r="E256" s="4">
        <f>MOD( sala!D255,1)</f>
        <v>0.12847222221898846</v>
      </c>
      <c r="F256" s="4">
        <f>MOD( sala!E255,1)</f>
        <v>0.24097222222189885</v>
      </c>
      <c r="G256" s="4">
        <f>Tabla5[[#This Row],[Hora de Salida]]-Tabla5[[#This Row],[Hora de Llegada]]+Tabla4[[#This Row],[Tiempo Extra]]</f>
        <v>0.11250000000291038</v>
      </c>
      <c r="H256" s="5" t="str">
        <f>TEXT(Tabla4[[#This Row],[Preparación en horas]]/1440, "h:mm")</f>
        <v>2:21</v>
      </c>
      <c r="I256" s="4">
        <f>IF(Tabla5[[#This Row],[Tiempo Permanencia]]-Tabla5[[#This Row],[Tiempo de Preparación ]]&gt;=0,Tabla5[[#This Row],[Tiempo Permanencia]]-Tabla5[[#This Row],[Tiempo de Preparación ]],0)</f>
        <v>1.4583333336243717E-2</v>
      </c>
      <c r="J256" s="5" t="str">
        <f>IF(Tabla5[[#This Row],[Tiempo de Degustación]]=0,"No Cobrada","Cobrada")</f>
        <v>Cobrada</v>
      </c>
      <c r="K256" s="5" cm="1">
        <f t="array" ref="K256">SUM(IF(Tabla5[[#This Row],[Orden Cobrada]]="Cobrada",IF(Cocina!A:A=Tabla5[[#This Row],[Nº Orden]],Cocina!F:F*Cocina!G:G,0),-Tabla6[[#This Row],[Precio Cena]]))</f>
        <v>297</v>
      </c>
      <c r="L256" s="5">
        <f>IF(Tabla5[[#This Row],[Orden Cobrada]]="Cobrada",Tabla5[[#This Row],[Ganancia Bruta]]-Tabla6[[#This Row],[Coste Cena]],-Tabla6[[#This Row],[Precio Cena]]+Tabla6[[#This Row],[Coste Cena]])</f>
        <v>122</v>
      </c>
      <c r="M256" s="10">
        <f>IF(Tabla5[[#This Row],[Orden Cobrada]]="Cobrada",((Tabla5[[#This Row],[Ganancia Neta]]/Tabla5[[#This Row],[Ganancia Bruta]])*100)/100,-((Tabla5[[#This Row],[Ganancia Neta]]/Tabla5[[#This Row],[Ganancia Bruta]]*100)/100))</f>
        <v>0.41077441077441079</v>
      </c>
      <c r="N256" s="5" t="str">
        <f>sala!F255</f>
        <v>Mesero_1</v>
      </c>
      <c r="AY256" cm="1">
        <f t="array" ref="AY256">SUM(IF(Cocina!A:A=Tabla5[[#This Row],[Nº Orden]],Cocina!F:F*Cocina!G:G,0))</f>
        <v>297</v>
      </c>
      <c r="AZ256" cm="1">
        <f t="array" ref="AZ256">SUM(IF(Cocina!A:A=Tabla5[[#This Row],[Nº Orden]],Cocina!E:E*Cocina!G:G,0))</f>
        <v>175</v>
      </c>
      <c r="BB256" t="str">
        <f>MID(Tabla4[[#This Row],[Cliente]], SEARCH("_", Tabla4[[#This Row],[Cliente]]) + 1, LEN(Tabla4[[#This Row],[Cliente]]) - SEARCH("_",Tabla4[[#This Row],[Cliente]]))</f>
        <v>665</v>
      </c>
      <c r="BC256" t="str">
        <f>sala!B255</f>
        <v>Cliente_665</v>
      </c>
      <c r="BD256" s="1">
        <f>sala!D255</f>
        <v>45018.128472222219</v>
      </c>
      <c r="BE256" s="1">
        <f>sala!E255</f>
        <v>45018.240972222222</v>
      </c>
      <c r="BF256">
        <f>sala!K255</f>
        <v>254</v>
      </c>
      <c r="BG256">
        <f>sala!I255</f>
        <v>3643</v>
      </c>
      <c r="BH256" cm="1">
        <f t="array" ref="BH256">SUM(IF(Cocina!A:A=Tabla4[[#This Row],[Número de Orden]],Cocina!F:F*Cocina!G:G,0))</f>
        <v>297</v>
      </c>
      <c r="BI256" t="str">
        <f>sala!J255</f>
        <v>Reservada</v>
      </c>
      <c r="BJ256" s="4" t="str">
        <f>IF(Tabla4[[#This Row],[Estado mesa]]="Ocupada","00:15","00:00")</f>
        <v>00:00</v>
      </c>
      <c r="BK256" cm="1">
        <f t="array" ref="BK256">SUM(IF(Cocina!A:A=Tabla4[[#This Row],[Número de Orden]],Cocina!H:H,0))</f>
        <v>141</v>
      </c>
    </row>
    <row r="257" spans="1:63" x14ac:dyDescent="0.3">
      <c r="A257" s="8" t="str">
        <f>MID(Tabla4[[#This Row],[Cliente]], SEARCH("_", Tabla4[[#This Row],[Cliente]]) + 1, LEN(Tabla4[[#This Row],[Cliente]]) - SEARCH("_",Tabla4[[#This Row],[Cliente]]))</f>
        <v>978</v>
      </c>
      <c r="B257">
        <f>sala!K256</f>
        <v>255</v>
      </c>
      <c r="C257">
        <f>Tabla4[[#This Row],[Propina]]+Tabla4[[#This Row],[Precio Cena]]</f>
        <v>1359</v>
      </c>
      <c r="D257" s="3">
        <f>INT(sala!E256)</f>
        <v>45018</v>
      </c>
      <c r="E257" s="4">
        <f>MOD( sala!D256,1)</f>
        <v>9.930555555911269E-2</v>
      </c>
      <c r="F257" s="4">
        <f>MOD( sala!E256,1)</f>
        <v>0.16597222222480923</v>
      </c>
      <c r="G257" s="4">
        <f>Tabla5[[#This Row],[Hora de Salida]]-Tabla5[[#This Row],[Hora de Llegada]]+Tabla4[[#This Row],[Tiempo Extra]]</f>
        <v>6.6666666665696539E-2</v>
      </c>
      <c r="H257" s="5" t="str">
        <f>TEXT(Tabla4[[#This Row],[Preparación en horas]]/1440, "h:mm")</f>
        <v>0:37</v>
      </c>
      <c r="I257" s="4">
        <f>IF(Tabla5[[#This Row],[Tiempo Permanencia]]-Tabla5[[#This Row],[Tiempo de Preparación ]]&gt;=0,Tabla5[[#This Row],[Tiempo Permanencia]]-Tabla5[[#This Row],[Tiempo de Preparación ]],0)</f>
        <v>4.0972222221252096E-2</v>
      </c>
      <c r="J257" s="5" t="str">
        <f>IF(Tabla5[[#This Row],[Tiempo de Degustación]]=0,"No Cobrada","Cobrada")</f>
        <v>Cobrada</v>
      </c>
      <c r="K257" s="5" cm="1">
        <f t="array" ref="K257">SUM(IF(Tabla5[[#This Row],[Orden Cobrada]]="Cobrada",IF(Cocina!A:A=Tabla5[[#This Row],[Nº Orden]],Cocina!F:F*Cocina!G:G,0),-Tabla6[[#This Row],[Precio Cena]]))</f>
        <v>25</v>
      </c>
      <c r="L257" s="5">
        <f>IF(Tabla5[[#This Row],[Orden Cobrada]]="Cobrada",Tabla5[[#This Row],[Ganancia Bruta]]-Tabla6[[#This Row],[Coste Cena]],-Tabla6[[#This Row],[Precio Cena]]+Tabla6[[#This Row],[Coste Cena]])</f>
        <v>10</v>
      </c>
      <c r="M257" s="10">
        <f>IF(Tabla5[[#This Row],[Orden Cobrada]]="Cobrada",((Tabla5[[#This Row],[Ganancia Neta]]/Tabla5[[#This Row],[Ganancia Bruta]])*100)/100,-((Tabla5[[#This Row],[Ganancia Neta]]/Tabla5[[#This Row],[Ganancia Bruta]]*100)/100))</f>
        <v>0.4</v>
      </c>
      <c r="N257" s="5" t="str">
        <f>sala!F256</f>
        <v>Mesero_2</v>
      </c>
      <c r="AY257" cm="1">
        <f t="array" ref="AY257">SUM(IF(Cocina!A:A=Tabla5[[#This Row],[Nº Orden]],Cocina!F:F*Cocina!G:G,0))</f>
        <v>25</v>
      </c>
      <c r="AZ257" cm="1">
        <f t="array" ref="AZ257">SUM(IF(Cocina!A:A=Tabla5[[#This Row],[Nº Orden]],Cocina!E:E*Cocina!G:G,0))</f>
        <v>15</v>
      </c>
      <c r="BB257" t="str">
        <f>MID(Tabla4[[#This Row],[Cliente]], SEARCH("_", Tabla4[[#This Row],[Cliente]]) + 1, LEN(Tabla4[[#This Row],[Cliente]]) - SEARCH("_",Tabla4[[#This Row],[Cliente]]))</f>
        <v>978</v>
      </c>
      <c r="BC257" t="str">
        <f>sala!B256</f>
        <v>Cliente_978</v>
      </c>
      <c r="BD257" s="1">
        <f>sala!D256</f>
        <v>45018.099305555559</v>
      </c>
      <c r="BE257" s="1">
        <f>sala!E256</f>
        <v>45018.165972222225</v>
      </c>
      <c r="BF257">
        <f>sala!K256</f>
        <v>255</v>
      </c>
      <c r="BG257">
        <f>sala!I256</f>
        <v>1334</v>
      </c>
      <c r="BH257" cm="1">
        <f t="array" ref="BH257">SUM(IF(Cocina!A:A=Tabla4[[#This Row],[Número de Orden]],Cocina!F:F*Cocina!G:G,0))</f>
        <v>25</v>
      </c>
      <c r="BI257" t="str">
        <f>sala!J256</f>
        <v>Reservada</v>
      </c>
      <c r="BJ257" s="4" t="str">
        <f>IF(Tabla4[[#This Row],[Estado mesa]]="Ocupada","00:15","00:00")</f>
        <v>00:00</v>
      </c>
      <c r="BK257" cm="1">
        <f t="array" ref="BK257">SUM(IF(Cocina!A:A=Tabla4[[#This Row],[Número de Orden]],Cocina!H:H,0))</f>
        <v>37</v>
      </c>
    </row>
    <row r="258" spans="1:63" x14ac:dyDescent="0.3">
      <c r="A258" s="8" t="str">
        <f>MID(Tabla4[[#This Row],[Cliente]], SEARCH("_", Tabla4[[#This Row],[Cliente]]) + 1, LEN(Tabla4[[#This Row],[Cliente]]) - SEARCH("_",Tabla4[[#This Row],[Cliente]]))</f>
        <v>577</v>
      </c>
      <c r="B258">
        <f>sala!K257</f>
        <v>256</v>
      </c>
      <c r="C258">
        <f>Tabla4[[#This Row],[Propina]]+Tabla4[[#This Row],[Precio Cena]]</f>
        <v>5009</v>
      </c>
      <c r="D258" s="3">
        <f>INT(sala!E257)</f>
        <v>45018</v>
      </c>
      <c r="E258" s="4">
        <f>MOD( sala!D257,1)</f>
        <v>1.5972222223354038E-2</v>
      </c>
      <c r="F258" s="4">
        <f>MOD( sala!E257,1)</f>
        <v>0.14375000000291038</v>
      </c>
      <c r="G258" s="4">
        <f>Tabla5[[#This Row],[Hora de Salida]]-Tabla5[[#This Row],[Hora de Llegada]]+Tabla4[[#This Row],[Tiempo Extra]]</f>
        <v>0.12777777777955635</v>
      </c>
      <c r="H258" s="5" t="str">
        <f>TEXT(Tabla4[[#This Row],[Preparación en horas]]/1440, "h:mm")</f>
        <v>0:16</v>
      </c>
      <c r="I258" s="4">
        <f>IF(Tabla5[[#This Row],[Tiempo Permanencia]]-Tabla5[[#This Row],[Tiempo de Preparación ]]&gt;=0,Tabla5[[#This Row],[Tiempo Permanencia]]-Tabla5[[#This Row],[Tiempo de Preparación ]],0)</f>
        <v>0.11666666666844523</v>
      </c>
      <c r="J258" s="5" t="str">
        <f>IF(Tabla5[[#This Row],[Tiempo de Degustación]]=0,"No Cobrada","Cobrada")</f>
        <v>Cobrada</v>
      </c>
      <c r="K258" s="5" cm="1">
        <f t="array" ref="K258">SUM(IF(Tabla5[[#This Row],[Orden Cobrada]]="Cobrada",IF(Cocina!A:A=Tabla5[[#This Row],[Nº Orden]],Cocina!F:F*Cocina!G:G,0),-Tabla6[[#This Row],[Precio Cena]]))</f>
        <v>21</v>
      </c>
      <c r="L258" s="5">
        <f>IF(Tabla5[[#This Row],[Orden Cobrada]]="Cobrada",Tabla5[[#This Row],[Ganancia Bruta]]-Tabla6[[#This Row],[Coste Cena]],-Tabla6[[#This Row],[Precio Cena]]+Tabla6[[#This Row],[Coste Cena]])</f>
        <v>8</v>
      </c>
      <c r="M258" s="10">
        <f>IF(Tabla5[[#This Row],[Orden Cobrada]]="Cobrada",((Tabla5[[#This Row],[Ganancia Neta]]/Tabla5[[#This Row],[Ganancia Bruta]])*100)/100,-((Tabla5[[#This Row],[Ganancia Neta]]/Tabla5[[#This Row],[Ganancia Bruta]]*100)/100))</f>
        <v>0.38095238095238093</v>
      </c>
      <c r="N258" s="5" t="str">
        <f>sala!F257</f>
        <v>Mesero_5</v>
      </c>
      <c r="AY258" cm="1">
        <f t="array" ref="AY258">SUM(IF(Cocina!A:A=Tabla5[[#This Row],[Nº Orden]],Cocina!F:F*Cocina!G:G,0))</f>
        <v>21</v>
      </c>
      <c r="AZ258" cm="1">
        <f t="array" ref="AZ258">SUM(IF(Cocina!A:A=Tabla5[[#This Row],[Nº Orden]],Cocina!E:E*Cocina!G:G,0))</f>
        <v>13</v>
      </c>
      <c r="BB258" t="str">
        <f>MID(Tabla4[[#This Row],[Cliente]], SEARCH("_", Tabla4[[#This Row],[Cliente]]) + 1, LEN(Tabla4[[#This Row],[Cliente]]) - SEARCH("_",Tabla4[[#This Row],[Cliente]]))</f>
        <v>577</v>
      </c>
      <c r="BC258" t="str">
        <f>sala!B257</f>
        <v>Cliente_577</v>
      </c>
      <c r="BD258" s="1">
        <f>sala!D257</f>
        <v>45018.015972222223</v>
      </c>
      <c r="BE258" s="1">
        <f>sala!E257</f>
        <v>45018.143750000003</v>
      </c>
      <c r="BF258">
        <f>sala!K257</f>
        <v>256</v>
      </c>
      <c r="BG258">
        <f>sala!I257</f>
        <v>4988</v>
      </c>
      <c r="BH258" cm="1">
        <f t="array" ref="BH258">SUM(IF(Cocina!A:A=Tabla4[[#This Row],[Número de Orden]],Cocina!F:F*Cocina!G:G,0))</f>
        <v>21</v>
      </c>
      <c r="BI258" t="str">
        <f>sala!J257</f>
        <v>Reservada</v>
      </c>
      <c r="BJ258" s="4" t="str">
        <f>IF(Tabla4[[#This Row],[Estado mesa]]="Ocupada","00:15","00:00")</f>
        <v>00:00</v>
      </c>
      <c r="BK258" cm="1">
        <f t="array" ref="BK258">SUM(IF(Cocina!A:A=Tabla4[[#This Row],[Número de Orden]],Cocina!H:H,0))</f>
        <v>16</v>
      </c>
    </row>
    <row r="259" spans="1:63" x14ac:dyDescent="0.3">
      <c r="A259" s="8" t="str">
        <f>MID(Tabla4[[#This Row],[Cliente]], SEARCH("_", Tabla4[[#This Row],[Cliente]]) + 1, LEN(Tabla4[[#This Row],[Cliente]]) - SEARCH("_",Tabla4[[#This Row],[Cliente]]))</f>
        <v>429</v>
      </c>
      <c r="B259">
        <f>sala!K258</f>
        <v>257</v>
      </c>
      <c r="C259">
        <f>Tabla4[[#This Row],[Propina]]+Tabla4[[#This Row],[Precio Cena]]</f>
        <v>2724</v>
      </c>
      <c r="D259" s="3">
        <f>INT(sala!E258)</f>
        <v>45018</v>
      </c>
      <c r="E259" s="4">
        <f>MOD( sala!D258,1)</f>
        <v>8.8888888887595385E-2</v>
      </c>
      <c r="F259" s="4">
        <f>MOD( sala!E258,1)</f>
        <v>0.1368055555576575</v>
      </c>
      <c r="G259" s="4">
        <f>Tabla5[[#This Row],[Hora de Salida]]-Tabla5[[#This Row],[Hora de Llegada]]+Tabla4[[#This Row],[Tiempo Extra]]</f>
        <v>4.7916666670062114E-2</v>
      </c>
      <c r="H259" s="5" t="str">
        <f>TEXT(Tabla4[[#This Row],[Preparación en horas]]/1440, "h:mm")</f>
        <v>0:28</v>
      </c>
      <c r="I259" s="4">
        <f>IF(Tabla5[[#This Row],[Tiempo Permanencia]]-Tabla5[[#This Row],[Tiempo de Preparación ]]&gt;=0,Tabla5[[#This Row],[Tiempo Permanencia]]-Tabla5[[#This Row],[Tiempo de Preparación ]],0)</f>
        <v>2.8472222225617669E-2</v>
      </c>
      <c r="J259" s="5" t="str">
        <f>IF(Tabla5[[#This Row],[Tiempo de Degustación]]=0,"No Cobrada","Cobrada")</f>
        <v>Cobrada</v>
      </c>
      <c r="K259" s="5" cm="1">
        <f t="array" ref="K259">SUM(IF(Tabla5[[#This Row],[Orden Cobrada]]="Cobrada",IF(Cocina!A:A=Tabla5[[#This Row],[Nº Orden]],Cocina!F:F*Cocina!G:G,0),-Tabla6[[#This Row],[Precio Cena]]))</f>
        <v>46</v>
      </c>
      <c r="L259" s="5">
        <f>IF(Tabla5[[#This Row],[Orden Cobrada]]="Cobrada",Tabla5[[#This Row],[Ganancia Bruta]]-Tabla6[[#This Row],[Coste Cena]],-Tabla6[[#This Row],[Precio Cena]]+Tabla6[[#This Row],[Coste Cena]])</f>
        <v>18</v>
      </c>
      <c r="M259" s="10">
        <f>IF(Tabla5[[#This Row],[Orden Cobrada]]="Cobrada",((Tabla5[[#This Row],[Ganancia Neta]]/Tabla5[[#This Row],[Ganancia Bruta]])*100)/100,-((Tabla5[[#This Row],[Ganancia Neta]]/Tabla5[[#This Row],[Ganancia Bruta]]*100)/100))</f>
        <v>0.39130434782608697</v>
      </c>
      <c r="N259" s="5" t="str">
        <f>sala!F258</f>
        <v>Mesero_2</v>
      </c>
      <c r="AY259" cm="1">
        <f t="array" ref="AY259">SUM(IF(Cocina!A:A=Tabla5[[#This Row],[Nº Orden]],Cocina!F:F*Cocina!G:G,0))</f>
        <v>46</v>
      </c>
      <c r="AZ259" cm="1">
        <f t="array" ref="AZ259">SUM(IF(Cocina!A:A=Tabla5[[#This Row],[Nº Orden]],Cocina!E:E*Cocina!G:G,0))</f>
        <v>28</v>
      </c>
      <c r="BB259" t="str">
        <f>MID(Tabla4[[#This Row],[Cliente]], SEARCH("_", Tabla4[[#This Row],[Cliente]]) + 1, LEN(Tabla4[[#This Row],[Cliente]]) - SEARCH("_",Tabla4[[#This Row],[Cliente]]))</f>
        <v>429</v>
      </c>
      <c r="BC259" t="str">
        <f>sala!B258</f>
        <v>Cliente_429</v>
      </c>
      <c r="BD259" s="1">
        <f>sala!D258</f>
        <v>45018.088888888888</v>
      </c>
      <c r="BE259" s="1">
        <f>sala!E258</f>
        <v>45018.136805555558</v>
      </c>
      <c r="BF259">
        <f>sala!K258</f>
        <v>257</v>
      </c>
      <c r="BG259">
        <f>sala!I258</f>
        <v>2678</v>
      </c>
      <c r="BH259" cm="1">
        <f t="array" ref="BH259">SUM(IF(Cocina!A:A=Tabla4[[#This Row],[Número de Orden]],Cocina!F:F*Cocina!G:G,0))</f>
        <v>46</v>
      </c>
      <c r="BI259" t="str">
        <f>sala!J258</f>
        <v>Reservada</v>
      </c>
      <c r="BJ259" s="4" t="str">
        <f>IF(Tabla4[[#This Row],[Estado mesa]]="Ocupada","00:15","00:00")</f>
        <v>00:00</v>
      </c>
      <c r="BK259" cm="1">
        <f t="array" ref="BK259">SUM(IF(Cocina!A:A=Tabla4[[#This Row],[Número de Orden]],Cocina!H:H,0))</f>
        <v>28</v>
      </c>
    </row>
    <row r="260" spans="1:63" x14ac:dyDescent="0.3">
      <c r="A260" s="8" t="str">
        <f>MID(Tabla4[[#This Row],[Cliente]], SEARCH("_", Tabla4[[#This Row],[Cliente]]) + 1, LEN(Tabla4[[#This Row],[Cliente]]) - SEARCH("_",Tabla4[[#This Row],[Cliente]]))</f>
        <v>811</v>
      </c>
      <c r="B260">
        <f>sala!K259</f>
        <v>258</v>
      </c>
      <c r="C260">
        <f>Tabla4[[#This Row],[Propina]]+Tabla4[[#This Row],[Precio Cena]]</f>
        <v>4916</v>
      </c>
      <c r="D260" s="3">
        <f>INT(sala!E259)</f>
        <v>45018</v>
      </c>
      <c r="E260" s="4">
        <f>MOD( sala!D259,1)</f>
        <v>2.7083333334303461E-2</v>
      </c>
      <c r="F260" s="4">
        <f>MOD( sala!E259,1)</f>
        <v>0.18888888888614019</v>
      </c>
      <c r="G260" s="4">
        <f>Tabla5[[#This Row],[Hora de Salida]]-Tabla5[[#This Row],[Hora de Llegada]]+Tabla4[[#This Row],[Tiempo Extra]]</f>
        <v>0.16180555555183673</v>
      </c>
      <c r="H260" s="5" t="str">
        <f>TEXT(Tabla4[[#This Row],[Preparación en horas]]/1440, "h:mm")</f>
        <v>1:45</v>
      </c>
      <c r="I260" s="4">
        <f>IF(Tabla5[[#This Row],[Tiempo Permanencia]]-Tabla5[[#This Row],[Tiempo de Preparación ]]&gt;=0,Tabla5[[#This Row],[Tiempo Permanencia]]-Tabla5[[#This Row],[Tiempo de Preparación ]],0)</f>
        <v>8.8888888885170061E-2</v>
      </c>
      <c r="J260" s="5" t="str">
        <f>IF(Tabla5[[#This Row],[Tiempo de Degustación]]=0,"No Cobrada","Cobrada")</f>
        <v>Cobrada</v>
      </c>
      <c r="K260" s="5" cm="1">
        <f t="array" ref="K260">SUM(IF(Tabla5[[#This Row],[Orden Cobrada]]="Cobrada",IF(Cocina!A:A=Tabla5[[#This Row],[Nº Orden]],Cocina!F:F*Cocina!G:G,0),-Tabla6[[#This Row],[Precio Cena]]))</f>
        <v>117</v>
      </c>
      <c r="L260" s="5">
        <f>IF(Tabla5[[#This Row],[Orden Cobrada]]="Cobrada",Tabla5[[#This Row],[Ganancia Bruta]]-Tabla6[[#This Row],[Coste Cena]],-Tabla6[[#This Row],[Precio Cena]]+Tabla6[[#This Row],[Coste Cena]])</f>
        <v>46</v>
      </c>
      <c r="M260" s="10">
        <f>IF(Tabla5[[#This Row],[Orden Cobrada]]="Cobrada",((Tabla5[[#This Row],[Ganancia Neta]]/Tabla5[[#This Row],[Ganancia Bruta]])*100)/100,-((Tabla5[[#This Row],[Ganancia Neta]]/Tabla5[[#This Row],[Ganancia Bruta]]*100)/100))</f>
        <v>0.39316239316239321</v>
      </c>
      <c r="N260" s="5" t="str">
        <f>sala!F259</f>
        <v>Mesero_2</v>
      </c>
      <c r="AY260" cm="1">
        <f t="array" ref="AY260">SUM(IF(Cocina!A:A=Tabla5[[#This Row],[Nº Orden]],Cocina!F:F*Cocina!G:G,0))</f>
        <v>117</v>
      </c>
      <c r="AZ260" cm="1">
        <f t="array" ref="AZ260">SUM(IF(Cocina!A:A=Tabla5[[#This Row],[Nº Orden]],Cocina!E:E*Cocina!G:G,0))</f>
        <v>71</v>
      </c>
      <c r="BB260" t="str">
        <f>MID(Tabla4[[#This Row],[Cliente]], SEARCH("_", Tabla4[[#This Row],[Cliente]]) + 1, LEN(Tabla4[[#This Row],[Cliente]]) - SEARCH("_",Tabla4[[#This Row],[Cliente]]))</f>
        <v>811</v>
      </c>
      <c r="BC260" t="str">
        <f>sala!B259</f>
        <v>Cliente_811</v>
      </c>
      <c r="BD260" s="1">
        <f>sala!D259</f>
        <v>45018.027083333334</v>
      </c>
      <c r="BE260" s="1">
        <f>sala!E259</f>
        <v>45018.188888888886</v>
      </c>
      <c r="BF260">
        <f>sala!K259</f>
        <v>258</v>
      </c>
      <c r="BG260">
        <f>sala!I259</f>
        <v>4799</v>
      </c>
      <c r="BH260" cm="1">
        <f t="array" ref="BH260">SUM(IF(Cocina!A:A=Tabla4[[#This Row],[Número de Orden]],Cocina!F:F*Cocina!G:G,0))</f>
        <v>117</v>
      </c>
      <c r="BI260" t="str">
        <f>sala!J259</f>
        <v>Reservada</v>
      </c>
      <c r="BJ260" s="4" t="str">
        <f>IF(Tabla4[[#This Row],[Estado mesa]]="Ocupada","00:15","00:00")</f>
        <v>00:00</v>
      </c>
      <c r="BK260" cm="1">
        <f t="array" ref="BK260">SUM(IF(Cocina!A:A=Tabla4[[#This Row],[Número de Orden]],Cocina!H:H,0))</f>
        <v>105</v>
      </c>
    </row>
    <row r="261" spans="1:63" x14ac:dyDescent="0.3">
      <c r="A261" s="8" t="str">
        <f>MID(Tabla4[[#This Row],[Cliente]], SEARCH("_", Tabla4[[#This Row],[Cliente]]) + 1, LEN(Tabla4[[#This Row],[Cliente]]) - SEARCH("_",Tabla4[[#This Row],[Cliente]]))</f>
        <v>553</v>
      </c>
      <c r="B261">
        <f>sala!K260</f>
        <v>259</v>
      </c>
      <c r="C261">
        <f>Tabla4[[#This Row],[Propina]]+Tabla4[[#This Row],[Precio Cena]]</f>
        <v>4753</v>
      </c>
      <c r="D261" s="3">
        <f>INT(sala!E260)</f>
        <v>45018</v>
      </c>
      <c r="E261" s="4">
        <f>MOD( sala!D260,1)</f>
        <v>0.14375000000291038</v>
      </c>
      <c r="F261" s="4">
        <f>MOD( sala!E260,1)</f>
        <v>0.26111111111094942</v>
      </c>
      <c r="G261" s="4">
        <f>Tabla5[[#This Row],[Hora de Salida]]-Tabla5[[#This Row],[Hora de Llegada]]+Tabla4[[#This Row],[Tiempo Extra]]</f>
        <v>0.1277777777747057</v>
      </c>
      <c r="H261" s="5" t="str">
        <f>TEXT(Tabla4[[#This Row],[Preparación en horas]]/1440, "h:mm")</f>
        <v>0:11</v>
      </c>
      <c r="I261" s="4">
        <f>IF(Tabla5[[#This Row],[Tiempo Permanencia]]-Tabla5[[#This Row],[Tiempo de Preparación ]]&gt;=0,Tabla5[[#This Row],[Tiempo Permanencia]]-Tabla5[[#This Row],[Tiempo de Preparación ]],0)</f>
        <v>0.12013888888581681</v>
      </c>
      <c r="J261" s="5" t="str">
        <f>IF(Tabla5[[#This Row],[Tiempo de Degustación]]=0,"No Cobrada","Cobrada")</f>
        <v>Cobrada</v>
      </c>
      <c r="K261" s="5" cm="1">
        <f t="array" ref="K261">SUM(IF(Tabla5[[#This Row],[Orden Cobrada]]="Cobrada",IF(Cocina!A:A=Tabla5[[#This Row],[Nº Orden]],Cocina!F:F*Cocina!G:G,0),-Tabla6[[#This Row],[Precio Cena]]))</f>
        <v>81</v>
      </c>
      <c r="L261" s="5">
        <f>IF(Tabla5[[#This Row],[Orden Cobrada]]="Cobrada",Tabla5[[#This Row],[Ganancia Bruta]]-Tabla6[[#This Row],[Coste Cena]],-Tabla6[[#This Row],[Precio Cena]]+Tabla6[[#This Row],[Coste Cena]])</f>
        <v>33</v>
      </c>
      <c r="M261" s="10">
        <f>IF(Tabla5[[#This Row],[Orden Cobrada]]="Cobrada",((Tabla5[[#This Row],[Ganancia Neta]]/Tabla5[[#This Row],[Ganancia Bruta]])*100)/100,-((Tabla5[[#This Row],[Ganancia Neta]]/Tabla5[[#This Row],[Ganancia Bruta]]*100)/100))</f>
        <v>0.40740740740740738</v>
      </c>
      <c r="N261" s="5" t="str">
        <f>sala!F260</f>
        <v>Mesero_1</v>
      </c>
      <c r="AY261" cm="1">
        <f t="array" ref="AY261">SUM(IF(Cocina!A:A=Tabla5[[#This Row],[Nº Orden]],Cocina!F:F*Cocina!G:G,0))</f>
        <v>81</v>
      </c>
      <c r="AZ261" cm="1">
        <f t="array" ref="AZ261">SUM(IF(Cocina!A:A=Tabla5[[#This Row],[Nº Orden]],Cocina!E:E*Cocina!G:G,0))</f>
        <v>48</v>
      </c>
      <c r="BB261" t="str">
        <f>MID(Tabla4[[#This Row],[Cliente]], SEARCH("_", Tabla4[[#This Row],[Cliente]]) + 1, LEN(Tabla4[[#This Row],[Cliente]]) - SEARCH("_",Tabla4[[#This Row],[Cliente]]))</f>
        <v>553</v>
      </c>
      <c r="BC261" t="str">
        <f>sala!B260</f>
        <v>Cliente_553</v>
      </c>
      <c r="BD261" s="1">
        <f>sala!D260</f>
        <v>45018.143750000003</v>
      </c>
      <c r="BE261" s="1">
        <f>sala!E260</f>
        <v>45018.261111111111</v>
      </c>
      <c r="BF261">
        <f>sala!K260</f>
        <v>259</v>
      </c>
      <c r="BG261">
        <f>sala!I260</f>
        <v>4672</v>
      </c>
      <c r="BH261" cm="1">
        <f t="array" ref="BH261">SUM(IF(Cocina!A:A=Tabla4[[#This Row],[Número de Orden]],Cocina!F:F*Cocina!G:G,0))</f>
        <v>81</v>
      </c>
      <c r="BI261" t="str">
        <f>sala!J260</f>
        <v>Ocupada</v>
      </c>
      <c r="BJ261" s="4" t="str">
        <f>IF(Tabla4[[#This Row],[Estado mesa]]="Ocupada","00:15","00:00")</f>
        <v>00:15</v>
      </c>
      <c r="BK261" cm="1">
        <f t="array" ref="BK261">SUM(IF(Cocina!A:A=Tabla4[[#This Row],[Número de Orden]],Cocina!H:H,0))</f>
        <v>11</v>
      </c>
    </row>
    <row r="262" spans="1:63" x14ac:dyDescent="0.3">
      <c r="A262" s="8" t="str">
        <f>MID(Tabla4[[#This Row],[Cliente]], SEARCH("_", Tabla4[[#This Row],[Cliente]]) + 1, LEN(Tabla4[[#This Row],[Cliente]]) - SEARCH("_",Tabla4[[#This Row],[Cliente]]))</f>
        <v>228</v>
      </c>
      <c r="B262">
        <f>sala!K261</f>
        <v>260</v>
      </c>
      <c r="C262">
        <f>Tabla4[[#This Row],[Propina]]+Tabla4[[#This Row],[Precio Cena]]</f>
        <v>4824</v>
      </c>
      <c r="D262" s="3">
        <f>INT(sala!E261)</f>
        <v>45018</v>
      </c>
      <c r="E262" s="4">
        <f>MOD( sala!D261,1)</f>
        <v>5.7638888887595385E-2</v>
      </c>
      <c r="F262" s="4">
        <f>MOD( sala!E261,1)</f>
        <v>0.19305555555911269</v>
      </c>
      <c r="G262" s="4">
        <f>Tabla5[[#This Row],[Hora de Salida]]-Tabla5[[#This Row],[Hora de Llegada]]+Tabla4[[#This Row],[Tiempo Extra]]</f>
        <v>0.14583333333818396</v>
      </c>
      <c r="H262" s="5" t="str">
        <f>TEXT(Tabla4[[#This Row],[Preparación en horas]]/1440, "h:mm")</f>
        <v>0:49</v>
      </c>
      <c r="I262" s="4">
        <f>IF(Tabla5[[#This Row],[Tiempo Permanencia]]-Tabla5[[#This Row],[Tiempo de Preparación ]]&gt;=0,Tabla5[[#This Row],[Tiempo Permanencia]]-Tabla5[[#This Row],[Tiempo de Preparación ]],0)</f>
        <v>0.11180555556040619</v>
      </c>
      <c r="J262" s="5" t="str">
        <f>IF(Tabla5[[#This Row],[Tiempo de Degustación]]=0,"No Cobrada","Cobrada")</f>
        <v>Cobrada</v>
      </c>
      <c r="K262" s="5" cm="1">
        <f t="array" ref="K262">SUM(IF(Tabla5[[#This Row],[Orden Cobrada]]="Cobrada",IF(Cocina!A:A=Tabla5[[#This Row],[Nº Orden]],Cocina!F:F*Cocina!G:G,0),-Tabla6[[#This Row],[Precio Cena]]))</f>
        <v>69</v>
      </c>
      <c r="L262" s="5">
        <f>IF(Tabla5[[#This Row],[Orden Cobrada]]="Cobrada",Tabla5[[#This Row],[Ganancia Bruta]]-Tabla6[[#This Row],[Coste Cena]],-Tabla6[[#This Row],[Precio Cena]]+Tabla6[[#This Row],[Coste Cena]])</f>
        <v>27</v>
      </c>
      <c r="M262" s="10">
        <f>IF(Tabla5[[#This Row],[Orden Cobrada]]="Cobrada",((Tabla5[[#This Row],[Ganancia Neta]]/Tabla5[[#This Row],[Ganancia Bruta]])*100)/100,-((Tabla5[[#This Row],[Ganancia Neta]]/Tabla5[[#This Row],[Ganancia Bruta]]*100)/100))</f>
        <v>0.39130434782608697</v>
      </c>
      <c r="N262" s="5" t="str">
        <f>sala!F261</f>
        <v>Mesero_5</v>
      </c>
      <c r="AY262" cm="1">
        <f t="array" ref="AY262">SUM(IF(Cocina!A:A=Tabla5[[#This Row],[Nº Orden]],Cocina!F:F*Cocina!G:G,0))</f>
        <v>69</v>
      </c>
      <c r="AZ262" cm="1">
        <f t="array" ref="AZ262">SUM(IF(Cocina!A:A=Tabla5[[#This Row],[Nº Orden]],Cocina!E:E*Cocina!G:G,0))</f>
        <v>42</v>
      </c>
      <c r="BB262" t="str">
        <f>MID(Tabla4[[#This Row],[Cliente]], SEARCH("_", Tabla4[[#This Row],[Cliente]]) + 1, LEN(Tabla4[[#This Row],[Cliente]]) - SEARCH("_",Tabla4[[#This Row],[Cliente]]))</f>
        <v>228</v>
      </c>
      <c r="BC262" t="str">
        <f>sala!B261</f>
        <v>Cliente_228</v>
      </c>
      <c r="BD262" s="1">
        <f>sala!D261</f>
        <v>45018.057638888888</v>
      </c>
      <c r="BE262" s="1">
        <f>sala!E261</f>
        <v>45018.193055555559</v>
      </c>
      <c r="BF262">
        <f>sala!K261</f>
        <v>260</v>
      </c>
      <c r="BG262">
        <f>sala!I261</f>
        <v>4755</v>
      </c>
      <c r="BH262" cm="1">
        <f t="array" ref="BH262">SUM(IF(Cocina!A:A=Tabla4[[#This Row],[Número de Orden]],Cocina!F:F*Cocina!G:G,0))</f>
        <v>69</v>
      </c>
      <c r="BI262" t="str">
        <f>sala!J261</f>
        <v>Ocupada</v>
      </c>
      <c r="BJ262" s="4" t="str">
        <f>IF(Tabla4[[#This Row],[Estado mesa]]="Ocupada","00:15","00:00")</f>
        <v>00:15</v>
      </c>
      <c r="BK262" cm="1">
        <f t="array" ref="BK262">SUM(IF(Cocina!A:A=Tabla4[[#This Row],[Número de Orden]],Cocina!H:H,0))</f>
        <v>49</v>
      </c>
    </row>
    <row r="263" spans="1:63" x14ac:dyDescent="0.3">
      <c r="A263" s="8" t="str">
        <f>MID(Tabla4[[#This Row],[Cliente]], SEARCH("_", Tabla4[[#This Row],[Cliente]]) + 1, LEN(Tabla4[[#This Row],[Cliente]]) - SEARCH("_",Tabla4[[#This Row],[Cliente]]))</f>
        <v>249</v>
      </c>
      <c r="B263">
        <f>sala!K262</f>
        <v>261</v>
      </c>
      <c r="C263">
        <f>Tabla4[[#This Row],[Propina]]+Tabla4[[#This Row],[Precio Cena]]</f>
        <v>3396</v>
      </c>
      <c r="D263" s="3">
        <f>INT(sala!E262)</f>
        <v>45018</v>
      </c>
      <c r="E263" s="4">
        <f>MOD( sala!D262,1)</f>
        <v>4.7222222223354038E-2</v>
      </c>
      <c r="F263" s="4">
        <f>MOD( sala!E262,1)</f>
        <v>0.12152777778101154</v>
      </c>
      <c r="G263" s="4">
        <f>Tabla5[[#This Row],[Hora de Salida]]-Tabla5[[#This Row],[Hora de Llegada]]+Tabla4[[#This Row],[Tiempo Extra]]</f>
        <v>8.472222222432417E-2</v>
      </c>
      <c r="H263" s="5" t="str">
        <f>TEXT(Tabla4[[#This Row],[Preparación en horas]]/1440, "h:mm")</f>
        <v>0:55</v>
      </c>
      <c r="I263" s="4">
        <f>IF(Tabla5[[#This Row],[Tiempo Permanencia]]-Tabla5[[#This Row],[Tiempo de Preparación ]]&gt;=0,Tabla5[[#This Row],[Tiempo Permanencia]]-Tabla5[[#This Row],[Tiempo de Preparación ]],0)</f>
        <v>4.6527777779879723E-2</v>
      </c>
      <c r="J263" s="5" t="str">
        <f>IF(Tabla5[[#This Row],[Tiempo de Degustación]]=0,"No Cobrada","Cobrada")</f>
        <v>Cobrada</v>
      </c>
      <c r="K263" s="5" cm="1">
        <f t="array" ref="K263">SUM(IF(Tabla5[[#This Row],[Orden Cobrada]]="Cobrada",IF(Cocina!A:A=Tabla5[[#This Row],[Nº Orden]],Cocina!F:F*Cocina!G:G,0),-Tabla6[[#This Row],[Precio Cena]]))</f>
        <v>154</v>
      </c>
      <c r="L263" s="5">
        <f>IF(Tabla5[[#This Row],[Orden Cobrada]]="Cobrada",Tabla5[[#This Row],[Ganancia Bruta]]-Tabla6[[#This Row],[Coste Cena]],-Tabla6[[#This Row],[Precio Cena]]+Tabla6[[#This Row],[Coste Cena]])</f>
        <v>63</v>
      </c>
      <c r="M263" s="10">
        <f>IF(Tabla5[[#This Row],[Orden Cobrada]]="Cobrada",((Tabla5[[#This Row],[Ganancia Neta]]/Tabla5[[#This Row],[Ganancia Bruta]])*100)/100,-((Tabla5[[#This Row],[Ganancia Neta]]/Tabla5[[#This Row],[Ganancia Bruta]]*100)/100))</f>
        <v>0.40909090909090912</v>
      </c>
      <c r="N263" s="5" t="str">
        <f>sala!F262</f>
        <v>Mesero_4</v>
      </c>
      <c r="AY263" cm="1">
        <f t="array" ref="AY263">SUM(IF(Cocina!A:A=Tabla5[[#This Row],[Nº Orden]],Cocina!F:F*Cocina!G:G,0))</f>
        <v>154</v>
      </c>
      <c r="AZ263" cm="1">
        <f t="array" ref="AZ263">SUM(IF(Cocina!A:A=Tabla5[[#This Row],[Nº Orden]],Cocina!E:E*Cocina!G:G,0))</f>
        <v>91</v>
      </c>
      <c r="BB263" t="str">
        <f>MID(Tabla4[[#This Row],[Cliente]], SEARCH("_", Tabla4[[#This Row],[Cliente]]) + 1, LEN(Tabla4[[#This Row],[Cliente]]) - SEARCH("_",Tabla4[[#This Row],[Cliente]]))</f>
        <v>249</v>
      </c>
      <c r="BC263" t="str">
        <f>sala!B262</f>
        <v>Cliente_249</v>
      </c>
      <c r="BD263" s="1">
        <f>sala!D262</f>
        <v>45018.047222222223</v>
      </c>
      <c r="BE263" s="1">
        <f>sala!E262</f>
        <v>45018.121527777781</v>
      </c>
      <c r="BF263">
        <f>sala!K262</f>
        <v>261</v>
      </c>
      <c r="BG263">
        <f>sala!I262</f>
        <v>3242</v>
      </c>
      <c r="BH263" cm="1">
        <f t="array" ref="BH263">SUM(IF(Cocina!A:A=Tabla4[[#This Row],[Número de Orden]],Cocina!F:F*Cocina!G:G,0))</f>
        <v>154</v>
      </c>
      <c r="BI263" t="str">
        <f>sala!J262</f>
        <v>Ocupada</v>
      </c>
      <c r="BJ263" s="4" t="str">
        <f>IF(Tabla4[[#This Row],[Estado mesa]]="Ocupada","00:15","00:00")</f>
        <v>00:15</v>
      </c>
      <c r="BK263" cm="1">
        <f t="array" ref="BK263">SUM(IF(Cocina!A:A=Tabla4[[#This Row],[Número de Orden]],Cocina!H:H,0))</f>
        <v>55</v>
      </c>
    </row>
    <row r="264" spans="1:63" x14ac:dyDescent="0.3">
      <c r="A264" s="8" t="str">
        <f>MID(Tabla4[[#This Row],[Cliente]], SEARCH("_", Tabla4[[#This Row],[Cliente]]) + 1, LEN(Tabla4[[#This Row],[Cliente]]) - SEARCH("_",Tabla4[[#This Row],[Cliente]]))</f>
        <v>326</v>
      </c>
      <c r="B264">
        <f>sala!K263</f>
        <v>262</v>
      </c>
      <c r="C264">
        <f>Tabla4[[#This Row],[Propina]]+Tabla4[[#This Row],[Precio Cena]]</f>
        <v>4398</v>
      </c>
      <c r="D264" s="3">
        <f>INT(sala!E263)</f>
        <v>45018</v>
      </c>
      <c r="E264" s="4">
        <f>MOD( sala!D263,1)</f>
        <v>0.15555555555329192</v>
      </c>
      <c r="F264" s="4">
        <f>MOD( sala!E263,1)</f>
        <v>0.30625000000145519</v>
      </c>
      <c r="G264" s="4">
        <f>Tabla5[[#This Row],[Hora de Salida]]-Tabla5[[#This Row],[Hora de Llegada]]+Tabla4[[#This Row],[Tiempo Extra]]</f>
        <v>0.16111111111482992</v>
      </c>
      <c r="H264" s="5" t="str">
        <f>TEXT(Tabla4[[#This Row],[Preparación en horas]]/1440, "h:mm")</f>
        <v>0:48</v>
      </c>
      <c r="I264" s="4">
        <f>IF(Tabla5[[#This Row],[Tiempo Permanencia]]-Tabla5[[#This Row],[Tiempo de Preparación ]]&gt;=0,Tabla5[[#This Row],[Tiempo Permanencia]]-Tabla5[[#This Row],[Tiempo de Preparación ]],0)</f>
        <v>0.1277777777814966</v>
      </c>
      <c r="J264" s="5" t="str">
        <f>IF(Tabla5[[#This Row],[Tiempo de Degustación]]=0,"No Cobrada","Cobrada")</f>
        <v>Cobrada</v>
      </c>
      <c r="K264" s="5" cm="1">
        <f t="array" ref="K264">SUM(IF(Tabla5[[#This Row],[Orden Cobrada]]="Cobrada",IF(Cocina!A:A=Tabla5[[#This Row],[Nº Orden]],Cocina!F:F*Cocina!G:G,0),-Tabla6[[#This Row],[Precio Cena]]))</f>
        <v>115</v>
      </c>
      <c r="L264" s="5">
        <f>IF(Tabla5[[#This Row],[Orden Cobrada]]="Cobrada",Tabla5[[#This Row],[Ganancia Bruta]]-Tabla6[[#This Row],[Coste Cena]],-Tabla6[[#This Row],[Precio Cena]]+Tabla6[[#This Row],[Coste Cena]])</f>
        <v>45</v>
      </c>
      <c r="M264" s="10">
        <f>IF(Tabla5[[#This Row],[Orden Cobrada]]="Cobrada",((Tabla5[[#This Row],[Ganancia Neta]]/Tabla5[[#This Row],[Ganancia Bruta]])*100)/100,-((Tabla5[[#This Row],[Ganancia Neta]]/Tabla5[[#This Row],[Ganancia Bruta]]*100)/100))</f>
        <v>0.39130434782608697</v>
      </c>
      <c r="N264" s="5" t="str">
        <f>sala!F263</f>
        <v>Mesero_2</v>
      </c>
      <c r="AY264" cm="1">
        <f t="array" ref="AY264">SUM(IF(Cocina!A:A=Tabla5[[#This Row],[Nº Orden]],Cocina!F:F*Cocina!G:G,0))</f>
        <v>115</v>
      </c>
      <c r="AZ264" cm="1">
        <f t="array" ref="AZ264">SUM(IF(Cocina!A:A=Tabla5[[#This Row],[Nº Orden]],Cocina!E:E*Cocina!G:G,0))</f>
        <v>70</v>
      </c>
      <c r="BB264" t="str">
        <f>MID(Tabla4[[#This Row],[Cliente]], SEARCH("_", Tabla4[[#This Row],[Cliente]]) + 1, LEN(Tabla4[[#This Row],[Cliente]]) - SEARCH("_",Tabla4[[#This Row],[Cliente]]))</f>
        <v>326</v>
      </c>
      <c r="BC264" t="str">
        <f>sala!B263</f>
        <v>Cliente_326</v>
      </c>
      <c r="BD264" s="1">
        <f>sala!D263</f>
        <v>45018.155555555553</v>
      </c>
      <c r="BE264" s="1">
        <f>sala!E263</f>
        <v>45018.306250000001</v>
      </c>
      <c r="BF264">
        <f>sala!K263</f>
        <v>262</v>
      </c>
      <c r="BG264">
        <f>sala!I263</f>
        <v>4283</v>
      </c>
      <c r="BH264" cm="1">
        <f t="array" ref="BH264">SUM(IF(Cocina!A:A=Tabla4[[#This Row],[Número de Orden]],Cocina!F:F*Cocina!G:G,0))</f>
        <v>115</v>
      </c>
      <c r="BI264" t="str">
        <f>sala!J263</f>
        <v>Ocupada</v>
      </c>
      <c r="BJ264" s="4" t="str">
        <f>IF(Tabla4[[#This Row],[Estado mesa]]="Ocupada","00:15","00:00")</f>
        <v>00:15</v>
      </c>
      <c r="BK264" cm="1">
        <f t="array" ref="BK264">SUM(IF(Cocina!A:A=Tabla4[[#This Row],[Número de Orden]],Cocina!H:H,0))</f>
        <v>48</v>
      </c>
    </row>
    <row r="265" spans="1:63" x14ac:dyDescent="0.3">
      <c r="A265" s="8" t="str">
        <f>MID(Tabla4[[#This Row],[Cliente]], SEARCH("_", Tabla4[[#This Row],[Cliente]]) + 1, LEN(Tabla4[[#This Row],[Cliente]]) - SEARCH("_",Tabla4[[#This Row],[Cliente]]))</f>
        <v>697</v>
      </c>
      <c r="B265">
        <f>sala!K264</f>
        <v>263</v>
      </c>
      <c r="C265">
        <f>Tabla4[[#This Row],[Propina]]+Tabla4[[#This Row],[Precio Cena]]</f>
        <v>4417</v>
      </c>
      <c r="D265" s="3">
        <f>INT(sala!E264)</f>
        <v>45018</v>
      </c>
      <c r="E265" s="4">
        <f>MOD( sala!D264,1)</f>
        <v>0.12013888888759539</v>
      </c>
      <c r="F265" s="4">
        <f>MOD( sala!E264,1)</f>
        <v>0.22638888889196096</v>
      </c>
      <c r="G265" s="4">
        <f>Tabla5[[#This Row],[Hora de Salida]]-Tabla5[[#This Row],[Hora de Llegada]]+Tabla4[[#This Row],[Tiempo Extra]]</f>
        <v>0.10625000000436557</v>
      </c>
      <c r="H265" s="5" t="str">
        <f>TEXT(Tabla4[[#This Row],[Preparación en horas]]/1440, "h:mm")</f>
        <v>2:29</v>
      </c>
      <c r="I265" s="4">
        <f>IF(Tabla5[[#This Row],[Tiempo Permanencia]]-Tabla5[[#This Row],[Tiempo de Preparación ]]&gt;=0,Tabla5[[#This Row],[Tiempo Permanencia]]-Tabla5[[#This Row],[Tiempo de Preparación ]],0)</f>
        <v>2.7777777821433591E-3</v>
      </c>
      <c r="J265" s="5" t="str">
        <f>IF(Tabla5[[#This Row],[Tiempo de Degustación]]=0,"No Cobrada","Cobrada")</f>
        <v>Cobrada</v>
      </c>
      <c r="K265" s="5" cm="1">
        <f t="array" ref="K265">SUM(IF(Tabla5[[#This Row],[Orden Cobrada]]="Cobrada",IF(Cocina!A:A=Tabla5[[#This Row],[Nº Orden]],Cocina!F:F*Cocina!G:G,0),-Tabla6[[#This Row],[Precio Cena]]))</f>
        <v>121</v>
      </c>
      <c r="L265" s="5">
        <f>IF(Tabla5[[#This Row],[Orden Cobrada]]="Cobrada",Tabla5[[#This Row],[Ganancia Bruta]]-Tabla6[[#This Row],[Coste Cena]],-Tabla6[[#This Row],[Precio Cena]]+Tabla6[[#This Row],[Coste Cena]])</f>
        <v>49</v>
      </c>
      <c r="M265" s="10">
        <f>IF(Tabla5[[#This Row],[Orden Cobrada]]="Cobrada",((Tabla5[[#This Row],[Ganancia Neta]]/Tabla5[[#This Row],[Ganancia Bruta]])*100)/100,-((Tabla5[[#This Row],[Ganancia Neta]]/Tabla5[[#This Row],[Ganancia Bruta]]*100)/100))</f>
        <v>0.4049586776859504</v>
      </c>
      <c r="N265" s="5" t="str">
        <f>sala!F264</f>
        <v>Mesero_1</v>
      </c>
      <c r="AY265" cm="1">
        <f t="array" ref="AY265">SUM(IF(Cocina!A:A=Tabla5[[#This Row],[Nº Orden]],Cocina!F:F*Cocina!G:G,0))</f>
        <v>121</v>
      </c>
      <c r="AZ265" cm="1">
        <f t="array" ref="AZ265">SUM(IF(Cocina!A:A=Tabla5[[#This Row],[Nº Orden]],Cocina!E:E*Cocina!G:G,0))</f>
        <v>72</v>
      </c>
      <c r="BB265" t="str">
        <f>MID(Tabla4[[#This Row],[Cliente]], SEARCH("_", Tabla4[[#This Row],[Cliente]]) + 1, LEN(Tabla4[[#This Row],[Cliente]]) - SEARCH("_",Tabla4[[#This Row],[Cliente]]))</f>
        <v>697</v>
      </c>
      <c r="BC265" t="str">
        <f>sala!B264</f>
        <v>Cliente_697</v>
      </c>
      <c r="BD265" s="1">
        <f>sala!D264</f>
        <v>45018.120138888888</v>
      </c>
      <c r="BE265" s="1">
        <f>sala!E264</f>
        <v>45018.226388888892</v>
      </c>
      <c r="BF265">
        <f>sala!K264</f>
        <v>263</v>
      </c>
      <c r="BG265">
        <f>sala!I264</f>
        <v>4296</v>
      </c>
      <c r="BH265" cm="1">
        <f t="array" ref="BH265">SUM(IF(Cocina!A:A=Tabla4[[#This Row],[Número de Orden]],Cocina!F:F*Cocina!G:G,0))</f>
        <v>121</v>
      </c>
      <c r="BI265" t="str">
        <f>sala!J264</f>
        <v>Libre</v>
      </c>
      <c r="BJ265" s="4" t="str">
        <f>IF(Tabla4[[#This Row],[Estado mesa]]="Ocupada","00:15","00:00")</f>
        <v>00:00</v>
      </c>
      <c r="BK265" cm="1">
        <f t="array" ref="BK265">SUM(IF(Cocina!A:A=Tabla4[[#This Row],[Número de Orden]],Cocina!H:H,0))</f>
        <v>149</v>
      </c>
    </row>
    <row r="266" spans="1:63" x14ac:dyDescent="0.3">
      <c r="A266" s="8" t="str">
        <f>MID(Tabla4[[#This Row],[Cliente]], SEARCH("_", Tabla4[[#This Row],[Cliente]]) + 1, LEN(Tabla4[[#This Row],[Cliente]]) - SEARCH("_",Tabla4[[#This Row],[Cliente]]))</f>
        <v>281</v>
      </c>
      <c r="B266">
        <f>sala!K265</f>
        <v>264</v>
      </c>
      <c r="C266">
        <f>Tabla4[[#This Row],[Propina]]+Tabla4[[#This Row],[Precio Cena]]</f>
        <v>5103</v>
      </c>
      <c r="D266" s="3">
        <f>INT(sala!E265)</f>
        <v>45018</v>
      </c>
      <c r="E266" s="4">
        <f>MOD( sala!D265,1)</f>
        <v>0.13263888889196096</v>
      </c>
      <c r="F266" s="4">
        <f>MOD( sala!E265,1)</f>
        <v>0.18472222222044365</v>
      </c>
      <c r="G266" s="4">
        <f>Tabla5[[#This Row],[Hora de Salida]]-Tabla5[[#This Row],[Hora de Llegada]]+Tabla4[[#This Row],[Tiempo Extra]]</f>
        <v>5.2083333328482695E-2</v>
      </c>
      <c r="H266" s="5" t="str">
        <f>TEXT(Tabla4[[#This Row],[Preparación en horas]]/1440, "h:mm")</f>
        <v>1:57</v>
      </c>
      <c r="I266" s="4">
        <f>IF(Tabla5[[#This Row],[Tiempo Permanencia]]-Tabla5[[#This Row],[Tiempo de Preparación ]]&gt;=0,Tabla5[[#This Row],[Tiempo Permanencia]]-Tabla5[[#This Row],[Tiempo de Preparación ]],0)</f>
        <v>0</v>
      </c>
      <c r="J266" s="5" t="str">
        <f>IF(Tabla5[[#This Row],[Tiempo de Degustación]]=0,"No Cobrada","Cobrada")</f>
        <v>No Cobrada</v>
      </c>
      <c r="K266" s="5" cm="1">
        <f t="array" ref="K266">SUM(IF(Tabla5[[#This Row],[Orden Cobrada]]="Cobrada",IF(Cocina!A:A=Tabla5[[#This Row],[Nº Orden]],Cocina!F:F*Cocina!G:G,0),-Tabla6[[#This Row],[Precio Cena]]))</f>
        <v>-182</v>
      </c>
      <c r="L266" s="5">
        <f>IF(Tabla5[[#This Row],[Orden Cobrada]]="Cobrada",Tabla5[[#This Row],[Ganancia Bruta]]-Tabla6[[#This Row],[Coste Cena]],-Tabla6[[#This Row],[Precio Cena]]+Tabla6[[#This Row],[Coste Cena]])</f>
        <v>-73</v>
      </c>
      <c r="M266" s="10">
        <f>IF(Tabla5[[#This Row],[Orden Cobrada]]="Cobrada",((Tabla5[[#This Row],[Ganancia Neta]]/Tabla5[[#This Row],[Ganancia Bruta]])*100)/100,-((Tabla5[[#This Row],[Ganancia Neta]]/Tabla5[[#This Row],[Ganancia Bruta]]*100)/100))</f>
        <v>-0.40109890109890112</v>
      </c>
      <c r="N266" s="5" t="str">
        <f>sala!F265</f>
        <v>Mesero_1</v>
      </c>
      <c r="AY266" cm="1">
        <f t="array" ref="AY266">SUM(IF(Cocina!A:A=Tabla5[[#This Row],[Nº Orden]],Cocina!F:F*Cocina!G:G,0))</f>
        <v>182</v>
      </c>
      <c r="AZ266" cm="1">
        <f t="array" ref="AZ266">SUM(IF(Cocina!A:A=Tabla5[[#This Row],[Nº Orden]],Cocina!E:E*Cocina!G:G,0))</f>
        <v>109</v>
      </c>
      <c r="BB266" t="str">
        <f>MID(Tabla4[[#This Row],[Cliente]], SEARCH("_", Tabla4[[#This Row],[Cliente]]) + 1, LEN(Tabla4[[#This Row],[Cliente]]) - SEARCH("_",Tabla4[[#This Row],[Cliente]]))</f>
        <v>281</v>
      </c>
      <c r="BC266" t="str">
        <f>sala!B265</f>
        <v>Cliente_281</v>
      </c>
      <c r="BD266" s="1">
        <f>sala!D265</f>
        <v>45018.132638888892</v>
      </c>
      <c r="BE266" s="1">
        <f>sala!E265</f>
        <v>45018.18472222222</v>
      </c>
      <c r="BF266">
        <f>sala!K265</f>
        <v>264</v>
      </c>
      <c r="BG266">
        <f>sala!I265</f>
        <v>4921</v>
      </c>
      <c r="BH266" cm="1">
        <f t="array" ref="BH266">SUM(IF(Cocina!A:A=Tabla4[[#This Row],[Número de Orden]],Cocina!F:F*Cocina!G:G,0))</f>
        <v>182</v>
      </c>
      <c r="BI266" t="str">
        <f>sala!J265</f>
        <v>Libre</v>
      </c>
      <c r="BJ266" s="4" t="str">
        <f>IF(Tabla4[[#This Row],[Estado mesa]]="Ocupada","00:15","00:00")</f>
        <v>00:00</v>
      </c>
      <c r="BK266" cm="1">
        <f t="array" ref="BK266">SUM(IF(Cocina!A:A=Tabla4[[#This Row],[Número de Orden]],Cocina!H:H,0))</f>
        <v>117</v>
      </c>
    </row>
    <row r="267" spans="1:63" x14ac:dyDescent="0.3">
      <c r="A267" s="8" t="str">
        <f>MID(Tabla4[[#This Row],[Cliente]], SEARCH("_", Tabla4[[#This Row],[Cliente]]) + 1, LEN(Tabla4[[#This Row],[Cliente]]) - SEARCH("_",Tabla4[[#This Row],[Cliente]]))</f>
        <v>686</v>
      </c>
      <c r="B267">
        <f>sala!K266</f>
        <v>265</v>
      </c>
      <c r="C267">
        <f>Tabla4[[#This Row],[Propina]]+Tabla4[[#This Row],[Precio Cena]]</f>
        <v>2319</v>
      </c>
      <c r="D267" s="3">
        <f>INT(sala!E266)</f>
        <v>45018</v>
      </c>
      <c r="E267" s="4">
        <f>MOD( sala!D266,1)</f>
        <v>0.12083333333430346</v>
      </c>
      <c r="F267" s="4">
        <f>MOD( sala!E266,1)</f>
        <v>0.26041666666424135</v>
      </c>
      <c r="G267" s="4">
        <f>Tabla5[[#This Row],[Hora de Salida]]-Tabla5[[#This Row],[Hora de Llegada]]+Tabla4[[#This Row],[Tiempo Extra]]</f>
        <v>0.13958333332993789</v>
      </c>
      <c r="H267" s="5" t="str">
        <f>TEXT(Tabla4[[#This Row],[Preparación en horas]]/1440, "h:mm")</f>
        <v>2:15</v>
      </c>
      <c r="I267" s="4">
        <f>IF(Tabla5[[#This Row],[Tiempo Permanencia]]-Tabla5[[#This Row],[Tiempo de Preparación ]]&gt;=0,Tabla5[[#This Row],[Tiempo Permanencia]]-Tabla5[[#This Row],[Tiempo de Preparación ]],0)</f>
        <v>4.5833333329937886E-2</v>
      </c>
      <c r="J267" s="5" t="str">
        <f>IF(Tabla5[[#This Row],[Tiempo de Degustación]]=0,"No Cobrada","Cobrada")</f>
        <v>Cobrada</v>
      </c>
      <c r="K267" s="5" cm="1">
        <f t="array" ref="K267">SUM(IF(Tabla5[[#This Row],[Orden Cobrada]]="Cobrada",IF(Cocina!A:A=Tabla5[[#This Row],[Nº Orden]],Cocina!F:F*Cocina!G:G,0),-Tabla6[[#This Row],[Precio Cena]]))</f>
        <v>171</v>
      </c>
      <c r="L267" s="5">
        <f>IF(Tabla5[[#This Row],[Orden Cobrada]]="Cobrada",Tabla5[[#This Row],[Ganancia Bruta]]-Tabla6[[#This Row],[Coste Cena]],-Tabla6[[#This Row],[Precio Cena]]+Tabla6[[#This Row],[Coste Cena]])</f>
        <v>68</v>
      </c>
      <c r="M267" s="10">
        <f>IF(Tabla5[[#This Row],[Orden Cobrada]]="Cobrada",((Tabla5[[#This Row],[Ganancia Neta]]/Tabla5[[#This Row],[Ganancia Bruta]])*100)/100,-((Tabla5[[#This Row],[Ganancia Neta]]/Tabla5[[#This Row],[Ganancia Bruta]]*100)/100))</f>
        <v>0.39766081871345027</v>
      </c>
      <c r="N267" s="5" t="str">
        <f>sala!F266</f>
        <v>Mesero_2</v>
      </c>
      <c r="AY267" cm="1">
        <f t="array" ref="AY267">SUM(IF(Cocina!A:A=Tabla5[[#This Row],[Nº Orden]],Cocina!F:F*Cocina!G:G,0))</f>
        <v>171</v>
      </c>
      <c r="AZ267" cm="1">
        <f t="array" ref="AZ267">SUM(IF(Cocina!A:A=Tabla5[[#This Row],[Nº Orden]],Cocina!E:E*Cocina!G:G,0))</f>
        <v>103</v>
      </c>
      <c r="BB267" t="str">
        <f>MID(Tabla4[[#This Row],[Cliente]], SEARCH("_", Tabla4[[#This Row],[Cliente]]) + 1, LEN(Tabla4[[#This Row],[Cliente]]) - SEARCH("_",Tabla4[[#This Row],[Cliente]]))</f>
        <v>686</v>
      </c>
      <c r="BC267" t="str">
        <f>sala!B266</f>
        <v>Cliente_686</v>
      </c>
      <c r="BD267" s="1">
        <f>sala!D266</f>
        <v>45018.120833333334</v>
      </c>
      <c r="BE267" s="1">
        <f>sala!E266</f>
        <v>45018.260416666664</v>
      </c>
      <c r="BF267">
        <f>sala!K266</f>
        <v>265</v>
      </c>
      <c r="BG267">
        <f>sala!I266</f>
        <v>2148</v>
      </c>
      <c r="BH267" cm="1">
        <f t="array" ref="BH267">SUM(IF(Cocina!A:A=Tabla4[[#This Row],[Número de Orden]],Cocina!F:F*Cocina!G:G,0))</f>
        <v>171</v>
      </c>
      <c r="BI267" t="str">
        <f>sala!J266</f>
        <v>Libre</v>
      </c>
      <c r="BJ267" s="4" t="str">
        <f>IF(Tabla4[[#This Row],[Estado mesa]]="Ocupada","00:15","00:00")</f>
        <v>00:00</v>
      </c>
      <c r="BK267" cm="1">
        <f t="array" ref="BK267">SUM(IF(Cocina!A:A=Tabla4[[#This Row],[Número de Orden]],Cocina!H:H,0))</f>
        <v>135</v>
      </c>
    </row>
    <row r="268" spans="1:63" x14ac:dyDescent="0.3">
      <c r="A268" s="8" t="str">
        <f>MID(Tabla4[[#This Row],[Cliente]], SEARCH("_", Tabla4[[#This Row],[Cliente]]) + 1, LEN(Tabla4[[#This Row],[Cliente]]) - SEARCH("_",Tabla4[[#This Row],[Cliente]]))</f>
        <v>418</v>
      </c>
      <c r="B268">
        <f>sala!K267</f>
        <v>266</v>
      </c>
      <c r="C268">
        <f>Tabla4[[#This Row],[Propina]]+Tabla4[[#This Row],[Precio Cena]]</f>
        <v>2574</v>
      </c>
      <c r="D268" s="3">
        <f>INT(sala!E267)</f>
        <v>45018</v>
      </c>
      <c r="E268" s="4">
        <f>MOD( sala!D267,1)</f>
        <v>2.0833333335758653E-2</v>
      </c>
      <c r="F268" s="4">
        <f>MOD( sala!E267,1)</f>
        <v>8.611111110803904E-2</v>
      </c>
      <c r="G268" s="4">
        <f>Tabla5[[#This Row],[Hora de Salida]]-Tabla5[[#This Row],[Hora de Llegada]]+Tabla4[[#This Row],[Tiempo Extra]]</f>
        <v>6.5277777772280388E-2</v>
      </c>
      <c r="H268" s="5" t="str">
        <f>TEXT(Tabla4[[#This Row],[Preparación en horas]]/1440, "h:mm")</f>
        <v>1:46</v>
      </c>
      <c r="I268" s="4">
        <f>IF(Tabla5[[#This Row],[Tiempo Permanencia]]-Tabla5[[#This Row],[Tiempo de Preparación ]]&gt;=0,Tabla5[[#This Row],[Tiempo Permanencia]]-Tabla5[[#This Row],[Tiempo de Preparación ]],0)</f>
        <v>0</v>
      </c>
      <c r="J268" s="5" t="str">
        <f>IF(Tabla5[[#This Row],[Tiempo de Degustación]]=0,"No Cobrada","Cobrada")</f>
        <v>No Cobrada</v>
      </c>
      <c r="K268" s="5" cm="1">
        <f t="array" ref="K268">SUM(IF(Tabla5[[#This Row],[Orden Cobrada]]="Cobrada",IF(Cocina!A:A=Tabla5[[#This Row],[Nº Orden]],Cocina!F:F*Cocina!G:G,0),-Tabla6[[#This Row],[Precio Cena]]))</f>
        <v>-99</v>
      </c>
      <c r="L268" s="5">
        <f>IF(Tabla5[[#This Row],[Orden Cobrada]]="Cobrada",Tabla5[[#This Row],[Ganancia Bruta]]-Tabla6[[#This Row],[Coste Cena]],-Tabla6[[#This Row],[Precio Cena]]+Tabla6[[#This Row],[Coste Cena]])</f>
        <v>-40</v>
      </c>
      <c r="M268" s="10">
        <f>IF(Tabla5[[#This Row],[Orden Cobrada]]="Cobrada",((Tabla5[[#This Row],[Ganancia Neta]]/Tabla5[[#This Row],[Ganancia Bruta]])*100)/100,-((Tabla5[[#This Row],[Ganancia Neta]]/Tabla5[[#This Row],[Ganancia Bruta]]*100)/100))</f>
        <v>-0.40404040404040403</v>
      </c>
      <c r="N268" s="5" t="str">
        <f>sala!F267</f>
        <v>Mesero_2</v>
      </c>
      <c r="AY268" cm="1">
        <f t="array" ref="AY268">SUM(IF(Cocina!A:A=Tabla5[[#This Row],[Nº Orden]],Cocina!F:F*Cocina!G:G,0))</f>
        <v>99</v>
      </c>
      <c r="AZ268" cm="1">
        <f t="array" ref="AZ268">SUM(IF(Cocina!A:A=Tabla5[[#This Row],[Nº Orden]],Cocina!E:E*Cocina!G:G,0))</f>
        <v>59</v>
      </c>
      <c r="BB268" t="str">
        <f>MID(Tabla4[[#This Row],[Cliente]], SEARCH("_", Tabla4[[#This Row],[Cliente]]) + 1, LEN(Tabla4[[#This Row],[Cliente]]) - SEARCH("_",Tabla4[[#This Row],[Cliente]]))</f>
        <v>418</v>
      </c>
      <c r="BC268" t="str">
        <f>sala!B267</f>
        <v>Cliente_418</v>
      </c>
      <c r="BD268" s="1">
        <f>sala!D267</f>
        <v>45018.020833333336</v>
      </c>
      <c r="BE268" s="1">
        <f>sala!E267</f>
        <v>45018.086111111108</v>
      </c>
      <c r="BF268">
        <f>sala!K267</f>
        <v>266</v>
      </c>
      <c r="BG268">
        <f>sala!I267</f>
        <v>2475</v>
      </c>
      <c r="BH268" cm="1">
        <f t="array" ref="BH268">SUM(IF(Cocina!A:A=Tabla4[[#This Row],[Número de Orden]],Cocina!F:F*Cocina!G:G,0))</f>
        <v>99</v>
      </c>
      <c r="BI268" t="str">
        <f>sala!J267</f>
        <v>Reservada</v>
      </c>
      <c r="BJ268" s="4" t="str">
        <f>IF(Tabla4[[#This Row],[Estado mesa]]="Ocupada","00:15","00:00")</f>
        <v>00:00</v>
      </c>
      <c r="BK268" cm="1">
        <f t="array" ref="BK268">SUM(IF(Cocina!A:A=Tabla4[[#This Row],[Número de Orden]],Cocina!H:H,0))</f>
        <v>106</v>
      </c>
    </row>
    <row r="269" spans="1:63" x14ac:dyDescent="0.3">
      <c r="A269" s="8" t="str">
        <f>MID(Tabla4[[#This Row],[Cliente]], SEARCH("_", Tabla4[[#This Row],[Cliente]]) + 1, LEN(Tabla4[[#This Row],[Cliente]]) - SEARCH("_",Tabla4[[#This Row],[Cliente]]))</f>
        <v>397</v>
      </c>
      <c r="B269">
        <f>sala!K268</f>
        <v>267</v>
      </c>
      <c r="C269">
        <f>Tabla4[[#This Row],[Propina]]+Tabla4[[#This Row],[Precio Cena]]</f>
        <v>4584</v>
      </c>
      <c r="D269" s="3">
        <f>INT(sala!E268)</f>
        <v>45019</v>
      </c>
      <c r="E269" s="4">
        <f>MOD( sala!D268,1)</f>
        <v>8.819444444088731E-2</v>
      </c>
      <c r="F269" s="4">
        <f>MOD( sala!E268,1)</f>
        <v>0.15833333333284827</v>
      </c>
      <c r="G269" s="4">
        <f>Tabla5[[#This Row],[Hora de Salida]]-Tabla5[[#This Row],[Hora de Llegada]]+Tabla4[[#This Row],[Tiempo Extra]]</f>
        <v>8.0555555558627631E-2</v>
      </c>
      <c r="H269" s="5" t="str">
        <f>TEXT(Tabla4[[#This Row],[Preparación en horas]]/1440, "h:mm")</f>
        <v>1:36</v>
      </c>
      <c r="I269" s="4">
        <f>IF(Tabla5[[#This Row],[Tiempo Permanencia]]-Tabla5[[#This Row],[Tiempo de Preparación ]]&gt;=0,Tabla5[[#This Row],[Tiempo Permanencia]]-Tabla5[[#This Row],[Tiempo de Preparación ]],0)</f>
        <v>1.3888888891960965E-2</v>
      </c>
      <c r="J269" s="5" t="str">
        <f>IF(Tabla5[[#This Row],[Tiempo de Degustación]]=0,"No Cobrada","Cobrada")</f>
        <v>Cobrada</v>
      </c>
      <c r="K269" s="5" cm="1">
        <f t="array" ref="K269">SUM(IF(Tabla5[[#This Row],[Orden Cobrada]]="Cobrada",IF(Cocina!A:A=Tabla5[[#This Row],[Nº Orden]],Cocina!F:F*Cocina!G:G,0),-Tabla6[[#This Row],[Precio Cena]]))</f>
        <v>118</v>
      </c>
      <c r="L269" s="5">
        <f>IF(Tabla5[[#This Row],[Orden Cobrada]]="Cobrada",Tabla5[[#This Row],[Ganancia Bruta]]-Tabla6[[#This Row],[Coste Cena]],-Tabla6[[#This Row],[Precio Cena]]+Tabla6[[#This Row],[Coste Cena]])</f>
        <v>49</v>
      </c>
      <c r="M269" s="10">
        <f>IF(Tabla5[[#This Row],[Orden Cobrada]]="Cobrada",((Tabla5[[#This Row],[Ganancia Neta]]/Tabla5[[#This Row],[Ganancia Bruta]])*100)/100,-((Tabla5[[#This Row],[Ganancia Neta]]/Tabla5[[#This Row],[Ganancia Bruta]]*100)/100))</f>
        <v>0.4152542372881356</v>
      </c>
      <c r="N269" s="5" t="str">
        <f>sala!F268</f>
        <v>Mesero_2</v>
      </c>
      <c r="AY269" cm="1">
        <f t="array" ref="AY269">SUM(IF(Cocina!A:A=Tabla5[[#This Row],[Nº Orden]],Cocina!F:F*Cocina!G:G,0))</f>
        <v>118</v>
      </c>
      <c r="AZ269" cm="1">
        <f t="array" ref="AZ269">SUM(IF(Cocina!A:A=Tabla5[[#This Row],[Nº Orden]],Cocina!E:E*Cocina!G:G,0))</f>
        <v>69</v>
      </c>
      <c r="BB269" t="str">
        <f>MID(Tabla4[[#This Row],[Cliente]], SEARCH("_", Tabla4[[#This Row],[Cliente]]) + 1, LEN(Tabla4[[#This Row],[Cliente]]) - SEARCH("_",Tabla4[[#This Row],[Cliente]]))</f>
        <v>397</v>
      </c>
      <c r="BC269" t="str">
        <f>sala!B268</f>
        <v>Cliente_397</v>
      </c>
      <c r="BD269" s="1">
        <f>sala!D268</f>
        <v>45019.088194444441</v>
      </c>
      <c r="BE269" s="1">
        <f>sala!E268</f>
        <v>45019.158333333333</v>
      </c>
      <c r="BF269">
        <f>sala!K268</f>
        <v>267</v>
      </c>
      <c r="BG269">
        <f>sala!I268</f>
        <v>4466</v>
      </c>
      <c r="BH269" cm="1">
        <f t="array" ref="BH269">SUM(IF(Cocina!A:A=Tabla4[[#This Row],[Número de Orden]],Cocina!F:F*Cocina!G:G,0))</f>
        <v>118</v>
      </c>
      <c r="BI269" t="str">
        <f>sala!J268</f>
        <v>Ocupada</v>
      </c>
      <c r="BJ269" s="4" t="str">
        <f>IF(Tabla4[[#This Row],[Estado mesa]]="Ocupada","00:15","00:00")</f>
        <v>00:15</v>
      </c>
      <c r="BK269" cm="1">
        <f t="array" ref="BK269">SUM(IF(Cocina!A:A=Tabla4[[#This Row],[Número de Orden]],Cocina!H:H,0))</f>
        <v>96</v>
      </c>
    </row>
    <row r="270" spans="1:63" x14ac:dyDescent="0.3">
      <c r="A270" s="8" t="str">
        <f>MID(Tabla4[[#This Row],[Cliente]], SEARCH("_", Tabla4[[#This Row],[Cliente]]) + 1, LEN(Tabla4[[#This Row],[Cliente]]) - SEARCH("_",Tabla4[[#This Row],[Cliente]]))</f>
        <v>477</v>
      </c>
      <c r="B270">
        <f>sala!K269</f>
        <v>268</v>
      </c>
      <c r="C270">
        <f>Tabla4[[#This Row],[Propina]]+Tabla4[[#This Row],[Precio Cena]]</f>
        <v>2384</v>
      </c>
      <c r="D270" s="3">
        <f>INT(sala!E269)</f>
        <v>45019</v>
      </c>
      <c r="E270" s="4">
        <f>MOD( sala!D269,1)</f>
        <v>3.1944444446708076E-2</v>
      </c>
      <c r="F270" s="4">
        <f>MOD( sala!E269,1)</f>
        <v>0.15555555555329192</v>
      </c>
      <c r="G270" s="4">
        <f>Tabla5[[#This Row],[Hora de Salida]]-Tabla5[[#This Row],[Hora de Llegada]]+Tabla4[[#This Row],[Tiempo Extra]]</f>
        <v>0.12361111110658385</v>
      </c>
      <c r="H270" s="5" t="str">
        <f>TEXT(Tabla4[[#This Row],[Preparación en horas]]/1440, "h:mm")</f>
        <v>1:23</v>
      </c>
      <c r="I270" s="4">
        <f>IF(Tabla5[[#This Row],[Tiempo Permanencia]]-Tabla5[[#This Row],[Tiempo de Preparación ]]&gt;=0,Tabla5[[#This Row],[Tiempo Permanencia]]-Tabla5[[#This Row],[Tiempo de Preparación ]],0)</f>
        <v>6.5972222217694956E-2</v>
      </c>
      <c r="J270" s="5" t="str">
        <f>IF(Tabla5[[#This Row],[Tiempo de Degustación]]=0,"No Cobrada","Cobrada")</f>
        <v>Cobrada</v>
      </c>
      <c r="K270" s="5" cm="1">
        <f t="array" ref="K270">SUM(IF(Tabla5[[#This Row],[Orden Cobrada]]="Cobrada",IF(Cocina!A:A=Tabla5[[#This Row],[Nº Orden]],Cocina!F:F*Cocina!G:G,0),-Tabla6[[#This Row],[Precio Cena]]))</f>
        <v>68</v>
      </c>
      <c r="L270" s="5">
        <f>IF(Tabla5[[#This Row],[Orden Cobrada]]="Cobrada",Tabla5[[#This Row],[Ganancia Bruta]]-Tabla6[[#This Row],[Coste Cena]],-Tabla6[[#This Row],[Precio Cena]]+Tabla6[[#This Row],[Coste Cena]])</f>
        <v>28</v>
      </c>
      <c r="M270" s="10">
        <f>IF(Tabla5[[#This Row],[Orden Cobrada]]="Cobrada",((Tabla5[[#This Row],[Ganancia Neta]]/Tabla5[[#This Row],[Ganancia Bruta]])*100)/100,-((Tabla5[[#This Row],[Ganancia Neta]]/Tabla5[[#This Row],[Ganancia Bruta]]*100)/100))</f>
        <v>0.41176470588235292</v>
      </c>
      <c r="N270" s="5" t="str">
        <f>sala!F269</f>
        <v>Mesero_3</v>
      </c>
      <c r="AY270" cm="1">
        <f t="array" ref="AY270">SUM(IF(Cocina!A:A=Tabla5[[#This Row],[Nº Orden]],Cocina!F:F*Cocina!G:G,0))</f>
        <v>68</v>
      </c>
      <c r="AZ270" cm="1">
        <f t="array" ref="AZ270">SUM(IF(Cocina!A:A=Tabla5[[#This Row],[Nº Orden]],Cocina!E:E*Cocina!G:G,0))</f>
        <v>40</v>
      </c>
      <c r="BB270" t="str">
        <f>MID(Tabla4[[#This Row],[Cliente]], SEARCH("_", Tabla4[[#This Row],[Cliente]]) + 1, LEN(Tabla4[[#This Row],[Cliente]]) - SEARCH("_",Tabla4[[#This Row],[Cliente]]))</f>
        <v>477</v>
      </c>
      <c r="BC270" t="str">
        <f>sala!B269</f>
        <v>Cliente_477</v>
      </c>
      <c r="BD270" s="1">
        <f>sala!D269</f>
        <v>45019.031944444447</v>
      </c>
      <c r="BE270" s="1">
        <f>sala!E269</f>
        <v>45019.155555555553</v>
      </c>
      <c r="BF270">
        <f>sala!K269</f>
        <v>268</v>
      </c>
      <c r="BG270">
        <f>sala!I269</f>
        <v>2316</v>
      </c>
      <c r="BH270" cm="1">
        <f t="array" ref="BH270">SUM(IF(Cocina!A:A=Tabla4[[#This Row],[Número de Orden]],Cocina!F:F*Cocina!G:G,0))</f>
        <v>68</v>
      </c>
      <c r="BI270" t="str">
        <f>sala!J269</f>
        <v>Libre</v>
      </c>
      <c r="BJ270" s="4" t="str">
        <f>IF(Tabla4[[#This Row],[Estado mesa]]="Ocupada","00:15","00:00")</f>
        <v>00:00</v>
      </c>
      <c r="BK270" cm="1">
        <f t="array" ref="BK270">SUM(IF(Cocina!A:A=Tabla4[[#This Row],[Número de Orden]],Cocina!H:H,0))</f>
        <v>83</v>
      </c>
    </row>
    <row r="271" spans="1:63" x14ac:dyDescent="0.3">
      <c r="A271" s="8" t="str">
        <f>MID(Tabla4[[#This Row],[Cliente]], SEARCH("_", Tabla4[[#This Row],[Cliente]]) + 1, LEN(Tabla4[[#This Row],[Cliente]]) - SEARCH("_",Tabla4[[#This Row],[Cliente]]))</f>
        <v>300</v>
      </c>
      <c r="B271">
        <f>sala!K270</f>
        <v>269</v>
      </c>
      <c r="C271">
        <f>Tabla4[[#This Row],[Propina]]+Tabla4[[#This Row],[Precio Cena]]</f>
        <v>4167</v>
      </c>
      <c r="D271" s="3">
        <f>INT(sala!E270)</f>
        <v>45019</v>
      </c>
      <c r="E271" s="4">
        <f>MOD( sala!D270,1)</f>
        <v>0.12361111111385981</v>
      </c>
      <c r="F271" s="4">
        <f>MOD( sala!E270,1)</f>
        <v>0.17708333333575865</v>
      </c>
      <c r="G271" s="4">
        <f>Tabla5[[#This Row],[Hora de Salida]]-Tabla5[[#This Row],[Hora de Llegada]]+Tabla4[[#This Row],[Tiempo Extra]]</f>
        <v>5.3472222221898846E-2</v>
      </c>
      <c r="H271" s="5" t="str">
        <f>TEXT(Tabla4[[#This Row],[Preparación en horas]]/1440, "h:mm")</f>
        <v>1:41</v>
      </c>
      <c r="I271" s="4">
        <f>IF(Tabla5[[#This Row],[Tiempo Permanencia]]-Tabla5[[#This Row],[Tiempo de Preparación ]]&gt;=0,Tabla5[[#This Row],[Tiempo Permanencia]]-Tabla5[[#This Row],[Tiempo de Preparación ]],0)</f>
        <v>0</v>
      </c>
      <c r="J271" s="5" t="str">
        <f>IF(Tabla5[[#This Row],[Tiempo de Degustación]]=0,"No Cobrada","Cobrada")</f>
        <v>No Cobrada</v>
      </c>
      <c r="K271" s="5" cm="1">
        <f t="array" ref="K271">SUM(IF(Tabla5[[#This Row],[Orden Cobrada]]="Cobrada",IF(Cocina!A:A=Tabla5[[#This Row],[Nº Orden]],Cocina!F:F*Cocina!G:G,0),-Tabla6[[#This Row],[Precio Cena]]))</f>
        <v>-250</v>
      </c>
      <c r="L271" s="5">
        <f>IF(Tabla5[[#This Row],[Orden Cobrada]]="Cobrada",Tabla5[[#This Row],[Ganancia Bruta]]-Tabla6[[#This Row],[Coste Cena]],-Tabla6[[#This Row],[Precio Cena]]+Tabla6[[#This Row],[Coste Cena]])</f>
        <v>-99</v>
      </c>
      <c r="M271" s="10">
        <f>IF(Tabla5[[#This Row],[Orden Cobrada]]="Cobrada",((Tabla5[[#This Row],[Ganancia Neta]]/Tabla5[[#This Row],[Ganancia Bruta]])*100)/100,-((Tabla5[[#This Row],[Ganancia Neta]]/Tabla5[[#This Row],[Ganancia Bruta]]*100)/100))</f>
        <v>-0.39600000000000002</v>
      </c>
      <c r="N271" s="5" t="str">
        <f>sala!F270</f>
        <v>Mesero_2</v>
      </c>
      <c r="AY271" cm="1">
        <f t="array" ref="AY271">SUM(IF(Cocina!A:A=Tabla5[[#This Row],[Nº Orden]],Cocina!F:F*Cocina!G:G,0))</f>
        <v>250</v>
      </c>
      <c r="AZ271" cm="1">
        <f t="array" ref="AZ271">SUM(IF(Cocina!A:A=Tabla5[[#This Row],[Nº Orden]],Cocina!E:E*Cocina!G:G,0))</f>
        <v>151</v>
      </c>
      <c r="BB271" t="str">
        <f>MID(Tabla4[[#This Row],[Cliente]], SEARCH("_", Tabla4[[#This Row],[Cliente]]) + 1, LEN(Tabla4[[#This Row],[Cliente]]) - SEARCH("_",Tabla4[[#This Row],[Cliente]]))</f>
        <v>300</v>
      </c>
      <c r="BC271" t="str">
        <f>sala!B270</f>
        <v>Cliente_300</v>
      </c>
      <c r="BD271" s="1">
        <f>sala!D270</f>
        <v>45019.123611111114</v>
      </c>
      <c r="BE271" s="1">
        <f>sala!E270</f>
        <v>45019.177083333336</v>
      </c>
      <c r="BF271">
        <f>sala!K270</f>
        <v>269</v>
      </c>
      <c r="BG271">
        <f>sala!I270</f>
        <v>3917</v>
      </c>
      <c r="BH271" cm="1">
        <f t="array" ref="BH271">SUM(IF(Cocina!A:A=Tabla4[[#This Row],[Número de Orden]],Cocina!F:F*Cocina!G:G,0))</f>
        <v>250</v>
      </c>
      <c r="BI271" t="str">
        <f>sala!J270</f>
        <v>Libre</v>
      </c>
      <c r="BJ271" s="4" t="str">
        <f>IF(Tabla4[[#This Row],[Estado mesa]]="Ocupada","00:15","00:00")</f>
        <v>00:00</v>
      </c>
      <c r="BK271" cm="1">
        <f t="array" ref="BK271">SUM(IF(Cocina!A:A=Tabla4[[#This Row],[Número de Orden]],Cocina!H:H,0))</f>
        <v>101</v>
      </c>
    </row>
    <row r="272" spans="1:63" x14ac:dyDescent="0.3">
      <c r="A272" s="8" t="str">
        <f>MID(Tabla4[[#This Row],[Cliente]], SEARCH("_", Tabla4[[#This Row],[Cliente]]) + 1, LEN(Tabla4[[#This Row],[Cliente]]) - SEARCH("_",Tabla4[[#This Row],[Cliente]]))</f>
        <v>775</v>
      </c>
      <c r="B272">
        <f>sala!K271</f>
        <v>270</v>
      </c>
      <c r="C272">
        <f>Tabla4[[#This Row],[Propina]]+Tabla4[[#This Row],[Precio Cena]]</f>
        <v>1115</v>
      </c>
      <c r="D272" s="3">
        <f>INT(sala!E271)</f>
        <v>45019</v>
      </c>
      <c r="E272" s="4">
        <f>MOD( sala!D271,1)</f>
        <v>4.9305555556202307E-2</v>
      </c>
      <c r="F272" s="4">
        <f>MOD( sala!E271,1)</f>
        <v>0.20763888888905058</v>
      </c>
      <c r="G272" s="4">
        <f>Tabla5[[#This Row],[Hora de Salida]]-Tabla5[[#This Row],[Hora de Llegada]]+Tabla4[[#This Row],[Tiempo Extra]]</f>
        <v>0.15833333333284827</v>
      </c>
      <c r="H272" s="5" t="str">
        <f>TEXT(Tabla4[[#This Row],[Preparación en horas]]/1440, "h:mm")</f>
        <v>0:26</v>
      </c>
      <c r="I272" s="4">
        <f>IF(Tabla5[[#This Row],[Tiempo Permanencia]]-Tabla5[[#This Row],[Tiempo de Preparación ]]&gt;=0,Tabla5[[#This Row],[Tiempo Permanencia]]-Tabla5[[#This Row],[Tiempo de Preparación ]],0)</f>
        <v>0.14027777777729272</v>
      </c>
      <c r="J272" s="5" t="str">
        <f>IF(Tabla5[[#This Row],[Tiempo de Degustación]]=0,"No Cobrada","Cobrada")</f>
        <v>Cobrada</v>
      </c>
      <c r="K272" s="5" cm="1">
        <f t="array" ref="K272">SUM(IF(Tabla5[[#This Row],[Orden Cobrada]]="Cobrada",IF(Cocina!A:A=Tabla5[[#This Row],[Nº Orden]],Cocina!F:F*Cocina!G:G,0),-Tabla6[[#This Row],[Precio Cena]]))</f>
        <v>102</v>
      </c>
      <c r="L272" s="5">
        <f>IF(Tabla5[[#This Row],[Orden Cobrada]]="Cobrada",Tabla5[[#This Row],[Ganancia Bruta]]-Tabla6[[#This Row],[Coste Cena]],-Tabla6[[#This Row],[Precio Cena]]+Tabla6[[#This Row],[Coste Cena]])</f>
        <v>42</v>
      </c>
      <c r="M272" s="10">
        <f>IF(Tabla5[[#This Row],[Orden Cobrada]]="Cobrada",((Tabla5[[#This Row],[Ganancia Neta]]/Tabla5[[#This Row],[Ganancia Bruta]])*100)/100,-((Tabla5[[#This Row],[Ganancia Neta]]/Tabla5[[#This Row],[Ganancia Bruta]]*100)/100))</f>
        <v>0.41176470588235292</v>
      </c>
      <c r="N272" s="5" t="str">
        <f>sala!F271</f>
        <v>Mesero_4</v>
      </c>
      <c r="AY272" cm="1">
        <f t="array" ref="AY272">SUM(IF(Cocina!A:A=Tabla5[[#This Row],[Nº Orden]],Cocina!F:F*Cocina!G:G,0))</f>
        <v>102</v>
      </c>
      <c r="AZ272" cm="1">
        <f t="array" ref="AZ272">SUM(IF(Cocina!A:A=Tabla5[[#This Row],[Nº Orden]],Cocina!E:E*Cocina!G:G,0))</f>
        <v>60</v>
      </c>
      <c r="BB272" t="str">
        <f>MID(Tabla4[[#This Row],[Cliente]], SEARCH("_", Tabla4[[#This Row],[Cliente]]) + 1, LEN(Tabla4[[#This Row],[Cliente]]) - SEARCH("_",Tabla4[[#This Row],[Cliente]]))</f>
        <v>775</v>
      </c>
      <c r="BC272" t="str">
        <f>sala!B271</f>
        <v>Cliente_775</v>
      </c>
      <c r="BD272" s="1">
        <f>sala!D271</f>
        <v>45019.049305555556</v>
      </c>
      <c r="BE272" s="1">
        <f>sala!E271</f>
        <v>45019.207638888889</v>
      </c>
      <c r="BF272">
        <f>sala!K271</f>
        <v>270</v>
      </c>
      <c r="BG272">
        <f>sala!I271</f>
        <v>1013</v>
      </c>
      <c r="BH272" cm="1">
        <f t="array" ref="BH272">SUM(IF(Cocina!A:A=Tabla4[[#This Row],[Número de Orden]],Cocina!F:F*Cocina!G:G,0))</f>
        <v>102</v>
      </c>
      <c r="BI272" t="str">
        <f>sala!J271</f>
        <v>Libre</v>
      </c>
      <c r="BJ272" s="4" t="str">
        <f>IF(Tabla4[[#This Row],[Estado mesa]]="Ocupada","00:15","00:00")</f>
        <v>00:00</v>
      </c>
      <c r="BK272" cm="1">
        <f t="array" ref="BK272">SUM(IF(Cocina!A:A=Tabla4[[#This Row],[Número de Orden]],Cocina!H:H,0))</f>
        <v>26</v>
      </c>
    </row>
    <row r="273" spans="1:63" x14ac:dyDescent="0.3">
      <c r="A273" s="8" t="str">
        <f>MID(Tabla4[[#This Row],[Cliente]], SEARCH("_", Tabla4[[#This Row],[Cliente]]) + 1, LEN(Tabla4[[#This Row],[Cliente]]) - SEARCH("_",Tabla4[[#This Row],[Cliente]]))</f>
        <v>928</v>
      </c>
      <c r="B273">
        <f>sala!K272</f>
        <v>271</v>
      </c>
      <c r="C273">
        <f>Tabla4[[#This Row],[Propina]]+Tabla4[[#This Row],[Precio Cena]]</f>
        <v>1655</v>
      </c>
      <c r="D273" s="3">
        <f>INT(sala!E272)</f>
        <v>45019</v>
      </c>
      <c r="E273" s="4">
        <f>MOD( sala!D272,1)</f>
        <v>6.9444444445252884E-2</v>
      </c>
      <c r="F273" s="4">
        <f>MOD( sala!E272,1)</f>
        <v>0.21527777778101154</v>
      </c>
      <c r="G273" s="4">
        <f>Tabla5[[#This Row],[Hora de Salida]]-Tabla5[[#This Row],[Hora de Llegada]]+Tabla4[[#This Row],[Tiempo Extra]]</f>
        <v>0.15625000000242531</v>
      </c>
      <c r="H273" s="5" t="str">
        <f>TEXT(Tabla4[[#This Row],[Preparación en horas]]/1440, "h:mm")</f>
        <v>0:55</v>
      </c>
      <c r="I273" s="4">
        <f>IF(Tabla5[[#This Row],[Tiempo Permanencia]]-Tabla5[[#This Row],[Tiempo de Preparación ]]&gt;=0,Tabla5[[#This Row],[Tiempo Permanencia]]-Tabla5[[#This Row],[Tiempo de Preparación ]],0)</f>
        <v>0.11805555555798086</v>
      </c>
      <c r="J273" s="5" t="str">
        <f>IF(Tabla5[[#This Row],[Tiempo de Degustación]]=0,"No Cobrada","Cobrada")</f>
        <v>Cobrada</v>
      </c>
      <c r="K273" s="5" cm="1">
        <f t="array" ref="K273">SUM(IF(Tabla5[[#This Row],[Orden Cobrada]]="Cobrada",IF(Cocina!A:A=Tabla5[[#This Row],[Nº Orden]],Cocina!F:F*Cocina!G:G,0),-Tabla6[[#This Row],[Precio Cena]]))</f>
        <v>44</v>
      </c>
      <c r="L273" s="5">
        <f>IF(Tabla5[[#This Row],[Orden Cobrada]]="Cobrada",Tabla5[[#This Row],[Ganancia Bruta]]-Tabla6[[#This Row],[Coste Cena]],-Tabla6[[#This Row],[Precio Cena]]+Tabla6[[#This Row],[Coste Cena]])</f>
        <v>18</v>
      </c>
      <c r="M273" s="10">
        <f>IF(Tabla5[[#This Row],[Orden Cobrada]]="Cobrada",((Tabla5[[#This Row],[Ganancia Neta]]/Tabla5[[#This Row],[Ganancia Bruta]])*100)/100,-((Tabla5[[#This Row],[Ganancia Neta]]/Tabla5[[#This Row],[Ganancia Bruta]]*100)/100))</f>
        <v>0.40909090909090912</v>
      </c>
      <c r="N273" s="5" t="str">
        <f>sala!F272</f>
        <v>Mesero_3</v>
      </c>
      <c r="AY273" cm="1">
        <f t="array" ref="AY273">SUM(IF(Cocina!A:A=Tabla5[[#This Row],[Nº Orden]],Cocina!F:F*Cocina!G:G,0))</f>
        <v>44</v>
      </c>
      <c r="AZ273" cm="1">
        <f t="array" ref="AZ273">SUM(IF(Cocina!A:A=Tabla5[[#This Row],[Nº Orden]],Cocina!E:E*Cocina!G:G,0))</f>
        <v>26</v>
      </c>
      <c r="BB273" t="str">
        <f>MID(Tabla4[[#This Row],[Cliente]], SEARCH("_", Tabla4[[#This Row],[Cliente]]) + 1, LEN(Tabla4[[#This Row],[Cliente]]) - SEARCH("_",Tabla4[[#This Row],[Cliente]]))</f>
        <v>928</v>
      </c>
      <c r="BC273" t="str">
        <f>sala!B272</f>
        <v>Cliente_928</v>
      </c>
      <c r="BD273" s="1">
        <f>sala!D272</f>
        <v>45019.069444444445</v>
      </c>
      <c r="BE273" s="1">
        <f>sala!E272</f>
        <v>45019.215277777781</v>
      </c>
      <c r="BF273">
        <f>sala!K272</f>
        <v>271</v>
      </c>
      <c r="BG273">
        <f>sala!I272</f>
        <v>1611</v>
      </c>
      <c r="BH273" cm="1">
        <f t="array" ref="BH273">SUM(IF(Cocina!A:A=Tabla4[[#This Row],[Número de Orden]],Cocina!F:F*Cocina!G:G,0))</f>
        <v>44</v>
      </c>
      <c r="BI273" t="str">
        <f>sala!J272</f>
        <v>Ocupada</v>
      </c>
      <c r="BJ273" s="4" t="str">
        <f>IF(Tabla4[[#This Row],[Estado mesa]]="Ocupada","00:15","00:00")</f>
        <v>00:15</v>
      </c>
      <c r="BK273" cm="1">
        <f t="array" ref="BK273">SUM(IF(Cocina!A:A=Tabla4[[#This Row],[Número de Orden]],Cocina!H:H,0))</f>
        <v>55</v>
      </c>
    </row>
    <row r="274" spans="1:63" x14ac:dyDescent="0.3">
      <c r="A274" s="8" t="str">
        <f>MID(Tabla4[[#This Row],[Cliente]], SEARCH("_", Tabla4[[#This Row],[Cliente]]) + 1, LEN(Tabla4[[#This Row],[Cliente]]) - SEARCH("_",Tabla4[[#This Row],[Cliente]]))</f>
        <v>132</v>
      </c>
      <c r="B274">
        <f>sala!K273</f>
        <v>272</v>
      </c>
      <c r="C274">
        <f>Tabla4[[#This Row],[Propina]]+Tabla4[[#This Row],[Precio Cena]]</f>
        <v>4356</v>
      </c>
      <c r="D274" s="3">
        <f>INT(sala!E273)</f>
        <v>45019</v>
      </c>
      <c r="E274" s="4">
        <f>MOD( sala!D273,1)</f>
        <v>2.361111110803904E-2</v>
      </c>
      <c r="F274" s="4">
        <f>MOD( sala!E273,1)</f>
        <v>0.18333333333430346</v>
      </c>
      <c r="G274" s="4">
        <f>Tabla5[[#This Row],[Hora de Salida]]-Tabla5[[#This Row],[Hora de Llegada]]+Tabla4[[#This Row],[Tiempo Extra]]</f>
        <v>0.15972222222626442</v>
      </c>
      <c r="H274" s="5" t="str">
        <f>TEXT(Tabla4[[#This Row],[Preparación en horas]]/1440, "h:mm")</f>
        <v>1:23</v>
      </c>
      <c r="I274" s="4">
        <f>IF(Tabla5[[#This Row],[Tiempo Permanencia]]-Tabla5[[#This Row],[Tiempo de Preparación ]]&gt;=0,Tabla5[[#This Row],[Tiempo Permanencia]]-Tabla5[[#This Row],[Tiempo de Preparación ]],0)</f>
        <v>0.10208333333737553</v>
      </c>
      <c r="J274" s="5" t="str">
        <f>IF(Tabla5[[#This Row],[Tiempo de Degustación]]=0,"No Cobrada","Cobrada")</f>
        <v>Cobrada</v>
      </c>
      <c r="K274" s="5" cm="1">
        <f t="array" ref="K274">SUM(IF(Tabla5[[#This Row],[Orden Cobrada]]="Cobrada",IF(Cocina!A:A=Tabla5[[#This Row],[Nº Orden]],Cocina!F:F*Cocina!G:G,0),-Tabla6[[#This Row],[Precio Cena]]))</f>
        <v>83</v>
      </c>
      <c r="L274" s="5">
        <f>IF(Tabla5[[#This Row],[Orden Cobrada]]="Cobrada",Tabla5[[#This Row],[Ganancia Bruta]]-Tabla6[[#This Row],[Coste Cena]],-Tabla6[[#This Row],[Precio Cena]]+Tabla6[[#This Row],[Coste Cena]])</f>
        <v>34</v>
      </c>
      <c r="M274" s="10">
        <f>IF(Tabla5[[#This Row],[Orden Cobrada]]="Cobrada",((Tabla5[[#This Row],[Ganancia Neta]]/Tabla5[[#This Row],[Ganancia Bruta]])*100)/100,-((Tabla5[[#This Row],[Ganancia Neta]]/Tabla5[[#This Row],[Ganancia Bruta]]*100)/100))</f>
        <v>0.40963855421686746</v>
      </c>
      <c r="N274" s="5" t="str">
        <f>sala!F273</f>
        <v>Mesero_4</v>
      </c>
      <c r="AY274" cm="1">
        <f t="array" ref="AY274">SUM(IF(Cocina!A:A=Tabla5[[#This Row],[Nº Orden]],Cocina!F:F*Cocina!G:G,0))</f>
        <v>83</v>
      </c>
      <c r="AZ274" cm="1">
        <f t="array" ref="AZ274">SUM(IF(Cocina!A:A=Tabla5[[#This Row],[Nº Orden]],Cocina!E:E*Cocina!G:G,0))</f>
        <v>49</v>
      </c>
      <c r="BB274" t="str">
        <f>MID(Tabla4[[#This Row],[Cliente]], SEARCH("_", Tabla4[[#This Row],[Cliente]]) + 1, LEN(Tabla4[[#This Row],[Cliente]]) - SEARCH("_",Tabla4[[#This Row],[Cliente]]))</f>
        <v>132</v>
      </c>
      <c r="BC274" t="str">
        <f>sala!B273</f>
        <v>Cliente_132</v>
      </c>
      <c r="BD274" s="1">
        <f>sala!D273</f>
        <v>45019.023611111108</v>
      </c>
      <c r="BE274" s="1">
        <f>sala!E273</f>
        <v>45019.183333333334</v>
      </c>
      <c r="BF274">
        <f>sala!K273</f>
        <v>272</v>
      </c>
      <c r="BG274">
        <f>sala!I273</f>
        <v>4273</v>
      </c>
      <c r="BH274" cm="1">
        <f t="array" ref="BH274">SUM(IF(Cocina!A:A=Tabla4[[#This Row],[Número de Orden]],Cocina!F:F*Cocina!G:G,0))</f>
        <v>83</v>
      </c>
      <c r="BI274" t="str">
        <f>sala!J273</f>
        <v>Reservada</v>
      </c>
      <c r="BJ274" s="4" t="str">
        <f>IF(Tabla4[[#This Row],[Estado mesa]]="Ocupada","00:15","00:00")</f>
        <v>00:00</v>
      </c>
      <c r="BK274" cm="1">
        <f t="array" ref="BK274">SUM(IF(Cocina!A:A=Tabla4[[#This Row],[Número de Orden]],Cocina!H:H,0))</f>
        <v>83</v>
      </c>
    </row>
    <row r="275" spans="1:63" x14ac:dyDescent="0.3">
      <c r="A275" s="8" t="str">
        <f>MID(Tabla4[[#This Row],[Cliente]], SEARCH("_", Tabla4[[#This Row],[Cliente]]) + 1, LEN(Tabla4[[#This Row],[Cliente]]) - SEARCH("_",Tabla4[[#This Row],[Cliente]]))</f>
        <v>709</v>
      </c>
      <c r="B275">
        <f>sala!K274</f>
        <v>273</v>
      </c>
      <c r="C275">
        <f>Tabla4[[#This Row],[Propina]]+Tabla4[[#This Row],[Precio Cena]]</f>
        <v>486</v>
      </c>
      <c r="D275" s="3">
        <f>INT(sala!E274)</f>
        <v>45019</v>
      </c>
      <c r="E275" s="4">
        <f>MOD( sala!D274,1)</f>
        <v>7.4305555557657499E-2</v>
      </c>
      <c r="F275" s="4">
        <f>MOD( sala!E274,1)</f>
        <v>0.14513888888905058</v>
      </c>
      <c r="G275" s="4">
        <f>Tabla5[[#This Row],[Hora de Salida]]-Tabla5[[#This Row],[Hora de Llegada]]+Tabla4[[#This Row],[Tiempo Extra]]</f>
        <v>8.1249999998059749E-2</v>
      </c>
      <c r="H275" s="5" t="str">
        <f>TEXT(Tabla4[[#This Row],[Preparación en horas]]/1440, "h:mm")</f>
        <v>1:07</v>
      </c>
      <c r="I275" s="4">
        <f>IF(Tabla5[[#This Row],[Tiempo Permanencia]]-Tabla5[[#This Row],[Tiempo de Preparación ]]&gt;=0,Tabla5[[#This Row],[Tiempo Permanencia]]-Tabla5[[#This Row],[Tiempo de Preparación ]],0)</f>
        <v>3.472222222028197E-2</v>
      </c>
      <c r="J275" s="5" t="str">
        <f>IF(Tabla5[[#This Row],[Tiempo de Degustación]]=0,"No Cobrada","Cobrada")</f>
        <v>Cobrada</v>
      </c>
      <c r="K275" s="5" cm="1">
        <f t="array" ref="K275">SUM(IF(Tabla5[[#This Row],[Orden Cobrada]]="Cobrada",IF(Cocina!A:A=Tabla5[[#This Row],[Nº Orden]],Cocina!F:F*Cocina!G:G,0),-Tabla6[[#This Row],[Precio Cena]]))</f>
        <v>123</v>
      </c>
      <c r="L275" s="5">
        <f>IF(Tabla5[[#This Row],[Orden Cobrada]]="Cobrada",Tabla5[[#This Row],[Ganancia Bruta]]-Tabla6[[#This Row],[Coste Cena]],-Tabla6[[#This Row],[Precio Cena]]+Tabla6[[#This Row],[Coste Cena]])</f>
        <v>50</v>
      </c>
      <c r="M275" s="10">
        <f>IF(Tabla5[[#This Row],[Orden Cobrada]]="Cobrada",((Tabla5[[#This Row],[Ganancia Neta]]/Tabla5[[#This Row],[Ganancia Bruta]])*100)/100,-((Tabla5[[#This Row],[Ganancia Neta]]/Tabla5[[#This Row],[Ganancia Bruta]]*100)/100))</f>
        <v>0.4065040650406504</v>
      </c>
      <c r="N275" s="5" t="str">
        <f>sala!F274</f>
        <v>Mesero_2</v>
      </c>
      <c r="AY275" cm="1">
        <f t="array" ref="AY275">SUM(IF(Cocina!A:A=Tabla5[[#This Row],[Nº Orden]],Cocina!F:F*Cocina!G:G,0))</f>
        <v>123</v>
      </c>
      <c r="AZ275" cm="1">
        <f t="array" ref="AZ275">SUM(IF(Cocina!A:A=Tabla5[[#This Row],[Nº Orden]],Cocina!E:E*Cocina!G:G,0))</f>
        <v>73</v>
      </c>
      <c r="BB275" t="str">
        <f>MID(Tabla4[[#This Row],[Cliente]], SEARCH("_", Tabla4[[#This Row],[Cliente]]) + 1, LEN(Tabla4[[#This Row],[Cliente]]) - SEARCH("_",Tabla4[[#This Row],[Cliente]]))</f>
        <v>709</v>
      </c>
      <c r="BC275" t="str">
        <f>sala!B274</f>
        <v>Cliente_709</v>
      </c>
      <c r="BD275" s="1">
        <f>sala!D274</f>
        <v>45019.074305555558</v>
      </c>
      <c r="BE275" s="1">
        <f>sala!E274</f>
        <v>45019.145138888889</v>
      </c>
      <c r="BF275">
        <f>sala!K274</f>
        <v>273</v>
      </c>
      <c r="BG275">
        <f>sala!I274</f>
        <v>363</v>
      </c>
      <c r="BH275" cm="1">
        <f t="array" ref="BH275">SUM(IF(Cocina!A:A=Tabla4[[#This Row],[Número de Orden]],Cocina!F:F*Cocina!G:G,0))</f>
        <v>123</v>
      </c>
      <c r="BI275" t="str">
        <f>sala!J274</f>
        <v>Ocupada</v>
      </c>
      <c r="BJ275" s="4" t="str">
        <f>IF(Tabla4[[#This Row],[Estado mesa]]="Ocupada","00:15","00:00")</f>
        <v>00:15</v>
      </c>
      <c r="BK275" cm="1">
        <f t="array" ref="BK275">SUM(IF(Cocina!A:A=Tabla4[[#This Row],[Número de Orden]],Cocina!H:H,0))</f>
        <v>67</v>
      </c>
    </row>
    <row r="276" spans="1:63" x14ac:dyDescent="0.3">
      <c r="A276" s="8" t="str">
        <f>MID(Tabla4[[#This Row],[Cliente]], SEARCH("_", Tabla4[[#This Row],[Cliente]]) + 1, LEN(Tabla4[[#This Row],[Cliente]]) - SEARCH("_",Tabla4[[#This Row],[Cliente]]))</f>
        <v>53</v>
      </c>
      <c r="B276">
        <f>sala!K275</f>
        <v>274</v>
      </c>
      <c r="C276">
        <f>Tabla4[[#This Row],[Propina]]+Tabla4[[#This Row],[Precio Cena]]</f>
        <v>2109</v>
      </c>
      <c r="D276" s="3">
        <f>INT(sala!E275)</f>
        <v>45019</v>
      </c>
      <c r="E276" s="4">
        <f>MOD( sala!D275,1)</f>
        <v>0.13541666666424135</v>
      </c>
      <c r="F276" s="4">
        <f>MOD( sala!E275,1)</f>
        <v>0.24444444444088731</v>
      </c>
      <c r="G276" s="4">
        <f>Tabla5[[#This Row],[Hora de Salida]]-Tabla5[[#This Row],[Hora de Llegada]]+Tabla4[[#This Row],[Tiempo Extra]]</f>
        <v>0.11944444444331263</v>
      </c>
      <c r="H276" s="5" t="str">
        <f>TEXT(Tabla4[[#This Row],[Preparación en horas]]/1440, "h:mm")</f>
        <v>1:15</v>
      </c>
      <c r="I276" s="4">
        <f>IF(Tabla5[[#This Row],[Tiempo Permanencia]]-Tabla5[[#This Row],[Tiempo de Preparación ]]&gt;=0,Tabla5[[#This Row],[Tiempo Permanencia]]-Tabla5[[#This Row],[Tiempo de Preparación ]],0)</f>
        <v>6.7361111109979305E-2</v>
      </c>
      <c r="J276" s="5" t="str">
        <f>IF(Tabla5[[#This Row],[Tiempo de Degustación]]=0,"No Cobrada","Cobrada")</f>
        <v>Cobrada</v>
      </c>
      <c r="K276" s="5" cm="1">
        <f t="array" ref="K276">SUM(IF(Tabla5[[#This Row],[Orden Cobrada]]="Cobrada",IF(Cocina!A:A=Tabla5[[#This Row],[Nº Orden]],Cocina!F:F*Cocina!G:G,0),-Tabla6[[#This Row],[Precio Cena]]))</f>
        <v>116</v>
      </c>
      <c r="L276" s="5">
        <f>IF(Tabla5[[#This Row],[Orden Cobrada]]="Cobrada",Tabla5[[#This Row],[Ganancia Bruta]]-Tabla6[[#This Row],[Coste Cena]],-Tabla6[[#This Row],[Precio Cena]]+Tabla6[[#This Row],[Coste Cena]])</f>
        <v>49</v>
      </c>
      <c r="M276" s="10">
        <f>IF(Tabla5[[#This Row],[Orden Cobrada]]="Cobrada",((Tabla5[[#This Row],[Ganancia Neta]]/Tabla5[[#This Row],[Ganancia Bruta]])*100)/100,-((Tabla5[[#This Row],[Ganancia Neta]]/Tabla5[[#This Row],[Ganancia Bruta]]*100)/100))</f>
        <v>0.42241379310344823</v>
      </c>
      <c r="N276" s="5" t="str">
        <f>sala!F275</f>
        <v>Mesero_1</v>
      </c>
      <c r="AY276" cm="1">
        <f t="array" ref="AY276">SUM(IF(Cocina!A:A=Tabla5[[#This Row],[Nº Orden]],Cocina!F:F*Cocina!G:G,0))</f>
        <v>116</v>
      </c>
      <c r="AZ276" cm="1">
        <f t="array" ref="AZ276">SUM(IF(Cocina!A:A=Tabla5[[#This Row],[Nº Orden]],Cocina!E:E*Cocina!G:G,0))</f>
        <v>67</v>
      </c>
      <c r="BB276" t="str">
        <f>MID(Tabla4[[#This Row],[Cliente]], SEARCH("_", Tabla4[[#This Row],[Cliente]]) + 1, LEN(Tabla4[[#This Row],[Cliente]]) - SEARCH("_",Tabla4[[#This Row],[Cliente]]))</f>
        <v>53</v>
      </c>
      <c r="BC276" t="str">
        <f>sala!B275</f>
        <v>Cliente_53</v>
      </c>
      <c r="BD276" s="1">
        <f>sala!D275</f>
        <v>45019.135416666664</v>
      </c>
      <c r="BE276" s="1">
        <f>sala!E275</f>
        <v>45019.244444444441</v>
      </c>
      <c r="BF276">
        <f>sala!K275</f>
        <v>274</v>
      </c>
      <c r="BG276">
        <f>sala!I275</f>
        <v>1993</v>
      </c>
      <c r="BH276" cm="1">
        <f t="array" ref="BH276">SUM(IF(Cocina!A:A=Tabla4[[#This Row],[Número de Orden]],Cocina!F:F*Cocina!G:G,0))</f>
        <v>116</v>
      </c>
      <c r="BI276" t="str">
        <f>sala!J275</f>
        <v>Ocupada</v>
      </c>
      <c r="BJ276" s="4" t="str">
        <f>IF(Tabla4[[#This Row],[Estado mesa]]="Ocupada","00:15","00:00")</f>
        <v>00:15</v>
      </c>
      <c r="BK276" cm="1">
        <f t="array" ref="BK276">SUM(IF(Cocina!A:A=Tabla4[[#This Row],[Número de Orden]],Cocina!H:H,0))</f>
        <v>75</v>
      </c>
    </row>
    <row r="277" spans="1:63" x14ac:dyDescent="0.3">
      <c r="A277" s="8" t="str">
        <f>MID(Tabla4[[#This Row],[Cliente]], SEARCH("_", Tabla4[[#This Row],[Cliente]]) + 1, LEN(Tabla4[[#This Row],[Cliente]]) - SEARCH("_",Tabla4[[#This Row],[Cliente]]))</f>
        <v>765</v>
      </c>
      <c r="B277">
        <f>sala!K276</f>
        <v>275</v>
      </c>
      <c r="C277">
        <f>Tabla4[[#This Row],[Propina]]+Tabla4[[#This Row],[Precio Cena]]</f>
        <v>5088</v>
      </c>
      <c r="D277" s="3">
        <f>INT(sala!E276)</f>
        <v>45019</v>
      </c>
      <c r="E277" s="4">
        <f>MOD( sala!D276,1)</f>
        <v>9.2361111113859806E-2</v>
      </c>
      <c r="F277" s="4">
        <f>MOD( sala!E276,1)</f>
        <v>0.24861111111385981</v>
      </c>
      <c r="G277" s="4">
        <f>Tabla5[[#This Row],[Hora de Salida]]-Tabla5[[#This Row],[Hora de Llegada]]+Tabla4[[#This Row],[Tiempo Extra]]</f>
        <v>0.15625</v>
      </c>
      <c r="H277" s="5" t="str">
        <f>TEXT(Tabla4[[#This Row],[Preparación en horas]]/1440, "h:mm")</f>
        <v>2:02</v>
      </c>
      <c r="I277" s="4">
        <f>IF(Tabla5[[#This Row],[Tiempo Permanencia]]-Tabla5[[#This Row],[Tiempo de Preparación ]]&gt;=0,Tabla5[[#This Row],[Tiempo Permanencia]]-Tabla5[[#This Row],[Tiempo de Preparación ]],0)</f>
        <v>7.1527777777777773E-2</v>
      </c>
      <c r="J277" s="5" t="str">
        <f>IF(Tabla5[[#This Row],[Tiempo de Degustación]]=0,"No Cobrada","Cobrada")</f>
        <v>Cobrada</v>
      </c>
      <c r="K277" s="5" cm="1">
        <f t="array" ref="K277">SUM(IF(Tabla5[[#This Row],[Orden Cobrada]]="Cobrada",IF(Cocina!A:A=Tabla5[[#This Row],[Nº Orden]],Cocina!F:F*Cocina!G:G,0),-Tabla6[[#This Row],[Precio Cena]]))</f>
        <v>121</v>
      </c>
      <c r="L277" s="5">
        <f>IF(Tabla5[[#This Row],[Orden Cobrada]]="Cobrada",Tabla5[[#This Row],[Ganancia Bruta]]-Tabla6[[#This Row],[Coste Cena]],-Tabla6[[#This Row],[Precio Cena]]+Tabla6[[#This Row],[Coste Cena]])</f>
        <v>48</v>
      </c>
      <c r="M277" s="10">
        <f>IF(Tabla5[[#This Row],[Orden Cobrada]]="Cobrada",((Tabla5[[#This Row],[Ganancia Neta]]/Tabla5[[#This Row],[Ganancia Bruta]])*100)/100,-((Tabla5[[#This Row],[Ganancia Neta]]/Tabla5[[#This Row],[Ganancia Bruta]]*100)/100))</f>
        <v>0.39669421487603307</v>
      </c>
      <c r="N277" s="5" t="str">
        <f>sala!F276</f>
        <v>Mesero_2</v>
      </c>
      <c r="AY277" cm="1">
        <f t="array" ref="AY277">SUM(IF(Cocina!A:A=Tabla5[[#This Row],[Nº Orden]],Cocina!F:F*Cocina!G:G,0))</f>
        <v>121</v>
      </c>
      <c r="AZ277" cm="1">
        <f t="array" ref="AZ277">SUM(IF(Cocina!A:A=Tabla5[[#This Row],[Nº Orden]],Cocina!E:E*Cocina!G:G,0))</f>
        <v>73</v>
      </c>
      <c r="BB277" t="str">
        <f>MID(Tabla4[[#This Row],[Cliente]], SEARCH("_", Tabla4[[#This Row],[Cliente]]) + 1, LEN(Tabla4[[#This Row],[Cliente]]) - SEARCH("_",Tabla4[[#This Row],[Cliente]]))</f>
        <v>765</v>
      </c>
      <c r="BC277" t="str">
        <f>sala!B276</f>
        <v>Cliente_765</v>
      </c>
      <c r="BD277" s="1">
        <f>sala!D276</f>
        <v>45019.092361111114</v>
      </c>
      <c r="BE277" s="1">
        <f>sala!E276</f>
        <v>45019.248611111114</v>
      </c>
      <c r="BF277">
        <f>sala!K276</f>
        <v>275</v>
      </c>
      <c r="BG277">
        <f>sala!I276</f>
        <v>4967</v>
      </c>
      <c r="BH277" cm="1">
        <f t="array" ref="BH277">SUM(IF(Cocina!A:A=Tabla4[[#This Row],[Número de Orden]],Cocina!F:F*Cocina!G:G,0))</f>
        <v>121</v>
      </c>
      <c r="BI277" t="str">
        <f>sala!J276</f>
        <v>Reservada</v>
      </c>
      <c r="BJ277" s="4" t="str">
        <f>IF(Tabla4[[#This Row],[Estado mesa]]="Ocupada","00:15","00:00")</f>
        <v>00:00</v>
      </c>
      <c r="BK277" cm="1">
        <f t="array" ref="BK277">SUM(IF(Cocina!A:A=Tabla4[[#This Row],[Número de Orden]],Cocina!H:H,0))</f>
        <v>122</v>
      </c>
    </row>
    <row r="278" spans="1:63" x14ac:dyDescent="0.3">
      <c r="A278" s="8" t="str">
        <f>MID(Tabla4[[#This Row],[Cliente]], SEARCH("_", Tabla4[[#This Row],[Cliente]]) + 1, LEN(Tabla4[[#This Row],[Cliente]]) - SEARCH("_",Tabla4[[#This Row],[Cliente]]))</f>
        <v>673</v>
      </c>
      <c r="B278">
        <f>sala!K277</f>
        <v>276</v>
      </c>
      <c r="C278">
        <f>Tabla4[[#This Row],[Propina]]+Tabla4[[#This Row],[Precio Cena]]</f>
        <v>2168</v>
      </c>
      <c r="D278" s="3">
        <f>INT(sala!E277)</f>
        <v>45019</v>
      </c>
      <c r="E278" s="4">
        <f>MOD( sala!D277,1)</f>
        <v>0.10763888889050577</v>
      </c>
      <c r="F278" s="4">
        <f>MOD( sala!E277,1)</f>
        <v>0.23194444444379769</v>
      </c>
      <c r="G278" s="4">
        <f>Tabla5[[#This Row],[Hora de Salida]]-Tabla5[[#This Row],[Hora de Llegada]]+Tabla4[[#This Row],[Tiempo Extra]]</f>
        <v>0.12430555555329192</v>
      </c>
      <c r="H278" s="5" t="str">
        <f>TEXT(Tabla4[[#This Row],[Preparación en horas]]/1440, "h:mm")</f>
        <v>1:25</v>
      </c>
      <c r="I278" s="4">
        <f>IF(Tabla5[[#This Row],[Tiempo Permanencia]]-Tabla5[[#This Row],[Tiempo de Preparación ]]&gt;=0,Tabla5[[#This Row],[Tiempo Permanencia]]-Tabla5[[#This Row],[Tiempo de Preparación ]],0)</f>
        <v>6.5277777775514148E-2</v>
      </c>
      <c r="J278" s="5" t="str">
        <f>IF(Tabla5[[#This Row],[Tiempo de Degustación]]=0,"No Cobrada","Cobrada")</f>
        <v>Cobrada</v>
      </c>
      <c r="K278" s="5" cm="1">
        <f t="array" ref="K278">SUM(IF(Tabla5[[#This Row],[Orden Cobrada]]="Cobrada",IF(Cocina!A:A=Tabla5[[#This Row],[Nº Orden]],Cocina!F:F*Cocina!G:G,0),-Tabla6[[#This Row],[Precio Cena]]))</f>
        <v>70</v>
      </c>
      <c r="L278" s="5">
        <f>IF(Tabla5[[#This Row],[Orden Cobrada]]="Cobrada",Tabla5[[#This Row],[Ganancia Bruta]]-Tabla6[[#This Row],[Coste Cena]],-Tabla6[[#This Row],[Precio Cena]]+Tabla6[[#This Row],[Coste Cena]])</f>
        <v>29</v>
      </c>
      <c r="M278" s="10">
        <f>IF(Tabla5[[#This Row],[Orden Cobrada]]="Cobrada",((Tabla5[[#This Row],[Ganancia Neta]]/Tabla5[[#This Row],[Ganancia Bruta]])*100)/100,-((Tabla5[[#This Row],[Ganancia Neta]]/Tabla5[[#This Row],[Ganancia Bruta]]*100)/100))</f>
        <v>0.41428571428571431</v>
      </c>
      <c r="N278" s="5" t="str">
        <f>sala!F277</f>
        <v>Mesero_4</v>
      </c>
      <c r="AY278" cm="1">
        <f t="array" ref="AY278">SUM(IF(Cocina!A:A=Tabla5[[#This Row],[Nº Orden]],Cocina!F:F*Cocina!G:G,0))</f>
        <v>70</v>
      </c>
      <c r="AZ278" cm="1">
        <f t="array" ref="AZ278">SUM(IF(Cocina!A:A=Tabla5[[#This Row],[Nº Orden]],Cocina!E:E*Cocina!G:G,0))</f>
        <v>41</v>
      </c>
      <c r="BB278" t="str">
        <f>MID(Tabla4[[#This Row],[Cliente]], SEARCH("_", Tabla4[[#This Row],[Cliente]]) + 1, LEN(Tabla4[[#This Row],[Cliente]]) - SEARCH("_",Tabla4[[#This Row],[Cliente]]))</f>
        <v>673</v>
      </c>
      <c r="BC278" t="str">
        <f>sala!B277</f>
        <v>Cliente_673</v>
      </c>
      <c r="BD278" s="1">
        <f>sala!D277</f>
        <v>45019.107638888891</v>
      </c>
      <c r="BE278" s="1">
        <f>sala!E277</f>
        <v>45019.231944444444</v>
      </c>
      <c r="BF278">
        <f>sala!K277</f>
        <v>276</v>
      </c>
      <c r="BG278">
        <f>sala!I277</f>
        <v>2098</v>
      </c>
      <c r="BH278" cm="1">
        <f t="array" ref="BH278">SUM(IF(Cocina!A:A=Tabla4[[#This Row],[Número de Orden]],Cocina!F:F*Cocina!G:G,0))</f>
        <v>70</v>
      </c>
      <c r="BI278" t="str">
        <f>sala!J277</f>
        <v>Reservada</v>
      </c>
      <c r="BJ278" s="4" t="str">
        <f>IF(Tabla4[[#This Row],[Estado mesa]]="Ocupada","00:15","00:00")</f>
        <v>00:00</v>
      </c>
      <c r="BK278" cm="1">
        <f t="array" ref="BK278">SUM(IF(Cocina!A:A=Tabla4[[#This Row],[Número de Orden]],Cocina!H:H,0))</f>
        <v>85</v>
      </c>
    </row>
    <row r="279" spans="1:63" x14ac:dyDescent="0.3">
      <c r="A279" s="8" t="str">
        <f>MID(Tabla4[[#This Row],[Cliente]], SEARCH("_", Tabla4[[#This Row],[Cliente]]) + 1, LEN(Tabla4[[#This Row],[Cliente]]) - SEARCH("_",Tabla4[[#This Row],[Cliente]]))</f>
        <v>243</v>
      </c>
      <c r="B279">
        <f>sala!K278</f>
        <v>277</v>
      </c>
      <c r="C279">
        <f>Tabla4[[#This Row],[Propina]]+Tabla4[[#This Row],[Precio Cena]]</f>
        <v>1122</v>
      </c>
      <c r="D279" s="3">
        <f>INT(sala!E278)</f>
        <v>45019</v>
      </c>
      <c r="E279" s="4">
        <f>MOD( sala!D278,1)</f>
        <v>6.1111111113859806E-2</v>
      </c>
      <c r="F279" s="4">
        <f>MOD( sala!E278,1)</f>
        <v>0.16388888889196096</v>
      </c>
      <c r="G279" s="4">
        <f>Tabla5[[#This Row],[Hora de Salida]]-Tabla5[[#This Row],[Hora de Llegada]]+Tabla4[[#This Row],[Tiempo Extra]]</f>
        <v>0.10277777777810115</v>
      </c>
      <c r="H279" s="5" t="str">
        <f>TEXT(Tabla4[[#This Row],[Preparación en horas]]/1440, "h:mm")</f>
        <v>0:29</v>
      </c>
      <c r="I279" s="4">
        <f>IF(Tabla5[[#This Row],[Tiempo Permanencia]]-Tabla5[[#This Row],[Tiempo de Preparación ]]&gt;=0,Tabla5[[#This Row],[Tiempo Permanencia]]-Tabla5[[#This Row],[Tiempo de Preparación ]],0)</f>
        <v>8.2638888889212267E-2</v>
      </c>
      <c r="J279" s="5" t="str">
        <f>IF(Tabla5[[#This Row],[Tiempo de Degustación]]=0,"No Cobrada","Cobrada")</f>
        <v>Cobrada</v>
      </c>
      <c r="K279" s="5" cm="1">
        <f t="array" ref="K279">SUM(IF(Tabla5[[#This Row],[Orden Cobrada]]="Cobrada",IF(Cocina!A:A=Tabla5[[#This Row],[Nº Orden]],Cocina!F:F*Cocina!G:G,0),-Tabla6[[#This Row],[Precio Cena]]))</f>
        <v>93</v>
      </c>
      <c r="L279" s="5">
        <f>IF(Tabla5[[#This Row],[Orden Cobrada]]="Cobrada",Tabla5[[#This Row],[Ganancia Bruta]]-Tabla6[[#This Row],[Coste Cena]],-Tabla6[[#This Row],[Precio Cena]]+Tabla6[[#This Row],[Coste Cena]])</f>
        <v>36</v>
      </c>
      <c r="M279" s="10">
        <f>IF(Tabla5[[#This Row],[Orden Cobrada]]="Cobrada",((Tabla5[[#This Row],[Ganancia Neta]]/Tabla5[[#This Row],[Ganancia Bruta]])*100)/100,-((Tabla5[[#This Row],[Ganancia Neta]]/Tabla5[[#This Row],[Ganancia Bruta]]*100)/100))</f>
        <v>0.38709677419354838</v>
      </c>
      <c r="N279" s="5" t="str">
        <f>sala!F278</f>
        <v>Mesero_5</v>
      </c>
      <c r="AY279" cm="1">
        <f t="array" ref="AY279">SUM(IF(Cocina!A:A=Tabla5[[#This Row],[Nº Orden]],Cocina!F:F*Cocina!G:G,0))</f>
        <v>93</v>
      </c>
      <c r="AZ279" cm="1">
        <f t="array" ref="AZ279">SUM(IF(Cocina!A:A=Tabla5[[#This Row],[Nº Orden]],Cocina!E:E*Cocina!G:G,0))</f>
        <v>57</v>
      </c>
      <c r="BB279" t="str">
        <f>MID(Tabla4[[#This Row],[Cliente]], SEARCH("_", Tabla4[[#This Row],[Cliente]]) + 1, LEN(Tabla4[[#This Row],[Cliente]]) - SEARCH("_",Tabla4[[#This Row],[Cliente]]))</f>
        <v>243</v>
      </c>
      <c r="BC279" t="str">
        <f>sala!B278</f>
        <v>Cliente_243</v>
      </c>
      <c r="BD279" s="1">
        <f>sala!D278</f>
        <v>45019.061111111114</v>
      </c>
      <c r="BE279" s="1">
        <f>sala!E278</f>
        <v>45019.163888888892</v>
      </c>
      <c r="BF279">
        <f>sala!K278</f>
        <v>277</v>
      </c>
      <c r="BG279">
        <f>sala!I278</f>
        <v>1029</v>
      </c>
      <c r="BH279" cm="1">
        <f t="array" ref="BH279">SUM(IF(Cocina!A:A=Tabla4[[#This Row],[Número de Orden]],Cocina!F:F*Cocina!G:G,0))</f>
        <v>93</v>
      </c>
      <c r="BI279" t="str">
        <f>sala!J278</f>
        <v>Libre</v>
      </c>
      <c r="BJ279" s="4" t="str">
        <f>IF(Tabla4[[#This Row],[Estado mesa]]="Ocupada","00:15","00:00")</f>
        <v>00:00</v>
      </c>
      <c r="BK279" cm="1">
        <f t="array" ref="BK279">SUM(IF(Cocina!A:A=Tabla4[[#This Row],[Número de Orden]],Cocina!H:H,0))</f>
        <v>29</v>
      </c>
    </row>
    <row r="280" spans="1:63" x14ac:dyDescent="0.3">
      <c r="A280" s="8" t="str">
        <f>MID(Tabla4[[#This Row],[Cliente]], SEARCH("_", Tabla4[[#This Row],[Cliente]]) + 1, LEN(Tabla4[[#This Row],[Cliente]]) - SEARCH("_",Tabla4[[#This Row],[Cliente]]))</f>
        <v>999</v>
      </c>
      <c r="B280">
        <f>sala!K279</f>
        <v>278</v>
      </c>
      <c r="C280">
        <f>Tabla4[[#This Row],[Propina]]+Tabla4[[#This Row],[Precio Cena]]</f>
        <v>4277</v>
      </c>
      <c r="D280" s="3">
        <f>INT(sala!E279)</f>
        <v>45019</v>
      </c>
      <c r="E280" s="4">
        <f>MOD( sala!D279,1)</f>
        <v>0.13194444444525288</v>
      </c>
      <c r="F280" s="4">
        <f>MOD( sala!E279,1)</f>
        <v>0.21666666666715173</v>
      </c>
      <c r="G280" s="4">
        <f>Tabla5[[#This Row],[Hora de Salida]]-Tabla5[[#This Row],[Hora de Llegada]]+Tabla4[[#This Row],[Tiempo Extra]]</f>
        <v>8.4722222221898846E-2</v>
      </c>
      <c r="H280" s="5" t="str">
        <f>TEXT(Tabla4[[#This Row],[Preparación en horas]]/1440, "h:mm")</f>
        <v>1:01</v>
      </c>
      <c r="I280" s="4">
        <f>IF(Tabla5[[#This Row],[Tiempo Permanencia]]-Tabla5[[#This Row],[Tiempo de Preparación ]]&gt;=0,Tabla5[[#This Row],[Tiempo Permanencia]]-Tabla5[[#This Row],[Tiempo de Preparación ]],0)</f>
        <v>4.2361111110787733E-2</v>
      </c>
      <c r="J280" s="5" t="str">
        <f>IF(Tabla5[[#This Row],[Tiempo de Degustación]]=0,"No Cobrada","Cobrada")</f>
        <v>Cobrada</v>
      </c>
      <c r="K280" s="5" cm="1">
        <f t="array" ref="K280">SUM(IF(Tabla5[[#This Row],[Orden Cobrada]]="Cobrada",IF(Cocina!A:A=Tabla5[[#This Row],[Nº Orden]],Cocina!F:F*Cocina!G:G,0),-Tabla6[[#This Row],[Precio Cena]]))</f>
        <v>141</v>
      </c>
      <c r="L280" s="5">
        <f>IF(Tabla5[[#This Row],[Orden Cobrada]]="Cobrada",Tabla5[[#This Row],[Ganancia Bruta]]-Tabla6[[#This Row],[Coste Cena]],-Tabla6[[#This Row],[Precio Cena]]+Tabla6[[#This Row],[Coste Cena]])</f>
        <v>56</v>
      </c>
      <c r="M280" s="10">
        <f>IF(Tabla5[[#This Row],[Orden Cobrada]]="Cobrada",((Tabla5[[#This Row],[Ganancia Neta]]/Tabla5[[#This Row],[Ganancia Bruta]])*100)/100,-((Tabla5[[#This Row],[Ganancia Neta]]/Tabla5[[#This Row],[Ganancia Bruta]]*100)/100))</f>
        <v>0.3971631205673759</v>
      </c>
      <c r="N280" s="5" t="str">
        <f>sala!F279</f>
        <v>Mesero_3</v>
      </c>
      <c r="AY280" cm="1">
        <f t="array" ref="AY280">SUM(IF(Cocina!A:A=Tabla5[[#This Row],[Nº Orden]],Cocina!F:F*Cocina!G:G,0))</f>
        <v>141</v>
      </c>
      <c r="AZ280" cm="1">
        <f t="array" ref="AZ280">SUM(IF(Cocina!A:A=Tabla5[[#This Row],[Nº Orden]],Cocina!E:E*Cocina!G:G,0))</f>
        <v>85</v>
      </c>
      <c r="BB280" t="str">
        <f>MID(Tabla4[[#This Row],[Cliente]], SEARCH("_", Tabla4[[#This Row],[Cliente]]) + 1, LEN(Tabla4[[#This Row],[Cliente]]) - SEARCH("_",Tabla4[[#This Row],[Cliente]]))</f>
        <v>999</v>
      </c>
      <c r="BC280" t="str">
        <f>sala!B279</f>
        <v>Cliente_999</v>
      </c>
      <c r="BD280" s="1">
        <f>sala!D279</f>
        <v>45019.131944444445</v>
      </c>
      <c r="BE280" s="1">
        <f>sala!E279</f>
        <v>45019.216666666667</v>
      </c>
      <c r="BF280">
        <f>sala!K279</f>
        <v>278</v>
      </c>
      <c r="BG280">
        <f>sala!I279</f>
        <v>4136</v>
      </c>
      <c r="BH280" cm="1">
        <f t="array" ref="BH280">SUM(IF(Cocina!A:A=Tabla4[[#This Row],[Número de Orden]],Cocina!F:F*Cocina!G:G,0))</f>
        <v>141</v>
      </c>
      <c r="BI280" t="str">
        <f>sala!J279</f>
        <v>Libre</v>
      </c>
      <c r="BJ280" s="4" t="str">
        <f>IF(Tabla4[[#This Row],[Estado mesa]]="Ocupada","00:15","00:00")</f>
        <v>00:00</v>
      </c>
      <c r="BK280" cm="1">
        <f t="array" ref="BK280">SUM(IF(Cocina!A:A=Tabla4[[#This Row],[Número de Orden]],Cocina!H:H,0))</f>
        <v>61</v>
      </c>
    </row>
    <row r="281" spans="1:63" x14ac:dyDescent="0.3">
      <c r="A281" s="8" t="str">
        <f>MID(Tabla4[[#This Row],[Cliente]], SEARCH("_", Tabla4[[#This Row],[Cliente]]) + 1, LEN(Tabla4[[#This Row],[Cliente]]) - SEARCH("_",Tabla4[[#This Row],[Cliente]]))</f>
        <v>510</v>
      </c>
      <c r="B281">
        <f>sala!K280</f>
        <v>279</v>
      </c>
      <c r="C281">
        <f>Tabla4[[#This Row],[Propina]]+Tabla4[[#This Row],[Precio Cena]]</f>
        <v>4554</v>
      </c>
      <c r="D281" s="3">
        <f>INT(sala!E280)</f>
        <v>45019</v>
      </c>
      <c r="E281" s="4">
        <f>MOD( sala!D280,1)</f>
        <v>1.0416666664241347E-2</v>
      </c>
      <c r="F281" s="4">
        <f>MOD( sala!E280,1)</f>
        <v>0.10763888889050577</v>
      </c>
      <c r="G281" s="4">
        <f>Tabla5[[#This Row],[Hora de Salida]]-Tabla5[[#This Row],[Hora de Llegada]]+Tabla4[[#This Row],[Tiempo Extra]]</f>
        <v>9.7222222226264421E-2</v>
      </c>
      <c r="H281" s="5" t="str">
        <f>TEXT(Tabla4[[#This Row],[Preparación en horas]]/1440, "h:mm")</f>
        <v>2:22</v>
      </c>
      <c r="I281" s="4">
        <f>IF(Tabla5[[#This Row],[Tiempo Permanencia]]-Tabla5[[#This Row],[Tiempo de Preparación ]]&gt;=0,Tabla5[[#This Row],[Tiempo Permanencia]]-Tabla5[[#This Row],[Tiempo de Preparación ]],0)</f>
        <v>0</v>
      </c>
      <c r="J281" s="5" t="str">
        <f>IF(Tabla5[[#This Row],[Tiempo de Degustación]]=0,"No Cobrada","Cobrada")</f>
        <v>No Cobrada</v>
      </c>
      <c r="K281" s="5" cm="1">
        <f t="array" ref="K281">SUM(IF(Tabla5[[#This Row],[Orden Cobrada]]="Cobrada",IF(Cocina!A:A=Tabla5[[#This Row],[Nº Orden]],Cocina!F:F*Cocina!G:G,0),-Tabla6[[#This Row],[Precio Cena]]))</f>
        <v>-201</v>
      </c>
      <c r="L281" s="5">
        <f>IF(Tabla5[[#This Row],[Orden Cobrada]]="Cobrada",Tabla5[[#This Row],[Ganancia Bruta]]-Tabla6[[#This Row],[Coste Cena]],-Tabla6[[#This Row],[Precio Cena]]+Tabla6[[#This Row],[Coste Cena]])</f>
        <v>-79</v>
      </c>
      <c r="M281" s="10">
        <f>IF(Tabla5[[#This Row],[Orden Cobrada]]="Cobrada",((Tabla5[[#This Row],[Ganancia Neta]]/Tabla5[[#This Row],[Ganancia Bruta]])*100)/100,-((Tabla5[[#This Row],[Ganancia Neta]]/Tabla5[[#This Row],[Ganancia Bruta]]*100)/100))</f>
        <v>-0.39303482587064681</v>
      </c>
      <c r="N281" s="5" t="str">
        <f>sala!F280</f>
        <v>Mesero_2</v>
      </c>
      <c r="AY281" cm="1">
        <f t="array" ref="AY281">SUM(IF(Cocina!A:A=Tabla5[[#This Row],[Nº Orden]],Cocina!F:F*Cocina!G:G,0))</f>
        <v>201</v>
      </c>
      <c r="AZ281" cm="1">
        <f t="array" ref="AZ281">SUM(IF(Cocina!A:A=Tabla5[[#This Row],[Nº Orden]],Cocina!E:E*Cocina!G:G,0))</f>
        <v>122</v>
      </c>
      <c r="BB281" t="str">
        <f>MID(Tabla4[[#This Row],[Cliente]], SEARCH("_", Tabla4[[#This Row],[Cliente]]) + 1, LEN(Tabla4[[#This Row],[Cliente]]) - SEARCH("_",Tabla4[[#This Row],[Cliente]]))</f>
        <v>510</v>
      </c>
      <c r="BC281" t="str">
        <f>sala!B280</f>
        <v>Cliente_510</v>
      </c>
      <c r="BD281" s="1">
        <f>sala!D280</f>
        <v>45019.010416666664</v>
      </c>
      <c r="BE281" s="1">
        <f>sala!E280</f>
        <v>45019.107638888891</v>
      </c>
      <c r="BF281">
        <f>sala!K280</f>
        <v>279</v>
      </c>
      <c r="BG281">
        <f>sala!I280</f>
        <v>4353</v>
      </c>
      <c r="BH281" cm="1">
        <f t="array" ref="BH281">SUM(IF(Cocina!A:A=Tabla4[[#This Row],[Número de Orden]],Cocina!F:F*Cocina!G:G,0))</f>
        <v>201</v>
      </c>
      <c r="BI281" t="str">
        <f>sala!J280</f>
        <v>Libre</v>
      </c>
      <c r="BJ281" s="4" t="str">
        <f>IF(Tabla4[[#This Row],[Estado mesa]]="Ocupada","00:15","00:00")</f>
        <v>00:00</v>
      </c>
      <c r="BK281" cm="1">
        <f t="array" ref="BK281">SUM(IF(Cocina!A:A=Tabla4[[#This Row],[Número de Orden]],Cocina!H:H,0))</f>
        <v>142</v>
      </c>
    </row>
    <row r="282" spans="1:63" x14ac:dyDescent="0.3">
      <c r="A282" s="8" t="str">
        <f>MID(Tabla4[[#This Row],[Cliente]], SEARCH("_", Tabla4[[#This Row],[Cliente]]) + 1, LEN(Tabla4[[#This Row],[Cliente]]) - SEARCH("_",Tabla4[[#This Row],[Cliente]]))</f>
        <v>730</v>
      </c>
      <c r="B282">
        <f>sala!K281</f>
        <v>280</v>
      </c>
      <c r="C282">
        <f>Tabla4[[#This Row],[Propina]]+Tabla4[[#This Row],[Precio Cena]]</f>
        <v>3725</v>
      </c>
      <c r="D282" s="3">
        <f>INT(sala!E281)</f>
        <v>45019</v>
      </c>
      <c r="E282" s="4">
        <f>MOD( sala!D281,1)</f>
        <v>2.0833333335758653E-2</v>
      </c>
      <c r="F282" s="4">
        <f>MOD( sala!E281,1)</f>
        <v>0.11180555555620231</v>
      </c>
      <c r="G282" s="4">
        <f>Tabla5[[#This Row],[Hora de Salida]]-Tabla5[[#This Row],[Hora de Llegada]]+Tabla4[[#This Row],[Tiempo Extra]]</f>
        <v>9.0972222220443655E-2</v>
      </c>
      <c r="H282" s="5" t="str">
        <f>TEXT(Tabla4[[#This Row],[Preparación en horas]]/1440, "h:mm")</f>
        <v>1:26</v>
      </c>
      <c r="I282" s="4">
        <f>IF(Tabla5[[#This Row],[Tiempo Permanencia]]-Tabla5[[#This Row],[Tiempo de Preparación ]]&gt;=0,Tabla5[[#This Row],[Tiempo Permanencia]]-Tabla5[[#This Row],[Tiempo de Preparación ]],0)</f>
        <v>3.124999999822143E-2</v>
      </c>
      <c r="J282" s="5" t="str">
        <f>IF(Tabla5[[#This Row],[Tiempo de Degustación]]=0,"No Cobrada","Cobrada")</f>
        <v>Cobrada</v>
      </c>
      <c r="K282" s="5" cm="1">
        <f t="array" ref="K282">SUM(IF(Tabla5[[#This Row],[Orden Cobrada]]="Cobrada",IF(Cocina!A:A=Tabla5[[#This Row],[Nº Orden]],Cocina!F:F*Cocina!G:G,0),-Tabla6[[#This Row],[Precio Cena]]))</f>
        <v>117</v>
      </c>
      <c r="L282" s="5">
        <f>IF(Tabla5[[#This Row],[Orden Cobrada]]="Cobrada",Tabla5[[#This Row],[Ganancia Bruta]]-Tabla6[[#This Row],[Coste Cena]],-Tabla6[[#This Row],[Precio Cena]]+Tabla6[[#This Row],[Coste Cena]])</f>
        <v>47</v>
      </c>
      <c r="M282" s="10">
        <f>IF(Tabla5[[#This Row],[Orden Cobrada]]="Cobrada",((Tabla5[[#This Row],[Ganancia Neta]]/Tabla5[[#This Row],[Ganancia Bruta]])*100)/100,-((Tabla5[[#This Row],[Ganancia Neta]]/Tabla5[[#This Row],[Ganancia Bruta]]*100)/100))</f>
        <v>0.40170940170940173</v>
      </c>
      <c r="N282" s="5" t="str">
        <f>sala!F281</f>
        <v>Mesero_5</v>
      </c>
      <c r="AY282" cm="1">
        <f t="array" ref="AY282">SUM(IF(Cocina!A:A=Tabla5[[#This Row],[Nº Orden]],Cocina!F:F*Cocina!G:G,0))</f>
        <v>117</v>
      </c>
      <c r="AZ282" cm="1">
        <f t="array" ref="AZ282">SUM(IF(Cocina!A:A=Tabla5[[#This Row],[Nº Orden]],Cocina!E:E*Cocina!G:G,0))</f>
        <v>70</v>
      </c>
      <c r="BB282" t="str">
        <f>MID(Tabla4[[#This Row],[Cliente]], SEARCH("_", Tabla4[[#This Row],[Cliente]]) + 1, LEN(Tabla4[[#This Row],[Cliente]]) - SEARCH("_",Tabla4[[#This Row],[Cliente]]))</f>
        <v>730</v>
      </c>
      <c r="BC282" t="str">
        <f>sala!B281</f>
        <v>Cliente_730</v>
      </c>
      <c r="BD282" s="1">
        <f>sala!D281</f>
        <v>45019.020833333336</v>
      </c>
      <c r="BE282" s="1">
        <f>sala!E281</f>
        <v>45019.111805555556</v>
      </c>
      <c r="BF282">
        <f>sala!K281</f>
        <v>280</v>
      </c>
      <c r="BG282">
        <f>sala!I281</f>
        <v>3608</v>
      </c>
      <c r="BH282" cm="1">
        <f t="array" ref="BH282">SUM(IF(Cocina!A:A=Tabla4[[#This Row],[Número de Orden]],Cocina!F:F*Cocina!G:G,0))</f>
        <v>117</v>
      </c>
      <c r="BI282" t="str">
        <f>sala!J281</f>
        <v>Reservada</v>
      </c>
      <c r="BJ282" s="4" t="str">
        <f>IF(Tabla4[[#This Row],[Estado mesa]]="Ocupada","00:15","00:00")</f>
        <v>00:00</v>
      </c>
      <c r="BK282" cm="1">
        <f t="array" ref="BK282">SUM(IF(Cocina!A:A=Tabla4[[#This Row],[Número de Orden]],Cocina!H:H,0))</f>
        <v>86</v>
      </c>
    </row>
    <row r="283" spans="1:63" x14ac:dyDescent="0.3">
      <c r="A283" s="8" t="str">
        <f>MID(Tabla4[[#This Row],[Cliente]], SEARCH("_", Tabla4[[#This Row],[Cliente]]) + 1, LEN(Tabla4[[#This Row],[Cliente]]) - SEARCH("_",Tabla4[[#This Row],[Cliente]]))</f>
        <v>617</v>
      </c>
      <c r="B283">
        <f>sala!K282</f>
        <v>281</v>
      </c>
      <c r="C283">
        <f>Tabla4[[#This Row],[Propina]]+Tabla4[[#This Row],[Precio Cena]]</f>
        <v>509</v>
      </c>
      <c r="D283" s="3">
        <f>INT(sala!E282)</f>
        <v>45019</v>
      </c>
      <c r="E283" s="4">
        <f>MOD( sala!D282,1)</f>
        <v>0.16111111111240461</v>
      </c>
      <c r="F283" s="4">
        <f>MOD( sala!E282,1)</f>
        <v>0.32638888889050577</v>
      </c>
      <c r="G283" s="4">
        <f>Tabla5[[#This Row],[Hora de Salida]]-Tabla5[[#This Row],[Hora de Llegada]]+Tabla4[[#This Row],[Tiempo Extra]]</f>
        <v>0.17569444444476781</v>
      </c>
      <c r="H283" s="5" t="str">
        <f>TEXT(Tabla4[[#This Row],[Preparación en horas]]/1440, "h:mm")</f>
        <v>0:09</v>
      </c>
      <c r="I283" s="4">
        <f>IF(Tabla5[[#This Row],[Tiempo Permanencia]]-Tabla5[[#This Row],[Tiempo de Preparación ]]&gt;=0,Tabla5[[#This Row],[Tiempo Permanencia]]-Tabla5[[#This Row],[Tiempo de Preparación ]],0)</f>
        <v>0.16944444444476781</v>
      </c>
      <c r="J283" s="5" t="str">
        <f>IF(Tabla5[[#This Row],[Tiempo de Degustación]]=0,"No Cobrada","Cobrada")</f>
        <v>Cobrada</v>
      </c>
      <c r="K283" s="5" cm="1">
        <f t="array" ref="K283">SUM(IF(Tabla5[[#This Row],[Orden Cobrada]]="Cobrada",IF(Cocina!A:A=Tabla5[[#This Row],[Nº Orden]],Cocina!F:F*Cocina!G:G,0),-Tabla6[[#This Row],[Precio Cena]]))</f>
        <v>66</v>
      </c>
      <c r="L283" s="5">
        <f>IF(Tabla5[[#This Row],[Orden Cobrada]]="Cobrada",Tabla5[[#This Row],[Ganancia Bruta]]-Tabla6[[#This Row],[Coste Cena]],-Tabla6[[#This Row],[Precio Cena]]+Tabla6[[#This Row],[Coste Cena]])</f>
        <v>26</v>
      </c>
      <c r="M283" s="10">
        <f>IF(Tabla5[[#This Row],[Orden Cobrada]]="Cobrada",((Tabla5[[#This Row],[Ganancia Neta]]/Tabla5[[#This Row],[Ganancia Bruta]])*100)/100,-((Tabla5[[#This Row],[Ganancia Neta]]/Tabla5[[#This Row],[Ganancia Bruta]]*100)/100))</f>
        <v>0.39393939393939392</v>
      </c>
      <c r="N283" s="5" t="str">
        <f>sala!F282</f>
        <v>Mesero_4</v>
      </c>
      <c r="AY283" cm="1">
        <f t="array" ref="AY283">SUM(IF(Cocina!A:A=Tabla5[[#This Row],[Nº Orden]],Cocina!F:F*Cocina!G:G,0))</f>
        <v>66</v>
      </c>
      <c r="AZ283" cm="1">
        <f t="array" ref="AZ283">SUM(IF(Cocina!A:A=Tabla5[[#This Row],[Nº Orden]],Cocina!E:E*Cocina!G:G,0))</f>
        <v>40</v>
      </c>
      <c r="BB283" t="str">
        <f>MID(Tabla4[[#This Row],[Cliente]], SEARCH("_", Tabla4[[#This Row],[Cliente]]) + 1, LEN(Tabla4[[#This Row],[Cliente]]) - SEARCH("_",Tabla4[[#This Row],[Cliente]]))</f>
        <v>617</v>
      </c>
      <c r="BC283" t="str">
        <f>sala!B282</f>
        <v>Cliente_617</v>
      </c>
      <c r="BD283" s="1">
        <f>sala!D282</f>
        <v>45019.161111111112</v>
      </c>
      <c r="BE283" s="1">
        <f>sala!E282</f>
        <v>45019.326388888891</v>
      </c>
      <c r="BF283">
        <f>sala!K282</f>
        <v>281</v>
      </c>
      <c r="BG283">
        <f>sala!I282</f>
        <v>443</v>
      </c>
      <c r="BH283" cm="1">
        <f t="array" ref="BH283">SUM(IF(Cocina!A:A=Tabla4[[#This Row],[Número de Orden]],Cocina!F:F*Cocina!G:G,0))</f>
        <v>66</v>
      </c>
      <c r="BI283" t="str">
        <f>sala!J282</f>
        <v>Ocupada</v>
      </c>
      <c r="BJ283" s="4" t="str">
        <f>IF(Tabla4[[#This Row],[Estado mesa]]="Ocupada","00:15","00:00")</f>
        <v>00:15</v>
      </c>
      <c r="BK283" cm="1">
        <f t="array" ref="BK283">SUM(IF(Cocina!A:A=Tabla4[[#This Row],[Número de Orden]],Cocina!H:H,0))</f>
        <v>9</v>
      </c>
    </row>
    <row r="284" spans="1:63" x14ac:dyDescent="0.3">
      <c r="A284" s="8" t="str">
        <f>MID(Tabla4[[#This Row],[Cliente]], SEARCH("_", Tabla4[[#This Row],[Cliente]]) + 1, LEN(Tabla4[[#This Row],[Cliente]]) - SEARCH("_",Tabla4[[#This Row],[Cliente]]))</f>
        <v>827</v>
      </c>
      <c r="B284">
        <f>sala!K283</f>
        <v>282</v>
      </c>
      <c r="C284">
        <f>Tabla4[[#This Row],[Propina]]+Tabla4[[#This Row],[Precio Cena]]</f>
        <v>1979</v>
      </c>
      <c r="D284" s="3">
        <f>INT(sala!E283)</f>
        <v>45019</v>
      </c>
      <c r="E284" s="4">
        <f>MOD( sala!D283,1)</f>
        <v>4.9305555556202307E-2</v>
      </c>
      <c r="F284" s="4">
        <f>MOD( sala!E283,1)</f>
        <v>0.20972222222189885</v>
      </c>
      <c r="G284" s="4">
        <f>Tabla5[[#This Row],[Hora de Salida]]-Tabla5[[#This Row],[Hora de Llegada]]+Tabla4[[#This Row],[Tiempo Extra]]</f>
        <v>0.16041666666569654</v>
      </c>
      <c r="H284" s="5" t="str">
        <f>TEXT(Tabla4[[#This Row],[Preparación en horas]]/1440, "h:mm")</f>
        <v>1:54</v>
      </c>
      <c r="I284" s="4">
        <f>IF(Tabla5[[#This Row],[Tiempo Permanencia]]-Tabla5[[#This Row],[Tiempo de Preparación ]]&gt;=0,Tabla5[[#This Row],[Tiempo Permanencia]]-Tabla5[[#This Row],[Tiempo de Preparación ]],0)</f>
        <v>8.1249999999029876E-2</v>
      </c>
      <c r="J284" s="5" t="str">
        <f>IF(Tabla5[[#This Row],[Tiempo de Degustación]]=0,"No Cobrada","Cobrada")</f>
        <v>Cobrada</v>
      </c>
      <c r="K284" s="5" cm="1">
        <f t="array" ref="K284">SUM(IF(Tabla5[[#This Row],[Orden Cobrada]]="Cobrada",IF(Cocina!A:A=Tabla5[[#This Row],[Nº Orden]],Cocina!F:F*Cocina!G:G,0),-Tabla6[[#This Row],[Precio Cena]]))</f>
        <v>74</v>
      </c>
      <c r="L284" s="5">
        <f>IF(Tabla5[[#This Row],[Orden Cobrada]]="Cobrada",Tabla5[[#This Row],[Ganancia Bruta]]-Tabla6[[#This Row],[Coste Cena]],-Tabla6[[#This Row],[Precio Cena]]+Tabla6[[#This Row],[Coste Cena]])</f>
        <v>32</v>
      </c>
      <c r="M284" s="10">
        <f>IF(Tabla5[[#This Row],[Orden Cobrada]]="Cobrada",((Tabla5[[#This Row],[Ganancia Neta]]/Tabla5[[#This Row],[Ganancia Bruta]])*100)/100,-((Tabla5[[#This Row],[Ganancia Neta]]/Tabla5[[#This Row],[Ganancia Bruta]]*100)/100))</f>
        <v>0.4324324324324324</v>
      </c>
      <c r="N284" s="5" t="str">
        <f>sala!F283</f>
        <v>Mesero_4</v>
      </c>
      <c r="AY284" cm="1">
        <f t="array" ref="AY284">SUM(IF(Cocina!A:A=Tabla5[[#This Row],[Nº Orden]],Cocina!F:F*Cocina!G:G,0))</f>
        <v>74</v>
      </c>
      <c r="AZ284" cm="1">
        <f t="array" ref="AZ284">SUM(IF(Cocina!A:A=Tabla5[[#This Row],[Nº Orden]],Cocina!E:E*Cocina!G:G,0))</f>
        <v>42</v>
      </c>
      <c r="BB284" t="str">
        <f>MID(Tabla4[[#This Row],[Cliente]], SEARCH("_", Tabla4[[#This Row],[Cliente]]) + 1, LEN(Tabla4[[#This Row],[Cliente]]) - SEARCH("_",Tabla4[[#This Row],[Cliente]]))</f>
        <v>827</v>
      </c>
      <c r="BC284" t="str">
        <f>sala!B283</f>
        <v>Cliente_827</v>
      </c>
      <c r="BD284" s="1">
        <f>sala!D283</f>
        <v>45019.049305555556</v>
      </c>
      <c r="BE284" s="1">
        <f>sala!E283</f>
        <v>45019.209722222222</v>
      </c>
      <c r="BF284">
        <f>sala!K283</f>
        <v>282</v>
      </c>
      <c r="BG284">
        <f>sala!I283</f>
        <v>1905</v>
      </c>
      <c r="BH284" cm="1">
        <f t="array" ref="BH284">SUM(IF(Cocina!A:A=Tabla4[[#This Row],[Número de Orden]],Cocina!F:F*Cocina!G:G,0))</f>
        <v>74</v>
      </c>
      <c r="BI284" t="str">
        <f>sala!J283</f>
        <v>Libre</v>
      </c>
      <c r="BJ284" s="4" t="str">
        <f>IF(Tabla4[[#This Row],[Estado mesa]]="Ocupada","00:15","00:00")</f>
        <v>00:00</v>
      </c>
      <c r="BK284" cm="1">
        <f t="array" ref="BK284">SUM(IF(Cocina!A:A=Tabla4[[#This Row],[Número de Orden]],Cocina!H:H,0))</f>
        <v>114</v>
      </c>
    </row>
    <row r="285" spans="1:63" x14ac:dyDescent="0.3">
      <c r="A285" s="8" t="str">
        <f>MID(Tabla4[[#This Row],[Cliente]], SEARCH("_", Tabla4[[#This Row],[Cliente]]) + 1, LEN(Tabla4[[#This Row],[Cliente]]) - SEARCH("_",Tabla4[[#This Row],[Cliente]]))</f>
        <v>184</v>
      </c>
      <c r="B285">
        <f>sala!K284</f>
        <v>283</v>
      </c>
      <c r="C285">
        <f>Tabla4[[#This Row],[Propina]]+Tabla4[[#This Row],[Precio Cena]]</f>
        <v>4385</v>
      </c>
      <c r="D285" s="3">
        <f>INT(sala!E284)</f>
        <v>45019</v>
      </c>
      <c r="E285" s="4">
        <f>MOD( sala!D284,1)</f>
        <v>4.4444444443797693E-2</v>
      </c>
      <c r="F285" s="4">
        <f>MOD( sala!E284,1)</f>
        <v>0.19999999999708962</v>
      </c>
      <c r="G285" s="4">
        <f>Tabla5[[#This Row],[Hora de Salida]]-Tabla5[[#This Row],[Hora de Llegada]]+Tabla4[[#This Row],[Tiempo Extra]]</f>
        <v>0.15555555555329192</v>
      </c>
      <c r="H285" s="5" t="str">
        <f>TEXT(Tabla4[[#This Row],[Preparación en horas]]/1440, "h:mm")</f>
        <v>0:06</v>
      </c>
      <c r="I285" s="4">
        <f>IF(Tabla5[[#This Row],[Tiempo Permanencia]]-Tabla5[[#This Row],[Tiempo de Preparación ]]&gt;=0,Tabla5[[#This Row],[Tiempo Permanencia]]-Tabla5[[#This Row],[Tiempo de Preparación ]],0)</f>
        <v>0.15138888888662524</v>
      </c>
      <c r="J285" s="5" t="str">
        <f>IF(Tabla5[[#This Row],[Tiempo de Degustación]]=0,"No Cobrada","Cobrada")</f>
        <v>Cobrada</v>
      </c>
      <c r="K285" s="5" cm="1">
        <f t="array" ref="K285">SUM(IF(Tabla5[[#This Row],[Orden Cobrada]]="Cobrada",IF(Cocina!A:A=Tabla5[[#This Row],[Nº Orden]],Cocina!F:F*Cocina!G:G,0),-Tabla6[[#This Row],[Precio Cena]]))</f>
        <v>78</v>
      </c>
      <c r="L285" s="5">
        <f>IF(Tabla5[[#This Row],[Orden Cobrada]]="Cobrada",Tabla5[[#This Row],[Ganancia Bruta]]-Tabla6[[#This Row],[Coste Cena]],-Tabla6[[#This Row],[Precio Cena]]+Tabla6[[#This Row],[Coste Cena]])</f>
        <v>33</v>
      </c>
      <c r="M285" s="10">
        <f>IF(Tabla5[[#This Row],[Orden Cobrada]]="Cobrada",((Tabla5[[#This Row],[Ganancia Neta]]/Tabla5[[#This Row],[Ganancia Bruta]])*100)/100,-((Tabla5[[#This Row],[Ganancia Neta]]/Tabla5[[#This Row],[Ganancia Bruta]]*100)/100))</f>
        <v>0.42307692307692307</v>
      </c>
      <c r="N285" s="5" t="str">
        <f>sala!F284</f>
        <v>Mesero_5</v>
      </c>
      <c r="AY285" cm="1">
        <f t="array" ref="AY285">SUM(IF(Cocina!A:A=Tabla5[[#This Row],[Nº Orden]],Cocina!F:F*Cocina!G:G,0))</f>
        <v>78</v>
      </c>
      <c r="AZ285" cm="1">
        <f t="array" ref="AZ285">SUM(IF(Cocina!A:A=Tabla5[[#This Row],[Nº Orden]],Cocina!E:E*Cocina!G:G,0))</f>
        <v>45</v>
      </c>
      <c r="BB285" t="str">
        <f>MID(Tabla4[[#This Row],[Cliente]], SEARCH("_", Tabla4[[#This Row],[Cliente]]) + 1, LEN(Tabla4[[#This Row],[Cliente]]) - SEARCH("_",Tabla4[[#This Row],[Cliente]]))</f>
        <v>184</v>
      </c>
      <c r="BC285" t="str">
        <f>sala!B284</f>
        <v>Cliente_184</v>
      </c>
      <c r="BD285" s="1">
        <f>sala!D284</f>
        <v>45019.044444444444</v>
      </c>
      <c r="BE285" s="1">
        <f>sala!E284</f>
        <v>45019.199999999997</v>
      </c>
      <c r="BF285">
        <f>sala!K284</f>
        <v>283</v>
      </c>
      <c r="BG285">
        <f>sala!I284</f>
        <v>4307</v>
      </c>
      <c r="BH285" cm="1">
        <f t="array" ref="BH285">SUM(IF(Cocina!A:A=Tabla4[[#This Row],[Número de Orden]],Cocina!F:F*Cocina!G:G,0))</f>
        <v>78</v>
      </c>
      <c r="BI285" t="str">
        <f>sala!J284</f>
        <v>Libre</v>
      </c>
      <c r="BJ285" s="4" t="str">
        <f>IF(Tabla4[[#This Row],[Estado mesa]]="Ocupada","00:15","00:00")</f>
        <v>00:00</v>
      </c>
      <c r="BK285" cm="1">
        <f t="array" ref="BK285">SUM(IF(Cocina!A:A=Tabla4[[#This Row],[Número de Orden]],Cocina!H:H,0))</f>
        <v>6</v>
      </c>
    </row>
    <row r="286" spans="1:63" x14ac:dyDescent="0.3">
      <c r="A286" s="8" t="str">
        <f>MID(Tabla4[[#This Row],[Cliente]], SEARCH("_", Tabla4[[#This Row],[Cliente]]) + 1, LEN(Tabla4[[#This Row],[Cliente]]) - SEARCH("_",Tabla4[[#This Row],[Cliente]]))</f>
        <v>345</v>
      </c>
      <c r="B286">
        <f>sala!K285</f>
        <v>284</v>
      </c>
      <c r="C286">
        <f>Tabla4[[#This Row],[Propina]]+Tabla4[[#This Row],[Precio Cena]]</f>
        <v>3157</v>
      </c>
      <c r="D286" s="3">
        <f>INT(sala!E285)</f>
        <v>45019</v>
      </c>
      <c r="E286" s="4">
        <f>MOD( sala!D285,1)</f>
        <v>0.10277777777810115</v>
      </c>
      <c r="F286" s="4">
        <f>MOD( sala!E285,1)</f>
        <v>0.19236111111240461</v>
      </c>
      <c r="G286" s="4">
        <f>Tabla5[[#This Row],[Hora de Salida]]-Tabla5[[#This Row],[Hora de Llegada]]+Tabla4[[#This Row],[Tiempo Extra]]</f>
        <v>0.10000000000097013</v>
      </c>
      <c r="H286" s="5" t="str">
        <f>TEXT(Tabla4[[#This Row],[Preparación en horas]]/1440, "h:mm")</f>
        <v>3:15</v>
      </c>
      <c r="I286" s="4">
        <f>IF(Tabla5[[#This Row],[Tiempo Permanencia]]-Tabla5[[#This Row],[Tiempo de Preparación ]]&gt;=0,Tabla5[[#This Row],[Tiempo Permanencia]]-Tabla5[[#This Row],[Tiempo de Preparación ]],0)</f>
        <v>0</v>
      </c>
      <c r="J286" s="5" t="str">
        <f>IF(Tabla5[[#This Row],[Tiempo de Degustación]]=0,"No Cobrada","Cobrada")</f>
        <v>No Cobrada</v>
      </c>
      <c r="K286" s="5" cm="1">
        <f t="array" ref="K286">SUM(IF(Tabla5[[#This Row],[Orden Cobrada]]="Cobrada",IF(Cocina!A:A=Tabla5[[#This Row],[Nº Orden]],Cocina!F:F*Cocina!G:G,0),-Tabla6[[#This Row],[Precio Cena]]))</f>
        <v>-158</v>
      </c>
      <c r="L286" s="5">
        <f>IF(Tabla5[[#This Row],[Orden Cobrada]]="Cobrada",Tabla5[[#This Row],[Ganancia Bruta]]-Tabla6[[#This Row],[Coste Cena]],-Tabla6[[#This Row],[Precio Cena]]+Tabla6[[#This Row],[Coste Cena]])</f>
        <v>-64</v>
      </c>
      <c r="M286" s="10">
        <f>IF(Tabla5[[#This Row],[Orden Cobrada]]="Cobrada",((Tabla5[[#This Row],[Ganancia Neta]]/Tabla5[[#This Row],[Ganancia Bruta]])*100)/100,-((Tabla5[[#This Row],[Ganancia Neta]]/Tabla5[[#This Row],[Ganancia Bruta]]*100)/100))</f>
        <v>-0.40506329113924056</v>
      </c>
      <c r="N286" s="5" t="str">
        <f>sala!F285</f>
        <v>Mesero_5</v>
      </c>
      <c r="AY286" cm="1">
        <f t="array" ref="AY286">SUM(IF(Cocina!A:A=Tabla5[[#This Row],[Nº Orden]],Cocina!F:F*Cocina!G:G,0))</f>
        <v>158</v>
      </c>
      <c r="AZ286" cm="1">
        <f t="array" ref="AZ286">SUM(IF(Cocina!A:A=Tabla5[[#This Row],[Nº Orden]],Cocina!E:E*Cocina!G:G,0))</f>
        <v>94</v>
      </c>
      <c r="BB286" t="str">
        <f>MID(Tabla4[[#This Row],[Cliente]], SEARCH("_", Tabla4[[#This Row],[Cliente]]) + 1, LEN(Tabla4[[#This Row],[Cliente]]) - SEARCH("_",Tabla4[[#This Row],[Cliente]]))</f>
        <v>345</v>
      </c>
      <c r="BC286" t="str">
        <f>sala!B285</f>
        <v>Cliente_345</v>
      </c>
      <c r="BD286" s="1">
        <f>sala!D285</f>
        <v>45019.102777777778</v>
      </c>
      <c r="BE286" s="1">
        <f>sala!E285</f>
        <v>45019.192361111112</v>
      </c>
      <c r="BF286">
        <f>sala!K285</f>
        <v>284</v>
      </c>
      <c r="BG286">
        <f>sala!I285</f>
        <v>2999</v>
      </c>
      <c r="BH286" cm="1">
        <f t="array" ref="BH286">SUM(IF(Cocina!A:A=Tabla4[[#This Row],[Número de Orden]],Cocina!F:F*Cocina!G:G,0))</f>
        <v>158</v>
      </c>
      <c r="BI286" t="str">
        <f>sala!J285</f>
        <v>Ocupada</v>
      </c>
      <c r="BJ286" s="4" t="str">
        <f>IF(Tabla4[[#This Row],[Estado mesa]]="Ocupada","00:15","00:00")</f>
        <v>00:15</v>
      </c>
      <c r="BK286" cm="1">
        <f t="array" ref="BK286">SUM(IF(Cocina!A:A=Tabla4[[#This Row],[Número de Orden]],Cocina!H:H,0))</f>
        <v>195</v>
      </c>
    </row>
    <row r="287" spans="1:63" x14ac:dyDescent="0.3">
      <c r="A287" s="8" t="str">
        <f>MID(Tabla4[[#This Row],[Cliente]], SEARCH("_", Tabla4[[#This Row],[Cliente]]) + 1, LEN(Tabla4[[#This Row],[Cliente]]) - SEARCH("_",Tabla4[[#This Row],[Cliente]]))</f>
        <v>277</v>
      </c>
      <c r="B287">
        <f>sala!K286</f>
        <v>285</v>
      </c>
      <c r="C287">
        <f>Tabla4[[#This Row],[Propina]]+Tabla4[[#This Row],[Precio Cena]]</f>
        <v>1136</v>
      </c>
      <c r="D287" s="3">
        <f>INT(sala!E286)</f>
        <v>45019</v>
      </c>
      <c r="E287" s="4">
        <f>MOD( sala!D286,1)</f>
        <v>0.12708333333284827</v>
      </c>
      <c r="F287" s="4">
        <f>MOD( sala!E286,1)</f>
        <v>0.25347222221898846</v>
      </c>
      <c r="G287" s="4">
        <f>Tabla5[[#This Row],[Hora de Salida]]-Tabla5[[#This Row],[Hora de Llegada]]+Tabla4[[#This Row],[Tiempo Extra]]</f>
        <v>0.12638888888614019</v>
      </c>
      <c r="H287" s="5" t="str">
        <f>TEXT(Tabla4[[#This Row],[Preparación en horas]]/1440, "h:mm")</f>
        <v>0:12</v>
      </c>
      <c r="I287" s="4">
        <f>IF(Tabla5[[#This Row],[Tiempo Permanencia]]-Tabla5[[#This Row],[Tiempo de Preparación ]]&gt;=0,Tabla5[[#This Row],[Tiempo Permanencia]]-Tabla5[[#This Row],[Tiempo de Preparación ]],0)</f>
        <v>0.11805555555280686</v>
      </c>
      <c r="J287" s="5" t="str">
        <f>IF(Tabla5[[#This Row],[Tiempo de Degustación]]=0,"No Cobrada","Cobrada")</f>
        <v>Cobrada</v>
      </c>
      <c r="K287" s="5" cm="1">
        <f t="array" ref="K287">SUM(IF(Tabla5[[#This Row],[Orden Cobrada]]="Cobrada",IF(Cocina!A:A=Tabla5[[#This Row],[Nº Orden]],Cocina!F:F*Cocina!G:G,0),-Tabla6[[#This Row],[Precio Cena]]))</f>
        <v>42</v>
      </c>
      <c r="L287" s="5">
        <f>IF(Tabla5[[#This Row],[Orden Cobrada]]="Cobrada",Tabla5[[#This Row],[Ganancia Bruta]]-Tabla6[[#This Row],[Coste Cena]],-Tabla6[[#This Row],[Precio Cena]]+Tabla6[[#This Row],[Coste Cena]])</f>
        <v>16</v>
      </c>
      <c r="M287" s="10">
        <f>IF(Tabla5[[#This Row],[Orden Cobrada]]="Cobrada",((Tabla5[[#This Row],[Ganancia Neta]]/Tabla5[[#This Row],[Ganancia Bruta]])*100)/100,-((Tabla5[[#This Row],[Ganancia Neta]]/Tabla5[[#This Row],[Ganancia Bruta]]*100)/100))</f>
        <v>0.38095238095238093</v>
      </c>
      <c r="N287" s="5" t="str">
        <f>sala!F286</f>
        <v>Mesero_4</v>
      </c>
      <c r="AY287" cm="1">
        <f t="array" ref="AY287">SUM(IF(Cocina!A:A=Tabla5[[#This Row],[Nº Orden]],Cocina!F:F*Cocina!G:G,0))</f>
        <v>42</v>
      </c>
      <c r="AZ287" cm="1">
        <f t="array" ref="AZ287">SUM(IF(Cocina!A:A=Tabla5[[#This Row],[Nº Orden]],Cocina!E:E*Cocina!G:G,0))</f>
        <v>26</v>
      </c>
      <c r="BB287" t="str">
        <f>MID(Tabla4[[#This Row],[Cliente]], SEARCH("_", Tabla4[[#This Row],[Cliente]]) + 1, LEN(Tabla4[[#This Row],[Cliente]]) - SEARCH("_",Tabla4[[#This Row],[Cliente]]))</f>
        <v>277</v>
      </c>
      <c r="BC287" t="str">
        <f>sala!B286</f>
        <v>Cliente_277</v>
      </c>
      <c r="BD287" s="1">
        <f>sala!D286</f>
        <v>45019.127083333333</v>
      </c>
      <c r="BE287" s="1">
        <f>sala!E286</f>
        <v>45019.253472222219</v>
      </c>
      <c r="BF287">
        <f>sala!K286</f>
        <v>285</v>
      </c>
      <c r="BG287">
        <f>sala!I286</f>
        <v>1094</v>
      </c>
      <c r="BH287" cm="1">
        <f t="array" ref="BH287">SUM(IF(Cocina!A:A=Tabla4[[#This Row],[Número de Orden]],Cocina!F:F*Cocina!G:G,0))</f>
        <v>42</v>
      </c>
      <c r="BI287" t="str">
        <f>sala!J286</f>
        <v>Reservada</v>
      </c>
      <c r="BJ287" s="4" t="str">
        <f>IF(Tabla4[[#This Row],[Estado mesa]]="Ocupada","00:15","00:00")</f>
        <v>00:00</v>
      </c>
      <c r="BK287" cm="1">
        <f t="array" ref="BK287">SUM(IF(Cocina!A:A=Tabla4[[#This Row],[Número de Orden]],Cocina!H:H,0))</f>
        <v>12</v>
      </c>
    </row>
    <row r="288" spans="1:63" x14ac:dyDescent="0.3">
      <c r="A288" s="8" t="str">
        <f>MID(Tabla4[[#This Row],[Cliente]], SEARCH("_", Tabla4[[#This Row],[Cliente]]) + 1, LEN(Tabla4[[#This Row],[Cliente]]) - SEARCH("_",Tabla4[[#This Row],[Cliente]]))</f>
        <v>244</v>
      </c>
      <c r="B288">
        <f>sala!K287</f>
        <v>286</v>
      </c>
      <c r="C288">
        <f>Tabla4[[#This Row],[Propina]]+Tabla4[[#This Row],[Precio Cena]]</f>
        <v>4264</v>
      </c>
      <c r="D288" s="3">
        <f>INT(sala!E287)</f>
        <v>45019</v>
      </c>
      <c r="E288" s="4">
        <f>MOD( sala!D287,1)</f>
        <v>1.5277777776645962E-2</v>
      </c>
      <c r="F288" s="4">
        <f>MOD( sala!E287,1)</f>
        <v>0.10277777777810115</v>
      </c>
      <c r="G288" s="4">
        <f>Tabla5[[#This Row],[Hora de Salida]]-Tabla5[[#This Row],[Hora de Llegada]]+Tabla4[[#This Row],[Tiempo Extra]]</f>
        <v>9.7916666668121863E-2</v>
      </c>
      <c r="H288" s="5" t="str">
        <f>TEXT(Tabla4[[#This Row],[Preparación en horas]]/1440, "h:mm")</f>
        <v>0:25</v>
      </c>
      <c r="I288" s="4">
        <f>IF(Tabla5[[#This Row],[Tiempo Permanencia]]-Tabla5[[#This Row],[Tiempo de Preparación ]]&gt;=0,Tabla5[[#This Row],[Tiempo Permanencia]]-Tabla5[[#This Row],[Tiempo de Preparación ]],0)</f>
        <v>8.0555555557010744E-2</v>
      </c>
      <c r="J288" s="5" t="str">
        <f>IF(Tabla5[[#This Row],[Tiempo de Degustación]]=0,"No Cobrada","Cobrada")</f>
        <v>Cobrada</v>
      </c>
      <c r="K288" s="5" cm="1">
        <f t="array" ref="K288">SUM(IF(Tabla5[[#This Row],[Orden Cobrada]]="Cobrada",IF(Cocina!A:A=Tabla5[[#This Row],[Nº Orden]],Cocina!F:F*Cocina!G:G,0),-Tabla6[[#This Row],[Precio Cena]]))</f>
        <v>68</v>
      </c>
      <c r="L288" s="5">
        <f>IF(Tabla5[[#This Row],[Orden Cobrada]]="Cobrada",Tabla5[[#This Row],[Ganancia Bruta]]-Tabla6[[#This Row],[Coste Cena]],-Tabla6[[#This Row],[Precio Cena]]+Tabla6[[#This Row],[Coste Cena]])</f>
        <v>28</v>
      </c>
      <c r="M288" s="10">
        <f>IF(Tabla5[[#This Row],[Orden Cobrada]]="Cobrada",((Tabla5[[#This Row],[Ganancia Neta]]/Tabla5[[#This Row],[Ganancia Bruta]])*100)/100,-((Tabla5[[#This Row],[Ganancia Neta]]/Tabla5[[#This Row],[Ganancia Bruta]]*100)/100))</f>
        <v>0.41176470588235292</v>
      </c>
      <c r="N288" s="5" t="str">
        <f>sala!F287</f>
        <v>Mesero_3</v>
      </c>
      <c r="AY288" cm="1">
        <f t="array" ref="AY288">SUM(IF(Cocina!A:A=Tabla5[[#This Row],[Nº Orden]],Cocina!F:F*Cocina!G:G,0))</f>
        <v>68</v>
      </c>
      <c r="AZ288" cm="1">
        <f t="array" ref="AZ288">SUM(IF(Cocina!A:A=Tabla5[[#This Row],[Nº Orden]],Cocina!E:E*Cocina!G:G,0))</f>
        <v>40</v>
      </c>
      <c r="BB288" t="str">
        <f>MID(Tabla4[[#This Row],[Cliente]], SEARCH("_", Tabla4[[#This Row],[Cliente]]) + 1, LEN(Tabla4[[#This Row],[Cliente]]) - SEARCH("_",Tabla4[[#This Row],[Cliente]]))</f>
        <v>244</v>
      </c>
      <c r="BC288" t="str">
        <f>sala!B287</f>
        <v>Cliente_244</v>
      </c>
      <c r="BD288" s="1">
        <f>sala!D287</f>
        <v>45019.015277777777</v>
      </c>
      <c r="BE288" s="1">
        <f>sala!E287</f>
        <v>45019.102777777778</v>
      </c>
      <c r="BF288">
        <f>sala!K287</f>
        <v>286</v>
      </c>
      <c r="BG288">
        <f>sala!I287</f>
        <v>4196</v>
      </c>
      <c r="BH288" cm="1">
        <f t="array" ref="BH288">SUM(IF(Cocina!A:A=Tabla4[[#This Row],[Número de Orden]],Cocina!F:F*Cocina!G:G,0))</f>
        <v>68</v>
      </c>
      <c r="BI288" t="str">
        <f>sala!J287</f>
        <v>Ocupada</v>
      </c>
      <c r="BJ288" s="4" t="str">
        <f>IF(Tabla4[[#This Row],[Estado mesa]]="Ocupada","00:15","00:00")</f>
        <v>00:15</v>
      </c>
      <c r="BK288" cm="1">
        <f t="array" ref="BK288">SUM(IF(Cocina!A:A=Tabla4[[#This Row],[Número de Orden]],Cocina!H:H,0))</f>
        <v>25</v>
      </c>
    </row>
    <row r="289" spans="1:63" x14ac:dyDescent="0.3">
      <c r="A289" s="8" t="str">
        <f>MID(Tabla4[[#This Row],[Cliente]], SEARCH("_", Tabla4[[#This Row],[Cliente]]) + 1, LEN(Tabla4[[#This Row],[Cliente]]) - SEARCH("_",Tabla4[[#This Row],[Cliente]]))</f>
        <v>286</v>
      </c>
      <c r="B289">
        <f>sala!K288</f>
        <v>287</v>
      </c>
      <c r="C289">
        <f>Tabla4[[#This Row],[Propina]]+Tabla4[[#This Row],[Precio Cena]]</f>
        <v>3369</v>
      </c>
      <c r="D289" s="3">
        <f>INT(sala!E288)</f>
        <v>45019</v>
      </c>
      <c r="E289" s="4">
        <f>MOD( sala!D288,1)</f>
        <v>0.15069444444088731</v>
      </c>
      <c r="F289" s="4">
        <f>MOD( sala!E288,1)</f>
        <v>0.19722222222480923</v>
      </c>
      <c r="G289" s="4">
        <f>Tabla5[[#This Row],[Hora de Salida]]-Tabla5[[#This Row],[Hora de Llegada]]+Tabla4[[#This Row],[Tiempo Extra]]</f>
        <v>4.652777778392192E-2</v>
      </c>
      <c r="H289" s="5" t="str">
        <f>TEXT(Tabla4[[#This Row],[Preparación en horas]]/1440, "h:mm")</f>
        <v>2:01</v>
      </c>
      <c r="I289" s="4">
        <f>IF(Tabla5[[#This Row],[Tiempo Permanencia]]-Tabla5[[#This Row],[Tiempo de Preparación ]]&gt;=0,Tabla5[[#This Row],[Tiempo Permanencia]]-Tabla5[[#This Row],[Tiempo de Preparación ]],0)</f>
        <v>0</v>
      </c>
      <c r="J289" s="5" t="str">
        <f>IF(Tabla5[[#This Row],[Tiempo de Degustación]]=0,"No Cobrada","Cobrada")</f>
        <v>No Cobrada</v>
      </c>
      <c r="K289" s="5" cm="1">
        <f t="array" ref="K289">SUM(IF(Tabla5[[#This Row],[Orden Cobrada]]="Cobrada",IF(Cocina!A:A=Tabla5[[#This Row],[Nº Orden]],Cocina!F:F*Cocina!G:G,0),-Tabla6[[#This Row],[Precio Cena]]))</f>
        <v>-202</v>
      </c>
      <c r="L289" s="5">
        <f>IF(Tabla5[[#This Row],[Orden Cobrada]]="Cobrada",Tabla5[[#This Row],[Ganancia Bruta]]-Tabla6[[#This Row],[Coste Cena]],-Tabla6[[#This Row],[Precio Cena]]+Tabla6[[#This Row],[Coste Cena]])</f>
        <v>-81</v>
      </c>
      <c r="M289" s="10">
        <f>IF(Tabla5[[#This Row],[Orden Cobrada]]="Cobrada",((Tabla5[[#This Row],[Ganancia Neta]]/Tabla5[[#This Row],[Ganancia Bruta]])*100)/100,-((Tabla5[[#This Row],[Ganancia Neta]]/Tabla5[[#This Row],[Ganancia Bruta]]*100)/100))</f>
        <v>-0.40099009900990107</v>
      </c>
      <c r="N289" s="5" t="str">
        <f>sala!F288</f>
        <v>Mesero_5</v>
      </c>
      <c r="AY289" cm="1">
        <f t="array" ref="AY289">SUM(IF(Cocina!A:A=Tabla5[[#This Row],[Nº Orden]],Cocina!F:F*Cocina!G:G,0))</f>
        <v>202</v>
      </c>
      <c r="AZ289" cm="1">
        <f t="array" ref="AZ289">SUM(IF(Cocina!A:A=Tabla5[[#This Row],[Nº Orden]],Cocina!E:E*Cocina!G:G,0))</f>
        <v>121</v>
      </c>
      <c r="BB289" t="str">
        <f>MID(Tabla4[[#This Row],[Cliente]], SEARCH("_", Tabla4[[#This Row],[Cliente]]) + 1, LEN(Tabla4[[#This Row],[Cliente]]) - SEARCH("_",Tabla4[[#This Row],[Cliente]]))</f>
        <v>286</v>
      </c>
      <c r="BC289" t="str">
        <f>sala!B288</f>
        <v>Cliente_286</v>
      </c>
      <c r="BD289" s="1">
        <f>sala!D288</f>
        <v>45019.150694444441</v>
      </c>
      <c r="BE289" s="1">
        <f>sala!E288</f>
        <v>45019.197222222225</v>
      </c>
      <c r="BF289">
        <f>sala!K288</f>
        <v>287</v>
      </c>
      <c r="BG289">
        <f>sala!I288</f>
        <v>3167</v>
      </c>
      <c r="BH289" cm="1">
        <f t="array" ref="BH289">SUM(IF(Cocina!A:A=Tabla4[[#This Row],[Número de Orden]],Cocina!F:F*Cocina!G:G,0))</f>
        <v>202</v>
      </c>
      <c r="BI289" t="str">
        <f>sala!J288</f>
        <v>Reservada</v>
      </c>
      <c r="BJ289" s="4" t="str">
        <f>IF(Tabla4[[#This Row],[Estado mesa]]="Ocupada","00:15","00:00")</f>
        <v>00:00</v>
      </c>
      <c r="BK289" cm="1">
        <f t="array" ref="BK289">SUM(IF(Cocina!A:A=Tabla4[[#This Row],[Número de Orden]],Cocina!H:H,0))</f>
        <v>121</v>
      </c>
    </row>
    <row r="290" spans="1:63" x14ac:dyDescent="0.3">
      <c r="A290" s="8" t="str">
        <f>MID(Tabla4[[#This Row],[Cliente]], SEARCH("_", Tabla4[[#This Row],[Cliente]]) + 1, LEN(Tabla4[[#This Row],[Cliente]]) - SEARCH("_",Tabla4[[#This Row],[Cliente]]))</f>
        <v>981</v>
      </c>
      <c r="B290">
        <f>sala!K289</f>
        <v>288</v>
      </c>
      <c r="C290">
        <f>Tabla4[[#This Row],[Propina]]+Tabla4[[#This Row],[Precio Cena]]</f>
        <v>219</v>
      </c>
      <c r="D290" s="3">
        <f>INT(sala!E289)</f>
        <v>45019</v>
      </c>
      <c r="E290" s="4">
        <f>MOD( sala!D289,1)</f>
        <v>8.8888888887595385E-2</v>
      </c>
      <c r="F290" s="4">
        <f>MOD( sala!E289,1)</f>
        <v>0.23124999999708962</v>
      </c>
      <c r="G290" s="4">
        <f>Tabla5[[#This Row],[Hora de Salida]]-Tabla5[[#This Row],[Hora de Llegada]]+Tabla4[[#This Row],[Tiempo Extra]]</f>
        <v>0.14236111110949423</v>
      </c>
      <c r="H290" s="5" t="str">
        <f>TEXT(Tabla4[[#This Row],[Preparación en horas]]/1440, "h:mm")</f>
        <v>0:38</v>
      </c>
      <c r="I290" s="4">
        <f>IF(Tabla5[[#This Row],[Tiempo Permanencia]]-Tabla5[[#This Row],[Tiempo de Preparación ]]&gt;=0,Tabla5[[#This Row],[Tiempo Permanencia]]-Tabla5[[#This Row],[Tiempo de Preparación ]],0)</f>
        <v>0.11597222222060534</v>
      </c>
      <c r="J290" s="5" t="str">
        <f>IF(Tabla5[[#This Row],[Tiempo de Degustación]]=0,"No Cobrada","Cobrada")</f>
        <v>Cobrada</v>
      </c>
      <c r="K290" s="5" cm="1">
        <f t="array" ref="K290">SUM(IF(Tabla5[[#This Row],[Orden Cobrada]]="Cobrada",IF(Cocina!A:A=Tabla5[[#This Row],[Nº Orden]],Cocina!F:F*Cocina!G:G,0),-Tabla6[[#This Row],[Precio Cena]]))</f>
        <v>86</v>
      </c>
      <c r="L290" s="5">
        <f>IF(Tabla5[[#This Row],[Orden Cobrada]]="Cobrada",Tabla5[[#This Row],[Ganancia Bruta]]-Tabla6[[#This Row],[Coste Cena]],-Tabla6[[#This Row],[Precio Cena]]+Tabla6[[#This Row],[Coste Cena]])</f>
        <v>36</v>
      </c>
      <c r="M290" s="10">
        <f>IF(Tabla5[[#This Row],[Orden Cobrada]]="Cobrada",((Tabla5[[#This Row],[Ganancia Neta]]/Tabla5[[#This Row],[Ganancia Bruta]])*100)/100,-((Tabla5[[#This Row],[Ganancia Neta]]/Tabla5[[#This Row],[Ganancia Bruta]]*100)/100))</f>
        <v>0.41860465116279072</v>
      </c>
      <c r="N290" s="5" t="str">
        <f>sala!F289</f>
        <v>Mesero_5</v>
      </c>
      <c r="AY290" cm="1">
        <f t="array" ref="AY290">SUM(IF(Cocina!A:A=Tabla5[[#This Row],[Nº Orden]],Cocina!F:F*Cocina!G:G,0))</f>
        <v>86</v>
      </c>
      <c r="AZ290" cm="1">
        <f t="array" ref="AZ290">SUM(IF(Cocina!A:A=Tabla5[[#This Row],[Nº Orden]],Cocina!E:E*Cocina!G:G,0))</f>
        <v>50</v>
      </c>
      <c r="BB290" t="str">
        <f>MID(Tabla4[[#This Row],[Cliente]], SEARCH("_", Tabla4[[#This Row],[Cliente]]) + 1, LEN(Tabla4[[#This Row],[Cliente]]) - SEARCH("_",Tabla4[[#This Row],[Cliente]]))</f>
        <v>981</v>
      </c>
      <c r="BC290" t="str">
        <f>sala!B289</f>
        <v>Cliente_981</v>
      </c>
      <c r="BD290" s="1">
        <f>sala!D289</f>
        <v>45019.088888888888</v>
      </c>
      <c r="BE290" s="1">
        <f>sala!E289</f>
        <v>45019.231249999997</v>
      </c>
      <c r="BF290">
        <f>sala!K289</f>
        <v>288</v>
      </c>
      <c r="BG290">
        <f>sala!I289</f>
        <v>133</v>
      </c>
      <c r="BH290" cm="1">
        <f t="array" ref="BH290">SUM(IF(Cocina!A:A=Tabla4[[#This Row],[Número de Orden]],Cocina!F:F*Cocina!G:G,0))</f>
        <v>86</v>
      </c>
      <c r="BI290" t="str">
        <f>sala!J289</f>
        <v>Reservada</v>
      </c>
      <c r="BJ290" s="4" t="str">
        <f>IF(Tabla4[[#This Row],[Estado mesa]]="Ocupada","00:15","00:00")</f>
        <v>00:00</v>
      </c>
      <c r="BK290" cm="1">
        <f t="array" ref="BK290">SUM(IF(Cocina!A:A=Tabla4[[#This Row],[Número de Orden]],Cocina!H:H,0))</f>
        <v>38</v>
      </c>
    </row>
    <row r="291" spans="1:63" x14ac:dyDescent="0.3">
      <c r="A291" s="8" t="str">
        <f>MID(Tabla4[[#This Row],[Cliente]], SEARCH("_", Tabla4[[#This Row],[Cliente]]) + 1, LEN(Tabla4[[#This Row],[Cliente]]) - SEARCH("_",Tabla4[[#This Row],[Cliente]]))</f>
        <v>24</v>
      </c>
      <c r="B291">
        <f>sala!K290</f>
        <v>289</v>
      </c>
      <c r="C291">
        <f>Tabla4[[#This Row],[Propina]]+Tabla4[[#This Row],[Precio Cena]]</f>
        <v>2794</v>
      </c>
      <c r="D291" s="3">
        <f>INT(sala!E290)</f>
        <v>45019</v>
      </c>
      <c r="E291" s="4">
        <f>MOD( sala!D290,1)</f>
        <v>0.13055555555911269</v>
      </c>
      <c r="F291" s="4">
        <f>MOD( sala!E290,1)</f>
        <v>0.26597222222335404</v>
      </c>
      <c r="G291" s="4">
        <f>Tabla5[[#This Row],[Hora de Salida]]-Tabla5[[#This Row],[Hora de Llegada]]+Tabla4[[#This Row],[Tiempo Extra]]</f>
        <v>0.13541666666424135</v>
      </c>
      <c r="H291" s="5" t="str">
        <f>TEXT(Tabla4[[#This Row],[Preparación en horas]]/1440, "h:mm")</f>
        <v>1:08</v>
      </c>
      <c r="I291" s="4">
        <f>IF(Tabla5[[#This Row],[Tiempo Permanencia]]-Tabla5[[#This Row],[Tiempo de Preparación ]]&gt;=0,Tabla5[[#This Row],[Tiempo Permanencia]]-Tabla5[[#This Row],[Tiempo de Preparación ]],0)</f>
        <v>8.8194444442019126E-2</v>
      </c>
      <c r="J291" s="5" t="str">
        <f>IF(Tabla5[[#This Row],[Tiempo de Degustación]]=0,"No Cobrada","Cobrada")</f>
        <v>Cobrada</v>
      </c>
      <c r="K291" s="5" cm="1">
        <f t="array" ref="K291">SUM(IF(Tabla5[[#This Row],[Orden Cobrada]]="Cobrada",IF(Cocina!A:A=Tabla5[[#This Row],[Nº Orden]],Cocina!F:F*Cocina!G:G,0),-Tabla6[[#This Row],[Precio Cena]]))</f>
        <v>138</v>
      </c>
      <c r="L291" s="5">
        <f>IF(Tabla5[[#This Row],[Orden Cobrada]]="Cobrada",Tabla5[[#This Row],[Ganancia Bruta]]-Tabla6[[#This Row],[Coste Cena]],-Tabla6[[#This Row],[Precio Cena]]+Tabla6[[#This Row],[Coste Cena]])</f>
        <v>57</v>
      </c>
      <c r="M291" s="10">
        <f>IF(Tabla5[[#This Row],[Orden Cobrada]]="Cobrada",((Tabla5[[#This Row],[Ganancia Neta]]/Tabla5[[#This Row],[Ganancia Bruta]])*100)/100,-((Tabla5[[#This Row],[Ganancia Neta]]/Tabla5[[#This Row],[Ganancia Bruta]]*100)/100))</f>
        <v>0.41304347826086951</v>
      </c>
      <c r="N291" s="5" t="str">
        <f>sala!F290</f>
        <v>Mesero_5</v>
      </c>
      <c r="AY291" cm="1">
        <f t="array" ref="AY291">SUM(IF(Cocina!A:A=Tabla5[[#This Row],[Nº Orden]],Cocina!F:F*Cocina!G:G,0))</f>
        <v>138</v>
      </c>
      <c r="AZ291" cm="1">
        <f t="array" ref="AZ291">SUM(IF(Cocina!A:A=Tabla5[[#This Row],[Nº Orden]],Cocina!E:E*Cocina!G:G,0))</f>
        <v>81</v>
      </c>
      <c r="BB291" t="str">
        <f>MID(Tabla4[[#This Row],[Cliente]], SEARCH("_", Tabla4[[#This Row],[Cliente]]) + 1, LEN(Tabla4[[#This Row],[Cliente]]) - SEARCH("_",Tabla4[[#This Row],[Cliente]]))</f>
        <v>24</v>
      </c>
      <c r="BC291" t="str">
        <f>sala!B290</f>
        <v>Cliente_24</v>
      </c>
      <c r="BD291" s="1">
        <f>sala!D290</f>
        <v>45019.130555555559</v>
      </c>
      <c r="BE291" s="1">
        <f>sala!E290</f>
        <v>45019.265972222223</v>
      </c>
      <c r="BF291">
        <f>sala!K290</f>
        <v>289</v>
      </c>
      <c r="BG291">
        <f>sala!I290</f>
        <v>2656</v>
      </c>
      <c r="BH291" cm="1">
        <f t="array" ref="BH291">SUM(IF(Cocina!A:A=Tabla4[[#This Row],[Número de Orden]],Cocina!F:F*Cocina!G:G,0))</f>
        <v>138</v>
      </c>
      <c r="BI291" t="str">
        <f>sala!J290</f>
        <v>Libre</v>
      </c>
      <c r="BJ291" s="4" t="str">
        <f>IF(Tabla4[[#This Row],[Estado mesa]]="Ocupada","00:15","00:00")</f>
        <v>00:00</v>
      </c>
      <c r="BK291" cm="1">
        <f t="array" ref="BK291">SUM(IF(Cocina!A:A=Tabla4[[#This Row],[Número de Orden]],Cocina!H:H,0))</f>
        <v>68</v>
      </c>
    </row>
    <row r="292" spans="1:63" x14ac:dyDescent="0.3">
      <c r="A292" s="8" t="str">
        <f>MID(Tabla4[[#This Row],[Cliente]], SEARCH("_", Tabla4[[#This Row],[Cliente]]) + 1, LEN(Tabla4[[#This Row],[Cliente]]) - SEARCH("_",Tabla4[[#This Row],[Cliente]]))</f>
        <v>26</v>
      </c>
      <c r="B292">
        <f>sala!K291</f>
        <v>290</v>
      </c>
      <c r="C292">
        <f>Tabla4[[#This Row],[Propina]]+Tabla4[[#This Row],[Precio Cena]]</f>
        <v>1499</v>
      </c>
      <c r="D292" s="3">
        <f>INT(sala!E291)</f>
        <v>45019</v>
      </c>
      <c r="E292" s="4">
        <f>MOD( sala!D291,1)</f>
        <v>8.7500000001455192E-2</v>
      </c>
      <c r="F292" s="4">
        <f>MOD( sala!E291,1)</f>
        <v>0.18958333333284827</v>
      </c>
      <c r="G292" s="4">
        <f>Tabla5[[#This Row],[Hora de Salida]]-Tabla5[[#This Row],[Hora de Llegada]]+Tabla4[[#This Row],[Tiempo Extra]]</f>
        <v>0.11249999999805975</v>
      </c>
      <c r="H292" s="5" t="str">
        <f>TEXT(Tabla4[[#This Row],[Preparación en horas]]/1440, "h:mm")</f>
        <v>0:57</v>
      </c>
      <c r="I292" s="4">
        <f>IF(Tabla5[[#This Row],[Tiempo Permanencia]]-Tabla5[[#This Row],[Tiempo de Preparación ]]&gt;=0,Tabla5[[#This Row],[Tiempo Permanencia]]-Tabla5[[#This Row],[Tiempo de Preparación ]],0)</f>
        <v>7.2916666664726418E-2</v>
      </c>
      <c r="J292" s="5" t="str">
        <f>IF(Tabla5[[#This Row],[Tiempo de Degustación]]=0,"No Cobrada","Cobrada")</f>
        <v>Cobrada</v>
      </c>
      <c r="K292" s="5" cm="1">
        <f t="array" ref="K292">SUM(IF(Tabla5[[#This Row],[Orden Cobrada]]="Cobrada",IF(Cocina!A:A=Tabla5[[#This Row],[Nº Orden]],Cocina!F:F*Cocina!G:G,0),-Tabla6[[#This Row],[Precio Cena]]))</f>
        <v>40</v>
      </c>
      <c r="L292" s="5">
        <f>IF(Tabla5[[#This Row],[Orden Cobrada]]="Cobrada",Tabla5[[#This Row],[Ganancia Bruta]]-Tabla6[[#This Row],[Coste Cena]],-Tabla6[[#This Row],[Precio Cena]]+Tabla6[[#This Row],[Coste Cena]])</f>
        <v>15</v>
      </c>
      <c r="M292" s="10">
        <f>IF(Tabla5[[#This Row],[Orden Cobrada]]="Cobrada",((Tabla5[[#This Row],[Ganancia Neta]]/Tabla5[[#This Row],[Ganancia Bruta]])*100)/100,-((Tabla5[[#This Row],[Ganancia Neta]]/Tabla5[[#This Row],[Ganancia Bruta]]*100)/100))</f>
        <v>0.375</v>
      </c>
      <c r="N292" s="5" t="str">
        <f>sala!F291</f>
        <v>Mesero_3</v>
      </c>
      <c r="AY292" cm="1">
        <f t="array" ref="AY292">SUM(IF(Cocina!A:A=Tabla5[[#This Row],[Nº Orden]],Cocina!F:F*Cocina!G:G,0))</f>
        <v>40</v>
      </c>
      <c r="AZ292" cm="1">
        <f t="array" ref="AZ292">SUM(IF(Cocina!A:A=Tabla5[[#This Row],[Nº Orden]],Cocina!E:E*Cocina!G:G,0))</f>
        <v>25</v>
      </c>
      <c r="BB292" t="str">
        <f>MID(Tabla4[[#This Row],[Cliente]], SEARCH("_", Tabla4[[#This Row],[Cliente]]) + 1, LEN(Tabla4[[#This Row],[Cliente]]) - SEARCH("_",Tabla4[[#This Row],[Cliente]]))</f>
        <v>26</v>
      </c>
      <c r="BC292" t="str">
        <f>sala!B291</f>
        <v>Cliente_26</v>
      </c>
      <c r="BD292" s="1">
        <f>sala!D291</f>
        <v>45019.087500000001</v>
      </c>
      <c r="BE292" s="1">
        <f>sala!E291</f>
        <v>45019.189583333333</v>
      </c>
      <c r="BF292">
        <f>sala!K291</f>
        <v>290</v>
      </c>
      <c r="BG292">
        <f>sala!I291</f>
        <v>1459</v>
      </c>
      <c r="BH292" cm="1">
        <f t="array" ref="BH292">SUM(IF(Cocina!A:A=Tabla4[[#This Row],[Número de Orden]],Cocina!F:F*Cocina!G:G,0))</f>
        <v>40</v>
      </c>
      <c r="BI292" t="str">
        <f>sala!J291</f>
        <v>Ocupada</v>
      </c>
      <c r="BJ292" s="4" t="str">
        <f>IF(Tabla4[[#This Row],[Estado mesa]]="Ocupada","00:15","00:00")</f>
        <v>00:15</v>
      </c>
      <c r="BK292" cm="1">
        <f t="array" ref="BK292">SUM(IF(Cocina!A:A=Tabla4[[#This Row],[Número de Orden]],Cocina!H:H,0))</f>
        <v>57</v>
      </c>
    </row>
    <row r="293" spans="1:63" x14ac:dyDescent="0.3">
      <c r="A293" s="8" t="str">
        <f>MID(Tabla4[[#This Row],[Cliente]], SEARCH("_", Tabla4[[#This Row],[Cliente]]) + 1, LEN(Tabla4[[#This Row],[Cliente]]) - SEARCH("_",Tabla4[[#This Row],[Cliente]]))</f>
        <v>463</v>
      </c>
      <c r="B293">
        <f>sala!K292</f>
        <v>291</v>
      </c>
      <c r="C293">
        <f>Tabla4[[#This Row],[Propina]]+Tabla4[[#This Row],[Precio Cena]]</f>
        <v>1804</v>
      </c>
      <c r="D293" s="3">
        <f>INT(sala!E292)</f>
        <v>45019</v>
      </c>
      <c r="E293" s="4">
        <f>MOD( sala!D292,1)</f>
        <v>0.13749999999708962</v>
      </c>
      <c r="F293" s="4">
        <f>MOD( sala!E292,1)</f>
        <v>0.25624999999854481</v>
      </c>
      <c r="G293" s="4">
        <f>Tabla5[[#This Row],[Hora de Salida]]-Tabla5[[#This Row],[Hora de Llegada]]+Tabla4[[#This Row],[Tiempo Extra]]</f>
        <v>0.12916666666812185</v>
      </c>
      <c r="H293" s="5" t="str">
        <f>TEXT(Tabla4[[#This Row],[Preparación en horas]]/1440, "h:mm")</f>
        <v>1:35</v>
      </c>
      <c r="I293" s="4">
        <f>IF(Tabla5[[#This Row],[Tiempo Permanencia]]-Tabla5[[#This Row],[Tiempo de Preparación ]]&gt;=0,Tabla5[[#This Row],[Tiempo Permanencia]]-Tabla5[[#This Row],[Tiempo de Preparación ]],0)</f>
        <v>6.3194444445899625E-2</v>
      </c>
      <c r="J293" s="5" t="str">
        <f>IF(Tabla5[[#This Row],[Tiempo de Degustación]]=0,"No Cobrada","Cobrada")</f>
        <v>Cobrada</v>
      </c>
      <c r="K293" s="5" cm="1">
        <f t="array" ref="K293">SUM(IF(Tabla5[[#This Row],[Orden Cobrada]]="Cobrada",IF(Cocina!A:A=Tabla5[[#This Row],[Nº Orden]],Cocina!F:F*Cocina!G:G,0),-Tabla6[[#This Row],[Precio Cena]]))</f>
        <v>260</v>
      </c>
      <c r="L293" s="5">
        <f>IF(Tabla5[[#This Row],[Orden Cobrada]]="Cobrada",Tabla5[[#This Row],[Ganancia Bruta]]-Tabla6[[#This Row],[Coste Cena]],-Tabla6[[#This Row],[Precio Cena]]+Tabla6[[#This Row],[Coste Cena]])</f>
        <v>104</v>
      </c>
      <c r="M293" s="10">
        <f>IF(Tabla5[[#This Row],[Orden Cobrada]]="Cobrada",((Tabla5[[#This Row],[Ganancia Neta]]/Tabla5[[#This Row],[Ganancia Bruta]])*100)/100,-((Tabla5[[#This Row],[Ganancia Neta]]/Tabla5[[#This Row],[Ganancia Bruta]]*100)/100))</f>
        <v>0.4</v>
      </c>
      <c r="N293" s="5" t="str">
        <f>sala!F292</f>
        <v>Mesero_2</v>
      </c>
      <c r="AY293" cm="1">
        <f t="array" ref="AY293">SUM(IF(Cocina!A:A=Tabla5[[#This Row],[Nº Orden]],Cocina!F:F*Cocina!G:G,0))</f>
        <v>260</v>
      </c>
      <c r="AZ293" cm="1">
        <f t="array" ref="AZ293">SUM(IF(Cocina!A:A=Tabla5[[#This Row],[Nº Orden]],Cocina!E:E*Cocina!G:G,0))</f>
        <v>156</v>
      </c>
      <c r="BB293" t="str">
        <f>MID(Tabla4[[#This Row],[Cliente]], SEARCH("_", Tabla4[[#This Row],[Cliente]]) + 1, LEN(Tabla4[[#This Row],[Cliente]]) - SEARCH("_",Tabla4[[#This Row],[Cliente]]))</f>
        <v>463</v>
      </c>
      <c r="BC293" t="str">
        <f>sala!B292</f>
        <v>Cliente_463</v>
      </c>
      <c r="BD293" s="1">
        <f>sala!D292</f>
        <v>45019.137499999997</v>
      </c>
      <c r="BE293" s="1">
        <f>sala!E292</f>
        <v>45019.256249999999</v>
      </c>
      <c r="BF293">
        <f>sala!K292</f>
        <v>291</v>
      </c>
      <c r="BG293">
        <f>sala!I292</f>
        <v>1544</v>
      </c>
      <c r="BH293" cm="1">
        <f t="array" ref="BH293">SUM(IF(Cocina!A:A=Tabla4[[#This Row],[Número de Orden]],Cocina!F:F*Cocina!G:G,0))</f>
        <v>260</v>
      </c>
      <c r="BI293" t="str">
        <f>sala!J292</f>
        <v>Ocupada</v>
      </c>
      <c r="BJ293" s="4" t="str">
        <f>IF(Tabla4[[#This Row],[Estado mesa]]="Ocupada","00:15","00:00")</f>
        <v>00:15</v>
      </c>
      <c r="BK293" cm="1">
        <f t="array" ref="BK293">SUM(IF(Cocina!A:A=Tabla4[[#This Row],[Número de Orden]],Cocina!H:H,0))</f>
        <v>95</v>
      </c>
    </row>
    <row r="294" spans="1:63" x14ac:dyDescent="0.3">
      <c r="A294" s="8" t="str">
        <f>MID(Tabla4[[#This Row],[Cliente]], SEARCH("_", Tabla4[[#This Row],[Cliente]]) + 1, LEN(Tabla4[[#This Row],[Cliente]]) - SEARCH("_",Tabla4[[#This Row],[Cliente]]))</f>
        <v>746</v>
      </c>
      <c r="B294">
        <f>sala!K293</f>
        <v>292</v>
      </c>
      <c r="C294">
        <f>Tabla4[[#This Row],[Propina]]+Tabla4[[#This Row],[Precio Cena]]</f>
        <v>3056</v>
      </c>
      <c r="D294" s="3">
        <f>INT(sala!E293)</f>
        <v>45019</v>
      </c>
      <c r="E294" s="4">
        <f>MOD( sala!D293,1)</f>
        <v>6.2499999985448085E-3</v>
      </c>
      <c r="F294" s="4">
        <f>MOD( sala!E293,1)</f>
        <v>7.7083333329937886E-2</v>
      </c>
      <c r="G294" s="4">
        <f>Tabla5[[#This Row],[Hora de Salida]]-Tabla5[[#This Row],[Hora de Llegada]]+Tabla4[[#This Row],[Tiempo Extra]]</f>
        <v>7.0833333331393078E-2</v>
      </c>
      <c r="H294" s="5" t="str">
        <f>TEXT(Tabla4[[#This Row],[Preparación en horas]]/1440, "h:mm")</f>
        <v>0:23</v>
      </c>
      <c r="I294" s="4">
        <f>IF(Tabla5[[#This Row],[Tiempo Permanencia]]-Tabla5[[#This Row],[Tiempo de Preparación ]]&gt;=0,Tabla5[[#This Row],[Tiempo Permanencia]]-Tabla5[[#This Row],[Tiempo de Preparación ]],0)</f>
        <v>5.4861111109170857E-2</v>
      </c>
      <c r="J294" s="5" t="str">
        <f>IF(Tabla5[[#This Row],[Tiempo de Degustación]]=0,"No Cobrada","Cobrada")</f>
        <v>Cobrada</v>
      </c>
      <c r="K294" s="5" cm="1">
        <f t="array" ref="K294">SUM(IF(Tabla5[[#This Row],[Orden Cobrada]]="Cobrada",IF(Cocina!A:A=Tabla5[[#This Row],[Nº Orden]],Cocina!F:F*Cocina!G:G,0),-Tabla6[[#This Row],[Precio Cena]]))</f>
        <v>84</v>
      </c>
      <c r="L294" s="5">
        <f>IF(Tabla5[[#This Row],[Orden Cobrada]]="Cobrada",Tabla5[[#This Row],[Ganancia Bruta]]-Tabla6[[#This Row],[Coste Cena]],-Tabla6[[#This Row],[Precio Cena]]+Tabla6[[#This Row],[Coste Cena]])</f>
        <v>36</v>
      </c>
      <c r="M294" s="10">
        <f>IF(Tabla5[[#This Row],[Orden Cobrada]]="Cobrada",((Tabla5[[#This Row],[Ganancia Neta]]/Tabla5[[#This Row],[Ganancia Bruta]])*100)/100,-((Tabla5[[#This Row],[Ganancia Neta]]/Tabla5[[#This Row],[Ganancia Bruta]]*100)/100))</f>
        <v>0.42857142857142855</v>
      </c>
      <c r="N294" s="5" t="str">
        <f>sala!F293</f>
        <v>Mesero_3</v>
      </c>
      <c r="AY294" cm="1">
        <f t="array" ref="AY294">SUM(IF(Cocina!A:A=Tabla5[[#This Row],[Nº Orden]],Cocina!F:F*Cocina!G:G,0))</f>
        <v>84</v>
      </c>
      <c r="AZ294" cm="1">
        <f t="array" ref="AZ294">SUM(IF(Cocina!A:A=Tabla5[[#This Row],[Nº Orden]],Cocina!E:E*Cocina!G:G,0))</f>
        <v>48</v>
      </c>
      <c r="BB294" t="str">
        <f>MID(Tabla4[[#This Row],[Cliente]], SEARCH("_", Tabla4[[#This Row],[Cliente]]) + 1, LEN(Tabla4[[#This Row],[Cliente]]) - SEARCH("_",Tabla4[[#This Row],[Cliente]]))</f>
        <v>746</v>
      </c>
      <c r="BC294" t="str">
        <f>sala!B293</f>
        <v>Cliente_746</v>
      </c>
      <c r="BD294" s="1">
        <f>sala!D293</f>
        <v>45019.006249999999</v>
      </c>
      <c r="BE294" s="1">
        <f>sala!E293</f>
        <v>45019.07708333333</v>
      </c>
      <c r="BF294">
        <f>sala!K293</f>
        <v>292</v>
      </c>
      <c r="BG294">
        <f>sala!I293</f>
        <v>2972</v>
      </c>
      <c r="BH294" cm="1">
        <f t="array" ref="BH294">SUM(IF(Cocina!A:A=Tabla4[[#This Row],[Número de Orden]],Cocina!F:F*Cocina!G:G,0))</f>
        <v>84</v>
      </c>
      <c r="BI294" t="str">
        <f>sala!J293</f>
        <v>Reservada</v>
      </c>
      <c r="BJ294" s="4" t="str">
        <f>IF(Tabla4[[#This Row],[Estado mesa]]="Ocupada","00:15","00:00")</f>
        <v>00:00</v>
      </c>
      <c r="BK294" cm="1">
        <f t="array" ref="BK294">SUM(IF(Cocina!A:A=Tabla4[[#This Row],[Número de Orden]],Cocina!H:H,0))</f>
        <v>23</v>
      </c>
    </row>
    <row r="295" spans="1:63" x14ac:dyDescent="0.3">
      <c r="A295" s="8" t="str">
        <f>MID(Tabla4[[#This Row],[Cliente]], SEARCH("_", Tabla4[[#This Row],[Cliente]]) + 1, LEN(Tabla4[[#This Row],[Cliente]]) - SEARCH("_",Tabla4[[#This Row],[Cliente]]))</f>
        <v>409</v>
      </c>
      <c r="B295">
        <f>sala!K294</f>
        <v>293</v>
      </c>
      <c r="C295">
        <f>Tabla4[[#This Row],[Propina]]+Tabla4[[#This Row],[Precio Cena]]</f>
        <v>3527</v>
      </c>
      <c r="D295" s="3">
        <f>INT(sala!E294)</f>
        <v>45019</v>
      </c>
      <c r="E295" s="4">
        <f>MOD( sala!D294,1)</f>
        <v>0.12152777778101154</v>
      </c>
      <c r="F295" s="4">
        <f>MOD( sala!E294,1)</f>
        <v>0.19097222221898846</v>
      </c>
      <c r="G295" s="4">
        <f>Tabla5[[#This Row],[Hora de Salida]]-Tabla5[[#This Row],[Hora de Llegada]]+Tabla4[[#This Row],[Tiempo Extra]]</f>
        <v>6.9444444437976927E-2</v>
      </c>
      <c r="H295" s="5" t="str">
        <f>TEXT(Tabla4[[#This Row],[Preparación en horas]]/1440, "h:mm")</f>
        <v>2:00</v>
      </c>
      <c r="I295" s="4">
        <f>IF(Tabla5[[#This Row],[Tiempo Permanencia]]-Tabla5[[#This Row],[Tiempo de Preparación ]]&gt;=0,Tabla5[[#This Row],[Tiempo Permanencia]]-Tabla5[[#This Row],[Tiempo de Preparación ]],0)</f>
        <v>0</v>
      </c>
      <c r="J295" s="5" t="str">
        <f>IF(Tabla5[[#This Row],[Tiempo de Degustación]]=0,"No Cobrada","Cobrada")</f>
        <v>No Cobrada</v>
      </c>
      <c r="K295" s="5" cm="1">
        <f t="array" ref="K295">SUM(IF(Tabla5[[#This Row],[Orden Cobrada]]="Cobrada",IF(Cocina!A:A=Tabla5[[#This Row],[Nº Orden]],Cocina!F:F*Cocina!G:G,0),-Tabla6[[#This Row],[Precio Cena]]))</f>
        <v>-216</v>
      </c>
      <c r="L295" s="5">
        <f>IF(Tabla5[[#This Row],[Orden Cobrada]]="Cobrada",Tabla5[[#This Row],[Ganancia Bruta]]-Tabla6[[#This Row],[Coste Cena]],-Tabla6[[#This Row],[Precio Cena]]+Tabla6[[#This Row],[Coste Cena]])</f>
        <v>-88</v>
      </c>
      <c r="M295" s="10">
        <f>IF(Tabla5[[#This Row],[Orden Cobrada]]="Cobrada",((Tabla5[[#This Row],[Ganancia Neta]]/Tabla5[[#This Row],[Ganancia Bruta]])*100)/100,-((Tabla5[[#This Row],[Ganancia Neta]]/Tabla5[[#This Row],[Ganancia Bruta]]*100)/100))</f>
        <v>-0.40740740740740738</v>
      </c>
      <c r="N295" s="5" t="str">
        <f>sala!F294</f>
        <v>Mesero_3</v>
      </c>
      <c r="AY295" cm="1">
        <f t="array" ref="AY295">SUM(IF(Cocina!A:A=Tabla5[[#This Row],[Nº Orden]],Cocina!F:F*Cocina!G:G,0))</f>
        <v>216</v>
      </c>
      <c r="AZ295" cm="1">
        <f t="array" ref="AZ295">SUM(IF(Cocina!A:A=Tabla5[[#This Row],[Nº Orden]],Cocina!E:E*Cocina!G:G,0))</f>
        <v>128</v>
      </c>
      <c r="BB295" t="str">
        <f>MID(Tabla4[[#This Row],[Cliente]], SEARCH("_", Tabla4[[#This Row],[Cliente]]) + 1, LEN(Tabla4[[#This Row],[Cliente]]) - SEARCH("_",Tabla4[[#This Row],[Cliente]]))</f>
        <v>409</v>
      </c>
      <c r="BC295" t="str">
        <f>sala!B294</f>
        <v>Cliente_409</v>
      </c>
      <c r="BD295" s="1">
        <f>sala!D294</f>
        <v>45019.121527777781</v>
      </c>
      <c r="BE295" s="1">
        <f>sala!E294</f>
        <v>45019.190972222219</v>
      </c>
      <c r="BF295">
        <f>sala!K294</f>
        <v>293</v>
      </c>
      <c r="BG295">
        <f>sala!I294</f>
        <v>3311</v>
      </c>
      <c r="BH295" cm="1">
        <f t="array" ref="BH295">SUM(IF(Cocina!A:A=Tabla4[[#This Row],[Número de Orden]],Cocina!F:F*Cocina!G:G,0))</f>
        <v>216</v>
      </c>
      <c r="BI295" t="str">
        <f>sala!J294</f>
        <v>Reservada</v>
      </c>
      <c r="BJ295" s="4" t="str">
        <f>IF(Tabla4[[#This Row],[Estado mesa]]="Ocupada","00:15","00:00")</f>
        <v>00:00</v>
      </c>
      <c r="BK295" cm="1">
        <f t="array" ref="BK295">SUM(IF(Cocina!A:A=Tabla4[[#This Row],[Número de Orden]],Cocina!H:H,0))</f>
        <v>120</v>
      </c>
    </row>
    <row r="296" spans="1:63" x14ac:dyDescent="0.3">
      <c r="A296" s="8" t="str">
        <f>MID(Tabla4[[#This Row],[Cliente]], SEARCH("_", Tabla4[[#This Row],[Cliente]]) + 1, LEN(Tabla4[[#This Row],[Cliente]]) - SEARCH("_",Tabla4[[#This Row],[Cliente]]))</f>
        <v>339</v>
      </c>
      <c r="B296">
        <f>sala!K295</f>
        <v>294</v>
      </c>
      <c r="C296">
        <f>Tabla4[[#This Row],[Propina]]+Tabla4[[#This Row],[Precio Cena]]</f>
        <v>2362</v>
      </c>
      <c r="D296" s="3">
        <f>INT(sala!E295)</f>
        <v>45019</v>
      </c>
      <c r="E296" s="4">
        <f>MOD( sala!D295,1)</f>
        <v>1.8055555556202307E-2</v>
      </c>
      <c r="F296" s="4">
        <f>MOD( sala!E295,1)</f>
        <v>0.16458333333139308</v>
      </c>
      <c r="G296" s="4">
        <f>Tabla5[[#This Row],[Hora de Salida]]-Tabla5[[#This Row],[Hora de Llegada]]+Tabla4[[#This Row],[Tiempo Extra]]</f>
        <v>0.14652777777519077</v>
      </c>
      <c r="H296" s="5" t="str">
        <f>TEXT(Tabla4[[#This Row],[Preparación en horas]]/1440, "h:mm")</f>
        <v>1:26</v>
      </c>
      <c r="I296" s="4">
        <f>IF(Tabla5[[#This Row],[Tiempo Permanencia]]-Tabla5[[#This Row],[Tiempo de Preparación ]]&gt;=0,Tabla5[[#This Row],[Tiempo Permanencia]]-Tabla5[[#This Row],[Tiempo de Preparación ]],0)</f>
        <v>8.6805555552968539E-2</v>
      </c>
      <c r="J296" s="5" t="str">
        <f>IF(Tabla5[[#This Row],[Tiempo de Degustación]]=0,"No Cobrada","Cobrada")</f>
        <v>Cobrada</v>
      </c>
      <c r="K296" s="5" cm="1">
        <f t="array" ref="K296">SUM(IF(Tabla5[[#This Row],[Orden Cobrada]]="Cobrada",IF(Cocina!A:A=Tabla5[[#This Row],[Nº Orden]],Cocina!F:F*Cocina!G:G,0),-Tabla6[[#This Row],[Precio Cena]]))</f>
        <v>326</v>
      </c>
      <c r="L296" s="5">
        <f>IF(Tabla5[[#This Row],[Orden Cobrada]]="Cobrada",Tabla5[[#This Row],[Ganancia Bruta]]-Tabla6[[#This Row],[Coste Cena]],-Tabla6[[#This Row],[Precio Cena]]+Tabla6[[#This Row],[Coste Cena]])</f>
        <v>132</v>
      </c>
      <c r="M296" s="10">
        <f>IF(Tabla5[[#This Row],[Orden Cobrada]]="Cobrada",((Tabla5[[#This Row],[Ganancia Neta]]/Tabla5[[#This Row],[Ganancia Bruta]])*100)/100,-((Tabla5[[#This Row],[Ganancia Neta]]/Tabla5[[#This Row],[Ganancia Bruta]]*100)/100))</f>
        <v>0.40490797546012269</v>
      </c>
      <c r="N296" s="5" t="str">
        <f>sala!F295</f>
        <v>Mesero_2</v>
      </c>
      <c r="AY296" cm="1">
        <f t="array" ref="AY296">SUM(IF(Cocina!A:A=Tabla5[[#This Row],[Nº Orden]],Cocina!F:F*Cocina!G:G,0))</f>
        <v>326</v>
      </c>
      <c r="AZ296" cm="1">
        <f t="array" ref="AZ296">SUM(IF(Cocina!A:A=Tabla5[[#This Row],[Nº Orden]],Cocina!E:E*Cocina!G:G,0))</f>
        <v>194</v>
      </c>
      <c r="BB296" t="str">
        <f>MID(Tabla4[[#This Row],[Cliente]], SEARCH("_", Tabla4[[#This Row],[Cliente]]) + 1, LEN(Tabla4[[#This Row],[Cliente]]) - SEARCH("_",Tabla4[[#This Row],[Cliente]]))</f>
        <v>339</v>
      </c>
      <c r="BC296" t="str">
        <f>sala!B295</f>
        <v>Cliente_339</v>
      </c>
      <c r="BD296" s="1">
        <f>sala!D295</f>
        <v>45019.018055555556</v>
      </c>
      <c r="BE296" s="1">
        <f>sala!E295</f>
        <v>45019.164583333331</v>
      </c>
      <c r="BF296">
        <f>sala!K295</f>
        <v>294</v>
      </c>
      <c r="BG296">
        <f>sala!I295</f>
        <v>2036</v>
      </c>
      <c r="BH296" cm="1">
        <f t="array" ref="BH296">SUM(IF(Cocina!A:A=Tabla4[[#This Row],[Número de Orden]],Cocina!F:F*Cocina!G:G,0))</f>
        <v>326</v>
      </c>
      <c r="BI296" t="str">
        <f>sala!J295</f>
        <v>Libre</v>
      </c>
      <c r="BJ296" s="4" t="str">
        <f>IF(Tabla4[[#This Row],[Estado mesa]]="Ocupada","00:15","00:00")</f>
        <v>00:00</v>
      </c>
      <c r="BK296" cm="1">
        <f t="array" ref="BK296">SUM(IF(Cocina!A:A=Tabla4[[#This Row],[Número de Orden]],Cocina!H:H,0))</f>
        <v>86</v>
      </c>
    </row>
    <row r="297" spans="1:63" x14ac:dyDescent="0.3">
      <c r="A297" s="8" t="str">
        <f>MID(Tabla4[[#This Row],[Cliente]], SEARCH("_", Tabla4[[#This Row],[Cliente]]) + 1, LEN(Tabla4[[#This Row],[Cliente]]) - SEARCH("_",Tabla4[[#This Row],[Cliente]]))</f>
        <v>729</v>
      </c>
      <c r="B297">
        <f>sala!K296</f>
        <v>295</v>
      </c>
      <c r="C297">
        <f>Tabla4[[#This Row],[Propina]]+Tabla4[[#This Row],[Precio Cena]]</f>
        <v>4889</v>
      </c>
      <c r="D297" s="3">
        <f>INT(sala!E296)</f>
        <v>45019</v>
      </c>
      <c r="E297" s="4">
        <f>MOD( sala!D296,1)</f>
        <v>6.9444444452528842E-3</v>
      </c>
      <c r="F297" s="4">
        <f>MOD( sala!E296,1)</f>
        <v>8.4027777775190771E-2</v>
      </c>
      <c r="G297" s="4">
        <f>Tabla5[[#This Row],[Hora de Salida]]-Tabla5[[#This Row],[Hora de Llegada]]+Tabla4[[#This Row],[Tiempo Extra]]</f>
        <v>7.7083333329937886E-2</v>
      </c>
      <c r="H297" s="5" t="str">
        <f>TEXT(Tabla4[[#This Row],[Preparación en horas]]/1440, "h:mm")</f>
        <v>2:57</v>
      </c>
      <c r="I297" s="4">
        <f>IF(Tabla5[[#This Row],[Tiempo Permanencia]]-Tabla5[[#This Row],[Tiempo de Preparación ]]&gt;=0,Tabla5[[#This Row],[Tiempo Permanencia]]-Tabla5[[#This Row],[Tiempo de Preparación ]],0)</f>
        <v>0</v>
      </c>
      <c r="J297" s="5" t="str">
        <f>IF(Tabla5[[#This Row],[Tiempo de Degustación]]=0,"No Cobrada","Cobrada")</f>
        <v>No Cobrada</v>
      </c>
      <c r="K297" s="5" cm="1">
        <f t="array" ref="K297">SUM(IF(Tabla5[[#This Row],[Orden Cobrada]]="Cobrada",IF(Cocina!A:A=Tabla5[[#This Row],[Nº Orden]],Cocina!F:F*Cocina!G:G,0),-Tabla6[[#This Row],[Precio Cena]]))</f>
        <v>-247</v>
      </c>
      <c r="L297" s="5">
        <f>IF(Tabla5[[#This Row],[Orden Cobrada]]="Cobrada",Tabla5[[#This Row],[Ganancia Bruta]]-Tabla6[[#This Row],[Coste Cena]],-Tabla6[[#This Row],[Precio Cena]]+Tabla6[[#This Row],[Coste Cena]])</f>
        <v>-97</v>
      </c>
      <c r="M297" s="10">
        <f>IF(Tabla5[[#This Row],[Orden Cobrada]]="Cobrada",((Tabla5[[#This Row],[Ganancia Neta]]/Tabla5[[#This Row],[Ganancia Bruta]])*100)/100,-((Tabla5[[#This Row],[Ganancia Neta]]/Tabla5[[#This Row],[Ganancia Bruta]]*100)/100))</f>
        <v>-0.39271255060728744</v>
      </c>
      <c r="N297" s="5" t="str">
        <f>sala!F296</f>
        <v>Mesero_2</v>
      </c>
      <c r="AY297" cm="1">
        <f t="array" ref="AY297">SUM(IF(Cocina!A:A=Tabla5[[#This Row],[Nº Orden]],Cocina!F:F*Cocina!G:G,0))</f>
        <v>247</v>
      </c>
      <c r="AZ297" cm="1">
        <f t="array" ref="AZ297">SUM(IF(Cocina!A:A=Tabla5[[#This Row],[Nº Orden]],Cocina!E:E*Cocina!G:G,0))</f>
        <v>150</v>
      </c>
      <c r="BB297" t="str">
        <f>MID(Tabla4[[#This Row],[Cliente]], SEARCH("_", Tabla4[[#This Row],[Cliente]]) + 1, LEN(Tabla4[[#This Row],[Cliente]]) - SEARCH("_",Tabla4[[#This Row],[Cliente]]))</f>
        <v>729</v>
      </c>
      <c r="BC297" t="str">
        <f>sala!B296</f>
        <v>Cliente_729</v>
      </c>
      <c r="BD297" s="1">
        <f>sala!D296</f>
        <v>45019.006944444445</v>
      </c>
      <c r="BE297" s="1">
        <f>sala!E296</f>
        <v>45019.084027777775</v>
      </c>
      <c r="BF297">
        <f>sala!K296</f>
        <v>295</v>
      </c>
      <c r="BG297">
        <f>sala!I296</f>
        <v>4642</v>
      </c>
      <c r="BH297" cm="1">
        <f t="array" ref="BH297">SUM(IF(Cocina!A:A=Tabla4[[#This Row],[Número de Orden]],Cocina!F:F*Cocina!G:G,0))</f>
        <v>247</v>
      </c>
      <c r="BI297" t="str">
        <f>sala!J296</f>
        <v>Reservada</v>
      </c>
      <c r="BJ297" s="4" t="str">
        <f>IF(Tabla4[[#This Row],[Estado mesa]]="Ocupada","00:15","00:00")</f>
        <v>00:00</v>
      </c>
      <c r="BK297" cm="1">
        <f t="array" ref="BK297">SUM(IF(Cocina!A:A=Tabla4[[#This Row],[Número de Orden]],Cocina!H:H,0))</f>
        <v>177</v>
      </c>
    </row>
    <row r="298" spans="1:63" x14ac:dyDescent="0.3">
      <c r="A298" s="8" t="str">
        <f>MID(Tabla4[[#This Row],[Cliente]], SEARCH("_", Tabla4[[#This Row],[Cliente]]) + 1, LEN(Tabla4[[#This Row],[Cliente]]) - SEARCH("_",Tabla4[[#This Row],[Cliente]]))</f>
        <v>565</v>
      </c>
      <c r="B298">
        <f>sala!K297</f>
        <v>296</v>
      </c>
      <c r="C298">
        <f>Tabla4[[#This Row],[Propina]]+Tabla4[[#This Row],[Precio Cena]]</f>
        <v>2966</v>
      </c>
      <c r="D298" s="3">
        <f>INT(sala!E297)</f>
        <v>45019</v>
      </c>
      <c r="E298" s="4">
        <f>MOD( sala!D297,1)</f>
        <v>0.11736111110803904</v>
      </c>
      <c r="F298" s="4">
        <f>MOD( sala!E297,1)</f>
        <v>0.24861111111385981</v>
      </c>
      <c r="G298" s="4">
        <f>Tabla5[[#This Row],[Hora de Salida]]-Tabla5[[#This Row],[Hora de Llegada]]+Tabla4[[#This Row],[Tiempo Extra]]</f>
        <v>0.14166666667248742</v>
      </c>
      <c r="H298" s="5" t="str">
        <f>TEXT(Tabla4[[#This Row],[Preparación en horas]]/1440, "h:mm")</f>
        <v>0:46</v>
      </c>
      <c r="I298" s="4">
        <f>IF(Tabla5[[#This Row],[Tiempo Permanencia]]-Tabla5[[#This Row],[Tiempo de Preparación ]]&gt;=0,Tabla5[[#This Row],[Tiempo Permanencia]]-Tabla5[[#This Row],[Tiempo de Preparación ]],0)</f>
        <v>0.10972222222804298</v>
      </c>
      <c r="J298" s="5" t="str">
        <f>IF(Tabla5[[#This Row],[Tiempo de Degustación]]=0,"No Cobrada","Cobrada")</f>
        <v>Cobrada</v>
      </c>
      <c r="K298" s="5" cm="1">
        <f t="array" ref="K298">SUM(IF(Tabla5[[#This Row],[Orden Cobrada]]="Cobrada",IF(Cocina!A:A=Tabla5[[#This Row],[Nº Orden]],Cocina!F:F*Cocina!G:G,0),-Tabla6[[#This Row],[Precio Cena]]))</f>
        <v>59</v>
      </c>
      <c r="L298" s="5">
        <f>IF(Tabla5[[#This Row],[Orden Cobrada]]="Cobrada",Tabla5[[#This Row],[Ganancia Bruta]]-Tabla6[[#This Row],[Coste Cena]],-Tabla6[[#This Row],[Precio Cena]]+Tabla6[[#This Row],[Coste Cena]])</f>
        <v>23</v>
      </c>
      <c r="M298" s="10">
        <f>IF(Tabla5[[#This Row],[Orden Cobrada]]="Cobrada",((Tabla5[[#This Row],[Ganancia Neta]]/Tabla5[[#This Row],[Ganancia Bruta]])*100)/100,-((Tabla5[[#This Row],[Ganancia Neta]]/Tabla5[[#This Row],[Ganancia Bruta]]*100)/100))</f>
        <v>0.38983050847457629</v>
      </c>
      <c r="N298" s="5" t="str">
        <f>sala!F297</f>
        <v>Mesero_2</v>
      </c>
      <c r="AY298" cm="1">
        <f t="array" ref="AY298">SUM(IF(Cocina!A:A=Tabla5[[#This Row],[Nº Orden]],Cocina!F:F*Cocina!G:G,0))</f>
        <v>59</v>
      </c>
      <c r="AZ298" cm="1">
        <f t="array" ref="AZ298">SUM(IF(Cocina!A:A=Tabla5[[#This Row],[Nº Orden]],Cocina!E:E*Cocina!G:G,0))</f>
        <v>36</v>
      </c>
      <c r="BB298" t="str">
        <f>MID(Tabla4[[#This Row],[Cliente]], SEARCH("_", Tabla4[[#This Row],[Cliente]]) + 1, LEN(Tabla4[[#This Row],[Cliente]]) - SEARCH("_",Tabla4[[#This Row],[Cliente]]))</f>
        <v>565</v>
      </c>
      <c r="BC298" t="str">
        <f>sala!B297</f>
        <v>Cliente_565</v>
      </c>
      <c r="BD298" s="1">
        <f>sala!D297</f>
        <v>45019.117361111108</v>
      </c>
      <c r="BE298" s="1">
        <f>sala!E297</f>
        <v>45019.248611111114</v>
      </c>
      <c r="BF298">
        <f>sala!K297</f>
        <v>296</v>
      </c>
      <c r="BG298">
        <f>sala!I297</f>
        <v>2907</v>
      </c>
      <c r="BH298" cm="1">
        <f t="array" ref="BH298">SUM(IF(Cocina!A:A=Tabla4[[#This Row],[Número de Orden]],Cocina!F:F*Cocina!G:G,0))</f>
        <v>59</v>
      </c>
      <c r="BI298" t="str">
        <f>sala!J297</f>
        <v>Ocupada</v>
      </c>
      <c r="BJ298" s="4" t="str">
        <f>IF(Tabla4[[#This Row],[Estado mesa]]="Ocupada","00:15","00:00")</f>
        <v>00:15</v>
      </c>
      <c r="BK298" cm="1">
        <f t="array" ref="BK298">SUM(IF(Cocina!A:A=Tabla4[[#This Row],[Número de Orden]],Cocina!H:H,0))</f>
        <v>46</v>
      </c>
    </row>
    <row r="299" spans="1:63" x14ac:dyDescent="0.3">
      <c r="A299" s="8" t="str">
        <f>MID(Tabla4[[#This Row],[Cliente]], SEARCH("_", Tabla4[[#This Row],[Cliente]]) + 1, LEN(Tabla4[[#This Row],[Cliente]]) - SEARCH("_",Tabla4[[#This Row],[Cliente]]))</f>
        <v>873</v>
      </c>
      <c r="B299">
        <f>sala!K298</f>
        <v>297</v>
      </c>
      <c r="C299">
        <f>Tabla4[[#This Row],[Propina]]+Tabla4[[#This Row],[Precio Cena]]</f>
        <v>4521</v>
      </c>
      <c r="D299" s="3">
        <f>INT(sala!E298)</f>
        <v>45019</v>
      </c>
      <c r="E299" s="4">
        <f>MOD( sala!D298,1)</f>
        <v>4.3749999997089617E-2</v>
      </c>
      <c r="F299" s="4">
        <f>MOD( sala!E298,1)</f>
        <v>0.18541666666715173</v>
      </c>
      <c r="G299" s="4">
        <f>Tabla5[[#This Row],[Hora de Salida]]-Tabla5[[#This Row],[Hora de Llegada]]+Tabla4[[#This Row],[Tiempo Extra]]</f>
        <v>0.15208333333672877</v>
      </c>
      <c r="H299" s="5" t="str">
        <f>TEXT(Tabla4[[#This Row],[Preparación en horas]]/1440, "h:mm")</f>
        <v>1:52</v>
      </c>
      <c r="I299" s="4">
        <f>IF(Tabla5[[#This Row],[Tiempo Permanencia]]-Tabla5[[#This Row],[Tiempo de Preparación ]]&gt;=0,Tabla5[[#This Row],[Tiempo Permanencia]]-Tabla5[[#This Row],[Tiempo de Preparación ]],0)</f>
        <v>7.4305555558950992E-2</v>
      </c>
      <c r="J299" s="5" t="str">
        <f>IF(Tabla5[[#This Row],[Tiempo de Degustación]]=0,"No Cobrada","Cobrada")</f>
        <v>Cobrada</v>
      </c>
      <c r="K299" s="5" cm="1">
        <f t="array" ref="K299">SUM(IF(Tabla5[[#This Row],[Orden Cobrada]]="Cobrada",IF(Cocina!A:A=Tabla5[[#This Row],[Nº Orden]],Cocina!F:F*Cocina!G:G,0),-Tabla6[[#This Row],[Precio Cena]]))</f>
        <v>175</v>
      </c>
      <c r="L299" s="5">
        <f>IF(Tabla5[[#This Row],[Orden Cobrada]]="Cobrada",Tabla5[[#This Row],[Ganancia Bruta]]-Tabla6[[#This Row],[Coste Cena]],-Tabla6[[#This Row],[Precio Cena]]+Tabla6[[#This Row],[Coste Cena]])</f>
        <v>72</v>
      </c>
      <c r="M299" s="10">
        <f>IF(Tabla5[[#This Row],[Orden Cobrada]]="Cobrada",((Tabla5[[#This Row],[Ganancia Neta]]/Tabla5[[#This Row],[Ganancia Bruta]])*100)/100,-((Tabla5[[#This Row],[Ganancia Neta]]/Tabla5[[#This Row],[Ganancia Bruta]]*100)/100))</f>
        <v>0.41142857142857137</v>
      </c>
      <c r="N299" s="5" t="str">
        <f>sala!F298</f>
        <v>Mesero_1</v>
      </c>
      <c r="AY299" cm="1">
        <f t="array" ref="AY299">SUM(IF(Cocina!A:A=Tabla5[[#This Row],[Nº Orden]],Cocina!F:F*Cocina!G:G,0))</f>
        <v>175</v>
      </c>
      <c r="AZ299" cm="1">
        <f t="array" ref="AZ299">SUM(IF(Cocina!A:A=Tabla5[[#This Row],[Nº Orden]],Cocina!E:E*Cocina!G:G,0))</f>
        <v>103</v>
      </c>
      <c r="BB299" t="str">
        <f>MID(Tabla4[[#This Row],[Cliente]], SEARCH("_", Tabla4[[#This Row],[Cliente]]) + 1, LEN(Tabla4[[#This Row],[Cliente]]) - SEARCH("_",Tabla4[[#This Row],[Cliente]]))</f>
        <v>873</v>
      </c>
      <c r="BC299" t="str">
        <f>sala!B298</f>
        <v>Cliente_873</v>
      </c>
      <c r="BD299" s="1">
        <f>sala!D298</f>
        <v>45019.043749999997</v>
      </c>
      <c r="BE299" s="1">
        <f>sala!E298</f>
        <v>45019.185416666667</v>
      </c>
      <c r="BF299">
        <f>sala!K298</f>
        <v>297</v>
      </c>
      <c r="BG299">
        <f>sala!I298</f>
        <v>4346</v>
      </c>
      <c r="BH299" cm="1">
        <f t="array" ref="BH299">SUM(IF(Cocina!A:A=Tabla4[[#This Row],[Número de Orden]],Cocina!F:F*Cocina!G:G,0))</f>
        <v>175</v>
      </c>
      <c r="BI299" t="str">
        <f>sala!J298</f>
        <v>Ocupada</v>
      </c>
      <c r="BJ299" s="4" t="str">
        <f>IF(Tabla4[[#This Row],[Estado mesa]]="Ocupada","00:15","00:00")</f>
        <v>00:15</v>
      </c>
      <c r="BK299" cm="1">
        <f t="array" ref="BK299">SUM(IF(Cocina!A:A=Tabla4[[#This Row],[Número de Orden]],Cocina!H:H,0))</f>
        <v>112</v>
      </c>
    </row>
    <row r="300" spans="1:63" x14ac:dyDescent="0.3">
      <c r="A300" s="8" t="str">
        <f>MID(Tabla4[[#This Row],[Cliente]], SEARCH("_", Tabla4[[#This Row],[Cliente]]) + 1, LEN(Tabla4[[#This Row],[Cliente]]) - SEARCH("_",Tabla4[[#This Row],[Cliente]]))</f>
        <v>195</v>
      </c>
      <c r="B300">
        <f>sala!K299</f>
        <v>298</v>
      </c>
      <c r="C300">
        <f>Tabla4[[#This Row],[Propina]]+Tabla4[[#This Row],[Precio Cena]]</f>
        <v>2579</v>
      </c>
      <c r="D300" s="3">
        <f>INT(sala!E299)</f>
        <v>45019</v>
      </c>
      <c r="E300" s="4">
        <f>MOD( sala!D299,1)</f>
        <v>0.13472222222480923</v>
      </c>
      <c r="F300" s="4">
        <f>MOD( sala!E299,1)</f>
        <v>0.22847222222480923</v>
      </c>
      <c r="G300" s="4">
        <f>Tabla5[[#This Row],[Hora de Salida]]-Tabla5[[#This Row],[Hora de Llegada]]+Tabla4[[#This Row],[Tiempo Extra]]</f>
        <v>9.375E-2</v>
      </c>
      <c r="H300" s="5" t="str">
        <f>TEXT(Tabla4[[#This Row],[Preparación en horas]]/1440, "h:mm")</f>
        <v>2:21</v>
      </c>
      <c r="I300" s="4">
        <f>IF(Tabla5[[#This Row],[Tiempo Permanencia]]-Tabla5[[#This Row],[Tiempo de Preparación ]]&gt;=0,Tabla5[[#This Row],[Tiempo Permanencia]]-Tabla5[[#This Row],[Tiempo de Preparación ]],0)</f>
        <v>0</v>
      </c>
      <c r="J300" s="5" t="str">
        <f>IF(Tabla5[[#This Row],[Tiempo de Degustación]]=0,"No Cobrada","Cobrada")</f>
        <v>No Cobrada</v>
      </c>
      <c r="K300" s="5" cm="1">
        <f t="array" ref="K300">SUM(IF(Tabla5[[#This Row],[Orden Cobrada]]="Cobrada",IF(Cocina!A:A=Tabla5[[#This Row],[Nº Orden]],Cocina!F:F*Cocina!G:G,0),-Tabla6[[#This Row],[Precio Cena]]))</f>
        <v>-255</v>
      </c>
      <c r="L300" s="5">
        <f>IF(Tabla5[[#This Row],[Orden Cobrada]]="Cobrada",Tabla5[[#This Row],[Ganancia Bruta]]-Tabla6[[#This Row],[Coste Cena]],-Tabla6[[#This Row],[Precio Cena]]+Tabla6[[#This Row],[Coste Cena]])</f>
        <v>-102</v>
      </c>
      <c r="M300" s="10">
        <f>IF(Tabla5[[#This Row],[Orden Cobrada]]="Cobrada",((Tabla5[[#This Row],[Ganancia Neta]]/Tabla5[[#This Row],[Ganancia Bruta]])*100)/100,-((Tabla5[[#This Row],[Ganancia Neta]]/Tabla5[[#This Row],[Ganancia Bruta]]*100)/100))</f>
        <v>-0.4</v>
      </c>
      <c r="N300" s="5" t="str">
        <f>sala!F299</f>
        <v>Mesero_5</v>
      </c>
      <c r="AY300" cm="1">
        <f t="array" ref="AY300">SUM(IF(Cocina!A:A=Tabla5[[#This Row],[Nº Orden]],Cocina!F:F*Cocina!G:G,0))</f>
        <v>255</v>
      </c>
      <c r="AZ300" cm="1">
        <f t="array" ref="AZ300">SUM(IF(Cocina!A:A=Tabla5[[#This Row],[Nº Orden]],Cocina!E:E*Cocina!G:G,0))</f>
        <v>153</v>
      </c>
      <c r="BB300" t="str">
        <f>MID(Tabla4[[#This Row],[Cliente]], SEARCH("_", Tabla4[[#This Row],[Cliente]]) + 1, LEN(Tabla4[[#This Row],[Cliente]]) - SEARCH("_",Tabla4[[#This Row],[Cliente]]))</f>
        <v>195</v>
      </c>
      <c r="BC300" t="str">
        <f>sala!B299</f>
        <v>Cliente_195</v>
      </c>
      <c r="BD300" s="1">
        <f>sala!D299</f>
        <v>45019.134722222225</v>
      </c>
      <c r="BE300" s="1">
        <f>sala!E299</f>
        <v>45019.228472222225</v>
      </c>
      <c r="BF300">
        <f>sala!K299</f>
        <v>298</v>
      </c>
      <c r="BG300">
        <f>sala!I299</f>
        <v>2324</v>
      </c>
      <c r="BH300" cm="1">
        <f t="array" ref="BH300">SUM(IF(Cocina!A:A=Tabla4[[#This Row],[Número de Orden]],Cocina!F:F*Cocina!G:G,0))</f>
        <v>255</v>
      </c>
      <c r="BI300" t="str">
        <f>sala!J299</f>
        <v>Reservada</v>
      </c>
      <c r="BJ300" s="4" t="str">
        <f>IF(Tabla4[[#This Row],[Estado mesa]]="Ocupada","00:15","00:00")</f>
        <v>00:00</v>
      </c>
      <c r="BK300" cm="1">
        <f t="array" ref="BK300">SUM(IF(Cocina!A:A=Tabla4[[#This Row],[Número de Orden]],Cocina!H:H,0))</f>
        <v>141</v>
      </c>
    </row>
    <row r="301" spans="1:63" x14ac:dyDescent="0.3">
      <c r="A301" s="8" t="str">
        <f>MID(Tabla4[[#This Row],[Cliente]], SEARCH("_", Tabla4[[#This Row],[Cliente]]) + 1, LEN(Tabla4[[#This Row],[Cliente]]) - SEARCH("_",Tabla4[[#This Row],[Cliente]]))</f>
        <v>211</v>
      </c>
      <c r="B301">
        <f>sala!K300</f>
        <v>299</v>
      </c>
      <c r="C301">
        <f>Tabla4[[#This Row],[Propina]]+Tabla4[[#This Row],[Precio Cena]]</f>
        <v>3150</v>
      </c>
      <c r="D301" s="3">
        <f>INT(sala!E300)</f>
        <v>45019</v>
      </c>
      <c r="E301" s="4">
        <f>MOD( sala!D300,1)</f>
        <v>5.486111110803904E-2</v>
      </c>
      <c r="F301" s="4">
        <f>MOD( sala!E300,1)</f>
        <v>0.11458333333575865</v>
      </c>
      <c r="G301" s="4">
        <f>Tabla5[[#This Row],[Hora de Salida]]-Tabla5[[#This Row],[Hora de Llegada]]+Tabla4[[#This Row],[Tiempo Extra]]</f>
        <v>7.0138888894386284E-2</v>
      </c>
      <c r="H301" s="5" t="str">
        <f>TEXT(Tabla4[[#This Row],[Preparación en horas]]/1440, "h:mm")</f>
        <v>1:53</v>
      </c>
      <c r="I301" s="4">
        <f>IF(Tabla5[[#This Row],[Tiempo Permanencia]]-Tabla5[[#This Row],[Tiempo de Preparación ]]&gt;=0,Tabla5[[#This Row],[Tiempo Permanencia]]-Tabla5[[#This Row],[Tiempo de Preparación ]],0)</f>
        <v>0</v>
      </c>
      <c r="J301" s="5" t="str">
        <f>IF(Tabla5[[#This Row],[Tiempo de Degustación]]=0,"No Cobrada","Cobrada")</f>
        <v>No Cobrada</v>
      </c>
      <c r="K301" s="5" cm="1">
        <f t="array" ref="K301">SUM(IF(Tabla5[[#This Row],[Orden Cobrada]]="Cobrada",IF(Cocina!A:A=Tabla5[[#This Row],[Nº Orden]],Cocina!F:F*Cocina!G:G,0),-Tabla6[[#This Row],[Precio Cena]]))</f>
        <v>-182</v>
      </c>
      <c r="L301" s="5">
        <f>IF(Tabla5[[#This Row],[Orden Cobrada]]="Cobrada",Tabla5[[#This Row],[Ganancia Bruta]]-Tabla6[[#This Row],[Coste Cena]],-Tabla6[[#This Row],[Precio Cena]]+Tabla6[[#This Row],[Coste Cena]])</f>
        <v>-74</v>
      </c>
      <c r="M301" s="10">
        <f>IF(Tabla5[[#This Row],[Orden Cobrada]]="Cobrada",((Tabla5[[#This Row],[Ganancia Neta]]/Tabla5[[#This Row],[Ganancia Bruta]])*100)/100,-((Tabla5[[#This Row],[Ganancia Neta]]/Tabla5[[#This Row],[Ganancia Bruta]]*100)/100))</f>
        <v>-0.40659340659340659</v>
      </c>
      <c r="N301" s="5" t="str">
        <f>sala!F300</f>
        <v>Mesero_5</v>
      </c>
      <c r="AY301" cm="1">
        <f t="array" ref="AY301">SUM(IF(Cocina!A:A=Tabla5[[#This Row],[Nº Orden]],Cocina!F:F*Cocina!G:G,0))</f>
        <v>182</v>
      </c>
      <c r="AZ301" cm="1">
        <f t="array" ref="AZ301">SUM(IF(Cocina!A:A=Tabla5[[#This Row],[Nº Orden]],Cocina!E:E*Cocina!G:G,0))</f>
        <v>108</v>
      </c>
      <c r="BB301" t="str">
        <f>MID(Tabla4[[#This Row],[Cliente]], SEARCH("_", Tabla4[[#This Row],[Cliente]]) + 1, LEN(Tabla4[[#This Row],[Cliente]]) - SEARCH("_",Tabla4[[#This Row],[Cliente]]))</f>
        <v>211</v>
      </c>
      <c r="BC301" t="str">
        <f>sala!B300</f>
        <v>Cliente_211</v>
      </c>
      <c r="BD301" s="1">
        <f>sala!D300</f>
        <v>45019.054861111108</v>
      </c>
      <c r="BE301" s="1">
        <f>sala!E300</f>
        <v>45019.114583333336</v>
      </c>
      <c r="BF301">
        <f>sala!K300</f>
        <v>299</v>
      </c>
      <c r="BG301">
        <f>sala!I300</f>
        <v>2968</v>
      </c>
      <c r="BH301" cm="1">
        <f t="array" ref="BH301">SUM(IF(Cocina!A:A=Tabla4[[#This Row],[Número de Orden]],Cocina!F:F*Cocina!G:G,0))</f>
        <v>182</v>
      </c>
      <c r="BI301" t="str">
        <f>sala!J300</f>
        <v>Ocupada</v>
      </c>
      <c r="BJ301" s="4" t="str">
        <f>IF(Tabla4[[#This Row],[Estado mesa]]="Ocupada","00:15","00:00")</f>
        <v>00:15</v>
      </c>
      <c r="BK301" cm="1">
        <f t="array" ref="BK301">SUM(IF(Cocina!A:A=Tabla4[[#This Row],[Número de Orden]],Cocina!H:H,0))</f>
        <v>113</v>
      </c>
    </row>
    <row r="302" spans="1:63" x14ac:dyDescent="0.3">
      <c r="A302" s="8" t="str">
        <f>MID(Tabla4[[#This Row],[Cliente]], SEARCH("_", Tabla4[[#This Row],[Cliente]]) + 1, LEN(Tabla4[[#This Row],[Cliente]]) - SEARCH("_",Tabla4[[#This Row],[Cliente]]))</f>
        <v>516</v>
      </c>
      <c r="B302">
        <f>sala!K301</f>
        <v>300</v>
      </c>
      <c r="C302">
        <f>Tabla4[[#This Row],[Propina]]+Tabla4[[#This Row],[Precio Cena]]</f>
        <v>4128</v>
      </c>
      <c r="D302" s="3">
        <f>INT(sala!E301)</f>
        <v>45019</v>
      </c>
      <c r="E302" s="4">
        <f>MOD( sala!D301,1)</f>
        <v>9.5138888886140194E-2</v>
      </c>
      <c r="F302" s="4">
        <f>MOD( sala!E301,1)</f>
        <v>0.17986111110803904</v>
      </c>
      <c r="G302" s="4">
        <f>Tabla5[[#This Row],[Hora de Salida]]-Tabla5[[#This Row],[Hora de Llegada]]+Tabla4[[#This Row],[Tiempo Extra]]</f>
        <v>8.4722222221898846E-2</v>
      </c>
      <c r="H302" s="5" t="str">
        <f>TEXT(Tabla4[[#This Row],[Preparación en horas]]/1440, "h:mm")</f>
        <v>1:58</v>
      </c>
      <c r="I302" s="4">
        <f>IF(Tabla5[[#This Row],[Tiempo Permanencia]]-Tabla5[[#This Row],[Tiempo de Preparación ]]&gt;=0,Tabla5[[#This Row],[Tiempo Permanencia]]-Tabla5[[#This Row],[Tiempo de Preparación ]],0)</f>
        <v>2.7777777774544016E-3</v>
      </c>
      <c r="J302" s="5" t="str">
        <f>IF(Tabla5[[#This Row],[Tiempo de Degustación]]=0,"No Cobrada","Cobrada")</f>
        <v>Cobrada</v>
      </c>
      <c r="K302" s="5" cm="1">
        <f t="array" ref="K302">SUM(IF(Tabla5[[#This Row],[Orden Cobrada]]="Cobrada",IF(Cocina!A:A=Tabla5[[#This Row],[Nº Orden]],Cocina!F:F*Cocina!G:G,0),-Tabla6[[#This Row],[Precio Cena]]))</f>
        <v>290</v>
      </c>
      <c r="L302" s="5">
        <f>IF(Tabla5[[#This Row],[Orden Cobrada]]="Cobrada",Tabla5[[#This Row],[Ganancia Bruta]]-Tabla6[[#This Row],[Coste Cena]],-Tabla6[[#This Row],[Precio Cena]]+Tabla6[[#This Row],[Coste Cena]])</f>
        <v>116</v>
      </c>
      <c r="M302" s="10">
        <f>IF(Tabla5[[#This Row],[Orden Cobrada]]="Cobrada",((Tabla5[[#This Row],[Ganancia Neta]]/Tabla5[[#This Row],[Ganancia Bruta]])*100)/100,-((Tabla5[[#This Row],[Ganancia Neta]]/Tabla5[[#This Row],[Ganancia Bruta]]*100)/100))</f>
        <v>0.4</v>
      </c>
      <c r="N302" s="5" t="str">
        <f>sala!F301</f>
        <v>Mesero_2</v>
      </c>
      <c r="AY302" cm="1">
        <f t="array" ref="AY302">SUM(IF(Cocina!A:A=Tabla5[[#This Row],[Nº Orden]],Cocina!F:F*Cocina!G:G,0))</f>
        <v>290</v>
      </c>
      <c r="AZ302" cm="1">
        <f t="array" ref="AZ302">SUM(IF(Cocina!A:A=Tabla5[[#This Row],[Nº Orden]],Cocina!E:E*Cocina!G:G,0))</f>
        <v>174</v>
      </c>
      <c r="BB302" t="str">
        <f>MID(Tabla4[[#This Row],[Cliente]], SEARCH("_", Tabla4[[#This Row],[Cliente]]) + 1, LEN(Tabla4[[#This Row],[Cliente]]) - SEARCH("_",Tabla4[[#This Row],[Cliente]]))</f>
        <v>516</v>
      </c>
      <c r="BC302" t="str">
        <f>sala!B301</f>
        <v>Cliente_516</v>
      </c>
      <c r="BD302" s="1">
        <f>sala!D301</f>
        <v>45019.095138888886</v>
      </c>
      <c r="BE302" s="1">
        <f>sala!E301</f>
        <v>45019.179861111108</v>
      </c>
      <c r="BF302">
        <f>sala!K301</f>
        <v>300</v>
      </c>
      <c r="BG302">
        <f>sala!I301</f>
        <v>3838</v>
      </c>
      <c r="BH302" cm="1">
        <f t="array" ref="BH302">SUM(IF(Cocina!A:A=Tabla4[[#This Row],[Número de Orden]],Cocina!F:F*Cocina!G:G,0))</f>
        <v>290</v>
      </c>
      <c r="BI302" t="str">
        <f>sala!J301</f>
        <v>Reservada</v>
      </c>
      <c r="BJ302" s="4" t="str">
        <f>IF(Tabla4[[#This Row],[Estado mesa]]="Ocupada","00:15","00:00")</f>
        <v>00:00</v>
      </c>
      <c r="BK302" cm="1">
        <f t="array" ref="BK302">SUM(IF(Cocina!A:A=Tabla4[[#This Row],[Número de Orden]],Cocina!H:H,0))</f>
        <v>118</v>
      </c>
    </row>
    <row r="303" spans="1:63" x14ac:dyDescent="0.3">
      <c r="A303" s="8" t="str">
        <f>MID(Tabla4[[#This Row],[Cliente]], SEARCH("_", Tabla4[[#This Row],[Cliente]]) + 1, LEN(Tabla4[[#This Row],[Cliente]]) - SEARCH("_",Tabla4[[#This Row],[Cliente]]))</f>
        <v>385</v>
      </c>
      <c r="B303">
        <f>sala!K302</f>
        <v>301</v>
      </c>
      <c r="C303">
        <f>Tabla4[[#This Row],[Propina]]+Tabla4[[#This Row],[Precio Cena]]</f>
        <v>1875</v>
      </c>
      <c r="D303" s="3">
        <f>INT(sala!E302)</f>
        <v>45019</v>
      </c>
      <c r="E303" s="4">
        <f>MOD( sala!D302,1)</f>
        <v>9.3055555553291924E-2</v>
      </c>
      <c r="F303" s="4">
        <f>MOD( sala!E302,1)</f>
        <v>0.17222222222335404</v>
      </c>
      <c r="G303" s="4">
        <f>Tabla5[[#This Row],[Hora de Salida]]-Tabla5[[#This Row],[Hora de Llegada]]+Tabla4[[#This Row],[Tiempo Extra]]</f>
        <v>7.9166666670062114E-2</v>
      </c>
      <c r="H303" s="5" t="str">
        <f>TEXT(Tabla4[[#This Row],[Preparación en horas]]/1440, "h:mm")</f>
        <v>3:03</v>
      </c>
      <c r="I303" s="4">
        <f>IF(Tabla5[[#This Row],[Tiempo Permanencia]]-Tabla5[[#This Row],[Tiempo de Preparación ]]&gt;=0,Tabla5[[#This Row],[Tiempo Permanencia]]-Tabla5[[#This Row],[Tiempo de Preparación ]],0)</f>
        <v>0</v>
      </c>
      <c r="J303" s="5" t="str">
        <f>IF(Tabla5[[#This Row],[Tiempo de Degustación]]=0,"No Cobrada","Cobrada")</f>
        <v>No Cobrada</v>
      </c>
      <c r="K303" s="5" cm="1">
        <f t="array" ref="K303">SUM(IF(Tabla5[[#This Row],[Orden Cobrada]]="Cobrada",IF(Cocina!A:A=Tabla5[[#This Row],[Nº Orden]],Cocina!F:F*Cocina!G:G,0),-Tabla6[[#This Row],[Precio Cena]]))</f>
        <v>-223</v>
      </c>
      <c r="L303" s="5">
        <f>IF(Tabla5[[#This Row],[Orden Cobrada]]="Cobrada",Tabla5[[#This Row],[Ganancia Bruta]]-Tabla6[[#This Row],[Coste Cena]],-Tabla6[[#This Row],[Precio Cena]]+Tabla6[[#This Row],[Coste Cena]])</f>
        <v>-90</v>
      </c>
      <c r="M303" s="10">
        <f>IF(Tabla5[[#This Row],[Orden Cobrada]]="Cobrada",((Tabla5[[#This Row],[Ganancia Neta]]/Tabla5[[#This Row],[Ganancia Bruta]])*100)/100,-((Tabla5[[#This Row],[Ganancia Neta]]/Tabla5[[#This Row],[Ganancia Bruta]]*100)/100))</f>
        <v>-0.40358744394618834</v>
      </c>
      <c r="N303" s="5" t="str">
        <f>sala!F302</f>
        <v>Mesero_5</v>
      </c>
      <c r="AY303" cm="1">
        <f t="array" ref="AY303">SUM(IF(Cocina!A:A=Tabla5[[#This Row],[Nº Orden]],Cocina!F:F*Cocina!G:G,0))</f>
        <v>223</v>
      </c>
      <c r="AZ303" cm="1">
        <f t="array" ref="AZ303">SUM(IF(Cocina!A:A=Tabla5[[#This Row],[Nº Orden]],Cocina!E:E*Cocina!G:G,0))</f>
        <v>133</v>
      </c>
      <c r="BB303" t="str">
        <f>MID(Tabla4[[#This Row],[Cliente]], SEARCH("_", Tabla4[[#This Row],[Cliente]]) + 1, LEN(Tabla4[[#This Row],[Cliente]]) - SEARCH("_",Tabla4[[#This Row],[Cliente]]))</f>
        <v>385</v>
      </c>
      <c r="BC303" t="str">
        <f>sala!B302</f>
        <v>Cliente_385</v>
      </c>
      <c r="BD303" s="1">
        <f>sala!D302</f>
        <v>45019.093055555553</v>
      </c>
      <c r="BE303" s="1">
        <f>sala!E302</f>
        <v>45019.172222222223</v>
      </c>
      <c r="BF303">
        <f>sala!K302</f>
        <v>301</v>
      </c>
      <c r="BG303">
        <f>sala!I302</f>
        <v>1652</v>
      </c>
      <c r="BH303" cm="1">
        <f t="array" ref="BH303">SUM(IF(Cocina!A:A=Tabla4[[#This Row],[Número de Orden]],Cocina!F:F*Cocina!G:G,0))</f>
        <v>223</v>
      </c>
      <c r="BI303" t="str">
        <f>sala!J302</f>
        <v>Reservada</v>
      </c>
      <c r="BJ303" s="4" t="str">
        <f>IF(Tabla4[[#This Row],[Estado mesa]]="Ocupada","00:15","00:00")</f>
        <v>00:00</v>
      </c>
      <c r="BK303" cm="1">
        <f t="array" ref="BK303">SUM(IF(Cocina!A:A=Tabla4[[#This Row],[Número de Orden]],Cocina!H:H,0))</f>
        <v>183</v>
      </c>
    </row>
    <row r="304" spans="1:63" x14ac:dyDescent="0.3">
      <c r="A304" s="8" t="str">
        <f>MID(Tabla4[[#This Row],[Cliente]], SEARCH("_", Tabla4[[#This Row],[Cliente]]) + 1, LEN(Tabla4[[#This Row],[Cliente]]) - SEARCH("_",Tabla4[[#This Row],[Cliente]]))</f>
        <v>929</v>
      </c>
      <c r="B304">
        <f>sala!K303</f>
        <v>302</v>
      </c>
      <c r="C304">
        <f>Tabla4[[#This Row],[Propina]]+Tabla4[[#This Row],[Precio Cena]]</f>
        <v>4085</v>
      </c>
      <c r="D304" s="3">
        <f>INT(sala!E303)</f>
        <v>45019</v>
      </c>
      <c r="E304" s="4">
        <f>MOD( sala!D303,1)</f>
        <v>5.5555555554747116E-2</v>
      </c>
      <c r="F304" s="4">
        <f>MOD( sala!E303,1)</f>
        <v>0.20555555555620231</v>
      </c>
      <c r="G304" s="4">
        <f>Tabla5[[#This Row],[Hora de Salida]]-Tabla5[[#This Row],[Hora de Llegada]]+Tabla4[[#This Row],[Tiempo Extra]]</f>
        <v>0.15000000000145519</v>
      </c>
      <c r="H304" s="5" t="str">
        <f>TEXT(Tabla4[[#This Row],[Preparación en horas]]/1440, "h:mm")</f>
        <v>0:15</v>
      </c>
      <c r="I304" s="4">
        <f>IF(Tabla5[[#This Row],[Tiempo Permanencia]]-Tabla5[[#This Row],[Tiempo de Preparación ]]&gt;=0,Tabla5[[#This Row],[Tiempo Permanencia]]-Tabla5[[#This Row],[Tiempo de Preparación ]],0)</f>
        <v>0.13958333333478853</v>
      </c>
      <c r="J304" s="5" t="str">
        <f>IF(Tabla5[[#This Row],[Tiempo de Degustación]]=0,"No Cobrada","Cobrada")</f>
        <v>Cobrada</v>
      </c>
      <c r="K304" s="5" cm="1">
        <f t="array" ref="K304">SUM(IF(Tabla5[[#This Row],[Orden Cobrada]]="Cobrada",IF(Cocina!A:A=Tabla5[[#This Row],[Nº Orden]],Cocina!F:F*Cocina!G:G,0),-Tabla6[[#This Row],[Precio Cena]]))</f>
        <v>96</v>
      </c>
      <c r="L304" s="5">
        <f>IF(Tabla5[[#This Row],[Orden Cobrada]]="Cobrada",Tabla5[[#This Row],[Ganancia Bruta]]-Tabla6[[#This Row],[Coste Cena]],-Tabla6[[#This Row],[Precio Cena]]+Tabla6[[#This Row],[Coste Cena]])</f>
        <v>39</v>
      </c>
      <c r="M304" s="10">
        <f>IF(Tabla5[[#This Row],[Orden Cobrada]]="Cobrada",((Tabla5[[#This Row],[Ganancia Neta]]/Tabla5[[#This Row],[Ganancia Bruta]])*100)/100,-((Tabla5[[#This Row],[Ganancia Neta]]/Tabla5[[#This Row],[Ganancia Bruta]]*100)/100))</f>
        <v>0.40625</v>
      </c>
      <c r="N304" s="5" t="str">
        <f>sala!F303</f>
        <v>Mesero_1</v>
      </c>
      <c r="AY304" cm="1">
        <f t="array" ref="AY304">SUM(IF(Cocina!A:A=Tabla5[[#This Row],[Nº Orden]],Cocina!F:F*Cocina!G:G,0))</f>
        <v>96</v>
      </c>
      <c r="AZ304" cm="1">
        <f t="array" ref="AZ304">SUM(IF(Cocina!A:A=Tabla5[[#This Row],[Nº Orden]],Cocina!E:E*Cocina!G:G,0))</f>
        <v>57</v>
      </c>
      <c r="BB304" t="str">
        <f>MID(Tabla4[[#This Row],[Cliente]], SEARCH("_", Tabla4[[#This Row],[Cliente]]) + 1, LEN(Tabla4[[#This Row],[Cliente]]) - SEARCH("_",Tabla4[[#This Row],[Cliente]]))</f>
        <v>929</v>
      </c>
      <c r="BC304" t="str">
        <f>sala!B303</f>
        <v>Cliente_929</v>
      </c>
      <c r="BD304" s="1">
        <f>sala!D303</f>
        <v>45019.055555555555</v>
      </c>
      <c r="BE304" s="1">
        <f>sala!E303</f>
        <v>45019.205555555556</v>
      </c>
      <c r="BF304">
        <f>sala!K303</f>
        <v>302</v>
      </c>
      <c r="BG304">
        <f>sala!I303</f>
        <v>3989</v>
      </c>
      <c r="BH304" cm="1">
        <f t="array" ref="BH304">SUM(IF(Cocina!A:A=Tabla4[[#This Row],[Número de Orden]],Cocina!F:F*Cocina!G:G,0))</f>
        <v>96</v>
      </c>
      <c r="BI304" t="str">
        <f>sala!J303</f>
        <v>Reservada</v>
      </c>
      <c r="BJ304" s="4" t="str">
        <f>IF(Tabla4[[#This Row],[Estado mesa]]="Ocupada","00:15","00:00")</f>
        <v>00:00</v>
      </c>
      <c r="BK304" cm="1">
        <f t="array" ref="BK304">SUM(IF(Cocina!A:A=Tabla4[[#This Row],[Número de Orden]],Cocina!H:H,0))</f>
        <v>15</v>
      </c>
    </row>
    <row r="305" spans="1:63" x14ac:dyDescent="0.3">
      <c r="A305" s="8" t="str">
        <f>MID(Tabla4[[#This Row],[Cliente]], SEARCH("_", Tabla4[[#This Row],[Cliente]]) + 1, LEN(Tabla4[[#This Row],[Cliente]]) - SEARCH("_",Tabla4[[#This Row],[Cliente]]))</f>
        <v>986</v>
      </c>
      <c r="B305">
        <f>sala!K304</f>
        <v>303</v>
      </c>
      <c r="C305">
        <f>Tabla4[[#This Row],[Propina]]+Tabla4[[#This Row],[Precio Cena]]</f>
        <v>1859</v>
      </c>
      <c r="D305" s="3">
        <f>INT(sala!E304)</f>
        <v>45019</v>
      </c>
      <c r="E305" s="4">
        <f>MOD( sala!D304,1)</f>
        <v>0.15138888888759539</v>
      </c>
      <c r="F305" s="4">
        <f>MOD( sala!E304,1)</f>
        <v>0.26666666667006211</v>
      </c>
      <c r="G305" s="4">
        <f>Tabla5[[#This Row],[Hora de Salida]]-Tabla5[[#This Row],[Hora de Llegada]]+Tabla4[[#This Row],[Tiempo Extra]]</f>
        <v>0.12569444444913339</v>
      </c>
      <c r="H305" s="5" t="str">
        <f>TEXT(Tabla4[[#This Row],[Preparación en horas]]/1440, "h:mm")</f>
        <v>1:32</v>
      </c>
      <c r="I305" s="4">
        <f>IF(Tabla5[[#This Row],[Tiempo Permanencia]]-Tabla5[[#This Row],[Tiempo de Preparación ]]&gt;=0,Tabla5[[#This Row],[Tiempo Permanencia]]-Tabla5[[#This Row],[Tiempo de Preparación ]],0)</f>
        <v>6.1805555560244502E-2</v>
      </c>
      <c r="J305" s="5" t="str">
        <f>IF(Tabla5[[#This Row],[Tiempo de Degustación]]=0,"No Cobrada","Cobrada")</f>
        <v>Cobrada</v>
      </c>
      <c r="K305" s="5" cm="1">
        <f t="array" ref="K305">SUM(IF(Tabla5[[#This Row],[Orden Cobrada]]="Cobrada",IF(Cocina!A:A=Tabla5[[#This Row],[Nº Orden]],Cocina!F:F*Cocina!G:G,0),-Tabla6[[#This Row],[Precio Cena]]))</f>
        <v>210</v>
      </c>
      <c r="L305" s="5">
        <f>IF(Tabla5[[#This Row],[Orden Cobrada]]="Cobrada",Tabla5[[#This Row],[Ganancia Bruta]]-Tabla6[[#This Row],[Coste Cena]],-Tabla6[[#This Row],[Precio Cena]]+Tabla6[[#This Row],[Coste Cena]])</f>
        <v>82</v>
      </c>
      <c r="M305" s="10">
        <f>IF(Tabla5[[#This Row],[Orden Cobrada]]="Cobrada",((Tabla5[[#This Row],[Ganancia Neta]]/Tabla5[[#This Row],[Ganancia Bruta]])*100)/100,-((Tabla5[[#This Row],[Ganancia Neta]]/Tabla5[[#This Row],[Ganancia Bruta]]*100)/100))</f>
        <v>0.39047619047619053</v>
      </c>
      <c r="N305" s="5" t="str">
        <f>sala!F304</f>
        <v>Mesero_5</v>
      </c>
      <c r="AY305" cm="1">
        <f t="array" ref="AY305">SUM(IF(Cocina!A:A=Tabla5[[#This Row],[Nº Orden]],Cocina!F:F*Cocina!G:G,0))</f>
        <v>210</v>
      </c>
      <c r="AZ305" cm="1">
        <f t="array" ref="AZ305">SUM(IF(Cocina!A:A=Tabla5[[#This Row],[Nº Orden]],Cocina!E:E*Cocina!G:G,0))</f>
        <v>128</v>
      </c>
      <c r="BB305" t="str">
        <f>MID(Tabla4[[#This Row],[Cliente]], SEARCH("_", Tabla4[[#This Row],[Cliente]]) + 1, LEN(Tabla4[[#This Row],[Cliente]]) - SEARCH("_",Tabla4[[#This Row],[Cliente]]))</f>
        <v>986</v>
      </c>
      <c r="BC305" t="str">
        <f>sala!B304</f>
        <v>Cliente_986</v>
      </c>
      <c r="BD305" s="1">
        <f>sala!D304</f>
        <v>45019.151388888888</v>
      </c>
      <c r="BE305" s="1">
        <f>sala!E304</f>
        <v>45019.26666666667</v>
      </c>
      <c r="BF305">
        <f>sala!K304</f>
        <v>303</v>
      </c>
      <c r="BG305">
        <f>sala!I304</f>
        <v>1649</v>
      </c>
      <c r="BH305" cm="1">
        <f t="array" ref="BH305">SUM(IF(Cocina!A:A=Tabla4[[#This Row],[Número de Orden]],Cocina!F:F*Cocina!G:G,0))</f>
        <v>210</v>
      </c>
      <c r="BI305" t="str">
        <f>sala!J304</f>
        <v>Ocupada</v>
      </c>
      <c r="BJ305" s="4" t="str">
        <f>IF(Tabla4[[#This Row],[Estado mesa]]="Ocupada","00:15","00:00")</f>
        <v>00:15</v>
      </c>
      <c r="BK305" cm="1">
        <f t="array" ref="BK305">SUM(IF(Cocina!A:A=Tabla4[[#This Row],[Número de Orden]],Cocina!H:H,0))</f>
        <v>92</v>
      </c>
    </row>
    <row r="306" spans="1:63" x14ac:dyDescent="0.3">
      <c r="A306" s="8" t="str">
        <f>MID(Tabla4[[#This Row],[Cliente]], SEARCH("_", Tabla4[[#This Row],[Cliente]]) + 1, LEN(Tabla4[[#This Row],[Cliente]]) - SEARCH("_",Tabla4[[#This Row],[Cliente]]))</f>
        <v>994</v>
      </c>
      <c r="B306">
        <f>sala!K305</f>
        <v>304</v>
      </c>
      <c r="C306">
        <f>Tabla4[[#This Row],[Propina]]+Tabla4[[#This Row],[Precio Cena]]</f>
        <v>2484</v>
      </c>
      <c r="D306" s="3">
        <f>INT(sala!E305)</f>
        <v>45019</v>
      </c>
      <c r="E306" s="4">
        <f>MOD( sala!D305,1)</f>
        <v>0.14166666667006211</v>
      </c>
      <c r="F306" s="4">
        <f>MOD( sala!E305,1)</f>
        <v>0.19444444444525288</v>
      </c>
      <c r="G306" s="4">
        <f>Tabla5[[#This Row],[Hora de Salida]]-Tabla5[[#This Row],[Hora de Llegada]]+Tabla4[[#This Row],[Tiempo Extra]]</f>
        <v>5.2777777775190771E-2</v>
      </c>
      <c r="H306" s="5" t="str">
        <f>TEXT(Tabla4[[#This Row],[Preparación en horas]]/1440, "h:mm")</f>
        <v>1:25</v>
      </c>
      <c r="I306" s="4">
        <f>IF(Tabla5[[#This Row],[Tiempo Permanencia]]-Tabla5[[#This Row],[Tiempo de Preparación ]]&gt;=0,Tabla5[[#This Row],[Tiempo Permanencia]]-Tabla5[[#This Row],[Tiempo de Preparación ]],0)</f>
        <v>0</v>
      </c>
      <c r="J306" s="5" t="str">
        <f>IF(Tabla5[[#This Row],[Tiempo de Degustación]]=0,"No Cobrada","Cobrada")</f>
        <v>No Cobrada</v>
      </c>
      <c r="K306" s="5" cm="1">
        <f t="array" ref="K306">SUM(IF(Tabla5[[#This Row],[Orden Cobrada]]="Cobrada",IF(Cocina!A:A=Tabla5[[#This Row],[Nº Orden]],Cocina!F:F*Cocina!G:G,0),-Tabla6[[#This Row],[Precio Cena]]))</f>
        <v>-279</v>
      </c>
      <c r="L306" s="5">
        <f>IF(Tabla5[[#This Row],[Orden Cobrada]]="Cobrada",Tabla5[[#This Row],[Ganancia Bruta]]-Tabla6[[#This Row],[Coste Cena]],-Tabla6[[#This Row],[Precio Cena]]+Tabla6[[#This Row],[Coste Cena]])</f>
        <v>-108</v>
      </c>
      <c r="M306" s="10">
        <f>IF(Tabla5[[#This Row],[Orden Cobrada]]="Cobrada",((Tabla5[[#This Row],[Ganancia Neta]]/Tabla5[[#This Row],[Ganancia Bruta]])*100)/100,-((Tabla5[[#This Row],[Ganancia Neta]]/Tabla5[[#This Row],[Ganancia Bruta]]*100)/100))</f>
        <v>-0.38709677419354838</v>
      </c>
      <c r="N306" s="5" t="str">
        <f>sala!F305</f>
        <v>Mesero_1</v>
      </c>
      <c r="AY306" cm="1">
        <f t="array" ref="AY306">SUM(IF(Cocina!A:A=Tabla5[[#This Row],[Nº Orden]],Cocina!F:F*Cocina!G:G,0))</f>
        <v>279</v>
      </c>
      <c r="AZ306" cm="1">
        <f t="array" ref="AZ306">SUM(IF(Cocina!A:A=Tabla5[[#This Row],[Nº Orden]],Cocina!E:E*Cocina!G:G,0))</f>
        <v>171</v>
      </c>
      <c r="BB306" t="str">
        <f>MID(Tabla4[[#This Row],[Cliente]], SEARCH("_", Tabla4[[#This Row],[Cliente]]) + 1, LEN(Tabla4[[#This Row],[Cliente]]) - SEARCH("_",Tabla4[[#This Row],[Cliente]]))</f>
        <v>994</v>
      </c>
      <c r="BC306" t="str">
        <f>sala!B305</f>
        <v>Cliente_994</v>
      </c>
      <c r="BD306" s="1">
        <f>sala!D305</f>
        <v>45019.14166666667</v>
      </c>
      <c r="BE306" s="1">
        <f>sala!E305</f>
        <v>45019.194444444445</v>
      </c>
      <c r="BF306">
        <f>sala!K305</f>
        <v>304</v>
      </c>
      <c r="BG306">
        <f>sala!I305</f>
        <v>2205</v>
      </c>
      <c r="BH306" cm="1">
        <f t="array" ref="BH306">SUM(IF(Cocina!A:A=Tabla4[[#This Row],[Número de Orden]],Cocina!F:F*Cocina!G:G,0))</f>
        <v>279</v>
      </c>
      <c r="BI306" t="str">
        <f>sala!J305</f>
        <v>Reservada</v>
      </c>
      <c r="BJ306" s="4" t="str">
        <f>IF(Tabla4[[#This Row],[Estado mesa]]="Ocupada","00:15","00:00")</f>
        <v>00:00</v>
      </c>
      <c r="BK306" cm="1">
        <f t="array" ref="BK306">SUM(IF(Cocina!A:A=Tabla4[[#This Row],[Número de Orden]],Cocina!H:H,0))</f>
        <v>85</v>
      </c>
    </row>
    <row r="307" spans="1:63" x14ac:dyDescent="0.3">
      <c r="A307" s="8" t="str">
        <f>MID(Tabla4[[#This Row],[Cliente]], SEARCH("_", Tabla4[[#This Row],[Cliente]]) + 1, LEN(Tabla4[[#This Row],[Cliente]]) - SEARCH("_",Tabla4[[#This Row],[Cliente]]))</f>
        <v>648</v>
      </c>
      <c r="B307">
        <f>sala!K306</f>
        <v>305</v>
      </c>
      <c r="C307">
        <f>Tabla4[[#This Row],[Propina]]+Tabla4[[#This Row],[Precio Cena]]</f>
        <v>3920</v>
      </c>
      <c r="D307" s="3">
        <f>INT(sala!E306)</f>
        <v>45019</v>
      </c>
      <c r="E307" s="4">
        <f>MOD( sala!D306,1)</f>
        <v>3.125E-2</v>
      </c>
      <c r="F307" s="4">
        <f>MOD( sala!E306,1)</f>
        <v>0.1756944444423425</v>
      </c>
      <c r="G307" s="4">
        <f>Tabla5[[#This Row],[Hora de Salida]]-Tabla5[[#This Row],[Hora de Llegada]]+Tabla4[[#This Row],[Tiempo Extra]]</f>
        <v>0.1444444444423425</v>
      </c>
      <c r="H307" s="5" t="str">
        <f>TEXT(Tabla4[[#This Row],[Preparación en horas]]/1440, "h:mm")</f>
        <v>1:05</v>
      </c>
      <c r="I307" s="4">
        <f>IF(Tabla5[[#This Row],[Tiempo Permanencia]]-Tabla5[[#This Row],[Tiempo de Preparación ]]&gt;=0,Tabla5[[#This Row],[Tiempo Permanencia]]-Tabla5[[#This Row],[Tiempo de Preparación ]],0)</f>
        <v>9.9305555553453606E-2</v>
      </c>
      <c r="J307" s="5" t="str">
        <f>IF(Tabla5[[#This Row],[Tiempo de Degustación]]=0,"No Cobrada","Cobrada")</f>
        <v>Cobrada</v>
      </c>
      <c r="K307" s="5" cm="1">
        <f t="array" ref="K307">SUM(IF(Tabla5[[#This Row],[Orden Cobrada]]="Cobrada",IF(Cocina!A:A=Tabla5[[#This Row],[Nº Orden]],Cocina!F:F*Cocina!G:G,0),-Tabla6[[#This Row],[Precio Cena]]))</f>
        <v>128</v>
      </c>
      <c r="L307" s="5">
        <f>IF(Tabla5[[#This Row],[Orden Cobrada]]="Cobrada",Tabla5[[#This Row],[Ganancia Bruta]]-Tabla6[[#This Row],[Coste Cena]],-Tabla6[[#This Row],[Precio Cena]]+Tabla6[[#This Row],[Coste Cena]])</f>
        <v>51</v>
      </c>
      <c r="M307" s="10">
        <f>IF(Tabla5[[#This Row],[Orden Cobrada]]="Cobrada",((Tabla5[[#This Row],[Ganancia Neta]]/Tabla5[[#This Row],[Ganancia Bruta]])*100)/100,-((Tabla5[[#This Row],[Ganancia Neta]]/Tabla5[[#This Row],[Ganancia Bruta]]*100)/100))</f>
        <v>0.3984375</v>
      </c>
      <c r="N307" s="5" t="str">
        <f>sala!F306</f>
        <v>Mesero_1</v>
      </c>
      <c r="AY307" cm="1">
        <f t="array" ref="AY307">SUM(IF(Cocina!A:A=Tabla5[[#This Row],[Nº Orden]],Cocina!F:F*Cocina!G:G,0))</f>
        <v>128</v>
      </c>
      <c r="AZ307" cm="1">
        <f t="array" ref="AZ307">SUM(IF(Cocina!A:A=Tabla5[[#This Row],[Nº Orden]],Cocina!E:E*Cocina!G:G,0))</f>
        <v>77</v>
      </c>
      <c r="BB307" t="str">
        <f>MID(Tabla4[[#This Row],[Cliente]], SEARCH("_", Tabla4[[#This Row],[Cliente]]) + 1, LEN(Tabla4[[#This Row],[Cliente]]) - SEARCH("_",Tabla4[[#This Row],[Cliente]]))</f>
        <v>648</v>
      </c>
      <c r="BC307" t="str">
        <f>sala!B306</f>
        <v>Cliente_648</v>
      </c>
      <c r="BD307" s="1">
        <f>sala!D306</f>
        <v>45019.03125</v>
      </c>
      <c r="BE307" s="1">
        <f>sala!E306</f>
        <v>45019.175694444442</v>
      </c>
      <c r="BF307">
        <f>sala!K306</f>
        <v>305</v>
      </c>
      <c r="BG307">
        <f>sala!I306</f>
        <v>3792</v>
      </c>
      <c r="BH307" cm="1">
        <f t="array" ref="BH307">SUM(IF(Cocina!A:A=Tabla4[[#This Row],[Número de Orden]],Cocina!F:F*Cocina!G:G,0))</f>
        <v>128</v>
      </c>
      <c r="BI307" t="str">
        <f>sala!J306</f>
        <v>Reservada</v>
      </c>
      <c r="BJ307" s="4" t="str">
        <f>IF(Tabla4[[#This Row],[Estado mesa]]="Ocupada","00:15","00:00")</f>
        <v>00:00</v>
      </c>
      <c r="BK307" cm="1">
        <f t="array" ref="BK307">SUM(IF(Cocina!A:A=Tabla4[[#This Row],[Número de Orden]],Cocina!H:H,0))</f>
        <v>65</v>
      </c>
    </row>
    <row r="308" spans="1:63" x14ac:dyDescent="0.3">
      <c r="A308" s="8" t="str">
        <f>MID(Tabla4[[#This Row],[Cliente]], SEARCH("_", Tabla4[[#This Row],[Cliente]]) + 1, LEN(Tabla4[[#This Row],[Cliente]]) - SEARCH("_",Tabla4[[#This Row],[Cliente]]))</f>
        <v>702</v>
      </c>
      <c r="B308">
        <f>sala!K307</f>
        <v>306</v>
      </c>
      <c r="C308">
        <f>Tabla4[[#This Row],[Propina]]+Tabla4[[#This Row],[Precio Cena]]</f>
        <v>1728</v>
      </c>
      <c r="D308" s="3">
        <f>INT(sala!E307)</f>
        <v>45019</v>
      </c>
      <c r="E308" s="4">
        <f>MOD( sala!D307,1)</f>
        <v>2.0833333328482695E-3</v>
      </c>
      <c r="F308" s="4">
        <f>MOD( sala!E307,1)</f>
        <v>0.1055555555576575</v>
      </c>
      <c r="G308" s="4">
        <f>Tabla5[[#This Row],[Hora de Salida]]-Tabla5[[#This Row],[Hora de Llegada]]+Tabla4[[#This Row],[Tiempo Extra]]</f>
        <v>0.1138888888914759</v>
      </c>
      <c r="H308" s="5" t="str">
        <f>TEXT(Tabla4[[#This Row],[Preparación en horas]]/1440, "h:mm")</f>
        <v>0:21</v>
      </c>
      <c r="I308" s="4">
        <f>IF(Tabla5[[#This Row],[Tiempo Permanencia]]-Tabla5[[#This Row],[Tiempo de Preparación ]]&gt;=0,Tabla5[[#This Row],[Tiempo Permanencia]]-Tabla5[[#This Row],[Tiempo de Preparación ]],0)</f>
        <v>9.9305555558142564E-2</v>
      </c>
      <c r="J308" s="5" t="str">
        <f>IF(Tabla5[[#This Row],[Tiempo de Degustación]]=0,"No Cobrada","Cobrada")</f>
        <v>Cobrada</v>
      </c>
      <c r="K308" s="5" cm="1">
        <f t="array" ref="K308">SUM(IF(Tabla5[[#This Row],[Orden Cobrada]]="Cobrada",IF(Cocina!A:A=Tabla5[[#This Row],[Nº Orden]],Cocina!F:F*Cocina!G:G,0),-Tabla6[[#This Row],[Precio Cena]]))</f>
        <v>32</v>
      </c>
      <c r="L308" s="5">
        <f>IF(Tabla5[[#This Row],[Orden Cobrada]]="Cobrada",Tabla5[[#This Row],[Ganancia Bruta]]-Tabla6[[#This Row],[Coste Cena]],-Tabla6[[#This Row],[Precio Cena]]+Tabla6[[#This Row],[Coste Cena]])</f>
        <v>13</v>
      </c>
      <c r="M308" s="10">
        <f>IF(Tabla5[[#This Row],[Orden Cobrada]]="Cobrada",((Tabla5[[#This Row],[Ganancia Neta]]/Tabla5[[#This Row],[Ganancia Bruta]])*100)/100,-((Tabla5[[#This Row],[Ganancia Neta]]/Tabla5[[#This Row],[Ganancia Bruta]]*100)/100))</f>
        <v>0.40625</v>
      </c>
      <c r="N308" s="5" t="str">
        <f>sala!F307</f>
        <v>Mesero_5</v>
      </c>
      <c r="AY308" cm="1">
        <f t="array" ref="AY308">SUM(IF(Cocina!A:A=Tabla5[[#This Row],[Nº Orden]],Cocina!F:F*Cocina!G:G,0))</f>
        <v>32</v>
      </c>
      <c r="AZ308" cm="1">
        <f t="array" ref="AZ308">SUM(IF(Cocina!A:A=Tabla5[[#This Row],[Nº Orden]],Cocina!E:E*Cocina!G:G,0))</f>
        <v>19</v>
      </c>
      <c r="BB308" t="str">
        <f>MID(Tabla4[[#This Row],[Cliente]], SEARCH("_", Tabla4[[#This Row],[Cliente]]) + 1, LEN(Tabla4[[#This Row],[Cliente]]) - SEARCH("_",Tabla4[[#This Row],[Cliente]]))</f>
        <v>702</v>
      </c>
      <c r="BC308" t="str">
        <f>sala!B307</f>
        <v>Cliente_702</v>
      </c>
      <c r="BD308" s="1">
        <f>sala!D307</f>
        <v>45019.002083333333</v>
      </c>
      <c r="BE308" s="1">
        <f>sala!E307</f>
        <v>45019.105555555558</v>
      </c>
      <c r="BF308">
        <f>sala!K307</f>
        <v>306</v>
      </c>
      <c r="BG308">
        <f>sala!I307</f>
        <v>1696</v>
      </c>
      <c r="BH308" cm="1">
        <f t="array" ref="BH308">SUM(IF(Cocina!A:A=Tabla4[[#This Row],[Número de Orden]],Cocina!F:F*Cocina!G:G,0))</f>
        <v>32</v>
      </c>
      <c r="BI308" t="str">
        <f>sala!J307</f>
        <v>Ocupada</v>
      </c>
      <c r="BJ308" s="4" t="str">
        <f>IF(Tabla4[[#This Row],[Estado mesa]]="Ocupada","00:15","00:00")</f>
        <v>00:15</v>
      </c>
      <c r="BK308" cm="1">
        <f t="array" ref="BK308">SUM(IF(Cocina!A:A=Tabla4[[#This Row],[Número de Orden]],Cocina!H:H,0))</f>
        <v>21</v>
      </c>
    </row>
    <row r="309" spans="1:63" x14ac:dyDescent="0.3">
      <c r="A309" s="8" t="str">
        <f>MID(Tabla4[[#This Row],[Cliente]], SEARCH("_", Tabla4[[#This Row],[Cliente]]) + 1, LEN(Tabla4[[#This Row],[Cliente]]) - SEARCH("_",Tabla4[[#This Row],[Cliente]]))</f>
        <v>175</v>
      </c>
      <c r="B309">
        <f>sala!K308</f>
        <v>307</v>
      </c>
      <c r="C309">
        <f>Tabla4[[#This Row],[Propina]]+Tabla4[[#This Row],[Precio Cena]]</f>
        <v>3229</v>
      </c>
      <c r="D309" s="3">
        <f>INT(sala!E308)</f>
        <v>45019</v>
      </c>
      <c r="E309" s="4">
        <f>MOD( sala!D308,1)</f>
        <v>0.13124999999854481</v>
      </c>
      <c r="F309" s="4">
        <f>MOD( sala!E308,1)</f>
        <v>0.23541666667006211</v>
      </c>
      <c r="G309" s="4">
        <f>Tabla5[[#This Row],[Hora de Salida]]-Tabla5[[#This Row],[Hora de Llegada]]+Tabla4[[#This Row],[Tiempo Extra]]</f>
        <v>0.10416666667151731</v>
      </c>
      <c r="H309" s="5" t="str">
        <f>TEXT(Tabla4[[#This Row],[Preparación en horas]]/1440, "h:mm")</f>
        <v>0:39</v>
      </c>
      <c r="I309" s="4">
        <f>IF(Tabla5[[#This Row],[Tiempo Permanencia]]-Tabla5[[#This Row],[Tiempo de Preparación ]]&gt;=0,Tabla5[[#This Row],[Tiempo Permanencia]]-Tabla5[[#This Row],[Tiempo de Preparación ]],0)</f>
        <v>7.7083333338183971E-2</v>
      </c>
      <c r="J309" s="5" t="str">
        <f>IF(Tabla5[[#This Row],[Tiempo de Degustación]]=0,"No Cobrada","Cobrada")</f>
        <v>Cobrada</v>
      </c>
      <c r="K309" s="5" cm="1">
        <f t="array" ref="K309">SUM(IF(Tabla5[[#This Row],[Orden Cobrada]]="Cobrada",IF(Cocina!A:A=Tabla5[[#This Row],[Nº Orden]],Cocina!F:F*Cocina!G:G,0),-Tabla6[[#This Row],[Precio Cena]]))</f>
        <v>63</v>
      </c>
      <c r="L309" s="5">
        <f>IF(Tabla5[[#This Row],[Orden Cobrada]]="Cobrada",Tabla5[[#This Row],[Ganancia Bruta]]-Tabla6[[#This Row],[Coste Cena]],-Tabla6[[#This Row],[Precio Cena]]+Tabla6[[#This Row],[Coste Cena]])</f>
        <v>24</v>
      </c>
      <c r="M309" s="10">
        <f>IF(Tabla5[[#This Row],[Orden Cobrada]]="Cobrada",((Tabla5[[#This Row],[Ganancia Neta]]/Tabla5[[#This Row],[Ganancia Bruta]])*100)/100,-((Tabla5[[#This Row],[Ganancia Neta]]/Tabla5[[#This Row],[Ganancia Bruta]]*100)/100))</f>
        <v>0.38095238095238093</v>
      </c>
      <c r="N309" s="5" t="str">
        <f>sala!F308</f>
        <v>Mesero_1</v>
      </c>
      <c r="AY309" cm="1">
        <f t="array" ref="AY309">SUM(IF(Cocina!A:A=Tabla5[[#This Row],[Nº Orden]],Cocina!F:F*Cocina!G:G,0))</f>
        <v>63</v>
      </c>
      <c r="AZ309" cm="1">
        <f t="array" ref="AZ309">SUM(IF(Cocina!A:A=Tabla5[[#This Row],[Nº Orden]],Cocina!E:E*Cocina!G:G,0))</f>
        <v>39</v>
      </c>
      <c r="BB309" t="str">
        <f>MID(Tabla4[[#This Row],[Cliente]], SEARCH("_", Tabla4[[#This Row],[Cliente]]) + 1, LEN(Tabla4[[#This Row],[Cliente]]) - SEARCH("_",Tabla4[[#This Row],[Cliente]]))</f>
        <v>175</v>
      </c>
      <c r="BC309" t="str">
        <f>sala!B308</f>
        <v>Cliente_175</v>
      </c>
      <c r="BD309" s="1">
        <f>sala!D308</f>
        <v>45019.131249999999</v>
      </c>
      <c r="BE309" s="1">
        <f>sala!E308</f>
        <v>45019.23541666667</v>
      </c>
      <c r="BF309">
        <f>sala!K308</f>
        <v>307</v>
      </c>
      <c r="BG309">
        <f>sala!I308</f>
        <v>3166</v>
      </c>
      <c r="BH309" cm="1">
        <f t="array" ref="BH309">SUM(IF(Cocina!A:A=Tabla4[[#This Row],[Número de Orden]],Cocina!F:F*Cocina!G:G,0))</f>
        <v>63</v>
      </c>
      <c r="BI309" t="str">
        <f>sala!J308</f>
        <v>Libre</v>
      </c>
      <c r="BJ309" s="4" t="str">
        <f>IF(Tabla4[[#This Row],[Estado mesa]]="Ocupada","00:15","00:00")</f>
        <v>00:00</v>
      </c>
      <c r="BK309" cm="1">
        <f t="array" ref="BK309">SUM(IF(Cocina!A:A=Tabla4[[#This Row],[Número de Orden]],Cocina!H:H,0))</f>
        <v>39</v>
      </c>
    </row>
    <row r="310" spans="1:63" x14ac:dyDescent="0.3">
      <c r="A310" s="8" t="str">
        <f>MID(Tabla4[[#This Row],[Cliente]], SEARCH("_", Tabla4[[#This Row],[Cliente]]) + 1, LEN(Tabla4[[#This Row],[Cliente]]) - SEARCH("_",Tabla4[[#This Row],[Cliente]]))</f>
        <v>846</v>
      </c>
      <c r="B310">
        <f>sala!K309</f>
        <v>308</v>
      </c>
      <c r="C310">
        <f>Tabla4[[#This Row],[Propina]]+Tabla4[[#This Row],[Precio Cena]]</f>
        <v>3601</v>
      </c>
      <c r="D310" s="3">
        <f>INT(sala!E309)</f>
        <v>45019</v>
      </c>
      <c r="E310" s="4">
        <f>MOD( sala!D309,1)</f>
        <v>7.9861111109494232E-2</v>
      </c>
      <c r="F310" s="4">
        <f>MOD( sala!E309,1)</f>
        <v>0.19374999999854481</v>
      </c>
      <c r="G310" s="4">
        <f>Tabla5[[#This Row],[Hora de Salida]]-Tabla5[[#This Row],[Hora de Llegada]]+Tabla4[[#This Row],[Tiempo Extra]]</f>
        <v>0.11388888888905058</v>
      </c>
      <c r="H310" s="5" t="str">
        <f>TEXT(Tabla4[[#This Row],[Preparación en horas]]/1440, "h:mm")</f>
        <v>3:06</v>
      </c>
      <c r="I310" s="4">
        <f>IF(Tabla5[[#This Row],[Tiempo Permanencia]]-Tabla5[[#This Row],[Tiempo de Preparación ]]&gt;=0,Tabla5[[#This Row],[Tiempo Permanencia]]-Tabla5[[#This Row],[Tiempo de Preparación ]],0)</f>
        <v>0</v>
      </c>
      <c r="J310" s="5" t="str">
        <f>IF(Tabla5[[#This Row],[Tiempo de Degustación]]=0,"No Cobrada","Cobrada")</f>
        <v>No Cobrada</v>
      </c>
      <c r="K310" s="5" cm="1">
        <f t="array" ref="K310">SUM(IF(Tabla5[[#This Row],[Orden Cobrada]]="Cobrada",IF(Cocina!A:A=Tabla5[[#This Row],[Nº Orden]],Cocina!F:F*Cocina!G:G,0),-Tabla6[[#This Row],[Precio Cena]]))</f>
        <v>-222</v>
      </c>
      <c r="L310" s="5">
        <f>IF(Tabla5[[#This Row],[Orden Cobrada]]="Cobrada",Tabla5[[#This Row],[Ganancia Bruta]]-Tabla6[[#This Row],[Coste Cena]],-Tabla6[[#This Row],[Precio Cena]]+Tabla6[[#This Row],[Coste Cena]])</f>
        <v>-90</v>
      </c>
      <c r="M310" s="10">
        <f>IF(Tabla5[[#This Row],[Orden Cobrada]]="Cobrada",((Tabla5[[#This Row],[Ganancia Neta]]/Tabla5[[#This Row],[Ganancia Bruta]])*100)/100,-((Tabla5[[#This Row],[Ganancia Neta]]/Tabla5[[#This Row],[Ganancia Bruta]]*100)/100))</f>
        <v>-0.40540540540540543</v>
      </c>
      <c r="N310" s="5" t="str">
        <f>sala!F309</f>
        <v>Mesero_2</v>
      </c>
      <c r="AY310" cm="1">
        <f t="array" ref="AY310">SUM(IF(Cocina!A:A=Tabla5[[#This Row],[Nº Orden]],Cocina!F:F*Cocina!G:G,0))</f>
        <v>222</v>
      </c>
      <c r="AZ310" cm="1">
        <f t="array" ref="AZ310">SUM(IF(Cocina!A:A=Tabla5[[#This Row],[Nº Orden]],Cocina!E:E*Cocina!G:G,0))</f>
        <v>132</v>
      </c>
      <c r="BB310" t="str">
        <f>MID(Tabla4[[#This Row],[Cliente]], SEARCH("_", Tabla4[[#This Row],[Cliente]]) + 1, LEN(Tabla4[[#This Row],[Cliente]]) - SEARCH("_",Tabla4[[#This Row],[Cliente]]))</f>
        <v>846</v>
      </c>
      <c r="BC310" t="str">
        <f>sala!B309</f>
        <v>Cliente_846</v>
      </c>
      <c r="BD310" s="1">
        <f>sala!D309</f>
        <v>45019.079861111109</v>
      </c>
      <c r="BE310" s="1">
        <f>sala!E309</f>
        <v>45019.193749999999</v>
      </c>
      <c r="BF310">
        <f>sala!K309</f>
        <v>308</v>
      </c>
      <c r="BG310">
        <f>sala!I309</f>
        <v>3379</v>
      </c>
      <c r="BH310" cm="1">
        <f t="array" ref="BH310">SUM(IF(Cocina!A:A=Tabla4[[#This Row],[Número de Orden]],Cocina!F:F*Cocina!G:G,0))</f>
        <v>222</v>
      </c>
      <c r="BI310" t="str">
        <f>sala!J309</f>
        <v>Reservada</v>
      </c>
      <c r="BJ310" s="4" t="str">
        <f>IF(Tabla4[[#This Row],[Estado mesa]]="Ocupada","00:15","00:00")</f>
        <v>00:00</v>
      </c>
      <c r="BK310" cm="1">
        <f t="array" ref="BK310">SUM(IF(Cocina!A:A=Tabla4[[#This Row],[Número de Orden]],Cocina!H:H,0))</f>
        <v>186</v>
      </c>
    </row>
    <row r="311" spans="1:63" x14ac:dyDescent="0.3">
      <c r="A311" s="8" t="str">
        <f>MID(Tabla4[[#This Row],[Cliente]], SEARCH("_", Tabla4[[#This Row],[Cliente]]) + 1, LEN(Tabla4[[#This Row],[Cliente]]) - SEARCH("_",Tabla4[[#This Row],[Cliente]]))</f>
        <v>620</v>
      </c>
      <c r="B311">
        <f>sala!K310</f>
        <v>309</v>
      </c>
      <c r="C311">
        <f>Tabla4[[#This Row],[Propina]]+Tabla4[[#This Row],[Precio Cena]]</f>
        <v>3781</v>
      </c>
      <c r="D311" s="3">
        <f>INT(sala!E310)</f>
        <v>45019</v>
      </c>
      <c r="E311" s="4">
        <f>MOD( sala!D310,1)</f>
        <v>1.9444444442342501E-2</v>
      </c>
      <c r="F311" s="4">
        <f>MOD( sala!E310,1)</f>
        <v>0.17013888889050577</v>
      </c>
      <c r="G311" s="4">
        <f>Tabla5[[#This Row],[Hora de Salida]]-Tabla5[[#This Row],[Hora de Llegada]]+Tabla4[[#This Row],[Tiempo Extra]]</f>
        <v>0.15069444444816327</v>
      </c>
      <c r="H311" s="5" t="str">
        <f>TEXT(Tabla4[[#This Row],[Preparación en horas]]/1440, "h:mm")</f>
        <v>2:03</v>
      </c>
      <c r="I311" s="4">
        <f>IF(Tabla5[[#This Row],[Tiempo Permanencia]]-Tabla5[[#This Row],[Tiempo de Preparación ]]&gt;=0,Tabla5[[#This Row],[Tiempo Permanencia]]-Tabla5[[#This Row],[Tiempo de Preparación ]],0)</f>
        <v>6.5277777781496599E-2</v>
      </c>
      <c r="J311" s="5" t="str">
        <f>IF(Tabla5[[#This Row],[Tiempo de Degustación]]=0,"No Cobrada","Cobrada")</f>
        <v>Cobrada</v>
      </c>
      <c r="K311" s="5" cm="1">
        <f t="array" ref="K311">SUM(IF(Tabla5[[#This Row],[Orden Cobrada]]="Cobrada",IF(Cocina!A:A=Tabla5[[#This Row],[Nº Orden]],Cocina!F:F*Cocina!G:G,0),-Tabla6[[#This Row],[Precio Cena]]))</f>
        <v>172</v>
      </c>
      <c r="L311" s="5">
        <f>IF(Tabla5[[#This Row],[Orden Cobrada]]="Cobrada",Tabla5[[#This Row],[Ganancia Bruta]]-Tabla6[[#This Row],[Coste Cena]],-Tabla6[[#This Row],[Precio Cena]]+Tabla6[[#This Row],[Coste Cena]])</f>
        <v>67</v>
      </c>
      <c r="M311" s="10">
        <f>IF(Tabla5[[#This Row],[Orden Cobrada]]="Cobrada",((Tabla5[[#This Row],[Ganancia Neta]]/Tabla5[[#This Row],[Ganancia Bruta]])*100)/100,-((Tabla5[[#This Row],[Ganancia Neta]]/Tabla5[[#This Row],[Ganancia Bruta]]*100)/100))</f>
        <v>0.38953488372093026</v>
      </c>
      <c r="N311" s="5" t="str">
        <f>sala!F310</f>
        <v>Mesero_1</v>
      </c>
      <c r="AY311" cm="1">
        <f t="array" ref="AY311">SUM(IF(Cocina!A:A=Tabla5[[#This Row],[Nº Orden]],Cocina!F:F*Cocina!G:G,0))</f>
        <v>172</v>
      </c>
      <c r="AZ311" cm="1">
        <f t="array" ref="AZ311">SUM(IF(Cocina!A:A=Tabla5[[#This Row],[Nº Orden]],Cocina!E:E*Cocina!G:G,0))</f>
        <v>105</v>
      </c>
      <c r="BB311" t="str">
        <f>MID(Tabla4[[#This Row],[Cliente]], SEARCH("_", Tabla4[[#This Row],[Cliente]]) + 1, LEN(Tabla4[[#This Row],[Cliente]]) - SEARCH("_",Tabla4[[#This Row],[Cliente]]))</f>
        <v>620</v>
      </c>
      <c r="BC311" t="str">
        <f>sala!B310</f>
        <v>Cliente_620</v>
      </c>
      <c r="BD311" s="1">
        <f>sala!D310</f>
        <v>45019.019444444442</v>
      </c>
      <c r="BE311" s="1">
        <f>sala!E310</f>
        <v>45019.170138888891</v>
      </c>
      <c r="BF311">
        <f>sala!K310</f>
        <v>309</v>
      </c>
      <c r="BG311">
        <f>sala!I310</f>
        <v>3609</v>
      </c>
      <c r="BH311" cm="1">
        <f t="array" ref="BH311">SUM(IF(Cocina!A:A=Tabla4[[#This Row],[Número de Orden]],Cocina!F:F*Cocina!G:G,0))</f>
        <v>172</v>
      </c>
      <c r="BI311" t="str">
        <f>sala!J310</f>
        <v>Reservada</v>
      </c>
      <c r="BJ311" s="4" t="str">
        <f>IF(Tabla4[[#This Row],[Estado mesa]]="Ocupada","00:15","00:00")</f>
        <v>00:00</v>
      </c>
      <c r="BK311" cm="1">
        <f t="array" ref="BK311">SUM(IF(Cocina!A:A=Tabla4[[#This Row],[Número de Orden]],Cocina!H:H,0))</f>
        <v>123</v>
      </c>
    </row>
    <row r="312" spans="1:63" x14ac:dyDescent="0.3">
      <c r="A312" s="8" t="str">
        <f>MID(Tabla4[[#This Row],[Cliente]], SEARCH("_", Tabla4[[#This Row],[Cliente]]) + 1, LEN(Tabla4[[#This Row],[Cliente]]) - SEARCH("_",Tabla4[[#This Row],[Cliente]]))</f>
        <v>672</v>
      </c>
      <c r="B312">
        <f>sala!K311</f>
        <v>310</v>
      </c>
      <c r="C312">
        <f>Tabla4[[#This Row],[Propina]]+Tabla4[[#This Row],[Precio Cena]]</f>
        <v>1285</v>
      </c>
      <c r="D312" s="3">
        <f>INT(sala!E311)</f>
        <v>45019</v>
      </c>
      <c r="E312" s="4">
        <f>MOD( sala!D311,1)</f>
        <v>0.12777777777955635</v>
      </c>
      <c r="F312" s="4">
        <f>MOD( sala!E311,1)</f>
        <v>0.26597222222335404</v>
      </c>
      <c r="G312" s="4">
        <f>Tabla5[[#This Row],[Hora de Salida]]-Tabla5[[#This Row],[Hora de Llegada]]+Tabla4[[#This Row],[Tiempo Extra]]</f>
        <v>0.13819444444379769</v>
      </c>
      <c r="H312" s="5" t="str">
        <f>TEXT(Tabla4[[#This Row],[Preparación en horas]]/1440, "h:mm")</f>
        <v>1:37</v>
      </c>
      <c r="I312" s="4">
        <f>IF(Tabla5[[#This Row],[Tiempo Permanencia]]-Tabla5[[#This Row],[Tiempo de Preparación ]]&gt;=0,Tabla5[[#This Row],[Tiempo Permanencia]]-Tabla5[[#This Row],[Tiempo de Preparación ]],0)</f>
        <v>7.0833333332686585E-2</v>
      </c>
      <c r="J312" s="5" t="str">
        <f>IF(Tabla5[[#This Row],[Tiempo de Degustación]]=0,"No Cobrada","Cobrada")</f>
        <v>Cobrada</v>
      </c>
      <c r="K312" s="5" cm="1">
        <f t="array" ref="K312">SUM(IF(Tabla5[[#This Row],[Orden Cobrada]]="Cobrada",IF(Cocina!A:A=Tabla5[[#This Row],[Nº Orden]],Cocina!F:F*Cocina!G:G,0),-Tabla6[[#This Row],[Precio Cena]]))</f>
        <v>138</v>
      </c>
      <c r="L312" s="5">
        <f>IF(Tabla5[[#This Row],[Orden Cobrada]]="Cobrada",Tabla5[[#This Row],[Ganancia Bruta]]-Tabla6[[#This Row],[Coste Cena]],-Tabla6[[#This Row],[Precio Cena]]+Tabla6[[#This Row],[Coste Cena]])</f>
        <v>57</v>
      </c>
      <c r="M312" s="10">
        <f>IF(Tabla5[[#This Row],[Orden Cobrada]]="Cobrada",((Tabla5[[#This Row],[Ganancia Neta]]/Tabla5[[#This Row],[Ganancia Bruta]])*100)/100,-((Tabla5[[#This Row],[Ganancia Neta]]/Tabla5[[#This Row],[Ganancia Bruta]]*100)/100))</f>
        <v>0.41304347826086951</v>
      </c>
      <c r="N312" s="5" t="str">
        <f>sala!F311</f>
        <v>Mesero_5</v>
      </c>
      <c r="AY312" cm="1">
        <f t="array" ref="AY312">SUM(IF(Cocina!A:A=Tabla5[[#This Row],[Nº Orden]],Cocina!F:F*Cocina!G:G,0))</f>
        <v>138</v>
      </c>
      <c r="AZ312" cm="1">
        <f t="array" ref="AZ312">SUM(IF(Cocina!A:A=Tabla5[[#This Row],[Nº Orden]],Cocina!E:E*Cocina!G:G,0))</f>
        <v>81</v>
      </c>
      <c r="BB312" t="str">
        <f>MID(Tabla4[[#This Row],[Cliente]], SEARCH("_", Tabla4[[#This Row],[Cliente]]) + 1, LEN(Tabla4[[#This Row],[Cliente]]) - SEARCH("_",Tabla4[[#This Row],[Cliente]]))</f>
        <v>672</v>
      </c>
      <c r="BC312" t="str">
        <f>sala!B311</f>
        <v>Cliente_672</v>
      </c>
      <c r="BD312" s="1">
        <f>sala!D311</f>
        <v>45019.12777777778</v>
      </c>
      <c r="BE312" s="1">
        <f>sala!E311</f>
        <v>45019.265972222223</v>
      </c>
      <c r="BF312">
        <f>sala!K311</f>
        <v>310</v>
      </c>
      <c r="BG312">
        <f>sala!I311</f>
        <v>1147</v>
      </c>
      <c r="BH312" cm="1">
        <f t="array" ref="BH312">SUM(IF(Cocina!A:A=Tabla4[[#This Row],[Número de Orden]],Cocina!F:F*Cocina!G:G,0))</f>
        <v>138</v>
      </c>
      <c r="BI312" t="str">
        <f>sala!J311</f>
        <v>Libre</v>
      </c>
      <c r="BJ312" s="4" t="str">
        <f>IF(Tabla4[[#This Row],[Estado mesa]]="Ocupada","00:15","00:00")</f>
        <v>00:00</v>
      </c>
      <c r="BK312" cm="1">
        <f t="array" ref="BK312">SUM(IF(Cocina!A:A=Tabla4[[#This Row],[Número de Orden]],Cocina!H:H,0))</f>
        <v>97</v>
      </c>
    </row>
    <row r="313" spans="1:63" x14ac:dyDescent="0.3">
      <c r="A313" s="8" t="str">
        <f>MID(Tabla4[[#This Row],[Cliente]], SEARCH("_", Tabla4[[#This Row],[Cliente]]) + 1, LEN(Tabla4[[#This Row],[Cliente]]) - SEARCH("_",Tabla4[[#This Row],[Cliente]]))</f>
        <v>735</v>
      </c>
      <c r="B313">
        <f>sala!K312</f>
        <v>311</v>
      </c>
      <c r="C313">
        <f>Tabla4[[#This Row],[Propina]]+Tabla4[[#This Row],[Precio Cena]]</f>
        <v>3980</v>
      </c>
      <c r="D313" s="3">
        <f>INT(sala!E312)</f>
        <v>45019</v>
      </c>
      <c r="E313" s="4">
        <f>MOD( sala!D312,1)</f>
        <v>6.9444444445252884E-2</v>
      </c>
      <c r="F313" s="4">
        <f>MOD( sala!E312,1)</f>
        <v>0.1131944444423425</v>
      </c>
      <c r="G313" s="4">
        <f>Tabla5[[#This Row],[Hora de Salida]]-Tabla5[[#This Row],[Hora de Llegada]]+Tabla4[[#This Row],[Tiempo Extra]]</f>
        <v>5.4166666663756281E-2</v>
      </c>
      <c r="H313" s="5" t="str">
        <f>TEXT(Tabla4[[#This Row],[Preparación en horas]]/1440, "h:mm")</f>
        <v>1:14</v>
      </c>
      <c r="I313" s="4">
        <f>IF(Tabla5[[#This Row],[Tiempo Permanencia]]-Tabla5[[#This Row],[Tiempo de Preparación ]]&gt;=0,Tabla5[[#This Row],[Tiempo Permanencia]]-Tabla5[[#This Row],[Tiempo de Preparación ]],0)</f>
        <v>2.7777777748673946E-3</v>
      </c>
      <c r="J313" s="5" t="str">
        <f>IF(Tabla5[[#This Row],[Tiempo de Degustación]]=0,"No Cobrada","Cobrada")</f>
        <v>Cobrada</v>
      </c>
      <c r="K313" s="5" cm="1">
        <f t="array" ref="K313">SUM(IF(Tabla5[[#This Row],[Orden Cobrada]]="Cobrada",IF(Cocina!A:A=Tabla5[[#This Row],[Nº Orden]],Cocina!F:F*Cocina!G:G,0),-Tabla6[[#This Row],[Precio Cena]]))</f>
        <v>53</v>
      </c>
      <c r="L313" s="5">
        <f>IF(Tabla5[[#This Row],[Orden Cobrada]]="Cobrada",Tabla5[[#This Row],[Ganancia Bruta]]-Tabla6[[#This Row],[Coste Cena]],-Tabla6[[#This Row],[Precio Cena]]+Tabla6[[#This Row],[Coste Cena]])</f>
        <v>22</v>
      </c>
      <c r="M313" s="10">
        <f>IF(Tabla5[[#This Row],[Orden Cobrada]]="Cobrada",((Tabla5[[#This Row],[Ganancia Neta]]/Tabla5[[#This Row],[Ganancia Bruta]])*100)/100,-((Tabla5[[#This Row],[Ganancia Neta]]/Tabla5[[#This Row],[Ganancia Bruta]]*100)/100))</f>
        <v>0.41509433962264153</v>
      </c>
      <c r="N313" s="5" t="str">
        <f>sala!F312</f>
        <v>Mesero_3</v>
      </c>
      <c r="AY313" cm="1">
        <f t="array" ref="AY313">SUM(IF(Cocina!A:A=Tabla5[[#This Row],[Nº Orden]],Cocina!F:F*Cocina!G:G,0))</f>
        <v>53</v>
      </c>
      <c r="AZ313" cm="1">
        <f t="array" ref="AZ313">SUM(IF(Cocina!A:A=Tabla5[[#This Row],[Nº Orden]],Cocina!E:E*Cocina!G:G,0))</f>
        <v>31</v>
      </c>
      <c r="BB313" t="str">
        <f>MID(Tabla4[[#This Row],[Cliente]], SEARCH("_", Tabla4[[#This Row],[Cliente]]) + 1, LEN(Tabla4[[#This Row],[Cliente]]) - SEARCH("_",Tabla4[[#This Row],[Cliente]]))</f>
        <v>735</v>
      </c>
      <c r="BC313" t="str">
        <f>sala!B312</f>
        <v>Cliente_735</v>
      </c>
      <c r="BD313" s="1">
        <f>sala!D312</f>
        <v>45019.069444444445</v>
      </c>
      <c r="BE313" s="1">
        <f>sala!E312</f>
        <v>45019.113194444442</v>
      </c>
      <c r="BF313">
        <f>sala!K312</f>
        <v>311</v>
      </c>
      <c r="BG313">
        <f>sala!I312</f>
        <v>3927</v>
      </c>
      <c r="BH313" cm="1">
        <f t="array" ref="BH313">SUM(IF(Cocina!A:A=Tabla4[[#This Row],[Número de Orden]],Cocina!F:F*Cocina!G:G,0))</f>
        <v>53</v>
      </c>
      <c r="BI313" t="str">
        <f>sala!J312</f>
        <v>Ocupada</v>
      </c>
      <c r="BJ313" s="4" t="str">
        <f>IF(Tabla4[[#This Row],[Estado mesa]]="Ocupada","00:15","00:00")</f>
        <v>00:15</v>
      </c>
      <c r="BK313" cm="1">
        <f t="array" ref="BK313">SUM(IF(Cocina!A:A=Tabla4[[#This Row],[Número de Orden]],Cocina!H:H,0))</f>
        <v>74</v>
      </c>
    </row>
    <row r="314" spans="1:63" x14ac:dyDescent="0.3">
      <c r="A314" s="8" t="str">
        <f>MID(Tabla4[[#This Row],[Cliente]], SEARCH("_", Tabla4[[#This Row],[Cliente]]) + 1, LEN(Tabla4[[#This Row],[Cliente]]) - SEARCH("_",Tabla4[[#This Row],[Cliente]]))</f>
        <v>268</v>
      </c>
      <c r="B314">
        <f>sala!K313</f>
        <v>312</v>
      </c>
      <c r="C314">
        <f>Tabla4[[#This Row],[Propina]]+Tabla4[[#This Row],[Precio Cena]]</f>
        <v>3223</v>
      </c>
      <c r="D314" s="3">
        <f>INT(sala!E313)</f>
        <v>45019</v>
      </c>
      <c r="E314" s="4">
        <f>MOD( sala!D313,1)</f>
        <v>0.12986111111240461</v>
      </c>
      <c r="F314" s="4">
        <f>MOD( sala!E313,1)</f>
        <v>0.25833333333139308</v>
      </c>
      <c r="G314" s="4">
        <f>Tabla5[[#This Row],[Hora de Salida]]-Tabla5[[#This Row],[Hora de Llegada]]+Tabla4[[#This Row],[Tiempo Extra]]</f>
        <v>0.12847222221898846</v>
      </c>
      <c r="H314" s="5" t="str">
        <f>TEXT(Tabla4[[#This Row],[Preparación en horas]]/1440, "h:mm")</f>
        <v>0:55</v>
      </c>
      <c r="I314" s="4">
        <f>IF(Tabla5[[#This Row],[Tiempo Permanencia]]-Tabla5[[#This Row],[Tiempo de Preparación ]]&gt;=0,Tabla5[[#This Row],[Tiempo Permanencia]]-Tabla5[[#This Row],[Tiempo de Preparación ]],0)</f>
        <v>9.0277777774544016E-2</v>
      </c>
      <c r="J314" s="5" t="str">
        <f>IF(Tabla5[[#This Row],[Tiempo de Degustación]]=0,"No Cobrada","Cobrada")</f>
        <v>Cobrada</v>
      </c>
      <c r="K314" s="5" cm="1">
        <f t="array" ref="K314">SUM(IF(Tabla5[[#This Row],[Orden Cobrada]]="Cobrada",IF(Cocina!A:A=Tabla5[[#This Row],[Nº Orden]],Cocina!F:F*Cocina!G:G,0),-Tabla6[[#This Row],[Precio Cena]]))</f>
        <v>134</v>
      </c>
      <c r="L314" s="5">
        <f>IF(Tabla5[[#This Row],[Orden Cobrada]]="Cobrada",Tabla5[[#This Row],[Ganancia Bruta]]-Tabla6[[#This Row],[Coste Cena]],-Tabla6[[#This Row],[Precio Cena]]+Tabla6[[#This Row],[Coste Cena]])</f>
        <v>54</v>
      </c>
      <c r="M314" s="10">
        <f>IF(Tabla5[[#This Row],[Orden Cobrada]]="Cobrada",((Tabla5[[#This Row],[Ganancia Neta]]/Tabla5[[#This Row],[Ganancia Bruta]])*100)/100,-((Tabla5[[#This Row],[Ganancia Neta]]/Tabla5[[#This Row],[Ganancia Bruta]]*100)/100))</f>
        <v>0.40298507462686567</v>
      </c>
      <c r="N314" s="5" t="str">
        <f>sala!F313</f>
        <v>Mesero_3</v>
      </c>
      <c r="AY314" cm="1">
        <f t="array" ref="AY314">SUM(IF(Cocina!A:A=Tabla5[[#This Row],[Nº Orden]],Cocina!F:F*Cocina!G:G,0))</f>
        <v>134</v>
      </c>
      <c r="AZ314" cm="1">
        <f t="array" ref="AZ314">SUM(IF(Cocina!A:A=Tabla5[[#This Row],[Nº Orden]],Cocina!E:E*Cocina!G:G,0))</f>
        <v>80</v>
      </c>
      <c r="BB314" t="str">
        <f>MID(Tabla4[[#This Row],[Cliente]], SEARCH("_", Tabla4[[#This Row],[Cliente]]) + 1, LEN(Tabla4[[#This Row],[Cliente]]) - SEARCH("_",Tabla4[[#This Row],[Cliente]]))</f>
        <v>268</v>
      </c>
      <c r="BC314" t="str">
        <f>sala!B313</f>
        <v>Cliente_268</v>
      </c>
      <c r="BD314" s="1">
        <f>sala!D313</f>
        <v>45019.129861111112</v>
      </c>
      <c r="BE314" s="1">
        <f>sala!E313</f>
        <v>45019.258333333331</v>
      </c>
      <c r="BF314">
        <f>sala!K313</f>
        <v>312</v>
      </c>
      <c r="BG314">
        <f>sala!I313</f>
        <v>3089</v>
      </c>
      <c r="BH314" cm="1">
        <f t="array" ref="BH314">SUM(IF(Cocina!A:A=Tabla4[[#This Row],[Número de Orden]],Cocina!F:F*Cocina!G:G,0))</f>
        <v>134</v>
      </c>
      <c r="BI314" t="str">
        <f>sala!J313</f>
        <v>Reservada</v>
      </c>
      <c r="BJ314" s="4" t="str">
        <f>IF(Tabla4[[#This Row],[Estado mesa]]="Ocupada","00:15","00:00")</f>
        <v>00:00</v>
      </c>
      <c r="BK314" cm="1">
        <f t="array" ref="BK314">SUM(IF(Cocina!A:A=Tabla4[[#This Row],[Número de Orden]],Cocina!H:H,0))</f>
        <v>55</v>
      </c>
    </row>
    <row r="315" spans="1:63" x14ac:dyDescent="0.3">
      <c r="A315" s="8" t="str">
        <f>MID(Tabla4[[#This Row],[Cliente]], SEARCH("_", Tabla4[[#This Row],[Cliente]]) + 1, LEN(Tabla4[[#This Row],[Cliente]]) - SEARCH("_",Tabla4[[#This Row],[Cliente]]))</f>
        <v>974</v>
      </c>
      <c r="B315">
        <f>sala!K314</f>
        <v>313</v>
      </c>
      <c r="C315">
        <f>Tabla4[[#This Row],[Propina]]+Tabla4[[#This Row],[Precio Cena]]</f>
        <v>4546</v>
      </c>
      <c r="D315" s="3">
        <f>INT(sala!E314)</f>
        <v>45019</v>
      </c>
      <c r="E315" s="4">
        <f>MOD( sala!D314,1)</f>
        <v>9.930555555911269E-2</v>
      </c>
      <c r="F315" s="4">
        <f>MOD( sala!E314,1)</f>
        <v>0.24027777777519077</v>
      </c>
      <c r="G315" s="4">
        <f>Tabla5[[#This Row],[Hora de Salida]]-Tabla5[[#This Row],[Hora de Llegada]]+Tabla4[[#This Row],[Tiempo Extra]]</f>
        <v>0.14097222221607808</v>
      </c>
      <c r="H315" s="5" t="str">
        <f>TEXT(Tabla4[[#This Row],[Preparación en horas]]/1440, "h:mm")</f>
        <v>1:46</v>
      </c>
      <c r="I315" s="4">
        <f>IF(Tabla5[[#This Row],[Tiempo Permanencia]]-Tabla5[[#This Row],[Tiempo de Preparación ]]&gt;=0,Tabla5[[#This Row],[Tiempo Permanencia]]-Tabla5[[#This Row],[Tiempo de Preparación ]],0)</f>
        <v>6.7361111104966967E-2</v>
      </c>
      <c r="J315" s="5" t="str">
        <f>IF(Tabla5[[#This Row],[Tiempo de Degustación]]=0,"No Cobrada","Cobrada")</f>
        <v>Cobrada</v>
      </c>
      <c r="K315" s="5" cm="1">
        <f t="array" ref="K315">SUM(IF(Tabla5[[#This Row],[Orden Cobrada]]="Cobrada",IF(Cocina!A:A=Tabla5[[#This Row],[Nº Orden]],Cocina!F:F*Cocina!G:G,0),-Tabla6[[#This Row],[Precio Cena]]))</f>
        <v>232</v>
      </c>
      <c r="L315" s="5">
        <f>IF(Tabla5[[#This Row],[Orden Cobrada]]="Cobrada",Tabla5[[#This Row],[Ganancia Bruta]]-Tabla6[[#This Row],[Coste Cena]],-Tabla6[[#This Row],[Precio Cena]]+Tabla6[[#This Row],[Coste Cena]])</f>
        <v>92</v>
      </c>
      <c r="M315" s="10">
        <f>IF(Tabla5[[#This Row],[Orden Cobrada]]="Cobrada",((Tabla5[[#This Row],[Ganancia Neta]]/Tabla5[[#This Row],[Ganancia Bruta]])*100)/100,-((Tabla5[[#This Row],[Ganancia Neta]]/Tabla5[[#This Row],[Ganancia Bruta]]*100)/100))</f>
        <v>0.39655172413793105</v>
      </c>
      <c r="N315" s="5" t="str">
        <f>sala!F314</f>
        <v>Mesero_1</v>
      </c>
      <c r="AY315" cm="1">
        <f t="array" ref="AY315">SUM(IF(Cocina!A:A=Tabla5[[#This Row],[Nº Orden]],Cocina!F:F*Cocina!G:G,0))</f>
        <v>232</v>
      </c>
      <c r="AZ315" cm="1">
        <f t="array" ref="AZ315">SUM(IF(Cocina!A:A=Tabla5[[#This Row],[Nº Orden]],Cocina!E:E*Cocina!G:G,0))</f>
        <v>140</v>
      </c>
      <c r="BB315" t="str">
        <f>MID(Tabla4[[#This Row],[Cliente]], SEARCH("_", Tabla4[[#This Row],[Cliente]]) + 1, LEN(Tabla4[[#This Row],[Cliente]]) - SEARCH("_",Tabla4[[#This Row],[Cliente]]))</f>
        <v>974</v>
      </c>
      <c r="BC315" t="str">
        <f>sala!B314</f>
        <v>Cliente_974</v>
      </c>
      <c r="BD315" s="1">
        <f>sala!D314</f>
        <v>45019.099305555559</v>
      </c>
      <c r="BE315" s="1">
        <f>sala!E314</f>
        <v>45019.240277777775</v>
      </c>
      <c r="BF315">
        <f>sala!K314</f>
        <v>313</v>
      </c>
      <c r="BG315">
        <f>sala!I314</f>
        <v>4314</v>
      </c>
      <c r="BH315" cm="1">
        <f t="array" ref="BH315">SUM(IF(Cocina!A:A=Tabla4[[#This Row],[Número de Orden]],Cocina!F:F*Cocina!G:G,0))</f>
        <v>232</v>
      </c>
      <c r="BI315" t="str">
        <f>sala!J314</f>
        <v>Reservada</v>
      </c>
      <c r="BJ315" s="4" t="str">
        <f>IF(Tabla4[[#This Row],[Estado mesa]]="Ocupada","00:15","00:00")</f>
        <v>00:00</v>
      </c>
      <c r="BK315" cm="1">
        <f t="array" ref="BK315">SUM(IF(Cocina!A:A=Tabla4[[#This Row],[Número de Orden]],Cocina!H:H,0))</f>
        <v>106</v>
      </c>
    </row>
    <row r="316" spans="1:63" x14ac:dyDescent="0.3">
      <c r="A316" s="8" t="str">
        <f>MID(Tabla4[[#This Row],[Cliente]], SEARCH("_", Tabla4[[#This Row],[Cliente]]) + 1, LEN(Tabla4[[#This Row],[Cliente]]) - SEARCH("_",Tabla4[[#This Row],[Cliente]]))</f>
        <v>161</v>
      </c>
      <c r="B316">
        <f>sala!K315</f>
        <v>314</v>
      </c>
      <c r="C316">
        <f>Tabla4[[#This Row],[Propina]]+Tabla4[[#This Row],[Precio Cena]]</f>
        <v>3245</v>
      </c>
      <c r="D316" s="3">
        <f>INT(sala!E315)</f>
        <v>45019</v>
      </c>
      <c r="E316" s="4">
        <f>MOD( sala!D315,1)</f>
        <v>3.1944444446708076E-2</v>
      </c>
      <c r="F316" s="4">
        <f>MOD( sala!E315,1)</f>
        <v>0.16180555555911269</v>
      </c>
      <c r="G316" s="4">
        <f>Tabla5[[#This Row],[Hora de Salida]]-Tabla5[[#This Row],[Hora de Llegada]]+Tabla4[[#This Row],[Tiempo Extra]]</f>
        <v>0.14027777777907127</v>
      </c>
      <c r="H316" s="5" t="str">
        <f>TEXT(Tabla4[[#This Row],[Preparación en horas]]/1440, "h:mm")</f>
        <v>0:05</v>
      </c>
      <c r="I316" s="4">
        <f>IF(Tabla5[[#This Row],[Tiempo Permanencia]]-Tabla5[[#This Row],[Tiempo de Preparación ]]&gt;=0,Tabla5[[#This Row],[Tiempo Permanencia]]-Tabla5[[#This Row],[Tiempo de Preparación ]],0)</f>
        <v>0.13680555555684906</v>
      </c>
      <c r="J316" s="5" t="str">
        <f>IF(Tabla5[[#This Row],[Tiempo de Degustación]]=0,"No Cobrada","Cobrada")</f>
        <v>Cobrada</v>
      </c>
      <c r="K316" s="5" cm="1">
        <f t="array" ref="K316">SUM(IF(Tabla5[[#This Row],[Orden Cobrada]]="Cobrada",IF(Cocina!A:A=Tabla5[[#This Row],[Nº Orden]],Cocina!F:F*Cocina!G:G,0),-Tabla6[[#This Row],[Precio Cena]]))</f>
        <v>27</v>
      </c>
      <c r="L316" s="5">
        <f>IF(Tabla5[[#This Row],[Orden Cobrada]]="Cobrada",Tabla5[[#This Row],[Ganancia Bruta]]-Tabla6[[#This Row],[Coste Cena]],-Tabla6[[#This Row],[Precio Cena]]+Tabla6[[#This Row],[Coste Cena]])</f>
        <v>11</v>
      </c>
      <c r="M316" s="10">
        <f>IF(Tabla5[[#This Row],[Orden Cobrada]]="Cobrada",((Tabla5[[#This Row],[Ganancia Neta]]/Tabla5[[#This Row],[Ganancia Bruta]])*100)/100,-((Tabla5[[#This Row],[Ganancia Neta]]/Tabla5[[#This Row],[Ganancia Bruta]]*100)/100))</f>
        <v>0.40740740740740738</v>
      </c>
      <c r="N316" s="5" t="str">
        <f>sala!F315</f>
        <v>Mesero_4</v>
      </c>
      <c r="AY316" cm="1">
        <f t="array" ref="AY316">SUM(IF(Cocina!A:A=Tabla5[[#This Row],[Nº Orden]],Cocina!F:F*Cocina!G:G,0))</f>
        <v>27</v>
      </c>
      <c r="AZ316" cm="1">
        <f t="array" ref="AZ316">SUM(IF(Cocina!A:A=Tabla5[[#This Row],[Nº Orden]],Cocina!E:E*Cocina!G:G,0))</f>
        <v>16</v>
      </c>
      <c r="BB316" t="str">
        <f>MID(Tabla4[[#This Row],[Cliente]], SEARCH("_", Tabla4[[#This Row],[Cliente]]) + 1, LEN(Tabla4[[#This Row],[Cliente]]) - SEARCH("_",Tabla4[[#This Row],[Cliente]]))</f>
        <v>161</v>
      </c>
      <c r="BC316" t="str">
        <f>sala!B315</f>
        <v>Cliente_161</v>
      </c>
      <c r="BD316" s="1">
        <f>sala!D315</f>
        <v>45019.031944444447</v>
      </c>
      <c r="BE316" s="1">
        <f>sala!E315</f>
        <v>45019.161805555559</v>
      </c>
      <c r="BF316">
        <f>sala!K315</f>
        <v>314</v>
      </c>
      <c r="BG316">
        <f>sala!I315</f>
        <v>3218</v>
      </c>
      <c r="BH316" cm="1">
        <f t="array" ref="BH316">SUM(IF(Cocina!A:A=Tabla4[[#This Row],[Número de Orden]],Cocina!F:F*Cocina!G:G,0))</f>
        <v>27</v>
      </c>
      <c r="BI316" t="str">
        <f>sala!J315</f>
        <v>Ocupada</v>
      </c>
      <c r="BJ316" s="4" t="str">
        <f>IF(Tabla4[[#This Row],[Estado mesa]]="Ocupada","00:15","00:00")</f>
        <v>00:15</v>
      </c>
      <c r="BK316" cm="1">
        <f t="array" ref="BK316">SUM(IF(Cocina!A:A=Tabla4[[#This Row],[Número de Orden]],Cocina!H:H,0))</f>
        <v>5</v>
      </c>
    </row>
    <row r="317" spans="1:63" x14ac:dyDescent="0.3">
      <c r="A317" s="8" t="str">
        <f>MID(Tabla4[[#This Row],[Cliente]], SEARCH("_", Tabla4[[#This Row],[Cliente]]) + 1, LEN(Tabla4[[#This Row],[Cliente]]) - SEARCH("_",Tabla4[[#This Row],[Cliente]]))</f>
        <v>600</v>
      </c>
      <c r="B317">
        <f>sala!K316</f>
        <v>315</v>
      </c>
      <c r="C317">
        <f>Tabla4[[#This Row],[Propina]]+Tabla4[[#This Row],[Precio Cena]]</f>
        <v>367</v>
      </c>
      <c r="D317" s="3">
        <f>INT(sala!E316)</f>
        <v>45019</v>
      </c>
      <c r="E317" s="4">
        <f>MOD( sala!D316,1)</f>
        <v>8.333333331393078E-3</v>
      </c>
      <c r="F317" s="4">
        <f>MOD( sala!E316,1)</f>
        <v>0.14513888888905058</v>
      </c>
      <c r="G317" s="4">
        <f>Tabla5[[#This Row],[Hora de Salida]]-Tabla5[[#This Row],[Hora de Llegada]]+Tabla4[[#This Row],[Tiempo Extra]]</f>
        <v>0.1368055555576575</v>
      </c>
      <c r="H317" s="5" t="str">
        <f>TEXT(Tabla4[[#This Row],[Preparación en horas]]/1440, "h:mm")</f>
        <v>2:06</v>
      </c>
      <c r="I317" s="4">
        <f>IF(Tabla5[[#This Row],[Tiempo Permanencia]]-Tabla5[[#This Row],[Tiempo de Preparación ]]&gt;=0,Tabla5[[#This Row],[Tiempo Permanencia]]-Tabla5[[#This Row],[Tiempo de Preparación ]],0)</f>
        <v>4.9305555557657504E-2</v>
      </c>
      <c r="J317" s="5" t="str">
        <f>IF(Tabla5[[#This Row],[Tiempo de Degustación]]=0,"No Cobrada","Cobrada")</f>
        <v>Cobrada</v>
      </c>
      <c r="K317" s="5" cm="1">
        <f t="array" ref="K317">SUM(IF(Tabla5[[#This Row],[Orden Cobrada]]="Cobrada",IF(Cocina!A:A=Tabla5[[#This Row],[Nº Orden]],Cocina!F:F*Cocina!G:G,0),-Tabla6[[#This Row],[Precio Cena]]))</f>
        <v>161</v>
      </c>
      <c r="L317" s="5">
        <f>IF(Tabla5[[#This Row],[Orden Cobrada]]="Cobrada",Tabla5[[#This Row],[Ganancia Bruta]]-Tabla6[[#This Row],[Coste Cena]],-Tabla6[[#This Row],[Precio Cena]]+Tabla6[[#This Row],[Coste Cena]])</f>
        <v>66</v>
      </c>
      <c r="M317" s="10">
        <f>IF(Tabla5[[#This Row],[Orden Cobrada]]="Cobrada",((Tabla5[[#This Row],[Ganancia Neta]]/Tabla5[[#This Row],[Ganancia Bruta]])*100)/100,-((Tabla5[[#This Row],[Ganancia Neta]]/Tabla5[[#This Row],[Ganancia Bruta]]*100)/100))</f>
        <v>0.40993788819875776</v>
      </c>
      <c r="N317" s="5" t="str">
        <f>sala!F316</f>
        <v>Mesero_2</v>
      </c>
      <c r="AY317" cm="1">
        <f t="array" ref="AY317">SUM(IF(Cocina!A:A=Tabla5[[#This Row],[Nº Orden]],Cocina!F:F*Cocina!G:G,0))</f>
        <v>161</v>
      </c>
      <c r="AZ317" cm="1">
        <f t="array" ref="AZ317">SUM(IF(Cocina!A:A=Tabla5[[#This Row],[Nº Orden]],Cocina!E:E*Cocina!G:G,0))</f>
        <v>95</v>
      </c>
      <c r="BB317" t="str">
        <f>MID(Tabla4[[#This Row],[Cliente]], SEARCH("_", Tabla4[[#This Row],[Cliente]]) + 1, LEN(Tabla4[[#This Row],[Cliente]]) - SEARCH("_",Tabla4[[#This Row],[Cliente]]))</f>
        <v>600</v>
      </c>
      <c r="BC317" t="str">
        <f>sala!B316</f>
        <v>Cliente_600</v>
      </c>
      <c r="BD317" s="1">
        <f>sala!D316</f>
        <v>45019.008333333331</v>
      </c>
      <c r="BE317" s="1">
        <f>sala!E316</f>
        <v>45019.145138888889</v>
      </c>
      <c r="BF317">
        <f>sala!K316</f>
        <v>315</v>
      </c>
      <c r="BG317">
        <f>sala!I316</f>
        <v>206</v>
      </c>
      <c r="BH317" cm="1">
        <f t="array" ref="BH317">SUM(IF(Cocina!A:A=Tabla4[[#This Row],[Número de Orden]],Cocina!F:F*Cocina!G:G,0))</f>
        <v>161</v>
      </c>
      <c r="BI317" t="str">
        <f>sala!J316</f>
        <v>Libre</v>
      </c>
      <c r="BJ317" s="4" t="str">
        <f>IF(Tabla4[[#This Row],[Estado mesa]]="Ocupada","00:15","00:00")</f>
        <v>00:00</v>
      </c>
      <c r="BK317" cm="1">
        <f t="array" ref="BK317">SUM(IF(Cocina!A:A=Tabla4[[#This Row],[Número de Orden]],Cocina!H:H,0))</f>
        <v>126</v>
      </c>
    </row>
    <row r="318" spans="1:63" x14ac:dyDescent="0.3">
      <c r="A318" s="8" t="str">
        <f>MID(Tabla4[[#This Row],[Cliente]], SEARCH("_", Tabla4[[#This Row],[Cliente]]) + 1, LEN(Tabla4[[#This Row],[Cliente]]) - SEARCH("_",Tabla4[[#This Row],[Cliente]]))</f>
        <v>654</v>
      </c>
      <c r="B318">
        <f>sala!K317</f>
        <v>316</v>
      </c>
      <c r="C318">
        <f>Tabla4[[#This Row],[Propina]]+Tabla4[[#This Row],[Precio Cena]]</f>
        <v>3273</v>
      </c>
      <c r="D318" s="3">
        <f>INT(sala!E317)</f>
        <v>45019</v>
      </c>
      <c r="E318" s="4">
        <f>MOD( sala!D317,1)</f>
        <v>6.805555555911269E-2</v>
      </c>
      <c r="F318" s="4">
        <f>MOD( sala!E317,1)</f>
        <v>0.2305555555576575</v>
      </c>
      <c r="G318" s="4">
        <f>Tabla5[[#This Row],[Hora de Salida]]-Tabla5[[#This Row],[Hora de Llegada]]+Tabla4[[#This Row],[Tiempo Extra]]</f>
        <v>0.16249999999854481</v>
      </c>
      <c r="H318" s="5" t="str">
        <f>TEXT(Tabla4[[#This Row],[Preparación en horas]]/1440, "h:mm")</f>
        <v>2:38</v>
      </c>
      <c r="I318" s="4">
        <f>IF(Tabla5[[#This Row],[Tiempo Permanencia]]-Tabla5[[#This Row],[Tiempo de Preparación ]]&gt;=0,Tabla5[[#This Row],[Tiempo Permanencia]]-Tabla5[[#This Row],[Tiempo de Preparación ]],0)</f>
        <v>5.2777777776322587E-2</v>
      </c>
      <c r="J318" s="5" t="str">
        <f>IF(Tabla5[[#This Row],[Tiempo de Degustación]]=0,"No Cobrada","Cobrada")</f>
        <v>Cobrada</v>
      </c>
      <c r="K318" s="5" cm="1">
        <f t="array" ref="K318">SUM(IF(Tabla5[[#This Row],[Orden Cobrada]]="Cobrada",IF(Cocina!A:A=Tabla5[[#This Row],[Nº Orden]],Cocina!F:F*Cocina!G:G,0),-Tabla6[[#This Row],[Precio Cena]]))</f>
        <v>160</v>
      </c>
      <c r="L318" s="5">
        <f>IF(Tabla5[[#This Row],[Orden Cobrada]]="Cobrada",Tabla5[[#This Row],[Ganancia Bruta]]-Tabla6[[#This Row],[Coste Cena]],-Tabla6[[#This Row],[Precio Cena]]+Tabla6[[#This Row],[Coste Cena]])</f>
        <v>64</v>
      </c>
      <c r="M318" s="10">
        <f>IF(Tabla5[[#This Row],[Orden Cobrada]]="Cobrada",((Tabla5[[#This Row],[Ganancia Neta]]/Tabla5[[#This Row],[Ganancia Bruta]])*100)/100,-((Tabla5[[#This Row],[Ganancia Neta]]/Tabla5[[#This Row],[Ganancia Bruta]]*100)/100))</f>
        <v>0.4</v>
      </c>
      <c r="N318" s="5" t="str">
        <f>sala!F317</f>
        <v>Mesero_5</v>
      </c>
      <c r="AY318" cm="1">
        <f t="array" ref="AY318">SUM(IF(Cocina!A:A=Tabla5[[#This Row],[Nº Orden]],Cocina!F:F*Cocina!G:G,0))</f>
        <v>160</v>
      </c>
      <c r="AZ318" cm="1">
        <f t="array" ref="AZ318">SUM(IF(Cocina!A:A=Tabla5[[#This Row],[Nº Orden]],Cocina!E:E*Cocina!G:G,0))</f>
        <v>96</v>
      </c>
      <c r="BB318" t="str">
        <f>MID(Tabla4[[#This Row],[Cliente]], SEARCH("_", Tabla4[[#This Row],[Cliente]]) + 1, LEN(Tabla4[[#This Row],[Cliente]]) - SEARCH("_",Tabla4[[#This Row],[Cliente]]))</f>
        <v>654</v>
      </c>
      <c r="BC318" t="str">
        <f>sala!B317</f>
        <v>Cliente_654</v>
      </c>
      <c r="BD318" s="1">
        <f>sala!D317</f>
        <v>45019.068055555559</v>
      </c>
      <c r="BE318" s="1">
        <f>sala!E317</f>
        <v>45019.230555555558</v>
      </c>
      <c r="BF318">
        <f>sala!K317</f>
        <v>316</v>
      </c>
      <c r="BG318">
        <f>sala!I317</f>
        <v>3113</v>
      </c>
      <c r="BH318" cm="1">
        <f t="array" ref="BH318">SUM(IF(Cocina!A:A=Tabla4[[#This Row],[Número de Orden]],Cocina!F:F*Cocina!G:G,0))</f>
        <v>160</v>
      </c>
      <c r="BI318" t="str">
        <f>sala!J317</f>
        <v>Reservada</v>
      </c>
      <c r="BJ318" s="4" t="str">
        <f>IF(Tabla4[[#This Row],[Estado mesa]]="Ocupada","00:15","00:00")</f>
        <v>00:00</v>
      </c>
      <c r="BK318" cm="1">
        <f t="array" ref="BK318">SUM(IF(Cocina!A:A=Tabla4[[#This Row],[Número de Orden]],Cocina!H:H,0))</f>
        <v>158</v>
      </c>
    </row>
    <row r="319" spans="1:63" x14ac:dyDescent="0.3">
      <c r="A319" s="8" t="str">
        <f>MID(Tabla4[[#This Row],[Cliente]], SEARCH("_", Tabla4[[#This Row],[Cliente]]) + 1, LEN(Tabla4[[#This Row],[Cliente]]) - SEARCH("_",Tabla4[[#This Row],[Cliente]]))</f>
        <v>440</v>
      </c>
      <c r="B319">
        <f>sala!K318</f>
        <v>317</v>
      </c>
      <c r="C319">
        <f>Tabla4[[#This Row],[Propina]]+Tabla4[[#This Row],[Precio Cena]]</f>
        <v>2633</v>
      </c>
      <c r="D319" s="3">
        <f>INT(sala!E318)</f>
        <v>45019</v>
      </c>
      <c r="E319" s="4">
        <f>MOD( sala!D318,1)</f>
        <v>0.10069444444525288</v>
      </c>
      <c r="F319" s="4">
        <f>MOD( sala!E318,1)</f>
        <v>0.26111111111094942</v>
      </c>
      <c r="G319" s="4">
        <f>Tabla5[[#This Row],[Hora de Salida]]-Tabla5[[#This Row],[Hora de Llegada]]+Tabla4[[#This Row],[Tiempo Extra]]</f>
        <v>0.16041666666569654</v>
      </c>
      <c r="H319" s="5" t="str">
        <f>TEXT(Tabla4[[#This Row],[Preparación en horas]]/1440, "h:mm")</f>
        <v>1:28</v>
      </c>
      <c r="I319" s="4">
        <f>IF(Tabla5[[#This Row],[Tiempo Permanencia]]-Tabla5[[#This Row],[Tiempo de Preparación ]]&gt;=0,Tabla5[[#This Row],[Tiempo Permanencia]]-Tabla5[[#This Row],[Tiempo de Preparación ]],0)</f>
        <v>9.9305555554585423E-2</v>
      </c>
      <c r="J319" s="5" t="str">
        <f>IF(Tabla5[[#This Row],[Tiempo de Degustación]]=0,"No Cobrada","Cobrada")</f>
        <v>Cobrada</v>
      </c>
      <c r="K319" s="5" cm="1">
        <f t="array" ref="K319">SUM(IF(Tabla5[[#This Row],[Orden Cobrada]]="Cobrada",IF(Cocina!A:A=Tabla5[[#This Row],[Nº Orden]],Cocina!F:F*Cocina!G:G,0),-Tabla6[[#This Row],[Precio Cena]]))</f>
        <v>178</v>
      </c>
      <c r="L319" s="5">
        <f>IF(Tabla5[[#This Row],[Orden Cobrada]]="Cobrada",Tabla5[[#This Row],[Ganancia Bruta]]-Tabla6[[#This Row],[Coste Cena]],-Tabla6[[#This Row],[Precio Cena]]+Tabla6[[#This Row],[Coste Cena]])</f>
        <v>73</v>
      </c>
      <c r="M319" s="10">
        <f>IF(Tabla5[[#This Row],[Orden Cobrada]]="Cobrada",((Tabla5[[#This Row],[Ganancia Neta]]/Tabla5[[#This Row],[Ganancia Bruta]])*100)/100,-((Tabla5[[#This Row],[Ganancia Neta]]/Tabla5[[#This Row],[Ganancia Bruta]]*100)/100))</f>
        <v>0.4101123595505618</v>
      </c>
      <c r="N319" s="5" t="str">
        <f>sala!F318</f>
        <v>Mesero_2</v>
      </c>
      <c r="AY319" cm="1">
        <f t="array" ref="AY319">SUM(IF(Cocina!A:A=Tabla5[[#This Row],[Nº Orden]],Cocina!F:F*Cocina!G:G,0))</f>
        <v>178</v>
      </c>
      <c r="AZ319" cm="1">
        <f t="array" ref="AZ319">SUM(IF(Cocina!A:A=Tabla5[[#This Row],[Nº Orden]],Cocina!E:E*Cocina!G:G,0))</f>
        <v>105</v>
      </c>
      <c r="BB319" t="str">
        <f>MID(Tabla4[[#This Row],[Cliente]], SEARCH("_", Tabla4[[#This Row],[Cliente]]) + 1, LEN(Tabla4[[#This Row],[Cliente]]) - SEARCH("_",Tabla4[[#This Row],[Cliente]]))</f>
        <v>440</v>
      </c>
      <c r="BC319" t="str">
        <f>sala!B318</f>
        <v>Cliente_440</v>
      </c>
      <c r="BD319" s="1">
        <f>sala!D318</f>
        <v>45019.100694444445</v>
      </c>
      <c r="BE319" s="1">
        <f>sala!E318</f>
        <v>45019.261111111111</v>
      </c>
      <c r="BF319">
        <f>sala!K318</f>
        <v>317</v>
      </c>
      <c r="BG319">
        <f>sala!I318</f>
        <v>2455</v>
      </c>
      <c r="BH319" cm="1">
        <f t="array" ref="BH319">SUM(IF(Cocina!A:A=Tabla4[[#This Row],[Número de Orden]],Cocina!F:F*Cocina!G:G,0))</f>
        <v>178</v>
      </c>
      <c r="BI319" t="str">
        <f>sala!J318</f>
        <v>Libre</v>
      </c>
      <c r="BJ319" s="4" t="str">
        <f>IF(Tabla4[[#This Row],[Estado mesa]]="Ocupada","00:15","00:00")</f>
        <v>00:00</v>
      </c>
      <c r="BK319" cm="1">
        <f t="array" ref="BK319">SUM(IF(Cocina!A:A=Tabla4[[#This Row],[Número de Orden]],Cocina!H:H,0))</f>
        <v>88</v>
      </c>
    </row>
    <row r="320" spans="1:63" x14ac:dyDescent="0.3">
      <c r="A320" s="8" t="str">
        <f>MID(Tabla4[[#This Row],[Cliente]], SEARCH("_", Tabla4[[#This Row],[Cliente]]) + 1, LEN(Tabla4[[#This Row],[Cliente]]) - SEARCH("_",Tabla4[[#This Row],[Cliente]]))</f>
        <v>269</v>
      </c>
      <c r="B320">
        <f>sala!K319</f>
        <v>318</v>
      </c>
      <c r="C320">
        <f>Tabla4[[#This Row],[Propina]]+Tabla4[[#This Row],[Precio Cena]]</f>
        <v>1037</v>
      </c>
      <c r="D320" s="3">
        <f>INT(sala!E319)</f>
        <v>45019</v>
      </c>
      <c r="E320" s="4">
        <f>MOD( sala!D319,1)</f>
        <v>0.14791666666860692</v>
      </c>
      <c r="F320" s="4">
        <f>MOD( sala!E319,1)</f>
        <v>0.21458333333430346</v>
      </c>
      <c r="G320" s="4">
        <f>Tabla5[[#This Row],[Hora de Salida]]-Tabla5[[#This Row],[Hora de Llegada]]+Tabla4[[#This Row],[Tiempo Extra]]</f>
        <v>6.6666666665696539E-2</v>
      </c>
      <c r="H320" s="5" t="str">
        <f>TEXT(Tabla4[[#This Row],[Preparación en horas]]/1440, "h:mm")</f>
        <v>0:39</v>
      </c>
      <c r="I320" s="4">
        <f>IF(Tabla5[[#This Row],[Tiempo Permanencia]]-Tabla5[[#This Row],[Tiempo de Preparación ]]&gt;=0,Tabla5[[#This Row],[Tiempo Permanencia]]-Tabla5[[#This Row],[Tiempo de Preparación ]],0)</f>
        <v>3.9583333332363205E-2</v>
      </c>
      <c r="J320" s="5" t="str">
        <f>IF(Tabla5[[#This Row],[Tiempo de Degustación]]=0,"No Cobrada","Cobrada")</f>
        <v>Cobrada</v>
      </c>
      <c r="K320" s="5" cm="1">
        <f t="array" ref="K320">SUM(IF(Tabla5[[#This Row],[Orden Cobrada]]="Cobrada",IF(Cocina!A:A=Tabla5[[#This Row],[Nº Orden]],Cocina!F:F*Cocina!G:G,0),-Tabla6[[#This Row],[Precio Cena]]))</f>
        <v>29</v>
      </c>
      <c r="L320" s="5">
        <f>IF(Tabla5[[#This Row],[Orden Cobrada]]="Cobrada",Tabla5[[#This Row],[Ganancia Bruta]]-Tabla6[[#This Row],[Coste Cena]],-Tabla6[[#This Row],[Precio Cena]]+Tabla6[[#This Row],[Coste Cena]])</f>
        <v>12</v>
      </c>
      <c r="M320" s="10">
        <f>IF(Tabla5[[#This Row],[Orden Cobrada]]="Cobrada",((Tabla5[[#This Row],[Ganancia Neta]]/Tabla5[[#This Row],[Ganancia Bruta]])*100)/100,-((Tabla5[[#This Row],[Ganancia Neta]]/Tabla5[[#This Row],[Ganancia Bruta]]*100)/100))</f>
        <v>0.41379310344827586</v>
      </c>
      <c r="N320" s="5" t="str">
        <f>sala!F319</f>
        <v>Mesero_3</v>
      </c>
      <c r="AY320" cm="1">
        <f t="array" ref="AY320">SUM(IF(Cocina!A:A=Tabla5[[#This Row],[Nº Orden]],Cocina!F:F*Cocina!G:G,0))</f>
        <v>29</v>
      </c>
      <c r="AZ320" cm="1">
        <f t="array" ref="AZ320">SUM(IF(Cocina!A:A=Tabla5[[#This Row],[Nº Orden]],Cocina!E:E*Cocina!G:G,0))</f>
        <v>17</v>
      </c>
      <c r="BB320" t="str">
        <f>MID(Tabla4[[#This Row],[Cliente]], SEARCH("_", Tabla4[[#This Row],[Cliente]]) + 1, LEN(Tabla4[[#This Row],[Cliente]]) - SEARCH("_",Tabla4[[#This Row],[Cliente]]))</f>
        <v>269</v>
      </c>
      <c r="BC320" t="str">
        <f>sala!B319</f>
        <v>Cliente_269</v>
      </c>
      <c r="BD320" s="1">
        <f>sala!D319</f>
        <v>45019.147916666669</v>
      </c>
      <c r="BE320" s="1">
        <f>sala!E319</f>
        <v>45019.214583333334</v>
      </c>
      <c r="BF320">
        <f>sala!K319</f>
        <v>318</v>
      </c>
      <c r="BG320">
        <f>sala!I319</f>
        <v>1008</v>
      </c>
      <c r="BH320" cm="1">
        <f t="array" ref="BH320">SUM(IF(Cocina!A:A=Tabla4[[#This Row],[Número de Orden]],Cocina!F:F*Cocina!G:G,0))</f>
        <v>29</v>
      </c>
      <c r="BI320" t="str">
        <f>sala!J319</f>
        <v>Reservada</v>
      </c>
      <c r="BJ320" s="4" t="str">
        <f>IF(Tabla4[[#This Row],[Estado mesa]]="Ocupada","00:15","00:00")</f>
        <v>00:00</v>
      </c>
      <c r="BK320" cm="1">
        <f t="array" ref="BK320">SUM(IF(Cocina!A:A=Tabla4[[#This Row],[Número de Orden]],Cocina!H:H,0))</f>
        <v>39</v>
      </c>
    </row>
    <row r="321" spans="1:63" x14ac:dyDescent="0.3">
      <c r="A321" s="8" t="str">
        <f>MID(Tabla4[[#This Row],[Cliente]], SEARCH("_", Tabla4[[#This Row],[Cliente]]) + 1, LEN(Tabla4[[#This Row],[Cliente]]) - SEARCH("_",Tabla4[[#This Row],[Cliente]]))</f>
        <v>12</v>
      </c>
      <c r="B321">
        <f>sala!K320</f>
        <v>319</v>
      </c>
      <c r="C321">
        <f>Tabla4[[#This Row],[Propina]]+Tabla4[[#This Row],[Precio Cena]]</f>
        <v>3273</v>
      </c>
      <c r="D321" s="3">
        <f>INT(sala!E320)</f>
        <v>45019</v>
      </c>
      <c r="E321" s="4">
        <f>MOD( sala!D320,1)</f>
        <v>3.3333333332848269E-2</v>
      </c>
      <c r="F321" s="4">
        <f>MOD( sala!E320,1)</f>
        <v>0.16597222222480923</v>
      </c>
      <c r="G321" s="4">
        <f>Tabla5[[#This Row],[Hora de Salida]]-Tabla5[[#This Row],[Hora de Llegada]]+Tabla4[[#This Row],[Tiempo Extra]]</f>
        <v>0.13263888889196096</v>
      </c>
      <c r="H321" s="5" t="str">
        <f>TEXT(Tabla4[[#This Row],[Preparación en horas]]/1440, "h:mm")</f>
        <v>2:06</v>
      </c>
      <c r="I321" s="4">
        <f>IF(Tabla5[[#This Row],[Tiempo Permanencia]]-Tabla5[[#This Row],[Tiempo de Preparación ]]&gt;=0,Tabla5[[#This Row],[Tiempo Permanencia]]-Tabla5[[#This Row],[Tiempo de Preparación ]],0)</f>
        <v>4.5138888891960965E-2</v>
      </c>
      <c r="J321" s="5" t="str">
        <f>IF(Tabla5[[#This Row],[Tiempo de Degustación]]=0,"No Cobrada","Cobrada")</f>
        <v>Cobrada</v>
      </c>
      <c r="K321" s="5" cm="1">
        <f t="array" ref="K321">SUM(IF(Tabla5[[#This Row],[Orden Cobrada]]="Cobrada",IF(Cocina!A:A=Tabla5[[#This Row],[Nº Orden]],Cocina!F:F*Cocina!G:G,0),-Tabla6[[#This Row],[Precio Cena]]))</f>
        <v>268</v>
      </c>
      <c r="L321" s="5">
        <f>IF(Tabla5[[#This Row],[Orden Cobrada]]="Cobrada",Tabla5[[#This Row],[Ganancia Bruta]]-Tabla6[[#This Row],[Coste Cena]],-Tabla6[[#This Row],[Precio Cena]]+Tabla6[[#This Row],[Coste Cena]])</f>
        <v>106</v>
      </c>
      <c r="M321" s="10">
        <f>IF(Tabla5[[#This Row],[Orden Cobrada]]="Cobrada",((Tabla5[[#This Row],[Ganancia Neta]]/Tabla5[[#This Row],[Ganancia Bruta]])*100)/100,-((Tabla5[[#This Row],[Ganancia Neta]]/Tabla5[[#This Row],[Ganancia Bruta]]*100)/100))</f>
        <v>0.39552238805970147</v>
      </c>
      <c r="N321" s="5" t="str">
        <f>sala!F320</f>
        <v>Mesero_1</v>
      </c>
      <c r="AY321" cm="1">
        <f t="array" ref="AY321">SUM(IF(Cocina!A:A=Tabla5[[#This Row],[Nº Orden]],Cocina!F:F*Cocina!G:G,0))</f>
        <v>268</v>
      </c>
      <c r="AZ321" cm="1">
        <f t="array" ref="AZ321">SUM(IF(Cocina!A:A=Tabla5[[#This Row],[Nº Orden]],Cocina!E:E*Cocina!G:G,0))</f>
        <v>162</v>
      </c>
      <c r="BB321" t="str">
        <f>MID(Tabla4[[#This Row],[Cliente]], SEARCH("_", Tabla4[[#This Row],[Cliente]]) + 1, LEN(Tabla4[[#This Row],[Cliente]]) - SEARCH("_",Tabla4[[#This Row],[Cliente]]))</f>
        <v>12</v>
      </c>
      <c r="BC321" t="str">
        <f>sala!B320</f>
        <v>Cliente_12</v>
      </c>
      <c r="BD321" s="1">
        <f>sala!D320</f>
        <v>45019.033333333333</v>
      </c>
      <c r="BE321" s="1">
        <f>sala!E320</f>
        <v>45019.165972222225</v>
      </c>
      <c r="BF321">
        <f>sala!K320</f>
        <v>319</v>
      </c>
      <c r="BG321">
        <f>sala!I320</f>
        <v>3005</v>
      </c>
      <c r="BH321" cm="1">
        <f t="array" ref="BH321">SUM(IF(Cocina!A:A=Tabla4[[#This Row],[Número de Orden]],Cocina!F:F*Cocina!G:G,0))</f>
        <v>268</v>
      </c>
      <c r="BI321" t="str">
        <f>sala!J320</f>
        <v>Libre</v>
      </c>
      <c r="BJ321" s="4" t="str">
        <f>IF(Tabla4[[#This Row],[Estado mesa]]="Ocupada","00:15","00:00")</f>
        <v>00:00</v>
      </c>
      <c r="BK321" cm="1">
        <f t="array" ref="BK321">SUM(IF(Cocina!A:A=Tabla4[[#This Row],[Número de Orden]],Cocina!H:H,0))</f>
        <v>126</v>
      </c>
    </row>
    <row r="322" spans="1:63" x14ac:dyDescent="0.3">
      <c r="A322" s="8" t="str">
        <f>MID(Tabla4[[#This Row],[Cliente]], SEARCH("_", Tabla4[[#This Row],[Cliente]]) + 1, LEN(Tabla4[[#This Row],[Cliente]]) - SEARCH("_",Tabla4[[#This Row],[Cliente]]))</f>
        <v>294</v>
      </c>
      <c r="B322">
        <f>sala!K321</f>
        <v>320</v>
      </c>
      <c r="C322">
        <f>Tabla4[[#This Row],[Propina]]+Tabla4[[#This Row],[Precio Cena]]</f>
        <v>4500</v>
      </c>
      <c r="D322" s="3">
        <f>INT(sala!E321)</f>
        <v>45019</v>
      </c>
      <c r="E322" s="4">
        <f>MOD( sala!D321,1)</f>
        <v>6.25E-2</v>
      </c>
      <c r="F322" s="4">
        <f>MOD( sala!E321,1)</f>
        <v>0.17847222222189885</v>
      </c>
      <c r="G322" s="4">
        <f>Tabla5[[#This Row],[Hora de Salida]]-Tabla5[[#This Row],[Hora de Llegada]]+Tabla4[[#This Row],[Tiempo Extra]]</f>
        <v>0.11597222222189885</v>
      </c>
      <c r="H322" s="5" t="str">
        <f>TEXT(Tabla4[[#This Row],[Preparación en horas]]/1440, "h:mm")</f>
        <v>2:10</v>
      </c>
      <c r="I322" s="4">
        <f>IF(Tabla5[[#This Row],[Tiempo Permanencia]]-Tabla5[[#This Row],[Tiempo de Preparación ]]&gt;=0,Tabla5[[#This Row],[Tiempo Permanencia]]-Tabla5[[#This Row],[Tiempo de Preparación ]],0)</f>
        <v>2.569444444412107E-2</v>
      </c>
      <c r="J322" s="5" t="str">
        <f>IF(Tabla5[[#This Row],[Tiempo de Degustación]]=0,"No Cobrada","Cobrada")</f>
        <v>Cobrada</v>
      </c>
      <c r="K322" s="5" cm="1">
        <f t="array" ref="K322">SUM(IF(Tabla5[[#This Row],[Orden Cobrada]]="Cobrada",IF(Cocina!A:A=Tabla5[[#This Row],[Nº Orden]],Cocina!F:F*Cocina!G:G,0),-Tabla6[[#This Row],[Precio Cena]]))</f>
        <v>98</v>
      </c>
      <c r="L322" s="5">
        <f>IF(Tabla5[[#This Row],[Orden Cobrada]]="Cobrada",Tabla5[[#This Row],[Ganancia Bruta]]-Tabla6[[#This Row],[Coste Cena]],-Tabla6[[#This Row],[Precio Cena]]+Tabla6[[#This Row],[Coste Cena]])</f>
        <v>39</v>
      </c>
      <c r="M322" s="10">
        <f>IF(Tabla5[[#This Row],[Orden Cobrada]]="Cobrada",((Tabla5[[#This Row],[Ganancia Neta]]/Tabla5[[#This Row],[Ganancia Bruta]])*100)/100,-((Tabla5[[#This Row],[Ganancia Neta]]/Tabla5[[#This Row],[Ganancia Bruta]]*100)/100))</f>
        <v>0.39795918367346933</v>
      </c>
      <c r="N322" s="5" t="str">
        <f>sala!F321</f>
        <v>Mesero_3</v>
      </c>
      <c r="AY322" cm="1">
        <f t="array" ref="AY322">SUM(IF(Cocina!A:A=Tabla5[[#This Row],[Nº Orden]],Cocina!F:F*Cocina!G:G,0))</f>
        <v>98</v>
      </c>
      <c r="AZ322" cm="1">
        <f t="array" ref="AZ322">SUM(IF(Cocina!A:A=Tabla5[[#This Row],[Nº Orden]],Cocina!E:E*Cocina!G:G,0))</f>
        <v>59</v>
      </c>
      <c r="BB322" t="str">
        <f>MID(Tabla4[[#This Row],[Cliente]], SEARCH("_", Tabla4[[#This Row],[Cliente]]) + 1, LEN(Tabla4[[#This Row],[Cliente]]) - SEARCH("_",Tabla4[[#This Row],[Cliente]]))</f>
        <v>294</v>
      </c>
      <c r="BC322" t="str">
        <f>sala!B321</f>
        <v>Cliente_294</v>
      </c>
      <c r="BD322" s="1">
        <f>sala!D321</f>
        <v>45019.0625</v>
      </c>
      <c r="BE322" s="1">
        <f>sala!E321</f>
        <v>45019.178472222222</v>
      </c>
      <c r="BF322">
        <f>sala!K321</f>
        <v>320</v>
      </c>
      <c r="BG322">
        <f>sala!I321</f>
        <v>4402</v>
      </c>
      <c r="BH322" cm="1">
        <f t="array" ref="BH322">SUM(IF(Cocina!A:A=Tabla4[[#This Row],[Número de Orden]],Cocina!F:F*Cocina!G:G,0))</f>
        <v>98</v>
      </c>
      <c r="BI322" t="str">
        <f>sala!J321</f>
        <v>Reservada</v>
      </c>
      <c r="BJ322" s="4" t="str">
        <f>IF(Tabla4[[#This Row],[Estado mesa]]="Ocupada","00:15","00:00")</f>
        <v>00:00</v>
      </c>
      <c r="BK322" cm="1">
        <f t="array" ref="BK322">SUM(IF(Cocina!A:A=Tabla4[[#This Row],[Número de Orden]],Cocina!H:H,0))</f>
        <v>130</v>
      </c>
    </row>
    <row r="323" spans="1:63" x14ac:dyDescent="0.3">
      <c r="A323" s="8" t="str">
        <f>MID(Tabla4[[#This Row],[Cliente]], SEARCH("_", Tabla4[[#This Row],[Cliente]]) + 1, LEN(Tabla4[[#This Row],[Cliente]]) - SEARCH("_",Tabla4[[#This Row],[Cliente]]))</f>
        <v>659</v>
      </c>
      <c r="B323">
        <f>sala!K322</f>
        <v>321</v>
      </c>
      <c r="C323">
        <f>Tabla4[[#This Row],[Propina]]+Tabla4[[#This Row],[Precio Cena]]</f>
        <v>2500</v>
      </c>
      <c r="D323" s="3">
        <f>INT(sala!E322)</f>
        <v>45019</v>
      </c>
      <c r="E323" s="4">
        <f>MOD( sala!D322,1)</f>
        <v>8.611111110803904E-2</v>
      </c>
      <c r="F323" s="4">
        <f>MOD( sala!E322,1)</f>
        <v>0.17916666666860692</v>
      </c>
      <c r="G323" s="4">
        <f>Tabla5[[#This Row],[Hora de Salida]]-Tabla5[[#This Row],[Hora de Llegada]]+Tabla4[[#This Row],[Tiempo Extra]]</f>
        <v>9.3055555560567882E-2</v>
      </c>
      <c r="H323" s="5" t="str">
        <f>TEXT(Tabla4[[#This Row],[Preparación en horas]]/1440, "h:mm")</f>
        <v>1:35</v>
      </c>
      <c r="I323" s="4">
        <f>IF(Tabla5[[#This Row],[Tiempo Permanencia]]-Tabla5[[#This Row],[Tiempo de Preparación ]]&gt;=0,Tabla5[[#This Row],[Tiempo Permanencia]]-Tabla5[[#This Row],[Tiempo de Preparación ]],0)</f>
        <v>2.7083333338345658E-2</v>
      </c>
      <c r="J323" s="5" t="str">
        <f>IF(Tabla5[[#This Row],[Tiempo de Degustación]]=0,"No Cobrada","Cobrada")</f>
        <v>Cobrada</v>
      </c>
      <c r="K323" s="5" cm="1">
        <f t="array" ref="K323">SUM(IF(Tabla5[[#This Row],[Orden Cobrada]]="Cobrada",IF(Cocina!A:A=Tabla5[[#This Row],[Nº Orden]],Cocina!F:F*Cocina!G:G,0),-Tabla6[[#This Row],[Precio Cena]]))</f>
        <v>141</v>
      </c>
      <c r="L323" s="5">
        <f>IF(Tabla5[[#This Row],[Orden Cobrada]]="Cobrada",Tabla5[[#This Row],[Ganancia Bruta]]-Tabla6[[#This Row],[Coste Cena]],-Tabla6[[#This Row],[Precio Cena]]+Tabla6[[#This Row],[Coste Cena]])</f>
        <v>57</v>
      </c>
      <c r="M323" s="10">
        <f>IF(Tabla5[[#This Row],[Orden Cobrada]]="Cobrada",((Tabla5[[#This Row],[Ganancia Neta]]/Tabla5[[#This Row],[Ganancia Bruta]])*100)/100,-((Tabla5[[#This Row],[Ganancia Neta]]/Tabla5[[#This Row],[Ganancia Bruta]]*100)/100))</f>
        <v>0.40425531914893609</v>
      </c>
      <c r="N323" s="5" t="str">
        <f>sala!F322</f>
        <v>Mesero_1</v>
      </c>
      <c r="AY323" cm="1">
        <f t="array" ref="AY323">SUM(IF(Cocina!A:A=Tabla5[[#This Row],[Nº Orden]],Cocina!F:F*Cocina!G:G,0))</f>
        <v>141</v>
      </c>
      <c r="AZ323" cm="1">
        <f t="array" ref="AZ323">SUM(IF(Cocina!A:A=Tabla5[[#This Row],[Nº Orden]],Cocina!E:E*Cocina!G:G,0))</f>
        <v>84</v>
      </c>
      <c r="BB323" t="str">
        <f>MID(Tabla4[[#This Row],[Cliente]], SEARCH("_", Tabla4[[#This Row],[Cliente]]) + 1, LEN(Tabla4[[#This Row],[Cliente]]) - SEARCH("_",Tabla4[[#This Row],[Cliente]]))</f>
        <v>659</v>
      </c>
      <c r="BC323" t="str">
        <f>sala!B322</f>
        <v>Cliente_659</v>
      </c>
      <c r="BD323" s="1">
        <f>sala!D322</f>
        <v>45019.086111111108</v>
      </c>
      <c r="BE323" s="1">
        <f>sala!E322</f>
        <v>45019.179166666669</v>
      </c>
      <c r="BF323">
        <f>sala!K322</f>
        <v>321</v>
      </c>
      <c r="BG323">
        <f>sala!I322</f>
        <v>2359</v>
      </c>
      <c r="BH323" cm="1">
        <f t="array" ref="BH323">SUM(IF(Cocina!A:A=Tabla4[[#This Row],[Número de Orden]],Cocina!F:F*Cocina!G:G,0))</f>
        <v>141</v>
      </c>
      <c r="BI323" t="str">
        <f>sala!J322</f>
        <v>Libre</v>
      </c>
      <c r="BJ323" s="4" t="str">
        <f>IF(Tabla4[[#This Row],[Estado mesa]]="Ocupada","00:15","00:00")</f>
        <v>00:00</v>
      </c>
      <c r="BK323" cm="1">
        <f t="array" ref="BK323">SUM(IF(Cocina!A:A=Tabla4[[#This Row],[Número de Orden]],Cocina!H:H,0))</f>
        <v>95</v>
      </c>
    </row>
    <row r="324" spans="1:63" x14ac:dyDescent="0.3">
      <c r="A324" s="8" t="str">
        <f>MID(Tabla4[[#This Row],[Cliente]], SEARCH("_", Tabla4[[#This Row],[Cliente]]) + 1, LEN(Tabla4[[#This Row],[Cliente]]) - SEARCH("_",Tabla4[[#This Row],[Cliente]]))</f>
        <v>47</v>
      </c>
      <c r="B324">
        <f>sala!K323</f>
        <v>322</v>
      </c>
      <c r="C324">
        <f>Tabla4[[#This Row],[Propina]]+Tabla4[[#This Row],[Precio Cena]]</f>
        <v>2554</v>
      </c>
      <c r="D324" s="3">
        <f>INT(sala!E323)</f>
        <v>45019</v>
      </c>
      <c r="E324" s="4">
        <f>MOD( sala!D323,1)</f>
        <v>0.15347222222044365</v>
      </c>
      <c r="F324" s="4">
        <f>MOD( sala!E323,1)</f>
        <v>0.24097222222189885</v>
      </c>
      <c r="G324" s="4">
        <f>Tabla5[[#This Row],[Hora de Salida]]-Tabla5[[#This Row],[Hora de Llegada]]+Tabla4[[#This Row],[Tiempo Extra]]</f>
        <v>9.7916666668121863E-2</v>
      </c>
      <c r="H324" s="5" t="str">
        <f>TEXT(Tabla4[[#This Row],[Preparación en horas]]/1440, "h:mm")</f>
        <v>1:00</v>
      </c>
      <c r="I324" s="4">
        <f>IF(Tabla5[[#This Row],[Tiempo Permanencia]]-Tabla5[[#This Row],[Tiempo de Preparación ]]&gt;=0,Tabla5[[#This Row],[Tiempo Permanencia]]-Tabla5[[#This Row],[Tiempo de Preparación ]],0)</f>
        <v>5.6250000001455198E-2</v>
      </c>
      <c r="J324" s="5" t="str">
        <f>IF(Tabla5[[#This Row],[Tiempo de Degustación]]=0,"No Cobrada","Cobrada")</f>
        <v>Cobrada</v>
      </c>
      <c r="K324" s="5" cm="1">
        <f t="array" ref="K324">SUM(IF(Tabla5[[#This Row],[Orden Cobrada]]="Cobrada",IF(Cocina!A:A=Tabla5[[#This Row],[Nº Orden]],Cocina!F:F*Cocina!G:G,0),-Tabla6[[#This Row],[Precio Cena]]))</f>
        <v>85</v>
      </c>
      <c r="L324" s="5">
        <f>IF(Tabla5[[#This Row],[Orden Cobrada]]="Cobrada",Tabla5[[#This Row],[Ganancia Bruta]]-Tabla6[[#This Row],[Coste Cena]],-Tabla6[[#This Row],[Precio Cena]]+Tabla6[[#This Row],[Coste Cena]])</f>
        <v>34</v>
      </c>
      <c r="M324" s="10">
        <f>IF(Tabla5[[#This Row],[Orden Cobrada]]="Cobrada",((Tabla5[[#This Row],[Ganancia Neta]]/Tabla5[[#This Row],[Ganancia Bruta]])*100)/100,-((Tabla5[[#This Row],[Ganancia Neta]]/Tabla5[[#This Row],[Ganancia Bruta]]*100)/100))</f>
        <v>0.4</v>
      </c>
      <c r="N324" s="5" t="str">
        <f>sala!F323</f>
        <v>Mesero_2</v>
      </c>
      <c r="AY324" cm="1">
        <f t="array" ref="AY324">SUM(IF(Cocina!A:A=Tabla5[[#This Row],[Nº Orden]],Cocina!F:F*Cocina!G:G,0))</f>
        <v>85</v>
      </c>
      <c r="AZ324" cm="1">
        <f t="array" ref="AZ324">SUM(IF(Cocina!A:A=Tabla5[[#This Row],[Nº Orden]],Cocina!E:E*Cocina!G:G,0))</f>
        <v>51</v>
      </c>
      <c r="BB324" t="str">
        <f>MID(Tabla4[[#This Row],[Cliente]], SEARCH("_", Tabla4[[#This Row],[Cliente]]) + 1, LEN(Tabla4[[#This Row],[Cliente]]) - SEARCH("_",Tabla4[[#This Row],[Cliente]]))</f>
        <v>47</v>
      </c>
      <c r="BC324" t="str">
        <f>sala!B323</f>
        <v>Cliente_47</v>
      </c>
      <c r="BD324" s="1">
        <f>sala!D323</f>
        <v>45019.15347222222</v>
      </c>
      <c r="BE324" s="1">
        <f>sala!E323</f>
        <v>45019.240972222222</v>
      </c>
      <c r="BF324">
        <f>sala!K323</f>
        <v>322</v>
      </c>
      <c r="BG324">
        <f>sala!I323</f>
        <v>2469</v>
      </c>
      <c r="BH324" cm="1">
        <f t="array" ref="BH324">SUM(IF(Cocina!A:A=Tabla4[[#This Row],[Número de Orden]],Cocina!F:F*Cocina!G:G,0))</f>
        <v>85</v>
      </c>
      <c r="BI324" t="str">
        <f>sala!J323</f>
        <v>Ocupada</v>
      </c>
      <c r="BJ324" s="4" t="str">
        <f>IF(Tabla4[[#This Row],[Estado mesa]]="Ocupada","00:15","00:00")</f>
        <v>00:15</v>
      </c>
      <c r="BK324" cm="1">
        <f t="array" ref="BK324">SUM(IF(Cocina!A:A=Tabla4[[#This Row],[Número de Orden]],Cocina!H:H,0))</f>
        <v>60</v>
      </c>
    </row>
    <row r="325" spans="1:63" x14ac:dyDescent="0.3">
      <c r="A325" s="8" t="str">
        <f>MID(Tabla4[[#This Row],[Cliente]], SEARCH("_", Tabla4[[#This Row],[Cliente]]) + 1, LEN(Tabla4[[#This Row],[Cliente]]) - SEARCH("_",Tabla4[[#This Row],[Cliente]]))</f>
        <v>544</v>
      </c>
      <c r="B325">
        <f>sala!K324</f>
        <v>323</v>
      </c>
      <c r="C325">
        <f>Tabla4[[#This Row],[Propina]]+Tabla4[[#This Row],[Precio Cena]]</f>
        <v>651</v>
      </c>
      <c r="D325" s="3">
        <f>INT(sala!E324)</f>
        <v>45019</v>
      </c>
      <c r="E325" s="4">
        <f>MOD( sala!D324,1)</f>
        <v>5.7638888887595385E-2</v>
      </c>
      <c r="F325" s="4">
        <f>MOD( sala!E324,1)</f>
        <v>0.17986111110803904</v>
      </c>
      <c r="G325" s="4">
        <f>Tabla5[[#This Row],[Hora de Salida]]-Tabla5[[#This Row],[Hora de Llegada]]+Tabla4[[#This Row],[Tiempo Extra]]</f>
        <v>0.12222222222044365</v>
      </c>
      <c r="H325" s="5" t="str">
        <f>TEXT(Tabla4[[#This Row],[Preparación en horas]]/1440, "h:mm")</f>
        <v>2:02</v>
      </c>
      <c r="I325" s="4">
        <f>IF(Tabla5[[#This Row],[Tiempo Permanencia]]-Tabla5[[#This Row],[Tiempo de Preparación ]]&gt;=0,Tabla5[[#This Row],[Tiempo Permanencia]]-Tabla5[[#This Row],[Tiempo de Preparación ]],0)</f>
        <v>3.7499999998221428E-2</v>
      </c>
      <c r="J325" s="5" t="str">
        <f>IF(Tabla5[[#This Row],[Tiempo de Degustación]]=0,"No Cobrada","Cobrada")</f>
        <v>Cobrada</v>
      </c>
      <c r="K325" s="5" cm="1">
        <f t="array" ref="K325">SUM(IF(Tabla5[[#This Row],[Orden Cobrada]]="Cobrada",IF(Cocina!A:A=Tabla5[[#This Row],[Nº Orden]],Cocina!F:F*Cocina!G:G,0),-Tabla6[[#This Row],[Precio Cena]]))</f>
        <v>208</v>
      </c>
      <c r="L325" s="5">
        <f>IF(Tabla5[[#This Row],[Orden Cobrada]]="Cobrada",Tabla5[[#This Row],[Ganancia Bruta]]-Tabla6[[#This Row],[Coste Cena]],-Tabla6[[#This Row],[Precio Cena]]+Tabla6[[#This Row],[Coste Cena]])</f>
        <v>87</v>
      </c>
      <c r="M325" s="10">
        <f>IF(Tabla5[[#This Row],[Orden Cobrada]]="Cobrada",((Tabla5[[#This Row],[Ganancia Neta]]/Tabla5[[#This Row],[Ganancia Bruta]])*100)/100,-((Tabla5[[#This Row],[Ganancia Neta]]/Tabla5[[#This Row],[Ganancia Bruta]]*100)/100))</f>
        <v>0.41826923076923078</v>
      </c>
      <c r="N325" s="5" t="str">
        <f>sala!F324</f>
        <v>Mesero_5</v>
      </c>
      <c r="AY325" cm="1">
        <f t="array" ref="AY325">SUM(IF(Cocina!A:A=Tabla5[[#This Row],[Nº Orden]],Cocina!F:F*Cocina!G:G,0))</f>
        <v>208</v>
      </c>
      <c r="AZ325" cm="1">
        <f t="array" ref="AZ325">SUM(IF(Cocina!A:A=Tabla5[[#This Row],[Nº Orden]],Cocina!E:E*Cocina!G:G,0))</f>
        <v>121</v>
      </c>
      <c r="BB325" t="str">
        <f>MID(Tabla4[[#This Row],[Cliente]], SEARCH("_", Tabla4[[#This Row],[Cliente]]) + 1, LEN(Tabla4[[#This Row],[Cliente]]) - SEARCH("_",Tabla4[[#This Row],[Cliente]]))</f>
        <v>544</v>
      </c>
      <c r="BC325" t="str">
        <f>sala!B324</f>
        <v>Cliente_544</v>
      </c>
      <c r="BD325" s="1">
        <f>sala!D324</f>
        <v>45019.057638888888</v>
      </c>
      <c r="BE325" s="1">
        <f>sala!E324</f>
        <v>45019.179861111108</v>
      </c>
      <c r="BF325">
        <f>sala!K324</f>
        <v>323</v>
      </c>
      <c r="BG325">
        <f>sala!I324</f>
        <v>443</v>
      </c>
      <c r="BH325" cm="1">
        <f t="array" ref="BH325">SUM(IF(Cocina!A:A=Tabla4[[#This Row],[Número de Orden]],Cocina!F:F*Cocina!G:G,0))</f>
        <v>208</v>
      </c>
      <c r="BI325" t="str">
        <f>sala!J324</f>
        <v>Libre</v>
      </c>
      <c r="BJ325" s="4" t="str">
        <f>IF(Tabla4[[#This Row],[Estado mesa]]="Ocupada","00:15","00:00")</f>
        <v>00:00</v>
      </c>
      <c r="BK325" cm="1">
        <f t="array" ref="BK325">SUM(IF(Cocina!A:A=Tabla4[[#This Row],[Número de Orden]],Cocina!H:H,0))</f>
        <v>122</v>
      </c>
    </row>
    <row r="326" spans="1:63" x14ac:dyDescent="0.3">
      <c r="A326" s="8" t="str">
        <f>MID(Tabla4[[#This Row],[Cliente]], SEARCH("_", Tabla4[[#This Row],[Cliente]]) + 1, LEN(Tabla4[[#This Row],[Cliente]]) - SEARCH("_",Tabla4[[#This Row],[Cliente]]))</f>
        <v>633</v>
      </c>
      <c r="B326">
        <f>sala!K325</f>
        <v>324</v>
      </c>
      <c r="C326">
        <f>Tabla4[[#This Row],[Propina]]+Tabla4[[#This Row],[Precio Cena]]</f>
        <v>353</v>
      </c>
      <c r="D326" s="3">
        <f>INT(sala!E325)</f>
        <v>45019</v>
      </c>
      <c r="E326" s="4">
        <f>MOD( sala!D325,1)</f>
        <v>2.9861111113859806E-2</v>
      </c>
      <c r="F326" s="4">
        <f>MOD( sala!E325,1)</f>
        <v>7.7083333329937886E-2</v>
      </c>
      <c r="G326" s="4">
        <f>Tabla5[[#This Row],[Hora de Salida]]-Tabla5[[#This Row],[Hora de Llegada]]+Tabla4[[#This Row],[Tiempo Extra]]</f>
        <v>4.722222221607808E-2</v>
      </c>
      <c r="H326" s="5" t="str">
        <f>TEXT(Tabla4[[#This Row],[Preparación en horas]]/1440, "h:mm")</f>
        <v>1:30</v>
      </c>
      <c r="I326" s="4">
        <f>IF(Tabla5[[#This Row],[Tiempo Permanencia]]-Tabla5[[#This Row],[Tiempo de Preparación ]]&gt;=0,Tabla5[[#This Row],[Tiempo Permanencia]]-Tabla5[[#This Row],[Tiempo de Preparación ]],0)</f>
        <v>0</v>
      </c>
      <c r="J326" s="5" t="str">
        <f>IF(Tabla5[[#This Row],[Tiempo de Degustación]]=0,"No Cobrada","Cobrada")</f>
        <v>No Cobrada</v>
      </c>
      <c r="K326" s="5" cm="1">
        <f t="array" ref="K326">SUM(IF(Tabla5[[#This Row],[Orden Cobrada]]="Cobrada",IF(Cocina!A:A=Tabla5[[#This Row],[Nº Orden]],Cocina!F:F*Cocina!G:G,0),-Tabla6[[#This Row],[Precio Cena]]))</f>
        <v>-137</v>
      </c>
      <c r="L326" s="5">
        <f>IF(Tabla5[[#This Row],[Orden Cobrada]]="Cobrada",Tabla5[[#This Row],[Ganancia Bruta]]-Tabla6[[#This Row],[Coste Cena]],-Tabla6[[#This Row],[Precio Cena]]+Tabla6[[#This Row],[Coste Cena]])</f>
        <v>-56</v>
      </c>
      <c r="M326" s="10">
        <f>IF(Tabla5[[#This Row],[Orden Cobrada]]="Cobrada",((Tabla5[[#This Row],[Ganancia Neta]]/Tabla5[[#This Row],[Ganancia Bruta]])*100)/100,-((Tabla5[[#This Row],[Ganancia Neta]]/Tabla5[[#This Row],[Ganancia Bruta]]*100)/100))</f>
        <v>-0.4087591240875913</v>
      </c>
      <c r="N326" s="5" t="str">
        <f>sala!F325</f>
        <v>Mesero_1</v>
      </c>
      <c r="AY326" cm="1">
        <f t="array" ref="AY326">SUM(IF(Cocina!A:A=Tabla5[[#This Row],[Nº Orden]],Cocina!F:F*Cocina!G:G,0))</f>
        <v>137</v>
      </c>
      <c r="AZ326" cm="1">
        <f t="array" ref="AZ326">SUM(IF(Cocina!A:A=Tabla5[[#This Row],[Nº Orden]],Cocina!E:E*Cocina!G:G,0))</f>
        <v>81</v>
      </c>
      <c r="BB326" t="str">
        <f>MID(Tabla4[[#This Row],[Cliente]], SEARCH("_", Tabla4[[#This Row],[Cliente]]) + 1, LEN(Tabla4[[#This Row],[Cliente]]) - SEARCH("_",Tabla4[[#This Row],[Cliente]]))</f>
        <v>633</v>
      </c>
      <c r="BC326" t="str">
        <f>sala!B325</f>
        <v>Cliente_633</v>
      </c>
      <c r="BD326" s="1">
        <f>sala!D325</f>
        <v>45019.029861111114</v>
      </c>
      <c r="BE326" s="1">
        <f>sala!E325</f>
        <v>45019.07708333333</v>
      </c>
      <c r="BF326">
        <f>sala!K325</f>
        <v>324</v>
      </c>
      <c r="BG326">
        <f>sala!I325</f>
        <v>216</v>
      </c>
      <c r="BH326" cm="1">
        <f t="array" ref="BH326">SUM(IF(Cocina!A:A=Tabla4[[#This Row],[Número de Orden]],Cocina!F:F*Cocina!G:G,0))</f>
        <v>137</v>
      </c>
      <c r="BI326" t="str">
        <f>sala!J325</f>
        <v>Libre</v>
      </c>
      <c r="BJ326" s="4" t="str">
        <f>IF(Tabla4[[#This Row],[Estado mesa]]="Ocupada","00:15","00:00")</f>
        <v>00:00</v>
      </c>
      <c r="BK326" cm="1">
        <f t="array" ref="BK326">SUM(IF(Cocina!A:A=Tabla4[[#This Row],[Número de Orden]],Cocina!H:H,0))</f>
        <v>90</v>
      </c>
    </row>
    <row r="327" spans="1:63" x14ac:dyDescent="0.3">
      <c r="A327" s="8" t="str">
        <f>MID(Tabla4[[#This Row],[Cliente]], SEARCH("_", Tabla4[[#This Row],[Cliente]]) + 1, LEN(Tabla4[[#This Row],[Cliente]]) - SEARCH("_",Tabla4[[#This Row],[Cliente]]))</f>
        <v>154</v>
      </c>
      <c r="B327">
        <f>sala!K326</f>
        <v>325</v>
      </c>
      <c r="C327">
        <f>Tabla4[[#This Row],[Propina]]+Tabla4[[#This Row],[Precio Cena]]</f>
        <v>479</v>
      </c>
      <c r="D327" s="3">
        <f>INT(sala!E326)</f>
        <v>45019</v>
      </c>
      <c r="E327" s="4">
        <f>MOD( sala!D326,1)</f>
        <v>4.1666666664241347E-2</v>
      </c>
      <c r="F327" s="4">
        <f>MOD( sala!E326,1)</f>
        <v>9.5833333332848269E-2</v>
      </c>
      <c r="G327" s="4">
        <f>Tabla5[[#This Row],[Hora de Salida]]-Tabla5[[#This Row],[Hora de Llegada]]+Tabla4[[#This Row],[Tiempo Extra]]</f>
        <v>5.4166666668606922E-2</v>
      </c>
      <c r="H327" s="5" t="str">
        <f>TEXT(Tabla4[[#This Row],[Preparación en horas]]/1440, "h:mm")</f>
        <v>1:11</v>
      </c>
      <c r="I327" s="4">
        <f>IF(Tabla5[[#This Row],[Tiempo Permanencia]]-Tabla5[[#This Row],[Tiempo de Preparación ]]&gt;=0,Tabla5[[#This Row],[Tiempo Permanencia]]-Tabla5[[#This Row],[Tiempo de Preparación ]],0)</f>
        <v>4.8611111130513682E-3</v>
      </c>
      <c r="J327" s="5" t="str">
        <f>IF(Tabla5[[#This Row],[Tiempo de Degustación]]=0,"No Cobrada","Cobrada")</f>
        <v>Cobrada</v>
      </c>
      <c r="K327" s="5" cm="1">
        <f t="array" ref="K327">SUM(IF(Tabla5[[#This Row],[Orden Cobrada]]="Cobrada",IF(Cocina!A:A=Tabla5[[#This Row],[Nº Orden]],Cocina!F:F*Cocina!G:G,0),-Tabla6[[#This Row],[Precio Cena]]))</f>
        <v>154</v>
      </c>
      <c r="L327" s="5">
        <f>IF(Tabla5[[#This Row],[Orden Cobrada]]="Cobrada",Tabla5[[#This Row],[Ganancia Bruta]]-Tabla6[[#This Row],[Coste Cena]],-Tabla6[[#This Row],[Precio Cena]]+Tabla6[[#This Row],[Coste Cena]])</f>
        <v>61</v>
      </c>
      <c r="M327" s="10">
        <f>IF(Tabla5[[#This Row],[Orden Cobrada]]="Cobrada",((Tabla5[[#This Row],[Ganancia Neta]]/Tabla5[[#This Row],[Ganancia Bruta]])*100)/100,-((Tabla5[[#This Row],[Ganancia Neta]]/Tabla5[[#This Row],[Ganancia Bruta]]*100)/100))</f>
        <v>0.39610389610389612</v>
      </c>
      <c r="N327" s="5" t="str">
        <f>sala!F326</f>
        <v>Mesero_2</v>
      </c>
      <c r="AY327" cm="1">
        <f t="array" ref="AY327">SUM(IF(Cocina!A:A=Tabla5[[#This Row],[Nº Orden]],Cocina!F:F*Cocina!G:G,0))</f>
        <v>154</v>
      </c>
      <c r="AZ327" cm="1">
        <f t="array" ref="AZ327">SUM(IF(Cocina!A:A=Tabla5[[#This Row],[Nº Orden]],Cocina!E:E*Cocina!G:G,0))</f>
        <v>93</v>
      </c>
      <c r="BB327" t="str">
        <f>MID(Tabla4[[#This Row],[Cliente]], SEARCH("_", Tabla4[[#This Row],[Cliente]]) + 1, LEN(Tabla4[[#This Row],[Cliente]]) - SEARCH("_",Tabla4[[#This Row],[Cliente]]))</f>
        <v>154</v>
      </c>
      <c r="BC327" t="str">
        <f>sala!B326</f>
        <v>Cliente_154</v>
      </c>
      <c r="BD327" s="1">
        <f>sala!D326</f>
        <v>45019.041666666664</v>
      </c>
      <c r="BE327" s="1">
        <f>sala!E326</f>
        <v>45019.095833333333</v>
      </c>
      <c r="BF327">
        <f>sala!K326</f>
        <v>325</v>
      </c>
      <c r="BG327">
        <f>sala!I326</f>
        <v>325</v>
      </c>
      <c r="BH327" cm="1">
        <f t="array" ref="BH327">SUM(IF(Cocina!A:A=Tabla4[[#This Row],[Número de Orden]],Cocina!F:F*Cocina!G:G,0))</f>
        <v>154</v>
      </c>
      <c r="BI327" t="str">
        <f>sala!J326</f>
        <v>Reservada</v>
      </c>
      <c r="BJ327" s="4" t="str">
        <f>IF(Tabla4[[#This Row],[Estado mesa]]="Ocupada","00:15","00:00")</f>
        <v>00:00</v>
      </c>
      <c r="BK327" cm="1">
        <f t="array" ref="BK327">SUM(IF(Cocina!A:A=Tabla4[[#This Row],[Número de Orden]],Cocina!H:H,0))</f>
        <v>71</v>
      </c>
    </row>
    <row r="328" spans="1:63" x14ac:dyDescent="0.3">
      <c r="A328" s="8" t="str">
        <f>MID(Tabla4[[#This Row],[Cliente]], SEARCH("_", Tabla4[[#This Row],[Cliente]]) + 1, LEN(Tabla4[[#This Row],[Cliente]]) - SEARCH("_",Tabla4[[#This Row],[Cliente]]))</f>
        <v>489</v>
      </c>
      <c r="B328">
        <f>sala!K327</f>
        <v>326</v>
      </c>
      <c r="C328">
        <f>Tabla4[[#This Row],[Propina]]+Tabla4[[#This Row],[Precio Cena]]</f>
        <v>1466</v>
      </c>
      <c r="D328" s="3">
        <f>INT(sala!E327)</f>
        <v>45020</v>
      </c>
      <c r="E328" s="4">
        <f>MOD( sala!D327,1)</f>
        <v>6.8749999998544808E-2</v>
      </c>
      <c r="F328" s="4">
        <f>MOD( sala!E327,1)</f>
        <v>0.23194444444379769</v>
      </c>
      <c r="G328" s="4">
        <f>Tabla5[[#This Row],[Hora de Salida]]-Tabla5[[#This Row],[Hora de Llegada]]+Tabla4[[#This Row],[Tiempo Extra]]</f>
        <v>0.17361111111191954</v>
      </c>
      <c r="H328" s="5" t="str">
        <f>TEXT(Tabla4[[#This Row],[Preparación en horas]]/1440, "h:mm")</f>
        <v>1:31</v>
      </c>
      <c r="I328" s="4">
        <f>IF(Tabla5[[#This Row],[Tiempo Permanencia]]-Tabla5[[#This Row],[Tiempo de Preparación ]]&gt;=0,Tabla5[[#This Row],[Tiempo Permanencia]]-Tabla5[[#This Row],[Tiempo de Preparación ]],0)</f>
        <v>0.1104166666674751</v>
      </c>
      <c r="J328" s="5" t="str">
        <f>IF(Tabla5[[#This Row],[Tiempo de Degustación]]=0,"No Cobrada","Cobrada")</f>
        <v>Cobrada</v>
      </c>
      <c r="K328" s="5" cm="1">
        <f t="array" ref="K328">SUM(IF(Tabla5[[#This Row],[Orden Cobrada]]="Cobrada",IF(Cocina!A:A=Tabla5[[#This Row],[Nº Orden]],Cocina!F:F*Cocina!G:G,0),-Tabla6[[#This Row],[Precio Cena]]))</f>
        <v>81</v>
      </c>
      <c r="L328" s="5">
        <f>IF(Tabla5[[#This Row],[Orden Cobrada]]="Cobrada",Tabla5[[#This Row],[Ganancia Bruta]]-Tabla6[[#This Row],[Coste Cena]],-Tabla6[[#This Row],[Precio Cena]]+Tabla6[[#This Row],[Coste Cena]])</f>
        <v>34</v>
      </c>
      <c r="M328" s="10">
        <f>IF(Tabla5[[#This Row],[Orden Cobrada]]="Cobrada",((Tabla5[[#This Row],[Ganancia Neta]]/Tabla5[[#This Row],[Ganancia Bruta]])*100)/100,-((Tabla5[[#This Row],[Ganancia Neta]]/Tabla5[[#This Row],[Ganancia Bruta]]*100)/100))</f>
        <v>0.41975308641975301</v>
      </c>
      <c r="N328" s="5" t="str">
        <f>sala!F327</f>
        <v>Mesero_1</v>
      </c>
      <c r="AY328" cm="1">
        <f t="array" ref="AY328">SUM(IF(Cocina!A:A=Tabla5[[#This Row],[Nº Orden]],Cocina!F:F*Cocina!G:G,0))</f>
        <v>81</v>
      </c>
      <c r="AZ328" cm="1">
        <f t="array" ref="AZ328">SUM(IF(Cocina!A:A=Tabla5[[#This Row],[Nº Orden]],Cocina!E:E*Cocina!G:G,0))</f>
        <v>47</v>
      </c>
      <c r="BB328" t="str">
        <f>MID(Tabla4[[#This Row],[Cliente]], SEARCH("_", Tabla4[[#This Row],[Cliente]]) + 1, LEN(Tabla4[[#This Row],[Cliente]]) - SEARCH("_",Tabla4[[#This Row],[Cliente]]))</f>
        <v>489</v>
      </c>
      <c r="BC328" t="str">
        <f>sala!B327</f>
        <v>Cliente_489</v>
      </c>
      <c r="BD328" s="1">
        <f>sala!D327</f>
        <v>45020.068749999999</v>
      </c>
      <c r="BE328" s="1">
        <f>sala!E327</f>
        <v>45020.231944444444</v>
      </c>
      <c r="BF328">
        <f>sala!K327</f>
        <v>326</v>
      </c>
      <c r="BG328">
        <f>sala!I327</f>
        <v>1385</v>
      </c>
      <c r="BH328" cm="1">
        <f t="array" ref="BH328">SUM(IF(Cocina!A:A=Tabla4[[#This Row],[Número de Orden]],Cocina!F:F*Cocina!G:G,0))</f>
        <v>81</v>
      </c>
      <c r="BI328" t="str">
        <f>sala!J327</f>
        <v>Ocupada</v>
      </c>
      <c r="BJ328" s="4" t="str">
        <f>IF(Tabla4[[#This Row],[Estado mesa]]="Ocupada","00:15","00:00")</f>
        <v>00:15</v>
      </c>
      <c r="BK328" cm="1">
        <f t="array" ref="BK328">SUM(IF(Cocina!A:A=Tabla4[[#This Row],[Número de Orden]],Cocina!H:H,0))</f>
        <v>91</v>
      </c>
    </row>
    <row r="329" spans="1:63" x14ac:dyDescent="0.3">
      <c r="A329" s="8" t="str">
        <f>MID(Tabla4[[#This Row],[Cliente]], SEARCH("_", Tabla4[[#This Row],[Cliente]]) + 1, LEN(Tabla4[[#This Row],[Cliente]]) - SEARCH("_",Tabla4[[#This Row],[Cliente]]))</f>
        <v>336</v>
      </c>
      <c r="B329">
        <f>sala!K328</f>
        <v>327</v>
      </c>
      <c r="C329">
        <f>Tabla4[[#This Row],[Propina]]+Tabla4[[#This Row],[Precio Cena]]</f>
        <v>1655</v>
      </c>
      <c r="D329" s="3">
        <f>INT(sala!E328)</f>
        <v>45020</v>
      </c>
      <c r="E329" s="4">
        <f>MOD( sala!D328,1)</f>
        <v>0.12430555555329192</v>
      </c>
      <c r="F329" s="4">
        <f>MOD( sala!E328,1)</f>
        <v>0.19166666666569654</v>
      </c>
      <c r="G329" s="4">
        <f>Tabla5[[#This Row],[Hora de Salida]]-Tabla5[[#This Row],[Hora de Llegada]]+Tabla4[[#This Row],[Tiempo Extra]]</f>
        <v>6.7361111112404615E-2</v>
      </c>
      <c r="H329" s="5" t="str">
        <f>TEXT(Tabla4[[#This Row],[Preparación en horas]]/1440, "h:mm")</f>
        <v>1:14</v>
      </c>
      <c r="I329" s="4">
        <f>IF(Tabla5[[#This Row],[Tiempo Permanencia]]-Tabla5[[#This Row],[Tiempo de Preparación ]]&gt;=0,Tabla5[[#This Row],[Tiempo Permanencia]]-Tabla5[[#This Row],[Tiempo de Preparación ]],0)</f>
        <v>1.5972222223515728E-2</v>
      </c>
      <c r="J329" s="5" t="str">
        <f>IF(Tabla5[[#This Row],[Tiempo de Degustación]]=0,"No Cobrada","Cobrada")</f>
        <v>Cobrada</v>
      </c>
      <c r="K329" s="5" cm="1">
        <f t="array" ref="K329">SUM(IF(Tabla5[[#This Row],[Orden Cobrada]]="Cobrada",IF(Cocina!A:A=Tabla5[[#This Row],[Nº Orden]],Cocina!F:F*Cocina!G:G,0),-Tabla6[[#This Row],[Precio Cena]]))</f>
        <v>147</v>
      </c>
      <c r="L329" s="5">
        <f>IF(Tabla5[[#This Row],[Orden Cobrada]]="Cobrada",Tabla5[[#This Row],[Ganancia Bruta]]-Tabla6[[#This Row],[Coste Cena]],-Tabla6[[#This Row],[Precio Cena]]+Tabla6[[#This Row],[Coste Cena]])</f>
        <v>61</v>
      </c>
      <c r="M329" s="10">
        <f>IF(Tabla5[[#This Row],[Orden Cobrada]]="Cobrada",((Tabla5[[#This Row],[Ganancia Neta]]/Tabla5[[#This Row],[Ganancia Bruta]])*100)/100,-((Tabla5[[#This Row],[Ganancia Neta]]/Tabla5[[#This Row],[Ganancia Bruta]]*100)/100))</f>
        <v>0.41496598639455784</v>
      </c>
      <c r="N329" s="5" t="str">
        <f>sala!F328</f>
        <v>Mesero_5</v>
      </c>
      <c r="AY329" cm="1">
        <f t="array" ref="AY329">SUM(IF(Cocina!A:A=Tabla5[[#This Row],[Nº Orden]],Cocina!F:F*Cocina!G:G,0))</f>
        <v>147</v>
      </c>
      <c r="AZ329" cm="1">
        <f t="array" ref="AZ329">SUM(IF(Cocina!A:A=Tabla5[[#This Row],[Nº Orden]],Cocina!E:E*Cocina!G:G,0))</f>
        <v>86</v>
      </c>
      <c r="BB329" t="str">
        <f>MID(Tabla4[[#This Row],[Cliente]], SEARCH("_", Tabla4[[#This Row],[Cliente]]) + 1, LEN(Tabla4[[#This Row],[Cliente]]) - SEARCH("_",Tabla4[[#This Row],[Cliente]]))</f>
        <v>336</v>
      </c>
      <c r="BC329" t="str">
        <f>sala!B328</f>
        <v>Cliente_336</v>
      </c>
      <c r="BD329" s="1">
        <f>sala!D328</f>
        <v>45020.124305555553</v>
      </c>
      <c r="BE329" s="1">
        <f>sala!E328</f>
        <v>45020.191666666666</v>
      </c>
      <c r="BF329">
        <f>sala!K328</f>
        <v>327</v>
      </c>
      <c r="BG329">
        <f>sala!I328</f>
        <v>1508</v>
      </c>
      <c r="BH329" cm="1">
        <f t="array" ref="BH329">SUM(IF(Cocina!A:A=Tabla4[[#This Row],[Número de Orden]],Cocina!F:F*Cocina!G:G,0))</f>
        <v>147</v>
      </c>
      <c r="BI329" t="str">
        <f>sala!J328</f>
        <v>Reservada</v>
      </c>
      <c r="BJ329" s="4" t="str">
        <f>IF(Tabla4[[#This Row],[Estado mesa]]="Ocupada","00:15","00:00")</f>
        <v>00:00</v>
      </c>
      <c r="BK329" cm="1">
        <f t="array" ref="BK329">SUM(IF(Cocina!A:A=Tabla4[[#This Row],[Número de Orden]],Cocina!H:H,0))</f>
        <v>74</v>
      </c>
    </row>
    <row r="330" spans="1:63" x14ac:dyDescent="0.3">
      <c r="A330" s="8" t="str">
        <f>MID(Tabla4[[#This Row],[Cliente]], SEARCH("_", Tabla4[[#This Row],[Cliente]]) + 1, LEN(Tabla4[[#This Row],[Cliente]]) - SEARCH("_",Tabla4[[#This Row],[Cliente]]))</f>
        <v>350</v>
      </c>
      <c r="B330">
        <f>sala!K329</f>
        <v>328</v>
      </c>
      <c r="C330">
        <f>Tabla4[[#This Row],[Propina]]+Tabla4[[#This Row],[Precio Cena]]</f>
        <v>1420</v>
      </c>
      <c r="D330" s="3">
        <f>INT(sala!E329)</f>
        <v>45020</v>
      </c>
      <c r="E330" s="4">
        <f>MOD( sala!D329,1)</f>
        <v>7.2222222224809229E-2</v>
      </c>
      <c r="F330" s="4">
        <f>MOD( sala!E329,1)</f>
        <v>0.17152777777664596</v>
      </c>
      <c r="G330" s="4">
        <f>Tabla5[[#This Row],[Hora de Salida]]-Tabla5[[#This Row],[Hora de Llegada]]+Tabla4[[#This Row],[Tiempo Extra]]</f>
        <v>9.9305555551836733E-2</v>
      </c>
      <c r="H330" s="5" t="str">
        <f>TEXT(Tabla4[[#This Row],[Preparación en horas]]/1440, "h:mm")</f>
        <v>0:21</v>
      </c>
      <c r="I330" s="4">
        <f>IF(Tabla5[[#This Row],[Tiempo Permanencia]]-Tabla5[[#This Row],[Tiempo de Preparación ]]&gt;=0,Tabla5[[#This Row],[Tiempo Permanencia]]-Tabla5[[#This Row],[Tiempo de Preparación ]],0)</f>
        <v>8.4722222218503396E-2</v>
      </c>
      <c r="J330" s="5" t="str">
        <f>IF(Tabla5[[#This Row],[Tiempo de Degustación]]=0,"No Cobrada","Cobrada")</f>
        <v>Cobrada</v>
      </c>
      <c r="K330" s="5" cm="1">
        <f t="array" ref="K330">SUM(IF(Tabla5[[#This Row],[Orden Cobrada]]="Cobrada",IF(Cocina!A:A=Tabla5[[#This Row],[Nº Orden]],Cocina!F:F*Cocina!G:G,0),-Tabla6[[#This Row],[Precio Cena]]))</f>
        <v>35</v>
      </c>
      <c r="L330" s="5">
        <f>IF(Tabla5[[#This Row],[Orden Cobrada]]="Cobrada",Tabla5[[#This Row],[Ganancia Bruta]]-Tabla6[[#This Row],[Coste Cena]],-Tabla6[[#This Row],[Precio Cena]]+Tabla6[[#This Row],[Coste Cena]])</f>
        <v>14</v>
      </c>
      <c r="M330" s="10">
        <f>IF(Tabla5[[#This Row],[Orden Cobrada]]="Cobrada",((Tabla5[[#This Row],[Ganancia Neta]]/Tabla5[[#This Row],[Ganancia Bruta]])*100)/100,-((Tabla5[[#This Row],[Ganancia Neta]]/Tabla5[[#This Row],[Ganancia Bruta]]*100)/100))</f>
        <v>0.4</v>
      </c>
      <c r="N330" s="5" t="str">
        <f>sala!F329</f>
        <v>Mesero_2</v>
      </c>
      <c r="AY330" cm="1">
        <f t="array" ref="AY330">SUM(IF(Cocina!A:A=Tabla5[[#This Row],[Nº Orden]],Cocina!F:F*Cocina!G:G,0))</f>
        <v>35</v>
      </c>
      <c r="AZ330" cm="1">
        <f t="array" ref="AZ330">SUM(IF(Cocina!A:A=Tabla5[[#This Row],[Nº Orden]],Cocina!E:E*Cocina!G:G,0))</f>
        <v>21</v>
      </c>
      <c r="BB330" t="str">
        <f>MID(Tabla4[[#This Row],[Cliente]], SEARCH("_", Tabla4[[#This Row],[Cliente]]) + 1, LEN(Tabla4[[#This Row],[Cliente]]) - SEARCH("_",Tabla4[[#This Row],[Cliente]]))</f>
        <v>350</v>
      </c>
      <c r="BC330" t="str">
        <f>sala!B329</f>
        <v>Cliente_350</v>
      </c>
      <c r="BD330" s="1">
        <f>sala!D329</f>
        <v>45020.072222222225</v>
      </c>
      <c r="BE330" s="1">
        <f>sala!E329</f>
        <v>45020.171527777777</v>
      </c>
      <c r="BF330">
        <f>sala!K329</f>
        <v>328</v>
      </c>
      <c r="BG330">
        <f>sala!I329</f>
        <v>1385</v>
      </c>
      <c r="BH330" cm="1">
        <f t="array" ref="BH330">SUM(IF(Cocina!A:A=Tabla4[[#This Row],[Número de Orden]],Cocina!F:F*Cocina!G:G,0))</f>
        <v>35</v>
      </c>
      <c r="BI330" t="str">
        <f>sala!J329</f>
        <v>Reservada</v>
      </c>
      <c r="BJ330" s="4" t="str">
        <f>IF(Tabla4[[#This Row],[Estado mesa]]="Ocupada","00:15","00:00")</f>
        <v>00:00</v>
      </c>
      <c r="BK330" cm="1">
        <f t="array" ref="BK330">SUM(IF(Cocina!A:A=Tabla4[[#This Row],[Número de Orden]],Cocina!H:H,0))</f>
        <v>21</v>
      </c>
    </row>
    <row r="331" spans="1:63" x14ac:dyDescent="0.3">
      <c r="A331" s="8" t="str">
        <f>MID(Tabla4[[#This Row],[Cliente]], SEARCH("_", Tabla4[[#This Row],[Cliente]]) + 1, LEN(Tabla4[[#This Row],[Cliente]]) - SEARCH("_",Tabla4[[#This Row],[Cliente]]))</f>
        <v>797</v>
      </c>
      <c r="B331">
        <f>sala!K330</f>
        <v>329</v>
      </c>
      <c r="C331">
        <f>Tabla4[[#This Row],[Propina]]+Tabla4[[#This Row],[Precio Cena]]</f>
        <v>4096</v>
      </c>
      <c r="D331" s="3">
        <f>INT(sala!E330)</f>
        <v>45020</v>
      </c>
      <c r="E331" s="4">
        <f>MOD( sala!D330,1)</f>
        <v>1.8055555556202307E-2</v>
      </c>
      <c r="F331" s="4">
        <f>MOD( sala!E330,1)</f>
        <v>0.11180555555620231</v>
      </c>
      <c r="G331" s="4">
        <f>Tabla5[[#This Row],[Hora de Salida]]-Tabla5[[#This Row],[Hora de Llegada]]+Tabla4[[#This Row],[Tiempo Extra]]</f>
        <v>0.10416666666666667</v>
      </c>
      <c r="H331" s="5" t="str">
        <f>TEXT(Tabla4[[#This Row],[Preparación en horas]]/1440, "h:mm")</f>
        <v>2:19</v>
      </c>
      <c r="I331" s="4">
        <f>IF(Tabla5[[#This Row],[Tiempo Permanencia]]-Tabla5[[#This Row],[Tiempo de Preparación ]]&gt;=0,Tabla5[[#This Row],[Tiempo Permanencia]]-Tabla5[[#This Row],[Tiempo de Preparación ]],0)</f>
        <v>7.6388888888888895E-3</v>
      </c>
      <c r="J331" s="5" t="str">
        <f>IF(Tabla5[[#This Row],[Tiempo de Degustación]]=0,"No Cobrada","Cobrada")</f>
        <v>Cobrada</v>
      </c>
      <c r="K331" s="5" cm="1">
        <f t="array" ref="K331">SUM(IF(Tabla5[[#This Row],[Orden Cobrada]]="Cobrada",IF(Cocina!A:A=Tabla5[[#This Row],[Nº Orden]],Cocina!F:F*Cocina!G:G,0),-Tabla6[[#This Row],[Precio Cena]]))</f>
        <v>207</v>
      </c>
      <c r="L331" s="5">
        <f>IF(Tabla5[[#This Row],[Orden Cobrada]]="Cobrada",Tabla5[[#This Row],[Ganancia Bruta]]-Tabla6[[#This Row],[Coste Cena]],-Tabla6[[#This Row],[Precio Cena]]+Tabla6[[#This Row],[Coste Cena]])</f>
        <v>79</v>
      </c>
      <c r="M331" s="10">
        <f>IF(Tabla5[[#This Row],[Orden Cobrada]]="Cobrada",((Tabla5[[#This Row],[Ganancia Neta]]/Tabla5[[#This Row],[Ganancia Bruta]])*100)/100,-((Tabla5[[#This Row],[Ganancia Neta]]/Tabla5[[#This Row],[Ganancia Bruta]]*100)/100))</f>
        <v>0.38164251207729466</v>
      </c>
      <c r="N331" s="5" t="str">
        <f>sala!F330</f>
        <v>Mesero_2</v>
      </c>
      <c r="AY331" cm="1">
        <f t="array" ref="AY331">SUM(IF(Cocina!A:A=Tabla5[[#This Row],[Nº Orden]],Cocina!F:F*Cocina!G:G,0))</f>
        <v>207</v>
      </c>
      <c r="AZ331" cm="1">
        <f t="array" ref="AZ331">SUM(IF(Cocina!A:A=Tabla5[[#This Row],[Nº Orden]],Cocina!E:E*Cocina!G:G,0))</f>
        <v>128</v>
      </c>
      <c r="BB331" t="str">
        <f>MID(Tabla4[[#This Row],[Cliente]], SEARCH("_", Tabla4[[#This Row],[Cliente]]) + 1, LEN(Tabla4[[#This Row],[Cliente]]) - SEARCH("_",Tabla4[[#This Row],[Cliente]]))</f>
        <v>797</v>
      </c>
      <c r="BC331" t="str">
        <f>sala!B330</f>
        <v>Cliente_797</v>
      </c>
      <c r="BD331" s="1">
        <f>sala!D330</f>
        <v>45020.018055555556</v>
      </c>
      <c r="BE331" s="1">
        <f>sala!E330</f>
        <v>45020.111805555556</v>
      </c>
      <c r="BF331">
        <f>sala!K330</f>
        <v>329</v>
      </c>
      <c r="BG331">
        <f>sala!I330</f>
        <v>3889</v>
      </c>
      <c r="BH331" cm="1">
        <f t="array" ref="BH331">SUM(IF(Cocina!A:A=Tabla4[[#This Row],[Número de Orden]],Cocina!F:F*Cocina!G:G,0))</f>
        <v>207</v>
      </c>
      <c r="BI331" t="str">
        <f>sala!J330</f>
        <v>Ocupada</v>
      </c>
      <c r="BJ331" s="4" t="str">
        <f>IF(Tabla4[[#This Row],[Estado mesa]]="Ocupada","00:15","00:00")</f>
        <v>00:15</v>
      </c>
      <c r="BK331" cm="1">
        <f t="array" ref="BK331">SUM(IF(Cocina!A:A=Tabla4[[#This Row],[Número de Orden]],Cocina!H:H,0))</f>
        <v>139</v>
      </c>
    </row>
    <row r="332" spans="1:63" x14ac:dyDescent="0.3">
      <c r="A332" s="8" t="str">
        <f>MID(Tabla4[[#This Row],[Cliente]], SEARCH("_", Tabla4[[#This Row],[Cliente]]) + 1, LEN(Tabla4[[#This Row],[Cliente]]) - SEARCH("_",Tabla4[[#This Row],[Cliente]]))</f>
        <v>436</v>
      </c>
      <c r="B332">
        <f>sala!K331</f>
        <v>330</v>
      </c>
      <c r="C332">
        <f>Tabla4[[#This Row],[Propina]]+Tabla4[[#This Row],[Precio Cena]]</f>
        <v>3434</v>
      </c>
      <c r="D332" s="3">
        <f>INT(sala!E331)</f>
        <v>45020</v>
      </c>
      <c r="E332" s="4">
        <f>MOD( sala!D331,1)</f>
        <v>7.6388888890505768E-2</v>
      </c>
      <c r="F332" s="4">
        <f>MOD( sala!E331,1)</f>
        <v>0.16458333333139308</v>
      </c>
      <c r="G332" s="4">
        <f>Tabla5[[#This Row],[Hora de Salida]]-Tabla5[[#This Row],[Hora de Llegada]]+Tabla4[[#This Row],[Tiempo Extra]]</f>
        <v>9.8611111107553981E-2</v>
      </c>
      <c r="H332" s="5" t="str">
        <f>TEXT(Tabla4[[#This Row],[Preparación en horas]]/1440, "h:mm")</f>
        <v>2:20</v>
      </c>
      <c r="I332" s="4">
        <f>IF(Tabla5[[#This Row],[Tiempo Permanencia]]-Tabla5[[#This Row],[Tiempo de Preparación ]]&gt;=0,Tabla5[[#This Row],[Tiempo Permanencia]]-Tabla5[[#This Row],[Tiempo de Preparación ]],0)</f>
        <v>1.3888888853317571E-3</v>
      </c>
      <c r="J332" s="5" t="str">
        <f>IF(Tabla5[[#This Row],[Tiempo de Degustación]]=0,"No Cobrada","Cobrada")</f>
        <v>Cobrada</v>
      </c>
      <c r="K332" s="5" cm="1">
        <f t="array" ref="K332">SUM(IF(Tabla5[[#This Row],[Orden Cobrada]]="Cobrada",IF(Cocina!A:A=Tabla5[[#This Row],[Nº Orden]],Cocina!F:F*Cocina!G:G,0),-Tabla6[[#This Row],[Precio Cena]]))</f>
        <v>217</v>
      </c>
      <c r="L332" s="5">
        <f>IF(Tabla5[[#This Row],[Orden Cobrada]]="Cobrada",Tabla5[[#This Row],[Ganancia Bruta]]-Tabla6[[#This Row],[Coste Cena]],-Tabla6[[#This Row],[Precio Cena]]+Tabla6[[#This Row],[Coste Cena]])</f>
        <v>87</v>
      </c>
      <c r="M332" s="10">
        <f>IF(Tabla5[[#This Row],[Orden Cobrada]]="Cobrada",((Tabla5[[#This Row],[Ganancia Neta]]/Tabla5[[#This Row],[Ganancia Bruta]])*100)/100,-((Tabla5[[#This Row],[Ganancia Neta]]/Tabla5[[#This Row],[Ganancia Bruta]]*100)/100))</f>
        <v>0.4009216589861751</v>
      </c>
      <c r="N332" s="5" t="str">
        <f>sala!F331</f>
        <v>Mesero_3</v>
      </c>
      <c r="AY332" cm="1">
        <f t="array" ref="AY332">SUM(IF(Cocina!A:A=Tabla5[[#This Row],[Nº Orden]],Cocina!F:F*Cocina!G:G,0))</f>
        <v>217</v>
      </c>
      <c r="AZ332" cm="1">
        <f t="array" ref="AZ332">SUM(IF(Cocina!A:A=Tabla5[[#This Row],[Nº Orden]],Cocina!E:E*Cocina!G:G,0))</f>
        <v>130</v>
      </c>
      <c r="BB332" t="str">
        <f>MID(Tabla4[[#This Row],[Cliente]], SEARCH("_", Tabla4[[#This Row],[Cliente]]) + 1, LEN(Tabla4[[#This Row],[Cliente]]) - SEARCH("_",Tabla4[[#This Row],[Cliente]]))</f>
        <v>436</v>
      </c>
      <c r="BC332" t="str">
        <f>sala!B331</f>
        <v>Cliente_436</v>
      </c>
      <c r="BD332" s="1">
        <f>sala!D331</f>
        <v>45020.076388888891</v>
      </c>
      <c r="BE332" s="1">
        <f>sala!E331</f>
        <v>45020.164583333331</v>
      </c>
      <c r="BF332">
        <f>sala!K331</f>
        <v>330</v>
      </c>
      <c r="BG332">
        <f>sala!I331</f>
        <v>3217</v>
      </c>
      <c r="BH332" cm="1">
        <f t="array" ref="BH332">SUM(IF(Cocina!A:A=Tabla4[[#This Row],[Número de Orden]],Cocina!F:F*Cocina!G:G,0))</f>
        <v>217</v>
      </c>
      <c r="BI332" t="str">
        <f>sala!J331</f>
        <v>Ocupada</v>
      </c>
      <c r="BJ332" s="4" t="str">
        <f>IF(Tabla4[[#This Row],[Estado mesa]]="Ocupada","00:15","00:00")</f>
        <v>00:15</v>
      </c>
      <c r="BK332" cm="1">
        <f t="array" ref="BK332">SUM(IF(Cocina!A:A=Tabla4[[#This Row],[Número de Orden]],Cocina!H:H,0))</f>
        <v>140</v>
      </c>
    </row>
    <row r="333" spans="1:63" x14ac:dyDescent="0.3">
      <c r="A333" s="8" t="str">
        <f>MID(Tabla4[[#This Row],[Cliente]], SEARCH("_", Tabla4[[#This Row],[Cliente]]) + 1, LEN(Tabla4[[#This Row],[Cliente]]) - SEARCH("_",Tabla4[[#This Row],[Cliente]]))</f>
        <v>597</v>
      </c>
      <c r="B333">
        <f>sala!K332</f>
        <v>331</v>
      </c>
      <c r="C333">
        <f>Tabla4[[#This Row],[Propina]]+Tabla4[[#This Row],[Precio Cena]]</f>
        <v>3834</v>
      </c>
      <c r="D333" s="3">
        <f>INT(sala!E332)</f>
        <v>45020</v>
      </c>
      <c r="E333" s="4">
        <f>MOD( sala!D332,1)</f>
        <v>0.12916666666569654</v>
      </c>
      <c r="F333" s="4">
        <f>MOD( sala!E332,1)</f>
        <v>0.2618055555576575</v>
      </c>
      <c r="G333" s="4">
        <f>Tabla5[[#This Row],[Hora de Salida]]-Tabla5[[#This Row],[Hora de Llegada]]+Tabla4[[#This Row],[Tiempo Extra]]</f>
        <v>0.13263888889196096</v>
      </c>
      <c r="H333" s="5" t="str">
        <f>TEXT(Tabla4[[#This Row],[Preparación en horas]]/1440, "h:mm")</f>
        <v>2:01</v>
      </c>
      <c r="I333" s="4">
        <f>IF(Tabla5[[#This Row],[Tiempo Permanencia]]-Tabla5[[#This Row],[Tiempo de Preparación ]]&gt;=0,Tabla5[[#This Row],[Tiempo Permanencia]]-Tabla5[[#This Row],[Tiempo de Preparación ]],0)</f>
        <v>4.8611111114183175E-2</v>
      </c>
      <c r="J333" s="5" t="str">
        <f>IF(Tabla5[[#This Row],[Tiempo de Degustación]]=0,"No Cobrada","Cobrada")</f>
        <v>Cobrada</v>
      </c>
      <c r="K333" s="5" cm="1">
        <f t="array" ref="K333">SUM(IF(Tabla5[[#This Row],[Orden Cobrada]]="Cobrada",IF(Cocina!A:A=Tabla5[[#This Row],[Nº Orden]],Cocina!F:F*Cocina!G:G,0),-Tabla6[[#This Row],[Precio Cena]]))</f>
        <v>173</v>
      </c>
      <c r="L333" s="5">
        <f>IF(Tabla5[[#This Row],[Orden Cobrada]]="Cobrada",Tabla5[[#This Row],[Ganancia Bruta]]-Tabla6[[#This Row],[Coste Cena]],-Tabla6[[#This Row],[Precio Cena]]+Tabla6[[#This Row],[Coste Cena]])</f>
        <v>70</v>
      </c>
      <c r="M333" s="10">
        <f>IF(Tabla5[[#This Row],[Orden Cobrada]]="Cobrada",((Tabla5[[#This Row],[Ganancia Neta]]/Tabla5[[#This Row],[Ganancia Bruta]])*100)/100,-((Tabla5[[#This Row],[Ganancia Neta]]/Tabla5[[#This Row],[Ganancia Bruta]]*100)/100))</f>
        <v>0.40462427745664742</v>
      </c>
      <c r="N333" s="5" t="str">
        <f>sala!F332</f>
        <v>Mesero_4</v>
      </c>
      <c r="AY333" cm="1">
        <f t="array" ref="AY333">SUM(IF(Cocina!A:A=Tabla5[[#This Row],[Nº Orden]],Cocina!F:F*Cocina!G:G,0))</f>
        <v>173</v>
      </c>
      <c r="AZ333" cm="1">
        <f t="array" ref="AZ333">SUM(IF(Cocina!A:A=Tabla5[[#This Row],[Nº Orden]],Cocina!E:E*Cocina!G:G,0))</f>
        <v>103</v>
      </c>
      <c r="BB333" t="str">
        <f>MID(Tabla4[[#This Row],[Cliente]], SEARCH("_", Tabla4[[#This Row],[Cliente]]) + 1, LEN(Tabla4[[#This Row],[Cliente]]) - SEARCH("_",Tabla4[[#This Row],[Cliente]]))</f>
        <v>597</v>
      </c>
      <c r="BC333" t="str">
        <f>sala!B332</f>
        <v>Cliente_597</v>
      </c>
      <c r="BD333" s="1">
        <f>sala!D332</f>
        <v>45020.129166666666</v>
      </c>
      <c r="BE333" s="1">
        <f>sala!E332</f>
        <v>45020.261805555558</v>
      </c>
      <c r="BF333">
        <f>sala!K332</f>
        <v>331</v>
      </c>
      <c r="BG333">
        <f>sala!I332</f>
        <v>3661</v>
      </c>
      <c r="BH333" cm="1">
        <f t="array" ref="BH333">SUM(IF(Cocina!A:A=Tabla4[[#This Row],[Número de Orden]],Cocina!F:F*Cocina!G:G,0))</f>
        <v>173</v>
      </c>
      <c r="BI333" t="str">
        <f>sala!J332</f>
        <v>Reservada</v>
      </c>
      <c r="BJ333" s="4" t="str">
        <f>IF(Tabla4[[#This Row],[Estado mesa]]="Ocupada","00:15","00:00")</f>
        <v>00:00</v>
      </c>
      <c r="BK333" cm="1">
        <f t="array" ref="BK333">SUM(IF(Cocina!A:A=Tabla4[[#This Row],[Número de Orden]],Cocina!H:H,0))</f>
        <v>121</v>
      </c>
    </row>
    <row r="334" spans="1:63" x14ac:dyDescent="0.3">
      <c r="A334" s="8" t="str">
        <f>MID(Tabla4[[#This Row],[Cliente]], SEARCH("_", Tabla4[[#This Row],[Cliente]]) + 1, LEN(Tabla4[[#This Row],[Cliente]]) - SEARCH("_",Tabla4[[#This Row],[Cliente]]))</f>
        <v>823</v>
      </c>
      <c r="B334">
        <f>sala!K333</f>
        <v>332</v>
      </c>
      <c r="C334">
        <f>Tabla4[[#This Row],[Propina]]+Tabla4[[#This Row],[Precio Cena]]</f>
        <v>2641</v>
      </c>
      <c r="D334" s="3">
        <f>INT(sala!E333)</f>
        <v>45020</v>
      </c>
      <c r="E334" s="4">
        <f>MOD( sala!D333,1)</f>
        <v>9.7222222248092294E-3</v>
      </c>
      <c r="F334" s="4">
        <f>MOD( sala!E333,1)</f>
        <v>6.1805555553291924E-2</v>
      </c>
      <c r="G334" s="4">
        <f>Tabla5[[#This Row],[Hora de Salida]]-Tabla5[[#This Row],[Hora de Llegada]]+Tabla4[[#This Row],[Tiempo Extra]]</f>
        <v>5.2083333328482695E-2</v>
      </c>
      <c r="H334" s="5" t="str">
        <f>TEXT(Tabla4[[#This Row],[Preparación en horas]]/1440, "h:mm")</f>
        <v>0:17</v>
      </c>
      <c r="I334" s="4">
        <f>IF(Tabla5[[#This Row],[Tiempo Permanencia]]-Tabla5[[#This Row],[Tiempo de Preparación ]]&gt;=0,Tabla5[[#This Row],[Tiempo Permanencia]]-Tabla5[[#This Row],[Tiempo de Preparación ]],0)</f>
        <v>4.027777777292714E-2</v>
      </c>
      <c r="J334" s="5" t="str">
        <f>IF(Tabla5[[#This Row],[Tiempo de Degustación]]=0,"No Cobrada","Cobrada")</f>
        <v>Cobrada</v>
      </c>
      <c r="K334" s="5" cm="1">
        <f t="array" ref="K334">SUM(IF(Tabla5[[#This Row],[Orden Cobrada]]="Cobrada",IF(Cocina!A:A=Tabla5[[#This Row],[Nº Orden]],Cocina!F:F*Cocina!G:G,0),-Tabla6[[#This Row],[Precio Cena]]))</f>
        <v>120</v>
      </c>
      <c r="L334" s="5">
        <f>IF(Tabla5[[#This Row],[Orden Cobrada]]="Cobrada",Tabla5[[#This Row],[Ganancia Bruta]]-Tabla6[[#This Row],[Coste Cena]],-Tabla6[[#This Row],[Precio Cena]]+Tabla6[[#This Row],[Coste Cena]])</f>
        <v>45</v>
      </c>
      <c r="M334" s="10">
        <f>IF(Tabla5[[#This Row],[Orden Cobrada]]="Cobrada",((Tabla5[[#This Row],[Ganancia Neta]]/Tabla5[[#This Row],[Ganancia Bruta]])*100)/100,-((Tabla5[[#This Row],[Ganancia Neta]]/Tabla5[[#This Row],[Ganancia Bruta]]*100)/100))</f>
        <v>0.375</v>
      </c>
      <c r="N334" s="5" t="str">
        <f>sala!F333</f>
        <v>Mesero_2</v>
      </c>
      <c r="AY334" cm="1">
        <f t="array" ref="AY334">SUM(IF(Cocina!A:A=Tabla5[[#This Row],[Nº Orden]],Cocina!F:F*Cocina!G:G,0))</f>
        <v>120</v>
      </c>
      <c r="AZ334" cm="1">
        <f t="array" ref="AZ334">SUM(IF(Cocina!A:A=Tabla5[[#This Row],[Nº Orden]],Cocina!E:E*Cocina!G:G,0))</f>
        <v>75</v>
      </c>
      <c r="BB334" t="str">
        <f>MID(Tabla4[[#This Row],[Cliente]], SEARCH("_", Tabla4[[#This Row],[Cliente]]) + 1, LEN(Tabla4[[#This Row],[Cliente]]) - SEARCH("_",Tabla4[[#This Row],[Cliente]]))</f>
        <v>823</v>
      </c>
      <c r="BC334" t="str">
        <f>sala!B333</f>
        <v>Cliente_823</v>
      </c>
      <c r="BD334" s="1">
        <f>sala!D333</f>
        <v>45020.009722222225</v>
      </c>
      <c r="BE334" s="1">
        <f>sala!E333</f>
        <v>45020.061805555553</v>
      </c>
      <c r="BF334">
        <f>sala!K333</f>
        <v>332</v>
      </c>
      <c r="BG334">
        <f>sala!I333</f>
        <v>2521</v>
      </c>
      <c r="BH334" cm="1">
        <f t="array" ref="BH334">SUM(IF(Cocina!A:A=Tabla4[[#This Row],[Número de Orden]],Cocina!F:F*Cocina!G:G,0))</f>
        <v>120</v>
      </c>
      <c r="BI334" t="str">
        <f>sala!J333</f>
        <v>Reservada</v>
      </c>
      <c r="BJ334" s="4" t="str">
        <f>IF(Tabla4[[#This Row],[Estado mesa]]="Ocupada","00:15","00:00")</f>
        <v>00:00</v>
      </c>
      <c r="BK334" cm="1">
        <f t="array" ref="BK334">SUM(IF(Cocina!A:A=Tabla4[[#This Row],[Número de Orden]],Cocina!H:H,0))</f>
        <v>17</v>
      </c>
    </row>
    <row r="335" spans="1:63" x14ac:dyDescent="0.3">
      <c r="A335" s="8" t="str">
        <f>MID(Tabla4[[#This Row],[Cliente]], SEARCH("_", Tabla4[[#This Row],[Cliente]]) + 1, LEN(Tabla4[[#This Row],[Cliente]]) - SEARCH("_",Tabla4[[#This Row],[Cliente]]))</f>
        <v>690</v>
      </c>
      <c r="B335">
        <f>sala!K334</f>
        <v>333</v>
      </c>
      <c r="C335">
        <f>Tabla4[[#This Row],[Propina]]+Tabla4[[#This Row],[Precio Cena]]</f>
        <v>1391</v>
      </c>
      <c r="D335" s="3">
        <f>INT(sala!E334)</f>
        <v>45020</v>
      </c>
      <c r="E335" s="4">
        <f>MOD( sala!D334,1)</f>
        <v>0.13194444444525288</v>
      </c>
      <c r="F335" s="4">
        <f>MOD( sala!E334,1)</f>
        <v>0.18680555555329192</v>
      </c>
      <c r="G335" s="4">
        <f>Tabla5[[#This Row],[Hora de Salida]]-Tabla5[[#This Row],[Hora de Llegada]]+Tabla4[[#This Row],[Tiempo Extra]]</f>
        <v>5.486111110803904E-2</v>
      </c>
      <c r="H335" s="5" t="str">
        <f>TEXT(Tabla4[[#This Row],[Preparación en horas]]/1440, "h:mm")</f>
        <v>1:01</v>
      </c>
      <c r="I335" s="4">
        <f>IF(Tabla5[[#This Row],[Tiempo Permanencia]]-Tabla5[[#This Row],[Tiempo de Preparación ]]&gt;=0,Tabla5[[#This Row],[Tiempo Permanencia]]-Tabla5[[#This Row],[Tiempo de Preparación ]],0)</f>
        <v>1.2499999996927927E-2</v>
      </c>
      <c r="J335" s="5" t="str">
        <f>IF(Tabla5[[#This Row],[Tiempo de Degustación]]=0,"No Cobrada","Cobrada")</f>
        <v>Cobrada</v>
      </c>
      <c r="K335" s="5" cm="1">
        <f t="array" ref="K335">SUM(IF(Tabla5[[#This Row],[Orden Cobrada]]="Cobrada",IF(Cocina!A:A=Tabla5[[#This Row],[Nº Orden]],Cocina!F:F*Cocina!G:G,0),-Tabla6[[#This Row],[Precio Cena]]))</f>
        <v>72</v>
      </c>
      <c r="L335" s="5">
        <f>IF(Tabla5[[#This Row],[Orden Cobrada]]="Cobrada",Tabla5[[#This Row],[Ganancia Bruta]]-Tabla6[[#This Row],[Coste Cena]],-Tabla6[[#This Row],[Precio Cena]]+Tabla6[[#This Row],[Coste Cena]])</f>
        <v>30</v>
      </c>
      <c r="M335" s="10">
        <f>IF(Tabla5[[#This Row],[Orden Cobrada]]="Cobrada",((Tabla5[[#This Row],[Ganancia Neta]]/Tabla5[[#This Row],[Ganancia Bruta]])*100)/100,-((Tabla5[[#This Row],[Ganancia Neta]]/Tabla5[[#This Row],[Ganancia Bruta]]*100)/100))</f>
        <v>0.41666666666666674</v>
      </c>
      <c r="N335" s="5" t="str">
        <f>sala!F334</f>
        <v>Mesero_4</v>
      </c>
      <c r="AY335" cm="1">
        <f t="array" ref="AY335">SUM(IF(Cocina!A:A=Tabla5[[#This Row],[Nº Orden]],Cocina!F:F*Cocina!G:G,0))</f>
        <v>72</v>
      </c>
      <c r="AZ335" cm="1">
        <f t="array" ref="AZ335">SUM(IF(Cocina!A:A=Tabla5[[#This Row],[Nº Orden]],Cocina!E:E*Cocina!G:G,0))</f>
        <v>42</v>
      </c>
      <c r="BB335" t="str">
        <f>MID(Tabla4[[#This Row],[Cliente]], SEARCH("_", Tabla4[[#This Row],[Cliente]]) + 1, LEN(Tabla4[[#This Row],[Cliente]]) - SEARCH("_",Tabla4[[#This Row],[Cliente]]))</f>
        <v>690</v>
      </c>
      <c r="BC335" t="str">
        <f>sala!B334</f>
        <v>Cliente_690</v>
      </c>
      <c r="BD335" s="1">
        <f>sala!D334</f>
        <v>45020.131944444445</v>
      </c>
      <c r="BE335" s="1">
        <f>sala!E334</f>
        <v>45020.186805555553</v>
      </c>
      <c r="BF335">
        <f>sala!K334</f>
        <v>333</v>
      </c>
      <c r="BG335">
        <f>sala!I334</f>
        <v>1319</v>
      </c>
      <c r="BH335" cm="1">
        <f t="array" ref="BH335">SUM(IF(Cocina!A:A=Tabla4[[#This Row],[Número de Orden]],Cocina!F:F*Cocina!G:G,0))</f>
        <v>72</v>
      </c>
      <c r="BI335" t="str">
        <f>sala!J334</f>
        <v>Libre</v>
      </c>
      <c r="BJ335" s="4" t="str">
        <f>IF(Tabla4[[#This Row],[Estado mesa]]="Ocupada","00:15","00:00")</f>
        <v>00:00</v>
      </c>
      <c r="BK335" cm="1">
        <f t="array" ref="BK335">SUM(IF(Cocina!A:A=Tabla4[[#This Row],[Número de Orden]],Cocina!H:H,0))</f>
        <v>61</v>
      </c>
    </row>
    <row r="336" spans="1:63" x14ac:dyDescent="0.3">
      <c r="A336" s="8" t="str">
        <f>MID(Tabla4[[#This Row],[Cliente]], SEARCH("_", Tabla4[[#This Row],[Cliente]]) + 1, LEN(Tabla4[[#This Row],[Cliente]]) - SEARCH("_",Tabla4[[#This Row],[Cliente]]))</f>
        <v>216</v>
      </c>
      <c r="B336">
        <f>sala!K335</f>
        <v>334</v>
      </c>
      <c r="C336">
        <f>Tabla4[[#This Row],[Propina]]+Tabla4[[#This Row],[Precio Cena]]</f>
        <v>348</v>
      </c>
      <c r="D336" s="3">
        <f>INT(sala!E335)</f>
        <v>45020</v>
      </c>
      <c r="E336" s="4">
        <f>MOD( sala!D335,1)</f>
        <v>0.11875000000145519</v>
      </c>
      <c r="F336" s="4">
        <f>MOD( sala!E335,1)</f>
        <v>0.27152777777519077</v>
      </c>
      <c r="G336" s="4">
        <f>Tabla5[[#This Row],[Hora de Salida]]-Tabla5[[#This Row],[Hora de Llegada]]+Tabla4[[#This Row],[Tiempo Extra]]</f>
        <v>0.15277777777373558</v>
      </c>
      <c r="H336" s="5" t="str">
        <f>TEXT(Tabla4[[#This Row],[Preparación en horas]]/1440, "h:mm")</f>
        <v>2:36</v>
      </c>
      <c r="I336" s="4">
        <f>IF(Tabla5[[#This Row],[Tiempo Permanencia]]-Tabla5[[#This Row],[Tiempo de Preparación ]]&gt;=0,Tabla5[[#This Row],[Tiempo Permanencia]]-Tabla5[[#This Row],[Tiempo de Preparación ]],0)</f>
        <v>4.4444444440402242E-2</v>
      </c>
      <c r="J336" s="5" t="str">
        <f>IF(Tabla5[[#This Row],[Tiempo de Degustación]]=0,"No Cobrada","Cobrada")</f>
        <v>Cobrada</v>
      </c>
      <c r="K336" s="5" cm="1">
        <f t="array" ref="K336">SUM(IF(Tabla5[[#This Row],[Orden Cobrada]]="Cobrada",IF(Cocina!A:A=Tabla5[[#This Row],[Nº Orden]],Cocina!F:F*Cocina!G:G,0),-Tabla6[[#This Row],[Precio Cena]]))</f>
        <v>173</v>
      </c>
      <c r="L336" s="5">
        <f>IF(Tabla5[[#This Row],[Orden Cobrada]]="Cobrada",Tabla5[[#This Row],[Ganancia Bruta]]-Tabla6[[#This Row],[Coste Cena]],-Tabla6[[#This Row],[Precio Cena]]+Tabla6[[#This Row],[Coste Cena]])</f>
        <v>69</v>
      </c>
      <c r="M336" s="10">
        <f>IF(Tabla5[[#This Row],[Orden Cobrada]]="Cobrada",((Tabla5[[#This Row],[Ganancia Neta]]/Tabla5[[#This Row],[Ganancia Bruta]])*100)/100,-((Tabla5[[#This Row],[Ganancia Neta]]/Tabla5[[#This Row],[Ganancia Bruta]]*100)/100))</f>
        <v>0.39884393063583817</v>
      </c>
      <c r="N336" s="5" t="str">
        <f>sala!F335</f>
        <v>Mesero_1</v>
      </c>
      <c r="AY336" cm="1">
        <f t="array" ref="AY336">SUM(IF(Cocina!A:A=Tabla5[[#This Row],[Nº Orden]],Cocina!F:F*Cocina!G:G,0))</f>
        <v>173</v>
      </c>
      <c r="AZ336" cm="1">
        <f t="array" ref="AZ336">SUM(IF(Cocina!A:A=Tabla5[[#This Row],[Nº Orden]],Cocina!E:E*Cocina!G:G,0))</f>
        <v>104</v>
      </c>
      <c r="BB336" t="str">
        <f>MID(Tabla4[[#This Row],[Cliente]], SEARCH("_", Tabla4[[#This Row],[Cliente]]) + 1, LEN(Tabla4[[#This Row],[Cliente]]) - SEARCH("_",Tabla4[[#This Row],[Cliente]]))</f>
        <v>216</v>
      </c>
      <c r="BC336" t="str">
        <f>sala!B335</f>
        <v>Cliente_216</v>
      </c>
      <c r="BD336" s="1">
        <f>sala!D335</f>
        <v>45020.118750000001</v>
      </c>
      <c r="BE336" s="1">
        <f>sala!E335</f>
        <v>45020.271527777775</v>
      </c>
      <c r="BF336">
        <f>sala!K335</f>
        <v>334</v>
      </c>
      <c r="BG336">
        <f>sala!I335</f>
        <v>175</v>
      </c>
      <c r="BH336" cm="1">
        <f t="array" ref="BH336">SUM(IF(Cocina!A:A=Tabla4[[#This Row],[Número de Orden]],Cocina!F:F*Cocina!G:G,0))</f>
        <v>173</v>
      </c>
      <c r="BI336" t="str">
        <f>sala!J335</f>
        <v>Libre</v>
      </c>
      <c r="BJ336" s="4" t="str">
        <f>IF(Tabla4[[#This Row],[Estado mesa]]="Ocupada","00:15","00:00")</f>
        <v>00:00</v>
      </c>
      <c r="BK336" cm="1">
        <f t="array" ref="BK336">SUM(IF(Cocina!A:A=Tabla4[[#This Row],[Número de Orden]],Cocina!H:H,0))</f>
        <v>156</v>
      </c>
    </row>
    <row r="337" spans="1:63" x14ac:dyDescent="0.3">
      <c r="A337" s="8" t="str">
        <f>MID(Tabla4[[#This Row],[Cliente]], SEARCH("_", Tabla4[[#This Row],[Cliente]]) + 1, LEN(Tabla4[[#This Row],[Cliente]]) - SEARCH("_",Tabla4[[#This Row],[Cliente]]))</f>
        <v>546</v>
      </c>
      <c r="B337">
        <f>sala!K336</f>
        <v>335</v>
      </c>
      <c r="C337">
        <f>Tabla4[[#This Row],[Propina]]+Tabla4[[#This Row],[Precio Cena]]</f>
        <v>4270</v>
      </c>
      <c r="D337" s="3">
        <f>INT(sala!E336)</f>
        <v>45020</v>
      </c>
      <c r="E337" s="4">
        <f>MOD( sala!D336,1)</f>
        <v>8.0555555556202307E-2</v>
      </c>
      <c r="F337" s="4">
        <f>MOD( sala!E336,1)</f>
        <v>0.13124999999854481</v>
      </c>
      <c r="G337" s="4">
        <f>Tabla5[[#This Row],[Hora de Salida]]-Tabla5[[#This Row],[Hora de Llegada]]+Tabla4[[#This Row],[Tiempo Extra]]</f>
        <v>5.0694444442342501E-2</v>
      </c>
      <c r="H337" s="5" t="str">
        <f>TEXT(Tabla4[[#This Row],[Preparación en horas]]/1440, "h:mm")</f>
        <v>1:09</v>
      </c>
      <c r="I337" s="4">
        <f>IF(Tabla5[[#This Row],[Tiempo Permanencia]]-Tabla5[[#This Row],[Tiempo de Preparación ]]&gt;=0,Tabla5[[#This Row],[Tiempo Permanencia]]-Tabla5[[#This Row],[Tiempo de Preparación ]],0)</f>
        <v>2.7777777756758312E-3</v>
      </c>
      <c r="J337" s="5" t="str">
        <f>IF(Tabla5[[#This Row],[Tiempo de Degustación]]=0,"No Cobrada","Cobrada")</f>
        <v>Cobrada</v>
      </c>
      <c r="K337" s="5" cm="1">
        <f t="array" ref="K337">SUM(IF(Tabla5[[#This Row],[Orden Cobrada]]="Cobrada",IF(Cocina!A:A=Tabla5[[#This Row],[Nº Orden]],Cocina!F:F*Cocina!G:G,0),-Tabla6[[#This Row],[Precio Cena]]))</f>
        <v>114</v>
      </c>
      <c r="L337" s="5">
        <f>IF(Tabla5[[#This Row],[Orden Cobrada]]="Cobrada",Tabla5[[#This Row],[Ganancia Bruta]]-Tabla6[[#This Row],[Coste Cena]],-Tabla6[[#This Row],[Precio Cena]]+Tabla6[[#This Row],[Coste Cena]])</f>
        <v>48</v>
      </c>
      <c r="M337" s="10">
        <f>IF(Tabla5[[#This Row],[Orden Cobrada]]="Cobrada",((Tabla5[[#This Row],[Ganancia Neta]]/Tabla5[[#This Row],[Ganancia Bruta]])*100)/100,-((Tabla5[[#This Row],[Ganancia Neta]]/Tabla5[[#This Row],[Ganancia Bruta]]*100)/100))</f>
        <v>0.42105263157894735</v>
      </c>
      <c r="N337" s="5" t="str">
        <f>sala!F336</f>
        <v>Mesero_4</v>
      </c>
      <c r="AY337" cm="1">
        <f t="array" ref="AY337">SUM(IF(Cocina!A:A=Tabla5[[#This Row],[Nº Orden]],Cocina!F:F*Cocina!G:G,0))</f>
        <v>114</v>
      </c>
      <c r="AZ337" cm="1">
        <f t="array" ref="AZ337">SUM(IF(Cocina!A:A=Tabla5[[#This Row],[Nº Orden]],Cocina!E:E*Cocina!G:G,0))</f>
        <v>66</v>
      </c>
      <c r="BB337" t="str">
        <f>MID(Tabla4[[#This Row],[Cliente]], SEARCH("_", Tabla4[[#This Row],[Cliente]]) + 1, LEN(Tabla4[[#This Row],[Cliente]]) - SEARCH("_",Tabla4[[#This Row],[Cliente]]))</f>
        <v>546</v>
      </c>
      <c r="BC337" t="str">
        <f>sala!B336</f>
        <v>Cliente_546</v>
      </c>
      <c r="BD337" s="1">
        <f>sala!D336</f>
        <v>45020.080555555556</v>
      </c>
      <c r="BE337" s="1">
        <f>sala!E336</f>
        <v>45020.131249999999</v>
      </c>
      <c r="BF337">
        <f>sala!K336</f>
        <v>335</v>
      </c>
      <c r="BG337">
        <f>sala!I336</f>
        <v>4156</v>
      </c>
      <c r="BH337" cm="1">
        <f t="array" ref="BH337">SUM(IF(Cocina!A:A=Tabla4[[#This Row],[Número de Orden]],Cocina!F:F*Cocina!G:G,0))</f>
        <v>114</v>
      </c>
      <c r="BI337" t="str">
        <f>sala!J336</f>
        <v>Libre</v>
      </c>
      <c r="BJ337" s="4" t="str">
        <f>IF(Tabla4[[#This Row],[Estado mesa]]="Ocupada","00:15","00:00")</f>
        <v>00:00</v>
      </c>
      <c r="BK337" cm="1">
        <f t="array" ref="BK337">SUM(IF(Cocina!A:A=Tabla4[[#This Row],[Número de Orden]],Cocina!H:H,0))</f>
        <v>69</v>
      </c>
    </row>
    <row r="338" spans="1:63" x14ac:dyDescent="0.3">
      <c r="A338" s="8" t="str">
        <f>MID(Tabla4[[#This Row],[Cliente]], SEARCH("_", Tabla4[[#This Row],[Cliente]]) + 1, LEN(Tabla4[[#This Row],[Cliente]]) - SEARCH("_",Tabla4[[#This Row],[Cliente]]))</f>
        <v>524</v>
      </c>
      <c r="B338">
        <f>sala!K337</f>
        <v>336</v>
      </c>
      <c r="C338">
        <f>Tabla4[[#This Row],[Propina]]+Tabla4[[#This Row],[Precio Cena]]</f>
        <v>1951</v>
      </c>
      <c r="D338" s="3">
        <f>INT(sala!E337)</f>
        <v>45020</v>
      </c>
      <c r="E338" s="4">
        <f>MOD( sala!D337,1)</f>
        <v>6.5972222218988463E-2</v>
      </c>
      <c r="F338" s="4">
        <f>MOD( sala!E337,1)</f>
        <v>0.20208333332993789</v>
      </c>
      <c r="G338" s="4">
        <f>Tabla5[[#This Row],[Hora de Salida]]-Tabla5[[#This Row],[Hora de Llegada]]+Tabla4[[#This Row],[Tiempo Extra]]</f>
        <v>0.13611111111094942</v>
      </c>
      <c r="H338" s="5" t="str">
        <f>TEXT(Tabla4[[#This Row],[Preparación en horas]]/1440, "h:mm")</f>
        <v>1:05</v>
      </c>
      <c r="I338" s="4">
        <f>IF(Tabla5[[#This Row],[Tiempo Permanencia]]-Tabla5[[#This Row],[Tiempo de Preparación ]]&gt;=0,Tabla5[[#This Row],[Tiempo Permanencia]]-Tabla5[[#This Row],[Tiempo de Preparación ]],0)</f>
        <v>9.0972222222060528E-2</v>
      </c>
      <c r="J338" s="5" t="str">
        <f>IF(Tabla5[[#This Row],[Tiempo de Degustación]]=0,"No Cobrada","Cobrada")</f>
        <v>Cobrada</v>
      </c>
      <c r="K338" s="5" cm="1">
        <f t="array" ref="K338">SUM(IF(Tabla5[[#This Row],[Orden Cobrada]]="Cobrada",IF(Cocina!A:A=Tabla5[[#This Row],[Nº Orden]],Cocina!F:F*Cocina!G:G,0),-Tabla6[[#This Row],[Precio Cena]]))</f>
        <v>158</v>
      </c>
      <c r="L338" s="5">
        <f>IF(Tabla5[[#This Row],[Orden Cobrada]]="Cobrada",Tabla5[[#This Row],[Ganancia Bruta]]-Tabla6[[#This Row],[Coste Cena]],-Tabla6[[#This Row],[Precio Cena]]+Tabla6[[#This Row],[Coste Cena]])</f>
        <v>65</v>
      </c>
      <c r="M338" s="10">
        <f>IF(Tabla5[[#This Row],[Orden Cobrada]]="Cobrada",((Tabla5[[#This Row],[Ganancia Neta]]/Tabla5[[#This Row],[Ganancia Bruta]])*100)/100,-((Tabla5[[#This Row],[Ganancia Neta]]/Tabla5[[#This Row],[Ganancia Bruta]]*100)/100))</f>
        <v>0.41139240506329117</v>
      </c>
      <c r="N338" s="5" t="str">
        <f>sala!F337</f>
        <v>Mesero_2</v>
      </c>
      <c r="AY338" cm="1">
        <f t="array" ref="AY338">SUM(IF(Cocina!A:A=Tabla5[[#This Row],[Nº Orden]],Cocina!F:F*Cocina!G:G,0))</f>
        <v>158</v>
      </c>
      <c r="AZ338" cm="1">
        <f t="array" ref="AZ338">SUM(IF(Cocina!A:A=Tabla5[[#This Row],[Nº Orden]],Cocina!E:E*Cocina!G:G,0))</f>
        <v>93</v>
      </c>
      <c r="BB338" t="str">
        <f>MID(Tabla4[[#This Row],[Cliente]], SEARCH("_", Tabla4[[#This Row],[Cliente]]) + 1, LEN(Tabla4[[#This Row],[Cliente]]) - SEARCH("_",Tabla4[[#This Row],[Cliente]]))</f>
        <v>524</v>
      </c>
      <c r="BC338" t="str">
        <f>sala!B337</f>
        <v>Cliente_524</v>
      </c>
      <c r="BD338" s="1">
        <f>sala!D337</f>
        <v>45020.065972222219</v>
      </c>
      <c r="BE338" s="1">
        <f>sala!E337</f>
        <v>45020.20208333333</v>
      </c>
      <c r="BF338">
        <f>sala!K337</f>
        <v>336</v>
      </c>
      <c r="BG338">
        <f>sala!I337</f>
        <v>1793</v>
      </c>
      <c r="BH338" cm="1">
        <f t="array" ref="BH338">SUM(IF(Cocina!A:A=Tabla4[[#This Row],[Número de Orden]],Cocina!F:F*Cocina!G:G,0))</f>
        <v>158</v>
      </c>
      <c r="BI338" t="str">
        <f>sala!J337</f>
        <v>Libre</v>
      </c>
      <c r="BJ338" s="4" t="str">
        <f>IF(Tabla4[[#This Row],[Estado mesa]]="Ocupada","00:15","00:00")</f>
        <v>00:00</v>
      </c>
      <c r="BK338" cm="1">
        <f t="array" ref="BK338">SUM(IF(Cocina!A:A=Tabla4[[#This Row],[Número de Orden]],Cocina!H:H,0))</f>
        <v>65</v>
      </c>
    </row>
    <row r="339" spans="1:63" x14ac:dyDescent="0.3">
      <c r="A339" s="8" t="str">
        <f>MID(Tabla4[[#This Row],[Cliente]], SEARCH("_", Tabla4[[#This Row],[Cliente]]) + 1, LEN(Tabla4[[#This Row],[Cliente]]) - SEARCH("_",Tabla4[[#This Row],[Cliente]]))</f>
        <v>193</v>
      </c>
      <c r="B339">
        <f>sala!K338</f>
        <v>337</v>
      </c>
      <c r="C339">
        <f>Tabla4[[#This Row],[Propina]]+Tabla4[[#This Row],[Precio Cena]]</f>
        <v>2028</v>
      </c>
      <c r="D339" s="3">
        <f>INT(sala!E338)</f>
        <v>45020</v>
      </c>
      <c r="E339" s="4">
        <f>MOD( sala!D338,1)</f>
        <v>6.805555555911269E-2</v>
      </c>
      <c r="F339" s="4">
        <f>MOD( sala!E338,1)</f>
        <v>0.18819444444670808</v>
      </c>
      <c r="G339" s="4">
        <f>Tabla5[[#This Row],[Hora de Salida]]-Tabla5[[#This Row],[Hora de Llegada]]+Tabla4[[#This Row],[Tiempo Extra]]</f>
        <v>0.12013888888759539</v>
      </c>
      <c r="H339" s="5" t="str">
        <f>TEXT(Tabla4[[#This Row],[Preparación en horas]]/1440, "h:mm")</f>
        <v>0:58</v>
      </c>
      <c r="I339" s="4">
        <f>IF(Tabla5[[#This Row],[Tiempo Permanencia]]-Tabla5[[#This Row],[Tiempo de Preparación ]]&gt;=0,Tabla5[[#This Row],[Tiempo Permanencia]]-Tabla5[[#This Row],[Tiempo de Preparación ]],0)</f>
        <v>7.9861111109817612E-2</v>
      </c>
      <c r="J339" s="5" t="str">
        <f>IF(Tabla5[[#This Row],[Tiempo de Degustación]]=0,"No Cobrada","Cobrada")</f>
        <v>Cobrada</v>
      </c>
      <c r="K339" s="5" cm="1">
        <f t="array" ref="K339">SUM(IF(Tabla5[[#This Row],[Orden Cobrada]]="Cobrada",IF(Cocina!A:A=Tabla5[[#This Row],[Nº Orden]],Cocina!F:F*Cocina!G:G,0),-Tabla6[[#This Row],[Precio Cena]]))</f>
        <v>100</v>
      </c>
      <c r="L339" s="5">
        <f>IF(Tabla5[[#This Row],[Orden Cobrada]]="Cobrada",Tabla5[[#This Row],[Ganancia Bruta]]-Tabla6[[#This Row],[Coste Cena]],-Tabla6[[#This Row],[Precio Cena]]+Tabla6[[#This Row],[Coste Cena]])</f>
        <v>42</v>
      </c>
      <c r="M339" s="10">
        <f>IF(Tabla5[[#This Row],[Orden Cobrada]]="Cobrada",((Tabla5[[#This Row],[Ganancia Neta]]/Tabla5[[#This Row],[Ganancia Bruta]])*100)/100,-((Tabla5[[#This Row],[Ganancia Neta]]/Tabla5[[#This Row],[Ganancia Bruta]]*100)/100))</f>
        <v>0.42</v>
      </c>
      <c r="N339" s="5" t="str">
        <f>sala!F338</f>
        <v>Mesero_5</v>
      </c>
      <c r="AY339" cm="1">
        <f t="array" ref="AY339">SUM(IF(Cocina!A:A=Tabla5[[#This Row],[Nº Orden]],Cocina!F:F*Cocina!G:G,0))</f>
        <v>100</v>
      </c>
      <c r="AZ339" cm="1">
        <f t="array" ref="AZ339">SUM(IF(Cocina!A:A=Tabla5[[#This Row],[Nº Orden]],Cocina!E:E*Cocina!G:G,0))</f>
        <v>58</v>
      </c>
      <c r="BB339" t="str">
        <f>MID(Tabla4[[#This Row],[Cliente]], SEARCH("_", Tabla4[[#This Row],[Cliente]]) + 1, LEN(Tabla4[[#This Row],[Cliente]]) - SEARCH("_",Tabla4[[#This Row],[Cliente]]))</f>
        <v>193</v>
      </c>
      <c r="BC339" t="str">
        <f>sala!B338</f>
        <v>Cliente_193</v>
      </c>
      <c r="BD339" s="1">
        <f>sala!D338</f>
        <v>45020.068055555559</v>
      </c>
      <c r="BE339" s="1">
        <f>sala!E338</f>
        <v>45020.188194444447</v>
      </c>
      <c r="BF339">
        <f>sala!K338</f>
        <v>337</v>
      </c>
      <c r="BG339">
        <f>sala!I338</f>
        <v>1928</v>
      </c>
      <c r="BH339" cm="1">
        <f t="array" ref="BH339">SUM(IF(Cocina!A:A=Tabla4[[#This Row],[Número de Orden]],Cocina!F:F*Cocina!G:G,0))</f>
        <v>100</v>
      </c>
      <c r="BI339" t="str">
        <f>sala!J338</f>
        <v>Reservada</v>
      </c>
      <c r="BJ339" s="4" t="str">
        <f>IF(Tabla4[[#This Row],[Estado mesa]]="Ocupada","00:15","00:00")</f>
        <v>00:00</v>
      </c>
      <c r="BK339" cm="1">
        <f t="array" ref="BK339">SUM(IF(Cocina!A:A=Tabla4[[#This Row],[Número de Orden]],Cocina!H:H,0))</f>
        <v>58</v>
      </c>
    </row>
    <row r="340" spans="1:63" x14ac:dyDescent="0.3">
      <c r="A340" s="8" t="str">
        <f>MID(Tabla4[[#This Row],[Cliente]], SEARCH("_", Tabla4[[#This Row],[Cliente]]) + 1, LEN(Tabla4[[#This Row],[Cliente]]) - SEARCH("_",Tabla4[[#This Row],[Cliente]]))</f>
        <v>794</v>
      </c>
      <c r="B340">
        <f>sala!K339</f>
        <v>338</v>
      </c>
      <c r="C340">
        <f>Tabla4[[#This Row],[Propina]]+Tabla4[[#This Row],[Precio Cena]]</f>
        <v>3341</v>
      </c>
      <c r="D340" s="3">
        <f>INT(sala!E339)</f>
        <v>45020</v>
      </c>
      <c r="E340" s="4">
        <f>MOD( sala!D339,1)</f>
        <v>2.2222222221898846E-2</v>
      </c>
      <c r="F340" s="4">
        <f>MOD( sala!E339,1)</f>
        <v>0.14583333333575865</v>
      </c>
      <c r="G340" s="4">
        <f>Tabla5[[#This Row],[Hora de Salida]]-Tabla5[[#This Row],[Hora de Llegada]]+Tabla4[[#This Row],[Tiempo Extra]]</f>
        <v>0.12361111111385981</v>
      </c>
      <c r="H340" s="5" t="str">
        <f>TEXT(Tabla4[[#This Row],[Preparación en horas]]/1440, "h:mm")</f>
        <v>2:23</v>
      </c>
      <c r="I340" s="4">
        <f>IF(Tabla5[[#This Row],[Tiempo Permanencia]]-Tabla5[[#This Row],[Tiempo de Preparación ]]&gt;=0,Tabla5[[#This Row],[Tiempo Permanencia]]-Tabla5[[#This Row],[Tiempo de Preparación ]],0)</f>
        <v>2.4305555558304257E-2</v>
      </c>
      <c r="J340" s="5" t="str">
        <f>IF(Tabla5[[#This Row],[Tiempo de Degustación]]=0,"No Cobrada","Cobrada")</f>
        <v>Cobrada</v>
      </c>
      <c r="K340" s="5" cm="1">
        <f t="array" ref="K340">SUM(IF(Tabla5[[#This Row],[Orden Cobrada]]="Cobrada",IF(Cocina!A:A=Tabla5[[#This Row],[Nº Orden]],Cocina!F:F*Cocina!G:G,0),-Tabla6[[#This Row],[Precio Cena]]))</f>
        <v>279</v>
      </c>
      <c r="L340" s="5">
        <f>IF(Tabla5[[#This Row],[Orden Cobrada]]="Cobrada",Tabla5[[#This Row],[Ganancia Bruta]]-Tabla6[[#This Row],[Coste Cena]],-Tabla6[[#This Row],[Precio Cena]]+Tabla6[[#This Row],[Coste Cena]])</f>
        <v>113</v>
      </c>
      <c r="M340" s="10">
        <f>IF(Tabla5[[#This Row],[Orden Cobrada]]="Cobrada",((Tabla5[[#This Row],[Ganancia Neta]]/Tabla5[[#This Row],[Ganancia Bruta]])*100)/100,-((Tabla5[[#This Row],[Ganancia Neta]]/Tabla5[[#This Row],[Ganancia Bruta]]*100)/100))</f>
        <v>0.4050179211469534</v>
      </c>
      <c r="N340" s="5" t="str">
        <f>sala!F339</f>
        <v>Mesero_5</v>
      </c>
      <c r="AY340" cm="1">
        <f t="array" ref="AY340">SUM(IF(Cocina!A:A=Tabla5[[#This Row],[Nº Orden]],Cocina!F:F*Cocina!G:G,0))</f>
        <v>279</v>
      </c>
      <c r="AZ340" cm="1">
        <f t="array" ref="AZ340">SUM(IF(Cocina!A:A=Tabla5[[#This Row],[Nº Orden]],Cocina!E:E*Cocina!G:G,0))</f>
        <v>166</v>
      </c>
      <c r="BB340" t="str">
        <f>MID(Tabla4[[#This Row],[Cliente]], SEARCH("_", Tabla4[[#This Row],[Cliente]]) + 1, LEN(Tabla4[[#This Row],[Cliente]]) - SEARCH("_",Tabla4[[#This Row],[Cliente]]))</f>
        <v>794</v>
      </c>
      <c r="BC340" t="str">
        <f>sala!B339</f>
        <v>Cliente_794</v>
      </c>
      <c r="BD340" s="1">
        <f>sala!D339</f>
        <v>45020.022222222222</v>
      </c>
      <c r="BE340" s="1">
        <f>sala!E339</f>
        <v>45020.145833333336</v>
      </c>
      <c r="BF340">
        <f>sala!K339</f>
        <v>338</v>
      </c>
      <c r="BG340">
        <f>sala!I339</f>
        <v>3062</v>
      </c>
      <c r="BH340" cm="1">
        <f t="array" ref="BH340">SUM(IF(Cocina!A:A=Tabla4[[#This Row],[Número de Orden]],Cocina!F:F*Cocina!G:G,0))</f>
        <v>279</v>
      </c>
      <c r="BI340" t="str">
        <f>sala!J339</f>
        <v>Reservada</v>
      </c>
      <c r="BJ340" s="4" t="str">
        <f>IF(Tabla4[[#This Row],[Estado mesa]]="Ocupada","00:15","00:00")</f>
        <v>00:00</v>
      </c>
      <c r="BK340" cm="1">
        <f t="array" ref="BK340">SUM(IF(Cocina!A:A=Tabla4[[#This Row],[Número de Orden]],Cocina!H:H,0))</f>
        <v>143</v>
      </c>
    </row>
    <row r="341" spans="1:63" x14ac:dyDescent="0.3">
      <c r="A341" s="8" t="str">
        <f>MID(Tabla4[[#This Row],[Cliente]], SEARCH("_", Tabla4[[#This Row],[Cliente]]) + 1, LEN(Tabla4[[#This Row],[Cliente]]) - SEARCH("_",Tabla4[[#This Row],[Cliente]]))</f>
        <v>602</v>
      </c>
      <c r="B341">
        <f>sala!K340</f>
        <v>339</v>
      </c>
      <c r="C341">
        <f>Tabla4[[#This Row],[Propina]]+Tabla4[[#This Row],[Precio Cena]]</f>
        <v>300</v>
      </c>
      <c r="D341" s="3">
        <f>INT(sala!E340)</f>
        <v>45020</v>
      </c>
      <c r="E341" s="4">
        <f>MOD( sala!D340,1)</f>
        <v>0</v>
      </c>
      <c r="F341" s="4">
        <f>MOD( sala!E340,1)</f>
        <v>8.4027777775190771E-2</v>
      </c>
      <c r="G341" s="4">
        <f>Tabla5[[#This Row],[Hora de Salida]]-Tabla5[[#This Row],[Hora de Llegada]]+Tabla4[[#This Row],[Tiempo Extra]]</f>
        <v>8.4027777775190771E-2</v>
      </c>
      <c r="H341" s="5" t="str">
        <f>TEXT(Tabla4[[#This Row],[Preparación en horas]]/1440, "h:mm")</f>
        <v>0:46</v>
      </c>
      <c r="I341" s="4">
        <f>IF(Tabla5[[#This Row],[Tiempo Permanencia]]-Tabla5[[#This Row],[Tiempo de Preparación ]]&gt;=0,Tabla5[[#This Row],[Tiempo Permanencia]]-Tabla5[[#This Row],[Tiempo de Preparación ]],0)</f>
        <v>5.2083333330746329E-2</v>
      </c>
      <c r="J341" s="5" t="str">
        <f>IF(Tabla5[[#This Row],[Tiempo de Degustación]]=0,"No Cobrada","Cobrada")</f>
        <v>Cobrada</v>
      </c>
      <c r="K341" s="5" cm="1">
        <f t="array" ref="K341">SUM(IF(Tabla5[[#This Row],[Orden Cobrada]]="Cobrada",IF(Cocina!A:A=Tabla5[[#This Row],[Nº Orden]],Cocina!F:F*Cocina!G:G,0),-Tabla6[[#This Row],[Precio Cena]]))</f>
        <v>104</v>
      </c>
      <c r="L341" s="5">
        <f>IF(Tabla5[[#This Row],[Orden Cobrada]]="Cobrada",Tabla5[[#This Row],[Ganancia Bruta]]-Tabla6[[#This Row],[Coste Cena]],-Tabla6[[#This Row],[Precio Cena]]+Tabla6[[#This Row],[Coste Cena]])</f>
        <v>42</v>
      </c>
      <c r="M341" s="10">
        <f>IF(Tabla5[[#This Row],[Orden Cobrada]]="Cobrada",((Tabla5[[#This Row],[Ganancia Neta]]/Tabla5[[#This Row],[Ganancia Bruta]])*100)/100,-((Tabla5[[#This Row],[Ganancia Neta]]/Tabla5[[#This Row],[Ganancia Bruta]]*100)/100))</f>
        <v>0.40384615384615385</v>
      </c>
      <c r="N341" s="5" t="str">
        <f>sala!F340</f>
        <v>Mesero_3</v>
      </c>
      <c r="AY341" cm="1">
        <f t="array" ref="AY341">SUM(IF(Cocina!A:A=Tabla5[[#This Row],[Nº Orden]],Cocina!F:F*Cocina!G:G,0))</f>
        <v>104</v>
      </c>
      <c r="AZ341" cm="1">
        <f t="array" ref="AZ341">SUM(IF(Cocina!A:A=Tabla5[[#This Row],[Nº Orden]],Cocina!E:E*Cocina!G:G,0))</f>
        <v>62</v>
      </c>
      <c r="BB341" t="str">
        <f>MID(Tabla4[[#This Row],[Cliente]], SEARCH("_", Tabla4[[#This Row],[Cliente]]) + 1, LEN(Tabla4[[#This Row],[Cliente]]) - SEARCH("_",Tabla4[[#This Row],[Cliente]]))</f>
        <v>602</v>
      </c>
      <c r="BC341" t="str">
        <f>sala!B340</f>
        <v>Cliente_602</v>
      </c>
      <c r="BD341" s="1">
        <f>sala!D340</f>
        <v>45020</v>
      </c>
      <c r="BE341" s="1">
        <f>sala!E340</f>
        <v>45020.084027777775</v>
      </c>
      <c r="BF341">
        <f>sala!K340</f>
        <v>339</v>
      </c>
      <c r="BG341">
        <f>sala!I340</f>
        <v>196</v>
      </c>
      <c r="BH341" cm="1">
        <f t="array" ref="BH341">SUM(IF(Cocina!A:A=Tabla4[[#This Row],[Número de Orden]],Cocina!F:F*Cocina!G:G,0))</f>
        <v>104</v>
      </c>
      <c r="BI341" t="str">
        <f>sala!J340</f>
        <v>Reservada</v>
      </c>
      <c r="BJ341" s="4" t="str">
        <f>IF(Tabla4[[#This Row],[Estado mesa]]="Ocupada","00:15","00:00")</f>
        <v>00:00</v>
      </c>
      <c r="BK341" cm="1">
        <f t="array" ref="BK341">SUM(IF(Cocina!A:A=Tabla4[[#This Row],[Número de Orden]],Cocina!H:H,0))</f>
        <v>46</v>
      </c>
    </row>
    <row r="342" spans="1:63" x14ac:dyDescent="0.3">
      <c r="A342" s="8" t="str">
        <f>MID(Tabla4[[#This Row],[Cliente]], SEARCH("_", Tabla4[[#This Row],[Cliente]]) + 1, LEN(Tabla4[[#This Row],[Cliente]]) - SEARCH("_",Tabla4[[#This Row],[Cliente]]))</f>
        <v>296</v>
      </c>
      <c r="B342">
        <f>sala!K341</f>
        <v>340</v>
      </c>
      <c r="C342">
        <f>Tabla4[[#This Row],[Propina]]+Tabla4[[#This Row],[Precio Cena]]</f>
        <v>4016</v>
      </c>
      <c r="D342" s="3">
        <f>INT(sala!E341)</f>
        <v>45020</v>
      </c>
      <c r="E342" s="4">
        <f>MOD( sala!D341,1)</f>
        <v>5.0000000002910383E-2</v>
      </c>
      <c r="F342" s="4">
        <f>MOD( sala!E341,1)</f>
        <v>0.19305555555911269</v>
      </c>
      <c r="G342" s="4">
        <f>Tabla5[[#This Row],[Hora de Salida]]-Tabla5[[#This Row],[Hora de Llegada]]+Tabla4[[#This Row],[Tiempo Extra]]</f>
        <v>0.14305555555620231</v>
      </c>
      <c r="H342" s="5" t="str">
        <f>TEXT(Tabla4[[#This Row],[Preparación en horas]]/1440, "h:mm")</f>
        <v>1:31</v>
      </c>
      <c r="I342" s="4">
        <f>IF(Tabla5[[#This Row],[Tiempo Permanencia]]-Tabla5[[#This Row],[Tiempo de Preparación ]]&gt;=0,Tabla5[[#This Row],[Tiempo Permanencia]]-Tabla5[[#This Row],[Tiempo de Preparación ]],0)</f>
        <v>7.9861111111757865E-2</v>
      </c>
      <c r="J342" s="5" t="str">
        <f>IF(Tabla5[[#This Row],[Tiempo de Degustación]]=0,"No Cobrada","Cobrada")</f>
        <v>Cobrada</v>
      </c>
      <c r="K342" s="5" cm="1">
        <f t="array" ref="K342">SUM(IF(Tabla5[[#This Row],[Orden Cobrada]]="Cobrada",IF(Cocina!A:A=Tabla5[[#This Row],[Nº Orden]],Cocina!F:F*Cocina!G:G,0),-Tabla6[[#This Row],[Precio Cena]]))</f>
        <v>164</v>
      </c>
      <c r="L342" s="5">
        <f>IF(Tabla5[[#This Row],[Orden Cobrada]]="Cobrada",Tabla5[[#This Row],[Ganancia Bruta]]-Tabla6[[#This Row],[Coste Cena]],-Tabla6[[#This Row],[Precio Cena]]+Tabla6[[#This Row],[Coste Cena]])</f>
        <v>66</v>
      </c>
      <c r="M342" s="10">
        <f>IF(Tabla5[[#This Row],[Orden Cobrada]]="Cobrada",((Tabla5[[#This Row],[Ganancia Neta]]/Tabla5[[#This Row],[Ganancia Bruta]])*100)/100,-((Tabla5[[#This Row],[Ganancia Neta]]/Tabla5[[#This Row],[Ganancia Bruta]]*100)/100))</f>
        <v>0.40243902439024398</v>
      </c>
      <c r="N342" s="5" t="str">
        <f>sala!F341</f>
        <v>Mesero_3</v>
      </c>
      <c r="AY342" cm="1">
        <f t="array" ref="AY342">SUM(IF(Cocina!A:A=Tabla5[[#This Row],[Nº Orden]],Cocina!F:F*Cocina!G:G,0))</f>
        <v>164</v>
      </c>
      <c r="AZ342" cm="1">
        <f t="array" ref="AZ342">SUM(IF(Cocina!A:A=Tabla5[[#This Row],[Nº Orden]],Cocina!E:E*Cocina!G:G,0))</f>
        <v>98</v>
      </c>
      <c r="BB342" t="str">
        <f>MID(Tabla4[[#This Row],[Cliente]], SEARCH("_", Tabla4[[#This Row],[Cliente]]) + 1, LEN(Tabla4[[#This Row],[Cliente]]) - SEARCH("_",Tabla4[[#This Row],[Cliente]]))</f>
        <v>296</v>
      </c>
      <c r="BC342" t="str">
        <f>sala!B341</f>
        <v>Cliente_296</v>
      </c>
      <c r="BD342" s="1">
        <f>sala!D341</f>
        <v>45020.05</v>
      </c>
      <c r="BE342" s="1">
        <f>sala!E341</f>
        <v>45020.193055555559</v>
      </c>
      <c r="BF342">
        <f>sala!K341</f>
        <v>340</v>
      </c>
      <c r="BG342">
        <f>sala!I341</f>
        <v>3852</v>
      </c>
      <c r="BH342" cm="1">
        <f t="array" ref="BH342">SUM(IF(Cocina!A:A=Tabla4[[#This Row],[Número de Orden]],Cocina!F:F*Cocina!G:G,0))</f>
        <v>164</v>
      </c>
      <c r="BI342" t="str">
        <f>sala!J341</f>
        <v>Libre</v>
      </c>
      <c r="BJ342" s="4" t="str">
        <f>IF(Tabla4[[#This Row],[Estado mesa]]="Ocupada","00:15","00:00")</f>
        <v>00:00</v>
      </c>
      <c r="BK342" cm="1">
        <f t="array" ref="BK342">SUM(IF(Cocina!A:A=Tabla4[[#This Row],[Número de Orden]],Cocina!H:H,0))</f>
        <v>91</v>
      </c>
    </row>
    <row r="343" spans="1:63" x14ac:dyDescent="0.3">
      <c r="A343" s="8" t="str">
        <f>MID(Tabla4[[#This Row],[Cliente]], SEARCH("_", Tabla4[[#This Row],[Cliente]]) + 1, LEN(Tabla4[[#This Row],[Cliente]]) - SEARCH("_",Tabla4[[#This Row],[Cliente]]))</f>
        <v>568</v>
      </c>
      <c r="B343">
        <f>sala!K342</f>
        <v>341</v>
      </c>
      <c r="C343">
        <f>Tabla4[[#This Row],[Propina]]+Tabla4[[#This Row],[Precio Cena]]</f>
        <v>4882</v>
      </c>
      <c r="D343" s="3">
        <f>INT(sala!E342)</f>
        <v>45020</v>
      </c>
      <c r="E343" s="4">
        <f>MOD( sala!D342,1)</f>
        <v>8.6805555554747116E-2</v>
      </c>
      <c r="F343" s="4">
        <f>MOD( sala!E342,1)</f>
        <v>0.17986111110803904</v>
      </c>
      <c r="G343" s="4">
        <f>Tabla5[[#This Row],[Hora de Salida]]-Tabla5[[#This Row],[Hora de Llegada]]+Tabla4[[#This Row],[Tiempo Extra]]</f>
        <v>9.3055555553291924E-2</v>
      </c>
      <c r="H343" s="5" t="str">
        <f>TEXT(Tabla4[[#This Row],[Preparación en horas]]/1440, "h:mm")</f>
        <v>1:28</v>
      </c>
      <c r="I343" s="4">
        <f>IF(Tabla5[[#This Row],[Tiempo Permanencia]]-Tabla5[[#This Row],[Tiempo de Preparación ]]&gt;=0,Tabla5[[#This Row],[Tiempo Permanencia]]-Tabla5[[#This Row],[Tiempo de Preparación ]],0)</f>
        <v>3.1944444442180815E-2</v>
      </c>
      <c r="J343" s="5" t="str">
        <f>IF(Tabla5[[#This Row],[Tiempo de Degustación]]=0,"No Cobrada","Cobrada")</f>
        <v>Cobrada</v>
      </c>
      <c r="K343" s="5" cm="1">
        <f t="array" ref="K343">SUM(IF(Tabla5[[#This Row],[Orden Cobrada]]="Cobrada",IF(Cocina!A:A=Tabla5[[#This Row],[Nº Orden]],Cocina!F:F*Cocina!G:G,0),-Tabla6[[#This Row],[Precio Cena]]))</f>
        <v>177</v>
      </c>
      <c r="L343" s="5">
        <f>IF(Tabla5[[#This Row],[Orden Cobrada]]="Cobrada",Tabla5[[#This Row],[Ganancia Bruta]]-Tabla6[[#This Row],[Coste Cena]],-Tabla6[[#This Row],[Precio Cena]]+Tabla6[[#This Row],[Coste Cena]])</f>
        <v>72</v>
      </c>
      <c r="M343" s="10">
        <f>IF(Tabla5[[#This Row],[Orden Cobrada]]="Cobrada",((Tabla5[[#This Row],[Ganancia Neta]]/Tabla5[[#This Row],[Ganancia Bruta]])*100)/100,-((Tabla5[[#This Row],[Ganancia Neta]]/Tabla5[[#This Row],[Ganancia Bruta]]*100)/100))</f>
        <v>0.40677966101694918</v>
      </c>
      <c r="N343" s="5" t="str">
        <f>sala!F342</f>
        <v>Mesero_3</v>
      </c>
      <c r="AY343" cm="1">
        <f t="array" ref="AY343">SUM(IF(Cocina!A:A=Tabla5[[#This Row],[Nº Orden]],Cocina!F:F*Cocina!G:G,0))</f>
        <v>177</v>
      </c>
      <c r="AZ343" cm="1">
        <f t="array" ref="AZ343">SUM(IF(Cocina!A:A=Tabla5[[#This Row],[Nº Orden]],Cocina!E:E*Cocina!G:G,0))</f>
        <v>105</v>
      </c>
      <c r="BB343" t="str">
        <f>MID(Tabla4[[#This Row],[Cliente]], SEARCH("_", Tabla4[[#This Row],[Cliente]]) + 1, LEN(Tabla4[[#This Row],[Cliente]]) - SEARCH("_",Tabla4[[#This Row],[Cliente]]))</f>
        <v>568</v>
      </c>
      <c r="BC343" t="str">
        <f>sala!B342</f>
        <v>Cliente_568</v>
      </c>
      <c r="BD343" s="1">
        <f>sala!D342</f>
        <v>45020.086805555555</v>
      </c>
      <c r="BE343" s="1">
        <f>sala!E342</f>
        <v>45020.179861111108</v>
      </c>
      <c r="BF343">
        <f>sala!K342</f>
        <v>341</v>
      </c>
      <c r="BG343">
        <f>sala!I342</f>
        <v>4705</v>
      </c>
      <c r="BH343" cm="1">
        <f t="array" ref="BH343">SUM(IF(Cocina!A:A=Tabla4[[#This Row],[Número de Orden]],Cocina!F:F*Cocina!G:G,0))</f>
        <v>177</v>
      </c>
      <c r="BI343" t="str">
        <f>sala!J342</f>
        <v>Libre</v>
      </c>
      <c r="BJ343" s="4" t="str">
        <f>IF(Tabla4[[#This Row],[Estado mesa]]="Ocupada","00:15","00:00")</f>
        <v>00:00</v>
      </c>
      <c r="BK343" cm="1">
        <f t="array" ref="BK343">SUM(IF(Cocina!A:A=Tabla4[[#This Row],[Número de Orden]],Cocina!H:H,0))</f>
        <v>88</v>
      </c>
    </row>
    <row r="344" spans="1:63" x14ac:dyDescent="0.3">
      <c r="A344" s="8" t="str">
        <f>MID(Tabla4[[#This Row],[Cliente]], SEARCH("_", Tabla4[[#This Row],[Cliente]]) + 1, LEN(Tabla4[[#This Row],[Cliente]]) - SEARCH("_",Tabla4[[#This Row],[Cliente]]))</f>
        <v>897</v>
      </c>
      <c r="B344">
        <f>sala!K343</f>
        <v>342</v>
      </c>
      <c r="C344">
        <f>Tabla4[[#This Row],[Propina]]+Tabla4[[#This Row],[Precio Cena]]</f>
        <v>2108</v>
      </c>
      <c r="D344" s="3">
        <f>INT(sala!E343)</f>
        <v>45020</v>
      </c>
      <c r="E344" s="4">
        <f>MOD( sala!D343,1)</f>
        <v>0.10416666666424135</v>
      </c>
      <c r="F344" s="4">
        <f>MOD( sala!E343,1)</f>
        <v>0.25763888889196096</v>
      </c>
      <c r="G344" s="4">
        <f>Tabla5[[#This Row],[Hora de Salida]]-Tabla5[[#This Row],[Hora de Llegada]]+Tabla4[[#This Row],[Tiempo Extra]]</f>
        <v>0.15347222222771961</v>
      </c>
      <c r="H344" s="5" t="str">
        <f>TEXT(Tabla4[[#This Row],[Preparación en horas]]/1440, "h:mm")</f>
        <v>0:54</v>
      </c>
      <c r="I344" s="4">
        <f>IF(Tabla5[[#This Row],[Tiempo Permanencia]]-Tabla5[[#This Row],[Tiempo de Preparación ]]&gt;=0,Tabla5[[#This Row],[Tiempo Permanencia]]-Tabla5[[#This Row],[Tiempo de Preparación ]],0)</f>
        <v>0.11597222222771961</v>
      </c>
      <c r="J344" s="5" t="str">
        <f>IF(Tabla5[[#This Row],[Tiempo de Degustación]]=0,"No Cobrada","Cobrada")</f>
        <v>Cobrada</v>
      </c>
      <c r="K344" s="5" cm="1">
        <f t="array" ref="K344">SUM(IF(Tabla5[[#This Row],[Orden Cobrada]]="Cobrada",IF(Cocina!A:A=Tabla5[[#This Row],[Nº Orden]],Cocina!F:F*Cocina!G:G,0),-Tabla6[[#This Row],[Precio Cena]]))</f>
        <v>102</v>
      </c>
      <c r="L344" s="5">
        <f>IF(Tabla5[[#This Row],[Orden Cobrada]]="Cobrada",Tabla5[[#This Row],[Ganancia Bruta]]-Tabla6[[#This Row],[Coste Cena]],-Tabla6[[#This Row],[Precio Cena]]+Tabla6[[#This Row],[Coste Cena]])</f>
        <v>42</v>
      </c>
      <c r="M344" s="10">
        <f>IF(Tabla5[[#This Row],[Orden Cobrada]]="Cobrada",((Tabla5[[#This Row],[Ganancia Neta]]/Tabla5[[#This Row],[Ganancia Bruta]])*100)/100,-((Tabla5[[#This Row],[Ganancia Neta]]/Tabla5[[#This Row],[Ganancia Bruta]]*100)/100))</f>
        <v>0.41176470588235292</v>
      </c>
      <c r="N344" s="5" t="str">
        <f>sala!F343</f>
        <v>Mesero_3</v>
      </c>
      <c r="AY344" cm="1">
        <f t="array" ref="AY344">SUM(IF(Cocina!A:A=Tabla5[[#This Row],[Nº Orden]],Cocina!F:F*Cocina!G:G,0))</f>
        <v>102</v>
      </c>
      <c r="AZ344" cm="1">
        <f t="array" ref="AZ344">SUM(IF(Cocina!A:A=Tabla5[[#This Row],[Nº Orden]],Cocina!E:E*Cocina!G:G,0))</f>
        <v>60</v>
      </c>
      <c r="BB344" t="str">
        <f>MID(Tabla4[[#This Row],[Cliente]], SEARCH("_", Tabla4[[#This Row],[Cliente]]) + 1, LEN(Tabla4[[#This Row],[Cliente]]) - SEARCH("_",Tabla4[[#This Row],[Cliente]]))</f>
        <v>897</v>
      </c>
      <c r="BC344" t="str">
        <f>sala!B343</f>
        <v>Cliente_897</v>
      </c>
      <c r="BD344" s="1">
        <f>sala!D343</f>
        <v>45020.104166666664</v>
      </c>
      <c r="BE344" s="1">
        <f>sala!E343</f>
        <v>45020.257638888892</v>
      </c>
      <c r="BF344">
        <f>sala!K343</f>
        <v>342</v>
      </c>
      <c r="BG344">
        <f>sala!I343</f>
        <v>2006</v>
      </c>
      <c r="BH344" cm="1">
        <f t="array" ref="BH344">SUM(IF(Cocina!A:A=Tabla4[[#This Row],[Número de Orden]],Cocina!F:F*Cocina!G:G,0))</f>
        <v>102</v>
      </c>
      <c r="BI344" t="str">
        <f>sala!J343</f>
        <v>Libre</v>
      </c>
      <c r="BJ344" s="4" t="str">
        <f>IF(Tabla4[[#This Row],[Estado mesa]]="Ocupada","00:15","00:00")</f>
        <v>00:00</v>
      </c>
      <c r="BK344" cm="1">
        <f t="array" ref="BK344">SUM(IF(Cocina!A:A=Tabla4[[#This Row],[Número de Orden]],Cocina!H:H,0))</f>
        <v>54</v>
      </c>
    </row>
    <row r="345" spans="1:63" x14ac:dyDescent="0.3">
      <c r="A345" s="8" t="str">
        <f>MID(Tabla4[[#This Row],[Cliente]], SEARCH("_", Tabla4[[#This Row],[Cliente]]) + 1, LEN(Tabla4[[#This Row],[Cliente]]) - SEARCH("_",Tabla4[[#This Row],[Cliente]]))</f>
        <v>816</v>
      </c>
      <c r="B345">
        <f>sala!K344</f>
        <v>343</v>
      </c>
      <c r="C345">
        <f>Tabla4[[#This Row],[Propina]]+Tabla4[[#This Row],[Precio Cena]]</f>
        <v>2438</v>
      </c>
      <c r="D345" s="3">
        <f>INT(sala!E344)</f>
        <v>45020</v>
      </c>
      <c r="E345" s="4">
        <f>MOD( sala!D344,1)</f>
        <v>0.16388888889196096</v>
      </c>
      <c r="F345" s="4">
        <f>MOD( sala!E344,1)</f>
        <v>0.23958333333575865</v>
      </c>
      <c r="G345" s="4">
        <f>Tabla5[[#This Row],[Hora de Salida]]-Tabla5[[#This Row],[Hora de Llegada]]+Tabla4[[#This Row],[Tiempo Extra]]</f>
        <v>8.6111111110464364E-2</v>
      </c>
      <c r="H345" s="5" t="str">
        <f>TEXT(Tabla4[[#This Row],[Preparación en horas]]/1440, "h:mm")</f>
        <v>1:41</v>
      </c>
      <c r="I345" s="4">
        <f>IF(Tabla5[[#This Row],[Tiempo Permanencia]]-Tabla5[[#This Row],[Tiempo de Preparación ]]&gt;=0,Tabla5[[#This Row],[Tiempo Permanencia]]-Tabla5[[#This Row],[Tiempo de Preparación ]],0)</f>
        <v>1.5972222221575474E-2</v>
      </c>
      <c r="J345" s="5" t="str">
        <f>IF(Tabla5[[#This Row],[Tiempo de Degustación]]=0,"No Cobrada","Cobrada")</f>
        <v>Cobrada</v>
      </c>
      <c r="K345" s="5" cm="1">
        <f t="array" ref="K345">SUM(IF(Tabla5[[#This Row],[Orden Cobrada]]="Cobrada",IF(Cocina!A:A=Tabla5[[#This Row],[Nº Orden]],Cocina!F:F*Cocina!G:G,0),-Tabla6[[#This Row],[Precio Cena]]))</f>
        <v>137</v>
      </c>
      <c r="L345" s="5">
        <f>IF(Tabla5[[#This Row],[Orden Cobrada]]="Cobrada",Tabla5[[#This Row],[Ganancia Bruta]]-Tabla6[[#This Row],[Coste Cena]],-Tabla6[[#This Row],[Precio Cena]]+Tabla6[[#This Row],[Coste Cena]])</f>
        <v>55</v>
      </c>
      <c r="M345" s="10">
        <f>IF(Tabla5[[#This Row],[Orden Cobrada]]="Cobrada",((Tabla5[[#This Row],[Ganancia Neta]]/Tabla5[[#This Row],[Ganancia Bruta]])*100)/100,-((Tabla5[[#This Row],[Ganancia Neta]]/Tabla5[[#This Row],[Ganancia Bruta]]*100)/100))</f>
        <v>0.40145985401459855</v>
      </c>
      <c r="N345" s="5" t="str">
        <f>sala!F344</f>
        <v>Mesero_5</v>
      </c>
      <c r="AY345" cm="1">
        <f t="array" ref="AY345">SUM(IF(Cocina!A:A=Tabla5[[#This Row],[Nº Orden]],Cocina!F:F*Cocina!G:G,0))</f>
        <v>137</v>
      </c>
      <c r="AZ345" cm="1">
        <f t="array" ref="AZ345">SUM(IF(Cocina!A:A=Tabla5[[#This Row],[Nº Orden]],Cocina!E:E*Cocina!G:G,0))</f>
        <v>82</v>
      </c>
      <c r="BB345" t="str">
        <f>MID(Tabla4[[#This Row],[Cliente]], SEARCH("_", Tabla4[[#This Row],[Cliente]]) + 1, LEN(Tabla4[[#This Row],[Cliente]]) - SEARCH("_",Tabla4[[#This Row],[Cliente]]))</f>
        <v>816</v>
      </c>
      <c r="BC345" t="str">
        <f>sala!B344</f>
        <v>Cliente_816</v>
      </c>
      <c r="BD345" s="1">
        <f>sala!D344</f>
        <v>45020.163888888892</v>
      </c>
      <c r="BE345" s="1">
        <f>sala!E344</f>
        <v>45020.239583333336</v>
      </c>
      <c r="BF345">
        <f>sala!K344</f>
        <v>343</v>
      </c>
      <c r="BG345">
        <f>sala!I344</f>
        <v>2301</v>
      </c>
      <c r="BH345" cm="1">
        <f t="array" ref="BH345">SUM(IF(Cocina!A:A=Tabla4[[#This Row],[Número de Orden]],Cocina!F:F*Cocina!G:G,0))</f>
        <v>137</v>
      </c>
      <c r="BI345" t="str">
        <f>sala!J344</f>
        <v>Ocupada</v>
      </c>
      <c r="BJ345" s="4" t="str">
        <f>IF(Tabla4[[#This Row],[Estado mesa]]="Ocupada","00:15","00:00")</f>
        <v>00:15</v>
      </c>
      <c r="BK345" cm="1">
        <f t="array" ref="BK345">SUM(IF(Cocina!A:A=Tabla4[[#This Row],[Número de Orden]],Cocina!H:H,0))</f>
        <v>101</v>
      </c>
    </row>
    <row r="346" spans="1:63" x14ac:dyDescent="0.3">
      <c r="A346" s="8" t="str">
        <f>MID(Tabla4[[#This Row],[Cliente]], SEARCH("_", Tabla4[[#This Row],[Cliente]]) + 1, LEN(Tabla4[[#This Row],[Cliente]]) - SEARCH("_",Tabla4[[#This Row],[Cliente]]))</f>
        <v>221</v>
      </c>
      <c r="B346">
        <f>sala!K345</f>
        <v>344</v>
      </c>
      <c r="C346">
        <f>Tabla4[[#This Row],[Propina]]+Tabla4[[#This Row],[Precio Cena]]</f>
        <v>3484</v>
      </c>
      <c r="D346" s="3">
        <f>INT(sala!E345)</f>
        <v>45020</v>
      </c>
      <c r="E346" s="4">
        <f>MOD( sala!D345,1)</f>
        <v>3.1944444446708076E-2</v>
      </c>
      <c r="F346" s="4">
        <f>MOD( sala!E345,1)</f>
        <v>8.611111110803904E-2</v>
      </c>
      <c r="G346" s="4">
        <f>Tabla5[[#This Row],[Hora de Salida]]-Tabla5[[#This Row],[Hora de Llegada]]+Tabla4[[#This Row],[Tiempo Extra]]</f>
        <v>6.4583333327997636E-2</v>
      </c>
      <c r="H346" s="5" t="str">
        <f>TEXT(Tabla4[[#This Row],[Preparación en horas]]/1440, "h:mm")</f>
        <v>1:26</v>
      </c>
      <c r="I346" s="4">
        <f>IF(Tabla5[[#This Row],[Tiempo Permanencia]]-Tabla5[[#This Row],[Tiempo de Preparación ]]&gt;=0,Tabla5[[#This Row],[Tiempo Permanencia]]-Tabla5[[#This Row],[Tiempo de Preparación ]],0)</f>
        <v>4.8611111057754106E-3</v>
      </c>
      <c r="J346" s="5" t="str">
        <f>IF(Tabla5[[#This Row],[Tiempo de Degustación]]=0,"No Cobrada","Cobrada")</f>
        <v>Cobrada</v>
      </c>
      <c r="K346" s="5" cm="1">
        <f t="array" ref="K346">SUM(IF(Tabla5[[#This Row],[Orden Cobrada]]="Cobrada",IF(Cocina!A:A=Tabla5[[#This Row],[Nº Orden]],Cocina!F:F*Cocina!G:G,0),-Tabla6[[#This Row],[Precio Cena]]))</f>
        <v>183</v>
      </c>
      <c r="L346" s="5">
        <f>IF(Tabla5[[#This Row],[Orden Cobrada]]="Cobrada",Tabla5[[#This Row],[Ganancia Bruta]]-Tabla6[[#This Row],[Coste Cena]],-Tabla6[[#This Row],[Precio Cena]]+Tabla6[[#This Row],[Coste Cena]])</f>
        <v>73</v>
      </c>
      <c r="M346" s="10">
        <f>IF(Tabla5[[#This Row],[Orden Cobrada]]="Cobrada",((Tabla5[[#This Row],[Ganancia Neta]]/Tabla5[[#This Row],[Ganancia Bruta]])*100)/100,-((Tabla5[[#This Row],[Ganancia Neta]]/Tabla5[[#This Row],[Ganancia Bruta]]*100)/100))</f>
        <v>0.39890710382513661</v>
      </c>
      <c r="N346" s="5" t="str">
        <f>sala!F345</f>
        <v>Mesero_2</v>
      </c>
      <c r="AY346" cm="1">
        <f t="array" ref="AY346">SUM(IF(Cocina!A:A=Tabla5[[#This Row],[Nº Orden]],Cocina!F:F*Cocina!G:G,0))</f>
        <v>183</v>
      </c>
      <c r="AZ346" cm="1">
        <f t="array" ref="AZ346">SUM(IF(Cocina!A:A=Tabla5[[#This Row],[Nº Orden]],Cocina!E:E*Cocina!G:G,0))</f>
        <v>110</v>
      </c>
      <c r="BB346" t="str">
        <f>MID(Tabla4[[#This Row],[Cliente]], SEARCH("_", Tabla4[[#This Row],[Cliente]]) + 1, LEN(Tabla4[[#This Row],[Cliente]]) - SEARCH("_",Tabla4[[#This Row],[Cliente]]))</f>
        <v>221</v>
      </c>
      <c r="BC346" t="str">
        <f>sala!B345</f>
        <v>Cliente_221</v>
      </c>
      <c r="BD346" s="1">
        <f>sala!D345</f>
        <v>45020.031944444447</v>
      </c>
      <c r="BE346" s="1">
        <f>sala!E345</f>
        <v>45020.086111111108</v>
      </c>
      <c r="BF346">
        <f>sala!K345</f>
        <v>344</v>
      </c>
      <c r="BG346">
        <f>sala!I345</f>
        <v>3301</v>
      </c>
      <c r="BH346" cm="1">
        <f t="array" ref="BH346">SUM(IF(Cocina!A:A=Tabla4[[#This Row],[Número de Orden]],Cocina!F:F*Cocina!G:G,0))</f>
        <v>183</v>
      </c>
      <c r="BI346" t="str">
        <f>sala!J345</f>
        <v>Ocupada</v>
      </c>
      <c r="BJ346" s="4" t="str">
        <f>IF(Tabla4[[#This Row],[Estado mesa]]="Ocupada","00:15","00:00")</f>
        <v>00:15</v>
      </c>
      <c r="BK346" cm="1">
        <f t="array" ref="BK346">SUM(IF(Cocina!A:A=Tabla4[[#This Row],[Número de Orden]],Cocina!H:H,0))</f>
        <v>86</v>
      </c>
    </row>
    <row r="347" spans="1:63" x14ac:dyDescent="0.3">
      <c r="A347" s="8" t="str">
        <f>MID(Tabla4[[#This Row],[Cliente]], SEARCH("_", Tabla4[[#This Row],[Cliente]]) + 1, LEN(Tabla4[[#This Row],[Cliente]]) - SEARCH("_",Tabla4[[#This Row],[Cliente]]))</f>
        <v>755</v>
      </c>
      <c r="B347">
        <f>sala!K346</f>
        <v>345</v>
      </c>
      <c r="C347">
        <f>Tabla4[[#This Row],[Propina]]+Tabla4[[#This Row],[Precio Cena]]</f>
        <v>1436</v>
      </c>
      <c r="D347" s="3">
        <f>INT(sala!E346)</f>
        <v>45020</v>
      </c>
      <c r="E347" s="4">
        <f>MOD( sala!D346,1)</f>
        <v>5.4166666668606922E-2</v>
      </c>
      <c r="F347" s="4">
        <f>MOD( sala!E346,1)</f>
        <v>0.17986111110803904</v>
      </c>
      <c r="G347" s="4">
        <f>Tabla5[[#This Row],[Hora de Salida]]-Tabla5[[#This Row],[Hora de Llegada]]+Tabla4[[#This Row],[Tiempo Extra]]</f>
        <v>0.13611111110609878</v>
      </c>
      <c r="H347" s="5" t="str">
        <f>TEXT(Tabla4[[#This Row],[Preparación en horas]]/1440, "h:mm")</f>
        <v>0:18</v>
      </c>
      <c r="I347" s="4">
        <f>IF(Tabla5[[#This Row],[Tiempo Permanencia]]-Tabla5[[#This Row],[Tiempo de Preparación ]]&gt;=0,Tabla5[[#This Row],[Tiempo Permanencia]]-Tabla5[[#This Row],[Tiempo de Preparación ]],0)</f>
        <v>0.12361111110609878</v>
      </c>
      <c r="J347" s="5" t="str">
        <f>IF(Tabla5[[#This Row],[Tiempo de Degustación]]=0,"No Cobrada","Cobrada")</f>
        <v>Cobrada</v>
      </c>
      <c r="K347" s="5" cm="1">
        <f t="array" ref="K347">SUM(IF(Tabla5[[#This Row],[Orden Cobrada]]="Cobrada",IF(Cocina!A:A=Tabla5[[#This Row],[Nº Orden]],Cocina!F:F*Cocina!G:G,0),-Tabla6[[#This Row],[Precio Cena]]))</f>
        <v>38</v>
      </c>
      <c r="L347" s="5">
        <f>IF(Tabla5[[#This Row],[Orden Cobrada]]="Cobrada",Tabla5[[#This Row],[Ganancia Bruta]]-Tabla6[[#This Row],[Coste Cena]],-Tabla6[[#This Row],[Precio Cena]]+Tabla6[[#This Row],[Coste Cena]])</f>
        <v>16</v>
      </c>
      <c r="M347" s="10">
        <f>IF(Tabla5[[#This Row],[Orden Cobrada]]="Cobrada",((Tabla5[[#This Row],[Ganancia Neta]]/Tabla5[[#This Row],[Ganancia Bruta]])*100)/100,-((Tabla5[[#This Row],[Ganancia Neta]]/Tabla5[[#This Row],[Ganancia Bruta]]*100)/100))</f>
        <v>0.42105263157894735</v>
      </c>
      <c r="N347" s="5" t="str">
        <f>sala!F346</f>
        <v>Mesero_4</v>
      </c>
      <c r="AY347" cm="1">
        <f t="array" ref="AY347">SUM(IF(Cocina!A:A=Tabla5[[#This Row],[Nº Orden]],Cocina!F:F*Cocina!G:G,0))</f>
        <v>38</v>
      </c>
      <c r="AZ347" cm="1">
        <f t="array" ref="AZ347">SUM(IF(Cocina!A:A=Tabla5[[#This Row],[Nº Orden]],Cocina!E:E*Cocina!G:G,0))</f>
        <v>22</v>
      </c>
      <c r="BB347" t="str">
        <f>MID(Tabla4[[#This Row],[Cliente]], SEARCH("_", Tabla4[[#This Row],[Cliente]]) + 1, LEN(Tabla4[[#This Row],[Cliente]]) - SEARCH("_",Tabla4[[#This Row],[Cliente]]))</f>
        <v>755</v>
      </c>
      <c r="BC347" t="str">
        <f>sala!B346</f>
        <v>Cliente_755</v>
      </c>
      <c r="BD347" s="1">
        <f>sala!D346</f>
        <v>45020.054166666669</v>
      </c>
      <c r="BE347" s="1">
        <f>sala!E346</f>
        <v>45020.179861111108</v>
      </c>
      <c r="BF347">
        <f>sala!K346</f>
        <v>345</v>
      </c>
      <c r="BG347">
        <f>sala!I346</f>
        <v>1398</v>
      </c>
      <c r="BH347" cm="1">
        <f t="array" ref="BH347">SUM(IF(Cocina!A:A=Tabla4[[#This Row],[Número de Orden]],Cocina!F:F*Cocina!G:G,0))</f>
        <v>38</v>
      </c>
      <c r="BI347" t="str">
        <f>sala!J346</f>
        <v>Ocupada</v>
      </c>
      <c r="BJ347" s="4" t="str">
        <f>IF(Tabla4[[#This Row],[Estado mesa]]="Ocupada","00:15","00:00")</f>
        <v>00:15</v>
      </c>
      <c r="BK347" cm="1">
        <f t="array" ref="BK347">SUM(IF(Cocina!A:A=Tabla4[[#This Row],[Número de Orden]],Cocina!H:H,0))</f>
        <v>18</v>
      </c>
    </row>
    <row r="348" spans="1:63" x14ac:dyDescent="0.3">
      <c r="A348" s="8" t="str">
        <f>MID(Tabla4[[#This Row],[Cliente]], SEARCH("_", Tabla4[[#This Row],[Cliente]]) + 1, LEN(Tabla4[[#This Row],[Cliente]]) - SEARCH("_",Tabla4[[#This Row],[Cliente]]))</f>
        <v>289</v>
      </c>
      <c r="B348">
        <f>sala!K347</f>
        <v>346</v>
      </c>
      <c r="C348">
        <f>Tabla4[[#This Row],[Propina]]+Tabla4[[#This Row],[Precio Cena]]</f>
        <v>3665</v>
      </c>
      <c r="D348" s="3">
        <f>INT(sala!E347)</f>
        <v>45020</v>
      </c>
      <c r="E348" s="4">
        <f>MOD( sala!D347,1)</f>
        <v>2.7777777781011537E-2</v>
      </c>
      <c r="F348" s="4">
        <f>MOD( sala!E347,1)</f>
        <v>0.16388888889196096</v>
      </c>
      <c r="G348" s="4">
        <f>Tabla5[[#This Row],[Hora de Salida]]-Tabla5[[#This Row],[Hora de Llegada]]+Tabla4[[#This Row],[Tiempo Extra]]</f>
        <v>0.13611111111094942</v>
      </c>
      <c r="H348" s="5" t="str">
        <f>TEXT(Tabla4[[#This Row],[Preparación en horas]]/1440, "h:mm")</f>
        <v>0:22</v>
      </c>
      <c r="I348" s="4">
        <f>IF(Tabla5[[#This Row],[Tiempo Permanencia]]-Tabla5[[#This Row],[Tiempo de Preparación ]]&gt;=0,Tabla5[[#This Row],[Tiempo Permanencia]]-Tabla5[[#This Row],[Tiempo de Preparación ]],0)</f>
        <v>0.12083333333317164</v>
      </c>
      <c r="J348" s="5" t="str">
        <f>IF(Tabla5[[#This Row],[Tiempo de Degustación]]=0,"No Cobrada","Cobrada")</f>
        <v>Cobrada</v>
      </c>
      <c r="K348" s="5" cm="1">
        <f t="array" ref="K348">SUM(IF(Tabla5[[#This Row],[Orden Cobrada]]="Cobrada",IF(Cocina!A:A=Tabla5[[#This Row],[Nº Orden]],Cocina!F:F*Cocina!G:G,0),-Tabla6[[#This Row],[Precio Cena]]))</f>
        <v>72</v>
      </c>
      <c r="L348" s="5">
        <f>IF(Tabla5[[#This Row],[Orden Cobrada]]="Cobrada",Tabla5[[#This Row],[Ganancia Bruta]]-Tabla6[[#This Row],[Coste Cena]],-Tabla6[[#This Row],[Precio Cena]]+Tabla6[[#This Row],[Coste Cena]])</f>
        <v>28</v>
      </c>
      <c r="M348" s="10">
        <f>IF(Tabla5[[#This Row],[Orden Cobrada]]="Cobrada",((Tabla5[[#This Row],[Ganancia Neta]]/Tabla5[[#This Row],[Ganancia Bruta]])*100)/100,-((Tabla5[[#This Row],[Ganancia Neta]]/Tabla5[[#This Row],[Ganancia Bruta]]*100)/100))</f>
        <v>0.38888888888888895</v>
      </c>
      <c r="N348" s="5" t="str">
        <f>sala!F347</f>
        <v>Mesero_5</v>
      </c>
      <c r="AY348" cm="1">
        <f t="array" ref="AY348">SUM(IF(Cocina!A:A=Tabla5[[#This Row],[Nº Orden]],Cocina!F:F*Cocina!G:G,0))</f>
        <v>72</v>
      </c>
      <c r="AZ348" cm="1">
        <f t="array" ref="AZ348">SUM(IF(Cocina!A:A=Tabla5[[#This Row],[Nº Orden]],Cocina!E:E*Cocina!G:G,0))</f>
        <v>44</v>
      </c>
      <c r="BB348" t="str">
        <f>MID(Tabla4[[#This Row],[Cliente]], SEARCH("_", Tabla4[[#This Row],[Cliente]]) + 1, LEN(Tabla4[[#This Row],[Cliente]]) - SEARCH("_",Tabla4[[#This Row],[Cliente]]))</f>
        <v>289</v>
      </c>
      <c r="BC348" t="str">
        <f>sala!B347</f>
        <v>Cliente_289</v>
      </c>
      <c r="BD348" s="1">
        <f>sala!D347</f>
        <v>45020.027777777781</v>
      </c>
      <c r="BE348" s="1">
        <f>sala!E347</f>
        <v>45020.163888888892</v>
      </c>
      <c r="BF348">
        <f>sala!K347</f>
        <v>346</v>
      </c>
      <c r="BG348">
        <f>sala!I347</f>
        <v>3593</v>
      </c>
      <c r="BH348" cm="1">
        <f t="array" ref="BH348">SUM(IF(Cocina!A:A=Tabla4[[#This Row],[Número de Orden]],Cocina!F:F*Cocina!G:G,0))</f>
        <v>72</v>
      </c>
      <c r="BI348" t="str">
        <f>sala!J347</f>
        <v>Reservada</v>
      </c>
      <c r="BJ348" s="4" t="str">
        <f>IF(Tabla4[[#This Row],[Estado mesa]]="Ocupada","00:15","00:00")</f>
        <v>00:00</v>
      </c>
      <c r="BK348" cm="1">
        <f t="array" ref="BK348">SUM(IF(Cocina!A:A=Tabla4[[#This Row],[Número de Orden]],Cocina!H:H,0))</f>
        <v>22</v>
      </c>
    </row>
    <row r="349" spans="1:63" x14ac:dyDescent="0.3">
      <c r="A349" s="8" t="str">
        <f>MID(Tabla4[[#This Row],[Cliente]], SEARCH("_", Tabla4[[#This Row],[Cliente]]) + 1, LEN(Tabla4[[#This Row],[Cliente]]) - SEARCH("_",Tabla4[[#This Row],[Cliente]]))</f>
        <v>476</v>
      </c>
      <c r="B349">
        <f>sala!K348</f>
        <v>347</v>
      </c>
      <c r="C349">
        <f>Tabla4[[#This Row],[Propina]]+Tabla4[[#This Row],[Precio Cena]]</f>
        <v>4922</v>
      </c>
      <c r="D349" s="3">
        <f>INT(sala!E348)</f>
        <v>45020</v>
      </c>
      <c r="E349" s="4">
        <f>MOD( sala!D348,1)</f>
        <v>7.5694444443797693E-2</v>
      </c>
      <c r="F349" s="4">
        <f>MOD( sala!E348,1)</f>
        <v>0.19027777777955635</v>
      </c>
      <c r="G349" s="4">
        <f>Tabla5[[#This Row],[Hora de Salida]]-Tabla5[[#This Row],[Hora de Llegada]]+Tabla4[[#This Row],[Tiempo Extra]]</f>
        <v>0.11458333333575865</v>
      </c>
      <c r="H349" s="5" t="str">
        <f>TEXT(Tabla4[[#This Row],[Preparación en horas]]/1440, "h:mm")</f>
        <v>0:44</v>
      </c>
      <c r="I349" s="4">
        <f>IF(Tabla5[[#This Row],[Tiempo Permanencia]]-Tabla5[[#This Row],[Tiempo de Preparación ]]&gt;=0,Tabla5[[#This Row],[Tiempo Permanencia]]-Tabla5[[#This Row],[Tiempo de Preparación ]],0)</f>
        <v>8.4027777780203095E-2</v>
      </c>
      <c r="J349" s="5" t="str">
        <f>IF(Tabla5[[#This Row],[Tiempo de Degustación]]=0,"No Cobrada","Cobrada")</f>
        <v>Cobrada</v>
      </c>
      <c r="K349" s="5" cm="1">
        <f t="array" ref="K349">SUM(IF(Tabla5[[#This Row],[Orden Cobrada]]="Cobrada",IF(Cocina!A:A=Tabla5[[#This Row],[Nº Orden]],Cocina!F:F*Cocina!G:G,0),-Tabla6[[#This Row],[Precio Cena]]))</f>
        <v>70</v>
      </c>
      <c r="L349" s="5">
        <f>IF(Tabla5[[#This Row],[Orden Cobrada]]="Cobrada",Tabla5[[#This Row],[Ganancia Bruta]]-Tabla6[[#This Row],[Coste Cena]],-Tabla6[[#This Row],[Precio Cena]]+Tabla6[[#This Row],[Coste Cena]])</f>
        <v>28</v>
      </c>
      <c r="M349" s="10">
        <f>IF(Tabla5[[#This Row],[Orden Cobrada]]="Cobrada",((Tabla5[[#This Row],[Ganancia Neta]]/Tabla5[[#This Row],[Ganancia Bruta]])*100)/100,-((Tabla5[[#This Row],[Ganancia Neta]]/Tabla5[[#This Row],[Ganancia Bruta]]*100)/100))</f>
        <v>0.4</v>
      </c>
      <c r="N349" s="5" t="str">
        <f>sala!F348</f>
        <v>Mesero_4</v>
      </c>
      <c r="AY349" cm="1">
        <f t="array" ref="AY349">SUM(IF(Cocina!A:A=Tabla5[[#This Row],[Nº Orden]],Cocina!F:F*Cocina!G:G,0))</f>
        <v>70</v>
      </c>
      <c r="AZ349" cm="1">
        <f t="array" ref="AZ349">SUM(IF(Cocina!A:A=Tabla5[[#This Row],[Nº Orden]],Cocina!E:E*Cocina!G:G,0))</f>
        <v>42</v>
      </c>
      <c r="BB349" t="str">
        <f>MID(Tabla4[[#This Row],[Cliente]], SEARCH("_", Tabla4[[#This Row],[Cliente]]) + 1, LEN(Tabla4[[#This Row],[Cliente]]) - SEARCH("_",Tabla4[[#This Row],[Cliente]]))</f>
        <v>476</v>
      </c>
      <c r="BC349" t="str">
        <f>sala!B348</f>
        <v>Cliente_476</v>
      </c>
      <c r="BD349" s="1">
        <f>sala!D348</f>
        <v>45020.075694444444</v>
      </c>
      <c r="BE349" s="1">
        <f>sala!E348</f>
        <v>45020.19027777778</v>
      </c>
      <c r="BF349">
        <f>sala!K348</f>
        <v>347</v>
      </c>
      <c r="BG349">
        <f>sala!I348</f>
        <v>4852</v>
      </c>
      <c r="BH349" cm="1">
        <f t="array" ref="BH349">SUM(IF(Cocina!A:A=Tabla4[[#This Row],[Número de Orden]],Cocina!F:F*Cocina!G:G,0))</f>
        <v>70</v>
      </c>
      <c r="BI349" t="str">
        <f>sala!J348</f>
        <v>Reservada</v>
      </c>
      <c r="BJ349" s="4" t="str">
        <f>IF(Tabla4[[#This Row],[Estado mesa]]="Ocupada","00:15","00:00")</f>
        <v>00:00</v>
      </c>
      <c r="BK349" cm="1">
        <f t="array" ref="BK349">SUM(IF(Cocina!A:A=Tabla4[[#This Row],[Número de Orden]],Cocina!H:H,0))</f>
        <v>44</v>
      </c>
    </row>
    <row r="350" spans="1:63" x14ac:dyDescent="0.3">
      <c r="A350" s="8" t="str">
        <f>MID(Tabla4[[#This Row],[Cliente]], SEARCH("_", Tabla4[[#This Row],[Cliente]]) + 1, LEN(Tabla4[[#This Row],[Cliente]]) - SEARCH("_",Tabla4[[#This Row],[Cliente]]))</f>
        <v>940</v>
      </c>
      <c r="B350">
        <f>sala!K349</f>
        <v>348</v>
      </c>
      <c r="C350">
        <f>Tabla4[[#This Row],[Propina]]+Tabla4[[#This Row],[Precio Cena]]</f>
        <v>3164</v>
      </c>
      <c r="D350" s="3">
        <f>INT(sala!E349)</f>
        <v>45020</v>
      </c>
      <c r="E350" s="4">
        <f>MOD( sala!D349,1)</f>
        <v>5.3472222221898846E-2</v>
      </c>
      <c r="F350" s="4">
        <f>MOD( sala!E349,1)</f>
        <v>0.20763888888905058</v>
      </c>
      <c r="G350" s="4">
        <f>Tabla5[[#This Row],[Hora de Salida]]-Tabla5[[#This Row],[Hora de Llegada]]+Tabla4[[#This Row],[Tiempo Extra]]</f>
        <v>0.16458333333381839</v>
      </c>
      <c r="H350" s="5" t="str">
        <f>TEXT(Tabla4[[#This Row],[Preparación en horas]]/1440, "h:mm")</f>
        <v>1:28</v>
      </c>
      <c r="I350" s="4">
        <f>IF(Tabla5[[#This Row],[Tiempo Permanencia]]-Tabla5[[#This Row],[Tiempo de Preparación ]]&gt;=0,Tabla5[[#This Row],[Tiempo Permanencia]]-Tabla5[[#This Row],[Tiempo de Preparación ]],0)</f>
        <v>0.10347222222270727</v>
      </c>
      <c r="J350" s="5" t="str">
        <f>IF(Tabla5[[#This Row],[Tiempo de Degustación]]=0,"No Cobrada","Cobrada")</f>
        <v>Cobrada</v>
      </c>
      <c r="K350" s="5" cm="1">
        <f t="array" ref="K350">SUM(IF(Tabla5[[#This Row],[Orden Cobrada]]="Cobrada",IF(Cocina!A:A=Tabla5[[#This Row],[Nº Orden]],Cocina!F:F*Cocina!G:G,0),-Tabla6[[#This Row],[Precio Cena]]))</f>
        <v>86</v>
      </c>
      <c r="L350" s="5">
        <f>IF(Tabla5[[#This Row],[Orden Cobrada]]="Cobrada",Tabla5[[#This Row],[Ganancia Bruta]]-Tabla6[[#This Row],[Coste Cena]],-Tabla6[[#This Row],[Precio Cena]]+Tabla6[[#This Row],[Coste Cena]])</f>
        <v>35</v>
      </c>
      <c r="M350" s="10">
        <f>IF(Tabla5[[#This Row],[Orden Cobrada]]="Cobrada",((Tabla5[[#This Row],[Ganancia Neta]]/Tabla5[[#This Row],[Ganancia Bruta]])*100)/100,-((Tabla5[[#This Row],[Ganancia Neta]]/Tabla5[[#This Row],[Ganancia Bruta]]*100)/100))</f>
        <v>0.40697674418604651</v>
      </c>
      <c r="N350" s="5" t="str">
        <f>sala!F349</f>
        <v>Mesero_2</v>
      </c>
      <c r="AY350" cm="1">
        <f t="array" ref="AY350">SUM(IF(Cocina!A:A=Tabla5[[#This Row],[Nº Orden]],Cocina!F:F*Cocina!G:G,0))</f>
        <v>86</v>
      </c>
      <c r="AZ350" cm="1">
        <f t="array" ref="AZ350">SUM(IF(Cocina!A:A=Tabla5[[#This Row],[Nº Orden]],Cocina!E:E*Cocina!G:G,0))</f>
        <v>51</v>
      </c>
      <c r="BB350" t="str">
        <f>MID(Tabla4[[#This Row],[Cliente]], SEARCH("_", Tabla4[[#This Row],[Cliente]]) + 1, LEN(Tabla4[[#This Row],[Cliente]]) - SEARCH("_",Tabla4[[#This Row],[Cliente]]))</f>
        <v>940</v>
      </c>
      <c r="BC350" t="str">
        <f>sala!B349</f>
        <v>Cliente_940</v>
      </c>
      <c r="BD350" s="1">
        <f>sala!D349</f>
        <v>45020.053472222222</v>
      </c>
      <c r="BE350" s="1">
        <f>sala!E349</f>
        <v>45020.207638888889</v>
      </c>
      <c r="BF350">
        <f>sala!K349</f>
        <v>348</v>
      </c>
      <c r="BG350">
        <f>sala!I349</f>
        <v>3078</v>
      </c>
      <c r="BH350" cm="1">
        <f t="array" ref="BH350">SUM(IF(Cocina!A:A=Tabla4[[#This Row],[Número de Orden]],Cocina!F:F*Cocina!G:G,0))</f>
        <v>86</v>
      </c>
      <c r="BI350" t="str">
        <f>sala!J349</f>
        <v>Ocupada</v>
      </c>
      <c r="BJ350" s="4" t="str">
        <f>IF(Tabla4[[#This Row],[Estado mesa]]="Ocupada","00:15","00:00")</f>
        <v>00:15</v>
      </c>
      <c r="BK350" cm="1">
        <f t="array" ref="BK350">SUM(IF(Cocina!A:A=Tabla4[[#This Row],[Número de Orden]],Cocina!H:H,0))</f>
        <v>88</v>
      </c>
    </row>
    <row r="351" spans="1:63" x14ac:dyDescent="0.3">
      <c r="A351" s="8" t="str">
        <f>MID(Tabla4[[#This Row],[Cliente]], SEARCH("_", Tabla4[[#This Row],[Cliente]]) + 1, LEN(Tabla4[[#This Row],[Cliente]]) - SEARCH("_",Tabla4[[#This Row],[Cliente]]))</f>
        <v>707</v>
      </c>
      <c r="B351">
        <f>sala!K350</f>
        <v>349</v>
      </c>
      <c r="C351">
        <f>Tabla4[[#This Row],[Propina]]+Tabla4[[#This Row],[Precio Cena]]</f>
        <v>4215</v>
      </c>
      <c r="D351" s="3">
        <f>INT(sala!E350)</f>
        <v>45020</v>
      </c>
      <c r="E351" s="4">
        <f>MOD( sala!D350,1)</f>
        <v>0.15833333333284827</v>
      </c>
      <c r="F351" s="4">
        <f>MOD( sala!E350,1)</f>
        <v>0.31319444444670808</v>
      </c>
      <c r="G351" s="4">
        <f>Tabla5[[#This Row],[Hora de Salida]]-Tabla5[[#This Row],[Hora de Llegada]]+Tabla4[[#This Row],[Tiempo Extra]]</f>
        <v>0.16527777778052646</v>
      </c>
      <c r="H351" s="5" t="str">
        <f>TEXT(Tabla4[[#This Row],[Preparación en horas]]/1440, "h:mm")</f>
        <v>1:25</v>
      </c>
      <c r="I351" s="4">
        <f>IF(Tabla5[[#This Row],[Tiempo Permanencia]]-Tabla5[[#This Row],[Tiempo de Preparación ]]&gt;=0,Tabla5[[#This Row],[Tiempo Permanencia]]-Tabla5[[#This Row],[Tiempo de Preparación ]],0)</f>
        <v>0.10625000000274869</v>
      </c>
      <c r="J351" s="5" t="str">
        <f>IF(Tabla5[[#This Row],[Tiempo de Degustación]]=0,"No Cobrada","Cobrada")</f>
        <v>Cobrada</v>
      </c>
      <c r="K351" s="5" cm="1">
        <f t="array" ref="K351">SUM(IF(Tabla5[[#This Row],[Orden Cobrada]]="Cobrada",IF(Cocina!A:A=Tabla5[[#This Row],[Nº Orden]],Cocina!F:F*Cocina!G:G,0),-Tabla6[[#This Row],[Precio Cena]]))</f>
        <v>152</v>
      </c>
      <c r="L351" s="5">
        <f>IF(Tabla5[[#This Row],[Orden Cobrada]]="Cobrada",Tabla5[[#This Row],[Ganancia Bruta]]-Tabla6[[#This Row],[Coste Cena]],-Tabla6[[#This Row],[Precio Cena]]+Tabla6[[#This Row],[Coste Cena]])</f>
        <v>62</v>
      </c>
      <c r="M351" s="10">
        <f>IF(Tabla5[[#This Row],[Orden Cobrada]]="Cobrada",((Tabla5[[#This Row],[Ganancia Neta]]/Tabla5[[#This Row],[Ganancia Bruta]])*100)/100,-((Tabla5[[#This Row],[Ganancia Neta]]/Tabla5[[#This Row],[Ganancia Bruta]]*100)/100))</f>
        <v>0.40789473684210525</v>
      </c>
      <c r="N351" s="5" t="str">
        <f>sala!F350</f>
        <v>Mesero_5</v>
      </c>
      <c r="AY351" cm="1">
        <f t="array" ref="AY351">SUM(IF(Cocina!A:A=Tabla5[[#This Row],[Nº Orden]],Cocina!F:F*Cocina!G:G,0))</f>
        <v>152</v>
      </c>
      <c r="AZ351" cm="1">
        <f t="array" ref="AZ351">SUM(IF(Cocina!A:A=Tabla5[[#This Row],[Nº Orden]],Cocina!E:E*Cocina!G:G,0))</f>
        <v>90</v>
      </c>
      <c r="BB351" t="str">
        <f>MID(Tabla4[[#This Row],[Cliente]], SEARCH("_", Tabla4[[#This Row],[Cliente]]) + 1, LEN(Tabla4[[#This Row],[Cliente]]) - SEARCH("_",Tabla4[[#This Row],[Cliente]]))</f>
        <v>707</v>
      </c>
      <c r="BC351" t="str">
        <f>sala!B350</f>
        <v>Cliente_707</v>
      </c>
      <c r="BD351" s="1">
        <f>sala!D350</f>
        <v>45020.158333333333</v>
      </c>
      <c r="BE351" s="1">
        <f>sala!E350</f>
        <v>45020.313194444447</v>
      </c>
      <c r="BF351">
        <f>sala!K350</f>
        <v>349</v>
      </c>
      <c r="BG351">
        <f>sala!I350</f>
        <v>4063</v>
      </c>
      <c r="BH351" cm="1">
        <f t="array" ref="BH351">SUM(IF(Cocina!A:A=Tabla4[[#This Row],[Número de Orden]],Cocina!F:F*Cocina!G:G,0))</f>
        <v>152</v>
      </c>
      <c r="BI351" t="str">
        <f>sala!J350</f>
        <v>Ocupada</v>
      </c>
      <c r="BJ351" s="4" t="str">
        <f>IF(Tabla4[[#This Row],[Estado mesa]]="Ocupada","00:15","00:00")</f>
        <v>00:15</v>
      </c>
      <c r="BK351" cm="1">
        <f t="array" ref="BK351">SUM(IF(Cocina!A:A=Tabla4[[#This Row],[Número de Orden]],Cocina!H:H,0))</f>
        <v>85</v>
      </c>
    </row>
    <row r="352" spans="1:63" x14ac:dyDescent="0.3">
      <c r="A352" s="8" t="str">
        <f>MID(Tabla4[[#This Row],[Cliente]], SEARCH("_", Tabla4[[#This Row],[Cliente]]) + 1, LEN(Tabla4[[#This Row],[Cliente]]) - SEARCH("_",Tabla4[[#This Row],[Cliente]]))</f>
        <v>644</v>
      </c>
      <c r="B352">
        <f>sala!K351</f>
        <v>350</v>
      </c>
      <c r="C352">
        <f>Tabla4[[#This Row],[Propina]]+Tabla4[[#This Row],[Precio Cena]]</f>
        <v>3764</v>
      </c>
      <c r="D352" s="3">
        <f>INT(sala!E351)</f>
        <v>45020</v>
      </c>
      <c r="E352" s="4">
        <f>MOD( sala!D351,1)</f>
        <v>2.4305555554747116E-2</v>
      </c>
      <c r="F352" s="4">
        <f>MOD( sala!E351,1)</f>
        <v>0.12430555555329192</v>
      </c>
      <c r="G352" s="4">
        <f>Tabla5[[#This Row],[Hora de Salida]]-Tabla5[[#This Row],[Hora de Llegada]]+Tabla4[[#This Row],[Tiempo Extra]]</f>
        <v>9.9999999998544808E-2</v>
      </c>
      <c r="H352" s="5" t="str">
        <f>TEXT(Tabla4[[#This Row],[Preparación en horas]]/1440, "h:mm")</f>
        <v>1:49</v>
      </c>
      <c r="I352" s="4">
        <f>IF(Tabla5[[#This Row],[Tiempo Permanencia]]-Tabla5[[#This Row],[Tiempo de Preparación ]]&gt;=0,Tabla5[[#This Row],[Tiempo Permanencia]]-Tabla5[[#This Row],[Tiempo de Preparación ]],0)</f>
        <v>2.4305555554100369E-2</v>
      </c>
      <c r="J352" s="5" t="str">
        <f>IF(Tabla5[[#This Row],[Tiempo de Degustación]]=0,"No Cobrada","Cobrada")</f>
        <v>Cobrada</v>
      </c>
      <c r="K352" s="5" cm="1">
        <f t="array" ref="K352">SUM(IF(Tabla5[[#This Row],[Orden Cobrada]]="Cobrada",IF(Cocina!A:A=Tabla5[[#This Row],[Nº Orden]],Cocina!F:F*Cocina!G:G,0),-Tabla6[[#This Row],[Precio Cena]]))</f>
        <v>143</v>
      </c>
      <c r="L352" s="5">
        <f>IF(Tabla5[[#This Row],[Orden Cobrada]]="Cobrada",Tabla5[[#This Row],[Ganancia Bruta]]-Tabla6[[#This Row],[Coste Cena]],-Tabla6[[#This Row],[Precio Cena]]+Tabla6[[#This Row],[Coste Cena]])</f>
        <v>57</v>
      </c>
      <c r="M352" s="10">
        <f>IF(Tabla5[[#This Row],[Orden Cobrada]]="Cobrada",((Tabla5[[#This Row],[Ganancia Neta]]/Tabla5[[#This Row],[Ganancia Bruta]])*100)/100,-((Tabla5[[#This Row],[Ganancia Neta]]/Tabla5[[#This Row],[Ganancia Bruta]]*100)/100))</f>
        <v>0.39860139860139859</v>
      </c>
      <c r="N352" s="5" t="str">
        <f>sala!F351</f>
        <v>Mesero_5</v>
      </c>
      <c r="AY352" cm="1">
        <f t="array" ref="AY352">SUM(IF(Cocina!A:A=Tabla5[[#This Row],[Nº Orden]],Cocina!F:F*Cocina!G:G,0))</f>
        <v>143</v>
      </c>
      <c r="AZ352" cm="1">
        <f t="array" ref="AZ352">SUM(IF(Cocina!A:A=Tabla5[[#This Row],[Nº Orden]],Cocina!E:E*Cocina!G:G,0))</f>
        <v>86</v>
      </c>
      <c r="BB352" t="str">
        <f>MID(Tabla4[[#This Row],[Cliente]], SEARCH("_", Tabla4[[#This Row],[Cliente]]) + 1, LEN(Tabla4[[#This Row],[Cliente]]) - SEARCH("_",Tabla4[[#This Row],[Cliente]]))</f>
        <v>644</v>
      </c>
      <c r="BC352" t="str">
        <f>sala!B351</f>
        <v>Cliente_644</v>
      </c>
      <c r="BD352" s="1">
        <f>sala!D351</f>
        <v>45020.024305555555</v>
      </c>
      <c r="BE352" s="1">
        <f>sala!E351</f>
        <v>45020.124305555553</v>
      </c>
      <c r="BF352">
        <f>sala!K351</f>
        <v>350</v>
      </c>
      <c r="BG352">
        <f>sala!I351</f>
        <v>3621</v>
      </c>
      <c r="BH352" cm="1">
        <f t="array" ref="BH352">SUM(IF(Cocina!A:A=Tabla4[[#This Row],[Número de Orden]],Cocina!F:F*Cocina!G:G,0))</f>
        <v>143</v>
      </c>
      <c r="BI352" t="str">
        <f>sala!J351</f>
        <v>Reservada</v>
      </c>
      <c r="BJ352" s="4" t="str">
        <f>IF(Tabla4[[#This Row],[Estado mesa]]="Ocupada","00:15","00:00")</f>
        <v>00:00</v>
      </c>
      <c r="BK352" cm="1">
        <f t="array" ref="BK352">SUM(IF(Cocina!A:A=Tabla4[[#This Row],[Número de Orden]],Cocina!H:H,0))</f>
        <v>109</v>
      </c>
    </row>
    <row r="353" spans="1:63" x14ac:dyDescent="0.3">
      <c r="A353" s="8" t="str">
        <f>MID(Tabla4[[#This Row],[Cliente]], SEARCH("_", Tabla4[[#This Row],[Cliente]]) + 1, LEN(Tabla4[[#This Row],[Cliente]]) - SEARCH("_",Tabla4[[#This Row],[Cliente]]))</f>
        <v>619</v>
      </c>
      <c r="B353">
        <f>sala!K352</f>
        <v>351</v>
      </c>
      <c r="C353">
        <f>Tabla4[[#This Row],[Propina]]+Tabla4[[#This Row],[Precio Cena]]</f>
        <v>5094</v>
      </c>
      <c r="D353" s="3">
        <f>INT(sala!E352)</f>
        <v>45020</v>
      </c>
      <c r="E353" s="4">
        <f>MOD( sala!D352,1)</f>
        <v>0.16111111111240461</v>
      </c>
      <c r="F353" s="4">
        <f>MOD( sala!E352,1)</f>
        <v>0.25624999999854481</v>
      </c>
      <c r="G353" s="4">
        <f>Tabla5[[#This Row],[Hora de Salida]]-Tabla5[[#This Row],[Hora de Llegada]]+Tabla4[[#This Row],[Tiempo Extra]]</f>
        <v>9.5138888886140194E-2</v>
      </c>
      <c r="H353" s="5" t="str">
        <f>TEXT(Tabla4[[#This Row],[Preparación en horas]]/1440, "h:mm")</f>
        <v>0:25</v>
      </c>
      <c r="I353" s="4">
        <f>IF(Tabla5[[#This Row],[Tiempo Permanencia]]-Tabla5[[#This Row],[Tiempo de Preparación ]]&gt;=0,Tabla5[[#This Row],[Tiempo Permanencia]]-Tabla5[[#This Row],[Tiempo de Preparación ]],0)</f>
        <v>7.7777777775029089E-2</v>
      </c>
      <c r="J353" s="5" t="str">
        <f>IF(Tabla5[[#This Row],[Tiempo de Degustación]]=0,"No Cobrada","Cobrada")</f>
        <v>Cobrada</v>
      </c>
      <c r="K353" s="5" cm="1">
        <f t="array" ref="K353">SUM(IF(Tabla5[[#This Row],[Orden Cobrada]]="Cobrada",IF(Cocina!A:A=Tabla5[[#This Row],[Nº Orden]],Cocina!F:F*Cocina!G:G,0),-Tabla6[[#This Row],[Precio Cena]]))</f>
        <v>201</v>
      </c>
      <c r="L353" s="5">
        <f>IF(Tabla5[[#This Row],[Orden Cobrada]]="Cobrada",Tabla5[[#This Row],[Ganancia Bruta]]-Tabla6[[#This Row],[Coste Cena]],-Tabla6[[#This Row],[Precio Cena]]+Tabla6[[#This Row],[Coste Cena]])</f>
        <v>81</v>
      </c>
      <c r="M353" s="10">
        <f>IF(Tabla5[[#This Row],[Orden Cobrada]]="Cobrada",((Tabla5[[#This Row],[Ganancia Neta]]/Tabla5[[#This Row],[Ganancia Bruta]])*100)/100,-((Tabla5[[#This Row],[Ganancia Neta]]/Tabla5[[#This Row],[Ganancia Bruta]]*100)/100))</f>
        <v>0.40298507462686567</v>
      </c>
      <c r="N353" s="5" t="str">
        <f>sala!F352</f>
        <v>Mesero_1</v>
      </c>
      <c r="AY353" cm="1">
        <f t="array" ref="AY353">SUM(IF(Cocina!A:A=Tabla5[[#This Row],[Nº Orden]],Cocina!F:F*Cocina!G:G,0))</f>
        <v>201</v>
      </c>
      <c r="AZ353" cm="1">
        <f t="array" ref="AZ353">SUM(IF(Cocina!A:A=Tabla5[[#This Row],[Nº Orden]],Cocina!E:E*Cocina!G:G,0))</f>
        <v>120</v>
      </c>
      <c r="BB353" t="str">
        <f>MID(Tabla4[[#This Row],[Cliente]], SEARCH("_", Tabla4[[#This Row],[Cliente]]) + 1, LEN(Tabla4[[#This Row],[Cliente]]) - SEARCH("_",Tabla4[[#This Row],[Cliente]]))</f>
        <v>619</v>
      </c>
      <c r="BC353" t="str">
        <f>sala!B352</f>
        <v>Cliente_619</v>
      </c>
      <c r="BD353" s="1">
        <f>sala!D352</f>
        <v>45020.161111111112</v>
      </c>
      <c r="BE353" s="1">
        <f>sala!E352</f>
        <v>45020.256249999999</v>
      </c>
      <c r="BF353">
        <f>sala!K352</f>
        <v>351</v>
      </c>
      <c r="BG353">
        <f>sala!I352</f>
        <v>4893</v>
      </c>
      <c r="BH353" cm="1">
        <f t="array" ref="BH353">SUM(IF(Cocina!A:A=Tabla4[[#This Row],[Número de Orden]],Cocina!F:F*Cocina!G:G,0))</f>
        <v>201</v>
      </c>
      <c r="BI353" t="str">
        <f>sala!J352</f>
        <v>Libre</v>
      </c>
      <c r="BJ353" s="4" t="str">
        <f>IF(Tabla4[[#This Row],[Estado mesa]]="Ocupada","00:15","00:00")</f>
        <v>00:00</v>
      </c>
      <c r="BK353" cm="1">
        <f t="array" ref="BK353">SUM(IF(Cocina!A:A=Tabla4[[#This Row],[Número de Orden]],Cocina!H:H,0))</f>
        <v>25</v>
      </c>
    </row>
    <row r="354" spans="1:63" x14ac:dyDescent="0.3">
      <c r="A354" s="8" t="str">
        <f>MID(Tabla4[[#This Row],[Cliente]], SEARCH("_", Tabla4[[#This Row],[Cliente]]) + 1, LEN(Tabla4[[#This Row],[Cliente]]) - SEARCH("_",Tabla4[[#This Row],[Cliente]]))</f>
        <v>780</v>
      </c>
      <c r="B354">
        <f>sala!K353</f>
        <v>352</v>
      </c>
      <c r="C354">
        <f>Tabla4[[#This Row],[Propina]]+Tabla4[[#This Row],[Precio Cena]]</f>
        <v>1854</v>
      </c>
      <c r="D354" s="3">
        <f>INT(sala!E353)</f>
        <v>45020</v>
      </c>
      <c r="E354" s="4">
        <f>MOD( sala!D353,1)</f>
        <v>1.1805555557657499E-2</v>
      </c>
      <c r="F354" s="4">
        <f>MOD( sala!E353,1)</f>
        <v>0.12013888888759539</v>
      </c>
      <c r="G354" s="4">
        <f>Tabla5[[#This Row],[Hora de Salida]]-Tabla5[[#This Row],[Hora de Llegada]]+Tabla4[[#This Row],[Tiempo Extra]]</f>
        <v>0.10833333332993789</v>
      </c>
      <c r="H354" s="5" t="str">
        <f>TEXT(Tabla4[[#This Row],[Preparación en horas]]/1440, "h:mm")</f>
        <v>0:07</v>
      </c>
      <c r="I354" s="4">
        <f>IF(Tabla5[[#This Row],[Tiempo Permanencia]]-Tabla5[[#This Row],[Tiempo de Preparación ]]&gt;=0,Tabla5[[#This Row],[Tiempo Permanencia]]-Tabla5[[#This Row],[Tiempo de Preparación ]],0)</f>
        <v>0.10347222221882678</v>
      </c>
      <c r="J354" s="5" t="str">
        <f>IF(Tabla5[[#This Row],[Tiempo de Degustación]]=0,"No Cobrada","Cobrada")</f>
        <v>Cobrada</v>
      </c>
      <c r="K354" s="5" cm="1">
        <f t="array" ref="K354">SUM(IF(Tabla5[[#This Row],[Orden Cobrada]]="Cobrada",IF(Cocina!A:A=Tabla5[[#This Row],[Nº Orden]],Cocina!F:F*Cocina!G:G,0),-Tabla6[[#This Row],[Precio Cena]]))</f>
        <v>99</v>
      </c>
      <c r="L354" s="5">
        <f>IF(Tabla5[[#This Row],[Orden Cobrada]]="Cobrada",Tabla5[[#This Row],[Ganancia Bruta]]-Tabla6[[#This Row],[Coste Cena]],-Tabla6[[#This Row],[Precio Cena]]+Tabla6[[#This Row],[Coste Cena]])</f>
        <v>39</v>
      </c>
      <c r="M354" s="10">
        <f>IF(Tabla5[[#This Row],[Orden Cobrada]]="Cobrada",((Tabla5[[#This Row],[Ganancia Neta]]/Tabla5[[#This Row],[Ganancia Bruta]])*100)/100,-((Tabla5[[#This Row],[Ganancia Neta]]/Tabla5[[#This Row],[Ganancia Bruta]]*100)/100))</f>
        <v>0.39393939393939392</v>
      </c>
      <c r="N354" s="5" t="str">
        <f>sala!F353</f>
        <v>Mesero_3</v>
      </c>
      <c r="AY354" cm="1">
        <f t="array" ref="AY354">SUM(IF(Cocina!A:A=Tabla5[[#This Row],[Nº Orden]],Cocina!F:F*Cocina!G:G,0))</f>
        <v>99</v>
      </c>
      <c r="AZ354" cm="1">
        <f t="array" ref="AZ354">SUM(IF(Cocina!A:A=Tabla5[[#This Row],[Nº Orden]],Cocina!E:E*Cocina!G:G,0))</f>
        <v>60</v>
      </c>
      <c r="BB354" t="str">
        <f>MID(Tabla4[[#This Row],[Cliente]], SEARCH("_", Tabla4[[#This Row],[Cliente]]) + 1, LEN(Tabla4[[#This Row],[Cliente]]) - SEARCH("_",Tabla4[[#This Row],[Cliente]]))</f>
        <v>780</v>
      </c>
      <c r="BC354" t="str">
        <f>sala!B353</f>
        <v>Cliente_780</v>
      </c>
      <c r="BD354" s="1">
        <f>sala!D353</f>
        <v>45020.011805555558</v>
      </c>
      <c r="BE354" s="1">
        <f>sala!E353</f>
        <v>45020.120138888888</v>
      </c>
      <c r="BF354">
        <f>sala!K353</f>
        <v>352</v>
      </c>
      <c r="BG354">
        <f>sala!I353</f>
        <v>1755</v>
      </c>
      <c r="BH354" cm="1">
        <f t="array" ref="BH354">SUM(IF(Cocina!A:A=Tabla4[[#This Row],[Número de Orden]],Cocina!F:F*Cocina!G:G,0))</f>
        <v>99</v>
      </c>
      <c r="BI354" t="str">
        <f>sala!J353</f>
        <v>Reservada</v>
      </c>
      <c r="BJ354" s="4" t="str">
        <f>IF(Tabla4[[#This Row],[Estado mesa]]="Ocupada","00:15","00:00")</f>
        <v>00:00</v>
      </c>
      <c r="BK354" cm="1">
        <f t="array" ref="BK354">SUM(IF(Cocina!A:A=Tabla4[[#This Row],[Número de Orden]],Cocina!H:H,0))</f>
        <v>7</v>
      </c>
    </row>
    <row r="355" spans="1:63" x14ac:dyDescent="0.3">
      <c r="A355" s="8" t="str">
        <f>MID(Tabla4[[#This Row],[Cliente]], SEARCH("_", Tabla4[[#This Row],[Cliente]]) + 1, LEN(Tabla4[[#This Row],[Cliente]]) - SEARCH("_",Tabla4[[#This Row],[Cliente]]))</f>
        <v>833</v>
      </c>
      <c r="B355">
        <f>sala!K354</f>
        <v>353</v>
      </c>
      <c r="C355">
        <f>Tabla4[[#This Row],[Propina]]+Tabla4[[#This Row],[Precio Cena]]</f>
        <v>2949</v>
      </c>
      <c r="D355" s="3">
        <f>INT(sala!E354)</f>
        <v>45020</v>
      </c>
      <c r="E355" s="4">
        <f>MOD( sala!D354,1)</f>
        <v>0.15694444444670808</v>
      </c>
      <c r="F355" s="4">
        <f>MOD( sala!E354,1)</f>
        <v>0.31666666666569654</v>
      </c>
      <c r="G355" s="4">
        <f>Tabla5[[#This Row],[Hora de Salida]]-Tabla5[[#This Row],[Hora de Llegada]]+Tabla4[[#This Row],[Tiempo Extra]]</f>
        <v>0.15972222221898846</v>
      </c>
      <c r="H355" s="5" t="str">
        <f>TEXT(Tabla4[[#This Row],[Preparación en horas]]/1440, "h:mm")</f>
        <v>2:08</v>
      </c>
      <c r="I355" s="4">
        <f>IF(Tabla5[[#This Row],[Tiempo Permanencia]]-Tabla5[[#This Row],[Tiempo de Preparación ]]&gt;=0,Tabla5[[#This Row],[Tiempo Permanencia]]-Tabla5[[#This Row],[Tiempo de Preparación ]],0)</f>
        <v>7.0833333330099571E-2</v>
      </c>
      <c r="J355" s="5" t="str">
        <f>IF(Tabla5[[#This Row],[Tiempo de Degustación]]=0,"No Cobrada","Cobrada")</f>
        <v>Cobrada</v>
      </c>
      <c r="K355" s="5" cm="1">
        <f t="array" ref="K355">SUM(IF(Tabla5[[#This Row],[Orden Cobrada]]="Cobrada",IF(Cocina!A:A=Tabla5[[#This Row],[Nº Orden]],Cocina!F:F*Cocina!G:G,0),-Tabla6[[#This Row],[Precio Cena]]))</f>
        <v>212</v>
      </c>
      <c r="L355" s="5">
        <f>IF(Tabla5[[#This Row],[Orden Cobrada]]="Cobrada",Tabla5[[#This Row],[Ganancia Bruta]]-Tabla6[[#This Row],[Coste Cena]],-Tabla6[[#This Row],[Precio Cena]]+Tabla6[[#This Row],[Coste Cena]])</f>
        <v>86</v>
      </c>
      <c r="M355" s="10">
        <f>IF(Tabla5[[#This Row],[Orden Cobrada]]="Cobrada",((Tabla5[[#This Row],[Ganancia Neta]]/Tabla5[[#This Row],[Ganancia Bruta]])*100)/100,-((Tabla5[[#This Row],[Ganancia Neta]]/Tabla5[[#This Row],[Ganancia Bruta]]*100)/100))</f>
        <v>0.40566037735849059</v>
      </c>
      <c r="N355" s="5" t="str">
        <f>sala!F354</f>
        <v>Mesero_5</v>
      </c>
      <c r="AY355" cm="1">
        <f t="array" ref="AY355">SUM(IF(Cocina!A:A=Tabla5[[#This Row],[Nº Orden]],Cocina!F:F*Cocina!G:G,0))</f>
        <v>212</v>
      </c>
      <c r="AZ355" cm="1">
        <f t="array" ref="AZ355">SUM(IF(Cocina!A:A=Tabla5[[#This Row],[Nº Orden]],Cocina!E:E*Cocina!G:G,0))</f>
        <v>126</v>
      </c>
      <c r="BB355" t="str">
        <f>MID(Tabla4[[#This Row],[Cliente]], SEARCH("_", Tabla4[[#This Row],[Cliente]]) + 1, LEN(Tabla4[[#This Row],[Cliente]]) - SEARCH("_",Tabla4[[#This Row],[Cliente]]))</f>
        <v>833</v>
      </c>
      <c r="BC355" t="str">
        <f>sala!B354</f>
        <v>Cliente_833</v>
      </c>
      <c r="BD355" s="1">
        <f>sala!D354</f>
        <v>45020.156944444447</v>
      </c>
      <c r="BE355" s="1">
        <f>sala!E354</f>
        <v>45020.316666666666</v>
      </c>
      <c r="BF355">
        <f>sala!K354</f>
        <v>353</v>
      </c>
      <c r="BG355">
        <f>sala!I354</f>
        <v>2737</v>
      </c>
      <c r="BH355" cm="1">
        <f t="array" ref="BH355">SUM(IF(Cocina!A:A=Tabla4[[#This Row],[Número de Orden]],Cocina!F:F*Cocina!G:G,0))</f>
        <v>212</v>
      </c>
      <c r="BI355" t="str">
        <f>sala!J354</f>
        <v>Reservada</v>
      </c>
      <c r="BJ355" s="4" t="str">
        <f>IF(Tabla4[[#This Row],[Estado mesa]]="Ocupada","00:15","00:00")</f>
        <v>00:00</v>
      </c>
      <c r="BK355" cm="1">
        <f t="array" ref="BK355">SUM(IF(Cocina!A:A=Tabla4[[#This Row],[Número de Orden]],Cocina!H:H,0))</f>
        <v>128</v>
      </c>
    </row>
    <row r="356" spans="1:63" x14ac:dyDescent="0.3">
      <c r="A356" s="8" t="str">
        <f>MID(Tabla4[[#This Row],[Cliente]], SEARCH("_", Tabla4[[#This Row],[Cliente]]) + 1, LEN(Tabla4[[#This Row],[Cliente]]) - SEARCH("_",Tabla4[[#This Row],[Cliente]]))</f>
        <v>899</v>
      </c>
      <c r="B356">
        <f>sala!K355</f>
        <v>354</v>
      </c>
      <c r="C356">
        <f>Tabla4[[#This Row],[Propina]]+Tabla4[[#This Row],[Precio Cena]]</f>
        <v>3139</v>
      </c>
      <c r="D356" s="3">
        <f>INT(sala!E355)</f>
        <v>45020</v>
      </c>
      <c r="E356" s="4">
        <f>MOD( sala!D355,1)</f>
        <v>1.8055555556202307E-2</v>
      </c>
      <c r="F356" s="4">
        <f>MOD( sala!E355,1)</f>
        <v>0.14166666667006211</v>
      </c>
      <c r="G356" s="4">
        <f>Tabla5[[#This Row],[Hora de Salida]]-Tabla5[[#This Row],[Hora de Llegada]]+Tabla4[[#This Row],[Tiempo Extra]]</f>
        <v>0.13402777778052646</v>
      </c>
      <c r="H356" s="5" t="str">
        <f>TEXT(Tabla4[[#This Row],[Preparación en horas]]/1440, "h:mm")</f>
        <v>2:17</v>
      </c>
      <c r="I356" s="4">
        <f>IF(Tabla5[[#This Row],[Tiempo Permanencia]]-Tabla5[[#This Row],[Tiempo de Preparación ]]&gt;=0,Tabla5[[#This Row],[Tiempo Permanencia]]-Tabla5[[#This Row],[Tiempo de Preparación ]],0)</f>
        <v>3.888888889163758E-2</v>
      </c>
      <c r="J356" s="5" t="str">
        <f>IF(Tabla5[[#This Row],[Tiempo de Degustación]]=0,"No Cobrada","Cobrada")</f>
        <v>Cobrada</v>
      </c>
      <c r="K356" s="5" cm="1">
        <f t="array" ref="K356">SUM(IF(Tabla5[[#This Row],[Orden Cobrada]]="Cobrada",IF(Cocina!A:A=Tabla5[[#This Row],[Nº Orden]],Cocina!F:F*Cocina!G:G,0),-Tabla6[[#This Row],[Precio Cena]]))</f>
        <v>181</v>
      </c>
      <c r="L356" s="5">
        <f>IF(Tabla5[[#This Row],[Orden Cobrada]]="Cobrada",Tabla5[[#This Row],[Ganancia Bruta]]-Tabla6[[#This Row],[Coste Cena]],-Tabla6[[#This Row],[Precio Cena]]+Tabla6[[#This Row],[Coste Cena]])</f>
        <v>76</v>
      </c>
      <c r="M356" s="10">
        <f>IF(Tabla5[[#This Row],[Orden Cobrada]]="Cobrada",((Tabla5[[#This Row],[Ganancia Neta]]/Tabla5[[#This Row],[Ganancia Bruta]])*100)/100,-((Tabla5[[#This Row],[Ganancia Neta]]/Tabla5[[#This Row],[Ganancia Bruta]]*100)/100))</f>
        <v>0.41988950276243098</v>
      </c>
      <c r="N356" s="5" t="str">
        <f>sala!F355</f>
        <v>Mesero_5</v>
      </c>
      <c r="AY356" cm="1">
        <f t="array" ref="AY356">SUM(IF(Cocina!A:A=Tabla5[[#This Row],[Nº Orden]],Cocina!F:F*Cocina!G:G,0))</f>
        <v>181</v>
      </c>
      <c r="AZ356" cm="1">
        <f t="array" ref="AZ356">SUM(IF(Cocina!A:A=Tabla5[[#This Row],[Nº Orden]],Cocina!E:E*Cocina!G:G,0))</f>
        <v>105</v>
      </c>
      <c r="BB356" t="str">
        <f>MID(Tabla4[[#This Row],[Cliente]], SEARCH("_", Tabla4[[#This Row],[Cliente]]) + 1, LEN(Tabla4[[#This Row],[Cliente]]) - SEARCH("_",Tabla4[[#This Row],[Cliente]]))</f>
        <v>899</v>
      </c>
      <c r="BC356" t="str">
        <f>sala!B355</f>
        <v>Cliente_899</v>
      </c>
      <c r="BD356" s="1">
        <f>sala!D355</f>
        <v>45020.018055555556</v>
      </c>
      <c r="BE356" s="1">
        <f>sala!E355</f>
        <v>45020.14166666667</v>
      </c>
      <c r="BF356">
        <f>sala!K355</f>
        <v>354</v>
      </c>
      <c r="BG356">
        <f>sala!I355</f>
        <v>2958</v>
      </c>
      <c r="BH356" cm="1">
        <f t="array" ref="BH356">SUM(IF(Cocina!A:A=Tabla4[[#This Row],[Número de Orden]],Cocina!F:F*Cocina!G:G,0))</f>
        <v>181</v>
      </c>
      <c r="BI356" t="str">
        <f>sala!J355</f>
        <v>Ocupada</v>
      </c>
      <c r="BJ356" s="4" t="str">
        <f>IF(Tabla4[[#This Row],[Estado mesa]]="Ocupada","00:15","00:00")</f>
        <v>00:15</v>
      </c>
      <c r="BK356" cm="1">
        <f t="array" ref="BK356">SUM(IF(Cocina!A:A=Tabla4[[#This Row],[Número de Orden]],Cocina!H:H,0))</f>
        <v>137</v>
      </c>
    </row>
    <row r="357" spans="1:63" x14ac:dyDescent="0.3">
      <c r="A357" s="8" t="str">
        <f>MID(Tabla4[[#This Row],[Cliente]], SEARCH("_", Tabla4[[#This Row],[Cliente]]) + 1, LEN(Tabla4[[#This Row],[Cliente]]) - SEARCH("_",Tabla4[[#This Row],[Cliente]]))</f>
        <v>523</v>
      </c>
      <c r="B357">
        <f>sala!K356</f>
        <v>355</v>
      </c>
      <c r="C357">
        <f>Tabla4[[#This Row],[Propina]]+Tabla4[[#This Row],[Precio Cena]]</f>
        <v>3079</v>
      </c>
      <c r="D357" s="3">
        <f>INT(sala!E356)</f>
        <v>45020</v>
      </c>
      <c r="E357" s="4">
        <f>MOD( sala!D356,1)</f>
        <v>7.013888889196096E-2</v>
      </c>
      <c r="F357" s="4">
        <f>MOD( sala!E356,1)</f>
        <v>0.21319444444088731</v>
      </c>
      <c r="G357" s="4">
        <f>Tabla5[[#This Row],[Hora de Salida]]-Tabla5[[#This Row],[Hora de Llegada]]+Tabla4[[#This Row],[Tiempo Extra]]</f>
        <v>0.14305555554892635</v>
      </c>
      <c r="H357" s="5" t="str">
        <f>TEXT(Tabla4[[#This Row],[Preparación en horas]]/1440, "h:mm")</f>
        <v>0:07</v>
      </c>
      <c r="I357" s="4">
        <f>IF(Tabla5[[#This Row],[Tiempo Permanencia]]-Tabla5[[#This Row],[Tiempo de Preparación ]]&gt;=0,Tabla5[[#This Row],[Tiempo Permanencia]]-Tabla5[[#This Row],[Tiempo de Preparación ]],0)</f>
        <v>0.13819444443781523</v>
      </c>
      <c r="J357" s="5" t="str">
        <f>IF(Tabla5[[#This Row],[Tiempo de Degustación]]=0,"No Cobrada","Cobrada")</f>
        <v>Cobrada</v>
      </c>
      <c r="K357" s="5" cm="1">
        <f t="array" ref="K357">SUM(IF(Tabla5[[#This Row],[Orden Cobrada]]="Cobrada",IF(Cocina!A:A=Tabla5[[#This Row],[Nº Orden]],Cocina!F:F*Cocina!G:G,0),-Tabla6[[#This Row],[Precio Cena]]))</f>
        <v>26</v>
      </c>
      <c r="L357" s="5">
        <f>IF(Tabla5[[#This Row],[Orden Cobrada]]="Cobrada",Tabla5[[#This Row],[Ganancia Bruta]]-Tabla6[[#This Row],[Coste Cena]],-Tabla6[[#This Row],[Precio Cena]]+Tabla6[[#This Row],[Coste Cena]])</f>
        <v>11</v>
      </c>
      <c r="M357" s="10">
        <f>IF(Tabla5[[#This Row],[Orden Cobrada]]="Cobrada",((Tabla5[[#This Row],[Ganancia Neta]]/Tabla5[[#This Row],[Ganancia Bruta]])*100)/100,-((Tabla5[[#This Row],[Ganancia Neta]]/Tabla5[[#This Row],[Ganancia Bruta]]*100)/100))</f>
        <v>0.42307692307692307</v>
      </c>
      <c r="N357" s="5" t="str">
        <f>sala!F356</f>
        <v>Mesero_5</v>
      </c>
      <c r="AY357" cm="1">
        <f t="array" ref="AY357">SUM(IF(Cocina!A:A=Tabla5[[#This Row],[Nº Orden]],Cocina!F:F*Cocina!G:G,0))</f>
        <v>26</v>
      </c>
      <c r="AZ357" cm="1">
        <f t="array" ref="AZ357">SUM(IF(Cocina!A:A=Tabla5[[#This Row],[Nº Orden]],Cocina!E:E*Cocina!G:G,0))</f>
        <v>15</v>
      </c>
      <c r="BB357" t="str">
        <f>MID(Tabla4[[#This Row],[Cliente]], SEARCH("_", Tabla4[[#This Row],[Cliente]]) + 1, LEN(Tabla4[[#This Row],[Cliente]]) - SEARCH("_",Tabla4[[#This Row],[Cliente]]))</f>
        <v>523</v>
      </c>
      <c r="BC357" t="str">
        <f>sala!B356</f>
        <v>Cliente_523</v>
      </c>
      <c r="BD357" s="1">
        <f>sala!D356</f>
        <v>45020.070138888892</v>
      </c>
      <c r="BE357" s="1">
        <f>sala!E356</f>
        <v>45020.213194444441</v>
      </c>
      <c r="BF357">
        <f>sala!K356</f>
        <v>355</v>
      </c>
      <c r="BG357">
        <f>sala!I356</f>
        <v>3053</v>
      </c>
      <c r="BH357" cm="1">
        <f t="array" ref="BH357">SUM(IF(Cocina!A:A=Tabla4[[#This Row],[Número de Orden]],Cocina!F:F*Cocina!G:G,0))</f>
        <v>26</v>
      </c>
      <c r="BI357" t="str">
        <f>sala!J356</f>
        <v>Reservada</v>
      </c>
      <c r="BJ357" s="4" t="str">
        <f>IF(Tabla4[[#This Row],[Estado mesa]]="Ocupada","00:15","00:00")</f>
        <v>00:00</v>
      </c>
      <c r="BK357" cm="1">
        <f t="array" ref="BK357">SUM(IF(Cocina!A:A=Tabla4[[#This Row],[Número de Orden]],Cocina!H:H,0))</f>
        <v>7</v>
      </c>
    </row>
    <row r="358" spans="1:63" x14ac:dyDescent="0.3">
      <c r="A358" s="8" t="str">
        <f>MID(Tabla4[[#This Row],[Cliente]], SEARCH("_", Tabla4[[#This Row],[Cliente]]) + 1, LEN(Tabla4[[#This Row],[Cliente]]) - SEARCH("_",Tabla4[[#This Row],[Cliente]]))</f>
        <v>498</v>
      </c>
      <c r="B358">
        <f>sala!K357</f>
        <v>356</v>
      </c>
      <c r="C358">
        <f>Tabla4[[#This Row],[Propina]]+Tabla4[[#This Row],[Precio Cena]]</f>
        <v>2928</v>
      </c>
      <c r="D358" s="3">
        <f>INT(sala!E357)</f>
        <v>45020</v>
      </c>
      <c r="E358" s="4">
        <f>MOD( sala!D357,1)</f>
        <v>8.333333331393078E-3</v>
      </c>
      <c r="F358" s="4">
        <f>MOD( sala!E357,1)</f>
        <v>9.5833333332848269E-2</v>
      </c>
      <c r="G358" s="4">
        <f>Tabla5[[#This Row],[Hora de Salida]]-Tabla5[[#This Row],[Hora de Llegada]]+Tabla4[[#This Row],[Tiempo Extra]]</f>
        <v>9.7916666668121863E-2</v>
      </c>
      <c r="H358" s="5" t="str">
        <f>TEXT(Tabla4[[#This Row],[Preparación en horas]]/1440, "h:mm")</f>
        <v>0:07</v>
      </c>
      <c r="I358" s="4">
        <f>IF(Tabla5[[#This Row],[Tiempo Permanencia]]-Tabla5[[#This Row],[Tiempo de Preparación ]]&gt;=0,Tabla5[[#This Row],[Tiempo Permanencia]]-Tabla5[[#This Row],[Tiempo de Preparación ]],0)</f>
        <v>9.3055555557010755E-2</v>
      </c>
      <c r="J358" s="5" t="str">
        <f>IF(Tabla5[[#This Row],[Tiempo de Degustación]]=0,"No Cobrada","Cobrada")</f>
        <v>Cobrada</v>
      </c>
      <c r="K358" s="5" cm="1">
        <f t="array" ref="K358">SUM(IF(Tabla5[[#This Row],[Orden Cobrada]]="Cobrada",IF(Cocina!A:A=Tabla5[[#This Row],[Nº Orden]],Cocina!F:F*Cocina!G:G,0),-Tabla6[[#This Row],[Precio Cena]]))</f>
        <v>36</v>
      </c>
      <c r="L358" s="5">
        <f>IF(Tabla5[[#This Row],[Orden Cobrada]]="Cobrada",Tabla5[[#This Row],[Ganancia Bruta]]-Tabla6[[#This Row],[Coste Cena]],-Tabla6[[#This Row],[Precio Cena]]+Tabla6[[#This Row],[Coste Cena]])</f>
        <v>16</v>
      </c>
      <c r="M358" s="10">
        <f>IF(Tabla5[[#This Row],[Orden Cobrada]]="Cobrada",((Tabla5[[#This Row],[Ganancia Neta]]/Tabla5[[#This Row],[Ganancia Bruta]])*100)/100,-((Tabla5[[#This Row],[Ganancia Neta]]/Tabla5[[#This Row],[Ganancia Bruta]]*100)/100))</f>
        <v>0.44444444444444442</v>
      </c>
      <c r="N358" s="5" t="str">
        <f>sala!F357</f>
        <v>Mesero_3</v>
      </c>
      <c r="AY358" cm="1">
        <f t="array" ref="AY358">SUM(IF(Cocina!A:A=Tabla5[[#This Row],[Nº Orden]],Cocina!F:F*Cocina!G:G,0))</f>
        <v>36</v>
      </c>
      <c r="AZ358" cm="1">
        <f t="array" ref="AZ358">SUM(IF(Cocina!A:A=Tabla5[[#This Row],[Nº Orden]],Cocina!E:E*Cocina!G:G,0))</f>
        <v>20</v>
      </c>
      <c r="BB358" t="str">
        <f>MID(Tabla4[[#This Row],[Cliente]], SEARCH("_", Tabla4[[#This Row],[Cliente]]) + 1, LEN(Tabla4[[#This Row],[Cliente]]) - SEARCH("_",Tabla4[[#This Row],[Cliente]]))</f>
        <v>498</v>
      </c>
      <c r="BC358" t="str">
        <f>sala!B357</f>
        <v>Cliente_498</v>
      </c>
      <c r="BD358" s="1">
        <f>sala!D357</f>
        <v>45020.008333333331</v>
      </c>
      <c r="BE358" s="1">
        <f>sala!E357</f>
        <v>45020.095833333333</v>
      </c>
      <c r="BF358">
        <f>sala!K357</f>
        <v>356</v>
      </c>
      <c r="BG358">
        <f>sala!I357</f>
        <v>2892</v>
      </c>
      <c r="BH358" cm="1">
        <f t="array" ref="BH358">SUM(IF(Cocina!A:A=Tabla4[[#This Row],[Número de Orden]],Cocina!F:F*Cocina!G:G,0))</f>
        <v>36</v>
      </c>
      <c r="BI358" t="str">
        <f>sala!J357</f>
        <v>Ocupada</v>
      </c>
      <c r="BJ358" s="4" t="str">
        <f>IF(Tabla4[[#This Row],[Estado mesa]]="Ocupada","00:15","00:00")</f>
        <v>00:15</v>
      </c>
      <c r="BK358" cm="1">
        <f t="array" ref="BK358">SUM(IF(Cocina!A:A=Tabla4[[#This Row],[Número de Orden]],Cocina!H:H,0))</f>
        <v>7</v>
      </c>
    </row>
    <row r="359" spans="1:63" x14ac:dyDescent="0.3">
      <c r="A359" s="8" t="str">
        <f>MID(Tabla4[[#This Row],[Cliente]], SEARCH("_", Tabla4[[#This Row],[Cliente]]) + 1, LEN(Tabla4[[#This Row],[Cliente]]) - SEARCH("_",Tabla4[[#This Row],[Cliente]]))</f>
        <v>470</v>
      </c>
      <c r="B359">
        <f>sala!K358</f>
        <v>357</v>
      </c>
      <c r="C359">
        <f>Tabla4[[#This Row],[Propina]]+Tabla4[[#This Row],[Precio Cena]]</f>
        <v>2855</v>
      </c>
      <c r="D359" s="3">
        <f>INT(sala!E358)</f>
        <v>45020</v>
      </c>
      <c r="E359" s="4">
        <f>MOD( sala!D358,1)</f>
        <v>5.486111110803904E-2</v>
      </c>
      <c r="F359" s="4">
        <f>MOD( sala!E358,1)</f>
        <v>0.18472222222044365</v>
      </c>
      <c r="G359" s="4">
        <f>Tabla5[[#This Row],[Hora de Salida]]-Tabla5[[#This Row],[Hora de Llegada]]+Tabla4[[#This Row],[Tiempo Extra]]</f>
        <v>0.14027777777907127</v>
      </c>
      <c r="H359" s="5" t="str">
        <f>TEXT(Tabla4[[#This Row],[Preparación en horas]]/1440, "h:mm")</f>
        <v>1:36</v>
      </c>
      <c r="I359" s="4">
        <f>IF(Tabla5[[#This Row],[Tiempo Permanencia]]-Tabla5[[#This Row],[Tiempo de Preparación ]]&gt;=0,Tabla5[[#This Row],[Tiempo Permanencia]]-Tabla5[[#This Row],[Tiempo de Preparación ]],0)</f>
        <v>7.3611111112404606E-2</v>
      </c>
      <c r="J359" s="5" t="str">
        <f>IF(Tabla5[[#This Row],[Tiempo de Degustación]]=0,"No Cobrada","Cobrada")</f>
        <v>Cobrada</v>
      </c>
      <c r="K359" s="5" cm="1">
        <f t="array" ref="K359">SUM(IF(Tabla5[[#This Row],[Orden Cobrada]]="Cobrada",IF(Cocina!A:A=Tabla5[[#This Row],[Nº Orden]],Cocina!F:F*Cocina!G:G,0),-Tabla6[[#This Row],[Precio Cena]]))</f>
        <v>168</v>
      </c>
      <c r="L359" s="5">
        <f>IF(Tabla5[[#This Row],[Orden Cobrada]]="Cobrada",Tabla5[[#This Row],[Ganancia Bruta]]-Tabla6[[#This Row],[Coste Cena]],-Tabla6[[#This Row],[Precio Cena]]+Tabla6[[#This Row],[Coste Cena]])</f>
        <v>68</v>
      </c>
      <c r="M359" s="10">
        <f>IF(Tabla5[[#This Row],[Orden Cobrada]]="Cobrada",((Tabla5[[#This Row],[Ganancia Neta]]/Tabla5[[#This Row],[Ganancia Bruta]])*100)/100,-((Tabla5[[#This Row],[Ganancia Neta]]/Tabla5[[#This Row],[Ganancia Bruta]]*100)/100))</f>
        <v>0.40476190476190477</v>
      </c>
      <c r="N359" s="5" t="str">
        <f>sala!F358</f>
        <v>Mesero_3</v>
      </c>
      <c r="AY359" cm="1">
        <f t="array" ref="AY359">SUM(IF(Cocina!A:A=Tabla5[[#This Row],[Nº Orden]],Cocina!F:F*Cocina!G:G,0))</f>
        <v>168</v>
      </c>
      <c r="AZ359" cm="1">
        <f t="array" ref="AZ359">SUM(IF(Cocina!A:A=Tabla5[[#This Row],[Nº Orden]],Cocina!E:E*Cocina!G:G,0))</f>
        <v>100</v>
      </c>
      <c r="BB359" t="str">
        <f>MID(Tabla4[[#This Row],[Cliente]], SEARCH("_", Tabla4[[#This Row],[Cliente]]) + 1, LEN(Tabla4[[#This Row],[Cliente]]) - SEARCH("_",Tabla4[[#This Row],[Cliente]]))</f>
        <v>470</v>
      </c>
      <c r="BC359" t="str">
        <f>sala!B358</f>
        <v>Cliente_470</v>
      </c>
      <c r="BD359" s="1">
        <f>sala!D358</f>
        <v>45020.054861111108</v>
      </c>
      <c r="BE359" s="1">
        <f>sala!E358</f>
        <v>45020.18472222222</v>
      </c>
      <c r="BF359">
        <f>sala!K358</f>
        <v>357</v>
      </c>
      <c r="BG359">
        <f>sala!I358</f>
        <v>2687</v>
      </c>
      <c r="BH359" cm="1">
        <f t="array" ref="BH359">SUM(IF(Cocina!A:A=Tabla4[[#This Row],[Número de Orden]],Cocina!F:F*Cocina!G:G,0))</f>
        <v>168</v>
      </c>
      <c r="BI359" t="str">
        <f>sala!J358</f>
        <v>Ocupada</v>
      </c>
      <c r="BJ359" s="4" t="str">
        <f>IF(Tabla4[[#This Row],[Estado mesa]]="Ocupada","00:15","00:00")</f>
        <v>00:15</v>
      </c>
      <c r="BK359" cm="1">
        <f t="array" ref="BK359">SUM(IF(Cocina!A:A=Tabla4[[#This Row],[Número de Orden]],Cocina!H:H,0))</f>
        <v>96</v>
      </c>
    </row>
    <row r="360" spans="1:63" x14ac:dyDescent="0.3">
      <c r="A360" s="8" t="str">
        <f>MID(Tabla4[[#This Row],[Cliente]], SEARCH("_", Tabla4[[#This Row],[Cliente]]) + 1, LEN(Tabla4[[#This Row],[Cliente]]) - SEARCH("_",Tabla4[[#This Row],[Cliente]]))</f>
        <v>827</v>
      </c>
      <c r="B360">
        <f>sala!K359</f>
        <v>358</v>
      </c>
      <c r="C360">
        <f>Tabla4[[#This Row],[Propina]]+Tabla4[[#This Row],[Precio Cena]]</f>
        <v>587</v>
      </c>
      <c r="D360" s="3">
        <f>INT(sala!E359)</f>
        <v>45020</v>
      </c>
      <c r="E360" s="4">
        <f>MOD( sala!D359,1)</f>
        <v>0.10902777777664596</v>
      </c>
      <c r="F360" s="4">
        <f>MOD( sala!E359,1)</f>
        <v>0.24791666666715173</v>
      </c>
      <c r="G360" s="4">
        <f>Tabla5[[#This Row],[Hora de Salida]]-Tabla5[[#This Row],[Hora de Llegada]]+Tabla4[[#This Row],[Tiempo Extra]]</f>
        <v>0.13888888889050577</v>
      </c>
      <c r="H360" s="5" t="str">
        <f>TEXT(Tabla4[[#This Row],[Preparación en horas]]/1440, "h:mm")</f>
        <v>2:32</v>
      </c>
      <c r="I360" s="4">
        <f>IF(Tabla5[[#This Row],[Tiempo Permanencia]]-Tabla5[[#This Row],[Tiempo de Preparación ]]&gt;=0,Tabla5[[#This Row],[Tiempo Permanencia]]-Tabla5[[#This Row],[Tiempo de Preparación ]],0)</f>
        <v>3.3333333334950213E-2</v>
      </c>
      <c r="J360" s="5" t="str">
        <f>IF(Tabla5[[#This Row],[Tiempo de Degustación]]=0,"No Cobrada","Cobrada")</f>
        <v>Cobrada</v>
      </c>
      <c r="K360" s="5" cm="1">
        <f t="array" ref="K360">SUM(IF(Tabla5[[#This Row],[Orden Cobrada]]="Cobrada",IF(Cocina!A:A=Tabla5[[#This Row],[Nº Orden]],Cocina!F:F*Cocina!G:G,0),-Tabla6[[#This Row],[Precio Cena]]))</f>
        <v>166</v>
      </c>
      <c r="L360" s="5">
        <f>IF(Tabla5[[#This Row],[Orden Cobrada]]="Cobrada",Tabla5[[#This Row],[Ganancia Bruta]]-Tabla6[[#This Row],[Coste Cena]],-Tabla6[[#This Row],[Precio Cena]]+Tabla6[[#This Row],[Coste Cena]])</f>
        <v>70</v>
      </c>
      <c r="M360" s="10">
        <f>IF(Tabla5[[#This Row],[Orden Cobrada]]="Cobrada",((Tabla5[[#This Row],[Ganancia Neta]]/Tabla5[[#This Row],[Ganancia Bruta]])*100)/100,-((Tabla5[[#This Row],[Ganancia Neta]]/Tabla5[[#This Row],[Ganancia Bruta]]*100)/100))</f>
        <v>0.42168674698795189</v>
      </c>
      <c r="N360" s="5" t="str">
        <f>sala!F359</f>
        <v>Mesero_5</v>
      </c>
      <c r="AY360" cm="1">
        <f t="array" ref="AY360">SUM(IF(Cocina!A:A=Tabla5[[#This Row],[Nº Orden]],Cocina!F:F*Cocina!G:G,0))</f>
        <v>166</v>
      </c>
      <c r="AZ360" cm="1">
        <f t="array" ref="AZ360">SUM(IF(Cocina!A:A=Tabla5[[#This Row],[Nº Orden]],Cocina!E:E*Cocina!G:G,0))</f>
        <v>96</v>
      </c>
      <c r="BB360" t="str">
        <f>MID(Tabla4[[#This Row],[Cliente]], SEARCH("_", Tabla4[[#This Row],[Cliente]]) + 1, LEN(Tabla4[[#This Row],[Cliente]]) - SEARCH("_",Tabla4[[#This Row],[Cliente]]))</f>
        <v>827</v>
      </c>
      <c r="BC360" t="str">
        <f>sala!B359</f>
        <v>Cliente_827</v>
      </c>
      <c r="BD360" s="1">
        <f>sala!D359</f>
        <v>45020.109027777777</v>
      </c>
      <c r="BE360" s="1">
        <f>sala!E359</f>
        <v>45020.247916666667</v>
      </c>
      <c r="BF360">
        <f>sala!K359</f>
        <v>358</v>
      </c>
      <c r="BG360">
        <f>sala!I359</f>
        <v>421</v>
      </c>
      <c r="BH360" cm="1">
        <f t="array" ref="BH360">SUM(IF(Cocina!A:A=Tabla4[[#This Row],[Número de Orden]],Cocina!F:F*Cocina!G:G,0))</f>
        <v>166</v>
      </c>
      <c r="BI360" t="str">
        <f>sala!J359</f>
        <v>Reservada</v>
      </c>
      <c r="BJ360" s="4" t="str">
        <f>IF(Tabla4[[#This Row],[Estado mesa]]="Ocupada","00:15","00:00")</f>
        <v>00:00</v>
      </c>
      <c r="BK360" cm="1">
        <f t="array" ref="BK360">SUM(IF(Cocina!A:A=Tabla4[[#This Row],[Número de Orden]],Cocina!H:H,0))</f>
        <v>152</v>
      </c>
    </row>
    <row r="361" spans="1:63" x14ac:dyDescent="0.3">
      <c r="A361" s="8" t="str">
        <f>MID(Tabla4[[#This Row],[Cliente]], SEARCH("_", Tabla4[[#This Row],[Cliente]]) + 1, LEN(Tabla4[[#This Row],[Cliente]]) - SEARCH("_",Tabla4[[#This Row],[Cliente]]))</f>
        <v>92</v>
      </c>
      <c r="B361">
        <f>sala!K360</f>
        <v>359</v>
      </c>
      <c r="C361">
        <f>Tabla4[[#This Row],[Propina]]+Tabla4[[#This Row],[Precio Cena]]</f>
        <v>312</v>
      </c>
      <c r="D361" s="3">
        <f>INT(sala!E360)</f>
        <v>45020</v>
      </c>
      <c r="E361" s="4">
        <f>MOD( sala!D360,1)</f>
        <v>2.8472222220443655E-2</v>
      </c>
      <c r="F361" s="4">
        <f>MOD( sala!E360,1)</f>
        <v>0.17361111110949423</v>
      </c>
      <c r="G361" s="4">
        <f>Tabla5[[#This Row],[Hora de Salida]]-Tabla5[[#This Row],[Hora de Llegada]]+Tabla4[[#This Row],[Tiempo Extra]]</f>
        <v>0.14513888888905058</v>
      </c>
      <c r="H361" s="5" t="str">
        <f>TEXT(Tabla4[[#This Row],[Preparación en horas]]/1440, "h:mm")</f>
        <v>2:25</v>
      </c>
      <c r="I361" s="4">
        <f>IF(Tabla5[[#This Row],[Tiempo Permanencia]]-Tabla5[[#This Row],[Tiempo de Preparación ]]&gt;=0,Tabla5[[#This Row],[Tiempo Permanencia]]-Tabla5[[#This Row],[Tiempo de Preparación ]],0)</f>
        <v>4.4444444444606129E-2</v>
      </c>
      <c r="J361" s="5" t="str">
        <f>IF(Tabla5[[#This Row],[Tiempo de Degustación]]=0,"No Cobrada","Cobrada")</f>
        <v>Cobrada</v>
      </c>
      <c r="K361" s="5" cm="1">
        <f t="array" ref="K361">SUM(IF(Tabla5[[#This Row],[Orden Cobrada]]="Cobrada",IF(Cocina!A:A=Tabla5[[#This Row],[Nº Orden]],Cocina!F:F*Cocina!G:G,0),-Tabla6[[#This Row],[Precio Cena]]))</f>
        <v>190</v>
      </c>
      <c r="L361" s="5">
        <f>IF(Tabla5[[#This Row],[Orden Cobrada]]="Cobrada",Tabla5[[#This Row],[Ganancia Bruta]]-Tabla6[[#This Row],[Coste Cena]],-Tabla6[[#This Row],[Precio Cena]]+Tabla6[[#This Row],[Coste Cena]])</f>
        <v>80</v>
      </c>
      <c r="M361" s="10">
        <f>IF(Tabla5[[#This Row],[Orden Cobrada]]="Cobrada",((Tabla5[[#This Row],[Ganancia Neta]]/Tabla5[[#This Row],[Ganancia Bruta]])*100)/100,-((Tabla5[[#This Row],[Ganancia Neta]]/Tabla5[[#This Row],[Ganancia Bruta]]*100)/100))</f>
        <v>0.42105263157894735</v>
      </c>
      <c r="N361" s="5" t="str">
        <f>sala!F360</f>
        <v>Mesero_2</v>
      </c>
      <c r="AY361" cm="1">
        <f t="array" ref="AY361">SUM(IF(Cocina!A:A=Tabla5[[#This Row],[Nº Orden]],Cocina!F:F*Cocina!G:G,0))</f>
        <v>190</v>
      </c>
      <c r="AZ361" cm="1">
        <f t="array" ref="AZ361">SUM(IF(Cocina!A:A=Tabla5[[#This Row],[Nº Orden]],Cocina!E:E*Cocina!G:G,0))</f>
        <v>110</v>
      </c>
      <c r="BB361" t="str">
        <f>MID(Tabla4[[#This Row],[Cliente]], SEARCH("_", Tabla4[[#This Row],[Cliente]]) + 1, LEN(Tabla4[[#This Row],[Cliente]]) - SEARCH("_",Tabla4[[#This Row],[Cliente]]))</f>
        <v>92</v>
      </c>
      <c r="BC361" t="str">
        <f>sala!B360</f>
        <v>Cliente_92</v>
      </c>
      <c r="BD361" s="1">
        <f>sala!D360</f>
        <v>45020.02847222222</v>
      </c>
      <c r="BE361" s="1">
        <f>sala!E360</f>
        <v>45020.173611111109</v>
      </c>
      <c r="BF361">
        <f>sala!K360</f>
        <v>359</v>
      </c>
      <c r="BG361">
        <f>sala!I360</f>
        <v>122</v>
      </c>
      <c r="BH361" cm="1">
        <f t="array" ref="BH361">SUM(IF(Cocina!A:A=Tabla4[[#This Row],[Número de Orden]],Cocina!F:F*Cocina!G:G,0))</f>
        <v>190</v>
      </c>
      <c r="BI361" t="str">
        <f>sala!J360</f>
        <v>Reservada</v>
      </c>
      <c r="BJ361" s="4" t="str">
        <f>IF(Tabla4[[#This Row],[Estado mesa]]="Ocupada","00:15","00:00")</f>
        <v>00:00</v>
      </c>
      <c r="BK361" cm="1">
        <f t="array" ref="BK361">SUM(IF(Cocina!A:A=Tabla4[[#This Row],[Número de Orden]],Cocina!H:H,0))</f>
        <v>145</v>
      </c>
    </row>
    <row r="362" spans="1:63" x14ac:dyDescent="0.3">
      <c r="A362" s="8" t="str">
        <f>MID(Tabla4[[#This Row],[Cliente]], SEARCH("_", Tabla4[[#This Row],[Cliente]]) + 1, LEN(Tabla4[[#This Row],[Cliente]]) - SEARCH("_",Tabla4[[#This Row],[Cliente]]))</f>
        <v>191</v>
      </c>
      <c r="B362">
        <f>sala!K361</f>
        <v>360</v>
      </c>
      <c r="C362">
        <f>Tabla4[[#This Row],[Propina]]+Tabla4[[#This Row],[Precio Cena]]</f>
        <v>4159</v>
      </c>
      <c r="D362" s="3">
        <f>INT(sala!E361)</f>
        <v>45020</v>
      </c>
      <c r="E362" s="4">
        <f>MOD( sala!D361,1)</f>
        <v>4.8611111109494232E-2</v>
      </c>
      <c r="F362" s="4">
        <f>MOD( sala!E361,1)</f>
        <v>0.2069444444423425</v>
      </c>
      <c r="G362" s="4">
        <f>Tabla5[[#This Row],[Hora de Salida]]-Tabla5[[#This Row],[Hora de Llegada]]+Tabla4[[#This Row],[Tiempo Extra]]</f>
        <v>0.16874999999951493</v>
      </c>
      <c r="H362" s="5" t="str">
        <f>TEXT(Tabla4[[#This Row],[Preparación en horas]]/1440, "h:mm")</f>
        <v>2:39</v>
      </c>
      <c r="I362" s="4">
        <f>IF(Tabla5[[#This Row],[Tiempo Permanencia]]-Tabla5[[#This Row],[Tiempo de Preparación ]]&gt;=0,Tabla5[[#This Row],[Tiempo Permanencia]]-Tabla5[[#This Row],[Tiempo de Preparación ]],0)</f>
        <v>5.8333333332848264E-2</v>
      </c>
      <c r="J362" s="5" t="str">
        <f>IF(Tabla5[[#This Row],[Tiempo de Degustación]]=0,"No Cobrada","Cobrada")</f>
        <v>Cobrada</v>
      </c>
      <c r="K362" s="5" cm="1">
        <f t="array" ref="K362">SUM(IF(Tabla5[[#This Row],[Orden Cobrada]]="Cobrada",IF(Cocina!A:A=Tabla5[[#This Row],[Nº Orden]],Cocina!F:F*Cocina!G:G,0),-Tabla6[[#This Row],[Precio Cena]]))</f>
        <v>233</v>
      </c>
      <c r="L362" s="5">
        <f>IF(Tabla5[[#This Row],[Orden Cobrada]]="Cobrada",Tabla5[[#This Row],[Ganancia Bruta]]-Tabla6[[#This Row],[Coste Cena]],-Tabla6[[#This Row],[Precio Cena]]+Tabla6[[#This Row],[Coste Cena]])</f>
        <v>94</v>
      </c>
      <c r="M362" s="10">
        <f>IF(Tabla5[[#This Row],[Orden Cobrada]]="Cobrada",((Tabla5[[#This Row],[Ganancia Neta]]/Tabla5[[#This Row],[Ganancia Bruta]])*100)/100,-((Tabla5[[#This Row],[Ganancia Neta]]/Tabla5[[#This Row],[Ganancia Bruta]]*100)/100))</f>
        <v>0.40343347639484972</v>
      </c>
      <c r="N362" s="5" t="str">
        <f>sala!F361</f>
        <v>Mesero_3</v>
      </c>
      <c r="AY362" cm="1">
        <f t="array" ref="AY362">SUM(IF(Cocina!A:A=Tabla5[[#This Row],[Nº Orden]],Cocina!F:F*Cocina!G:G,0))</f>
        <v>233</v>
      </c>
      <c r="AZ362" cm="1">
        <f t="array" ref="AZ362">SUM(IF(Cocina!A:A=Tabla5[[#This Row],[Nº Orden]],Cocina!E:E*Cocina!G:G,0))</f>
        <v>139</v>
      </c>
      <c r="BB362" t="str">
        <f>MID(Tabla4[[#This Row],[Cliente]], SEARCH("_", Tabla4[[#This Row],[Cliente]]) + 1, LEN(Tabla4[[#This Row],[Cliente]]) - SEARCH("_",Tabla4[[#This Row],[Cliente]]))</f>
        <v>191</v>
      </c>
      <c r="BC362" t="str">
        <f>sala!B361</f>
        <v>Cliente_191</v>
      </c>
      <c r="BD362" s="1">
        <f>sala!D361</f>
        <v>45020.048611111109</v>
      </c>
      <c r="BE362" s="1">
        <f>sala!E361</f>
        <v>45020.206944444442</v>
      </c>
      <c r="BF362">
        <f>sala!K361</f>
        <v>360</v>
      </c>
      <c r="BG362">
        <f>sala!I361</f>
        <v>3926</v>
      </c>
      <c r="BH362" cm="1">
        <f t="array" ref="BH362">SUM(IF(Cocina!A:A=Tabla4[[#This Row],[Número de Orden]],Cocina!F:F*Cocina!G:G,0))</f>
        <v>233</v>
      </c>
      <c r="BI362" t="str">
        <f>sala!J361</f>
        <v>Ocupada</v>
      </c>
      <c r="BJ362" s="4" t="str">
        <f>IF(Tabla4[[#This Row],[Estado mesa]]="Ocupada","00:15","00:00")</f>
        <v>00:15</v>
      </c>
      <c r="BK362" cm="1">
        <f t="array" ref="BK362">SUM(IF(Cocina!A:A=Tabla4[[#This Row],[Número de Orden]],Cocina!H:H,0))</f>
        <v>159</v>
      </c>
    </row>
    <row r="363" spans="1:63" x14ac:dyDescent="0.3">
      <c r="A363" s="8" t="str">
        <f>MID(Tabla4[[#This Row],[Cliente]], SEARCH("_", Tabla4[[#This Row],[Cliente]]) + 1, LEN(Tabla4[[#This Row],[Cliente]]) - SEARCH("_",Tabla4[[#This Row],[Cliente]]))</f>
        <v>183</v>
      </c>
      <c r="B363">
        <f>sala!K362</f>
        <v>361</v>
      </c>
      <c r="C363">
        <f>Tabla4[[#This Row],[Propina]]+Tabla4[[#This Row],[Precio Cena]]</f>
        <v>4274</v>
      </c>
      <c r="D363" s="3">
        <f>INT(sala!E362)</f>
        <v>45020</v>
      </c>
      <c r="E363" s="4">
        <f>MOD( sala!D362,1)</f>
        <v>7.8472222223354038E-2</v>
      </c>
      <c r="F363" s="4">
        <f>MOD( sala!E362,1)</f>
        <v>0.22777777777810115</v>
      </c>
      <c r="G363" s="4">
        <f>Tabla5[[#This Row],[Hora de Salida]]-Tabla5[[#This Row],[Hora de Llegada]]+Tabla4[[#This Row],[Tiempo Extra]]</f>
        <v>0.14930555555474712</v>
      </c>
      <c r="H363" s="5" t="str">
        <f>TEXT(Tabla4[[#This Row],[Preparación en horas]]/1440, "h:mm")</f>
        <v>1:52</v>
      </c>
      <c r="I363" s="4">
        <f>IF(Tabla5[[#This Row],[Tiempo Permanencia]]-Tabla5[[#This Row],[Tiempo de Preparación ]]&gt;=0,Tabla5[[#This Row],[Tiempo Permanencia]]-Tabla5[[#This Row],[Tiempo de Preparación ]],0)</f>
        <v>7.1527777776969337E-2</v>
      </c>
      <c r="J363" s="5" t="str">
        <f>IF(Tabla5[[#This Row],[Tiempo de Degustación]]=0,"No Cobrada","Cobrada")</f>
        <v>Cobrada</v>
      </c>
      <c r="K363" s="5" cm="1">
        <f t="array" ref="K363">SUM(IF(Tabla5[[#This Row],[Orden Cobrada]]="Cobrada",IF(Cocina!A:A=Tabla5[[#This Row],[Nº Orden]],Cocina!F:F*Cocina!G:G,0),-Tabla6[[#This Row],[Precio Cena]]))</f>
        <v>101</v>
      </c>
      <c r="L363" s="5">
        <f>IF(Tabla5[[#This Row],[Orden Cobrada]]="Cobrada",Tabla5[[#This Row],[Ganancia Bruta]]-Tabla6[[#This Row],[Coste Cena]],-Tabla6[[#This Row],[Precio Cena]]+Tabla6[[#This Row],[Coste Cena]])</f>
        <v>42</v>
      </c>
      <c r="M363" s="10">
        <f>IF(Tabla5[[#This Row],[Orden Cobrada]]="Cobrada",((Tabla5[[#This Row],[Ganancia Neta]]/Tabla5[[#This Row],[Ganancia Bruta]])*100)/100,-((Tabla5[[#This Row],[Ganancia Neta]]/Tabla5[[#This Row],[Ganancia Bruta]]*100)/100))</f>
        <v>0.41584158415841588</v>
      </c>
      <c r="N363" s="5" t="str">
        <f>sala!F362</f>
        <v>Mesero_2</v>
      </c>
      <c r="AY363" cm="1">
        <f t="array" ref="AY363">SUM(IF(Cocina!A:A=Tabla5[[#This Row],[Nº Orden]],Cocina!F:F*Cocina!G:G,0))</f>
        <v>101</v>
      </c>
      <c r="AZ363" cm="1">
        <f t="array" ref="AZ363">SUM(IF(Cocina!A:A=Tabla5[[#This Row],[Nº Orden]],Cocina!E:E*Cocina!G:G,0))</f>
        <v>59</v>
      </c>
      <c r="BB363" t="str">
        <f>MID(Tabla4[[#This Row],[Cliente]], SEARCH("_", Tabla4[[#This Row],[Cliente]]) + 1, LEN(Tabla4[[#This Row],[Cliente]]) - SEARCH("_",Tabla4[[#This Row],[Cliente]]))</f>
        <v>183</v>
      </c>
      <c r="BC363" t="str">
        <f>sala!B362</f>
        <v>Cliente_183</v>
      </c>
      <c r="BD363" s="1">
        <f>sala!D362</f>
        <v>45020.078472222223</v>
      </c>
      <c r="BE363" s="1">
        <f>sala!E362</f>
        <v>45020.227777777778</v>
      </c>
      <c r="BF363">
        <f>sala!K362</f>
        <v>361</v>
      </c>
      <c r="BG363">
        <f>sala!I362</f>
        <v>4173</v>
      </c>
      <c r="BH363" cm="1">
        <f t="array" ref="BH363">SUM(IF(Cocina!A:A=Tabla4[[#This Row],[Número de Orden]],Cocina!F:F*Cocina!G:G,0))</f>
        <v>101</v>
      </c>
      <c r="BI363" t="str">
        <f>sala!J362</f>
        <v>Libre</v>
      </c>
      <c r="BJ363" s="4" t="str">
        <f>IF(Tabla4[[#This Row],[Estado mesa]]="Ocupada","00:15","00:00")</f>
        <v>00:00</v>
      </c>
      <c r="BK363" cm="1">
        <f t="array" ref="BK363">SUM(IF(Cocina!A:A=Tabla4[[#This Row],[Número de Orden]],Cocina!H:H,0))</f>
        <v>112</v>
      </c>
    </row>
    <row r="364" spans="1:63" x14ac:dyDescent="0.3">
      <c r="A364" s="8" t="str">
        <f>MID(Tabla4[[#This Row],[Cliente]], SEARCH("_", Tabla4[[#This Row],[Cliente]]) + 1, LEN(Tabla4[[#This Row],[Cliente]]) - SEARCH("_",Tabla4[[#This Row],[Cliente]]))</f>
        <v>681</v>
      </c>
      <c r="B364">
        <f>sala!K363</f>
        <v>362</v>
      </c>
      <c r="C364">
        <f>Tabla4[[#This Row],[Propina]]+Tabla4[[#This Row],[Precio Cena]]</f>
        <v>4783</v>
      </c>
      <c r="D364" s="3">
        <f>INT(sala!E363)</f>
        <v>45020</v>
      </c>
      <c r="E364" s="4">
        <f>MOD( sala!D363,1)</f>
        <v>8.5416666668606922E-2</v>
      </c>
      <c r="F364" s="4">
        <f>MOD( sala!E363,1)</f>
        <v>0.24930555555329192</v>
      </c>
      <c r="G364" s="4">
        <f>Tabla5[[#This Row],[Hora de Salida]]-Tabla5[[#This Row],[Hora de Llegada]]+Tabla4[[#This Row],[Tiempo Extra]]</f>
        <v>0.163888888884685</v>
      </c>
      <c r="H364" s="5" t="str">
        <f>TEXT(Tabla4[[#This Row],[Preparación en horas]]/1440, "h:mm")</f>
        <v>2:03</v>
      </c>
      <c r="I364" s="4">
        <f>IF(Tabla5[[#This Row],[Tiempo Permanencia]]-Tabla5[[#This Row],[Tiempo de Preparación ]]&gt;=0,Tabla5[[#This Row],[Tiempo Permanencia]]-Tabla5[[#This Row],[Tiempo de Preparación ]],0)</f>
        <v>7.8472222218018334E-2</v>
      </c>
      <c r="J364" s="5" t="str">
        <f>IF(Tabla5[[#This Row],[Tiempo de Degustación]]=0,"No Cobrada","Cobrada")</f>
        <v>Cobrada</v>
      </c>
      <c r="K364" s="5" cm="1">
        <f t="array" ref="K364">SUM(IF(Tabla5[[#This Row],[Orden Cobrada]]="Cobrada",IF(Cocina!A:A=Tabla5[[#This Row],[Nº Orden]],Cocina!F:F*Cocina!G:G,0),-Tabla6[[#This Row],[Precio Cena]]))</f>
        <v>62</v>
      </c>
      <c r="L364" s="5">
        <f>IF(Tabla5[[#This Row],[Orden Cobrada]]="Cobrada",Tabla5[[#This Row],[Ganancia Bruta]]-Tabla6[[#This Row],[Coste Cena]],-Tabla6[[#This Row],[Precio Cena]]+Tabla6[[#This Row],[Coste Cena]])</f>
        <v>26</v>
      </c>
      <c r="M364" s="10">
        <f>IF(Tabla5[[#This Row],[Orden Cobrada]]="Cobrada",((Tabla5[[#This Row],[Ganancia Neta]]/Tabla5[[#This Row],[Ganancia Bruta]])*100)/100,-((Tabla5[[#This Row],[Ganancia Neta]]/Tabla5[[#This Row],[Ganancia Bruta]]*100)/100))</f>
        <v>0.41935483870967744</v>
      </c>
      <c r="N364" s="5" t="str">
        <f>sala!F363</f>
        <v>Mesero_1</v>
      </c>
      <c r="AY364" cm="1">
        <f t="array" ref="AY364">SUM(IF(Cocina!A:A=Tabla5[[#This Row],[Nº Orden]],Cocina!F:F*Cocina!G:G,0))</f>
        <v>62</v>
      </c>
      <c r="AZ364" cm="1">
        <f t="array" ref="AZ364">SUM(IF(Cocina!A:A=Tabla5[[#This Row],[Nº Orden]],Cocina!E:E*Cocina!G:G,0))</f>
        <v>36</v>
      </c>
      <c r="BB364" t="str">
        <f>MID(Tabla4[[#This Row],[Cliente]], SEARCH("_", Tabla4[[#This Row],[Cliente]]) + 1, LEN(Tabla4[[#This Row],[Cliente]]) - SEARCH("_",Tabla4[[#This Row],[Cliente]]))</f>
        <v>681</v>
      </c>
      <c r="BC364" t="str">
        <f>sala!B363</f>
        <v>Cliente_681</v>
      </c>
      <c r="BD364" s="1">
        <f>sala!D363</f>
        <v>45020.085416666669</v>
      </c>
      <c r="BE364" s="1">
        <f>sala!E363</f>
        <v>45020.249305555553</v>
      </c>
      <c r="BF364">
        <f>sala!K363</f>
        <v>362</v>
      </c>
      <c r="BG364">
        <f>sala!I363</f>
        <v>4721</v>
      </c>
      <c r="BH364" cm="1">
        <f t="array" ref="BH364">SUM(IF(Cocina!A:A=Tabla4[[#This Row],[Número de Orden]],Cocina!F:F*Cocina!G:G,0))</f>
        <v>62</v>
      </c>
      <c r="BI364" t="str">
        <f>sala!J363</f>
        <v>Libre</v>
      </c>
      <c r="BJ364" s="4" t="str">
        <f>IF(Tabla4[[#This Row],[Estado mesa]]="Ocupada","00:15","00:00")</f>
        <v>00:00</v>
      </c>
      <c r="BK364" cm="1">
        <f t="array" ref="BK364">SUM(IF(Cocina!A:A=Tabla4[[#This Row],[Número de Orden]],Cocina!H:H,0))</f>
        <v>123</v>
      </c>
    </row>
    <row r="365" spans="1:63" x14ac:dyDescent="0.3">
      <c r="A365" s="8" t="str">
        <f>MID(Tabla4[[#This Row],[Cliente]], SEARCH("_", Tabla4[[#This Row],[Cliente]]) + 1, LEN(Tabla4[[#This Row],[Cliente]]) - SEARCH("_",Tabla4[[#This Row],[Cliente]]))</f>
        <v>499</v>
      </c>
      <c r="B365">
        <f>sala!K364</f>
        <v>363</v>
      </c>
      <c r="C365">
        <f>Tabla4[[#This Row],[Propina]]+Tabla4[[#This Row],[Precio Cena]]</f>
        <v>5142</v>
      </c>
      <c r="D365" s="3">
        <f>INT(sala!E364)</f>
        <v>45020</v>
      </c>
      <c r="E365" s="4">
        <f>MOD( sala!D364,1)</f>
        <v>7.3611111110949423E-2</v>
      </c>
      <c r="F365" s="4">
        <f>MOD( sala!E364,1)</f>
        <v>0.14513888888905058</v>
      </c>
      <c r="G365" s="4">
        <f>Tabla5[[#This Row],[Hora de Salida]]-Tabla5[[#This Row],[Hora de Llegada]]+Tabla4[[#This Row],[Tiempo Extra]]</f>
        <v>8.1944444444767825E-2</v>
      </c>
      <c r="H365" s="5" t="str">
        <f>TEXT(Tabla4[[#This Row],[Preparación en horas]]/1440, "h:mm")</f>
        <v>2:29</v>
      </c>
      <c r="I365" s="4">
        <f>IF(Tabla5[[#This Row],[Tiempo Permanencia]]-Tabla5[[#This Row],[Tiempo de Preparación ]]&gt;=0,Tabla5[[#This Row],[Tiempo Permanencia]]-Tabla5[[#This Row],[Tiempo de Preparación ]],0)</f>
        <v>0</v>
      </c>
      <c r="J365" s="5" t="str">
        <f>IF(Tabla5[[#This Row],[Tiempo de Degustación]]=0,"No Cobrada","Cobrada")</f>
        <v>No Cobrada</v>
      </c>
      <c r="K365" s="5" cm="1">
        <f t="array" ref="K365">SUM(IF(Tabla5[[#This Row],[Orden Cobrada]]="Cobrada",IF(Cocina!A:A=Tabla5[[#This Row],[Nº Orden]],Cocina!F:F*Cocina!G:G,0),-Tabla6[[#This Row],[Precio Cena]]))</f>
        <v>-240</v>
      </c>
      <c r="L365" s="5">
        <f>IF(Tabla5[[#This Row],[Orden Cobrada]]="Cobrada",Tabla5[[#This Row],[Ganancia Bruta]]-Tabla6[[#This Row],[Coste Cena]],-Tabla6[[#This Row],[Precio Cena]]+Tabla6[[#This Row],[Coste Cena]])</f>
        <v>-96</v>
      </c>
      <c r="M365" s="10">
        <f>IF(Tabla5[[#This Row],[Orden Cobrada]]="Cobrada",((Tabla5[[#This Row],[Ganancia Neta]]/Tabla5[[#This Row],[Ganancia Bruta]])*100)/100,-((Tabla5[[#This Row],[Ganancia Neta]]/Tabla5[[#This Row],[Ganancia Bruta]]*100)/100))</f>
        <v>-0.4</v>
      </c>
      <c r="N365" s="5" t="str">
        <f>sala!F364</f>
        <v>Mesero_3</v>
      </c>
      <c r="AY365" cm="1">
        <f t="array" ref="AY365">SUM(IF(Cocina!A:A=Tabla5[[#This Row],[Nº Orden]],Cocina!F:F*Cocina!G:G,0))</f>
        <v>240</v>
      </c>
      <c r="AZ365" cm="1">
        <f t="array" ref="AZ365">SUM(IF(Cocina!A:A=Tabla5[[#This Row],[Nº Orden]],Cocina!E:E*Cocina!G:G,0))</f>
        <v>144</v>
      </c>
      <c r="BB365" t="str">
        <f>MID(Tabla4[[#This Row],[Cliente]], SEARCH("_", Tabla4[[#This Row],[Cliente]]) + 1, LEN(Tabla4[[#This Row],[Cliente]]) - SEARCH("_",Tabla4[[#This Row],[Cliente]]))</f>
        <v>499</v>
      </c>
      <c r="BC365" t="str">
        <f>sala!B364</f>
        <v>Cliente_499</v>
      </c>
      <c r="BD365" s="1">
        <f>sala!D364</f>
        <v>45020.073611111111</v>
      </c>
      <c r="BE365" s="1">
        <f>sala!E364</f>
        <v>45020.145138888889</v>
      </c>
      <c r="BF365">
        <f>sala!K364</f>
        <v>363</v>
      </c>
      <c r="BG365">
        <f>sala!I364</f>
        <v>4902</v>
      </c>
      <c r="BH365" cm="1">
        <f t="array" ref="BH365">SUM(IF(Cocina!A:A=Tabla4[[#This Row],[Número de Orden]],Cocina!F:F*Cocina!G:G,0))</f>
        <v>240</v>
      </c>
      <c r="BI365" t="str">
        <f>sala!J364</f>
        <v>Ocupada</v>
      </c>
      <c r="BJ365" s="4" t="str">
        <f>IF(Tabla4[[#This Row],[Estado mesa]]="Ocupada","00:15","00:00")</f>
        <v>00:15</v>
      </c>
      <c r="BK365" cm="1">
        <f t="array" ref="BK365">SUM(IF(Cocina!A:A=Tabla4[[#This Row],[Número de Orden]],Cocina!H:H,0))</f>
        <v>149</v>
      </c>
    </row>
    <row r="366" spans="1:63" x14ac:dyDescent="0.3">
      <c r="A366" s="8" t="str">
        <f>MID(Tabla4[[#This Row],[Cliente]], SEARCH("_", Tabla4[[#This Row],[Cliente]]) + 1, LEN(Tabla4[[#This Row],[Cliente]]) - SEARCH("_",Tabla4[[#This Row],[Cliente]]))</f>
        <v>495</v>
      </c>
      <c r="B366">
        <f>sala!K365</f>
        <v>364</v>
      </c>
      <c r="C366">
        <f>Tabla4[[#This Row],[Propina]]+Tabla4[[#This Row],[Precio Cena]]</f>
        <v>4985</v>
      </c>
      <c r="D366" s="3">
        <f>INT(sala!E365)</f>
        <v>45020</v>
      </c>
      <c r="E366" s="4">
        <f>MOD( sala!D365,1)</f>
        <v>0.15972222221898846</v>
      </c>
      <c r="F366" s="4">
        <f>MOD( sala!E365,1)</f>
        <v>0.29861111110949423</v>
      </c>
      <c r="G366" s="4">
        <f>Tabla5[[#This Row],[Hora de Salida]]-Tabla5[[#This Row],[Hora de Llegada]]+Tabla4[[#This Row],[Tiempo Extra]]</f>
        <v>0.13888888889050577</v>
      </c>
      <c r="H366" s="5" t="str">
        <f>TEXT(Tabla4[[#This Row],[Preparación en horas]]/1440, "h:mm")</f>
        <v>1:52</v>
      </c>
      <c r="I366" s="4">
        <f>IF(Tabla5[[#This Row],[Tiempo Permanencia]]-Tabla5[[#This Row],[Tiempo de Preparación ]]&gt;=0,Tabla5[[#This Row],[Tiempo Permanencia]]-Tabla5[[#This Row],[Tiempo de Preparación ]],0)</f>
        <v>6.1111111112727989E-2</v>
      </c>
      <c r="J366" s="5" t="str">
        <f>IF(Tabla5[[#This Row],[Tiempo de Degustación]]=0,"No Cobrada","Cobrada")</f>
        <v>Cobrada</v>
      </c>
      <c r="K366" s="5" cm="1">
        <f t="array" ref="K366">SUM(IF(Tabla5[[#This Row],[Orden Cobrada]]="Cobrada",IF(Cocina!A:A=Tabla5[[#This Row],[Nº Orden]],Cocina!F:F*Cocina!G:G,0),-Tabla6[[#This Row],[Precio Cena]]))</f>
        <v>157</v>
      </c>
      <c r="L366" s="5">
        <f>IF(Tabla5[[#This Row],[Orden Cobrada]]="Cobrada",Tabla5[[#This Row],[Ganancia Bruta]]-Tabla6[[#This Row],[Coste Cena]],-Tabla6[[#This Row],[Precio Cena]]+Tabla6[[#This Row],[Coste Cena]])</f>
        <v>65</v>
      </c>
      <c r="M366" s="10">
        <f>IF(Tabla5[[#This Row],[Orden Cobrada]]="Cobrada",((Tabla5[[#This Row],[Ganancia Neta]]/Tabla5[[#This Row],[Ganancia Bruta]])*100)/100,-((Tabla5[[#This Row],[Ganancia Neta]]/Tabla5[[#This Row],[Ganancia Bruta]]*100)/100))</f>
        <v>0.4140127388535032</v>
      </c>
      <c r="N366" s="5" t="str">
        <f>sala!F365</f>
        <v>Mesero_5</v>
      </c>
      <c r="AY366" cm="1">
        <f t="array" ref="AY366">SUM(IF(Cocina!A:A=Tabla5[[#This Row],[Nº Orden]],Cocina!F:F*Cocina!G:G,0))</f>
        <v>157</v>
      </c>
      <c r="AZ366" cm="1">
        <f t="array" ref="AZ366">SUM(IF(Cocina!A:A=Tabla5[[#This Row],[Nº Orden]],Cocina!E:E*Cocina!G:G,0))</f>
        <v>92</v>
      </c>
      <c r="BB366" t="str">
        <f>MID(Tabla4[[#This Row],[Cliente]], SEARCH("_", Tabla4[[#This Row],[Cliente]]) + 1, LEN(Tabla4[[#This Row],[Cliente]]) - SEARCH("_",Tabla4[[#This Row],[Cliente]]))</f>
        <v>495</v>
      </c>
      <c r="BC366" t="str">
        <f>sala!B365</f>
        <v>Cliente_495</v>
      </c>
      <c r="BD366" s="1">
        <f>sala!D365</f>
        <v>45020.159722222219</v>
      </c>
      <c r="BE366" s="1">
        <f>sala!E365</f>
        <v>45020.298611111109</v>
      </c>
      <c r="BF366">
        <f>sala!K365</f>
        <v>364</v>
      </c>
      <c r="BG366">
        <f>sala!I365</f>
        <v>4828</v>
      </c>
      <c r="BH366" cm="1">
        <f t="array" ref="BH366">SUM(IF(Cocina!A:A=Tabla4[[#This Row],[Número de Orden]],Cocina!F:F*Cocina!G:G,0))</f>
        <v>157</v>
      </c>
      <c r="BI366" t="str">
        <f>sala!J365</f>
        <v>Reservada</v>
      </c>
      <c r="BJ366" s="4" t="str">
        <f>IF(Tabla4[[#This Row],[Estado mesa]]="Ocupada","00:15","00:00")</f>
        <v>00:00</v>
      </c>
      <c r="BK366" cm="1">
        <f t="array" ref="BK366">SUM(IF(Cocina!A:A=Tabla4[[#This Row],[Número de Orden]],Cocina!H:H,0))</f>
        <v>112</v>
      </c>
    </row>
    <row r="367" spans="1:63" x14ac:dyDescent="0.3">
      <c r="A367" s="8" t="str">
        <f>MID(Tabla4[[#This Row],[Cliente]], SEARCH("_", Tabla4[[#This Row],[Cliente]]) + 1, LEN(Tabla4[[#This Row],[Cliente]]) - SEARCH("_",Tabla4[[#This Row],[Cliente]]))</f>
        <v>54</v>
      </c>
      <c r="B367">
        <f>sala!K366</f>
        <v>365</v>
      </c>
      <c r="C367">
        <f>Tabla4[[#This Row],[Propina]]+Tabla4[[#This Row],[Precio Cena]]</f>
        <v>3605</v>
      </c>
      <c r="D367" s="3">
        <f>INT(sala!E366)</f>
        <v>45020</v>
      </c>
      <c r="E367" s="4">
        <f>MOD( sala!D366,1)</f>
        <v>4.3749999997089617E-2</v>
      </c>
      <c r="F367" s="4">
        <f>MOD( sala!E366,1)</f>
        <v>0.18958333333284827</v>
      </c>
      <c r="G367" s="4">
        <f>Tabla5[[#This Row],[Hora de Salida]]-Tabla5[[#This Row],[Hora de Llegada]]+Tabla4[[#This Row],[Tiempo Extra]]</f>
        <v>0.15625000000242531</v>
      </c>
      <c r="H367" s="5" t="str">
        <f>TEXT(Tabla4[[#This Row],[Preparación en horas]]/1440, "h:mm")</f>
        <v>0:25</v>
      </c>
      <c r="I367" s="4">
        <f>IF(Tabla5[[#This Row],[Tiempo Permanencia]]-Tabla5[[#This Row],[Tiempo de Preparación ]]&gt;=0,Tabla5[[#This Row],[Tiempo Permanencia]]-Tabla5[[#This Row],[Tiempo de Preparación ]],0)</f>
        <v>0.13888888889131421</v>
      </c>
      <c r="J367" s="5" t="str">
        <f>IF(Tabla5[[#This Row],[Tiempo de Degustación]]=0,"No Cobrada","Cobrada")</f>
        <v>Cobrada</v>
      </c>
      <c r="K367" s="5" cm="1">
        <f t="array" ref="K367">SUM(IF(Tabla5[[#This Row],[Orden Cobrada]]="Cobrada",IF(Cocina!A:A=Tabla5[[#This Row],[Nº Orden]],Cocina!F:F*Cocina!G:G,0),-Tabla6[[#This Row],[Precio Cena]]))</f>
        <v>108</v>
      </c>
      <c r="L367" s="5">
        <f>IF(Tabla5[[#This Row],[Orden Cobrada]]="Cobrada",Tabla5[[#This Row],[Ganancia Bruta]]-Tabla6[[#This Row],[Coste Cena]],-Tabla6[[#This Row],[Precio Cena]]+Tabla6[[#This Row],[Coste Cena]])</f>
        <v>42</v>
      </c>
      <c r="M367" s="10">
        <f>IF(Tabla5[[#This Row],[Orden Cobrada]]="Cobrada",((Tabla5[[#This Row],[Ganancia Neta]]/Tabla5[[#This Row],[Ganancia Bruta]])*100)/100,-((Tabla5[[#This Row],[Ganancia Neta]]/Tabla5[[#This Row],[Ganancia Bruta]]*100)/100))</f>
        <v>0.38888888888888895</v>
      </c>
      <c r="N367" s="5" t="str">
        <f>sala!F366</f>
        <v>Mesero_3</v>
      </c>
      <c r="AY367" cm="1">
        <f t="array" ref="AY367">SUM(IF(Cocina!A:A=Tabla5[[#This Row],[Nº Orden]],Cocina!F:F*Cocina!G:G,0))</f>
        <v>108</v>
      </c>
      <c r="AZ367" cm="1">
        <f t="array" ref="AZ367">SUM(IF(Cocina!A:A=Tabla5[[#This Row],[Nº Orden]],Cocina!E:E*Cocina!G:G,0))</f>
        <v>66</v>
      </c>
      <c r="BB367" t="str">
        <f>MID(Tabla4[[#This Row],[Cliente]], SEARCH("_", Tabla4[[#This Row],[Cliente]]) + 1, LEN(Tabla4[[#This Row],[Cliente]]) - SEARCH("_",Tabla4[[#This Row],[Cliente]]))</f>
        <v>54</v>
      </c>
      <c r="BC367" t="str">
        <f>sala!B366</f>
        <v>Cliente_54</v>
      </c>
      <c r="BD367" s="1">
        <f>sala!D366</f>
        <v>45020.043749999997</v>
      </c>
      <c r="BE367" s="1">
        <f>sala!E366</f>
        <v>45020.189583333333</v>
      </c>
      <c r="BF367">
        <f>sala!K366</f>
        <v>365</v>
      </c>
      <c r="BG367">
        <f>sala!I366</f>
        <v>3497</v>
      </c>
      <c r="BH367" cm="1">
        <f t="array" ref="BH367">SUM(IF(Cocina!A:A=Tabla4[[#This Row],[Número de Orden]],Cocina!F:F*Cocina!G:G,0))</f>
        <v>108</v>
      </c>
      <c r="BI367" t="str">
        <f>sala!J366</f>
        <v>Ocupada</v>
      </c>
      <c r="BJ367" s="4" t="str">
        <f>IF(Tabla4[[#This Row],[Estado mesa]]="Ocupada","00:15","00:00")</f>
        <v>00:15</v>
      </c>
      <c r="BK367" cm="1">
        <f t="array" ref="BK367">SUM(IF(Cocina!A:A=Tabla4[[#This Row],[Número de Orden]],Cocina!H:H,0))</f>
        <v>25</v>
      </c>
    </row>
    <row r="368" spans="1:63" x14ac:dyDescent="0.3">
      <c r="A368" s="8" t="str">
        <f>MID(Tabla4[[#This Row],[Cliente]], SEARCH("_", Tabla4[[#This Row],[Cliente]]) + 1, LEN(Tabla4[[#This Row],[Cliente]]) - SEARCH("_",Tabla4[[#This Row],[Cliente]]))</f>
        <v>923</v>
      </c>
      <c r="B368">
        <f>sala!K367</f>
        <v>366</v>
      </c>
      <c r="C368">
        <f>Tabla4[[#This Row],[Propina]]+Tabla4[[#This Row],[Precio Cena]]</f>
        <v>1296</v>
      </c>
      <c r="D368" s="3">
        <f>INT(sala!E367)</f>
        <v>45020</v>
      </c>
      <c r="E368" s="4">
        <f>MOD( sala!D367,1)</f>
        <v>6.4583333332848269E-2</v>
      </c>
      <c r="F368" s="4">
        <f>MOD( sala!E367,1)</f>
        <v>0.19861111111094942</v>
      </c>
      <c r="G368" s="4">
        <f>Tabla5[[#This Row],[Hora de Salida]]-Tabla5[[#This Row],[Hora de Llegada]]+Tabla4[[#This Row],[Tiempo Extra]]</f>
        <v>0.13402777777810115</v>
      </c>
      <c r="H368" s="5" t="str">
        <f>TEXT(Tabla4[[#This Row],[Preparación en horas]]/1440, "h:mm")</f>
        <v>1:30</v>
      </c>
      <c r="I368" s="4">
        <f>IF(Tabla5[[#This Row],[Tiempo Permanencia]]-Tabla5[[#This Row],[Tiempo de Preparación ]]&gt;=0,Tabla5[[#This Row],[Tiempo Permanencia]]-Tabla5[[#This Row],[Tiempo de Preparación ]],0)</f>
        <v>7.1527777778101154E-2</v>
      </c>
      <c r="J368" s="5" t="str">
        <f>IF(Tabla5[[#This Row],[Tiempo de Degustación]]=0,"No Cobrada","Cobrada")</f>
        <v>Cobrada</v>
      </c>
      <c r="K368" s="5" cm="1">
        <f t="array" ref="K368">SUM(IF(Tabla5[[#This Row],[Orden Cobrada]]="Cobrada",IF(Cocina!A:A=Tabla5[[#This Row],[Nº Orden]],Cocina!F:F*Cocina!G:G,0),-Tabla6[[#This Row],[Precio Cena]]))</f>
        <v>239</v>
      </c>
      <c r="L368" s="5">
        <f>IF(Tabla5[[#This Row],[Orden Cobrada]]="Cobrada",Tabla5[[#This Row],[Ganancia Bruta]]-Tabla6[[#This Row],[Coste Cena]],-Tabla6[[#This Row],[Precio Cena]]+Tabla6[[#This Row],[Coste Cena]])</f>
        <v>94</v>
      </c>
      <c r="M368" s="10">
        <f>IF(Tabla5[[#This Row],[Orden Cobrada]]="Cobrada",((Tabla5[[#This Row],[Ganancia Neta]]/Tabla5[[#This Row],[Ganancia Bruta]])*100)/100,-((Tabla5[[#This Row],[Ganancia Neta]]/Tabla5[[#This Row],[Ganancia Bruta]]*100)/100))</f>
        <v>0.39330543933054396</v>
      </c>
      <c r="N368" s="5" t="str">
        <f>sala!F367</f>
        <v>Mesero_3</v>
      </c>
      <c r="AY368" cm="1">
        <f t="array" ref="AY368">SUM(IF(Cocina!A:A=Tabla5[[#This Row],[Nº Orden]],Cocina!F:F*Cocina!G:G,0))</f>
        <v>239</v>
      </c>
      <c r="AZ368" cm="1">
        <f t="array" ref="AZ368">SUM(IF(Cocina!A:A=Tabla5[[#This Row],[Nº Orden]],Cocina!E:E*Cocina!G:G,0))</f>
        <v>145</v>
      </c>
      <c r="BB368" t="str">
        <f>MID(Tabla4[[#This Row],[Cliente]], SEARCH("_", Tabla4[[#This Row],[Cliente]]) + 1, LEN(Tabla4[[#This Row],[Cliente]]) - SEARCH("_",Tabla4[[#This Row],[Cliente]]))</f>
        <v>923</v>
      </c>
      <c r="BC368" t="str">
        <f>sala!B367</f>
        <v>Cliente_923</v>
      </c>
      <c r="BD368" s="1">
        <f>sala!D367</f>
        <v>45020.064583333333</v>
      </c>
      <c r="BE368" s="1">
        <f>sala!E367</f>
        <v>45020.198611111111</v>
      </c>
      <c r="BF368">
        <f>sala!K367</f>
        <v>366</v>
      </c>
      <c r="BG368">
        <f>sala!I367</f>
        <v>1057</v>
      </c>
      <c r="BH368" cm="1">
        <f t="array" ref="BH368">SUM(IF(Cocina!A:A=Tabla4[[#This Row],[Número de Orden]],Cocina!F:F*Cocina!G:G,0))</f>
        <v>239</v>
      </c>
      <c r="BI368" t="str">
        <f>sala!J367</f>
        <v>Reservada</v>
      </c>
      <c r="BJ368" s="4" t="str">
        <f>IF(Tabla4[[#This Row],[Estado mesa]]="Ocupada","00:15","00:00")</f>
        <v>00:00</v>
      </c>
      <c r="BK368" cm="1">
        <f t="array" ref="BK368">SUM(IF(Cocina!A:A=Tabla4[[#This Row],[Número de Orden]],Cocina!H:H,0))</f>
        <v>90</v>
      </c>
    </row>
    <row r="369" spans="1:63" x14ac:dyDescent="0.3">
      <c r="A369" s="8" t="str">
        <f>MID(Tabla4[[#This Row],[Cliente]], SEARCH("_", Tabla4[[#This Row],[Cliente]]) + 1, LEN(Tabla4[[#This Row],[Cliente]]) - SEARCH("_",Tabla4[[#This Row],[Cliente]]))</f>
        <v>453</v>
      </c>
      <c r="B369">
        <f>sala!K368</f>
        <v>367</v>
      </c>
      <c r="C369">
        <f>Tabla4[[#This Row],[Propina]]+Tabla4[[#This Row],[Precio Cena]]</f>
        <v>1363</v>
      </c>
      <c r="D369" s="3">
        <f>INT(sala!E368)</f>
        <v>45020</v>
      </c>
      <c r="E369" s="4">
        <f>MOD( sala!D368,1)</f>
        <v>3.680555555911269E-2</v>
      </c>
      <c r="F369" s="4">
        <f>MOD( sala!E368,1)</f>
        <v>0.15625</v>
      </c>
      <c r="G369" s="4">
        <f>Tabla5[[#This Row],[Hora de Salida]]-Tabla5[[#This Row],[Hora de Llegada]]+Tabla4[[#This Row],[Tiempo Extra]]</f>
        <v>0.11944444444088731</v>
      </c>
      <c r="H369" s="5" t="str">
        <f>TEXT(Tabla4[[#This Row],[Preparación en horas]]/1440, "h:mm")</f>
        <v>1:13</v>
      </c>
      <c r="I369" s="4">
        <f>IF(Tabla5[[#This Row],[Tiempo Permanencia]]-Tabla5[[#This Row],[Tiempo de Preparación ]]&gt;=0,Tabla5[[#This Row],[Tiempo Permanencia]]-Tabla5[[#This Row],[Tiempo de Preparación ]],0)</f>
        <v>6.8749999996442865E-2</v>
      </c>
      <c r="J369" s="5" t="str">
        <f>IF(Tabla5[[#This Row],[Tiempo de Degustación]]=0,"No Cobrada","Cobrada")</f>
        <v>Cobrada</v>
      </c>
      <c r="K369" s="5" cm="1">
        <f t="array" ref="K369">SUM(IF(Tabla5[[#This Row],[Orden Cobrada]]="Cobrada",IF(Cocina!A:A=Tabla5[[#This Row],[Nº Orden]],Cocina!F:F*Cocina!G:G,0),-Tabla6[[#This Row],[Precio Cena]]))</f>
        <v>101</v>
      </c>
      <c r="L369" s="5">
        <f>IF(Tabla5[[#This Row],[Orden Cobrada]]="Cobrada",Tabla5[[#This Row],[Ganancia Bruta]]-Tabla6[[#This Row],[Coste Cena]],-Tabla6[[#This Row],[Precio Cena]]+Tabla6[[#This Row],[Coste Cena]])</f>
        <v>42</v>
      </c>
      <c r="M369" s="10">
        <f>IF(Tabla5[[#This Row],[Orden Cobrada]]="Cobrada",((Tabla5[[#This Row],[Ganancia Neta]]/Tabla5[[#This Row],[Ganancia Bruta]])*100)/100,-((Tabla5[[#This Row],[Ganancia Neta]]/Tabla5[[#This Row],[Ganancia Bruta]]*100)/100))</f>
        <v>0.41584158415841588</v>
      </c>
      <c r="N369" s="5" t="str">
        <f>sala!F368</f>
        <v>Mesero_3</v>
      </c>
      <c r="AY369" cm="1">
        <f t="array" ref="AY369">SUM(IF(Cocina!A:A=Tabla5[[#This Row],[Nº Orden]],Cocina!F:F*Cocina!G:G,0))</f>
        <v>101</v>
      </c>
      <c r="AZ369" cm="1">
        <f t="array" ref="AZ369">SUM(IF(Cocina!A:A=Tabla5[[#This Row],[Nº Orden]],Cocina!E:E*Cocina!G:G,0))</f>
        <v>59</v>
      </c>
      <c r="BB369" t="str">
        <f>MID(Tabla4[[#This Row],[Cliente]], SEARCH("_", Tabla4[[#This Row],[Cliente]]) + 1, LEN(Tabla4[[#This Row],[Cliente]]) - SEARCH("_",Tabla4[[#This Row],[Cliente]]))</f>
        <v>453</v>
      </c>
      <c r="BC369" t="str">
        <f>sala!B368</f>
        <v>Cliente_453</v>
      </c>
      <c r="BD369" s="1">
        <f>sala!D368</f>
        <v>45020.036805555559</v>
      </c>
      <c r="BE369" s="1">
        <f>sala!E368</f>
        <v>45020.15625</v>
      </c>
      <c r="BF369">
        <f>sala!K368</f>
        <v>367</v>
      </c>
      <c r="BG369">
        <f>sala!I368</f>
        <v>1262</v>
      </c>
      <c r="BH369" cm="1">
        <f t="array" ref="BH369">SUM(IF(Cocina!A:A=Tabla4[[#This Row],[Número de Orden]],Cocina!F:F*Cocina!G:G,0))</f>
        <v>101</v>
      </c>
      <c r="BI369" t="str">
        <f>sala!J368</f>
        <v>Libre</v>
      </c>
      <c r="BJ369" s="4" t="str">
        <f>IF(Tabla4[[#This Row],[Estado mesa]]="Ocupada","00:15","00:00")</f>
        <v>00:00</v>
      </c>
      <c r="BK369" cm="1">
        <f t="array" ref="BK369">SUM(IF(Cocina!A:A=Tabla4[[#This Row],[Número de Orden]],Cocina!H:H,0))</f>
        <v>73</v>
      </c>
    </row>
    <row r="370" spans="1:63" x14ac:dyDescent="0.3">
      <c r="A370" s="8" t="str">
        <f>MID(Tabla4[[#This Row],[Cliente]], SEARCH("_", Tabla4[[#This Row],[Cliente]]) + 1, LEN(Tabla4[[#This Row],[Cliente]]) - SEARCH("_",Tabla4[[#This Row],[Cliente]]))</f>
        <v>14</v>
      </c>
      <c r="B370">
        <f>sala!K369</f>
        <v>368</v>
      </c>
      <c r="C370">
        <f>Tabla4[[#This Row],[Propina]]+Tabla4[[#This Row],[Precio Cena]]</f>
        <v>3888</v>
      </c>
      <c r="D370" s="3">
        <f>INT(sala!E369)</f>
        <v>45020</v>
      </c>
      <c r="E370" s="4">
        <f>MOD( sala!D369,1)</f>
        <v>0.14166666667006211</v>
      </c>
      <c r="F370" s="4">
        <f>MOD( sala!E369,1)</f>
        <v>0.23124999999708962</v>
      </c>
      <c r="G370" s="4">
        <f>Tabla5[[#This Row],[Hora de Salida]]-Tabla5[[#This Row],[Hora de Llegada]]+Tabla4[[#This Row],[Tiempo Extra]]</f>
        <v>9.9999999993694175E-2</v>
      </c>
      <c r="H370" s="5" t="str">
        <f>TEXT(Tabla4[[#This Row],[Preparación en horas]]/1440, "h:mm")</f>
        <v>1:25</v>
      </c>
      <c r="I370" s="4">
        <f>IF(Tabla5[[#This Row],[Tiempo Permanencia]]-Tabla5[[#This Row],[Tiempo de Preparación ]]&gt;=0,Tabla5[[#This Row],[Tiempo Permanencia]]-Tabla5[[#This Row],[Tiempo de Preparación ]],0)</f>
        <v>4.0972222215916398E-2</v>
      </c>
      <c r="J370" s="5" t="str">
        <f>IF(Tabla5[[#This Row],[Tiempo de Degustación]]=0,"No Cobrada","Cobrada")</f>
        <v>Cobrada</v>
      </c>
      <c r="K370" s="5" cm="1">
        <f t="array" ref="K370">SUM(IF(Tabla5[[#This Row],[Orden Cobrada]]="Cobrada",IF(Cocina!A:A=Tabla5[[#This Row],[Nº Orden]],Cocina!F:F*Cocina!G:G,0),-Tabla6[[#This Row],[Precio Cena]]))</f>
        <v>123</v>
      </c>
      <c r="L370" s="5">
        <f>IF(Tabla5[[#This Row],[Orden Cobrada]]="Cobrada",Tabla5[[#This Row],[Ganancia Bruta]]-Tabla6[[#This Row],[Coste Cena]],-Tabla6[[#This Row],[Precio Cena]]+Tabla6[[#This Row],[Coste Cena]])</f>
        <v>49</v>
      </c>
      <c r="M370" s="10">
        <f>IF(Tabla5[[#This Row],[Orden Cobrada]]="Cobrada",((Tabla5[[#This Row],[Ganancia Neta]]/Tabla5[[#This Row],[Ganancia Bruta]])*100)/100,-((Tabla5[[#This Row],[Ganancia Neta]]/Tabla5[[#This Row],[Ganancia Bruta]]*100)/100))</f>
        <v>0.3983739837398374</v>
      </c>
      <c r="N370" s="5" t="str">
        <f>sala!F369</f>
        <v>Mesero_1</v>
      </c>
      <c r="AY370" cm="1">
        <f t="array" ref="AY370">SUM(IF(Cocina!A:A=Tabla5[[#This Row],[Nº Orden]],Cocina!F:F*Cocina!G:G,0))</f>
        <v>123</v>
      </c>
      <c r="AZ370" cm="1">
        <f t="array" ref="AZ370">SUM(IF(Cocina!A:A=Tabla5[[#This Row],[Nº Orden]],Cocina!E:E*Cocina!G:G,0))</f>
        <v>74</v>
      </c>
      <c r="BB370" t="str">
        <f>MID(Tabla4[[#This Row],[Cliente]], SEARCH("_", Tabla4[[#This Row],[Cliente]]) + 1, LEN(Tabla4[[#This Row],[Cliente]]) - SEARCH("_",Tabla4[[#This Row],[Cliente]]))</f>
        <v>14</v>
      </c>
      <c r="BC370" t="str">
        <f>sala!B369</f>
        <v>Cliente_14</v>
      </c>
      <c r="BD370" s="1">
        <f>sala!D369</f>
        <v>45020.14166666667</v>
      </c>
      <c r="BE370" s="1">
        <f>sala!E369</f>
        <v>45020.231249999997</v>
      </c>
      <c r="BF370">
        <f>sala!K369</f>
        <v>368</v>
      </c>
      <c r="BG370">
        <f>sala!I369</f>
        <v>3765</v>
      </c>
      <c r="BH370" cm="1">
        <f t="array" ref="BH370">SUM(IF(Cocina!A:A=Tabla4[[#This Row],[Número de Orden]],Cocina!F:F*Cocina!G:G,0))</f>
        <v>123</v>
      </c>
      <c r="BI370" t="str">
        <f>sala!J369</f>
        <v>Ocupada</v>
      </c>
      <c r="BJ370" s="4" t="str">
        <f>IF(Tabla4[[#This Row],[Estado mesa]]="Ocupada","00:15","00:00")</f>
        <v>00:15</v>
      </c>
      <c r="BK370" cm="1">
        <f t="array" ref="BK370">SUM(IF(Cocina!A:A=Tabla4[[#This Row],[Número de Orden]],Cocina!H:H,0))</f>
        <v>85</v>
      </c>
    </row>
    <row r="371" spans="1:63" x14ac:dyDescent="0.3">
      <c r="A371" s="8" t="str">
        <f>MID(Tabla4[[#This Row],[Cliente]], SEARCH("_", Tabla4[[#This Row],[Cliente]]) + 1, LEN(Tabla4[[#This Row],[Cliente]]) - SEARCH("_",Tabla4[[#This Row],[Cliente]]))</f>
        <v>611</v>
      </c>
      <c r="B371">
        <f>sala!K370</f>
        <v>369</v>
      </c>
      <c r="C371">
        <f>Tabla4[[#This Row],[Propina]]+Tabla4[[#This Row],[Precio Cena]]</f>
        <v>3725</v>
      </c>
      <c r="D371" s="3">
        <f>INT(sala!E370)</f>
        <v>45020</v>
      </c>
      <c r="E371" s="4">
        <f>MOD( sala!D370,1)</f>
        <v>9.0972222220443655E-2</v>
      </c>
      <c r="F371" s="4">
        <f>MOD( sala!E370,1)</f>
        <v>0.24583333333430346</v>
      </c>
      <c r="G371" s="4">
        <f>Tabla5[[#This Row],[Hora de Salida]]-Tabla5[[#This Row],[Hora de Llegada]]+Tabla4[[#This Row],[Tiempo Extra]]</f>
        <v>0.15486111111385981</v>
      </c>
      <c r="H371" s="5" t="str">
        <f>TEXT(Tabla4[[#This Row],[Preparación en horas]]/1440, "h:mm")</f>
        <v>0:42</v>
      </c>
      <c r="I371" s="4">
        <f>IF(Tabla5[[#This Row],[Tiempo Permanencia]]-Tabla5[[#This Row],[Tiempo de Preparación ]]&gt;=0,Tabla5[[#This Row],[Tiempo Permanencia]]-Tabla5[[#This Row],[Tiempo de Preparación ]],0)</f>
        <v>0.12569444444719313</v>
      </c>
      <c r="J371" s="5" t="str">
        <f>IF(Tabla5[[#This Row],[Tiempo de Degustación]]=0,"No Cobrada","Cobrada")</f>
        <v>Cobrada</v>
      </c>
      <c r="K371" s="5" cm="1">
        <f t="array" ref="K371">SUM(IF(Tabla5[[#This Row],[Orden Cobrada]]="Cobrada",IF(Cocina!A:A=Tabla5[[#This Row],[Nº Orden]],Cocina!F:F*Cocina!G:G,0),-Tabla6[[#This Row],[Precio Cena]]))</f>
        <v>242</v>
      </c>
      <c r="L371" s="5">
        <f>IF(Tabla5[[#This Row],[Orden Cobrada]]="Cobrada",Tabla5[[#This Row],[Ganancia Bruta]]-Tabla6[[#This Row],[Coste Cena]],-Tabla6[[#This Row],[Precio Cena]]+Tabla6[[#This Row],[Coste Cena]])</f>
        <v>99</v>
      </c>
      <c r="M371" s="10">
        <f>IF(Tabla5[[#This Row],[Orden Cobrada]]="Cobrada",((Tabla5[[#This Row],[Ganancia Neta]]/Tabla5[[#This Row],[Ganancia Bruta]])*100)/100,-((Tabla5[[#This Row],[Ganancia Neta]]/Tabla5[[#This Row],[Ganancia Bruta]]*100)/100))</f>
        <v>0.40909090909090912</v>
      </c>
      <c r="N371" s="5" t="str">
        <f>sala!F370</f>
        <v>Mesero_5</v>
      </c>
      <c r="AY371" cm="1">
        <f t="array" ref="AY371">SUM(IF(Cocina!A:A=Tabla5[[#This Row],[Nº Orden]],Cocina!F:F*Cocina!G:G,0))</f>
        <v>242</v>
      </c>
      <c r="AZ371" cm="1">
        <f t="array" ref="AZ371">SUM(IF(Cocina!A:A=Tabla5[[#This Row],[Nº Orden]],Cocina!E:E*Cocina!G:G,0))</f>
        <v>143</v>
      </c>
      <c r="BB371" t="str">
        <f>MID(Tabla4[[#This Row],[Cliente]], SEARCH("_", Tabla4[[#This Row],[Cliente]]) + 1, LEN(Tabla4[[#This Row],[Cliente]]) - SEARCH("_",Tabla4[[#This Row],[Cliente]]))</f>
        <v>611</v>
      </c>
      <c r="BC371" t="str">
        <f>sala!B370</f>
        <v>Cliente_611</v>
      </c>
      <c r="BD371" s="1">
        <f>sala!D370</f>
        <v>45020.09097222222</v>
      </c>
      <c r="BE371" s="1">
        <f>sala!E370</f>
        <v>45020.245833333334</v>
      </c>
      <c r="BF371">
        <f>sala!K370</f>
        <v>369</v>
      </c>
      <c r="BG371">
        <f>sala!I370</f>
        <v>3483</v>
      </c>
      <c r="BH371" cm="1">
        <f t="array" ref="BH371">SUM(IF(Cocina!A:A=Tabla4[[#This Row],[Número de Orden]],Cocina!F:F*Cocina!G:G,0))</f>
        <v>242</v>
      </c>
      <c r="BI371" t="str">
        <f>sala!J370</f>
        <v>Libre</v>
      </c>
      <c r="BJ371" s="4" t="str">
        <f>IF(Tabla4[[#This Row],[Estado mesa]]="Ocupada","00:15","00:00")</f>
        <v>00:00</v>
      </c>
      <c r="BK371" cm="1">
        <f t="array" ref="BK371">SUM(IF(Cocina!A:A=Tabla4[[#This Row],[Número de Orden]],Cocina!H:H,0))</f>
        <v>42</v>
      </c>
    </row>
    <row r="372" spans="1:63" x14ac:dyDescent="0.3">
      <c r="A372" s="8" t="str">
        <f>MID(Tabla4[[#This Row],[Cliente]], SEARCH("_", Tabla4[[#This Row],[Cliente]]) + 1, LEN(Tabla4[[#This Row],[Cliente]]) - SEARCH("_",Tabla4[[#This Row],[Cliente]]))</f>
        <v>666</v>
      </c>
      <c r="B372">
        <f>sala!K371</f>
        <v>370</v>
      </c>
      <c r="C372">
        <f>Tabla4[[#This Row],[Propina]]+Tabla4[[#This Row],[Precio Cena]]</f>
        <v>4851</v>
      </c>
      <c r="D372" s="3">
        <f>INT(sala!E371)</f>
        <v>45020</v>
      </c>
      <c r="E372" s="4">
        <f>MOD( sala!D371,1)</f>
        <v>9.7222222218988463E-2</v>
      </c>
      <c r="F372" s="4">
        <f>MOD( sala!E371,1)</f>
        <v>0.14097222222335404</v>
      </c>
      <c r="G372" s="4">
        <f>Tabla5[[#This Row],[Hora de Salida]]-Tabla5[[#This Row],[Hora de Llegada]]+Tabla4[[#This Row],[Tiempo Extra]]</f>
        <v>4.3750000004365575E-2</v>
      </c>
      <c r="H372" s="5" t="str">
        <f>TEXT(Tabla4[[#This Row],[Preparación en horas]]/1440, "h:mm")</f>
        <v>0:33</v>
      </c>
      <c r="I372" s="4">
        <f>IF(Tabla5[[#This Row],[Tiempo Permanencia]]-Tabla5[[#This Row],[Tiempo de Preparación ]]&gt;=0,Tabla5[[#This Row],[Tiempo Permanencia]]-Tabla5[[#This Row],[Tiempo de Preparación ]],0)</f>
        <v>2.083333333769891E-2</v>
      </c>
      <c r="J372" s="5" t="str">
        <f>IF(Tabla5[[#This Row],[Tiempo de Degustación]]=0,"No Cobrada","Cobrada")</f>
        <v>Cobrada</v>
      </c>
      <c r="K372" s="5" cm="1">
        <f t="array" ref="K372">SUM(IF(Tabla5[[#This Row],[Orden Cobrada]]="Cobrada",IF(Cocina!A:A=Tabla5[[#This Row],[Nº Orden]],Cocina!F:F*Cocina!G:G,0),-Tabla6[[#This Row],[Precio Cena]]))</f>
        <v>72</v>
      </c>
      <c r="L372" s="5">
        <f>IF(Tabla5[[#This Row],[Orden Cobrada]]="Cobrada",Tabla5[[#This Row],[Ganancia Bruta]]-Tabla6[[#This Row],[Coste Cena]],-Tabla6[[#This Row],[Precio Cena]]+Tabla6[[#This Row],[Coste Cena]])</f>
        <v>28</v>
      </c>
      <c r="M372" s="10">
        <f>IF(Tabla5[[#This Row],[Orden Cobrada]]="Cobrada",((Tabla5[[#This Row],[Ganancia Neta]]/Tabla5[[#This Row],[Ganancia Bruta]])*100)/100,-((Tabla5[[#This Row],[Ganancia Neta]]/Tabla5[[#This Row],[Ganancia Bruta]]*100)/100))</f>
        <v>0.38888888888888895</v>
      </c>
      <c r="N372" s="5" t="str">
        <f>sala!F371</f>
        <v>Mesero_3</v>
      </c>
      <c r="AY372" cm="1">
        <f t="array" ref="AY372">SUM(IF(Cocina!A:A=Tabla5[[#This Row],[Nº Orden]],Cocina!F:F*Cocina!G:G,0))</f>
        <v>72</v>
      </c>
      <c r="AZ372" cm="1">
        <f t="array" ref="AZ372">SUM(IF(Cocina!A:A=Tabla5[[#This Row],[Nº Orden]],Cocina!E:E*Cocina!G:G,0))</f>
        <v>44</v>
      </c>
      <c r="BB372" t="str">
        <f>MID(Tabla4[[#This Row],[Cliente]], SEARCH("_", Tabla4[[#This Row],[Cliente]]) + 1, LEN(Tabla4[[#This Row],[Cliente]]) - SEARCH("_",Tabla4[[#This Row],[Cliente]]))</f>
        <v>666</v>
      </c>
      <c r="BC372" t="str">
        <f>sala!B371</f>
        <v>Cliente_666</v>
      </c>
      <c r="BD372" s="1">
        <f>sala!D371</f>
        <v>45020.097222222219</v>
      </c>
      <c r="BE372" s="1">
        <f>sala!E371</f>
        <v>45020.140972222223</v>
      </c>
      <c r="BF372">
        <f>sala!K371</f>
        <v>370</v>
      </c>
      <c r="BG372">
        <f>sala!I371</f>
        <v>4779</v>
      </c>
      <c r="BH372" cm="1">
        <f t="array" ref="BH372">SUM(IF(Cocina!A:A=Tabla4[[#This Row],[Número de Orden]],Cocina!F:F*Cocina!G:G,0))</f>
        <v>72</v>
      </c>
      <c r="BI372" t="str">
        <f>sala!J371</f>
        <v>Libre</v>
      </c>
      <c r="BJ372" s="4" t="str">
        <f>IF(Tabla4[[#This Row],[Estado mesa]]="Ocupada","00:15","00:00")</f>
        <v>00:00</v>
      </c>
      <c r="BK372" cm="1">
        <f t="array" ref="BK372">SUM(IF(Cocina!A:A=Tabla4[[#This Row],[Número de Orden]],Cocina!H:H,0))</f>
        <v>33</v>
      </c>
    </row>
    <row r="373" spans="1:63" x14ac:dyDescent="0.3">
      <c r="A373" s="8" t="str">
        <f>MID(Tabla4[[#This Row],[Cliente]], SEARCH("_", Tabla4[[#This Row],[Cliente]]) + 1, LEN(Tabla4[[#This Row],[Cliente]]) - SEARCH("_",Tabla4[[#This Row],[Cliente]]))</f>
        <v>505</v>
      </c>
      <c r="B373">
        <f>sala!K372</f>
        <v>371</v>
      </c>
      <c r="C373">
        <f>Tabla4[[#This Row],[Propina]]+Tabla4[[#This Row],[Precio Cena]]</f>
        <v>3451</v>
      </c>
      <c r="D373" s="3">
        <f>INT(sala!E372)</f>
        <v>45020</v>
      </c>
      <c r="E373" s="4">
        <f>MOD( sala!D372,1)</f>
        <v>5.2777777775190771E-2</v>
      </c>
      <c r="F373" s="4">
        <f>MOD( sala!E372,1)</f>
        <v>0.18819444444670808</v>
      </c>
      <c r="G373" s="4">
        <f>Tabla5[[#This Row],[Hora de Salida]]-Tabla5[[#This Row],[Hora de Llegada]]+Tabla4[[#This Row],[Tiempo Extra]]</f>
        <v>0.14583333333818396</v>
      </c>
      <c r="H373" s="5" t="str">
        <f>TEXT(Tabla4[[#This Row],[Preparación en horas]]/1440, "h:mm")</f>
        <v>0:49</v>
      </c>
      <c r="I373" s="4">
        <f>IF(Tabla5[[#This Row],[Tiempo Permanencia]]-Tabla5[[#This Row],[Tiempo de Preparación ]]&gt;=0,Tabla5[[#This Row],[Tiempo Permanencia]]-Tabla5[[#This Row],[Tiempo de Preparación ]],0)</f>
        <v>0.11180555556040619</v>
      </c>
      <c r="J373" s="5" t="str">
        <f>IF(Tabla5[[#This Row],[Tiempo de Degustación]]=0,"No Cobrada","Cobrada")</f>
        <v>Cobrada</v>
      </c>
      <c r="K373" s="5" cm="1">
        <f t="array" ref="K373">SUM(IF(Tabla5[[#This Row],[Orden Cobrada]]="Cobrada",IF(Cocina!A:A=Tabla5[[#This Row],[Nº Orden]],Cocina!F:F*Cocina!G:G,0),-Tabla6[[#This Row],[Precio Cena]]))</f>
        <v>200</v>
      </c>
      <c r="L373" s="5">
        <f>IF(Tabla5[[#This Row],[Orden Cobrada]]="Cobrada",Tabla5[[#This Row],[Ganancia Bruta]]-Tabla6[[#This Row],[Coste Cena]],-Tabla6[[#This Row],[Precio Cena]]+Tabla6[[#This Row],[Coste Cena]])</f>
        <v>80</v>
      </c>
      <c r="M373" s="10">
        <f>IF(Tabla5[[#This Row],[Orden Cobrada]]="Cobrada",((Tabla5[[#This Row],[Ganancia Neta]]/Tabla5[[#This Row],[Ganancia Bruta]])*100)/100,-((Tabla5[[#This Row],[Ganancia Neta]]/Tabla5[[#This Row],[Ganancia Bruta]]*100)/100))</f>
        <v>0.4</v>
      </c>
      <c r="N373" s="5" t="str">
        <f>sala!F372</f>
        <v>Mesero_4</v>
      </c>
      <c r="AY373" cm="1">
        <f t="array" ref="AY373">SUM(IF(Cocina!A:A=Tabla5[[#This Row],[Nº Orden]],Cocina!F:F*Cocina!G:G,0))</f>
        <v>200</v>
      </c>
      <c r="AZ373" cm="1">
        <f t="array" ref="AZ373">SUM(IF(Cocina!A:A=Tabla5[[#This Row],[Nº Orden]],Cocina!E:E*Cocina!G:G,0))</f>
        <v>120</v>
      </c>
      <c r="BB373" t="str">
        <f>MID(Tabla4[[#This Row],[Cliente]], SEARCH("_", Tabla4[[#This Row],[Cliente]]) + 1, LEN(Tabla4[[#This Row],[Cliente]]) - SEARCH("_",Tabla4[[#This Row],[Cliente]]))</f>
        <v>505</v>
      </c>
      <c r="BC373" t="str">
        <f>sala!B372</f>
        <v>Cliente_505</v>
      </c>
      <c r="BD373" s="1">
        <f>sala!D372</f>
        <v>45020.052777777775</v>
      </c>
      <c r="BE373" s="1">
        <f>sala!E372</f>
        <v>45020.188194444447</v>
      </c>
      <c r="BF373">
        <f>sala!K372</f>
        <v>371</v>
      </c>
      <c r="BG373">
        <f>sala!I372</f>
        <v>3251</v>
      </c>
      <c r="BH373" cm="1">
        <f t="array" ref="BH373">SUM(IF(Cocina!A:A=Tabla4[[#This Row],[Número de Orden]],Cocina!F:F*Cocina!G:G,0))</f>
        <v>200</v>
      </c>
      <c r="BI373" t="str">
        <f>sala!J372</f>
        <v>Ocupada</v>
      </c>
      <c r="BJ373" s="4" t="str">
        <f>IF(Tabla4[[#This Row],[Estado mesa]]="Ocupada","00:15","00:00")</f>
        <v>00:15</v>
      </c>
      <c r="BK373" cm="1">
        <f t="array" ref="BK373">SUM(IF(Cocina!A:A=Tabla4[[#This Row],[Número de Orden]],Cocina!H:H,0))</f>
        <v>49</v>
      </c>
    </row>
    <row r="374" spans="1:63" x14ac:dyDescent="0.3">
      <c r="A374" s="8" t="str">
        <f>MID(Tabla4[[#This Row],[Cliente]], SEARCH("_", Tabla4[[#This Row],[Cliente]]) + 1, LEN(Tabla4[[#This Row],[Cliente]]) - SEARCH("_",Tabla4[[#This Row],[Cliente]]))</f>
        <v>858</v>
      </c>
      <c r="B374">
        <f>sala!K373</f>
        <v>372</v>
      </c>
      <c r="C374">
        <f>Tabla4[[#This Row],[Propina]]+Tabla4[[#This Row],[Precio Cena]]</f>
        <v>1753</v>
      </c>
      <c r="D374" s="3">
        <f>INT(sala!E373)</f>
        <v>45020</v>
      </c>
      <c r="E374" s="4">
        <f>MOD( sala!D373,1)</f>
        <v>0.11527777777519077</v>
      </c>
      <c r="F374" s="4">
        <f>MOD( sala!E373,1)</f>
        <v>0.25972222222480923</v>
      </c>
      <c r="G374" s="4">
        <f>Tabla5[[#This Row],[Hora de Salida]]-Tabla5[[#This Row],[Hora de Llegada]]+Tabla4[[#This Row],[Tiempo Extra]]</f>
        <v>0.14444444444961846</v>
      </c>
      <c r="H374" s="5" t="str">
        <f>TEXT(Tabla4[[#This Row],[Preparación en horas]]/1440, "h:mm")</f>
        <v>0:22</v>
      </c>
      <c r="I374" s="4">
        <f>IF(Tabla5[[#This Row],[Tiempo Permanencia]]-Tabla5[[#This Row],[Tiempo de Preparación ]]&gt;=0,Tabla5[[#This Row],[Tiempo Permanencia]]-Tabla5[[#This Row],[Tiempo de Preparación ]],0)</f>
        <v>0.12916666667184068</v>
      </c>
      <c r="J374" s="5" t="str">
        <f>IF(Tabla5[[#This Row],[Tiempo de Degustación]]=0,"No Cobrada","Cobrada")</f>
        <v>Cobrada</v>
      </c>
      <c r="K374" s="5" cm="1">
        <f t="array" ref="K374">SUM(IF(Tabla5[[#This Row],[Orden Cobrada]]="Cobrada",IF(Cocina!A:A=Tabla5[[#This Row],[Nº Orden]],Cocina!F:F*Cocina!G:G,0),-Tabla6[[#This Row],[Precio Cena]]))</f>
        <v>36</v>
      </c>
      <c r="L374" s="5">
        <f>IF(Tabla5[[#This Row],[Orden Cobrada]]="Cobrada",Tabla5[[#This Row],[Ganancia Bruta]]-Tabla6[[#This Row],[Coste Cena]],-Tabla6[[#This Row],[Precio Cena]]+Tabla6[[#This Row],[Coste Cena]])</f>
        <v>16</v>
      </c>
      <c r="M374" s="10">
        <f>IF(Tabla5[[#This Row],[Orden Cobrada]]="Cobrada",((Tabla5[[#This Row],[Ganancia Neta]]/Tabla5[[#This Row],[Ganancia Bruta]])*100)/100,-((Tabla5[[#This Row],[Ganancia Neta]]/Tabla5[[#This Row],[Ganancia Bruta]]*100)/100))</f>
        <v>0.44444444444444442</v>
      </c>
      <c r="N374" s="5" t="str">
        <f>sala!F373</f>
        <v>Mesero_2</v>
      </c>
      <c r="AY374" cm="1">
        <f t="array" ref="AY374">SUM(IF(Cocina!A:A=Tabla5[[#This Row],[Nº Orden]],Cocina!F:F*Cocina!G:G,0))</f>
        <v>36</v>
      </c>
      <c r="AZ374" cm="1">
        <f t="array" ref="AZ374">SUM(IF(Cocina!A:A=Tabla5[[#This Row],[Nº Orden]],Cocina!E:E*Cocina!G:G,0))</f>
        <v>20</v>
      </c>
      <c r="BB374" t="str">
        <f>MID(Tabla4[[#This Row],[Cliente]], SEARCH("_", Tabla4[[#This Row],[Cliente]]) + 1, LEN(Tabla4[[#This Row],[Cliente]]) - SEARCH("_",Tabla4[[#This Row],[Cliente]]))</f>
        <v>858</v>
      </c>
      <c r="BC374" t="str">
        <f>sala!B373</f>
        <v>Cliente_858</v>
      </c>
      <c r="BD374" s="1">
        <f>sala!D373</f>
        <v>45020.115277777775</v>
      </c>
      <c r="BE374" s="1">
        <f>sala!E373</f>
        <v>45020.259722222225</v>
      </c>
      <c r="BF374">
        <f>sala!K373</f>
        <v>372</v>
      </c>
      <c r="BG374">
        <f>sala!I373</f>
        <v>1717</v>
      </c>
      <c r="BH374" cm="1">
        <f t="array" ref="BH374">SUM(IF(Cocina!A:A=Tabla4[[#This Row],[Número de Orden]],Cocina!F:F*Cocina!G:G,0))</f>
        <v>36</v>
      </c>
      <c r="BI374" t="str">
        <f>sala!J373</f>
        <v>Reservada</v>
      </c>
      <c r="BJ374" s="4" t="str">
        <f>IF(Tabla4[[#This Row],[Estado mesa]]="Ocupada","00:15","00:00")</f>
        <v>00:00</v>
      </c>
      <c r="BK374" cm="1">
        <f t="array" ref="BK374">SUM(IF(Cocina!A:A=Tabla4[[#This Row],[Número de Orden]],Cocina!H:H,0))</f>
        <v>22</v>
      </c>
    </row>
    <row r="375" spans="1:63" x14ac:dyDescent="0.3">
      <c r="A375" s="8" t="str">
        <f>MID(Tabla4[[#This Row],[Cliente]], SEARCH("_", Tabla4[[#This Row],[Cliente]]) + 1, LEN(Tabla4[[#This Row],[Cliente]]) - SEARCH("_",Tabla4[[#This Row],[Cliente]]))</f>
        <v>882</v>
      </c>
      <c r="B375">
        <f>sala!K374</f>
        <v>373</v>
      </c>
      <c r="C375">
        <f>Tabla4[[#This Row],[Propina]]+Tabla4[[#This Row],[Precio Cena]]</f>
        <v>2822</v>
      </c>
      <c r="D375" s="3">
        <f>INT(sala!E374)</f>
        <v>45020</v>
      </c>
      <c r="E375" s="4">
        <f>MOD( sala!D374,1)</f>
        <v>2.569444444088731E-2</v>
      </c>
      <c r="F375" s="4">
        <f>MOD( sala!E374,1)</f>
        <v>0.13263888889196096</v>
      </c>
      <c r="G375" s="4">
        <f>Tabla5[[#This Row],[Hora de Salida]]-Tabla5[[#This Row],[Hora de Llegada]]+Tabla4[[#This Row],[Tiempo Extra]]</f>
        <v>0.11736111111774032</v>
      </c>
      <c r="H375" s="5" t="str">
        <f>TEXT(Tabla4[[#This Row],[Preparación en horas]]/1440, "h:mm")</f>
        <v>1:56</v>
      </c>
      <c r="I375" s="4">
        <f>IF(Tabla5[[#This Row],[Tiempo Permanencia]]-Tabla5[[#This Row],[Tiempo de Preparación ]]&gt;=0,Tabla5[[#This Row],[Tiempo Permanencia]]-Tabla5[[#This Row],[Tiempo de Preparación ]],0)</f>
        <v>3.6805555562184761E-2</v>
      </c>
      <c r="J375" s="5" t="str">
        <f>IF(Tabla5[[#This Row],[Tiempo de Degustación]]=0,"No Cobrada","Cobrada")</f>
        <v>Cobrada</v>
      </c>
      <c r="K375" s="5" cm="1">
        <f t="array" ref="K375">SUM(IF(Tabla5[[#This Row],[Orden Cobrada]]="Cobrada",IF(Cocina!A:A=Tabla5[[#This Row],[Nº Orden]],Cocina!F:F*Cocina!G:G,0),-Tabla6[[#This Row],[Precio Cena]]))</f>
        <v>160</v>
      </c>
      <c r="L375" s="5">
        <f>IF(Tabla5[[#This Row],[Orden Cobrada]]="Cobrada",Tabla5[[#This Row],[Ganancia Bruta]]-Tabla6[[#This Row],[Coste Cena]],-Tabla6[[#This Row],[Precio Cena]]+Tabla6[[#This Row],[Coste Cena]])</f>
        <v>64</v>
      </c>
      <c r="M375" s="10">
        <f>IF(Tabla5[[#This Row],[Orden Cobrada]]="Cobrada",((Tabla5[[#This Row],[Ganancia Neta]]/Tabla5[[#This Row],[Ganancia Bruta]])*100)/100,-((Tabla5[[#This Row],[Ganancia Neta]]/Tabla5[[#This Row],[Ganancia Bruta]]*100)/100))</f>
        <v>0.4</v>
      </c>
      <c r="N375" s="5" t="str">
        <f>sala!F374</f>
        <v>Mesero_5</v>
      </c>
      <c r="AY375" cm="1">
        <f t="array" ref="AY375">SUM(IF(Cocina!A:A=Tabla5[[#This Row],[Nº Orden]],Cocina!F:F*Cocina!G:G,0))</f>
        <v>160</v>
      </c>
      <c r="AZ375" cm="1">
        <f t="array" ref="AZ375">SUM(IF(Cocina!A:A=Tabla5[[#This Row],[Nº Orden]],Cocina!E:E*Cocina!G:G,0))</f>
        <v>96</v>
      </c>
      <c r="BB375" t="str">
        <f>MID(Tabla4[[#This Row],[Cliente]], SEARCH("_", Tabla4[[#This Row],[Cliente]]) + 1, LEN(Tabla4[[#This Row],[Cliente]]) - SEARCH("_",Tabla4[[#This Row],[Cliente]]))</f>
        <v>882</v>
      </c>
      <c r="BC375" t="str">
        <f>sala!B374</f>
        <v>Cliente_882</v>
      </c>
      <c r="BD375" s="1">
        <f>sala!D374</f>
        <v>45020.025694444441</v>
      </c>
      <c r="BE375" s="1">
        <f>sala!E374</f>
        <v>45020.132638888892</v>
      </c>
      <c r="BF375">
        <f>sala!K374</f>
        <v>373</v>
      </c>
      <c r="BG375">
        <f>sala!I374</f>
        <v>2662</v>
      </c>
      <c r="BH375" cm="1">
        <f t="array" ref="BH375">SUM(IF(Cocina!A:A=Tabla4[[#This Row],[Número de Orden]],Cocina!F:F*Cocina!G:G,0))</f>
        <v>160</v>
      </c>
      <c r="BI375" t="str">
        <f>sala!J374</f>
        <v>Ocupada</v>
      </c>
      <c r="BJ375" s="4" t="str">
        <f>IF(Tabla4[[#This Row],[Estado mesa]]="Ocupada","00:15","00:00")</f>
        <v>00:15</v>
      </c>
      <c r="BK375" cm="1">
        <f t="array" ref="BK375">SUM(IF(Cocina!A:A=Tabla4[[#This Row],[Número de Orden]],Cocina!H:H,0))</f>
        <v>116</v>
      </c>
    </row>
    <row r="376" spans="1:63" x14ac:dyDescent="0.3">
      <c r="A376" s="8" t="str">
        <f>MID(Tabla4[[#This Row],[Cliente]], SEARCH("_", Tabla4[[#This Row],[Cliente]]) + 1, LEN(Tabla4[[#This Row],[Cliente]]) - SEARCH("_",Tabla4[[#This Row],[Cliente]]))</f>
        <v>275</v>
      </c>
      <c r="B376">
        <f>sala!K375</f>
        <v>374</v>
      </c>
      <c r="C376">
        <f>Tabla4[[#This Row],[Propina]]+Tabla4[[#This Row],[Precio Cena]]</f>
        <v>3370</v>
      </c>
      <c r="D376" s="3">
        <f>INT(sala!E375)</f>
        <v>45020</v>
      </c>
      <c r="E376" s="4">
        <f>MOD( sala!D375,1)</f>
        <v>0.13819444444379769</v>
      </c>
      <c r="F376" s="4">
        <f>MOD( sala!E375,1)</f>
        <v>0.18333333333430346</v>
      </c>
      <c r="G376" s="4">
        <f>Tabla5[[#This Row],[Hora de Salida]]-Tabla5[[#This Row],[Hora de Llegada]]+Tabla4[[#This Row],[Tiempo Extra]]</f>
        <v>4.5138888890505768E-2</v>
      </c>
      <c r="H376" s="5" t="str">
        <f>TEXT(Tabla4[[#This Row],[Preparación en horas]]/1440, "h:mm")</f>
        <v>0:09</v>
      </c>
      <c r="I376" s="4">
        <f>IF(Tabla5[[#This Row],[Tiempo Permanencia]]-Tabla5[[#This Row],[Tiempo de Preparación ]]&gt;=0,Tabla5[[#This Row],[Tiempo Permanencia]]-Tabla5[[#This Row],[Tiempo de Preparación ]],0)</f>
        <v>3.888888889050577E-2</v>
      </c>
      <c r="J376" s="5" t="str">
        <f>IF(Tabla5[[#This Row],[Tiempo de Degustación]]=0,"No Cobrada","Cobrada")</f>
        <v>Cobrada</v>
      </c>
      <c r="K376" s="5" cm="1">
        <f t="array" ref="K376">SUM(IF(Tabla5[[#This Row],[Orden Cobrada]]="Cobrada",IF(Cocina!A:A=Tabla5[[#This Row],[Nº Orden]],Cocina!F:F*Cocina!G:G,0),-Tabla6[[#This Row],[Precio Cena]]))</f>
        <v>35</v>
      </c>
      <c r="L376" s="5">
        <f>IF(Tabla5[[#This Row],[Orden Cobrada]]="Cobrada",Tabla5[[#This Row],[Ganancia Bruta]]-Tabla6[[#This Row],[Coste Cena]],-Tabla6[[#This Row],[Precio Cena]]+Tabla6[[#This Row],[Coste Cena]])</f>
        <v>14</v>
      </c>
      <c r="M376" s="10">
        <f>IF(Tabla5[[#This Row],[Orden Cobrada]]="Cobrada",((Tabla5[[#This Row],[Ganancia Neta]]/Tabla5[[#This Row],[Ganancia Bruta]])*100)/100,-((Tabla5[[#This Row],[Ganancia Neta]]/Tabla5[[#This Row],[Ganancia Bruta]]*100)/100))</f>
        <v>0.4</v>
      </c>
      <c r="N376" s="5" t="str">
        <f>sala!F375</f>
        <v>Mesero_2</v>
      </c>
      <c r="AY376" cm="1">
        <f t="array" ref="AY376">SUM(IF(Cocina!A:A=Tabla5[[#This Row],[Nº Orden]],Cocina!F:F*Cocina!G:G,0))</f>
        <v>35</v>
      </c>
      <c r="AZ376" cm="1">
        <f t="array" ref="AZ376">SUM(IF(Cocina!A:A=Tabla5[[#This Row],[Nº Orden]],Cocina!E:E*Cocina!G:G,0))</f>
        <v>21</v>
      </c>
      <c r="BB376" t="str">
        <f>MID(Tabla4[[#This Row],[Cliente]], SEARCH("_", Tabla4[[#This Row],[Cliente]]) + 1, LEN(Tabla4[[#This Row],[Cliente]]) - SEARCH("_",Tabla4[[#This Row],[Cliente]]))</f>
        <v>275</v>
      </c>
      <c r="BC376" t="str">
        <f>sala!B375</f>
        <v>Cliente_275</v>
      </c>
      <c r="BD376" s="1">
        <f>sala!D375</f>
        <v>45020.138194444444</v>
      </c>
      <c r="BE376" s="1">
        <f>sala!E375</f>
        <v>45020.183333333334</v>
      </c>
      <c r="BF376">
        <f>sala!K375</f>
        <v>374</v>
      </c>
      <c r="BG376">
        <f>sala!I375</f>
        <v>3335</v>
      </c>
      <c r="BH376" cm="1">
        <f t="array" ref="BH376">SUM(IF(Cocina!A:A=Tabla4[[#This Row],[Número de Orden]],Cocina!F:F*Cocina!G:G,0))</f>
        <v>35</v>
      </c>
      <c r="BI376" t="str">
        <f>sala!J375</f>
        <v>Libre</v>
      </c>
      <c r="BJ376" s="4" t="str">
        <f>IF(Tabla4[[#This Row],[Estado mesa]]="Ocupada","00:15","00:00")</f>
        <v>00:00</v>
      </c>
      <c r="BK376" cm="1">
        <f t="array" ref="BK376">SUM(IF(Cocina!A:A=Tabla4[[#This Row],[Número de Orden]],Cocina!H:H,0))</f>
        <v>9</v>
      </c>
    </row>
    <row r="377" spans="1:63" x14ac:dyDescent="0.3">
      <c r="A377" s="8" t="str">
        <f>MID(Tabla4[[#This Row],[Cliente]], SEARCH("_", Tabla4[[#This Row],[Cliente]]) + 1, LEN(Tabla4[[#This Row],[Cliente]]) - SEARCH("_",Tabla4[[#This Row],[Cliente]]))</f>
        <v>871</v>
      </c>
      <c r="B377">
        <f>sala!K376</f>
        <v>375</v>
      </c>
      <c r="C377">
        <f>Tabla4[[#This Row],[Propina]]+Tabla4[[#This Row],[Precio Cena]]</f>
        <v>316</v>
      </c>
      <c r="D377" s="3">
        <f>INT(sala!E376)</f>
        <v>45020</v>
      </c>
      <c r="E377" s="4">
        <f>MOD( sala!D376,1)</f>
        <v>1.1805555557657499E-2</v>
      </c>
      <c r="F377" s="4">
        <f>MOD( sala!E376,1)</f>
        <v>0.13124999999854481</v>
      </c>
      <c r="G377" s="4">
        <f>Tabla5[[#This Row],[Hora de Salida]]-Tabla5[[#This Row],[Hora de Llegada]]+Tabla4[[#This Row],[Tiempo Extra]]</f>
        <v>0.11944444444088731</v>
      </c>
      <c r="H377" s="5" t="str">
        <f>TEXT(Tabla4[[#This Row],[Preparación en horas]]/1440, "h:mm")</f>
        <v>0:27</v>
      </c>
      <c r="I377" s="4">
        <f>IF(Tabla5[[#This Row],[Tiempo Permanencia]]-Tabla5[[#This Row],[Tiempo de Preparación ]]&gt;=0,Tabla5[[#This Row],[Tiempo Permanencia]]-Tabla5[[#This Row],[Tiempo de Preparación ]],0)</f>
        <v>0.10069444444088731</v>
      </c>
      <c r="J377" s="5" t="str">
        <f>IF(Tabla5[[#This Row],[Tiempo de Degustación]]=0,"No Cobrada","Cobrada")</f>
        <v>Cobrada</v>
      </c>
      <c r="K377" s="5" cm="1">
        <f t="array" ref="K377">SUM(IF(Tabla5[[#This Row],[Orden Cobrada]]="Cobrada",IF(Cocina!A:A=Tabla5[[#This Row],[Nº Orden]],Cocina!F:F*Cocina!G:G,0),-Tabla6[[#This Row],[Precio Cena]]))</f>
        <v>93</v>
      </c>
      <c r="L377" s="5">
        <f>IF(Tabla5[[#This Row],[Orden Cobrada]]="Cobrada",Tabla5[[#This Row],[Ganancia Bruta]]-Tabla6[[#This Row],[Coste Cena]],-Tabla6[[#This Row],[Precio Cena]]+Tabla6[[#This Row],[Coste Cena]])</f>
        <v>36</v>
      </c>
      <c r="M377" s="10">
        <f>IF(Tabla5[[#This Row],[Orden Cobrada]]="Cobrada",((Tabla5[[#This Row],[Ganancia Neta]]/Tabla5[[#This Row],[Ganancia Bruta]])*100)/100,-((Tabla5[[#This Row],[Ganancia Neta]]/Tabla5[[#This Row],[Ganancia Bruta]]*100)/100))</f>
        <v>0.38709677419354838</v>
      </c>
      <c r="N377" s="5" t="str">
        <f>sala!F376</f>
        <v>Mesero_3</v>
      </c>
      <c r="AY377" cm="1">
        <f t="array" ref="AY377">SUM(IF(Cocina!A:A=Tabla5[[#This Row],[Nº Orden]],Cocina!F:F*Cocina!G:G,0))</f>
        <v>93</v>
      </c>
      <c r="AZ377" cm="1">
        <f t="array" ref="AZ377">SUM(IF(Cocina!A:A=Tabla5[[#This Row],[Nº Orden]],Cocina!E:E*Cocina!G:G,0))</f>
        <v>57</v>
      </c>
      <c r="BB377" t="str">
        <f>MID(Tabla4[[#This Row],[Cliente]], SEARCH("_", Tabla4[[#This Row],[Cliente]]) + 1, LEN(Tabla4[[#This Row],[Cliente]]) - SEARCH("_",Tabla4[[#This Row],[Cliente]]))</f>
        <v>871</v>
      </c>
      <c r="BC377" t="str">
        <f>sala!B376</f>
        <v>Cliente_871</v>
      </c>
      <c r="BD377" s="1">
        <f>sala!D376</f>
        <v>45020.011805555558</v>
      </c>
      <c r="BE377" s="1">
        <f>sala!E376</f>
        <v>45020.131249999999</v>
      </c>
      <c r="BF377">
        <f>sala!K376</f>
        <v>375</v>
      </c>
      <c r="BG377">
        <f>sala!I376</f>
        <v>223</v>
      </c>
      <c r="BH377" cm="1">
        <f t="array" ref="BH377">SUM(IF(Cocina!A:A=Tabla4[[#This Row],[Número de Orden]],Cocina!F:F*Cocina!G:G,0))</f>
        <v>93</v>
      </c>
      <c r="BI377" t="str">
        <f>sala!J376</f>
        <v>Reservada</v>
      </c>
      <c r="BJ377" s="4" t="str">
        <f>IF(Tabla4[[#This Row],[Estado mesa]]="Ocupada","00:15","00:00")</f>
        <v>00:00</v>
      </c>
      <c r="BK377" cm="1">
        <f t="array" ref="BK377">SUM(IF(Cocina!A:A=Tabla4[[#This Row],[Número de Orden]],Cocina!H:H,0))</f>
        <v>27</v>
      </c>
    </row>
    <row r="378" spans="1:63" x14ac:dyDescent="0.3">
      <c r="A378" s="8" t="str">
        <f>MID(Tabla4[[#This Row],[Cliente]], SEARCH("_", Tabla4[[#This Row],[Cliente]]) + 1, LEN(Tabla4[[#This Row],[Cliente]]) - SEARCH("_",Tabla4[[#This Row],[Cliente]]))</f>
        <v>183</v>
      </c>
      <c r="B378">
        <f>sala!K377</f>
        <v>376</v>
      </c>
      <c r="C378">
        <f>Tabla4[[#This Row],[Propina]]+Tabla4[[#This Row],[Precio Cena]]</f>
        <v>2797</v>
      </c>
      <c r="D378" s="3">
        <f>INT(sala!E377)</f>
        <v>45020</v>
      </c>
      <c r="E378" s="4">
        <f>MOD( sala!D377,1)</f>
        <v>0.12013888888759539</v>
      </c>
      <c r="F378" s="4">
        <f>MOD( sala!E377,1)</f>
        <v>0.21666666666715173</v>
      </c>
      <c r="G378" s="4">
        <f>Tabla5[[#This Row],[Hora de Salida]]-Tabla5[[#This Row],[Hora de Llegada]]+Tabla4[[#This Row],[Tiempo Extra]]</f>
        <v>0.10694444444622302</v>
      </c>
      <c r="H378" s="5" t="str">
        <f>TEXT(Tabla4[[#This Row],[Preparación en horas]]/1440, "h:mm")</f>
        <v>0:05</v>
      </c>
      <c r="I378" s="4">
        <f>IF(Tabla5[[#This Row],[Tiempo Permanencia]]-Tabla5[[#This Row],[Tiempo de Preparación ]]&gt;=0,Tabla5[[#This Row],[Tiempo Permanencia]]-Tabla5[[#This Row],[Tiempo de Preparación ]],0)</f>
        <v>0.10347222222400079</v>
      </c>
      <c r="J378" s="5" t="str">
        <f>IF(Tabla5[[#This Row],[Tiempo de Degustación]]=0,"No Cobrada","Cobrada")</f>
        <v>Cobrada</v>
      </c>
      <c r="K378" s="5" cm="1">
        <f t="array" ref="K378">SUM(IF(Tabla5[[#This Row],[Orden Cobrada]]="Cobrada",IF(Cocina!A:A=Tabla5[[#This Row],[Nº Orden]],Cocina!F:F*Cocina!G:G,0),-Tabla6[[#This Row],[Precio Cena]]))</f>
        <v>46</v>
      </c>
      <c r="L378" s="5">
        <f>IF(Tabla5[[#This Row],[Orden Cobrada]]="Cobrada",Tabla5[[#This Row],[Ganancia Bruta]]-Tabla6[[#This Row],[Coste Cena]],-Tabla6[[#This Row],[Precio Cena]]+Tabla6[[#This Row],[Coste Cena]])</f>
        <v>18</v>
      </c>
      <c r="M378" s="10">
        <f>IF(Tabla5[[#This Row],[Orden Cobrada]]="Cobrada",((Tabla5[[#This Row],[Ganancia Neta]]/Tabla5[[#This Row],[Ganancia Bruta]])*100)/100,-((Tabla5[[#This Row],[Ganancia Neta]]/Tabla5[[#This Row],[Ganancia Bruta]]*100)/100))</f>
        <v>0.39130434782608697</v>
      </c>
      <c r="N378" s="5" t="str">
        <f>sala!F377</f>
        <v>Mesero_1</v>
      </c>
      <c r="AY378" cm="1">
        <f t="array" ref="AY378">SUM(IF(Cocina!A:A=Tabla5[[#This Row],[Nº Orden]],Cocina!F:F*Cocina!G:G,0))</f>
        <v>46</v>
      </c>
      <c r="AZ378" cm="1">
        <f t="array" ref="AZ378">SUM(IF(Cocina!A:A=Tabla5[[#This Row],[Nº Orden]],Cocina!E:E*Cocina!G:G,0))</f>
        <v>28</v>
      </c>
      <c r="BB378" t="str">
        <f>MID(Tabla4[[#This Row],[Cliente]], SEARCH("_", Tabla4[[#This Row],[Cliente]]) + 1, LEN(Tabla4[[#This Row],[Cliente]]) - SEARCH("_",Tabla4[[#This Row],[Cliente]]))</f>
        <v>183</v>
      </c>
      <c r="BC378" t="str">
        <f>sala!B377</f>
        <v>Cliente_183</v>
      </c>
      <c r="BD378" s="1">
        <f>sala!D377</f>
        <v>45020.120138888888</v>
      </c>
      <c r="BE378" s="1">
        <f>sala!E377</f>
        <v>45020.216666666667</v>
      </c>
      <c r="BF378">
        <f>sala!K377</f>
        <v>376</v>
      </c>
      <c r="BG378">
        <f>sala!I377</f>
        <v>2751</v>
      </c>
      <c r="BH378" cm="1">
        <f t="array" ref="BH378">SUM(IF(Cocina!A:A=Tabla4[[#This Row],[Número de Orden]],Cocina!F:F*Cocina!G:G,0))</f>
        <v>46</v>
      </c>
      <c r="BI378" t="str">
        <f>sala!J377</f>
        <v>Ocupada</v>
      </c>
      <c r="BJ378" s="4" t="str">
        <f>IF(Tabla4[[#This Row],[Estado mesa]]="Ocupada","00:15","00:00")</f>
        <v>00:15</v>
      </c>
      <c r="BK378" cm="1">
        <f t="array" ref="BK378">SUM(IF(Cocina!A:A=Tabla4[[#This Row],[Número de Orden]],Cocina!H:H,0))</f>
        <v>5</v>
      </c>
    </row>
    <row r="379" spans="1:63" x14ac:dyDescent="0.3">
      <c r="A379" s="8" t="str">
        <f>MID(Tabla4[[#This Row],[Cliente]], SEARCH("_", Tabla4[[#This Row],[Cliente]]) + 1, LEN(Tabla4[[#This Row],[Cliente]]) - SEARCH("_",Tabla4[[#This Row],[Cliente]]))</f>
        <v>841</v>
      </c>
      <c r="B379">
        <f>sala!K378</f>
        <v>377</v>
      </c>
      <c r="C379">
        <f>Tabla4[[#This Row],[Propina]]+Tabla4[[#This Row],[Precio Cena]]</f>
        <v>1596</v>
      </c>
      <c r="D379" s="3">
        <f>INT(sala!E378)</f>
        <v>45020</v>
      </c>
      <c r="E379" s="4">
        <f>MOD( sala!D378,1)</f>
        <v>5.4166666668606922E-2</v>
      </c>
      <c r="F379" s="4">
        <f>MOD( sala!E378,1)</f>
        <v>0.19861111111094942</v>
      </c>
      <c r="G379" s="4">
        <f>Tabla5[[#This Row],[Hora de Salida]]-Tabla5[[#This Row],[Hora de Llegada]]+Tabla4[[#This Row],[Tiempo Extra]]</f>
        <v>0.1444444444423425</v>
      </c>
      <c r="H379" s="5" t="str">
        <f>TEXT(Tabla4[[#This Row],[Preparación en horas]]/1440, "h:mm")</f>
        <v>0:46</v>
      </c>
      <c r="I379" s="4">
        <f>IF(Tabla5[[#This Row],[Tiempo Permanencia]]-Tabla5[[#This Row],[Tiempo de Preparación ]]&gt;=0,Tabla5[[#This Row],[Tiempo Permanencia]]-Tabla5[[#This Row],[Tiempo de Preparación ]],0)</f>
        <v>0.11249999999789806</v>
      </c>
      <c r="J379" s="5" t="str">
        <f>IF(Tabla5[[#This Row],[Tiempo de Degustación]]=0,"No Cobrada","Cobrada")</f>
        <v>Cobrada</v>
      </c>
      <c r="K379" s="5" cm="1">
        <f t="array" ref="K379">SUM(IF(Tabla5[[#This Row],[Orden Cobrada]]="Cobrada",IF(Cocina!A:A=Tabla5[[#This Row],[Nº Orden]],Cocina!F:F*Cocina!G:G,0),-Tabla6[[#This Row],[Precio Cena]]))</f>
        <v>100</v>
      </c>
      <c r="L379" s="5">
        <f>IF(Tabla5[[#This Row],[Orden Cobrada]]="Cobrada",Tabla5[[#This Row],[Ganancia Bruta]]-Tabla6[[#This Row],[Coste Cena]],-Tabla6[[#This Row],[Precio Cena]]+Tabla6[[#This Row],[Coste Cena]])</f>
        <v>41</v>
      </c>
      <c r="M379" s="10">
        <f>IF(Tabla5[[#This Row],[Orden Cobrada]]="Cobrada",((Tabla5[[#This Row],[Ganancia Neta]]/Tabla5[[#This Row],[Ganancia Bruta]])*100)/100,-((Tabla5[[#This Row],[Ganancia Neta]]/Tabla5[[#This Row],[Ganancia Bruta]]*100)/100))</f>
        <v>0.41</v>
      </c>
      <c r="N379" s="5" t="str">
        <f>sala!F378</f>
        <v>Mesero_4</v>
      </c>
      <c r="AY379" cm="1">
        <f t="array" ref="AY379">SUM(IF(Cocina!A:A=Tabla5[[#This Row],[Nº Orden]],Cocina!F:F*Cocina!G:G,0))</f>
        <v>100</v>
      </c>
      <c r="AZ379" cm="1">
        <f t="array" ref="AZ379">SUM(IF(Cocina!A:A=Tabla5[[#This Row],[Nº Orden]],Cocina!E:E*Cocina!G:G,0))</f>
        <v>59</v>
      </c>
      <c r="BB379" t="str">
        <f>MID(Tabla4[[#This Row],[Cliente]], SEARCH("_", Tabla4[[#This Row],[Cliente]]) + 1, LEN(Tabla4[[#This Row],[Cliente]]) - SEARCH("_",Tabla4[[#This Row],[Cliente]]))</f>
        <v>841</v>
      </c>
      <c r="BC379" t="str">
        <f>sala!B378</f>
        <v>Cliente_841</v>
      </c>
      <c r="BD379" s="1">
        <f>sala!D378</f>
        <v>45020.054166666669</v>
      </c>
      <c r="BE379" s="1">
        <f>sala!E378</f>
        <v>45020.198611111111</v>
      </c>
      <c r="BF379">
        <f>sala!K378</f>
        <v>377</v>
      </c>
      <c r="BG379">
        <f>sala!I378</f>
        <v>1496</v>
      </c>
      <c r="BH379" cm="1">
        <f t="array" ref="BH379">SUM(IF(Cocina!A:A=Tabla4[[#This Row],[Número de Orden]],Cocina!F:F*Cocina!G:G,0))</f>
        <v>100</v>
      </c>
      <c r="BI379" t="str">
        <f>sala!J378</f>
        <v>Libre</v>
      </c>
      <c r="BJ379" s="4" t="str">
        <f>IF(Tabla4[[#This Row],[Estado mesa]]="Ocupada","00:15","00:00")</f>
        <v>00:00</v>
      </c>
      <c r="BK379" cm="1">
        <f t="array" ref="BK379">SUM(IF(Cocina!A:A=Tabla4[[#This Row],[Número de Orden]],Cocina!H:H,0))</f>
        <v>46</v>
      </c>
    </row>
    <row r="380" spans="1:63" x14ac:dyDescent="0.3">
      <c r="A380" s="8" t="str">
        <f>MID(Tabla4[[#This Row],[Cliente]], SEARCH("_", Tabla4[[#This Row],[Cliente]]) + 1, LEN(Tabla4[[#This Row],[Cliente]]) - SEARCH("_",Tabla4[[#This Row],[Cliente]]))</f>
        <v>789</v>
      </c>
      <c r="B380">
        <f>sala!K379</f>
        <v>378</v>
      </c>
      <c r="C380">
        <f>Tabla4[[#This Row],[Propina]]+Tabla4[[#This Row],[Precio Cena]]</f>
        <v>4080</v>
      </c>
      <c r="D380" s="3">
        <f>INT(sala!E379)</f>
        <v>45020</v>
      </c>
      <c r="E380" s="4">
        <f>MOD( sala!D379,1)</f>
        <v>0.16319444444525288</v>
      </c>
      <c r="F380" s="4">
        <f>MOD( sala!E379,1)</f>
        <v>0.22083333333284827</v>
      </c>
      <c r="G380" s="4">
        <f>Tabla5[[#This Row],[Hora de Salida]]-Tabla5[[#This Row],[Hora de Llegada]]+Tabla4[[#This Row],[Tiempo Extra]]</f>
        <v>5.7638888887595385E-2</v>
      </c>
      <c r="H380" s="5" t="str">
        <f>TEXT(Tabla4[[#This Row],[Preparación en horas]]/1440, "h:mm")</f>
        <v>0:21</v>
      </c>
      <c r="I380" s="4">
        <f>IF(Tabla5[[#This Row],[Tiempo Permanencia]]-Tabla5[[#This Row],[Tiempo de Preparación ]]&gt;=0,Tabla5[[#This Row],[Tiempo Permanencia]]-Tabla5[[#This Row],[Tiempo de Preparación ]],0)</f>
        <v>4.3055555554262048E-2</v>
      </c>
      <c r="J380" s="5" t="str">
        <f>IF(Tabla5[[#This Row],[Tiempo de Degustación]]=0,"No Cobrada","Cobrada")</f>
        <v>Cobrada</v>
      </c>
      <c r="K380" s="5" cm="1">
        <f t="array" ref="K380">SUM(IF(Tabla5[[#This Row],[Orden Cobrada]]="Cobrada",IF(Cocina!A:A=Tabla5[[#This Row],[Nº Orden]],Cocina!F:F*Cocina!G:G,0),-Tabla6[[#This Row],[Precio Cena]]))</f>
        <v>49</v>
      </c>
      <c r="L380" s="5">
        <f>IF(Tabla5[[#This Row],[Orden Cobrada]]="Cobrada",Tabla5[[#This Row],[Ganancia Bruta]]-Tabla6[[#This Row],[Coste Cena]],-Tabla6[[#This Row],[Precio Cena]]+Tabla6[[#This Row],[Coste Cena]])</f>
        <v>20</v>
      </c>
      <c r="M380" s="10">
        <f>IF(Tabla5[[#This Row],[Orden Cobrada]]="Cobrada",((Tabla5[[#This Row],[Ganancia Neta]]/Tabla5[[#This Row],[Ganancia Bruta]])*100)/100,-((Tabla5[[#This Row],[Ganancia Neta]]/Tabla5[[#This Row],[Ganancia Bruta]]*100)/100))</f>
        <v>0.40816326530612246</v>
      </c>
      <c r="N380" s="5" t="str">
        <f>sala!F379</f>
        <v>Mesero_1</v>
      </c>
      <c r="AY380" cm="1">
        <f t="array" ref="AY380">SUM(IF(Cocina!A:A=Tabla5[[#This Row],[Nº Orden]],Cocina!F:F*Cocina!G:G,0))</f>
        <v>49</v>
      </c>
      <c r="AZ380" cm="1">
        <f t="array" ref="AZ380">SUM(IF(Cocina!A:A=Tabla5[[#This Row],[Nº Orden]],Cocina!E:E*Cocina!G:G,0))</f>
        <v>29</v>
      </c>
      <c r="BB380" t="str">
        <f>MID(Tabla4[[#This Row],[Cliente]], SEARCH("_", Tabla4[[#This Row],[Cliente]]) + 1, LEN(Tabla4[[#This Row],[Cliente]]) - SEARCH("_",Tabla4[[#This Row],[Cliente]]))</f>
        <v>789</v>
      </c>
      <c r="BC380" t="str">
        <f>sala!B379</f>
        <v>Cliente_789</v>
      </c>
      <c r="BD380" s="1">
        <f>sala!D379</f>
        <v>45020.163194444445</v>
      </c>
      <c r="BE380" s="1">
        <f>sala!E379</f>
        <v>45020.220833333333</v>
      </c>
      <c r="BF380">
        <f>sala!K379</f>
        <v>378</v>
      </c>
      <c r="BG380">
        <f>sala!I379</f>
        <v>4031</v>
      </c>
      <c r="BH380" cm="1">
        <f t="array" ref="BH380">SUM(IF(Cocina!A:A=Tabla4[[#This Row],[Número de Orden]],Cocina!F:F*Cocina!G:G,0))</f>
        <v>49</v>
      </c>
      <c r="BI380" t="str">
        <f>sala!J379</f>
        <v>Libre</v>
      </c>
      <c r="BJ380" s="4" t="str">
        <f>IF(Tabla4[[#This Row],[Estado mesa]]="Ocupada","00:15","00:00")</f>
        <v>00:00</v>
      </c>
      <c r="BK380" cm="1">
        <f t="array" ref="BK380">SUM(IF(Cocina!A:A=Tabla4[[#This Row],[Número de Orden]],Cocina!H:H,0))</f>
        <v>21</v>
      </c>
    </row>
    <row r="381" spans="1:63" x14ac:dyDescent="0.3">
      <c r="A381" s="8" t="str">
        <f>MID(Tabla4[[#This Row],[Cliente]], SEARCH("_", Tabla4[[#This Row],[Cliente]]) + 1, LEN(Tabla4[[#This Row],[Cliente]]) - SEARCH("_",Tabla4[[#This Row],[Cliente]]))</f>
        <v>442</v>
      </c>
      <c r="B381">
        <f>sala!K380</f>
        <v>379</v>
      </c>
      <c r="C381">
        <f>Tabla4[[#This Row],[Propina]]+Tabla4[[#This Row],[Precio Cena]]</f>
        <v>1131</v>
      </c>
      <c r="D381" s="3">
        <f>INT(sala!E380)</f>
        <v>45020</v>
      </c>
      <c r="E381" s="4">
        <f>MOD( sala!D380,1)</f>
        <v>6.3194444446708076E-2</v>
      </c>
      <c r="F381" s="4">
        <f>MOD( sala!E380,1)</f>
        <v>0.16458333333139308</v>
      </c>
      <c r="G381" s="4">
        <f>Tabla5[[#This Row],[Hora de Salida]]-Tabla5[[#This Row],[Hora de Llegada]]+Tabla4[[#This Row],[Tiempo Extra]]</f>
        <v>0.11180555555135167</v>
      </c>
      <c r="H381" s="5" t="str">
        <f>TEXT(Tabla4[[#This Row],[Preparación en horas]]/1440, "h:mm")</f>
        <v>0:06</v>
      </c>
      <c r="I381" s="4">
        <f>IF(Tabla5[[#This Row],[Tiempo Permanencia]]-Tabla5[[#This Row],[Tiempo de Preparación ]]&gt;=0,Tabla5[[#This Row],[Tiempo Permanencia]]-Tabla5[[#This Row],[Tiempo de Preparación ]],0)</f>
        <v>0.10763888888468501</v>
      </c>
      <c r="J381" s="5" t="str">
        <f>IF(Tabla5[[#This Row],[Tiempo de Degustación]]=0,"No Cobrada","Cobrada")</f>
        <v>Cobrada</v>
      </c>
      <c r="K381" s="5" cm="1">
        <f t="array" ref="K381">SUM(IF(Tabla5[[#This Row],[Orden Cobrada]]="Cobrada",IF(Cocina!A:A=Tabla5[[#This Row],[Nº Orden]],Cocina!F:F*Cocina!G:G,0),-Tabla6[[#This Row],[Precio Cena]]))</f>
        <v>70</v>
      </c>
      <c r="L381" s="5">
        <f>IF(Tabla5[[#This Row],[Orden Cobrada]]="Cobrada",Tabla5[[#This Row],[Ganancia Bruta]]-Tabla6[[#This Row],[Coste Cena]],-Tabla6[[#This Row],[Precio Cena]]+Tabla6[[#This Row],[Coste Cena]])</f>
        <v>28</v>
      </c>
      <c r="M381" s="10">
        <f>IF(Tabla5[[#This Row],[Orden Cobrada]]="Cobrada",((Tabla5[[#This Row],[Ganancia Neta]]/Tabla5[[#This Row],[Ganancia Bruta]])*100)/100,-((Tabla5[[#This Row],[Ganancia Neta]]/Tabla5[[#This Row],[Ganancia Bruta]]*100)/100))</f>
        <v>0.4</v>
      </c>
      <c r="N381" s="5" t="str">
        <f>sala!F380</f>
        <v>Mesero_3</v>
      </c>
      <c r="AY381" cm="1">
        <f t="array" ref="AY381">SUM(IF(Cocina!A:A=Tabla5[[#This Row],[Nº Orden]],Cocina!F:F*Cocina!G:G,0))</f>
        <v>70</v>
      </c>
      <c r="AZ381" cm="1">
        <f t="array" ref="AZ381">SUM(IF(Cocina!A:A=Tabla5[[#This Row],[Nº Orden]],Cocina!E:E*Cocina!G:G,0))</f>
        <v>42</v>
      </c>
      <c r="BB381" t="str">
        <f>MID(Tabla4[[#This Row],[Cliente]], SEARCH("_", Tabla4[[#This Row],[Cliente]]) + 1, LEN(Tabla4[[#This Row],[Cliente]]) - SEARCH("_",Tabla4[[#This Row],[Cliente]]))</f>
        <v>442</v>
      </c>
      <c r="BC381" t="str">
        <f>sala!B380</f>
        <v>Cliente_442</v>
      </c>
      <c r="BD381" s="1">
        <f>sala!D380</f>
        <v>45020.063194444447</v>
      </c>
      <c r="BE381" s="1">
        <f>sala!E380</f>
        <v>45020.164583333331</v>
      </c>
      <c r="BF381">
        <f>sala!K380</f>
        <v>379</v>
      </c>
      <c r="BG381">
        <f>sala!I380</f>
        <v>1061</v>
      </c>
      <c r="BH381" cm="1">
        <f t="array" ref="BH381">SUM(IF(Cocina!A:A=Tabla4[[#This Row],[Número de Orden]],Cocina!F:F*Cocina!G:G,0))</f>
        <v>70</v>
      </c>
      <c r="BI381" t="str">
        <f>sala!J380</f>
        <v>Ocupada</v>
      </c>
      <c r="BJ381" s="4" t="str">
        <f>IF(Tabla4[[#This Row],[Estado mesa]]="Ocupada","00:15","00:00")</f>
        <v>00:15</v>
      </c>
      <c r="BK381" cm="1">
        <f t="array" ref="BK381">SUM(IF(Cocina!A:A=Tabla4[[#This Row],[Número de Orden]],Cocina!H:H,0))</f>
        <v>6</v>
      </c>
    </row>
    <row r="382" spans="1:63" x14ac:dyDescent="0.3">
      <c r="A382" s="8" t="str">
        <f>MID(Tabla4[[#This Row],[Cliente]], SEARCH("_", Tabla4[[#This Row],[Cliente]]) + 1, LEN(Tabla4[[#This Row],[Cliente]]) - SEARCH("_",Tabla4[[#This Row],[Cliente]]))</f>
        <v>964</v>
      </c>
      <c r="B382">
        <f>sala!K381</f>
        <v>380</v>
      </c>
      <c r="C382">
        <f>Tabla4[[#This Row],[Propina]]+Tabla4[[#This Row],[Precio Cena]]</f>
        <v>2390</v>
      </c>
      <c r="D382" s="3">
        <f>INT(sala!E381)</f>
        <v>45020</v>
      </c>
      <c r="E382" s="4">
        <f>MOD( sala!D381,1)</f>
        <v>4.0277777778101154E-2</v>
      </c>
      <c r="F382" s="4">
        <f>MOD( sala!E381,1)</f>
        <v>0.18958333333284827</v>
      </c>
      <c r="G382" s="4">
        <f>Tabla5[[#This Row],[Hora de Salida]]-Tabla5[[#This Row],[Hora de Llegada]]+Tabla4[[#This Row],[Tiempo Extra]]</f>
        <v>0.14930555555474712</v>
      </c>
      <c r="H382" s="5" t="str">
        <f>TEXT(Tabla4[[#This Row],[Preparación en horas]]/1440, "h:mm")</f>
        <v>1:33</v>
      </c>
      <c r="I382" s="4">
        <f>IF(Tabla5[[#This Row],[Tiempo Permanencia]]-Tabla5[[#This Row],[Tiempo de Preparación ]]&gt;=0,Tabla5[[#This Row],[Tiempo Permanencia]]-Tabla5[[#This Row],[Tiempo de Preparación ]],0)</f>
        <v>8.4722222221413776E-2</v>
      </c>
      <c r="J382" s="5" t="str">
        <f>IF(Tabla5[[#This Row],[Tiempo de Degustación]]=0,"No Cobrada","Cobrada")</f>
        <v>Cobrada</v>
      </c>
      <c r="K382" s="5" cm="1">
        <f t="array" ref="K382">SUM(IF(Tabla5[[#This Row],[Orden Cobrada]]="Cobrada",IF(Cocina!A:A=Tabla5[[#This Row],[Nº Orden]],Cocina!F:F*Cocina!G:G,0),-Tabla6[[#This Row],[Precio Cena]]))</f>
        <v>137</v>
      </c>
      <c r="L382" s="5">
        <f>IF(Tabla5[[#This Row],[Orden Cobrada]]="Cobrada",Tabla5[[#This Row],[Ganancia Bruta]]-Tabla6[[#This Row],[Coste Cena]],-Tabla6[[#This Row],[Precio Cena]]+Tabla6[[#This Row],[Coste Cena]])</f>
        <v>55</v>
      </c>
      <c r="M382" s="10">
        <f>IF(Tabla5[[#This Row],[Orden Cobrada]]="Cobrada",((Tabla5[[#This Row],[Ganancia Neta]]/Tabla5[[#This Row],[Ganancia Bruta]])*100)/100,-((Tabla5[[#This Row],[Ganancia Neta]]/Tabla5[[#This Row],[Ganancia Bruta]]*100)/100))</f>
        <v>0.40145985401459855</v>
      </c>
      <c r="N382" s="5" t="str">
        <f>sala!F381</f>
        <v>Mesero_3</v>
      </c>
      <c r="AY382" cm="1">
        <f t="array" ref="AY382">SUM(IF(Cocina!A:A=Tabla5[[#This Row],[Nº Orden]],Cocina!F:F*Cocina!G:G,0))</f>
        <v>137</v>
      </c>
      <c r="AZ382" cm="1">
        <f t="array" ref="AZ382">SUM(IF(Cocina!A:A=Tabla5[[#This Row],[Nº Orden]],Cocina!E:E*Cocina!G:G,0))</f>
        <v>82</v>
      </c>
      <c r="BB382" t="str">
        <f>MID(Tabla4[[#This Row],[Cliente]], SEARCH("_", Tabla4[[#This Row],[Cliente]]) + 1, LEN(Tabla4[[#This Row],[Cliente]]) - SEARCH("_",Tabla4[[#This Row],[Cliente]]))</f>
        <v>964</v>
      </c>
      <c r="BC382" t="str">
        <f>sala!B381</f>
        <v>Cliente_964</v>
      </c>
      <c r="BD382" s="1">
        <f>sala!D381</f>
        <v>45020.040277777778</v>
      </c>
      <c r="BE382" s="1">
        <f>sala!E381</f>
        <v>45020.189583333333</v>
      </c>
      <c r="BF382">
        <f>sala!K381</f>
        <v>380</v>
      </c>
      <c r="BG382">
        <f>sala!I381</f>
        <v>2253</v>
      </c>
      <c r="BH382" cm="1">
        <f t="array" ref="BH382">SUM(IF(Cocina!A:A=Tabla4[[#This Row],[Número de Orden]],Cocina!F:F*Cocina!G:G,0))</f>
        <v>137</v>
      </c>
      <c r="BI382" t="str">
        <f>sala!J381</f>
        <v>Libre</v>
      </c>
      <c r="BJ382" s="4" t="str">
        <f>IF(Tabla4[[#This Row],[Estado mesa]]="Ocupada","00:15","00:00")</f>
        <v>00:00</v>
      </c>
      <c r="BK382" cm="1">
        <f t="array" ref="BK382">SUM(IF(Cocina!A:A=Tabla4[[#This Row],[Número de Orden]],Cocina!H:H,0))</f>
        <v>93</v>
      </c>
    </row>
    <row r="383" spans="1:63" x14ac:dyDescent="0.3">
      <c r="A383" s="8" t="str">
        <f>MID(Tabla4[[#This Row],[Cliente]], SEARCH("_", Tabla4[[#This Row],[Cliente]]) + 1, LEN(Tabla4[[#This Row],[Cliente]]) - SEARCH("_",Tabla4[[#This Row],[Cliente]]))</f>
        <v>141</v>
      </c>
      <c r="B383">
        <f>sala!K382</f>
        <v>381</v>
      </c>
      <c r="C383">
        <f>Tabla4[[#This Row],[Propina]]+Tabla4[[#This Row],[Precio Cena]]</f>
        <v>2913</v>
      </c>
      <c r="D383" s="3">
        <f>INT(sala!E382)</f>
        <v>45020</v>
      </c>
      <c r="E383" s="4">
        <f>MOD( sala!D382,1)</f>
        <v>3.9583333331393078E-2</v>
      </c>
      <c r="F383" s="4">
        <f>MOD( sala!E382,1)</f>
        <v>0.18888888888614019</v>
      </c>
      <c r="G383" s="4">
        <f>Tabla5[[#This Row],[Hora de Salida]]-Tabla5[[#This Row],[Hora de Llegada]]+Tabla4[[#This Row],[Tiempo Extra]]</f>
        <v>0.14930555555474712</v>
      </c>
      <c r="H383" s="5" t="str">
        <f>TEXT(Tabla4[[#This Row],[Preparación en horas]]/1440, "h:mm")</f>
        <v>0:47</v>
      </c>
      <c r="I383" s="4">
        <f>IF(Tabla5[[#This Row],[Tiempo Permanencia]]-Tabla5[[#This Row],[Tiempo de Preparación ]]&gt;=0,Tabla5[[#This Row],[Tiempo Permanencia]]-Tabla5[[#This Row],[Tiempo de Preparación ]],0)</f>
        <v>0.11666666666585823</v>
      </c>
      <c r="J383" s="5" t="str">
        <f>IF(Tabla5[[#This Row],[Tiempo de Degustación]]=0,"No Cobrada","Cobrada")</f>
        <v>Cobrada</v>
      </c>
      <c r="K383" s="5" cm="1">
        <f t="array" ref="K383">SUM(IF(Tabla5[[#This Row],[Orden Cobrada]]="Cobrada",IF(Cocina!A:A=Tabla5[[#This Row],[Nº Orden]],Cocina!F:F*Cocina!G:G,0),-Tabla6[[#This Row],[Precio Cena]]))</f>
        <v>144</v>
      </c>
      <c r="L383" s="5">
        <f>IF(Tabla5[[#This Row],[Orden Cobrada]]="Cobrada",Tabla5[[#This Row],[Ganancia Bruta]]-Tabla6[[#This Row],[Coste Cena]],-Tabla6[[#This Row],[Precio Cena]]+Tabla6[[#This Row],[Coste Cena]])</f>
        <v>59</v>
      </c>
      <c r="M383" s="10">
        <f>IF(Tabla5[[#This Row],[Orden Cobrada]]="Cobrada",((Tabla5[[#This Row],[Ganancia Neta]]/Tabla5[[#This Row],[Ganancia Bruta]])*100)/100,-((Tabla5[[#This Row],[Ganancia Neta]]/Tabla5[[#This Row],[Ganancia Bruta]]*100)/100))</f>
        <v>0.40972222222222221</v>
      </c>
      <c r="N383" s="5" t="str">
        <f>sala!F382</f>
        <v>Mesero_1</v>
      </c>
      <c r="AY383" cm="1">
        <f t="array" ref="AY383">SUM(IF(Cocina!A:A=Tabla5[[#This Row],[Nº Orden]],Cocina!F:F*Cocina!G:G,0))</f>
        <v>144</v>
      </c>
      <c r="AZ383" cm="1">
        <f t="array" ref="AZ383">SUM(IF(Cocina!A:A=Tabla5[[#This Row],[Nº Orden]],Cocina!E:E*Cocina!G:G,0))</f>
        <v>85</v>
      </c>
      <c r="BB383" t="str">
        <f>MID(Tabla4[[#This Row],[Cliente]], SEARCH("_", Tabla4[[#This Row],[Cliente]]) + 1, LEN(Tabla4[[#This Row],[Cliente]]) - SEARCH("_",Tabla4[[#This Row],[Cliente]]))</f>
        <v>141</v>
      </c>
      <c r="BC383" t="str">
        <f>sala!B382</f>
        <v>Cliente_141</v>
      </c>
      <c r="BD383" s="1">
        <f>sala!D382</f>
        <v>45020.039583333331</v>
      </c>
      <c r="BE383" s="1">
        <f>sala!E382</f>
        <v>45020.188888888886</v>
      </c>
      <c r="BF383">
        <f>sala!K382</f>
        <v>381</v>
      </c>
      <c r="BG383">
        <f>sala!I382</f>
        <v>2769</v>
      </c>
      <c r="BH383" cm="1">
        <f t="array" ref="BH383">SUM(IF(Cocina!A:A=Tabla4[[#This Row],[Número de Orden]],Cocina!F:F*Cocina!G:G,0))</f>
        <v>144</v>
      </c>
      <c r="BI383" t="str">
        <f>sala!J382</f>
        <v>Libre</v>
      </c>
      <c r="BJ383" s="4" t="str">
        <f>IF(Tabla4[[#This Row],[Estado mesa]]="Ocupada","00:15","00:00")</f>
        <v>00:00</v>
      </c>
      <c r="BK383" cm="1">
        <f t="array" ref="BK383">SUM(IF(Cocina!A:A=Tabla4[[#This Row],[Número de Orden]],Cocina!H:H,0))</f>
        <v>47</v>
      </c>
    </row>
    <row r="384" spans="1:63" x14ac:dyDescent="0.3">
      <c r="A384" s="8" t="str">
        <f>MID(Tabla4[[#This Row],[Cliente]], SEARCH("_", Tabla4[[#This Row],[Cliente]]) + 1, LEN(Tabla4[[#This Row],[Cliente]]) - SEARCH("_",Tabla4[[#This Row],[Cliente]]))</f>
        <v>742</v>
      </c>
      <c r="B384">
        <f>sala!K383</f>
        <v>382</v>
      </c>
      <c r="C384">
        <f>Tabla4[[#This Row],[Propina]]+Tabla4[[#This Row],[Precio Cena]]</f>
        <v>285</v>
      </c>
      <c r="D384" s="3">
        <f>INT(sala!E383)</f>
        <v>45020</v>
      </c>
      <c r="E384" s="4">
        <f>MOD( sala!D383,1)</f>
        <v>0.13124999999854481</v>
      </c>
      <c r="F384" s="4">
        <f>MOD( sala!E383,1)</f>
        <v>0.26875000000291038</v>
      </c>
      <c r="G384" s="4">
        <f>Tabla5[[#This Row],[Hora de Salida]]-Tabla5[[#This Row],[Hora de Llegada]]+Tabla4[[#This Row],[Tiempo Extra]]</f>
        <v>0.13750000000436557</v>
      </c>
      <c r="H384" s="5" t="str">
        <f>TEXT(Tabla4[[#This Row],[Preparación en horas]]/1440, "h:mm")</f>
        <v>0:54</v>
      </c>
      <c r="I384" s="4">
        <f>IF(Tabla5[[#This Row],[Tiempo Permanencia]]-Tabla5[[#This Row],[Tiempo de Preparación ]]&gt;=0,Tabla5[[#This Row],[Tiempo Permanencia]]-Tabla5[[#This Row],[Tiempo de Preparación ]],0)</f>
        <v>0.10000000000436557</v>
      </c>
      <c r="J384" s="5" t="str">
        <f>IF(Tabla5[[#This Row],[Tiempo de Degustación]]=0,"No Cobrada","Cobrada")</f>
        <v>Cobrada</v>
      </c>
      <c r="K384" s="5" cm="1">
        <f t="array" ref="K384">SUM(IF(Tabla5[[#This Row],[Orden Cobrada]]="Cobrada",IF(Cocina!A:A=Tabla5[[#This Row],[Nº Orden]],Cocina!F:F*Cocina!G:G,0),-Tabla6[[#This Row],[Precio Cena]]))</f>
        <v>87</v>
      </c>
      <c r="L384" s="5">
        <f>IF(Tabla5[[#This Row],[Orden Cobrada]]="Cobrada",Tabla5[[#This Row],[Ganancia Bruta]]-Tabla6[[#This Row],[Coste Cena]],-Tabla6[[#This Row],[Precio Cena]]+Tabla6[[#This Row],[Coste Cena]])</f>
        <v>36</v>
      </c>
      <c r="M384" s="10">
        <f>IF(Tabla5[[#This Row],[Orden Cobrada]]="Cobrada",((Tabla5[[#This Row],[Ganancia Neta]]/Tabla5[[#This Row],[Ganancia Bruta]])*100)/100,-((Tabla5[[#This Row],[Ganancia Neta]]/Tabla5[[#This Row],[Ganancia Bruta]]*100)/100))</f>
        <v>0.41379310344827586</v>
      </c>
      <c r="N384" s="5" t="str">
        <f>sala!F383</f>
        <v>Mesero_2</v>
      </c>
      <c r="AY384" cm="1">
        <f t="array" ref="AY384">SUM(IF(Cocina!A:A=Tabla5[[#This Row],[Nº Orden]],Cocina!F:F*Cocina!G:G,0))</f>
        <v>87</v>
      </c>
      <c r="AZ384" cm="1">
        <f t="array" ref="AZ384">SUM(IF(Cocina!A:A=Tabla5[[#This Row],[Nº Orden]],Cocina!E:E*Cocina!G:G,0))</f>
        <v>51</v>
      </c>
      <c r="BB384" t="str">
        <f>MID(Tabla4[[#This Row],[Cliente]], SEARCH("_", Tabla4[[#This Row],[Cliente]]) + 1, LEN(Tabla4[[#This Row],[Cliente]]) - SEARCH("_",Tabla4[[#This Row],[Cliente]]))</f>
        <v>742</v>
      </c>
      <c r="BC384" t="str">
        <f>sala!B383</f>
        <v>Cliente_742</v>
      </c>
      <c r="BD384" s="1">
        <f>sala!D383</f>
        <v>45020.131249999999</v>
      </c>
      <c r="BE384" s="1">
        <f>sala!E383</f>
        <v>45020.268750000003</v>
      </c>
      <c r="BF384">
        <f>sala!K383</f>
        <v>382</v>
      </c>
      <c r="BG384">
        <f>sala!I383</f>
        <v>198</v>
      </c>
      <c r="BH384" cm="1">
        <f t="array" ref="BH384">SUM(IF(Cocina!A:A=Tabla4[[#This Row],[Número de Orden]],Cocina!F:F*Cocina!G:G,0))</f>
        <v>87</v>
      </c>
      <c r="BI384" t="str">
        <f>sala!J383</f>
        <v>Reservada</v>
      </c>
      <c r="BJ384" s="4" t="str">
        <f>IF(Tabla4[[#This Row],[Estado mesa]]="Ocupada","00:15","00:00")</f>
        <v>00:00</v>
      </c>
      <c r="BK384" cm="1">
        <f t="array" ref="BK384">SUM(IF(Cocina!A:A=Tabla4[[#This Row],[Número de Orden]],Cocina!H:H,0))</f>
        <v>54</v>
      </c>
    </row>
    <row r="385" spans="1:63" x14ac:dyDescent="0.3">
      <c r="A385" s="8" t="str">
        <f>MID(Tabla4[[#This Row],[Cliente]], SEARCH("_", Tabla4[[#This Row],[Cliente]]) + 1, LEN(Tabla4[[#This Row],[Cliente]]) - SEARCH("_",Tabla4[[#This Row],[Cliente]]))</f>
        <v>992</v>
      </c>
      <c r="B385">
        <f>sala!K384</f>
        <v>383</v>
      </c>
      <c r="C385">
        <f>Tabla4[[#This Row],[Propina]]+Tabla4[[#This Row],[Precio Cena]]</f>
        <v>3241</v>
      </c>
      <c r="D385" s="3">
        <f>INT(sala!E384)</f>
        <v>45020</v>
      </c>
      <c r="E385" s="4">
        <f>MOD( sala!D384,1)</f>
        <v>0.14513888888905058</v>
      </c>
      <c r="F385" s="4">
        <f>MOD( sala!E384,1)</f>
        <v>0.27291666666860692</v>
      </c>
      <c r="G385" s="4">
        <f>Tabla5[[#This Row],[Hora de Salida]]-Tabla5[[#This Row],[Hora de Llegada]]+Tabla4[[#This Row],[Tiempo Extra]]</f>
        <v>0.12777777777955635</v>
      </c>
      <c r="H385" s="5" t="str">
        <f>TEXT(Tabla4[[#This Row],[Preparación en horas]]/1440, "h:mm")</f>
        <v>0:09</v>
      </c>
      <c r="I385" s="4">
        <f>IF(Tabla5[[#This Row],[Tiempo Permanencia]]-Tabla5[[#This Row],[Tiempo de Preparación ]]&gt;=0,Tabla5[[#This Row],[Tiempo Permanencia]]-Tabla5[[#This Row],[Tiempo de Preparación ]],0)</f>
        <v>0.12152777777955634</v>
      </c>
      <c r="J385" s="5" t="str">
        <f>IF(Tabla5[[#This Row],[Tiempo de Degustación]]=0,"No Cobrada","Cobrada")</f>
        <v>Cobrada</v>
      </c>
      <c r="K385" s="5" cm="1">
        <f t="array" ref="K385">SUM(IF(Tabla5[[#This Row],[Orden Cobrada]]="Cobrada",IF(Cocina!A:A=Tabla5[[#This Row],[Nº Orden]],Cocina!F:F*Cocina!G:G,0),-Tabla6[[#This Row],[Precio Cena]]))</f>
        <v>108</v>
      </c>
      <c r="L385" s="5">
        <f>IF(Tabla5[[#This Row],[Orden Cobrada]]="Cobrada",Tabla5[[#This Row],[Ganancia Bruta]]-Tabla6[[#This Row],[Coste Cena]],-Tabla6[[#This Row],[Precio Cena]]+Tabla6[[#This Row],[Coste Cena]])</f>
        <v>42</v>
      </c>
      <c r="M385" s="10">
        <f>IF(Tabla5[[#This Row],[Orden Cobrada]]="Cobrada",((Tabla5[[#This Row],[Ganancia Neta]]/Tabla5[[#This Row],[Ganancia Bruta]])*100)/100,-((Tabla5[[#This Row],[Ganancia Neta]]/Tabla5[[#This Row],[Ganancia Bruta]]*100)/100))</f>
        <v>0.38888888888888895</v>
      </c>
      <c r="N385" s="5" t="str">
        <f>sala!F384</f>
        <v>Mesero_4</v>
      </c>
      <c r="AY385" cm="1">
        <f t="array" ref="AY385">SUM(IF(Cocina!A:A=Tabla5[[#This Row],[Nº Orden]],Cocina!F:F*Cocina!G:G,0))</f>
        <v>108</v>
      </c>
      <c r="AZ385" cm="1">
        <f t="array" ref="AZ385">SUM(IF(Cocina!A:A=Tabla5[[#This Row],[Nº Orden]],Cocina!E:E*Cocina!G:G,0))</f>
        <v>66</v>
      </c>
      <c r="BB385" t="str">
        <f>MID(Tabla4[[#This Row],[Cliente]], SEARCH("_", Tabla4[[#This Row],[Cliente]]) + 1, LEN(Tabla4[[#This Row],[Cliente]]) - SEARCH("_",Tabla4[[#This Row],[Cliente]]))</f>
        <v>992</v>
      </c>
      <c r="BC385" t="str">
        <f>sala!B384</f>
        <v>Cliente_992</v>
      </c>
      <c r="BD385" s="1">
        <f>sala!D384</f>
        <v>45020.145138888889</v>
      </c>
      <c r="BE385" s="1">
        <f>sala!E384</f>
        <v>45020.272916666669</v>
      </c>
      <c r="BF385">
        <f>sala!K384</f>
        <v>383</v>
      </c>
      <c r="BG385">
        <f>sala!I384</f>
        <v>3133</v>
      </c>
      <c r="BH385" cm="1">
        <f t="array" ref="BH385">SUM(IF(Cocina!A:A=Tabla4[[#This Row],[Número de Orden]],Cocina!F:F*Cocina!G:G,0))</f>
        <v>108</v>
      </c>
      <c r="BI385" t="str">
        <f>sala!J384</f>
        <v>Libre</v>
      </c>
      <c r="BJ385" s="4" t="str">
        <f>IF(Tabla4[[#This Row],[Estado mesa]]="Ocupada","00:15","00:00")</f>
        <v>00:00</v>
      </c>
      <c r="BK385" cm="1">
        <f t="array" ref="BK385">SUM(IF(Cocina!A:A=Tabla4[[#This Row],[Número de Orden]],Cocina!H:H,0))</f>
        <v>9</v>
      </c>
    </row>
    <row r="386" spans="1:63" x14ac:dyDescent="0.3">
      <c r="A386" s="8" t="str">
        <f>MID(Tabla4[[#This Row],[Cliente]], SEARCH("_", Tabla4[[#This Row],[Cliente]]) + 1, LEN(Tabla4[[#This Row],[Cliente]]) - SEARCH("_",Tabla4[[#This Row],[Cliente]]))</f>
        <v>622</v>
      </c>
      <c r="B386">
        <f>sala!K385</f>
        <v>384</v>
      </c>
      <c r="C386">
        <f>Tabla4[[#This Row],[Propina]]+Tabla4[[#This Row],[Precio Cena]]</f>
        <v>4052</v>
      </c>
      <c r="D386" s="3">
        <f>INT(sala!E385)</f>
        <v>45020</v>
      </c>
      <c r="E386" s="4">
        <f>MOD( sala!D385,1)</f>
        <v>7.6388888919609599E-3</v>
      </c>
      <c r="F386" s="4">
        <f>MOD( sala!E385,1)</f>
        <v>0.10624999999708962</v>
      </c>
      <c r="G386" s="4">
        <f>Tabla5[[#This Row],[Hora de Salida]]-Tabla5[[#This Row],[Hora de Llegada]]+Tabla4[[#This Row],[Tiempo Extra]]</f>
        <v>9.8611111105128657E-2</v>
      </c>
      <c r="H386" s="5" t="str">
        <f>TEXT(Tabla4[[#This Row],[Preparación en horas]]/1440, "h:mm")</f>
        <v>1:50</v>
      </c>
      <c r="I386" s="4">
        <f>IF(Tabla5[[#This Row],[Tiempo Permanencia]]-Tabla5[[#This Row],[Tiempo de Preparación ]]&gt;=0,Tabla5[[#This Row],[Tiempo Permanencia]]-Tabla5[[#This Row],[Tiempo de Preparación ]],0)</f>
        <v>2.2222222216239762E-2</v>
      </c>
      <c r="J386" s="5" t="str">
        <f>IF(Tabla5[[#This Row],[Tiempo de Degustación]]=0,"No Cobrada","Cobrada")</f>
        <v>Cobrada</v>
      </c>
      <c r="K386" s="5" cm="1">
        <f t="array" ref="K386">SUM(IF(Tabla5[[#This Row],[Orden Cobrada]]="Cobrada",IF(Cocina!A:A=Tabla5[[#This Row],[Nº Orden]],Cocina!F:F*Cocina!G:G,0),-Tabla6[[#This Row],[Precio Cena]]))</f>
        <v>120</v>
      </c>
      <c r="L386" s="5">
        <f>IF(Tabla5[[#This Row],[Orden Cobrada]]="Cobrada",Tabla5[[#This Row],[Ganancia Bruta]]-Tabla6[[#This Row],[Coste Cena]],-Tabla6[[#This Row],[Precio Cena]]+Tabla6[[#This Row],[Coste Cena]])</f>
        <v>51</v>
      </c>
      <c r="M386" s="10">
        <f>IF(Tabla5[[#This Row],[Orden Cobrada]]="Cobrada",((Tabla5[[#This Row],[Ganancia Neta]]/Tabla5[[#This Row],[Ganancia Bruta]])*100)/100,-((Tabla5[[#This Row],[Ganancia Neta]]/Tabla5[[#This Row],[Ganancia Bruta]]*100)/100))</f>
        <v>0.42499999999999999</v>
      </c>
      <c r="N386" s="5" t="str">
        <f>sala!F385</f>
        <v>Mesero_1</v>
      </c>
      <c r="AY386" cm="1">
        <f t="array" ref="AY386">SUM(IF(Cocina!A:A=Tabla5[[#This Row],[Nº Orden]],Cocina!F:F*Cocina!G:G,0))</f>
        <v>120</v>
      </c>
      <c r="AZ386" cm="1">
        <f t="array" ref="AZ386">SUM(IF(Cocina!A:A=Tabla5[[#This Row],[Nº Orden]],Cocina!E:E*Cocina!G:G,0))</f>
        <v>69</v>
      </c>
      <c r="BB386" t="str">
        <f>MID(Tabla4[[#This Row],[Cliente]], SEARCH("_", Tabla4[[#This Row],[Cliente]]) + 1, LEN(Tabla4[[#This Row],[Cliente]]) - SEARCH("_",Tabla4[[#This Row],[Cliente]]))</f>
        <v>622</v>
      </c>
      <c r="BC386" t="str">
        <f>sala!B385</f>
        <v>Cliente_622</v>
      </c>
      <c r="BD386" s="1">
        <f>sala!D385</f>
        <v>45020.007638888892</v>
      </c>
      <c r="BE386" s="1">
        <f>sala!E385</f>
        <v>45020.106249999997</v>
      </c>
      <c r="BF386">
        <f>sala!K385</f>
        <v>384</v>
      </c>
      <c r="BG386">
        <f>sala!I385</f>
        <v>3932</v>
      </c>
      <c r="BH386" cm="1">
        <f t="array" ref="BH386">SUM(IF(Cocina!A:A=Tabla4[[#This Row],[Número de Orden]],Cocina!F:F*Cocina!G:G,0))</f>
        <v>120</v>
      </c>
      <c r="BI386" t="str">
        <f>sala!J385</f>
        <v>Reservada</v>
      </c>
      <c r="BJ386" s="4" t="str">
        <f>IF(Tabla4[[#This Row],[Estado mesa]]="Ocupada","00:15","00:00")</f>
        <v>00:00</v>
      </c>
      <c r="BK386" cm="1">
        <f t="array" ref="BK386">SUM(IF(Cocina!A:A=Tabla4[[#This Row],[Número de Orden]],Cocina!H:H,0))</f>
        <v>110</v>
      </c>
    </row>
    <row r="387" spans="1:63" x14ac:dyDescent="0.3">
      <c r="A387" s="8" t="str">
        <f>MID(Tabla4[[#This Row],[Cliente]], SEARCH("_", Tabla4[[#This Row],[Cliente]]) + 1, LEN(Tabla4[[#This Row],[Cliente]]) - SEARCH("_",Tabla4[[#This Row],[Cliente]]))</f>
        <v>508</v>
      </c>
      <c r="B387">
        <f>sala!K386</f>
        <v>385</v>
      </c>
      <c r="C387">
        <f>Tabla4[[#This Row],[Propina]]+Tabla4[[#This Row],[Precio Cena]]</f>
        <v>1174</v>
      </c>
      <c r="D387" s="3">
        <f>INT(sala!E386)</f>
        <v>45021</v>
      </c>
      <c r="E387" s="4">
        <f>MOD( sala!D386,1)</f>
        <v>0.15069444444088731</v>
      </c>
      <c r="F387" s="4">
        <f>MOD( sala!E386,1)</f>
        <v>0.27986111111385981</v>
      </c>
      <c r="G387" s="4">
        <f>Tabla5[[#This Row],[Hora de Salida]]-Tabla5[[#This Row],[Hora de Llegada]]+Tabla4[[#This Row],[Tiempo Extra]]</f>
        <v>0.13958333333963915</v>
      </c>
      <c r="H387" s="5" t="str">
        <f>TEXT(Tabla4[[#This Row],[Preparación en horas]]/1440, "h:mm")</f>
        <v>0:22</v>
      </c>
      <c r="I387" s="4">
        <f>IF(Tabla5[[#This Row],[Tiempo Permanencia]]-Tabla5[[#This Row],[Tiempo de Preparación ]]&gt;=0,Tabla5[[#This Row],[Tiempo Permanencia]]-Tabla5[[#This Row],[Tiempo de Preparación ]],0)</f>
        <v>0.12430555556186138</v>
      </c>
      <c r="J387" s="5" t="str">
        <f>IF(Tabla5[[#This Row],[Tiempo de Degustación]]=0,"No Cobrada","Cobrada")</f>
        <v>Cobrada</v>
      </c>
      <c r="K387" s="5" cm="1">
        <f t="array" ref="K387">SUM(IF(Tabla5[[#This Row],[Orden Cobrada]]="Cobrada",IF(Cocina!A:A=Tabla5[[#This Row],[Nº Orden]],Cocina!F:F*Cocina!G:G,0),-Tabla6[[#This Row],[Precio Cena]]))</f>
        <v>60</v>
      </c>
      <c r="L387" s="5">
        <f>IF(Tabla5[[#This Row],[Orden Cobrada]]="Cobrada",Tabla5[[#This Row],[Ganancia Bruta]]-Tabla6[[#This Row],[Coste Cena]],-Tabla6[[#This Row],[Precio Cena]]+Tabla6[[#This Row],[Coste Cena]])</f>
        <v>24</v>
      </c>
      <c r="M387" s="10">
        <f>IF(Tabla5[[#This Row],[Orden Cobrada]]="Cobrada",((Tabla5[[#This Row],[Ganancia Neta]]/Tabla5[[#This Row],[Ganancia Bruta]])*100)/100,-((Tabla5[[#This Row],[Ganancia Neta]]/Tabla5[[#This Row],[Ganancia Bruta]]*100)/100))</f>
        <v>0.4</v>
      </c>
      <c r="N387" s="5" t="str">
        <f>sala!F386</f>
        <v>Mesero_3</v>
      </c>
      <c r="AY387" cm="1">
        <f t="array" ref="AY387">SUM(IF(Cocina!A:A=Tabla5[[#This Row],[Nº Orden]],Cocina!F:F*Cocina!G:G,0))</f>
        <v>60</v>
      </c>
      <c r="AZ387" cm="1">
        <f t="array" ref="AZ387">SUM(IF(Cocina!A:A=Tabla5[[#This Row],[Nº Orden]],Cocina!E:E*Cocina!G:G,0))</f>
        <v>36</v>
      </c>
      <c r="BB387" t="str">
        <f>MID(Tabla4[[#This Row],[Cliente]], SEARCH("_", Tabla4[[#This Row],[Cliente]]) + 1, LEN(Tabla4[[#This Row],[Cliente]]) - SEARCH("_",Tabla4[[#This Row],[Cliente]]))</f>
        <v>508</v>
      </c>
      <c r="BC387" t="str">
        <f>sala!B386</f>
        <v>Cliente_508</v>
      </c>
      <c r="BD387" s="1">
        <f>sala!D386</f>
        <v>45021.150694444441</v>
      </c>
      <c r="BE387" s="1">
        <f>sala!E386</f>
        <v>45021.279861111114</v>
      </c>
      <c r="BF387">
        <f>sala!K386</f>
        <v>385</v>
      </c>
      <c r="BG387">
        <f>sala!I386</f>
        <v>1114</v>
      </c>
      <c r="BH387" cm="1">
        <f t="array" ref="BH387">SUM(IF(Cocina!A:A=Tabla4[[#This Row],[Número de Orden]],Cocina!F:F*Cocina!G:G,0))</f>
        <v>60</v>
      </c>
      <c r="BI387" t="str">
        <f>sala!J386</f>
        <v>Ocupada</v>
      </c>
      <c r="BJ387" s="4" t="str">
        <f>IF(Tabla4[[#This Row],[Estado mesa]]="Ocupada","00:15","00:00")</f>
        <v>00:15</v>
      </c>
      <c r="BK387" cm="1">
        <f t="array" ref="BK387">SUM(IF(Cocina!A:A=Tabla4[[#This Row],[Número de Orden]],Cocina!H:H,0))</f>
        <v>22</v>
      </c>
    </row>
    <row r="388" spans="1:63" x14ac:dyDescent="0.3">
      <c r="A388" s="8" t="str">
        <f>MID(Tabla4[[#This Row],[Cliente]], SEARCH("_", Tabla4[[#This Row],[Cliente]]) + 1, LEN(Tabla4[[#This Row],[Cliente]]) - SEARCH("_",Tabla4[[#This Row],[Cliente]]))</f>
        <v>436</v>
      </c>
      <c r="B388">
        <f>sala!K387</f>
        <v>386</v>
      </c>
      <c r="C388">
        <f>Tabla4[[#This Row],[Propina]]+Tabla4[[#This Row],[Precio Cena]]</f>
        <v>2995</v>
      </c>
      <c r="D388" s="3">
        <f>INT(sala!E387)</f>
        <v>45021</v>
      </c>
      <c r="E388" s="4">
        <f>MOD( sala!D387,1)</f>
        <v>2.2916666668606922E-2</v>
      </c>
      <c r="F388" s="4">
        <f>MOD( sala!E387,1)</f>
        <v>0.12361111111385981</v>
      </c>
      <c r="G388" s="4">
        <f>Tabla5[[#This Row],[Hora de Salida]]-Tabla5[[#This Row],[Hora de Llegada]]+Tabla4[[#This Row],[Tiempo Extra]]</f>
        <v>0.11111111111191956</v>
      </c>
      <c r="H388" s="5" t="str">
        <f>TEXT(Tabla4[[#This Row],[Preparación en horas]]/1440, "h:mm")</f>
        <v>0:40</v>
      </c>
      <c r="I388" s="4">
        <f>IF(Tabla5[[#This Row],[Tiempo Permanencia]]-Tabla5[[#This Row],[Tiempo de Preparación ]]&gt;=0,Tabla5[[#This Row],[Tiempo Permanencia]]-Tabla5[[#This Row],[Tiempo de Preparación ]],0)</f>
        <v>8.3333333334141779E-2</v>
      </c>
      <c r="J388" s="5" t="str">
        <f>IF(Tabla5[[#This Row],[Tiempo de Degustación]]=0,"No Cobrada","Cobrada")</f>
        <v>Cobrada</v>
      </c>
      <c r="K388" s="5" cm="1">
        <f t="array" ref="K388">SUM(IF(Tabla5[[#This Row],[Orden Cobrada]]="Cobrada",IF(Cocina!A:A=Tabla5[[#This Row],[Nº Orden]],Cocina!F:F*Cocina!G:G,0),-Tabla6[[#This Row],[Precio Cena]]))</f>
        <v>99</v>
      </c>
      <c r="L388" s="5">
        <f>IF(Tabla5[[#This Row],[Orden Cobrada]]="Cobrada",Tabla5[[#This Row],[Ganancia Bruta]]-Tabla6[[#This Row],[Coste Cena]],-Tabla6[[#This Row],[Precio Cena]]+Tabla6[[#This Row],[Coste Cena]])</f>
        <v>39</v>
      </c>
      <c r="M388" s="10">
        <f>IF(Tabla5[[#This Row],[Orden Cobrada]]="Cobrada",((Tabla5[[#This Row],[Ganancia Neta]]/Tabla5[[#This Row],[Ganancia Bruta]])*100)/100,-((Tabla5[[#This Row],[Ganancia Neta]]/Tabla5[[#This Row],[Ganancia Bruta]]*100)/100))</f>
        <v>0.39393939393939392</v>
      </c>
      <c r="N388" s="5" t="str">
        <f>sala!F387</f>
        <v>Mesero_4</v>
      </c>
      <c r="AY388" cm="1">
        <f t="array" ref="AY388">SUM(IF(Cocina!A:A=Tabla5[[#This Row],[Nº Orden]],Cocina!F:F*Cocina!G:G,0))</f>
        <v>99</v>
      </c>
      <c r="AZ388" cm="1">
        <f t="array" ref="AZ388">SUM(IF(Cocina!A:A=Tabla5[[#This Row],[Nº Orden]],Cocina!E:E*Cocina!G:G,0))</f>
        <v>60</v>
      </c>
      <c r="BB388" t="str">
        <f>MID(Tabla4[[#This Row],[Cliente]], SEARCH("_", Tabla4[[#This Row],[Cliente]]) + 1, LEN(Tabla4[[#This Row],[Cliente]]) - SEARCH("_",Tabla4[[#This Row],[Cliente]]))</f>
        <v>436</v>
      </c>
      <c r="BC388" t="str">
        <f>sala!B387</f>
        <v>Cliente_436</v>
      </c>
      <c r="BD388" s="1">
        <f>sala!D387</f>
        <v>45021.022916666669</v>
      </c>
      <c r="BE388" s="1">
        <f>sala!E387</f>
        <v>45021.123611111114</v>
      </c>
      <c r="BF388">
        <f>sala!K387</f>
        <v>386</v>
      </c>
      <c r="BG388">
        <f>sala!I387</f>
        <v>2896</v>
      </c>
      <c r="BH388" cm="1">
        <f t="array" ref="BH388">SUM(IF(Cocina!A:A=Tabla4[[#This Row],[Número de Orden]],Cocina!F:F*Cocina!G:G,0))</f>
        <v>99</v>
      </c>
      <c r="BI388" t="str">
        <f>sala!J387</f>
        <v>Ocupada</v>
      </c>
      <c r="BJ388" s="4" t="str">
        <f>IF(Tabla4[[#This Row],[Estado mesa]]="Ocupada","00:15","00:00")</f>
        <v>00:15</v>
      </c>
      <c r="BK388" cm="1">
        <f t="array" ref="BK388">SUM(IF(Cocina!A:A=Tabla4[[#This Row],[Número de Orden]],Cocina!H:H,0))</f>
        <v>40</v>
      </c>
    </row>
    <row r="389" spans="1:63" x14ac:dyDescent="0.3">
      <c r="A389" s="8" t="str">
        <f>MID(Tabla4[[#This Row],[Cliente]], SEARCH("_", Tabla4[[#This Row],[Cliente]]) + 1, LEN(Tabla4[[#This Row],[Cliente]]) - SEARCH("_",Tabla4[[#This Row],[Cliente]]))</f>
        <v>676</v>
      </c>
      <c r="B389">
        <f>sala!K388</f>
        <v>387</v>
      </c>
      <c r="C389">
        <f>Tabla4[[#This Row],[Propina]]+Tabla4[[#This Row],[Precio Cena]]</f>
        <v>2177</v>
      </c>
      <c r="D389" s="3">
        <f>INT(sala!E388)</f>
        <v>45021</v>
      </c>
      <c r="E389" s="4">
        <f>MOD( sala!D388,1)</f>
        <v>0.13124999999854481</v>
      </c>
      <c r="F389" s="4">
        <f>MOD( sala!E388,1)</f>
        <v>0.25694444444525288</v>
      </c>
      <c r="G389" s="4">
        <f>Tabla5[[#This Row],[Hora de Salida]]-Tabla5[[#This Row],[Hora de Llegada]]+Tabla4[[#This Row],[Tiempo Extra]]</f>
        <v>0.13611111111337473</v>
      </c>
      <c r="H389" s="5" t="str">
        <f>TEXT(Tabla4[[#This Row],[Preparación en horas]]/1440, "h:mm")</f>
        <v>0:18</v>
      </c>
      <c r="I389" s="4">
        <f>IF(Tabla5[[#This Row],[Tiempo Permanencia]]-Tabla5[[#This Row],[Tiempo de Preparación ]]&gt;=0,Tabla5[[#This Row],[Tiempo Permanencia]]-Tabla5[[#This Row],[Tiempo de Preparación ]],0)</f>
        <v>0.12361111111337474</v>
      </c>
      <c r="J389" s="5" t="str">
        <f>IF(Tabla5[[#This Row],[Tiempo de Degustación]]=0,"No Cobrada","Cobrada")</f>
        <v>Cobrada</v>
      </c>
      <c r="K389" s="5" cm="1">
        <f t="array" ref="K389">SUM(IF(Tabla5[[#This Row],[Orden Cobrada]]="Cobrada",IF(Cocina!A:A=Tabla5[[#This Row],[Nº Orden]],Cocina!F:F*Cocina!G:G,0),-Tabla6[[#This Row],[Precio Cena]]))</f>
        <v>93</v>
      </c>
      <c r="L389" s="5">
        <f>IF(Tabla5[[#This Row],[Orden Cobrada]]="Cobrada",Tabla5[[#This Row],[Ganancia Bruta]]-Tabla6[[#This Row],[Coste Cena]],-Tabla6[[#This Row],[Precio Cena]]+Tabla6[[#This Row],[Coste Cena]])</f>
        <v>36</v>
      </c>
      <c r="M389" s="10">
        <f>IF(Tabla5[[#This Row],[Orden Cobrada]]="Cobrada",((Tabla5[[#This Row],[Ganancia Neta]]/Tabla5[[#This Row],[Ganancia Bruta]])*100)/100,-((Tabla5[[#This Row],[Ganancia Neta]]/Tabla5[[#This Row],[Ganancia Bruta]]*100)/100))</f>
        <v>0.38709677419354838</v>
      </c>
      <c r="N389" s="5" t="str">
        <f>sala!F388</f>
        <v>Mesero_5</v>
      </c>
      <c r="AY389" cm="1">
        <f t="array" ref="AY389">SUM(IF(Cocina!A:A=Tabla5[[#This Row],[Nº Orden]],Cocina!F:F*Cocina!G:G,0))</f>
        <v>93</v>
      </c>
      <c r="AZ389" cm="1">
        <f t="array" ref="AZ389">SUM(IF(Cocina!A:A=Tabla5[[#This Row],[Nº Orden]],Cocina!E:E*Cocina!G:G,0))</f>
        <v>57</v>
      </c>
      <c r="BB389" t="str">
        <f>MID(Tabla4[[#This Row],[Cliente]], SEARCH("_", Tabla4[[#This Row],[Cliente]]) + 1, LEN(Tabla4[[#This Row],[Cliente]]) - SEARCH("_",Tabla4[[#This Row],[Cliente]]))</f>
        <v>676</v>
      </c>
      <c r="BC389" t="str">
        <f>sala!B388</f>
        <v>Cliente_676</v>
      </c>
      <c r="BD389" s="1">
        <f>sala!D388</f>
        <v>45021.131249999999</v>
      </c>
      <c r="BE389" s="1">
        <f>sala!E388</f>
        <v>45021.256944444445</v>
      </c>
      <c r="BF389">
        <f>sala!K388</f>
        <v>387</v>
      </c>
      <c r="BG389">
        <f>sala!I388</f>
        <v>2084</v>
      </c>
      <c r="BH389" cm="1">
        <f t="array" ref="BH389">SUM(IF(Cocina!A:A=Tabla4[[#This Row],[Número de Orden]],Cocina!F:F*Cocina!G:G,0))</f>
        <v>93</v>
      </c>
      <c r="BI389" t="str">
        <f>sala!J388</f>
        <v>Ocupada</v>
      </c>
      <c r="BJ389" s="4" t="str">
        <f>IF(Tabla4[[#This Row],[Estado mesa]]="Ocupada","00:15","00:00")</f>
        <v>00:15</v>
      </c>
      <c r="BK389" cm="1">
        <f t="array" ref="BK389">SUM(IF(Cocina!A:A=Tabla4[[#This Row],[Número de Orden]],Cocina!H:H,0))</f>
        <v>18</v>
      </c>
    </row>
    <row r="390" spans="1:63" x14ac:dyDescent="0.3">
      <c r="A390" s="8" t="str">
        <f>MID(Tabla4[[#This Row],[Cliente]], SEARCH("_", Tabla4[[#This Row],[Cliente]]) + 1, LEN(Tabla4[[#This Row],[Cliente]]) - SEARCH("_",Tabla4[[#This Row],[Cliente]]))</f>
        <v>768</v>
      </c>
      <c r="B390">
        <f>sala!K389</f>
        <v>388</v>
      </c>
      <c r="C390">
        <f>Tabla4[[#This Row],[Propina]]+Tabla4[[#This Row],[Precio Cena]]</f>
        <v>2994</v>
      </c>
      <c r="D390" s="3">
        <f>INT(sala!E389)</f>
        <v>45021</v>
      </c>
      <c r="E390" s="4">
        <f>MOD( sala!D389,1)</f>
        <v>2.2916666668606922E-2</v>
      </c>
      <c r="F390" s="4">
        <f>MOD( sala!E389,1)</f>
        <v>0.14930555555474712</v>
      </c>
      <c r="G390" s="4">
        <f>Tabla5[[#This Row],[Hora de Salida]]-Tabla5[[#This Row],[Hora de Llegada]]+Tabla4[[#This Row],[Tiempo Extra]]</f>
        <v>0.12638888888614019</v>
      </c>
      <c r="H390" s="5" t="str">
        <f>TEXT(Tabla4[[#This Row],[Preparación en horas]]/1440, "h:mm")</f>
        <v>2:51</v>
      </c>
      <c r="I390" s="4">
        <f>IF(Tabla5[[#This Row],[Tiempo Permanencia]]-Tabla5[[#This Row],[Tiempo de Preparación ]]&gt;=0,Tabla5[[#This Row],[Tiempo Permanencia]]-Tabla5[[#This Row],[Tiempo de Preparación ]],0)</f>
        <v>7.6388888861401993E-3</v>
      </c>
      <c r="J390" s="5" t="str">
        <f>IF(Tabla5[[#This Row],[Tiempo de Degustación]]=0,"No Cobrada","Cobrada")</f>
        <v>Cobrada</v>
      </c>
      <c r="K390" s="5" cm="1">
        <f t="array" ref="K390">SUM(IF(Tabla5[[#This Row],[Orden Cobrada]]="Cobrada",IF(Cocina!A:A=Tabla5[[#This Row],[Nº Orden]],Cocina!F:F*Cocina!G:G,0),-Tabla6[[#This Row],[Precio Cena]]))</f>
        <v>291</v>
      </c>
      <c r="L390" s="5">
        <f>IF(Tabla5[[#This Row],[Orden Cobrada]]="Cobrada",Tabla5[[#This Row],[Ganancia Bruta]]-Tabla6[[#This Row],[Coste Cena]],-Tabla6[[#This Row],[Precio Cena]]+Tabla6[[#This Row],[Coste Cena]])</f>
        <v>115</v>
      </c>
      <c r="M390" s="10">
        <f>IF(Tabla5[[#This Row],[Orden Cobrada]]="Cobrada",((Tabla5[[#This Row],[Ganancia Neta]]/Tabla5[[#This Row],[Ganancia Bruta]])*100)/100,-((Tabla5[[#This Row],[Ganancia Neta]]/Tabla5[[#This Row],[Ganancia Bruta]]*100)/100))</f>
        <v>0.39518900343642616</v>
      </c>
      <c r="N390" s="5" t="str">
        <f>sala!F389</f>
        <v>Mesero_2</v>
      </c>
      <c r="AY390" cm="1">
        <f t="array" ref="AY390">SUM(IF(Cocina!A:A=Tabla5[[#This Row],[Nº Orden]],Cocina!F:F*Cocina!G:G,0))</f>
        <v>291</v>
      </c>
      <c r="AZ390" cm="1">
        <f t="array" ref="AZ390">SUM(IF(Cocina!A:A=Tabla5[[#This Row],[Nº Orden]],Cocina!E:E*Cocina!G:G,0))</f>
        <v>176</v>
      </c>
      <c r="BB390" t="str">
        <f>MID(Tabla4[[#This Row],[Cliente]], SEARCH("_", Tabla4[[#This Row],[Cliente]]) + 1, LEN(Tabla4[[#This Row],[Cliente]]) - SEARCH("_",Tabla4[[#This Row],[Cliente]]))</f>
        <v>768</v>
      </c>
      <c r="BC390" t="str">
        <f>sala!B389</f>
        <v>Cliente_768</v>
      </c>
      <c r="BD390" s="1">
        <f>sala!D389</f>
        <v>45021.022916666669</v>
      </c>
      <c r="BE390" s="1">
        <f>sala!E389</f>
        <v>45021.149305555555</v>
      </c>
      <c r="BF390">
        <f>sala!K389</f>
        <v>388</v>
      </c>
      <c r="BG390">
        <f>sala!I389</f>
        <v>2703</v>
      </c>
      <c r="BH390" cm="1">
        <f t="array" ref="BH390">SUM(IF(Cocina!A:A=Tabla4[[#This Row],[Número de Orden]],Cocina!F:F*Cocina!G:G,0))</f>
        <v>291</v>
      </c>
      <c r="BI390" t="str">
        <f>sala!J389</f>
        <v>Libre</v>
      </c>
      <c r="BJ390" s="4" t="str">
        <f>IF(Tabla4[[#This Row],[Estado mesa]]="Ocupada","00:15","00:00")</f>
        <v>00:00</v>
      </c>
      <c r="BK390" cm="1">
        <f t="array" ref="BK390">SUM(IF(Cocina!A:A=Tabla4[[#This Row],[Número de Orden]],Cocina!H:H,0))</f>
        <v>171</v>
      </c>
    </row>
    <row r="391" spans="1:63" x14ac:dyDescent="0.3">
      <c r="A391" s="8" t="str">
        <f>MID(Tabla4[[#This Row],[Cliente]], SEARCH("_", Tabla4[[#This Row],[Cliente]]) + 1, LEN(Tabla4[[#This Row],[Cliente]]) - SEARCH("_",Tabla4[[#This Row],[Cliente]]))</f>
        <v>667</v>
      </c>
      <c r="B391">
        <f>sala!K390</f>
        <v>389</v>
      </c>
      <c r="C391">
        <f>Tabla4[[#This Row],[Propina]]+Tabla4[[#This Row],[Precio Cena]]</f>
        <v>3947</v>
      </c>
      <c r="D391" s="3">
        <f>INT(sala!E390)</f>
        <v>45021</v>
      </c>
      <c r="E391" s="4">
        <f>MOD( sala!D390,1)</f>
        <v>1.3888888861401938E-3</v>
      </c>
      <c r="F391" s="4">
        <f>MOD( sala!E390,1)</f>
        <v>9.375E-2</v>
      </c>
      <c r="G391" s="4">
        <f>Tabla5[[#This Row],[Hora de Salida]]-Tabla5[[#This Row],[Hora de Llegada]]+Tabla4[[#This Row],[Tiempo Extra]]</f>
        <v>9.2361111113859806E-2</v>
      </c>
      <c r="H391" s="5" t="str">
        <f>TEXT(Tabla4[[#This Row],[Preparación en horas]]/1440, "h:mm")</f>
        <v>0:24</v>
      </c>
      <c r="I391" s="4">
        <f>IF(Tabla5[[#This Row],[Tiempo Permanencia]]-Tabla5[[#This Row],[Tiempo de Preparación ]]&gt;=0,Tabla5[[#This Row],[Tiempo Permanencia]]-Tabla5[[#This Row],[Tiempo de Preparación ]],0)</f>
        <v>7.5694444447193143E-2</v>
      </c>
      <c r="J391" s="5" t="str">
        <f>IF(Tabla5[[#This Row],[Tiempo de Degustación]]=0,"No Cobrada","Cobrada")</f>
        <v>Cobrada</v>
      </c>
      <c r="K391" s="5" cm="1">
        <f t="array" ref="K391">SUM(IF(Tabla5[[#This Row],[Orden Cobrada]]="Cobrada",IF(Cocina!A:A=Tabla5[[#This Row],[Nº Orden]],Cocina!F:F*Cocina!G:G,0),-Tabla6[[#This Row],[Precio Cena]]))</f>
        <v>33</v>
      </c>
      <c r="L391" s="5">
        <f>IF(Tabla5[[#This Row],[Orden Cobrada]]="Cobrada",Tabla5[[#This Row],[Ganancia Bruta]]-Tabla6[[#This Row],[Coste Cena]],-Tabla6[[#This Row],[Precio Cena]]+Tabla6[[#This Row],[Coste Cena]])</f>
        <v>13</v>
      </c>
      <c r="M391" s="10">
        <f>IF(Tabla5[[#This Row],[Orden Cobrada]]="Cobrada",((Tabla5[[#This Row],[Ganancia Neta]]/Tabla5[[#This Row],[Ganancia Bruta]])*100)/100,-((Tabla5[[#This Row],[Ganancia Neta]]/Tabla5[[#This Row],[Ganancia Bruta]]*100)/100))</f>
        <v>0.39393939393939392</v>
      </c>
      <c r="N391" s="5" t="str">
        <f>sala!F390</f>
        <v>Mesero_3</v>
      </c>
      <c r="AY391" cm="1">
        <f t="array" ref="AY391">SUM(IF(Cocina!A:A=Tabla5[[#This Row],[Nº Orden]],Cocina!F:F*Cocina!G:G,0))</f>
        <v>33</v>
      </c>
      <c r="AZ391" cm="1">
        <f t="array" ref="AZ391">SUM(IF(Cocina!A:A=Tabla5[[#This Row],[Nº Orden]],Cocina!E:E*Cocina!G:G,0))</f>
        <v>20</v>
      </c>
      <c r="BB391" t="str">
        <f>MID(Tabla4[[#This Row],[Cliente]], SEARCH("_", Tabla4[[#This Row],[Cliente]]) + 1, LEN(Tabla4[[#This Row],[Cliente]]) - SEARCH("_",Tabla4[[#This Row],[Cliente]]))</f>
        <v>667</v>
      </c>
      <c r="BC391" t="str">
        <f>sala!B390</f>
        <v>Cliente_667</v>
      </c>
      <c r="BD391" s="1">
        <f>sala!D390</f>
        <v>45021.001388888886</v>
      </c>
      <c r="BE391" s="1">
        <f>sala!E390</f>
        <v>45021.09375</v>
      </c>
      <c r="BF391">
        <f>sala!K390</f>
        <v>389</v>
      </c>
      <c r="BG391">
        <f>sala!I390</f>
        <v>3914</v>
      </c>
      <c r="BH391" cm="1">
        <f t="array" ref="BH391">SUM(IF(Cocina!A:A=Tabla4[[#This Row],[Número de Orden]],Cocina!F:F*Cocina!G:G,0))</f>
        <v>33</v>
      </c>
      <c r="BI391" t="str">
        <f>sala!J390</f>
        <v>Reservada</v>
      </c>
      <c r="BJ391" s="4" t="str">
        <f>IF(Tabla4[[#This Row],[Estado mesa]]="Ocupada","00:15","00:00")</f>
        <v>00:00</v>
      </c>
      <c r="BK391" cm="1">
        <f t="array" ref="BK391">SUM(IF(Cocina!A:A=Tabla4[[#This Row],[Número de Orden]],Cocina!H:H,0))</f>
        <v>24</v>
      </c>
    </row>
    <row r="392" spans="1:63" x14ac:dyDescent="0.3">
      <c r="A392" s="8" t="str">
        <f>MID(Tabla4[[#This Row],[Cliente]], SEARCH("_", Tabla4[[#This Row],[Cliente]]) + 1, LEN(Tabla4[[#This Row],[Cliente]]) - SEARCH("_",Tabla4[[#This Row],[Cliente]]))</f>
        <v>874</v>
      </c>
      <c r="B392">
        <f>sala!K391</f>
        <v>390</v>
      </c>
      <c r="C392">
        <f>Tabla4[[#This Row],[Propina]]+Tabla4[[#This Row],[Precio Cena]]</f>
        <v>4411</v>
      </c>
      <c r="D392" s="3">
        <f>INT(sala!E391)</f>
        <v>45021</v>
      </c>
      <c r="E392" s="4">
        <f>MOD( sala!D391,1)</f>
        <v>0.12430555555329192</v>
      </c>
      <c r="F392" s="4">
        <f>MOD( sala!E391,1)</f>
        <v>0.22152777777955635</v>
      </c>
      <c r="G392" s="4">
        <f>Tabla5[[#This Row],[Hora de Salida]]-Tabla5[[#This Row],[Hora de Llegada]]+Tabla4[[#This Row],[Tiempo Extra]]</f>
        <v>9.7222222226264421E-2</v>
      </c>
      <c r="H392" s="5" t="str">
        <f>TEXT(Tabla4[[#This Row],[Preparación en horas]]/1440, "h:mm")</f>
        <v>1:33</v>
      </c>
      <c r="I392" s="4">
        <f>IF(Tabla5[[#This Row],[Tiempo Permanencia]]-Tabla5[[#This Row],[Tiempo de Preparación ]]&gt;=0,Tabla5[[#This Row],[Tiempo Permanencia]]-Tabla5[[#This Row],[Tiempo de Preparación ]],0)</f>
        <v>3.2638888892931081E-2</v>
      </c>
      <c r="J392" s="5" t="str">
        <f>IF(Tabla5[[#This Row],[Tiempo de Degustación]]=0,"No Cobrada","Cobrada")</f>
        <v>Cobrada</v>
      </c>
      <c r="K392" s="5" cm="1">
        <f t="array" ref="K392">SUM(IF(Tabla5[[#This Row],[Orden Cobrada]]="Cobrada",IF(Cocina!A:A=Tabla5[[#This Row],[Nº Orden]],Cocina!F:F*Cocina!G:G,0),-Tabla6[[#This Row],[Precio Cena]]))</f>
        <v>143</v>
      </c>
      <c r="L392" s="5">
        <f>IF(Tabla5[[#This Row],[Orden Cobrada]]="Cobrada",Tabla5[[#This Row],[Ganancia Bruta]]-Tabla6[[#This Row],[Coste Cena]],-Tabla6[[#This Row],[Precio Cena]]+Tabla6[[#This Row],[Coste Cena]])</f>
        <v>59</v>
      </c>
      <c r="M392" s="10">
        <f>IF(Tabla5[[#This Row],[Orden Cobrada]]="Cobrada",((Tabla5[[#This Row],[Ganancia Neta]]/Tabla5[[#This Row],[Ganancia Bruta]])*100)/100,-((Tabla5[[#This Row],[Ganancia Neta]]/Tabla5[[#This Row],[Ganancia Bruta]]*100)/100))</f>
        <v>0.41258741258741261</v>
      </c>
      <c r="N392" s="5" t="str">
        <f>sala!F391</f>
        <v>Mesero_3</v>
      </c>
      <c r="AY392" cm="1">
        <f t="array" ref="AY392">SUM(IF(Cocina!A:A=Tabla5[[#This Row],[Nº Orden]],Cocina!F:F*Cocina!G:G,0))</f>
        <v>143</v>
      </c>
      <c r="AZ392" cm="1">
        <f t="array" ref="AZ392">SUM(IF(Cocina!A:A=Tabla5[[#This Row],[Nº Orden]],Cocina!E:E*Cocina!G:G,0))</f>
        <v>84</v>
      </c>
      <c r="BB392" t="str">
        <f>MID(Tabla4[[#This Row],[Cliente]], SEARCH("_", Tabla4[[#This Row],[Cliente]]) + 1, LEN(Tabla4[[#This Row],[Cliente]]) - SEARCH("_",Tabla4[[#This Row],[Cliente]]))</f>
        <v>874</v>
      </c>
      <c r="BC392" t="str">
        <f>sala!B391</f>
        <v>Cliente_874</v>
      </c>
      <c r="BD392" s="1">
        <f>sala!D391</f>
        <v>45021.124305555553</v>
      </c>
      <c r="BE392" s="1">
        <f>sala!E391</f>
        <v>45021.22152777778</v>
      </c>
      <c r="BF392">
        <f>sala!K391</f>
        <v>390</v>
      </c>
      <c r="BG392">
        <f>sala!I391</f>
        <v>4268</v>
      </c>
      <c r="BH392" cm="1">
        <f t="array" ref="BH392">SUM(IF(Cocina!A:A=Tabla4[[#This Row],[Número de Orden]],Cocina!F:F*Cocina!G:G,0))</f>
        <v>143</v>
      </c>
      <c r="BI392" t="str">
        <f>sala!J391</f>
        <v>Reservada</v>
      </c>
      <c r="BJ392" s="4" t="str">
        <f>IF(Tabla4[[#This Row],[Estado mesa]]="Ocupada","00:15","00:00")</f>
        <v>00:00</v>
      </c>
      <c r="BK392" cm="1">
        <f t="array" ref="BK392">SUM(IF(Cocina!A:A=Tabla4[[#This Row],[Número de Orden]],Cocina!H:H,0))</f>
        <v>93</v>
      </c>
    </row>
    <row r="393" spans="1:63" x14ac:dyDescent="0.3">
      <c r="A393" s="8" t="str">
        <f>MID(Tabla4[[#This Row],[Cliente]], SEARCH("_", Tabla4[[#This Row],[Cliente]]) + 1, LEN(Tabla4[[#This Row],[Cliente]]) - SEARCH("_",Tabla4[[#This Row],[Cliente]]))</f>
        <v>609</v>
      </c>
      <c r="B393">
        <f>sala!K392</f>
        <v>391</v>
      </c>
      <c r="C393">
        <f>Tabla4[[#This Row],[Propina]]+Tabla4[[#This Row],[Precio Cena]]</f>
        <v>508</v>
      </c>
      <c r="D393" s="3">
        <f>INT(sala!E392)</f>
        <v>45021</v>
      </c>
      <c r="E393" s="4">
        <f>MOD( sala!D392,1)</f>
        <v>8.6805555554747116E-2</v>
      </c>
      <c r="F393" s="4">
        <f>MOD( sala!E392,1)</f>
        <v>0.17291666667006211</v>
      </c>
      <c r="G393" s="4">
        <f>Tabla5[[#This Row],[Hora de Salida]]-Tabla5[[#This Row],[Hora de Llegada]]+Tabla4[[#This Row],[Tiempo Extra]]</f>
        <v>8.6111111115314998E-2</v>
      </c>
      <c r="H393" s="5" t="str">
        <f>TEXT(Tabla4[[#This Row],[Preparación en horas]]/1440, "h:mm")</f>
        <v>0:35</v>
      </c>
      <c r="I393" s="4">
        <f>IF(Tabla5[[#This Row],[Tiempo Permanencia]]-Tabla5[[#This Row],[Tiempo de Preparación ]]&gt;=0,Tabla5[[#This Row],[Tiempo Permanencia]]-Tabla5[[#This Row],[Tiempo de Preparación ]],0)</f>
        <v>6.1805555559759445E-2</v>
      </c>
      <c r="J393" s="5" t="str">
        <f>IF(Tabla5[[#This Row],[Tiempo de Degustación]]=0,"No Cobrada","Cobrada")</f>
        <v>Cobrada</v>
      </c>
      <c r="K393" s="5" cm="1">
        <f t="array" ref="K393">SUM(IF(Tabla5[[#This Row],[Orden Cobrada]]="Cobrada",IF(Cocina!A:A=Tabla5[[#This Row],[Nº Orden]],Cocina!F:F*Cocina!G:G,0),-Tabla6[[#This Row],[Precio Cena]]))</f>
        <v>22</v>
      </c>
      <c r="L393" s="5">
        <f>IF(Tabla5[[#This Row],[Orden Cobrada]]="Cobrada",Tabla5[[#This Row],[Ganancia Bruta]]-Tabla6[[#This Row],[Coste Cena]],-Tabla6[[#This Row],[Precio Cena]]+Tabla6[[#This Row],[Coste Cena]])</f>
        <v>9</v>
      </c>
      <c r="M393" s="10">
        <f>IF(Tabla5[[#This Row],[Orden Cobrada]]="Cobrada",((Tabla5[[#This Row],[Ganancia Neta]]/Tabla5[[#This Row],[Ganancia Bruta]])*100)/100,-((Tabla5[[#This Row],[Ganancia Neta]]/Tabla5[[#This Row],[Ganancia Bruta]]*100)/100))</f>
        <v>0.40909090909090912</v>
      </c>
      <c r="N393" s="5" t="str">
        <f>sala!F392</f>
        <v>Mesero_3</v>
      </c>
      <c r="AY393" cm="1">
        <f t="array" ref="AY393">SUM(IF(Cocina!A:A=Tabla5[[#This Row],[Nº Orden]],Cocina!F:F*Cocina!G:G,0))</f>
        <v>22</v>
      </c>
      <c r="AZ393" cm="1">
        <f t="array" ref="AZ393">SUM(IF(Cocina!A:A=Tabla5[[#This Row],[Nº Orden]],Cocina!E:E*Cocina!G:G,0))</f>
        <v>13</v>
      </c>
      <c r="BB393" t="str">
        <f>MID(Tabla4[[#This Row],[Cliente]], SEARCH("_", Tabla4[[#This Row],[Cliente]]) + 1, LEN(Tabla4[[#This Row],[Cliente]]) - SEARCH("_",Tabla4[[#This Row],[Cliente]]))</f>
        <v>609</v>
      </c>
      <c r="BC393" t="str">
        <f>sala!B392</f>
        <v>Cliente_609</v>
      </c>
      <c r="BD393" s="1">
        <f>sala!D392</f>
        <v>45021.086805555555</v>
      </c>
      <c r="BE393" s="1">
        <f>sala!E392</f>
        <v>45021.17291666667</v>
      </c>
      <c r="BF393">
        <f>sala!K392</f>
        <v>391</v>
      </c>
      <c r="BG393">
        <f>sala!I392</f>
        <v>486</v>
      </c>
      <c r="BH393" cm="1">
        <f t="array" ref="BH393">SUM(IF(Cocina!A:A=Tabla4[[#This Row],[Número de Orden]],Cocina!F:F*Cocina!G:G,0))</f>
        <v>22</v>
      </c>
      <c r="BI393" t="str">
        <f>sala!J392</f>
        <v>Reservada</v>
      </c>
      <c r="BJ393" s="4" t="str">
        <f>IF(Tabla4[[#This Row],[Estado mesa]]="Ocupada","00:15","00:00")</f>
        <v>00:00</v>
      </c>
      <c r="BK393" cm="1">
        <f t="array" ref="BK393">SUM(IF(Cocina!A:A=Tabla4[[#This Row],[Número de Orden]],Cocina!H:H,0))</f>
        <v>35</v>
      </c>
    </row>
    <row r="394" spans="1:63" x14ac:dyDescent="0.3">
      <c r="A394" s="8" t="str">
        <f>MID(Tabla4[[#This Row],[Cliente]], SEARCH("_", Tabla4[[#This Row],[Cliente]]) + 1, LEN(Tabla4[[#This Row],[Cliente]]) - SEARCH("_",Tabla4[[#This Row],[Cliente]]))</f>
        <v>471</v>
      </c>
      <c r="B394">
        <f>sala!K393</f>
        <v>392</v>
      </c>
      <c r="C394">
        <f>Tabla4[[#This Row],[Propina]]+Tabla4[[#This Row],[Precio Cena]]</f>
        <v>3393</v>
      </c>
      <c r="D394" s="3">
        <f>INT(sala!E393)</f>
        <v>45021</v>
      </c>
      <c r="E394" s="4">
        <f>MOD( sala!D393,1)</f>
        <v>2.2916666668606922E-2</v>
      </c>
      <c r="F394" s="4">
        <f>MOD( sala!E393,1)</f>
        <v>0.17222222222335404</v>
      </c>
      <c r="G394" s="4">
        <f>Tabla5[[#This Row],[Hora de Salida]]-Tabla5[[#This Row],[Hora de Llegada]]+Tabla4[[#This Row],[Tiempo Extra]]</f>
        <v>0.15972222222141377</v>
      </c>
      <c r="H394" s="5" t="str">
        <f>TEXT(Tabla4[[#This Row],[Preparación en horas]]/1440, "h:mm")</f>
        <v>0:54</v>
      </c>
      <c r="I394" s="4">
        <f>IF(Tabla5[[#This Row],[Tiempo Permanencia]]-Tabla5[[#This Row],[Tiempo de Preparación ]]&gt;=0,Tabla5[[#This Row],[Tiempo Permanencia]]-Tabla5[[#This Row],[Tiempo de Preparación ]],0)</f>
        <v>0.12222222222141377</v>
      </c>
      <c r="J394" s="5" t="str">
        <f>IF(Tabla5[[#This Row],[Tiempo de Degustación]]=0,"No Cobrada","Cobrada")</f>
        <v>Cobrada</v>
      </c>
      <c r="K394" s="5" cm="1">
        <f t="array" ref="K394">SUM(IF(Tabla5[[#This Row],[Orden Cobrada]]="Cobrada",IF(Cocina!A:A=Tabla5[[#This Row],[Nº Orden]],Cocina!F:F*Cocina!G:G,0),-Tabla6[[#This Row],[Precio Cena]]))</f>
        <v>120</v>
      </c>
      <c r="L394" s="5">
        <f>IF(Tabla5[[#This Row],[Orden Cobrada]]="Cobrada",Tabla5[[#This Row],[Ganancia Bruta]]-Tabla6[[#This Row],[Coste Cena]],-Tabla6[[#This Row],[Precio Cena]]+Tabla6[[#This Row],[Coste Cena]])</f>
        <v>49</v>
      </c>
      <c r="M394" s="10">
        <f>IF(Tabla5[[#This Row],[Orden Cobrada]]="Cobrada",((Tabla5[[#This Row],[Ganancia Neta]]/Tabla5[[#This Row],[Ganancia Bruta]])*100)/100,-((Tabla5[[#This Row],[Ganancia Neta]]/Tabla5[[#This Row],[Ganancia Bruta]]*100)/100))</f>
        <v>0.40833333333333338</v>
      </c>
      <c r="N394" s="5" t="str">
        <f>sala!F393</f>
        <v>Mesero_2</v>
      </c>
      <c r="AY394" cm="1">
        <f t="array" ref="AY394">SUM(IF(Cocina!A:A=Tabla5[[#This Row],[Nº Orden]],Cocina!F:F*Cocina!G:G,0))</f>
        <v>120</v>
      </c>
      <c r="AZ394" cm="1">
        <f t="array" ref="AZ394">SUM(IF(Cocina!A:A=Tabla5[[#This Row],[Nº Orden]],Cocina!E:E*Cocina!G:G,0))</f>
        <v>71</v>
      </c>
      <c r="BB394" t="str">
        <f>MID(Tabla4[[#This Row],[Cliente]], SEARCH("_", Tabla4[[#This Row],[Cliente]]) + 1, LEN(Tabla4[[#This Row],[Cliente]]) - SEARCH("_",Tabla4[[#This Row],[Cliente]]))</f>
        <v>471</v>
      </c>
      <c r="BC394" t="str">
        <f>sala!B393</f>
        <v>Cliente_471</v>
      </c>
      <c r="BD394" s="1">
        <f>sala!D393</f>
        <v>45021.022916666669</v>
      </c>
      <c r="BE394" s="1">
        <f>sala!E393</f>
        <v>45021.172222222223</v>
      </c>
      <c r="BF394">
        <f>sala!K393</f>
        <v>392</v>
      </c>
      <c r="BG394">
        <f>sala!I393</f>
        <v>3273</v>
      </c>
      <c r="BH394" cm="1">
        <f t="array" ref="BH394">SUM(IF(Cocina!A:A=Tabla4[[#This Row],[Número de Orden]],Cocina!F:F*Cocina!G:G,0))</f>
        <v>120</v>
      </c>
      <c r="BI394" t="str">
        <f>sala!J393</f>
        <v>Ocupada</v>
      </c>
      <c r="BJ394" s="4" t="str">
        <f>IF(Tabla4[[#This Row],[Estado mesa]]="Ocupada","00:15","00:00")</f>
        <v>00:15</v>
      </c>
      <c r="BK394" cm="1">
        <f t="array" ref="BK394">SUM(IF(Cocina!A:A=Tabla4[[#This Row],[Número de Orden]],Cocina!H:H,0))</f>
        <v>54</v>
      </c>
    </row>
    <row r="395" spans="1:63" x14ac:dyDescent="0.3">
      <c r="A395" s="8" t="str">
        <f>MID(Tabla4[[#This Row],[Cliente]], SEARCH("_", Tabla4[[#This Row],[Cliente]]) + 1, LEN(Tabla4[[#This Row],[Cliente]]) - SEARCH("_",Tabla4[[#This Row],[Cliente]]))</f>
        <v>196</v>
      </c>
      <c r="B395">
        <f>sala!K394</f>
        <v>393</v>
      </c>
      <c r="C395">
        <f>Tabla4[[#This Row],[Propina]]+Tabla4[[#This Row],[Precio Cena]]</f>
        <v>1462</v>
      </c>
      <c r="D395" s="3">
        <f>INT(sala!E394)</f>
        <v>45021</v>
      </c>
      <c r="E395" s="4">
        <f>MOD( sala!D394,1)</f>
        <v>0.10624999999708962</v>
      </c>
      <c r="F395" s="4">
        <f>MOD( sala!E394,1)</f>
        <v>0.22013888888614019</v>
      </c>
      <c r="G395" s="4">
        <f>Tabla5[[#This Row],[Hora de Salida]]-Tabla5[[#This Row],[Hora de Llegada]]+Tabla4[[#This Row],[Tiempo Extra]]</f>
        <v>0.12430555555571725</v>
      </c>
      <c r="H395" s="5" t="str">
        <f>TEXT(Tabla4[[#This Row],[Preparación en horas]]/1440, "h:mm")</f>
        <v>1:49</v>
      </c>
      <c r="I395" s="4">
        <f>IF(Tabla5[[#This Row],[Tiempo Permanencia]]-Tabla5[[#This Row],[Tiempo de Preparación ]]&gt;=0,Tabla5[[#This Row],[Tiempo Permanencia]]-Tabla5[[#This Row],[Tiempo de Preparación ]],0)</f>
        <v>4.8611111111272809E-2</v>
      </c>
      <c r="J395" s="5" t="str">
        <f>IF(Tabla5[[#This Row],[Tiempo de Degustación]]=0,"No Cobrada","Cobrada")</f>
        <v>Cobrada</v>
      </c>
      <c r="K395" s="5" cm="1">
        <f t="array" ref="K395">SUM(IF(Tabla5[[#This Row],[Orden Cobrada]]="Cobrada",IF(Cocina!A:A=Tabla5[[#This Row],[Nº Orden]],Cocina!F:F*Cocina!G:G,0),-Tabla6[[#This Row],[Precio Cena]]))</f>
        <v>208</v>
      </c>
      <c r="L395" s="5">
        <f>IF(Tabla5[[#This Row],[Orden Cobrada]]="Cobrada",Tabla5[[#This Row],[Ganancia Bruta]]-Tabla6[[#This Row],[Coste Cena]],-Tabla6[[#This Row],[Precio Cena]]+Tabla6[[#This Row],[Coste Cena]])</f>
        <v>84</v>
      </c>
      <c r="M395" s="10">
        <f>IF(Tabla5[[#This Row],[Orden Cobrada]]="Cobrada",((Tabla5[[#This Row],[Ganancia Neta]]/Tabla5[[#This Row],[Ganancia Bruta]])*100)/100,-((Tabla5[[#This Row],[Ganancia Neta]]/Tabla5[[#This Row],[Ganancia Bruta]]*100)/100))</f>
        <v>0.40384615384615385</v>
      </c>
      <c r="N395" s="5" t="str">
        <f>sala!F394</f>
        <v>Mesero_4</v>
      </c>
      <c r="AY395" cm="1">
        <f t="array" ref="AY395">SUM(IF(Cocina!A:A=Tabla5[[#This Row],[Nº Orden]],Cocina!F:F*Cocina!G:G,0))</f>
        <v>208</v>
      </c>
      <c r="AZ395" cm="1">
        <f t="array" ref="AZ395">SUM(IF(Cocina!A:A=Tabla5[[#This Row],[Nº Orden]],Cocina!E:E*Cocina!G:G,0))</f>
        <v>124</v>
      </c>
      <c r="BB395" t="str">
        <f>MID(Tabla4[[#This Row],[Cliente]], SEARCH("_", Tabla4[[#This Row],[Cliente]]) + 1, LEN(Tabla4[[#This Row],[Cliente]]) - SEARCH("_",Tabla4[[#This Row],[Cliente]]))</f>
        <v>196</v>
      </c>
      <c r="BC395" t="str">
        <f>sala!B394</f>
        <v>Cliente_196</v>
      </c>
      <c r="BD395" s="1">
        <f>sala!D394</f>
        <v>45021.106249999997</v>
      </c>
      <c r="BE395" s="1">
        <f>sala!E394</f>
        <v>45021.220138888886</v>
      </c>
      <c r="BF395">
        <f>sala!K394</f>
        <v>393</v>
      </c>
      <c r="BG395">
        <f>sala!I394</f>
        <v>1254</v>
      </c>
      <c r="BH395" cm="1">
        <f t="array" ref="BH395">SUM(IF(Cocina!A:A=Tabla4[[#This Row],[Número de Orden]],Cocina!F:F*Cocina!G:G,0))</f>
        <v>208</v>
      </c>
      <c r="BI395" t="str">
        <f>sala!J394</f>
        <v>Ocupada</v>
      </c>
      <c r="BJ395" s="4" t="str">
        <f>IF(Tabla4[[#This Row],[Estado mesa]]="Ocupada","00:15","00:00")</f>
        <v>00:15</v>
      </c>
      <c r="BK395" cm="1">
        <f t="array" ref="BK395">SUM(IF(Cocina!A:A=Tabla4[[#This Row],[Número de Orden]],Cocina!H:H,0))</f>
        <v>109</v>
      </c>
    </row>
    <row r="396" spans="1:63" x14ac:dyDescent="0.3">
      <c r="A396" s="8" t="str">
        <f>MID(Tabla4[[#This Row],[Cliente]], SEARCH("_", Tabla4[[#This Row],[Cliente]]) + 1, LEN(Tabla4[[#This Row],[Cliente]]) - SEARCH("_",Tabla4[[#This Row],[Cliente]]))</f>
        <v>740</v>
      </c>
      <c r="B396">
        <f>sala!K395</f>
        <v>394</v>
      </c>
      <c r="C396">
        <f>Tabla4[[#This Row],[Propina]]+Tabla4[[#This Row],[Precio Cena]]</f>
        <v>1882</v>
      </c>
      <c r="D396" s="3">
        <f>INT(sala!E395)</f>
        <v>45021</v>
      </c>
      <c r="E396" s="4">
        <f>MOD( sala!D395,1)</f>
        <v>0.14305555555620231</v>
      </c>
      <c r="F396" s="4">
        <f>MOD( sala!E395,1)</f>
        <v>0.2930555555576575</v>
      </c>
      <c r="G396" s="4">
        <f>Tabla5[[#This Row],[Hora de Salida]]-Tabla5[[#This Row],[Hora de Llegada]]+Tabla4[[#This Row],[Tiempo Extra]]</f>
        <v>0.16041666666812185</v>
      </c>
      <c r="H396" s="5" t="str">
        <f>TEXT(Tabla4[[#This Row],[Preparación en horas]]/1440, "h:mm")</f>
        <v>0:47</v>
      </c>
      <c r="I396" s="4">
        <f>IF(Tabla5[[#This Row],[Tiempo Permanencia]]-Tabla5[[#This Row],[Tiempo de Preparación ]]&gt;=0,Tabla5[[#This Row],[Tiempo Permanencia]]-Tabla5[[#This Row],[Tiempo de Preparación ]],0)</f>
        <v>0.12777777777923296</v>
      </c>
      <c r="J396" s="5" t="str">
        <f>IF(Tabla5[[#This Row],[Tiempo de Degustación]]=0,"No Cobrada","Cobrada")</f>
        <v>Cobrada</v>
      </c>
      <c r="K396" s="5" cm="1">
        <f t="array" ref="K396">SUM(IF(Tabla5[[#This Row],[Orden Cobrada]]="Cobrada",IF(Cocina!A:A=Tabla5[[#This Row],[Nº Orden]],Cocina!F:F*Cocina!G:G,0),-Tabla6[[#This Row],[Precio Cena]]))</f>
        <v>77</v>
      </c>
      <c r="L396" s="5">
        <f>IF(Tabla5[[#This Row],[Orden Cobrada]]="Cobrada",Tabla5[[#This Row],[Ganancia Bruta]]-Tabla6[[#This Row],[Coste Cena]],-Tabla6[[#This Row],[Precio Cena]]+Tabla6[[#This Row],[Coste Cena]])</f>
        <v>32</v>
      </c>
      <c r="M396" s="10">
        <f>IF(Tabla5[[#This Row],[Orden Cobrada]]="Cobrada",((Tabla5[[#This Row],[Ganancia Neta]]/Tabla5[[#This Row],[Ganancia Bruta]])*100)/100,-((Tabla5[[#This Row],[Ganancia Neta]]/Tabla5[[#This Row],[Ganancia Bruta]]*100)/100))</f>
        <v>0.41558441558441556</v>
      </c>
      <c r="N396" s="5" t="str">
        <f>sala!F395</f>
        <v>Mesero_3</v>
      </c>
      <c r="AY396" cm="1">
        <f t="array" ref="AY396">SUM(IF(Cocina!A:A=Tabla5[[#This Row],[Nº Orden]],Cocina!F:F*Cocina!G:G,0))</f>
        <v>77</v>
      </c>
      <c r="AZ396" cm="1">
        <f t="array" ref="AZ396">SUM(IF(Cocina!A:A=Tabla5[[#This Row],[Nº Orden]],Cocina!E:E*Cocina!G:G,0))</f>
        <v>45</v>
      </c>
      <c r="BB396" t="str">
        <f>MID(Tabla4[[#This Row],[Cliente]], SEARCH("_", Tabla4[[#This Row],[Cliente]]) + 1, LEN(Tabla4[[#This Row],[Cliente]]) - SEARCH("_",Tabla4[[#This Row],[Cliente]]))</f>
        <v>740</v>
      </c>
      <c r="BC396" t="str">
        <f>sala!B395</f>
        <v>Cliente_740</v>
      </c>
      <c r="BD396" s="1">
        <f>sala!D395</f>
        <v>45021.143055555556</v>
      </c>
      <c r="BE396" s="1">
        <f>sala!E395</f>
        <v>45021.293055555558</v>
      </c>
      <c r="BF396">
        <f>sala!K395</f>
        <v>394</v>
      </c>
      <c r="BG396">
        <f>sala!I395</f>
        <v>1805</v>
      </c>
      <c r="BH396" cm="1">
        <f t="array" ref="BH396">SUM(IF(Cocina!A:A=Tabla4[[#This Row],[Número de Orden]],Cocina!F:F*Cocina!G:G,0))</f>
        <v>77</v>
      </c>
      <c r="BI396" t="str">
        <f>sala!J395</f>
        <v>Ocupada</v>
      </c>
      <c r="BJ396" s="4" t="str">
        <f>IF(Tabla4[[#This Row],[Estado mesa]]="Ocupada","00:15","00:00")</f>
        <v>00:15</v>
      </c>
      <c r="BK396" cm="1">
        <f t="array" ref="BK396">SUM(IF(Cocina!A:A=Tabla4[[#This Row],[Número de Orden]],Cocina!H:H,0))</f>
        <v>47</v>
      </c>
    </row>
    <row r="397" spans="1:63" x14ac:dyDescent="0.3">
      <c r="A397" s="8" t="str">
        <f>MID(Tabla4[[#This Row],[Cliente]], SEARCH("_", Tabla4[[#This Row],[Cliente]]) + 1, LEN(Tabla4[[#This Row],[Cliente]]) - SEARCH("_",Tabla4[[#This Row],[Cliente]]))</f>
        <v>563</v>
      </c>
      <c r="B397">
        <f>sala!K396</f>
        <v>395</v>
      </c>
      <c r="C397">
        <f>Tabla4[[#This Row],[Propina]]+Tabla4[[#This Row],[Precio Cena]]</f>
        <v>447</v>
      </c>
      <c r="D397" s="3">
        <f>INT(sala!E396)</f>
        <v>45021</v>
      </c>
      <c r="E397" s="4">
        <f>MOD( sala!D396,1)</f>
        <v>6.7361111112404615E-2</v>
      </c>
      <c r="F397" s="4">
        <f>MOD( sala!E396,1)</f>
        <v>0.23194444444379769</v>
      </c>
      <c r="G397" s="4">
        <f>Tabla5[[#This Row],[Hora de Salida]]-Tabla5[[#This Row],[Hora de Llegada]]+Tabla4[[#This Row],[Tiempo Extra]]</f>
        <v>0.16458333333139308</v>
      </c>
      <c r="H397" s="5" t="str">
        <f>TEXT(Tabla4[[#This Row],[Preparación en horas]]/1440, "h:mm")</f>
        <v>0:08</v>
      </c>
      <c r="I397" s="4">
        <f>IF(Tabla5[[#This Row],[Tiempo Permanencia]]-Tabla5[[#This Row],[Tiempo de Preparación ]]&gt;=0,Tabla5[[#This Row],[Tiempo Permanencia]]-Tabla5[[#This Row],[Tiempo de Preparación ]],0)</f>
        <v>0.15902777777583751</v>
      </c>
      <c r="J397" s="5" t="str">
        <f>IF(Tabla5[[#This Row],[Tiempo de Degustación]]=0,"No Cobrada","Cobrada")</f>
        <v>Cobrada</v>
      </c>
      <c r="K397" s="5" cm="1">
        <f t="array" ref="K397">SUM(IF(Tabla5[[#This Row],[Orden Cobrada]]="Cobrada",IF(Cocina!A:A=Tabla5[[#This Row],[Nº Orden]],Cocina!F:F*Cocina!G:G,0),-Tabla6[[#This Row],[Precio Cena]]))</f>
        <v>38</v>
      </c>
      <c r="L397" s="5">
        <f>IF(Tabla5[[#This Row],[Orden Cobrada]]="Cobrada",Tabla5[[#This Row],[Ganancia Bruta]]-Tabla6[[#This Row],[Coste Cena]],-Tabla6[[#This Row],[Precio Cena]]+Tabla6[[#This Row],[Coste Cena]])</f>
        <v>16</v>
      </c>
      <c r="M397" s="10">
        <f>IF(Tabla5[[#This Row],[Orden Cobrada]]="Cobrada",((Tabla5[[#This Row],[Ganancia Neta]]/Tabla5[[#This Row],[Ganancia Bruta]])*100)/100,-((Tabla5[[#This Row],[Ganancia Neta]]/Tabla5[[#This Row],[Ganancia Bruta]]*100)/100))</f>
        <v>0.42105263157894735</v>
      </c>
      <c r="N397" s="5" t="str">
        <f>sala!F396</f>
        <v>Mesero_2</v>
      </c>
      <c r="AY397" cm="1">
        <f t="array" ref="AY397">SUM(IF(Cocina!A:A=Tabla5[[#This Row],[Nº Orden]],Cocina!F:F*Cocina!G:G,0))</f>
        <v>38</v>
      </c>
      <c r="AZ397" cm="1">
        <f t="array" ref="AZ397">SUM(IF(Cocina!A:A=Tabla5[[#This Row],[Nº Orden]],Cocina!E:E*Cocina!G:G,0))</f>
        <v>22</v>
      </c>
      <c r="BB397" t="str">
        <f>MID(Tabla4[[#This Row],[Cliente]], SEARCH("_", Tabla4[[#This Row],[Cliente]]) + 1, LEN(Tabla4[[#This Row],[Cliente]]) - SEARCH("_",Tabla4[[#This Row],[Cliente]]))</f>
        <v>563</v>
      </c>
      <c r="BC397" t="str">
        <f>sala!B396</f>
        <v>Cliente_563</v>
      </c>
      <c r="BD397" s="1">
        <f>sala!D396</f>
        <v>45021.067361111112</v>
      </c>
      <c r="BE397" s="1">
        <f>sala!E396</f>
        <v>45021.231944444444</v>
      </c>
      <c r="BF397">
        <f>sala!K396</f>
        <v>395</v>
      </c>
      <c r="BG397">
        <f>sala!I396</f>
        <v>409</v>
      </c>
      <c r="BH397" cm="1">
        <f t="array" ref="BH397">SUM(IF(Cocina!A:A=Tabla4[[#This Row],[Número de Orden]],Cocina!F:F*Cocina!G:G,0))</f>
        <v>38</v>
      </c>
      <c r="BI397" t="str">
        <f>sala!J396</f>
        <v>Libre</v>
      </c>
      <c r="BJ397" s="4" t="str">
        <f>IF(Tabla4[[#This Row],[Estado mesa]]="Ocupada","00:15","00:00")</f>
        <v>00:00</v>
      </c>
      <c r="BK397" cm="1">
        <f t="array" ref="BK397">SUM(IF(Cocina!A:A=Tabla4[[#This Row],[Número de Orden]],Cocina!H:H,0))</f>
        <v>8</v>
      </c>
    </row>
    <row r="398" spans="1:63" x14ac:dyDescent="0.3">
      <c r="A398" s="8" t="str">
        <f>MID(Tabla4[[#This Row],[Cliente]], SEARCH("_", Tabla4[[#This Row],[Cliente]]) + 1, LEN(Tabla4[[#This Row],[Cliente]]) - SEARCH("_",Tabla4[[#This Row],[Cliente]]))</f>
        <v>991</v>
      </c>
      <c r="B398">
        <f>sala!K397</f>
        <v>396</v>
      </c>
      <c r="C398">
        <f>Tabla4[[#This Row],[Propina]]+Tabla4[[#This Row],[Precio Cena]]</f>
        <v>428</v>
      </c>
      <c r="D398" s="3">
        <f>INT(sala!E397)</f>
        <v>45021</v>
      </c>
      <c r="E398" s="4">
        <f>MOD( sala!D397,1)</f>
        <v>2.2222222221898846E-2</v>
      </c>
      <c r="F398" s="4">
        <f>MOD( sala!E397,1)</f>
        <v>0.15000000000145519</v>
      </c>
      <c r="G398" s="4">
        <f>Tabla5[[#This Row],[Hora de Salida]]-Tabla5[[#This Row],[Hora de Llegada]]+Tabla4[[#This Row],[Tiempo Extra]]</f>
        <v>0.12777777777955635</v>
      </c>
      <c r="H398" s="5" t="str">
        <f>TEXT(Tabla4[[#This Row],[Preparación en horas]]/1440, "h:mm")</f>
        <v>0:57</v>
      </c>
      <c r="I398" s="4">
        <f>IF(Tabla5[[#This Row],[Tiempo Permanencia]]-Tabla5[[#This Row],[Tiempo de Preparación ]]&gt;=0,Tabla5[[#This Row],[Tiempo Permanencia]]-Tabla5[[#This Row],[Tiempo de Preparación ]],0)</f>
        <v>8.8194444446223014E-2</v>
      </c>
      <c r="J398" s="5" t="str">
        <f>IF(Tabla5[[#This Row],[Tiempo de Degustación]]=0,"No Cobrada","Cobrada")</f>
        <v>Cobrada</v>
      </c>
      <c r="K398" s="5" cm="1">
        <f t="array" ref="K398">SUM(IF(Tabla5[[#This Row],[Orden Cobrada]]="Cobrada",IF(Cocina!A:A=Tabla5[[#This Row],[Nº Orden]],Cocina!F:F*Cocina!G:G,0),-Tabla6[[#This Row],[Precio Cena]]))</f>
        <v>83</v>
      </c>
      <c r="L398" s="5">
        <f>IF(Tabla5[[#This Row],[Orden Cobrada]]="Cobrada",Tabla5[[#This Row],[Ganancia Bruta]]-Tabla6[[#This Row],[Coste Cena]],-Tabla6[[#This Row],[Precio Cena]]+Tabla6[[#This Row],[Coste Cena]])</f>
        <v>32</v>
      </c>
      <c r="M398" s="10">
        <f>IF(Tabla5[[#This Row],[Orden Cobrada]]="Cobrada",((Tabla5[[#This Row],[Ganancia Neta]]/Tabla5[[#This Row],[Ganancia Bruta]])*100)/100,-((Tabla5[[#This Row],[Ganancia Neta]]/Tabla5[[#This Row],[Ganancia Bruta]]*100)/100))</f>
        <v>0.38554216867469882</v>
      </c>
      <c r="N398" s="5" t="str">
        <f>sala!F397</f>
        <v>Mesero_2</v>
      </c>
      <c r="AY398" cm="1">
        <f t="array" ref="AY398">SUM(IF(Cocina!A:A=Tabla5[[#This Row],[Nº Orden]],Cocina!F:F*Cocina!G:G,0))</f>
        <v>83</v>
      </c>
      <c r="AZ398" cm="1">
        <f t="array" ref="AZ398">SUM(IF(Cocina!A:A=Tabla5[[#This Row],[Nº Orden]],Cocina!E:E*Cocina!G:G,0))</f>
        <v>51</v>
      </c>
      <c r="BB398" t="str">
        <f>MID(Tabla4[[#This Row],[Cliente]], SEARCH("_", Tabla4[[#This Row],[Cliente]]) + 1, LEN(Tabla4[[#This Row],[Cliente]]) - SEARCH("_",Tabla4[[#This Row],[Cliente]]))</f>
        <v>991</v>
      </c>
      <c r="BC398" t="str">
        <f>sala!B397</f>
        <v>Cliente_991</v>
      </c>
      <c r="BD398" s="1">
        <f>sala!D397</f>
        <v>45021.022222222222</v>
      </c>
      <c r="BE398" s="1">
        <f>sala!E397</f>
        <v>45021.15</v>
      </c>
      <c r="BF398">
        <f>sala!K397</f>
        <v>396</v>
      </c>
      <c r="BG398">
        <f>sala!I397</f>
        <v>345</v>
      </c>
      <c r="BH398" cm="1">
        <f t="array" ref="BH398">SUM(IF(Cocina!A:A=Tabla4[[#This Row],[Número de Orden]],Cocina!F:F*Cocina!G:G,0))</f>
        <v>83</v>
      </c>
      <c r="BI398" t="str">
        <f>sala!J397</f>
        <v>Libre</v>
      </c>
      <c r="BJ398" s="4" t="str">
        <f>IF(Tabla4[[#This Row],[Estado mesa]]="Ocupada","00:15","00:00")</f>
        <v>00:00</v>
      </c>
      <c r="BK398" cm="1">
        <f t="array" ref="BK398">SUM(IF(Cocina!A:A=Tabla4[[#This Row],[Número de Orden]],Cocina!H:H,0))</f>
        <v>57</v>
      </c>
    </row>
    <row r="399" spans="1:63" x14ac:dyDescent="0.3">
      <c r="A399" s="8" t="str">
        <f>MID(Tabla4[[#This Row],[Cliente]], SEARCH("_", Tabla4[[#This Row],[Cliente]]) + 1, LEN(Tabla4[[#This Row],[Cliente]]) - SEARCH("_",Tabla4[[#This Row],[Cliente]]))</f>
        <v>289</v>
      </c>
      <c r="B399">
        <f>sala!K398</f>
        <v>397</v>
      </c>
      <c r="C399">
        <f>Tabla4[[#This Row],[Propina]]+Tabla4[[#This Row],[Precio Cena]]</f>
        <v>3926</v>
      </c>
      <c r="D399" s="3">
        <f>INT(sala!E398)</f>
        <v>45021</v>
      </c>
      <c r="E399" s="4">
        <f>MOD( sala!D398,1)</f>
        <v>1.3888888890505768E-2</v>
      </c>
      <c r="F399" s="4">
        <f>MOD( sala!E398,1)</f>
        <v>6.5277777779556345E-2</v>
      </c>
      <c r="G399" s="4">
        <f>Tabla5[[#This Row],[Hora de Salida]]-Tabla5[[#This Row],[Hora de Llegada]]+Tabla4[[#This Row],[Tiempo Extra]]</f>
        <v>5.1388888889050577E-2</v>
      </c>
      <c r="H399" s="5" t="str">
        <f>TEXT(Tabla4[[#This Row],[Preparación en horas]]/1440, "h:mm")</f>
        <v>1:09</v>
      </c>
      <c r="I399" s="4">
        <f>IF(Tabla5[[#This Row],[Tiempo Permanencia]]-Tabla5[[#This Row],[Tiempo de Preparación ]]&gt;=0,Tabla5[[#This Row],[Tiempo Permanencia]]-Tabla5[[#This Row],[Tiempo de Preparación ]],0)</f>
        <v>3.4722222223839069E-3</v>
      </c>
      <c r="J399" s="5" t="str">
        <f>IF(Tabla5[[#This Row],[Tiempo de Degustación]]=0,"No Cobrada","Cobrada")</f>
        <v>Cobrada</v>
      </c>
      <c r="K399" s="5" cm="1">
        <f t="array" ref="K399">SUM(IF(Tabla5[[#This Row],[Orden Cobrada]]="Cobrada",IF(Cocina!A:A=Tabla5[[#This Row],[Nº Orden]],Cocina!F:F*Cocina!G:G,0),-Tabla6[[#This Row],[Precio Cena]]))</f>
        <v>147</v>
      </c>
      <c r="L399" s="5">
        <f>IF(Tabla5[[#This Row],[Orden Cobrada]]="Cobrada",Tabla5[[#This Row],[Ganancia Bruta]]-Tabla6[[#This Row],[Coste Cena]],-Tabla6[[#This Row],[Precio Cena]]+Tabla6[[#This Row],[Coste Cena]])</f>
        <v>58</v>
      </c>
      <c r="M399" s="10">
        <f>IF(Tabla5[[#This Row],[Orden Cobrada]]="Cobrada",((Tabla5[[#This Row],[Ganancia Neta]]/Tabla5[[#This Row],[Ganancia Bruta]])*100)/100,-((Tabla5[[#This Row],[Ganancia Neta]]/Tabla5[[#This Row],[Ganancia Bruta]]*100)/100))</f>
        <v>0.39455782312925164</v>
      </c>
      <c r="N399" s="5" t="str">
        <f>sala!F398</f>
        <v>Mesero_4</v>
      </c>
      <c r="AY399" cm="1">
        <f t="array" ref="AY399">SUM(IF(Cocina!A:A=Tabla5[[#This Row],[Nº Orden]],Cocina!F:F*Cocina!G:G,0))</f>
        <v>147</v>
      </c>
      <c r="AZ399" cm="1">
        <f t="array" ref="AZ399">SUM(IF(Cocina!A:A=Tabla5[[#This Row],[Nº Orden]],Cocina!E:E*Cocina!G:G,0))</f>
        <v>89</v>
      </c>
      <c r="BB399" t="str">
        <f>MID(Tabla4[[#This Row],[Cliente]], SEARCH("_", Tabla4[[#This Row],[Cliente]]) + 1, LEN(Tabla4[[#This Row],[Cliente]]) - SEARCH("_",Tabla4[[#This Row],[Cliente]]))</f>
        <v>289</v>
      </c>
      <c r="BC399" t="str">
        <f>sala!B398</f>
        <v>Cliente_289</v>
      </c>
      <c r="BD399" s="1">
        <f>sala!D398</f>
        <v>45021.013888888891</v>
      </c>
      <c r="BE399" s="1">
        <f>sala!E398</f>
        <v>45021.06527777778</v>
      </c>
      <c r="BF399">
        <f>sala!K398</f>
        <v>397</v>
      </c>
      <c r="BG399">
        <f>sala!I398</f>
        <v>3779</v>
      </c>
      <c r="BH399" cm="1">
        <f t="array" ref="BH399">SUM(IF(Cocina!A:A=Tabla4[[#This Row],[Número de Orden]],Cocina!F:F*Cocina!G:G,0))</f>
        <v>147</v>
      </c>
      <c r="BI399" t="str">
        <f>sala!J398</f>
        <v>Libre</v>
      </c>
      <c r="BJ399" s="4" t="str">
        <f>IF(Tabla4[[#This Row],[Estado mesa]]="Ocupada","00:15","00:00")</f>
        <v>00:00</v>
      </c>
      <c r="BK399" cm="1">
        <f t="array" ref="BK399">SUM(IF(Cocina!A:A=Tabla4[[#This Row],[Número de Orden]],Cocina!H:H,0))</f>
        <v>69</v>
      </c>
    </row>
    <row r="400" spans="1:63" x14ac:dyDescent="0.3">
      <c r="A400" s="8" t="str">
        <f>MID(Tabla4[[#This Row],[Cliente]], SEARCH("_", Tabla4[[#This Row],[Cliente]]) + 1, LEN(Tabla4[[#This Row],[Cliente]]) - SEARCH("_",Tabla4[[#This Row],[Cliente]]))</f>
        <v>330</v>
      </c>
      <c r="B400">
        <f>sala!K399</f>
        <v>398</v>
      </c>
      <c r="C400">
        <f>Tabla4[[#This Row],[Propina]]+Tabla4[[#This Row],[Precio Cena]]</f>
        <v>5018</v>
      </c>
      <c r="D400" s="3">
        <f>INT(sala!E399)</f>
        <v>45021</v>
      </c>
      <c r="E400" s="4">
        <f>MOD( sala!D399,1)</f>
        <v>0.13194444444525288</v>
      </c>
      <c r="F400" s="4">
        <f>MOD( sala!E399,1)</f>
        <v>0.29513888889050577</v>
      </c>
      <c r="G400" s="4">
        <f>Tabla5[[#This Row],[Hora de Salida]]-Tabla5[[#This Row],[Hora de Llegada]]+Tabla4[[#This Row],[Tiempo Extra]]</f>
        <v>0.16319444444525288</v>
      </c>
      <c r="H400" s="5" t="str">
        <f>TEXT(Tabla4[[#This Row],[Preparación en horas]]/1440, "h:mm")</f>
        <v>1:11</v>
      </c>
      <c r="I400" s="4">
        <f>IF(Tabla5[[#This Row],[Tiempo Permanencia]]-Tabla5[[#This Row],[Tiempo de Preparación ]]&gt;=0,Tabla5[[#This Row],[Tiempo Permanencia]]-Tabla5[[#This Row],[Tiempo de Preparación ]],0)</f>
        <v>0.11388888888969734</v>
      </c>
      <c r="J400" s="5" t="str">
        <f>IF(Tabla5[[#This Row],[Tiempo de Degustación]]=0,"No Cobrada","Cobrada")</f>
        <v>Cobrada</v>
      </c>
      <c r="K400" s="5" cm="1">
        <f t="array" ref="K400">SUM(IF(Tabla5[[#This Row],[Orden Cobrada]]="Cobrada",IF(Cocina!A:A=Tabla5[[#This Row],[Nº Orden]],Cocina!F:F*Cocina!G:G,0),-Tabla6[[#This Row],[Precio Cena]]))</f>
        <v>122</v>
      </c>
      <c r="L400" s="5">
        <f>IF(Tabla5[[#This Row],[Orden Cobrada]]="Cobrada",Tabla5[[#This Row],[Ganancia Bruta]]-Tabla6[[#This Row],[Coste Cena]],-Tabla6[[#This Row],[Precio Cena]]+Tabla6[[#This Row],[Coste Cena]])</f>
        <v>50</v>
      </c>
      <c r="M400" s="10">
        <f>IF(Tabla5[[#This Row],[Orden Cobrada]]="Cobrada",((Tabla5[[#This Row],[Ganancia Neta]]/Tabla5[[#This Row],[Ganancia Bruta]])*100)/100,-((Tabla5[[#This Row],[Ganancia Neta]]/Tabla5[[#This Row],[Ganancia Bruta]]*100)/100))</f>
        <v>0.4098360655737705</v>
      </c>
      <c r="N400" s="5" t="str">
        <f>sala!F399</f>
        <v>Mesero_1</v>
      </c>
      <c r="AY400" cm="1">
        <f t="array" ref="AY400">SUM(IF(Cocina!A:A=Tabla5[[#This Row],[Nº Orden]],Cocina!F:F*Cocina!G:G,0))</f>
        <v>122</v>
      </c>
      <c r="AZ400" cm="1">
        <f t="array" ref="AZ400">SUM(IF(Cocina!A:A=Tabla5[[#This Row],[Nº Orden]],Cocina!E:E*Cocina!G:G,0))</f>
        <v>72</v>
      </c>
      <c r="BB400" t="str">
        <f>MID(Tabla4[[#This Row],[Cliente]], SEARCH("_", Tabla4[[#This Row],[Cliente]]) + 1, LEN(Tabla4[[#This Row],[Cliente]]) - SEARCH("_",Tabla4[[#This Row],[Cliente]]))</f>
        <v>330</v>
      </c>
      <c r="BC400" t="str">
        <f>sala!B399</f>
        <v>Cliente_330</v>
      </c>
      <c r="BD400" s="1">
        <f>sala!D399</f>
        <v>45021.131944444445</v>
      </c>
      <c r="BE400" s="1">
        <f>sala!E399</f>
        <v>45021.295138888891</v>
      </c>
      <c r="BF400">
        <f>sala!K399</f>
        <v>398</v>
      </c>
      <c r="BG400">
        <f>sala!I399</f>
        <v>4896</v>
      </c>
      <c r="BH400" cm="1">
        <f t="array" ref="BH400">SUM(IF(Cocina!A:A=Tabla4[[#This Row],[Número de Orden]],Cocina!F:F*Cocina!G:G,0))</f>
        <v>122</v>
      </c>
      <c r="BI400" t="str">
        <f>sala!J399</f>
        <v>Libre</v>
      </c>
      <c r="BJ400" s="4" t="str">
        <f>IF(Tabla4[[#This Row],[Estado mesa]]="Ocupada","00:15","00:00")</f>
        <v>00:00</v>
      </c>
      <c r="BK400" cm="1">
        <f t="array" ref="BK400">SUM(IF(Cocina!A:A=Tabla4[[#This Row],[Número de Orden]],Cocina!H:H,0))</f>
        <v>71</v>
      </c>
    </row>
    <row r="401" spans="1:63" x14ac:dyDescent="0.3">
      <c r="A401" s="8" t="str">
        <f>MID(Tabla4[[#This Row],[Cliente]], SEARCH("_", Tabla4[[#This Row],[Cliente]]) + 1, LEN(Tabla4[[#This Row],[Cliente]]) - SEARCH("_",Tabla4[[#This Row],[Cliente]]))</f>
        <v>943</v>
      </c>
      <c r="B401">
        <f>sala!K400</f>
        <v>399</v>
      </c>
      <c r="C401">
        <f>Tabla4[[#This Row],[Propina]]+Tabla4[[#This Row],[Precio Cena]]</f>
        <v>2939</v>
      </c>
      <c r="D401" s="3">
        <f>INT(sala!E400)</f>
        <v>45021</v>
      </c>
      <c r="E401" s="4">
        <f>MOD( sala!D400,1)</f>
        <v>0.11666666666860692</v>
      </c>
      <c r="F401" s="4">
        <f>MOD( sala!E400,1)</f>
        <v>0.23611111110949423</v>
      </c>
      <c r="G401" s="4">
        <f>Tabla5[[#This Row],[Hora de Salida]]-Tabla5[[#This Row],[Hora de Llegada]]+Tabla4[[#This Row],[Tiempo Extra]]</f>
        <v>0.11944444444088731</v>
      </c>
      <c r="H401" s="5" t="str">
        <f>TEXT(Tabla4[[#This Row],[Preparación en horas]]/1440, "h:mm")</f>
        <v>1:31</v>
      </c>
      <c r="I401" s="4">
        <f>IF(Tabla5[[#This Row],[Tiempo Permanencia]]-Tabla5[[#This Row],[Tiempo de Preparación ]]&gt;=0,Tabla5[[#This Row],[Tiempo Permanencia]]-Tabla5[[#This Row],[Tiempo de Preparación ]],0)</f>
        <v>5.6249999996442868E-2</v>
      </c>
      <c r="J401" s="5" t="str">
        <f>IF(Tabla5[[#This Row],[Tiempo de Degustación]]=0,"No Cobrada","Cobrada")</f>
        <v>Cobrada</v>
      </c>
      <c r="K401" s="5" cm="1">
        <f t="array" ref="K401">SUM(IF(Tabla5[[#This Row],[Orden Cobrada]]="Cobrada",IF(Cocina!A:A=Tabla5[[#This Row],[Nº Orden]],Cocina!F:F*Cocina!G:G,0),-Tabla6[[#This Row],[Precio Cena]]))</f>
        <v>207</v>
      </c>
      <c r="L401" s="5">
        <f>IF(Tabla5[[#This Row],[Orden Cobrada]]="Cobrada",Tabla5[[#This Row],[Ganancia Bruta]]-Tabla6[[#This Row],[Coste Cena]],-Tabla6[[#This Row],[Precio Cena]]+Tabla6[[#This Row],[Coste Cena]])</f>
        <v>81</v>
      </c>
      <c r="M401" s="10">
        <f>IF(Tabla5[[#This Row],[Orden Cobrada]]="Cobrada",((Tabla5[[#This Row],[Ganancia Neta]]/Tabla5[[#This Row],[Ganancia Bruta]])*100)/100,-((Tabla5[[#This Row],[Ganancia Neta]]/Tabla5[[#This Row],[Ganancia Bruta]]*100)/100))</f>
        <v>0.39130434782608697</v>
      </c>
      <c r="N401" s="5" t="str">
        <f>sala!F400</f>
        <v>Mesero_5</v>
      </c>
      <c r="AY401" cm="1">
        <f t="array" ref="AY401">SUM(IF(Cocina!A:A=Tabla5[[#This Row],[Nº Orden]],Cocina!F:F*Cocina!G:G,0))</f>
        <v>207</v>
      </c>
      <c r="AZ401" cm="1">
        <f t="array" ref="AZ401">SUM(IF(Cocina!A:A=Tabla5[[#This Row],[Nº Orden]],Cocina!E:E*Cocina!G:G,0))</f>
        <v>126</v>
      </c>
      <c r="BB401" t="str">
        <f>MID(Tabla4[[#This Row],[Cliente]], SEARCH("_", Tabla4[[#This Row],[Cliente]]) + 1, LEN(Tabla4[[#This Row],[Cliente]]) - SEARCH("_",Tabla4[[#This Row],[Cliente]]))</f>
        <v>943</v>
      </c>
      <c r="BC401" t="str">
        <f>sala!B400</f>
        <v>Cliente_943</v>
      </c>
      <c r="BD401" s="1">
        <f>sala!D400</f>
        <v>45021.116666666669</v>
      </c>
      <c r="BE401" s="1">
        <f>sala!E400</f>
        <v>45021.236111111109</v>
      </c>
      <c r="BF401">
        <f>sala!K400</f>
        <v>399</v>
      </c>
      <c r="BG401">
        <f>sala!I400</f>
        <v>2732</v>
      </c>
      <c r="BH401" cm="1">
        <f t="array" ref="BH401">SUM(IF(Cocina!A:A=Tabla4[[#This Row],[Número de Orden]],Cocina!F:F*Cocina!G:G,0))</f>
        <v>207</v>
      </c>
      <c r="BI401" t="str">
        <f>sala!J400</f>
        <v>Libre</v>
      </c>
      <c r="BJ401" s="4" t="str">
        <f>IF(Tabla4[[#This Row],[Estado mesa]]="Ocupada","00:15","00:00")</f>
        <v>00:00</v>
      </c>
      <c r="BK401" cm="1">
        <f t="array" ref="BK401">SUM(IF(Cocina!A:A=Tabla4[[#This Row],[Número de Orden]],Cocina!H:H,0))</f>
        <v>91</v>
      </c>
    </row>
    <row r="402" spans="1:63" x14ac:dyDescent="0.3">
      <c r="A402" s="8" t="str">
        <f>MID(Tabla4[[#This Row],[Cliente]], SEARCH("_", Tabla4[[#This Row],[Cliente]]) + 1, LEN(Tabla4[[#This Row],[Cliente]]) - SEARCH("_",Tabla4[[#This Row],[Cliente]]))</f>
        <v>285</v>
      </c>
      <c r="B402">
        <f>sala!K401</f>
        <v>400</v>
      </c>
      <c r="C402">
        <f>Tabla4[[#This Row],[Propina]]+Tabla4[[#This Row],[Precio Cena]]</f>
        <v>4494</v>
      </c>
      <c r="D402" s="3">
        <f>INT(sala!E401)</f>
        <v>45021</v>
      </c>
      <c r="E402" s="4">
        <f>MOD( sala!D401,1)</f>
        <v>9.0972222220443655E-2</v>
      </c>
      <c r="F402" s="4">
        <f>MOD( sala!E401,1)</f>
        <v>0.17638888888905058</v>
      </c>
      <c r="G402" s="4">
        <f>Tabla5[[#This Row],[Hora de Salida]]-Tabla5[[#This Row],[Hora de Llegada]]+Tabla4[[#This Row],[Tiempo Extra]]</f>
        <v>8.5416666668606922E-2</v>
      </c>
      <c r="H402" s="5" t="str">
        <f>TEXT(Tabla4[[#This Row],[Preparación en horas]]/1440, "h:mm")</f>
        <v>1:19</v>
      </c>
      <c r="I402" s="4">
        <f>IF(Tabla5[[#This Row],[Tiempo Permanencia]]-Tabla5[[#This Row],[Tiempo de Preparación ]]&gt;=0,Tabla5[[#This Row],[Tiempo Permanencia]]-Tabla5[[#This Row],[Tiempo de Preparación ]],0)</f>
        <v>3.0555555557495812E-2</v>
      </c>
      <c r="J402" s="5" t="str">
        <f>IF(Tabla5[[#This Row],[Tiempo de Degustación]]=0,"No Cobrada","Cobrada")</f>
        <v>Cobrada</v>
      </c>
      <c r="K402" s="5" cm="1">
        <f t="array" ref="K402">SUM(IF(Tabla5[[#This Row],[Orden Cobrada]]="Cobrada",IF(Cocina!A:A=Tabla5[[#This Row],[Nº Orden]],Cocina!F:F*Cocina!G:G,0),-Tabla6[[#This Row],[Precio Cena]]))</f>
        <v>198</v>
      </c>
      <c r="L402" s="5">
        <f>IF(Tabla5[[#This Row],[Orden Cobrada]]="Cobrada",Tabla5[[#This Row],[Ganancia Bruta]]-Tabla6[[#This Row],[Coste Cena]],-Tabla6[[#This Row],[Precio Cena]]+Tabla6[[#This Row],[Coste Cena]])</f>
        <v>78</v>
      </c>
      <c r="M402" s="10">
        <f>IF(Tabla5[[#This Row],[Orden Cobrada]]="Cobrada",((Tabla5[[#This Row],[Ganancia Neta]]/Tabla5[[#This Row],[Ganancia Bruta]])*100)/100,-((Tabla5[[#This Row],[Ganancia Neta]]/Tabla5[[#This Row],[Ganancia Bruta]]*100)/100))</f>
        <v>0.39393939393939392</v>
      </c>
      <c r="N402" s="5" t="str">
        <f>sala!F401</f>
        <v>Mesero_4</v>
      </c>
      <c r="AY402" cm="1">
        <f t="array" ref="AY402">SUM(IF(Cocina!A:A=Tabla5[[#This Row],[Nº Orden]],Cocina!F:F*Cocina!G:G,0))</f>
        <v>198</v>
      </c>
      <c r="AZ402" cm="1">
        <f t="array" ref="AZ402">SUM(IF(Cocina!A:A=Tabla5[[#This Row],[Nº Orden]],Cocina!E:E*Cocina!G:G,0))</f>
        <v>120</v>
      </c>
      <c r="BB402" t="str">
        <f>MID(Tabla4[[#This Row],[Cliente]], SEARCH("_", Tabla4[[#This Row],[Cliente]]) + 1, LEN(Tabla4[[#This Row],[Cliente]]) - SEARCH("_",Tabla4[[#This Row],[Cliente]]))</f>
        <v>285</v>
      </c>
      <c r="BC402" t="str">
        <f>sala!B401</f>
        <v>Cliente_285</v>
      </c>
      <c r="BD402" s="1">
        <f>sala!D401</f>
        <v>45021.09097222222</v>
      </c>
      <c r="BE402" s="1">
        <f>sala!E401</f>
        <v>45021.176388888889</v>
      </c>
      <c r="BF402">
        <f>sala!K401</f>
        <v>400</v>
      </c>
      <c r="BG402">
        <f>sala!I401</f>
        <v>4296</v>
      </c>
      <c r="BH402" cm="1">
        <f t="array" ref="BH402">SUM(IF(Cocina!A:A=Tabla4[[#This Row],[Número de Orden]],Cocina!F:F*Cocina!G:G,0))</f>
        <v>198</v>
      </c>
      <c r="BI402" t="str">
        <f>sala!J401</f>
        <v>Reservada</v>
      </c>
      <c r="BJ402" s="4" t="str">
        <f>IF(Tabla4[[#This Row],[Estado mesa]]="Ocupada","00:15","00:00")</f>
        <v>00:00</v>
      </c>
      <c r="BK402" cm="1">
        <f t="array" ref="BK402">SUM(IF(Cocina!A:A=Tabla4[[#This Row],[Número de Orden]],Cocina!H:H,0))</f>
        <v>79</v>
      </c>
    </row>
    <row r="403" spans="1:63" x14ac:dyDescent="0.3">
      <c r="A403" s="8" t="str">
        <f>MID(Tabla4[[#This Row],[Cliente]], SEARCH("_", Tabla4[[#This Row],[Cliente]]) + 1, LEN(Tabla4[[#This Row],[Cliente]]) - SEARCH("_",Tabla4[[#This Row],[Cliente]]))</f>
        <v>12</v>
      </c>
      <c r="B403">
        <f>sala!K402</f>
        <v>401</v>
      </c>
      <c r="C403">
        <f>Tabla4[[#This Row],[Propina]]+Tabla4[[#This Row],[Precio Cena]]</f>
        <v>1629</v>
      </c>
      <c r="D403" s="3">
        <f>INT(sala!E402)</f>
        <v>45021</v>
      </c>
      <c r="E403" s="4">
        <f>MOD( sala!D402,1)</f>
        <v>0.16041666666569654</v>
      </c>
      <c r="F403" s="4">
        <f>MOD( sala!E402,1)</f>
        <v>0.28958333333139308</v>
      </c>
      <c r="G403" s="4">
        <f>Tabla5[[#This Row],[Hora de Salida]]-Tabla5[[#This Row],[Hora de Llegada]]+Tabla4[[#This Row],[Tiempo Extra]]</f>
        <v>0.1395833333323632</v>
      </c>
      <c r="H403" s="5" t="str">
        <f>TEXT(Tabla4[[#This Row],[Preparación en horas]]/1440, "h:mm")</f>
        <v>0:20</v>
      </c>
      <c r="I403" s="4">
        <f>IF(Tabla5[[#This Row],[Tiempo Permanencia]]-Tabla5[[#This Row],[Tiempo de Preparación ]]&gt;=0,Tabla5[[#This Row],[Tiempo Permanencia]]-Tabla5[[#This Row],[Tiempo de Preparación ]],0)</f>
        <v>0.1256944444434743</v>
      </c>
      <c r="J403" s="5" t="str">
        <f>IF(Tabla5[[#This Row],[Tiempo de Degustación]]=0,"No Cobrada","Cobrada")</f>
        <v>Cobrada</v>
      </c>
      <c r="K403" s="5" cm="1">
        <f t="array" ref="K403">SUM(IF(Tabla5[[#This Row],[Orden Cobrada]]="Cobrada",IF(Cocina!A:A=Tabla5[[#This Row],[Nº Orden]],Cocina!F:F*Cocina!G:G,0),-Tabla6[[#This Row],[Precio Cena]]))</f>
        <v>42</v>
      </c>
      <c r="L403" s="5">
        <f>IF(Tabla5[[#This Row],[Orden Cobrada]]="Cobrada",Tabla5[[#This Row],[Ganancia Bruta]]-Tabla6[[#This Row],[Coste Cena]],-Tabla6[[#This Row],[Precio Cena]]+Tabla6[[#This Row],[Coste Cena]])</f>
        <v>16</v>
      </c>
      <c r="M403" s="10">
        <f>IF(Tabla5[[#This Row],[Orden Cobrada]]="Cobrada",((Tabla5[[#This Row],[Ganancia Neta]]/Tabla5[[#This Row],[Ganancia Bruta]])*100)/100,-((Tabla5[[#This Row],[Ganancia Neta]]/Tabla5[[#This Row],[Ganancia Bruta]]*100)/100))</f>
        <v>0.38095238095238093</v>
      </c>
      <c r="N403" s="5" t="str">
        <f>sala!F402</f>
        <v>Mesero_2</v>
      </c>
      <c r="AY403" cm="1">
        <f t="array" ref="AY403">SUM(IF(Cocina!A:A=Tabla5[[#This Row],[Nº Orden]],Cocina!F:F*Cocina!G:G,0))</f>
        <v>42</v>
      </c>
      <c r="AZ403" cm="1">
        <f t="array" ref="AZ403">SUM(IF(Cocina!A:A=Tabla5[[#This Row],[Nº Orden]],Cocina!E:E*Cocina!G:G,0))</f>
        <v>26</v>
      </c>
      <c r="BB403" t="str">
        <f>MID(Tabla4[[#This Row],[Cliente]], SEARCH("_", Tabla4[[#This Row],[Cliente]]) + 1, LEN(Tabla4[[#This Row],[Cliente]]) - SEARCH("_",Tabla4[[#This Row],[Cliente]]))</f>
        <v>12</v>
      </c>
      <c r="BC403" t="str">
        <f>sala!B402</f>
        <v>Cliente_12</v>
      </c>
      <c r="BD403" s="1">
        <f>sala!D402</f>
        <v>45021.160416666666</v>
      </c>
      <c r="BE403" s="1">
        <f>sala!E402</f>
        <v>45021.289583333331</v>
      </c>
      <c r="BF403">
        <f>sala!K402</f>
        <v>401</v>
      </c>
      <c r="BG403">
        <f>sala!I402</f>
        <v>1587</v>
      </c>
      <c r="BH403" cm="1">
        <f t="array" ref="BH403">SUM(IF(Cocina!A:A=Tabla4[[#This Row],[Número de Orden]],Cocina!F:F*Cocina!G:G,0))</f>
        <v>42</v>
      </c>
      <c r="BI403" t="str">
        <f>sala!J402</f>
        <v>Ocupada</v>
      </c>
      <c r="BJ403" s="4" t="str">
        <f>IF(Tabla4[[#This Row],[Estado mesa]]="Ocupada","00:15","00:00")</f>
        <v>00:15</v>
      </c>
      <c r="BK403" cm="1">
        <f t="array" ref="BK403">SUM(IF(Cocina!A:A=Tabla4[[#This Row],[Número de Orden]],Cocina!H:H,0))</f>
        <v>20</v>
      </c>
    </row>
    <row r="404" spans="1:63" x14ac:dyDescent="0.3">
      <c r="A404" s="8" t="str">
        <f>MID(Tabla4[[#This Row],[Cliente]], SEARCH("_", Tabla4[[#This Row],[Cliente]]) + 1, LEN(Tabla4[[#This Row],[Cliente]]) - SEARCH("_",Tabla4[[#This Row],[Cliente]]))</f>
        <v>905</v>
      </c>
      <c r="B404">
        <f>sala!K403</f>
        <v>402</v>
      </c>
      <c r="C404">
        <f>Tabla4[[#This Row],[Propina]]+Tabla4[[#This Row],[Precio Cena]]</f>
        <v>3253</v>
      </c>
      <c r="D404" s="3">
        <f>INT(sala!E403)</f>
        <v>45021</v>
      </c>
      <c r="E404" s="4">
        <f>MOD( sala!D403,1)</f>
        <v>0.11180555555620231</v>
      </c>
      <c r="F404" s="4">
        <f>MOD( sala!E403,1)</f>
        <v>0.21388888888759539</v>
      </c>
      <c r="G404" s="4">
        <f>Tabla5[[#This Row],[Hora de Salida]]-Tabla5[[#This Row],[Hora de Llegada]]+Tabla4[[#This Row],[Tiempo Extra]]</f>
        <v>0.10208333333139308</v>
      </c>
      <c r="H404" s="5" t="str">
        <f>TEXT(Tabla4[[#This Row],[Preparación en horas]]/1440, "h:mm")</f>
        <v>1:06</v>
      </c>
      <c r="I404" s="4">
        <f>IF(Tabla5[[#This Row],[Tiempo Permanencia]]-Tabla5[[#This Row],[Tiempo de Preparación ]]&gt;=0,Tabla5[[#This Row],[Tiempo Permanencia]]-Tabla5[[#This Row],[Tiempo de Preparación ]],0)</f>
        <v>5.6249999998059748E-2</v>
      </c>
      <c r="J404" s="5" t="str">
        <f>IF(Tabla5[[#This Row],[Tiempo de Degustación]]=0,"No Cobrada","Cobrada")</f>
        <v>Cobrada</v>
      </c>
      <c r="K404" s="5" cm="1">
        <f t="array" ref="K404">SUM(IF(Tabla5[[#This Row],[Orden Cobrada]]="Cobrada",IF(Cocina!A:A=Tabla5[[#This Row],[Nº Orden]],Cocina!F:F*Cocina!G:G,0),-Tabla6[[#This Row],[Precio Cena]]))</f>
        <v>151</v>
      </c>
      <c r="L404" s="5">
        <f>IF(Tabla5[[#This Row],[Orden Cobrada]]="Cobrada",Tabla5[[#This Row],[Ganancia Bruta]]-Tabla6[[#This Row],[Coste Cena]],-Tabla6[[#This Row],[Precio Cena]]+Tabla6[[#This Row],[Coste Cena]])</f>
        <v>62</v>
      </c>
      <c r="M404" s="10">
        <f>IF(Tabla5[[#This Row],[Orden Cobrada]]="Cobrada",((Tabla5[[#This Row],[Ganancia Neta]]/Tabla5[[#This Row],[Ganancia Bruta]])*100)/100,-((Tabla5[[#This Row],[Ganancia Neta]]/Tabla5[[#This Row],[Ganancia Bruta]]*100)/100))</f>
        <v>0.41059602649006621</v>
      </c>
      <c r="N404" s="5" t="str">
        <f>sala!F403</f>
        <v>Mesero_3</v>
      </c>
      <c r="AY404" cm="1">
        <f t="array" ref="AY404">SUM(IF(Cocina!A:A=Tabla5[[#This Row],[Nº Orden]],Cocina!F:F*Cocina!G:G,0))</f>
        <v>151</v>
      </c>
      <c r="AZ404" cm="1">
        <f t="array" ref="AZ404">SUM(IF(Cocina!A:A=Tabla5[[#This Row],[Nº Orden]],Cocina!E:E*Cocina!G:G,0))</f>
        <v>89</v>
      </c>
      <c r="BB404" t="str">
        <f>MID(Tabla4[[#This Row],[Cliente]], SEARCH("_", Tabla4[[#This Row],[Cliente]]) + 1, LEN(Tabla4[[#This Row],[Cliente]]) - SEARCH("_",Tabla4[[#This Row],[Cliente]]))</f>
        <v>905</v>
      </c>
      <c r="BC404" t="str">
        <f>sala!B403</f>
        <v>Cliente_905</v>
      </c>
      <c r="BD404" s="1">
        <f>sala!D403</f>
        <v>45021.111805555556</v>
      </c>
      <c r="BE404" s="1">
        <f>sala!E403</f>
        <v>45021.213888888888</v>
      </c>
      <c r="BF404">
        <f>sala!K403</f>
        <v>402</v>
      </c>
      <c r="BG404">
        <f>sala!I403</f>
        <v>3102</v>
      </c>
      <c r="BH404" cm="1">
        <f t="array" ref="BH404">SUM(IF(Cocina!A:A=Tabla4[[#This Row],[Número de Orden]],Cocina!F:F*Cocina!G:G,0))</f>
        <v>151</v>
      </c>
      <c r="BI404" t="str">
        <f>sala!J403</f>
        <v>Reservada</v>
      </c>
      <c r="BJ404" s="4" t="str">
        <f>IF(Tabla4[[#This Row],[Estado mesa]]="Ocupada","00:15","00:00")</f>
        <v>00:00</v>
      </c>
      <c r="BK404" cm="1">
        <f t="array" ref="BK404">SUM(IF(Cocina!A:A=Tabla4[[#This Row],[Número de Orden]],Cocina!H:H,0))</f>
        <v>66</v>
      </c>
    </row>
    <row r="405" spans="1:63" x14ac:dyDescent="0.3">
      <c r="A405" s="8" t="str">
        <f>MID(Tabla4[[#This Row],[Cliente]], SEARCH("_", Tabla4[[#This Row],[Cliente]]) + 1, LEN(Tabla4[[#This Row],[Cliente]]) - SEARCH("_",Tabla4[[#This Row],[Cliente]]))</f>
        <v>543</v>
      </c>
      <c r="B405">
        <f>sala!K404</f>
        <v>403</v>
      </c>
      <c r="C405">
        <f>Tabla4[[#This Row],[Propina]]+Tabla4[[#This Row],[Precio Cena]]</f>
        <v>1666</v>
      </c>
      <c r="D405" s="3">
        <f>INT(sala!E404)</f>
        <v>45021</v>
      </c>
      <c r="E405" s="4">
        <f>MOD( sala!D404,1)</f>
        <v>9.375E-2</v>
      </c>
      <c r="F405" s="4">
        <f>MOD( sala!E404,1)</f>
        <v>0.21875</v>
      </c>
      <c r="G405" s="4">
        <f>Tabla5[[#This Row],[Hora de Salida]]-Tabla5[[#This Row],[Hora de Llegada]]+Tabla4[[#This Row],[Tiempo Extra]]</f>
        <v>0.125</v>
      </c>
      <c r="H405" s="5" t="str">
        <f>TEXT(Tabla4[[#This Row],[Preparación en horas]]/1440, "h:mm")</f>
        <v>1:25</v>
      </c>
      <c r="I405" s="4">
        <f>IF(Tabla5[[#This Row],[Tiempo Permanencia]]-Tabla5[[#This Row],[Tiempo de Preparación ]]&gt;=0,Tabla5[[#This Row],[Tiempo Permanencia]]-Tabla5[[#This Row],[Tiempo de Preparación ]],0)</f>
        <v>6.5972222222222224E-2</v>
      </c>
      <c r="J405" s="5" t="str">
        <f>IF(Tabla5[[#This Row],[Tiempo de Degustación]]=0,"No Cobrada","Cobrada")</f>
        <v>Cobrada</v>
      </c>
      <c r="K405" s="5" cm="1">
        <f t="array" ref="K405">SUM(IF(Tabla5[[#This Row],[Orden Cobrada]]="Cobrada",IF(Cocina!A:A=Tabla5[[#This Row],[Nº Orden]],Cocina!F:F*Cocina!G:G,0),-Tabla6[[#This Row],[Precio Cena]]))</f>
        <v>190</v>
      </c>
      <c r="L405" s="5">
        <f>IF(Tabla5[[#This Row],[Orden Cobrada]]="Cobrada",Tabla5[[#This Row],[Ganancia Bruta]]-Tabla6[[#This Row],[Coste Cena]],-Tabla6[[#This Row],[Precio Cena]]+Tabla6[[#This Row],[Coste Cena]])</f>
        <v>79</v>
      </c>
      <c r="M405" s="10">
        <f>IF(Tabla5[[#This Row],[Orden Cobrada]]="Cobrada",((Tabla5[[#This Row],[Ganancia Neta]]/Tabla5[[#This Row],[Ganancia Bruta]])*100)/100,-((Tabla5[[#This Row],[Ganancia Neta]]/Tabla5[[#This Row],[Ganancia Bruta]]*100)/100))</f>
        <v>0.41578947368421054</v>
      </c>
      <c r="N405" s="5" t="str">
        <f>sala!F404</f>
        <v>Mesero_1</v>
      </c>
      <c r="AY405" cm="1">
        <f t="array" ref="AY405">SUM(IF(Cocina!A:A=Tabla5[[#This Row],[Nº Orden]],Cocina!F:F*Cocina!G:G,0))</f>
        <v>190</v>
      </c>
      <c r="AZ405" cm="1">
        <f t="array" ref="AZ405">SUM(IF(Cocina!A:A=Tabla5[[#This Row],[Nº Orden]],Cocina!E:E*Cocina!G:G,0))</f>
        <v>111</v>
      </c>
      <c r="BB405" t="str">
        <f>MID(Tabla4[[#This Row],[Cliente]], SEARCH("_", Tabla4[[#This Row],[Cliente]]) + 1, LEN(Tabla4[[#This Row],[Cliente]]) - SEARCH("_",Tabla4[[#This Row],[Cliente]]))</f>
        <v>543</v>
      </c>
      <c r="BC405" t="str">
        <f>sala!B404</f>
        <v>Cliente_543</v>
      </c>
      <c r="BD405" s="1">
        <f>sala!D404</f>
        <v>45021.09375</v>
      </c>
      <c r="BE405" s="1">
        <f>sala!E404</f>
        <v>45021.21875</v>
      </c>
      <c r="BF405">
        <f>sala!K404</f>
        <v>403</v>
      </c>
      <c r="BG405">
        <f>sala!I404</f>
        <v>1476</v>
      </c>
      <c r="BH405" cm="1">
        <f t="array" ref="BH405">SUM(IF(Cocina!A:A=Tabla4[[#This Row],[Número de Orden]],Cocina!F:F*Cocina!G:G,0))</f>
        <v>190</v>
      </c>
      <c r="BI405" t="str">
        <f>sala!J404</f>
        <v>Libre</v>
      </c>
      <c r="BJ405" s="4" t="str">
        <f>IF(Tabla4[[#This Row],[Estado mesa]]="Ocupada","00:15","00:00")</f>
        <v>00:00</v>
      </c>
      <c r="BK405" cm="1">
        <f t="array" ref="BK405">SUM(IF(Cocina!A:A=Tabla4[[#This Row],[Número de Orden]],Cocina!H:H,0))</f>
        <v>85</v>
      </c>
    </row>
    <row r="406" spans="1:63" x14ac:dyDescent="0.3">
      <c r="A406" s="8" t="str">
        <f>MID(Tabla4[[#This Row],[Cliente]], SEARCH("_", Tabla4[[#This Row],[Cliente]]) + 1, LEN(Tabla4[[#This Row],[Cliente]]) - SEARCH("_",Tabla4[[#This Row],[Cliente]]))</f>
        <v>897</v>
      </c>
      <c r="B406">
        <f>sala!K405</f>
        <v>404</v>
      </c>
      <c r="C406">
        <f>Tabla4[[#This Row],[Propina]]+Tabla4[[#This Row],[Precio Cena]]</f>
        <v>3438</v>
      </c>
      <c r="D406" s="3">
        <f>INT(sala!E405)</f>
        <v>45021</v>
      </c>
      <c r="E406" s="4">
        <f>MOD( sala!D405,1)</f>
        <v>2.6388888887595385E-2</v>
      </c>
      <c r="F406" s="4">
        <f>MOD( sala!E405,1)</f>
        <v>0.18680555555329192</v>
      </c>
      <c r="G406" s="4">
        <f>Tabla5[[#This Row],[Hora de Salida]]-Tabla5[[#This Row],[Hora de Llegada]]+Tabla4[[#This Row],[Tiempo Extra]]</f>
        <v>0.16041666666569654</v>
      </c>
      <c r="H406" s="5" t="str">
        <f>TEXT(Tabla4[[#This Row],[Preparación en horas]]/1440, "h:mm")</f>
        <v>1:42</v>
      </c>
      <c r="I406" s="4">
        <f>IF(Tabla5[[#This Row],[Tiempo Permanencia]]-Tabla5[[#This Row],[Tiempo de Preparación ]]&gt;=0,Tabla5[[#This Row],[Tiempo Permanencia]]-Tabla5[[#This Row],[Tiempo de Preparación ]],0)</f>
        <v>8.9583333332363208E-2</v>
      </c>
      <c r="J406" s="5" t="str">
        <f>IF(Tabla5[[#This Row],[Tiempo de Degustación]]=0,"No Cobrada","Cobrada")</f>
        <v>Cobrada</v>
      </c>
      <c r="K406" s="5" cm="1">
        <f t="array" ref="K406">SUM(IF(Tabla5[[#This Row],[Orden Cobrada]]="Cobrada",IF(Cocina!A:A=Tabla5[[#This Row],[Nº Orden]],Cocina!F:F*Cocina!G:G,0),-Tabla6[[#This Row],[Precio Cena]]))</f>
        <v>182</v>
      </c>
      <c r="L406" s="5">
        <f>IF(Tabla5[[#This Row],[Orden Cobrada]]="Cobrada",Tabla5[[#This Row],[Ganancia Bruta]]-Tabla6[[#This Row],[Coste Cena]],-Tabla6[[#This Row],[Precio Cena]]+Tabla6[[#This Row],[Coste Cena]])</f>
        <v>69</v>
      </c>
      <c r="M406" s="10">
        <f>IF(Tabla5[[#This Row],[Orden Cobrada]]="Cobrada",((Tabla5[[#This Row],[Ganancia Neta]]/Tabla5[[#This Row],[Ganancia Bruta]])*100)/100,-((Tabla5[[#This Row],[Ganancia Neta]]/Tabla5[[#This Row],[Ganancia Bruta]]*100)/100))</f>
        <v>0.37912087912087911</v>
      </c>
      <c r="N406" s="5" t="str">
        <f>sala!F405</f>
        <v>Mesero_5</v>
      </c>
      <c r="AY406" cm="1">
        <f t="array" ref="AY406">SUM(IF(Cocina!A:A=Tabla5[[#This Row],[Nº Orden]],Cocina!F:F*Cocina!G:G,0))</f>
        <v>182</v>
      </c>
      <c r="AZ406" cm="1">
        <f t="array" ref="AZ406">SUM(IF(Cocina!A:A=Tabla5[[#This Row],[Nº Orden]],Cocina!E:E*Cocina!G:G,0))</f>
        <v>113</v>
      </c>
      <c r="BB406" t="str">
        <f>MID(Tabla4[[#This Row],[Cliente]], SEARCH("_", Tabla4[[#This Row],[Cliente]]) + 1, LEN(Tabla4[[#This Row],[Cliente]]) - SEARCH("_",Tabla4[[#This Row],[Cliente]]))</f>
        <v>897</v>
      </c>
      <c r="BC406" t="str">
        <f>sala!B405</f>
        <v>Cliente_897</v>
      </c>
      <c r="BD406" s="1">
        <f>sala!D405</f>
        <v>45021.026388888888</v>
      </c>
      <c r="BE406" s="1">
        <f>sala!E405</f>
        <v>45021.186805555553</v>
      </c>
      <c r="BF406">
        <f>sala!K405</f>
        <v>404</v>
      </c>
      <c r="BG406">
        <f>sala!I405</f>
        <v>3256</v>
      </c>
      <c r="BH406" cm="1">
        <f t="array" ref="BH406">SUM(IF(Cocina!A:A=Tabla4[[#This Row],[Número de Orden]],Cocina!F:F*Cocina!G:G,0))</f>
        <v>182</v>
      </c>
      <c r="BI406" t="str">
        <f>sala!J405</f>
        <v>Libre</v>
      </c>
      <c r="BJ406" s="4" t="str">
        <f>IF(Tabla4[[#This Row],[Estado mesa]]="Ocupada","00:15","00:00")</f>
        <v>00:00</v>
      </c>
      <c r="BK406" cm="1">
        <f t="array" ref="BK406">SUM(IF(Cocina!A:A=Tabla4[[#This Row],[Número de Orden]],Cocina!H:H,0))</f>
        <v>102</v>
      </c>
    </row>
    <row r="407" spans="1:63" x14ac:dyDescent="0.3">
      <c r="A407" s="8" t="str">
        <f>MID(Tabla4[[#This Row],[Cliente]], SEARCH("_", Tabla4[[#This Row],[Cliente]]) + 1, LEN(Tabla4[[#This Row],[Cliente]]) - SEARCH("_",Tabla4[[#This Row],[Cliente]]))</f>
        <v>239</v>
      </c>
      <c r="B407">
        <f>sala!K406</f>
        <v>405</v>
      </c>
      <c r="C407">
        <f>Tabla4[[#This Row],[Propina]]+Tabla4[[#This Row],[Precio Cena]]</f>
        <v>1562</v>
      </c>
      <c r="D407" s="3">
        <f>INT(sala!E406)</f>
        <v>45021</v>
      </c>
      <c r="E407" s="4">
        <f>MOD( sala!D406,1)</f>
        <v>0.11041666667006211</v>
      </c>
      <c r="F407" s="4">
        <f>MOD( sala!E406,1)</f>
        <v>0.20763888888905058</v>
      </c>
      <c r="G407" s="4">
        <f>Tabla5[[#This Row],[Hora de Salida]]-Tabla5[[#This Row],[Hora de Llegada]]+Tabla4[[#This Row],[Tiempo Extra]]</f>
        <v>9.7222222218988463E-2</v>
      </c>
      <c r="H407" s="5" t="str">
        <f>TEXT(Tabla4[[#This Row],[Preparación en horas]]/1440, "h:mm")</f>
        <v>1:38</v>
      </c>
      <c r="I407" s="4">
        <f>IF(Tabla5[[#This Row],[Tiempo Permanencia]]-Tabla5[[#This Row],[Tiempo de Preparación ]]&gt;=0,Tabla5[[#This Row],[Tiempo Permanencia]]-Tabla5[[#This Row],[Tiempo de Preparación ]],0)</f>
        <v>2.9166666663432914E-2</v>
      </c>
      <c r="J407" s="5" t="str">
        <f>IF(Tabla5[[#This Row],[Tiempo de Degustación]]=0,"No Cobrada","Cobrada")</f>
        <v>Cobrada</v>
      </c>
      <c r="K407" s="5" cm="1">
        <f t="array" ref="K407">SUM(IF(Tabla5[[#This Row],[Orden Cobrada]]="Cobrada",IF(Cocina!A:A=Tabla5[[#This Row],[Nº Orden]],Cocina!F:F*Cocina!G:G,0),-Tabla6[[#This Row],[Precio Cena]]))</f>
        <v>106</v>
      </c>
      <c r="L407" s="5">
        <f>IF(Tabla5[[#This Row],[Orden Cobrada]]="Cobrada",Tabla5[[#This Row],[Ganancia Bruta]]-Tabla6[[#This Row],[Coste Cena]],-Tabla6[[#This Row],[Precio Cena]]+Tabla6[[#This Row],[Coste Cena]])</f>
        <v>42</v>
      </c>
      <c r="M407" s="10">
        <f>IF(Tabla5[[#This Row],[Orden Cobrada]]="Cobrada",((Tabla5[[#This Row],[Ganancia Neta]]/Tabla5[[#This Row],[Ganancia Bruta]])*100)/100,-((Tabla5[[#This Row],[Ganancia Neta]]/Tabla5[[#This Row],[Ganancia Bruta]]*100)/100))</f>
        <v>0.39622641509433959</v>
      </c>
      <c r="N407" s="5" t="str">
        <f>sala!F406</f>
        <v>Mesero_2</v>
      </c>
      <c r="AY407" cm="1">
        <f t="array" ref="AY407">SUM(IF(Cocina!A:A=Tabla5[[#This Row],[Nº Orden]],Cocina!F:F*Cocina!G:G,0))</f>
        <v>106</v>
      </c>
      <c r="AZ407" cm="1">
        <f t="array" ref="AZ407">SUM(IF(Cocina!A:A=Tabla5[[#This Row],[Nº Orden]],Cocina!E:E*Cocina!G:G,0))</f>
        <v>64</v>
      </c>
      <c r="BB407" t="str">
        <f>MID(Tabla4[[#This Row],[Cliente]], SEARCH("_", Tabla4[[#This Row],[Cliente]]) + 1, LEN(Tabla4[[#This Row],[Cliente]]) - SEARCH("_",Tabla4[[#This Row],[Cliente]]))</f>
        <v>239</v>
      </c>
      <c r="BC407" t="str">
        <f>sala!B406</f>
        <v>Cliente_239</v>
      </c>
      <c r="BD407" s="1">
        <f>sala!D406</f>
        <v>45021.11041666667</v>
      </c>
      <c r="BE407" s="1">
        <f>sala!E406</f>
        <v>45021.207638888889</v>
      </c>
      <c r="BF407">
        <f>sala!K406</f>
        <v>405</v>
      </c>
      <c r="BG407">
        <f>sala!I406</f>
        <v>1456</v>
      </c>
      <c r="BH407" cm="1">
        <f t="array" ref="BH407">SUM(IF(Cocina!A:A=Tabla4[[#This Row],[Número de Orden]],Cocina!F:F*Cocina!G:G,0))</f>
        <v>106</v>
      </c>
      <c r="BI407" t="str">
        <f>sala!J406</f>
        <v>Reservada</v>
      </c>
      <c r="BJ407" s="4" t="str">
        <f>IF(Tabla4[[#This Row],[Estado mesa]]="Ocupada","00:15","00:00")</f>
        <v>00:00</v>
      </c>
      <c r="BK407" cm="1">
        <f t="array" ref="BK407">SUM(IF(Cocina!A:A=Tabla4[[#This Row],[Número de Orden]],Cocina!H:H,0))</f>
        <v>98</v>
      </c>
    </row>
    <row r="408" spans="1:63" x14ac:dyDescent="0.3">
      <c r="A408" s="8" t="str">
        <f>MID(Tabla4[[#This Row],[Cliente]], SEARCH("_", Tabla4[[#This Row],[Cliente]]) + 1, LEN(Tabla4[[#This Row],[Cliente]]) - SEARCH("_",Tabla4[[#This Row],[Cliente]]))</f>
        <v>927</v>
      </c>
      <c r="B408">
        <f>sala!K407</f>
        <v>406</v>
      </c>
      <c r="C408">
        <f>Tabla4[[#This Row],[Propina]]+Tabla4[[#This Row],[Precio Cena]]</f>
        <v>3558</v>
      </c>
      <c r="D408" s="3">
        <f>INT(sala!E407)</f>
        <v>45021</v>
      </c>
      <c r="E408" s="4">
        <f>MOD( sala!D407,1)</f>
        <v>2.0138888889050577E-2</v>
      </c>
      <c r="F408" s="4">
        <f>MOD( sala!E407,1)</f>
        <v>0.10902777777664596</v>
      </c>
      <c r="G408" s="4">
        <f>Tabla5[[#This Row],[Hora de Salida]]-Tabla5[[#This Row],[Hora de Llegada]]+Tabla4[[#This Row],[Tiempo Extra]]</f>
        <v>9.9305555554262057E-2</v>
      </c>
      <c r="H408" s="5" t="str">
        <f>TEXT(Tabla4[[#This Row],[Preparación en horas]]/1440, "h:mm")</f>
        <v>1:57</v>
      </c>
      <c r="I408" s="4">
        <f>IF(Tabla5[[#This Row],[Tiempo Permanencia]]-Tabla5[[#This Row],[Tiempo de Preparación ]]&gt;=0,Tabla5[[#This Row],[Tiempo Permanencia]]-Tabla5[[#This Row],[Tiempo de Preparación ]],0)</f>
        <v>1.8055555554262054E-2</v>
      </c>
      <c r="J408" s="5" t="str">
        <f>IF(Tabla5[[#This Row],[Tiempo de Degustación]]=0,"No Cobrada","Cobrada")</f>
        <v>Cobrada</v>
      </c>
      <c r="K408" s="5" cm="1">
        <f t="array" ref="K408">SUM(IF(Tabla5[[#This Row],[Orden Cobrada]]="Cobrada",IF(Cocina!A:A=Tabla5[[#This Row],[Nº Orden]],Cocina!F:F*Cocina!G:G,0),-Tabla6[[#This Row],[Precio Cena]]))</f>
        <v>155</v>
      </c>
      <c r="L408" s="5">
        <f>IF(Tabla5[[#This Row],[Orden Cobrada]]="Cobrada",Tabla5[[#This Row],[Ganancia Bruta]]-Tabla6[[#This Row],[Coste Cena]],-Tabla6[[#This Row],[Precio Cena]]+Tabla6[[#This Row],[Coste Cena]])</f>
        <v>62</v>
      </c>
      <c r="M408" s="10">
        <f>IF(Tabla5[[#This Row],[Orden Cobrada]]="Cobrada",((Tabla5[[#This Row],[Ganancia Neta]]/Tabla5[[#This Row],[Ganancia Bruta]])*100)/100,-((Tabla5[[#This Row],[Ganancia Neta]]/Tabla5[[#This Row],[Ganancia Bruta]]*100)/100))</f>
        <v>0.4</v>
      </c>
      <c r="N408" s="5" t="str">
        <f>sala!F407</f>
        <v>Mesero_2</v>
      </c>
      <c r="AY408" cm="1">
        <f t="array" ref="AY408">SUM(IF(Cocina!A:A=Tabla5[[#This Row],[Nº Orden]],Cocina!F:F*Cocina!G:G,0))</f>
        <v>155</v>
      </c>
      <c r="AZ408" cm="1">
        <f t="array" ref="AZ408">SUM(IF(Cocina!A:A=Tabla5[[#This Row],[Nº Orden]],Cocina!E:E*Cocina!G:G,0))</f>
        <v>93</v>
      </c>
      <c r="BB408" t="str">
        <f>MID(Tabla4[[#This Row],[Cliente]], SEARCH("_", Tabla4[[#This Row],[Cliente]]) + 1, LEN(Tabla4[[#This Row],[Cliente]]) - SEARCH("_",Tabla4[[#This Row],[Cliente]]))</f>
        <v>927</v>
      </c>
      <c r="BC408" t="str">
        <f>sala!B407</f>
        <v>Cliente_927</v>
      </c>
      <c r="BD408" s="1">
        <f>sala!D407</f>
        <v>45021.020138888889</v>
      </c>
      <c r="BE408" s="1">
        <f>sala!E407</f>
        <v>45021.109027777777</v>
      </c>
      <c r="BF408">
        <f>sala!K407</f>
        <v>406</v>
      </c>
      <c r="BG408">
        <f>sala!I407</f>
        <v>3403</v>
      </c>
      <c r="BH408" cm="1">
        <f t="array" ref="BH408">SUM(IF(Cocina!A:A=Tabla4[[#This Row],[Número de Orden]],Cocina!F:F*Cocina!G:G,0))</f>
        <v>155</v>
      </c>
      <c r="BI408" t="str">
        <f>sala!J407</f>
        <v>Ocupada</v>
      </c>
      <c r="BJ408" s="4" t="str">
        <f>IF(Tabla4[[#This Row],[Estado mesa]]="Ocupada","00:15","00:00")</f>
        <v>00:15</v>
      </c>
      <c r="BK408" cm="1">
        <f t="array" ref="BK408">SUM(IF(Cocina!A:A=Tabla4[[#This Row],[Número de Orden]],Cocina!H:H,0))</f>
        <v>117</v>
      </c>
    </row>
    <row r="409" spans="1:63" x14ac:dyDescent="0.3">
      <c r="A409" s="8" t="str">
        <f>MID(Tabla4[[#This Row],[Cliente]], SEARCH("_", Tabla4[[#This Row],[Cliente]]) + 1, LEN(Tabla4[[#This Row],[Cliente]]) - SEARCH("_",Tabla4[[#This Row],[Cliente]]))</f>
        <v>315</v>
      </c>
      <c r="B409">
        <f>sala!K408</f>
        <v>407</v>
      </c>
      <c r="C409">
        <f>Tabla4[[#This Row],[Propina]]+Tabla4[[#This Row],[Precio Cena]]</f>
        <v>2393</v>
      </c>
      <c r="D409" s="3">
        <f>INT(sala!E408)</f>
        <v>45021</v>
      </c>
      <c r="E409" s="4">
        <f>MOD( sala!D408,1)</f>
        <v>9.2361111113859806E-2</v>
      </c>
      <c r="F409" s="4">
        <f>MOD( sala!E408,1)</f>
        <v>0.20208333332993789</v>
      </c>
      <c r="G409" s="4">
        <f>Tabla5[[#This Row],[Hora de Salida]]-Tabla5[[#This Row],[Hora de Llegada]]+Tabla4[[#This Row],[Tiempo Extra]]</f>
        <v>0.10972222221607808</v>
      </c>
      <c r="H409" s="5" t="str">
        <f>TEXT(Tabla4[[#This Row],[Preparación en horas]]/1440, "h:mm")</f>
        <v>0:50</v>
      </c>
      <c r="I409" s="4">
        <f>IF(Tabla5[[#This Row],[Tiempo Permanencia]]-Tabla5[[#This Row],[Tiempo de Preparación ]]&gt;=0,Tabla5[[#This Row],[Tiempo Permanencia]]-Tabla5[[#This Row],[Tiempo de Preparación ]],0)</f>
        <v>7.4999999993855856E-2</v>
      </c>
      <c r="J409" s="5" t="str">
        <f>IF(Tabla5[[#This Row],[Tiempo de Degustación]]=0,"No Cobrada","Cobrada")</f>
        <v>Cobrada</v>
      </c>
      <c r="K409" s="5" cm="1">
        <f t="array" ref="K409">SUM(IF(Tabla5[[#This Row],[Orden Cobrada]]="Cobrada",IF(Cocina!A:A=Tabla5[[#This Row],[Nº Orden]],Cocina!F:F*Cocina!G:G,0),-Tabla6[[#This Row],[Precio Cena]]))</f>
        <v>95</v>
      </c>
      <c r="L409" s="5">
        <f>IF(Tabla5[[#This Row],[Orden Cobrada]]="Cobrada",Tabla5[[#This Row],[Ganancia Bruta]]-Tabla6[[#This Row],[Coste Cena]],-Tabla6[[#This Row],[Precio Cena]]+Tabla6[[#This Row],[Coste Cena]])</f>
        <v>38</v>
      </c>
      <c r="M409" s="10">
        <f>IF(Tabla5[[#This Row],[Orden Cobrada]]="Cobrada",((Tabla5[[#This Row],[Ganancia Neta]]/Tabla5[[#This Row],[Ganancia Bruta]])*100)/100,-((Tabla5[[#This Row],[Ganancia Neta]]/Tabla5[[#This Row],[Ganancia Bruta]]*100)/100))</f>
        <v>0.4</v>
      </c>
      <c r="N409" s="5" t="str">
        <f>sala!F408</f>
        <v>Mesero_4</v>
      </c>
      <c r="AY409" cm="1">
        <f t="array" ref="AY409">SUM(IF(Cocina!A:A=Tabla5[[#This Row],[Nº Orden]],Cocina!F:F*Cocina!G:G,0))</f>
        <v>95</v>
      </c>
      <c r="AZ409" cm="1">
        <f t="array" ref="AZ409">SUM(IF(Cocina!A:A=Tabla5[[#This Row],[Nº Orden]],Cocina!E:E*Cocina!G:G,0))</f>
        <v>57</v>
      </c>
      <c r="BB409" t="str">
        <f>MID(Tabla4[[#This Row],[Cliente]], SEARCH("_", Tabla4[[#This Row],[Cliente]]) + 1, LEN(Tabla4[[#This Row],[Cliente]]) - SEARCH("_",Tabla4[[#This Row],[Cliente]]))</f>
        <v>315</v>
      </c>
      <c r="BC409" t="str">
        <f>sala!B408</f>
        <v>Cliente_315</v>
      </c>
      <c r="BD409" s="1">
        <f>sala!D408</f>
        <v>45021.092361111114</v>
      </c>
      <c r="BE409" s="1">
        <f>sala!E408</f>
        <v>45021.20208333333</v>
      </c>
      <c r="BF409">
        <f>sala!K408</f>
        <v>407</v>
      </c>
      <c r="BG409">
        <f>sala!I408</f>
        <v>2298</v>
      </c>
      <c r="BH409" cm="1">
        <f t="array" ref="BH409">SUM(IF(Cocina!A:A=Tabla4[[#This Row],[Número de Orden]],Cocina!F:F*Cocina!G:G,0))</f>
        <v>95</v>
      </c>
      <c r="BI409" t="str">
        <f>sala!J408</f>
        <v>Reservada</v>
      </c>
      <c r="BJ409" s="4" t="str">
        <f>IF(Tabla4[[#This Row],[Estado mesa]]="Ocupada","00:15","00:00")</f>
        <v>00:00</v>
      </c>
      <c r="BK409" cm="1">
        <f t="array" ref="BK409">SUM(IF(Cocina!A:A=Tabla4[[#This Row],[Número de Orden]],Cocina!H:H,0))</f>
        <v>50</v>
      </c>
    </row>
    <row r="410" spans="1:63" x14ac:dyDescent="0.3">
      <c r="A410" s="8" t="str">
        <f>MID(Tabla4[[#This Row],[Cliente]], SEARCH("_", Tabla4[[#This Row],[Cliente]]) + 1, LEN(Tabla4[[#This Row],[Cliente]]) - SEARCH("_",Tabla4[[#This Row],[Cliente]]))</f>
        <v>195</v>
      </c>
      <c r="B410">
        <f>sala!K409</f>
        <v>408</v>
      </c>
      <c r="C410">
        <f>Tabla4[[#This Row],[Propina]]+Tabla4[[#This Row],[Precio Cena]]</f>
        <v>1145</v>
      </c>
      <c r="D410" s="3">
        <f>INT(sala!E409)</f>
        <v>45021</v>
      </c>
      <c r="E410" s="4">
        <f>MOD( sala!D409,1)</f>
        <v>3.888888889196096E-2</v>
      </c>
      <c r="F410" s="4">
        <f>MOD( sala!E409,1)</f>
        <v>0.17013888889050577</v>
      </c>
      <c r="G410" s="4">
        <f>Tabla5[[#This Row],[Hora de Salida]]-Tabla5[[#This Row],[Hora de Llegada]]+Tabla4[[#This Row],[Tiempo Extra]]</f>
        <v>0.14166666666521147</v>
      </c>
      <c r="H410" s="5" t="str">
        <f>TEXT(Tabla4[[#This Row],[Preparación en horas]]/1440, "h:mm")</f>
        <v>1:46</v>
      </c>
      <c r="I410" s="4">
        <f>IF(Tabla5[[#This Row],[Tiempo Permanencia]]-Tabla5[[#This Row],[Tiempo de Preparación ]]&gt;=0,Tabla5[[#This Row],[Tiempo Permanencia]]-Tabla5[[#This Row],[Tiempo de Preparación ]],0)</f>
        <v>6.8055555554100353E-2</v>
      </c>
      <c r="J410" s="5" t="str">
        <f>IF(Tabla5[[#This Row],[Tiempo de Degustación]]=0,"No Cobrada","Cobrada")</f>
        <v>Cobrada</v>
      </c>
      <c r="K410" s="5" cm="1">
        <f t="array" ref="K410">SUM(IF(Tabla5[[#This Row],[Orden Cobrada]]="Cobrada",IF(Cocina!A:A=Tabla5[[#This Row],[Nº Orden]],Cocina!F:F*Cocina!G:G,0),-Tabla6[[#This Row],[Precio Cena]]))</f>
        <v>131</v>
      </c>
      <c r="L410" s="5">
        <f>IF(Tabla5[[#This Row],[Orden Cobrada]]="Cobrada",Tabla5[[#This Row],[Ganancia Bruta]]-Tabla6[[#This Row],[Coste Cena]],-Tabla6[[#This Row],[Precio Cena]]+Tabla6[[#This Row],[Coste Cena]])</f>
        <v>54</v>
      </c>
      <c r="M410" s="10">
        <f>IF(Tabla5[[#This Row],[Orden Cobrada]]="Cobrada",((Tabla5[[#This Row],[Ganancia Neta]]/Tabla5[[#This Row],[Ganancia Bruta]])*100)/100,-((Tabla5[[#This Row],[Ganancia Neta]]/Tabla5[[#This Row],[Ganancia Bruta]]*100)/100))</f>
        <v>0.41221374045801523</v>
      </c>
      <c r="N410" s="5" t="str">
        <f>sala!F409</f>
        <v>Mesero_2</v>
      </c>
      <c r="AY410" cm="1">
        <f t="array" ref="AY410">SUM(IF(Cocina!A:A=Tabla5[[#This Row],[Nº Orden]],Cocina!F:F*Cocina!G:G,0))</f>
        <v>131</v>
      </c>
      <c r="AZ410" cm="1">
        <f t="array" ref="AZ410">SUM(IF(Cocina!A:A=Tabla5[[#This Row],[Nº Orden]],Cocina!E:E*Cocina!G:G,0))</f>
        <v>77</v>
      </c>
      <c r="BB410" t="str">
        <f>MID(Tabla4[[#This Row],[Cliente]], SEARCH("_", Tabla4[[#This Row],[Cliente]]) + 1, LEN(Tabla4[[#This Row],[Cliente]]) - SEARCH("_",Tabla4[[#This Row],[Cliente]]))</f>
        <v>195</v>
      </c>
      <c r="BC410" t="str">
        <f>sala!B409</f>
        <v>Cliente_195</v>
      </c>
      <c r="BD410" s="1">
        <f>sala!D409</f>
        <v>45021.038888888892</v>
      </c>
      <c r="BE410" s="1">
        <f>sala!E409</f>
        <v>45021.170138888891</v>
      </c>
      <c r="BF410">
        <f>sala!K409</f>
        <v>408</v>
      </c>
      <c r="BG410">
        <f>sala!I409</f>
        <v>1014</v>
      </c>
      <c r="BH410" cm="1">
        <f t="array" ref="BH410">SUM(IF(Cocina!A:A=Tabla4[[#This Row],[Número de Orden]],Cocina!F:F*Cocina!G:G,0))</f>
        <v>131</v>
      </c>
      <c r="BI410" t="str">
        <f>sala!J409</f>
        <v>Ocupada</v>
      </c>
      <c r="BJ410" s="4" t="str">
        <f>IF(Tabla4[[#This Row],[Estado mesa]]="Ocupada","00:15","00:00")</f>
        <v>00:15</v>
      </c>
      <c r="BK410" cm="1">
        <f t="array" ref="BK410">SUM(IF(Cocina!A:A=Tabla4[[#This Row],[Número de Orden]],Cocina!H:H,0))</f>
        <v>106</v>
      </c>
    </row>
    <row r="411" spans="1:63" x14ac:dyDescent="0.3">
      <c r="A411" s="8" t="str">
        <f>MID(Tabla4[[#This Row],[Cliente]], SEARCH("_", Tabla4[[#This Row],[Cliente]]) + 1, LEN(Tabla4[[#This Row],[Cliente]]) - SEARCH("_",Tabla4[[#This Row],[Cliente]]))</f>
        <v>166</v>
      </c>
      <c r="B411">
        <f>sala!K410</f>
        <v>409</v>
      </c>
      <c r="C411">
        <f>Tabla4[[#This Row],[Propina]]+Tabla4[[#This Row],[Precio Cena]]</f>
        <v>690</v>
      </c>
      <c r="D411" s="3">
        <f>INT(sala!E410)</f>
        <v>45021</v>
      </c>
      <c r="E411" s="4">
        <f>MOD( sala!D410,1)</f>
        <v>7.9861111109494232E-2</v>
      </c>
      <c r="F411" s="4">
        <f>MOD( sala!E410,1)</f>
        <v>0.12569444444670808</v>
      </c>
      <c r="G411" s="4">
        <f>Tabla5[[#This Row],[Hora de Salida]]-Tabla5[[#This Row],[Hora de Llegada]]+Tabla4[[#This Row],[Tiempo Extra]]</f>
        <v>4.5833333337213844E-2</v>
      </c>
      <c r="H411" s="5" t="str">
        <f>TEXT(Tabla4[[#This Row],[Preparación en horas]]/1440, "h:mm")</f>
        <v>2:43</v>
      </c>
      <c r="I411" s="4">
        <f>IF(Tabla5[[#This Row],[Tiempo Permanencia]]-Tabla5[[#This Row],[Tiempo de Preparación ]]&gt;=0,Tabla5[[#This Row],[Tiempo Permanencia]]-Tabla5[[#This Row],[Tiempo de Preparación ]],0)</f>
        <v>0</v>
      </c>
      <c r="J411" s="5" t="str">
        <f>IF(Tabla5[[#This Row],[Tiempo de Degustación]]=0,"No Cobrada","Cobrada")</f>
        <v>No Cobrada</v>
      </c>
      <c r="K411" s="5" cm="1">
        <f t="array" ref="K411">SUM(IF(Tabla5[[#This Row],[Orden Cobrada]]="Cobrada",IF(Cocina!A:A=Tabla5[[#This Row],[Nº Orden]],Cocina!F:F*Cocina!G:G,0),-Tabla6[[#This Row],[Precio Cena]]))</f>
        <v>-203</v>
      </c>
      <c r="L411" s="5">
        <f>IF(Tabla5[[#This Row],[Orden Cobrada]]="Cobrada",Tabla5[[#This Row],[Ganancia Bruta]]-Tabla6[[#This Row],[Coste Cena]],-Tabla6[[#This Row],[Precio Cena]]+Tabla6[[#This Row],[Coste Cena]])</f>
        <v>-81</v>
      </c>
      <c r="M411" s="10">
        <f>IF(Tabla5[[#This Row],[Orden Cobrada]]="Cobrada",((Tabla5[[#This Row],[Ganancia Neta]]/Tabla5[[#This Row],[Ganancia Bruta]])*100)/100,-((Tabla5[[#This Row],[Ganancia Neta]]/Tabla5[[#This Row],[Ganancia Bruta]]*100)/100))</f>
        <v>-0.39901477832512311</v>
      </c>
      <c r="N411" s="5" t="str">
        <f>sala!F410</f>
        <v>Mesero_1</v>
      </c>
      <c r="AY411" cm="1">
        <f t="array" ref="AY411">SUM(IF(Cocina!A:A=Tabla5[[#This Row],[Nº Orden]],Cocina!F:F*Cocina!G:G,0))</f>
        <v>203</v>
      </c>
      <c r="AZ411" cm="1">
        <f t="array" ref="AZ411">SUM(IF(Cocina!A:A=Tabla5[[#This Row],[Nº Orden]],Cocina!E:E*Cocina!G:G,0))</f>
        <v>122</v>
      </c>
      <c r="BB411" t="str">
        <f>MID(Tabla4[[#This Row],[Cliente]], SEARCH("_", Tabla4[[#This Row],[Cliente]]) + 1, LEN(Tabla4[[#This Row],[Cliente]]) - SEARCH("_",Tabla4[[#This Row],[Cliente]]))</f>
        <v>166</v>
      </c>
      <c r="BC411" t="str">
        <f>sala!B410</f>
        <v>Cliente_166</v>
      </c>
      <c r="BD411" s="1">
        <f>sala!D410</f>
        <v>45021.079861111109</v>
      </c>
      <c r="BE411" s="1">
        <f>sala!E410</f>
        <v>45021.125694444447</v>
      </c>
      <c r="BF411">
        <f>sala!K410</f>
        <v>409</v>
      </c>
      <c r="BG411">
        <f>sala!I410</f>
        <v>487</v>
      </c>
      <c r="BH411" cm="1">
        <f t="array" ref="BH411">SUM(IF(Cocina!A:A=Tabla4[[#This Row],[Número de Orden]],Cocina!F:F*Cocina!G:G,0))</f>
        <v>203</v>
      </c>
      <c r="BI411" t="str">
        <f>sala!J410</f>
        <v>Reservada</v>
      </c>
      <c r="BJ411" s="4" t="str">
        <f>IF(Tabla4[[#This Row],[Estado mesa]]="Ocupada","00:15","00:00")</f>
        <v>00:00</v>
      </c>
      <c r="BK411" cm="1">
        <f t="array" ref="BK411">SUM(IF(Cocina!A:A=Tabla4[[#This Row],[Número de Orden]],Cocina!H:H,0))</f>
        <v>163</v>
      </c>
    </row>
    <row r="412" spans="1:63" x14ac:dyDescent="0.3">
      <c r="A412" s="8" t="str">
        <f>MID(Tabla4[[#This Row],[Cliente]], SEARCH("_", Tabla4[[#This Row],[Cliente]]) + 1, LEN(Tabla4[[#This Row],[Cliente]]) - SEARCH("_",Tabla4[[#This Row],[Cliente]]))</f>
        <v>157</v>
      </c>
      <c r="B412">
        <f>sala!K411</f>
        <v>410</v>
      </c>
      <c r="C412">
        <f>Tabla4[[#This Row],[Propina]]+Tabla4[[#This Row],[Precio Cena]]</f>
        <v>4421</v>
      </c>
      <c r="D412" s="3">
        <f>INT(sala!E411)</f>
        <v>45021</v>
      </c>
      <c r="E412" s="4">
        <f>MOD( sala!D411,1)</f>
        <v>0.11597222222189885</v>
      </c>
      <c r="F412" s="4">
        <f>MOD( sala!E411,1)</f>
        <v>0.22430555555911269</v>
      </c>
      <c r="G412" s="4">
        <f>Tabla5[[#This Row],[Hora de Salida]]-Tabla5[[#This Row],[Hora de Llegada]]+Tabla4[[#This Row],[Tiempo Extra]]</f>
        <v>0.10833333333721384</v>
      </c>
      <c r="H412" s="5" t="str">
        <f>TEXT(Tabla4[[#This Row],[Preparación en horas]]/1440, "h:mm")</f>
        <v>1:31</v>
      </c>
      <c r="I412" s="4">
        <f>IF(Tabla5[[#This Row],[Tiempo Permanencia]]-Tabla5[[#This Row],[Tiempo de Preparación ]]&gt;=0,Tabla5[[#This Row],[Tiempo Permanencia]]-Tabla5[[#This Row],[Tiempo de Preparación ]],0)</f>
        <v>4.5138888892769402E-2</v>
      </c>
      <c r="J412" s="5" t="str">
        <f>IF(Tabla5[[#This Row],[Tiempo de Degustación]]=0,"No Cobrada","Cobrada")</f>
        <v>Cobrada</v>
      </c>
      <c r="K412" s="5" cm="1">
        <f t="array" ref="K412">SUM(IF(Tabla5[[#This Row],[Orden Cobrada]]="Cobrada",IF(Cocina!A:A=Tabla5[[#This Row],[Nº Orden]],Cocina!F:F*Cocina!G:G,0),-Tabla6[[#This Row],[Precio Cena]]))</f>
        <v>56</v>
      </c>
      <c r="L412" s="5">
        <f>IF(Tabla5[[#This Row],[Orden Cobrada]]="Cobrada",Tabla5[[#This Row],[Ganancia Bruta]]-Tabla6[[#This Row],[Coste Cena]],-Tabla6[[#This Row],[Precio Cena]]+Tabla6[[#This Row],[Coste Cena]])</f>
        <v>22</v>
      </c>
      <c r="M412" s="10">
        <f>IF(Tabla5[[#This Row],[Orden Cobrada]]="Cobrada",((Tabla5[[#This Row],[Ganancia Neta]]/Tabla5[[#This Row],[Ganancia Bruta]])*100)/100,-((Tabla5[[#This Row],[Ganancia Neta]]/Tabla5[[#This Row],[Ganancia Bruta]]*100)/100))</f>
        <v>0.39285714285714285</v>
      </c>
      <c r="N412" s="5" t="str">
        <f>sala!F411</f>
        <v>Mesero_4</v>
      </c>
      <c r="AY412" cm="1">
        <f t="array" ref="AY412">SUM(IF(Cocina!A:A=Tabla5[[#This Row],[Nº Orden]],Cocina!F:F*Cocina!G:G,0))</f>
        <v>56</v>
      </c>
      <c r="AZ412" cm="1">
        <f t="array" ref="AZ412">SUM(IF(Cocina!A:A=Tabla5[[#This Row],[Nº Orden]],Cocina!E:E*Cocina!G:G,0))</f>
        <v>34</v>
      </c>
      <c r="BB412" t="str">
        <f>MID(Tabla4[[#This Row],[Cliente]], SEARCH("_", Tabla4[[#This Row],[Cliente]]) + 1, LEN(Tabla4[[#This Row],[Cliente]]) - SEARCH("_",Tabla4[[#This Row],[Cliente]]))</f>
        <v>157</v>
      </c>
      <c r="BC412" t="str">
        <f>sala!B411</f>
        <v>Cliente_157</v>
      </c>
      <c r="BD412" s="1">
        <f>sala!D411</f>
        <v>45021.115972222222</v>
      </c>
      <c r="BE412" s="1">
        <f>sala!E411</f>
        <v>45021.224305555559</v>
      </c>
      <c r="BF412">
        <f>sala!K411</f>
        <v>410</v>
      </c>
      <c r="BG412">
        <f>sala!I411</f>
        <v>4365</v>
      </c>
      <c r="BH412" cm="1">
        <f t="array" ref="BH412">SUM(IF(Cocina!A:A=Tabla4[[#This Row],[Número de Orden]],Cocina!F:F*Cocina!G:G,0))</f>
        <v>56</v>
      </c>
      <c r="BI412" t="str">
        <f>sala!J411</f>
        <v>Reservada</v>
      </c>
      <c r="BJ412" s="4" t="str">
        <f>IF(Tabla4[[#This Row],[Estado mesa]]="Ocupada","00:15","00:00")</f>
        <v>00:00</v>
      </c>
      <c r="BK412" cm="1">
        <f t="array" ref="BK412">SUM(IF(Cocina!A:A=Tabla4[[#This Row],[Número de Orden]],Cocina!H:H,0))</f>
        <v>91</v>
      </c>
    </row>
    <row r="413" spans="1:63" x14ac:dyDescent="0.3">
      <c r="A413" s="8" t="str">
        <f>MID(Tabla4[[#This Row],[Cliente]], SEARCH("_", Tabla4[[#This Row],[Cliente]]) + 1, LEN(Tabla4[[#This Row],[Cliente]]) - SEARCH("_",Tabla4[[#This Row],[Cliente]]))</f>
        <v>212</v>
      </c>
      <c r="B413">
        <f>sala!K412</f>
        <v>411</v>
      </c>
      <c r="C413">
        <f>Tabla4[[#This Row],[Propina]]+Tabla4[[#This Row],[Precio Cena]]</f>
        <v>2407</v>
      </c>
      <c r="D413" s="3">
        <f>INT(sala!E412)</f>
        <v>45021</v>
      </c>
      <c r="E413" s="4">
        <f>MOD( sala!D412,1)</f>
        <v>9.0972222220443655E-2</v>
      </c>
      <c r="F413" s="4">
        <f>MOD( sala!E412,1)</f>
        <v>0.21111111110803904</v>
      </c>
      <c r="G413" s="4">
        <f>Tabla5[[#This Row],[Hora de Salida]]-Tabla5[[#This Row],[Hora de Llegada]]+Tabla4[[#This Row],[Tiempo Extra]]</f>
        <v>0.13055555555426204</v>
      </c>
      <c r="H413" s="5" t="str">
        <f>TEXT(Tabla4[[#This Row],[Preparación en horas]]/1440, "h:mm")</f>
        <v>1:18</v>
      </c>
      <c r="I413" s="4">
        <f>IF(Tabla5[[#This Row],[Tiempo Permanencia]]-Tabla5[[#This Row],[Tiempo de Preparación ]]&gt;=0,Tabla5[[#This Row],[Tiempo Permanencia]]-Tabla5[[#This Row],[Tiempo de Preparación ]],0)</f>
        <v>7.6388888887595374E-2</v>
      </c>
      <c r="J413" s="5" t="str">
        <f>IF(Tabla5[[#This Row],[Tiempo de Degustación]]=0,"No Cobrada","Cobrada")</f>
        <v>Cobrada</v>
      </c>
      <c r="K413" s="5" cm="1">
        <f t="array" ref="K413">SUM(IF(Tabla5[[#This Row],[Orden Cobrada]]="Cobrada",IF(Cocina!A:A=Tabla5[[#This Row],[Nº Orden]],Cocina!F:F*Cocina!G:G,0),-Tabla6[[#This Row],[Precio Cena]]))</f>
        <v>219</v>
      </c>
      <c r="L413" s="5">
        <f>IF(Tabla5[[#This Row],[Orden Cobrada]]="Cobrada",Tabla5[[#This Row],[Ganancia Bruta]]-Tabla6[[#This Row],[Coste Cena]],-Tabla6[[#This Row],[Precio Cena]]+Tabla6[[#This Row],[Coste Cena]])</f>
        <v>86</v>
      </c>
      <c r="M413" s="10">
        <f>IF(Tabla5[[#This Row],[Orden Cobrada]]="Cobrada",((Tabla5[[#This Row],[Ganancia Neta]]/Tabla5[[#This Row],[Ganancia Bruta]])*100)/100,-((Tabla5[[#This Row],[Ganancia Neta]]/Tabla5[[#This Row],[Ganancia Bruta]]*100)/100))</f>
        <v>0.39269406392694056</v>
      </c>
      <c r="N413" s="5" t="str">
        <f>sala!F412</f>
        <v>Mesero_1</v>
      </c>
      <c r="AY413" cm="1">
        <f t="array" ref="AY413">SUM(IF(Cocina!A:A=Tabla5[[#This Row],[Nº Orden]],Cocina!F:F*Cocina!G:G,0))</f>
        <v>219</v>
      </c>
      <c r="AZ413" cm="1">
        <f t="array" ref="AZ413">SUM(IF(Cocina!A:A=Tabla5[[#This Row],[Nº Orden]],Cocina!E:E*Cocina!G:G,0))</f>
        <v>133</v>
      </c>
      <c r="BB413" t="str">
        <f>MID(Tabla4[[#This Row],[Cliente]], SEARCH("_", Tabla4[[#This Row],[Cliente]]) + 1, LEN(Tabla4[[#This Row],[Cliente]]) - SEARCH("_",Tabla4[[#This Row],[Cliente]]))</f>
        <v>212</v>
      </c>
      <c r="BC413" t="str">
        <f>sala!B412</f>
        <v>Cliente_212</v>
      </c>
      <c r="BD413" s="1">
        <f>sala!D412</f>
        <v>45021.09097222222</v>
      </c>
      <c r="BE413" s="1">
        <f>sala!E412</f>
        <v>45021.211111111108</v>
      </c>
      <c r="BF413">
        <f>sala!K412</f>
        <v>411</v>
      </c>
      <c r="BG413">
        <f>sala!I412</f>
        <v>2188</v>
      </c>
      <c r="BH413" cm="1">
        <f t="array" ref="BH413">SUM(IF(Cocina!A:A=Tabla4[[#This Row],[Número de Orden]],Cocina!F:F*Cocina!G:G,0))</f>
        <v>219</v>
      </c>
      <c r="BI413" t="str">
        <f>sala!J412</f>
        <v>Ocupada</v>
      </c>
      <c r="BJ413" s="4" t="str">
        <f>IF(Tabla4[[#This Row],[Estado mesa]]="Ocupada","00:15","00:00")</f>
        <v>00:15</v>
      </c>
      <c r="BK413" cm="1">
        <f t="array" ref="BK413">SUM(IF(Cocina!A:A=Tabla4[[#This Row],[Número de Orden]],Cocina!H:H,0))</f>
        <v>78</v>
      </c>
    </row>
    <row r="414" spans="1:63" x14ac:dyDescent="0.3">
      <c r="A414" s="8" t="str">
        <f>MID(Tabla4[[#This Row],[Cliente]], SEARCH("_", Tabla4[[#This Row],[Cliente]]) + 1, LEN(Tabla4[[#This Row],[Cliente]]) - SEARCH("_",Tabla4[[#This Row],[Cliente]]))</f>
        <v>912</v>
      </c>
      <c r="B414">
        <f>sala!K413</f>
        <v>412</v>
      </c>
      <c r="C414">
        <f>Tabla4[[#This Row],[Propina]]+Tabla4[[#This Row],[Precio Cena]]</f>
        <v>1387</v>
      </c>
      <c r="D414" s="3">
        <f>INT(sala!E413)</f>
        <v>45021</v>
      </c>
      <c r="E414" s="4">
        <f>MOD( sala!D413,1)</f>
        <v>1.5277777776645962E-2</v>
      </c>
      <c r="F414" s="4">
        <f>MOD( sala!E413,1)</f>
        <v>8.5416666668606922E-2</v>
      </c>
      <c r="G414" s="4">
        <f>Tabla5[[#This Row],[Hora de Salida]]-Tabla5[[#This Row],[Hora de Llegada]]+Tabla4[[#This Row],[Tiempo Extra]]</f>
        <v>8.0555555558627631E-2</v>
      </c>
      <c r="H414" s="5" t="str">
        <f>TEXT(Tabla4[[#This Row],[Preparación en horas]]/1440, "h:mm")</f>
        <v>0:57</v>
      </c>
      <c r="I414" s="4">
        <f>IF(Tabla5[[#This Row],[Tiempo Permanencia]]-Tabla5[[#This Row],[Tiempo de Preparación ]]&gt;=0,Tabla5[[#This Row],[Tiempo Permanencia]]-Tabla5[[#This Row],[Tiempo de Preparación ]],0)</f>
        <v>4.09722222252943E-2</v>
      </c>
      <c r="J414" s="5" t="str">
        <f>IF(Tabla5[[#This Row],[Tiempo de Degustación]]=0,"No Cobrada","Cobrada")</f>
        <v>Cobrada</v>
      </c>
      <c r="K414" s="5" cm="1">
        <f t="array" ref="K414">SUM(IF(Tabla5[[#This Row],[Orden Cobrada]]="Cobrada",IF(Cocina!A:A=Tabla5[[#This Row],[Nº Orden]],Cocina!F:F*Cocina!G:G,0),-Tabla6[[#This Row],[Precio Cena]]))</f>
        <v>93</v>
      </c>
      <c r="L414" s="5">
        <f>IF(Tabla5[[#This Row],[Orden Cobrada]]="Cobrada",Tabla5[[#This Row],[Ganancia Bruta]]-Tabla6[[#This Row],[Coste Cena]],-Tabla6[[#This Row],[Precio Cena]]+Tabla6[[#This Row],[Coste Cena]])</f>
        <v>36</v>
      </c>
      <c r="M414" s="10">
        <f>IF(Tabla5[[#This Row],[Orden Cobrada]]="Cobrada",((Tabla5[[#This Row],[Ganancia Neta]]/Tabla5[[#This Row],[Ganancia Bruta]])*100)/100,-((Tabla5[[#This Row],[Ganancia Neta]]/Tabla5[[#This Row],[Ganancia Bruta]]*100)/100))</f>
        <v>0.38709677419354838</v>
      </c>
      <c r="N414" s="5" t="str">
        <f>sala!F413</f>
        <v>Mesero_5</v>
      </c>
      <c r="AY414" cm="1">
        <f t="array" ref="AY414">SUM(IF(Cocina!A:A=Tabla5[[#This Row],[Nº Orden]],Cocina!F:F*Cocina!G:G,0))</f>
        <v>93</v>
      </c>
      <c r="AZ414" cm="1">
        <f t="array" ref="AZ414">SUM(IF(Cocina!A:A=Tabla5[[#This Row],[Nº Orden]],Cocina!E:E*Cocina!G:G,0))</f>
        <v>57</v>
      </c>
      <c r="BB414" t="str">
        <f>MID(Tabla4[[#This Row],[Cliente]], SEARCH("_", Tabla4[[#This Row],[Cliente]]) + 1, LEN(Tabla4[[#This Row],[Cliente]]) - SEARCH("_",Tabla4[[#This Row],[Cliente]]))</f>
        <v>912</v>
      </c>
      <c r="BC414" t="str">
        <f>sala!B413</f>
        <v>Cliente_912</v>
      </c>
      <c r="BD414" s="1">
        <f>sala!D413</f>
        <v>45021.015277777777</v>
      </c>
      <c r="BE414" s="1">
        <f>sala!E413</f>
        <v>45021.085416666669</v>
      </c>
      <c r="BF414">
        <f>sala!K413</f>
        <v>412</v>
      </c>
      <c r="BG414">
        <f>sala!I413</f>
        <v>1294</v>
      </c>
      <c r="BH414" cm="1">
        <f t="array" ref="BH414">SUM(IF(Cocina!A:A=Tabla4[[#This Row],[Número de Orden]],Cocina!F:F*Cocina!G:G,0))</f>
        <v>93</v>
      </c>
      <c r="BI414" t="str">
        <f>sala!J413</f>
        <v>Ocupada</v>
      </c>
      <c r="BJ414" s="4" t="str">
        <f>IF(Tabla4[[#This Row],[Estado mesa]]="Ocupada","00:15","00:00")</f>
        <v>00:15</v>
      </c>
      <c r="BK414" cm="1">
        <f t="array" ref="BK414">SUM(IF(Cocina!A:A=Tabla4[[#This Row],[Número de Orden]],Cocina!H:H,0))</f>
        <v>57</v>
      </c>
    </row>
    <row r="415" spans="1:63" x14ac:dyDescent="0.3">
      <c r="A415" s="8" t="str">
        <f>MID(Tabla4[[#This Row],[Cliente]], SEARCH("_", Tabla4[[#This Row],[Cliente]]) + 1, LEN(Tabla4[[#This Row],[Cliente]]) - SEARCH("_",Tabla4[[#This Row],[Cliente]]))</f>
        <v>736</v>
      </c>
      <c r="B415">
        <f>sala!K414</f>
        <v>413</v>
      </c>
      <c r="C415">
        <f>Tabla4[[#This Row],[Propina]]+Tabla4[[#This Row],[Precio Cena]]</f>
        <v>2336</v>
      </c>
      <c r="D415" s="3">
        <f>INT(sala!E414)</f>
        <v>45021</v>
      </c>
      <c r="E415" s="4">
        <f>MOD( sala!D414,1)</f>
        <v>0.10833333332993789</v>
      </c>
      <c r="F415" s="4">
        <f>MOD( sala!E414,1)</f>
        <v>0.2069444444423425</v>
      </c>
      <c r="G415" s="4">
        <f>Tabla5[[#This Row],[Hora de Salida]]-Tabla5[[#This Row],[Hora de Llegada]]+Tabla4[[#This Row],[Tiempo Extra]]</f>
        <v>0.10902777777907129</v>
      </c>
      <c r="H415" s="5" t="str">
        <f>TEXT(Tabla4[[#This Row],[Preparación en horas]]/1440, "h:mm")</f>
        <v>0:12</v>
      </c>
      <c r="I415" s="4">
        <f>IF(Tabla5[[#This Row],[Tiempo Permanencia]]-Tabla5[[#This Row],[Tiempo de Preparación ]]&gt;=0,Tabla5[[#This Row],[Tiempo Permanencia]]-Tabla5[[#This Row],[Tiempo de Preparación ]],0)</f>
        <v>0.10069444444573795</v>
      </c>
      <c r="J415" s="5" t="str">
        <f>IF(Tabla5[[#This Row],[Tiempo de Degustación]]=0,"No Cobrada","Cobrada")</f>
        <v>Cobrada</v>
      </c>
      <c r="K415" s="5" cm="1">
        <f t="array" ref="K415">SUM(IF(Tabla5[[#This Row],[Orden Cobrada]]="Cobrada",IF(Cocina!A:A=Tabla5[[#This Row],[Nº Orden]],Cocina!F:F*Cocina!G:G,0),-Tabla6[[#This Row],[Precio Cena]]))</f>
        <v>35</v>
      </c>
      <c r="L415" s="5">
        <f>IF(Tabla5[[#This Row],[Orden Cobrada]]="Cobrada",Tabla5[[#This Row],[Ganancia Bruta]]-Tabla6[[#This Row],[Coste Cena]],-Tabla6[[#This Row],[Precio Cena]]+Tabla6[[#This Row],[Coste Cena]])</f>
        <v>14</v>
      </c>
      <c r="M415" s="10">
        <f>IF(Tabla5[[#This Row],[Orden Cobrada]]="Cobrada",((Tabla5[[#This Row],[Ganancia Neta]]/Tabla5[[#This Row],[Ganancia Bruta]])*100)/100,-((Tabla5[[#This Row],[Ganancia Neta]]/Tabla5[[#This Row],[Ganancia Bruta]]*100)/100))</f>
        <v>0.4</v>
      </c>
      <c r="N415" s="5" t="str">
        <f>sala!F414</f>
        <v>Mesero_4</v>
      </c>
      <c r="AY415" cm="1">
        <f t="array" ref="AY415">SUM(IF(Cocina!A:A=Tabla5[[#This Row],[Nº Orden]],Cocina!F:F*Cocina!G:G,0))</f>
        <v>35</v>
      </c>
      <c r="AZ415" cm="1">
        <f t="array" ref="AZ415">SUM(IF(Cocina!A:A=Tabla5[[#This Row],[Nº Orden]],Cocina!E:E*Cocina!G:G,0))</f>
        <v>21</v>
      </c>
      <c r="BB415" t="str">
        <f>MID(Tabla4[[#This Row],[Cliente]], SEARCH("_", Tabla4[[#This Row],[Cliente]]) + 1, LEN(Tabla4[[#This Row],[Cliente]]) - SEARCH("_",Tabla4[[#This Row],[Cliente]]))</f>
        <v>736</v>
      </c>
      <c r="BC415" t="str">
        <f>sala!B414</f>
        <v>Cliente_736</v>
      </c>
      <c r="BD415" s="1">
        <f>sala!D414</f>
        <v>45021.10833333333</v>
      </c>
      <c r="BE415" s="1">
        <f>sala!E414</f>
        <v>45021.206944444442</v>
      </c>
      <c r="BF415">
        <f>sala!K414</f>
        <v>413</v>
      </c>
      <c r="BG415">
        <f>sala!I414</f>
        <v>2301</v>
      </c>
      <c r="BH415" cm="1">
        <f t="array" ref="BH415">SUM(IF(Cocina!A:A=Tabla4[[#This Row],[Número de Orden]],Cocina!F:F*Cocina!G:G,0))</f>
        <v>35</v>
      </c>
      <c r="BI415" t="str">
        <f>sala!J414</f>
        <v>Ocupada</v>
      </c>
      <c r="BJ415" s="4" t="str">
        <f>IF(Tabla4[[#This Row],[Estado mesa]]="Ocupada","00:15","00:00")</f>
        <v>00:15</v>
      </c>
      <c r="BK415" cm="1">
        <f t="array" ref="BK415">SUM(IF(Cocina!A:A=Tabla4[[#This Row],[Número de Orden]],Cocina!H:H,0))</f>
        <v>12</v>
      </c>
    </row>
    <row r="416" spans="1:63" x14ac:dyDescent="0.3">
      <c r="A416" s="8" t="str">
        <f>MID(Tabla4[[#This Row],[Cliente]], SEARCH("_", Tabla4[[#This Row],[Cliente]]) + 1, LEN(Tabla4[[#This Row],[Cliente]]) - SEARCH("_",Tabla4[[#This Row],[Cliente]]))</f>
        <v>328</v>
      </c>
      <c r="B416">
        <f>sala!K415</f>
        <v>414</v>
      </c>
      <c r="C416">
        <f>Tabla4[[#This Row],[Propina]]+Tabla4[[#This Row],[Precio Cena]]</f>
        <v>1350</v>
      </c>
      <c r="D416" s="3">
        <f>INT(sala!E415)</f>
        <v>45021</v>
      </c>
      <c r="E416" s="4">
        <f>MOD( sala!D415,1)</f>
        <v>0.15486111111385981</v>
      </c>
      <c r="F416" s="4">
        <f>MOD( sala!E415,1)</f>
        <v>0.30000000000291038</v>
      </c>
      <c r="G416" s="4">
        <f>Tabla5[[#This Row],[Hora de Salida]]-Tabla5[[#This Row],[Hora de Llegada]]+Tabla4[[#This Row],[Tiempo Extra]]</f>
        <v>0.14513888888905058</v>
      </c>
      <c r="H416" s="5" t="str">
        <f>TEXT(Tabla4[[#This Row],[Preparación en horas]]/1440, "h:mm")</f>
        <v>0:38</v>
      </c>
      <c r="I416" s="4">
        <f>IF(Tabla5[[#This Row],[Tiempo Permanencia]]-Tabla5[[#This Row],[Tiempo de Preparación ]]&gt;=0,Tabla5[[#This Row],[Tiempo Permanencia]]-Tabla5[[#This Row],[Tiempo de Preparación ]],0)</f>
        <v>0.11875000000016168</v>
      </c>
      <c r="J416" s="5" t="str">
        <f>IF(Tabla5[[#This Row],[Tiempo de Degustación]]=0,"No Cobrada","Cobrada")</f>
        <v>Cobrada</v>
      </c>
      <c r="K416" s="5" cm="1">
        <f t="array" ref="K416">SUM(IF(Tabla5[[#This Row],[Orden Cobrada]]="Cobrada",IF(Cocina!A:A=Tabla5[[#This Row],[Nº Orden]],Cocina!F:F*Cocina!G:G,0),-Tabla6[[#This Row],[Precio Cena]]))</f>
        <v>33</v>
      </c>
      <c r="L416" s="5">
        <f>IF(Tabla5[[#This Row],[Orden Cobrada]]="Cobrada",Tabla5[[#This Row],[Ganancia Bruta]]-Tabla6[[#This Row],[Coste Cena]],-Tabla6[[#This Row],[Precio Cena]]+Tabla6[[#This Row],[Coste Cena]])</f>
        <v>13</v>
      </c>
      <c r="M416" s="10">
        <f>IF(Tabla5[[#This Row],[Orden Cobrada]]="Cobrada",((Tabla5[[#This Row],[Ganancia Neta]]/Tabla5[[#This Row],[Ganancia Bruta]])*100)/100,-((Tabla5[[#This Row],[Ganancia Neta]]/Tabla5[[#This Row],[Ganancia Bruta]]*100)/100))</f>
        <v>0.39393939393939392</v>
      </c>
      <c r="N416" s="5" t="str">
        <f>sala!F415</f>
        <v>Mesero_5</v>
      </c>
      <c r="AY416" cm="1">
        <f t="array" ref="AY416">SUM(IF(Cocina!A:A=Tabla5[[#This Row],[Nº Orden]],Cocina!F:F*Cocina!G:G,0))</f>
        <v>33</v>
      </c>
      <c r="AZ416" cm="1">
        <f t="array" ref="AZ416">SUM(IF(Cocina!A:A=Tabla5[[#This Row],[Nº Orden]],Cocina!E:E*Cocina!G:G,0))</f>
        <v>20</v>
      </c>
      <c r="BB416" t="str">
        <f>MID(Tabla4[[#This Row],[Cliente]], SEARCH("_", Tabla4[[#This Row],[Cliente]]) + 1, LEN(Tabla4[[#This Row],[Cliente]]) - SEARCH("_",Tabla4[[#This Row],[Cliente]]))</f>
        <v>328</v>
      </c>
      <c r="BC416" t="str">
        <f>sala!B415</f>
        <v>Cliente_328</v>
      </c>
      <c r="BD416" s="1">
        <f>sala!D415</f>
        <v>45021.154861111114</v>
      </c>
      <c r="BE416" s="1">
        <f>sala!E415</f>
        <v>45021.3</v>
      </c>
      <c r="BF416">
        <f>sala!K415</f>
        <v>414</v>
      </c>
      <c r="BG416">
        <f>sala!I415</f>
        <v>1317</v>
      </c>
      <c r="BH416" cm="1">
        <f t="array" ref="BH416">SUM(IF(Cocina!A:A=Tabla4[[#This Row],[Número de Orden]],Cocina!F:F*Cocina!G:G,0))</f>
        <v>33</v>
      </c>
      <c r="BI416" t="str">
        <f>sala!J415</f>
        <v>Reservada</v>
      </c>
      <c r="BJ416" s="4" t="str">
        <f>IF(Tabla4[[#This Row],[Estado mesa]]="Ocupada","00:15","00:00")</f>
        <v>00:00</v>
      </c>
      <c r="BK416" cm="1">
        <f t="array" ref="BK416">SUM(IF(Cocina!A:A=Tabla4[[#This Row],[Número de Orden]],Cocina!H:H,0))</f>
        <v>38</v>
      </c>
    </row>
    <row r="417" spans="1:63" x14ac:dyDescent="0.3">
      <c r="A417" s="8" t="str">
        <f>MID(Tabla4[[#This Row],[Cliente]], SEARCH("_", Tabla4[[#This Row],[Cliente]]) + 1, LEN(Tabla4[[#This Row],[Cliente]]) - SEARCH("_",Tabla4[[#This Row],[Cliente]]))</f>
        <v>919</v>
      </c>
      <c r="B417">
        <f>sala!K416</f>
        <v>415</v>
      </c>
      <c r="C417">
        <f>Tabla4[[#This Row],[Propina]]+Tabla4[[#This Row],[Precio Cena]]</f>
        <v>2209</v>
      </c>
      <c r="D417" s="3">
        <f>INT(sala!E416)</f>
        <v>45021</v>
      </c>
      <c r="E417" s="4">
        <f>MOD( sala!D416,1)</f>
        <v>2.7083333334303461E-2</v>
      </c>
      <c r="F417" s="4">
        <f>MOD( sala!E416,1)</f>
        <v>0.19097222221898846</v>
      </c>
      <c r="G417" s="4">
        <f>Tabla5[[#This Row],[Hora de Salida]]-Tabla5[[#This Row],[Hora de Llegada]]+Tabla4[[#This Row],[Tiempo Extra]]</f>
        <v>0.17430555555135166</v>
      </c>
      <c r="H417" s="5" t="str">
        <f>TEXT(Tabla4[[#This Row],[Preparación en horas]]/1440, "h:mm")</f>
        <v>1:27</v>
      </c>
      <c r="I417" s="4">
        <f>IF(Tabla5[[#This Row],[Tiempo Permanencia]]-Tabla5[[#This Row],[Tiempo de Preparación ]]&gt;=0,Tabla5[[#This Row],[Tiempo Permanencia]]-Tabla5[[#This Row],[Tiempo de Preparación ]],0)</f>
        <v>0.11388888888468499</v>
      </c>
      <c r="J417" s="5" t="str">
        <f>IF(Tabla5[[#This Row],[Tiempo de Degustación]]=0,"No Cobrada","Cobrada")</f>
        <v>Cobrada</v>
      </c>
      <c r="K417" s="5" cm="1">
        <f t="array" ref="K417">SUM(IF(Tabla5[[#This Row],[Orden Cobrada]]="Cobrada",IF(Cocina!A:A=Tabla5[[#This Row],[Nº Orden]],Cocina!F:F*Cocina!G:G,0),-Tabla6[[#This Row],[Precio Cena]]))</f>
        <v>158</v>
      </c>
      <c r="L417" s="5">
        <f>IF(Tabla5[[#This Row],[Orden Cobrada]]="Cobrada",Tabla5[[#This Row],[Ganancia Bruta]]-Tabla6[[#This Row],[Coste Cena]],-Tabla6[[#This Row],[Precio Cena]]+Tabla6[[#This Row],[Coste Cena]])</f>
        <v>64</v>
      </c>
      <c r="M417" s="10">
        <f>IF(Tabla5[[#This Row],[Orden Cobrada]]="Cobrada",((Tabla5[[#This Row],[Ganancia Neta]]/Tabla5[[#This Row],[Ganancia Bruta]])*100)/100,-((Tabla5[[#This Row],[Ganancia Neta]]/Tabla5[[#This Row],[Ganancia Bruta]]*100)/100))</f>
        <v>0.40506329113924056</v>
      </c>
      <c r="N417" s="5" t="str">
        <f>sala!F416</f>
        <v>Mesero_4</v>
      </c>
      <c r="AY417" cm="1">
        <f t="array" ref="AY417">SUM(IF(Cocina!A:A=Tabla5[[#This Row],[Nº Orden]],Cocina!F:F*Cocina!G:G,0))</f>
        <v>158</v>
      </c>
      <c r="AZ417" cm="1">
        <f t="array" ref="AZ417">SUM(IF(Cocina!A:A=Tabla5[[#This Row],[Nº Orden]],Cocina!E:E*Cocina!G:G,0))</f>
        <v>94</v>
      </c>
      <c r="BB417" t="str">
        <f>MID(Tabla4[[#This Row],[Cliente]], SEARCH("_", Tabla4[[#This Row],[Cliente]]) + 1, LEN(Tabla4[[#This Row],[Cliente]]) - SEARCH("_",Tabla4[[#This Row],[Cliente]]))</f>
        <v>919</v>
      </c>
      <c r="BC417" t="str">
        <f>sala!B416</f>
        <v>Cliente_919</v>
      </c>
      <c r="BD417" s="1">
        <f>sala!D416</f>
        <v>45021.027083333334</v>
      </c>
      <c r="BE417" s="1">
        <f>sala!E416</f>
        <v>45021.190972222219</v>
      </c>
      <c r="BF417">
        <f>sala!K416</f>
        <v>415</v>
      </c>
      <c r="BG417">
        <f>sala!I416</f>
        <v>2051</v>
      </c>
      <c r="BH417" cm="1">
        <f t="array" ref="BH417">SUM(IF(Cocina!A:A=Tabla4[[#This Row],[Número de Orden]],Cocina!F:F*Cocina!G:G,0))</f>
        <v>158</v>
      </c>
      <c r="BI417" t="str">
        <f>sala!J416</f>
        <v>Ocupada</v>
      </c>
      <c r="BJ417" s="4" t="str">
        <f>IF(Tabla4[[#This Row],[Estado mesa]]="Ocupada","00:15","00:00")</f>
        <v>00:15</v>
      </c>
      <c r="BK417" cm="1">
        <f t="array" ref="BK417">SUM(IF(Cocina!A:A=Tabla4[[#This Row],[Número de Orden]],Cocina!H:H,0))</f>
        <v>87</v>
      </c>
    </row>
    <row r="418" spans="1:63" x14ac:dyDescent="0.3">
      <c r="A418" s="8" t="str">
        <f>MID(Tabla4[[#This Row],[Cliente]], SEARCH("_", Tabla4[[#This Row],[Cliente]]) + 1, LEN(Tabla4[[#This Row],[Cliente]]) - SEARCH("_",Tabla4[[#This Row],[Cliente]]))</f>
        <v>958</v>
      </c>
      <c r="B418">
        <f>sala!K417</f>
        <v>416</v>
      </c>
      <c r="C418">
        <f>Tabla4[[#This Row],[Propina]]+Tabla4[[#This Row],[Precio Cena]]</f>
        <v>154</v>
      </c>
      <c r="D418" s="3">
        <f>INT(sala!E417)</f>
        <v>45021</v>
      </c>
      <c r="E418" s="4">
        <f>MOD( sala!D417,1)</f>
        <v>0.12708333333284827</v>
      </c>
      <c r="F418" s="4">
        <f>MOD( sala!E417,1)</f>
        <v>0.27569444444088731</v>
      </c>
      <c r="G418" s="4">
        <f>Tabla5[[#This Row],[Hora de Salida]]-Tabla5[[#This Row],[Hora de Llegada]]+Tabla4[[#This Row],[Tiempo Extra]]</f>
        <v>0.14861111110803904</v>
      </c>
      <c r="H418" s="5" t="str">
        <f>TEXT(Tabla4[[#This Row],[Preparación en horas]]/1440, "h:mm")</f>
        <v>0:09</v>
      </c>
      <c r="I418" s="4">
        <f>IF(Tabla5[[#This Row],[Tiempo Permanencia]]-Tabla5[[#This Row],[Tiempo de Preparación ]]&gt;=0,Tabla5[[#This Row],[Tiempo Permanencia]]-Tabla5[[#This Row],[Tiempo de Preparación ]],0)</f>
        <v>0.14236111110803903</v>
      </c>
      <c r="J418" s="5" t="str">
        <f>IF(Tabla5[[#This Row],[Tiempo de Degustación]]=0,"No Cobrada","Cobrada")</f>
        <v>Cobrada</v>
      </c>
      <c r="K418" s="5" cm="1">
        <f t="array" ref="K418">SUM(IF(Tabla5[[#This Row],[Orden Cobrada]]="Cobrada",IF(Cocina!A:A=Tabla5[[#This Row],[Nº Orden]],Cocina!F:F*Cocina!G:G,0),-Tabla6[[#This Row],[Precio Cena]]))</f>
        <v>25</v>
      </c>
      <c r="L418" s="5">
        <f>IF(Tabla5[[#This Row],[Orden Cobrada]]="Cobrada",Tabla5[[#This Row],[Ganancia Bruta]]-Tabla6[[#This Row],[Coste Cena]],-Tabla6[[#This Row],[Precio Cena]]+Tabla6[[#This Row],[Coste Cena]])</f>
        <v>10</v>
      </c>
      <c r="M418" s="10">
        <f>IF(Tabla5[[#This Row],[Orden Cobrada]]="Cobrada",((Tabla5[[#This Row],[Ganancia Neta]]/Tabla5[[#This Row],[Ganancia Bruta]])*100)/100,-((Tabla5[[#This Row],[Ganancia Neta]]/Tabla5[[#This Row],[Ganancia Bruta]]*100)/100))</f>
        <v>0.4</v>
      </c>
      <c r="N418" s="5" t="str">
        <f>sala!F417</f>
        <v>Mesero_1</v>
      </c>
      <c r="AY418" cm="1">
        <f t="array" ref="AY418">SUM(IF(Cocina!A:A=Tabla5[[#This Row],[Nº Orden]],Cocina!F:F*Cocina!G:G,0))</f>
        <v>25</v>
      </c>
      <c r="AZ418" cm="1">
        <f t="array" ref="AZ418">SUM(IF(Cocina!A:A=Tabla5[[#This Row],[Nº Orden]],Cocina!E:E*Cocina!G:G,0))</f>
        <v>15</v>
      </c>
      <c r="BB418" t="str">
        <f>MID(Tabla4[[#This Row],[Cliente]], SEARCH("_", Tabla4[[#This Row],[Cliente]]) + 1, LEN(Tabla4[[#This Row],[Cliente]]) - SEARCH("_",Tabla4[[#This Row],[Cliente]]))</f>
        <v>958</v>
      </c>
      <c r="BC418" t="str">
        <f>sala!B417</f>
        <v>Cliente_958</v>
      </c>
      <c r="BD418" s="1">
        <f>sala!D417</f>
        <v>45021.127083333333</v>
      </c>
      <c r="BE418" s="1">
        <f>sala!E417</f>
        <v>45021.275694444441</v>
      </c>
      <c r="BF418">
        <f>sala!K417</f>
        <v>416</v>
      </c>
      <c r="BG418">
        <f>sala!I417</f>
        <v>129</v>
      </c>
      <c r="BH418" cm="1">
        <f t="array" ref="BH418">SUM(IF(Cocina!A:A=Tabla4[[#This Row],[Número de Orden]],Cocina!F:F*Cocina!G:G,0))</f>
        <v>25</v>
      </c>
      <c r="BI418" t="str">
        <f>sala!J417</f>
        <v>Reservada</v>
      </c>
      <c r="BJ418" s="4" t="str">
        <f>IF(Tabla4[[#This Row],[Estado mesa]]="Ocupada","00:15","00:00")</f>
        <v>00:00</v>
      </c>
      <c r="BK418" cm="1">
        <f t="array" ref="BK418">SUM(IF(Cocina!A:A=Tabla4[[#This Row],[Número de Orden]],Cocina!H:H,0))</f>
        <v>9</v>
      </c>
    </row>
    <row r="419" spans="1:63" x14ac:dyDescent="0.3">
      <c r="A419" s="8" t="str">
        <f>MID(Tabla4[[#This Row],[Cliente]], SEARCH("_", Tabla4[[#This Row],[Cliente]]) + 1, LEN(Tabla4[[#This Row],[Cliente]]) - SEARCH("_",Tabla4[[#This Row],[Cliente]]))</f>
        <v>395</v>
      </c>
      <c r="B419">
        <f>sala!K418</f>
        <v>417</v>
      </c>
      <c r="C419">
        <f>Tabla4[[#This Row],[Propina]]+Tabla4[[#This Row],[Precio Cena]]</f>
        <v>3650</v>
      </c>
      <c r="D419" s="3">
        <f>INT(sala!E418)</f>
        <v>45021</v>
      </c>
      <c r="E419" s="4">
        <f>MOD( sala!D418,1)</f>
        <v>0.14236111110949423</v>
      </c>
      <c r="F419" s="4">
        <f>MOD( sala!E418,1)</f>
        <v>0.18958333333284827</v>
      </c>
      <c r="G419" s="4">
        <f>Tabla5[[#This Row],[Hora de Salida]]-Tabla5[[#This Row],[Hora de Llegada]]+Tabla4[[#This Row],[Tiempo Extra]]</f>
        <v>4.7222222223354038E-2</v>
      </c>
      <c r="H419" s="5" t="str">
        <f>TEXT(Tabla4[[#This Row],[Preparación en horas]]/1440, "h:mm")</f>
        <v>1:30</v>
      </c>
      <c r="I419" s="4">
        <f>IF(Tabla5[[#This Row],[Tiempo Permanencia]]-Tabla5[[#This Row],[Tiempo de Preparación ]]&gt;=0,Tabla5[[#This Row],[Tiempo Permanencia]]-Tabla5[[#This Row],[Tiempo de Preparación ]],0)</f>
        <v>0</v>
      </c>
      <c r="J419" s="5" t="str">
        <f>IF(Tabla5[[#This Row],[Tiempo de Degustación]]=0,"No Cobrada","Cobrada")</f>
        <v>No Cobrada</v>
      </c>
      <c r="K419" s="5" cm="1">
        <f t="array" ref="K419">SUM(IF(Tabla5[[#This Row],[Orden Cobrada]]="Cobrada",IF(Cocina!A:A=Tabla5[[#This Row],[Nº Orden]],Cocina!F:F*Cocina!G:G,0),-Tabla6[[#This Row],[Precio Cena]]))</f>
        <v>-142</v>
      </c>
      <c r="L419" s="5">
        <f>IF(Tabla5[[#This Row],[Orden Cobrada]]="Cobrada",Tabla5[[#This Row],[Ganancia Bruta]]-Tabla6[[#This Row],[Coste Cena]],-Tabla6[[#This Row],[Precio Cena]]+Tabla6[[#This Row],[Coste Cena]])</f>
        <v>-57</v>
      </c>
      <c r="M419" s="10">
        <f>IF(Tabla5[[#This Row],[Orden Cobrada]]="Cobrada",((Tabla5[[#This Row],[Ganancia Neta]]/Tabla5[[#This Row],[Ganancia Bruta]])*100)/100,-((Tabla5[[#This Row],[Ganancia Neta]]/Tabla5[[#This Row],[Ganancia Bruta]]*100)/100))</f>
        <v>-0.40140845070422537</v>
      </c>
      <c r="N419" s="5" t="str">
        <f>sala!F418</f>
        <v>Mesero_2</v>
      </c>
      <c r="AY419" cm="1">
        <f t="array" ref="AY419">SUM(IF(Cocina!A:A=Tabla5[[#This Row],[Nº Orden]],Cocina!F:F*Cocina!G:G,0))</f>
        <v>142</v>
      </c>
      <c r="AZ419" cm="1">
        <f t="array" ref="AZ419">SUM(IF(Cocina!A:A=Tabla5[[#This Row],[Nº Orden]],Cocina!E:E*Cocina!G:G,0))</f>
        <v>85</v>
      </c>
      <c r="BB419" t="str">
        <f>MID(Tabla4[[#This Row],[Cliente]], SEARCH("_", Tabla4[[#This Row],[Cliente]]) + 1, LEN(Tabla4[[#This Row],[Cliente]]) - SEARCH("_",Tabla4[[#This Row],[Cliente]]))</f>
        <v>395</v>
      </c>
      <c r="BC419" t="str">
        <f>sala!B418</f>
        <v>Cliente_395</v>
      </c>
      <c r="BD419" s="1">
        <f>sala!D418</f>
        <v>45021.142361111109</v>
      </c>
      <c r="BE419" s="1">
        <f>sala!E418</f>
        <v>45021.189583333333</v>
      </c>
      <c r="BF419">
        <f>sala!K418</f>
        <v>417</v>
      </c>
      <c r="BG419">
        <f>sala!I418</f>
        <v>3508</v>
      </c>
      <c r="BH419" cm="1">
        <f t="array" ref="BH419">SUM(IF(Cocina!A:A=Tabla4[[#This Row],[Número de Orden]],Cocina!F:F*Cocina!G:G,0))</f>
        <v>142</v>
      </c>
      <c r="BI419" t="str">
        <f>sala!J418</f>
        <v>Libre</v>
      </c>
      <c r="BJ419" s="4" t="str">
        <f>IF(Tabla4[[#This Row],[Estado mesa]]="Ocupada","00:15","00:00")</f>
        <v>00:00</v>
      </c>
      <c r="BK419" cm="1">
        <f t="array" ref="BK419">SUM(IF(Cocina!A:A=Tabla4[[#This Row],[Número de Orden]],Cocina!H:H,0))</f>
        <v>90</v>
      </c>
    </row>
    <row r="420" spans="1:63" x14ac:dyDescent="0.3">
      <c r="A420" s="8" t="str">
        <f>MID(Tabla4[[#This Row],[Cliente]], SEARCH("_", Tabla4[[#This Row],[Cliente]]) + 1, LEN(Tabla4[[#This Row],[Cliente]]) - SEARCH("_",Tabla4[[#This Row],[Cliente]]))</f>
        <v>287</v>
      </c>
      <c r="B420">
        <f>sala!K419</f>
        <v>418</v>
      </c>
      <c r="C420">
        <f>Tabla4[[#This Row],[Propina]]+Tabla4[[#This Row],[Precio Cena]]</f>
        <v>3669</v>
      </c>
      <c r="D420" s="3">
        <f>INT(sala!E419)</f>
        <v>45021</v>
      </c>
      <c r="E420" s="4">
        <f>MOD( sala!D419,1)</f>
        <v>3.6111111112404615E-2</v>
      </c>
      <c r="F420" s="4">
        <f>MOD( sala!E419,1)</f>
        <v>0.14652777777519077</v>
      </c>
      <c r="G420" s="4">
        <f>Tabla5[[#This Row],[Hora de Salida]]-Tabla5[[#This Row],[Hora de Llegada]]+Tabla4[[#This Row],[Tiempo Extra]]</f>
        <v>0.11041666666278616</v>
      </c>
      <c r="H420" s="5" t="str">
        <f>TEXT(Tabla4[[#This Row],[Preparación en horas]]/1440, "h:mm")</f>
        <v>1:40</v>
      </c>
      <c r="I420" s="4">
        <f>IF(Tabla5[[#This Row],[Tiempo Permanencia]]-Tabla5[[#This Row],[Tiempo de Preparación ]]&gt;=0,Tabla5[[#This Row],[Tiempo Permanencia]]-Tabla5[[#This Row],[Tiempo de Preparación ]],0)</f>
        <v>4.0972222218341708E-2</v>
      </c>
      <c r="J420" s="5" t="str">
        <f>IF(Tabla5[[#This Row],[Tiempo de Degustación]]=0,"No Cobrada","Cobrada")</f>
        <v>Cobrada</v>
      </c>
      <c r="K420" s="5" cm="1">
        <f t="array" ref="K420">SUM(IF(Tabla5[[#This Row],[Orden Cobrada]]="Cobrada",IF(Cocina!A:A=Tabla5[[#This Row],[Nº Orden]],Cocina!F:F*Cocina!G:G,0),-Tabla6[[#This Row],[Precio Cena]]))</f>
        <v>118</v>
      </c>
      <c r="L420" s="5">
        <f>IF(Tabla5[[#This Row],[Orden Cobrada]]="Cobrada",Tabla5[[#This Row],[Ganancia Bruta]]-Tabla6[[#This Row],[Coste Cena]],-Tabla6[[#This Row],[Precio Cena]]+Tabla6[[#This Row],[Coste Cena]])</f>
        <v>46</v>
      </c>
      <c r="M420" s="10">
        <f>IF(Tabla5[[#This Row],[Orden Cobrada]]="Cobrada",((Tabla5[[#This Row],[Ganancia Neta]]/Tabla5[[#This Row],[Ganancia Bruta]])*100)/100,-((Tabla5[[#This Row],[Ganancia Neta]]/Tabla5[[#This Row],[Ganancia Bruta]]*100)/100))</f>
        <v>0.38983050847457629</v>
      </c>
      <c r="N420" s="5" t="str">
        <f>sala!F419</f>
        <v>Mesero_3</v>
      </c>
      <c r="AY420" cm="1">
        <f t="array" ref="AY420">SUM(IF(Cocina!A:A=Tabla5[[#This Row],[Nº Orden]],Cocina!F:F*Cocina!G:G,0))</f>
        <v>118</v>
      </c>
      <c r="AZ420" cm="1">
        <f t="array" ref="AZ420">SUM(IF(Cocina!A:A=Tabla5[[#This Row],[Nº Orden]],Cocina!E:E*Cocina!G:G,0))</f>
        <v>72</v>
      </c>
      <c r="BB420" t="str">
        <f>MID(Tabla4[[#This Row],[Cliente]], SEARCH("_", Tabla4[[#This Row],[Cliente]]) + 1, LEN(Tabla4[[#This Row],[Cliente]]) - SEARCH("_",Tabla4[[#This Row],[Cliente]]))</f>
        <v>287</v>
      </c>
      <c r="BC420" t="str">
        <f>sala!B419</f>
        <v>Cliente_287</v>
      </c>
      <c r="BD420" s="1">
        <f>sala!D419</f>
        <v>45021.036111111112</v>
      </c>
      <c r="BE420" s="1">
        <f>sala!E419</f>
        <v>45021.146527777775</v>
      </c>
      <c r="BF420">
        <f>sala!K419</f>
        <v>418</v>
      </c>
      <c r="BG420">
        <f>sala!I419</f>
        <v>3551</v>
      </c>
      <c r="BH420" cm="1">
        <f t="array" ref="BH420">SUM(IF(Cocina!A:A=Tabla4[[#This Row],[Número de Orden]],Cocina!F:F*Cocina!G:G,0))</f>
        <v>118</v>
      </c>
      <c r="BI420" t="str">
        <f>sala!J419</f>
        <v>Reservada</v>
      </c>
      <c r="BJ420" s="4" t="str">
        <f>IF(Tabla4[[#This Row],[Estado mesa]]="Ocupada","00:15","00:00")</f>
        <v>00:00</v>
      </c>
      <c r="BK420" cm="1">
        <f t="array" ref="BK420">SUM(IF(Cocina!A:A=Tabla4[[#This Row],[Número de Orden]],Cocina!H:H,0))</f>
        <v>100</v>
      </c>
    </row>
    <row r="421" spans="1:63" x14ac:dyDescent="0.3">
      <c r="A421" s="8" t="str">
        <f>MID(Tabla4[[#This Row],[Cliente]], SEARCH("_", Tabla4[[#This Row],[Cliente]]) + 1, LEN(Tabla4[[#This Row],[Cliente]]) - SEARCH("_",Tabla4[[#This Row],[Cliente]]))</f>
        <v>479</v>
      </c>
      <c r="B421">
        <f>sala!K420</f>
        <v>419</v>
      </c>
      <c r="C421">
        <f>Tabla4[[#This Row],[Propina]]+Tabla4[[#This Row],[Precio Cena]]</f>
        <v>1476</v>
      </c>
      <c r="D421" s="3">
        <f>INT(sala!E420)</f>
        <v>45021</v>
      </c>
      <c r="E421" s="4">
        <f>MOD( sala!D420,1)</f>
        <v>0.13472222222480923</v>
      </c>
      <c r="F421" s="4">
        <f>MOD( sala!E420,1)</f>
        <v>0.2381944444423425</v>
      </c>
      <c r="G421" s="4">
        <f>Tabla5[[#This Row],[Hora de Salida]]-Tabla5[[#This Row],[Hora de Llegada]]+Tabla4[[#This Row],[Tiempo Extra]]</f>
        <v>0.11388888888419994</v>
      </c>
      <c r="H421" s="5" t="str">
        <f>TEXT(Tabla4[[#This Row],[Preparación en horas]]/1440, "h:mm")</f>
        <v>1:04</v>
      </c>
      <c r="I421" s="4">
        <f>IF(Tabla5[[#This Row],[Tiempo Permanencia]]-Tabla5[[#This Row],[Tiempo de Preparación ]]&gt;=0,Tabla5[[#This Row],[Tiempo Permanencia]]-Tabla5[[#This Row],[Tiempo de Preparación ]],0)</f>
        <v>6.9444444439755504E-2</v>
      </c>
      <c r="J421" s="5" t="str">
        <f>IF(Tabla5[[#This Row],[Tiempo de Degustación]]=0,"No Cobrada","Cobrada")</f>
        <v>Cobrada</v>
      </c>
      <c r="K421" s="5" cm="1">
        <f t="array" ref="K421">SUM(IF(Tabla5[[#This Row],[Orden Cobrada]]="Cobrada",IF(Cocina!A:A=Tabla5[[#This Row],[Nº Orden]],Cocina!F:F*Cocina!G:G,0),-Tabla6[[#This Row],[Precio Cena]]))</f>
        <v>67</v>
      </c>
      <c r="L421" s="5">
        <f>IF(Tabla5[[#This Row],[Orden Cobrada]]="Cobrada",Tabla5[[#This Row],[Ganancia Bruta]]-Tabla6[[#This Row],[Coste Cena]],-Tabla6[[#This Row],[Precio Cena]]+Tabla6[[#This Row],[Coste Cena]])</f>
        <v>27</v>
      </c>
      <c r="M421" s="10">
        <f>IF(Tabla5[[#This Row],[Orden Cobrada]]="Cobrada",((Tabla5[[#This Row],[Ganancia Neta]]/Tabla5[[#This Row],[Ganancia Bruta]])*100)/100,-((Tabla5[[#This Row],[Ganancia Neta]]/Tabla5[[#This Row],[Ganancia Bruta]]*100)/100))</f>
        <v>0.40298507462686567</v>
      </c>
      <c r="N421" s="5" t="str">
        <f>sala!F420</f>
        <v>Mesero_5</v>
      </c>
      <c r="AY421" cm="1">
        <f t="array" ref="AY421">SUM(IF(Cocina!A:A=Tabla5[[#This Row],[Nº Orden]],Cocina!F:F*Cocina!G:G,0))</f>
        <v>67</v>
      </c>
      <c r="AZ421" cm="1">
        <f t="array" ref="AZ421">SUM(IF(Cocina!A:A=Tabla5[[#This Row],[Nº Orden]],Cocina!E:E*Cocina!G:G,0))</f>
        <v>40</v>
      </c>
      <c r="BB421" t="str">
        <f>MID(Tabla4[[#This Row],[Cliente]], SEARCH("_", Tabla4[[#This Row],[Cliente]]) + 1, LEN(Tabla4[[#This Row],[Cliente]]) - SEARCH("_",Tabla4[[#This Row],[Cliente]]))</f>
        <v>479</v>
      </c>
      <c r="BC421" t="str">
        <f>sala!B420</f>
        <v>Cliente_479</v>
      </c>
      <c r="BD421" s="1">
        <f>sala!D420</f>
        <v>45021.134722222225</v>
      </c>
      <c r="BE421" s="1">
        <f>sala!E420</f>
        <v>45021.238194444442</v>
      </c>
      <c r="BF421">
        <f>sala!K420</f>
        <v>419</v>
      </c>
      <c r="BG421">
        <f>sala!I420</f>
        <v>1409</v>
      </c>
      <c r="BH421" cm="1">
        <f t="array" ref="BH421">SUM(IF(Cocina!A:A=Tabla4[[#This Row],[Número de Orden]],Cocina!F:F*Cocina!G:G,0))</f>
        <v>67</v>
      </c>
      <c r="BI421" t="str">
        <f>sala!J420</f>
        <v>Ocupada</v>
      </c>
      <c r="BJ421" s="4" t="str">
        <f>IF(Tabla4[[#This Row],[Estado mesa]]="Ocupada","00:15","00:00")</f>
        <v>00:15</v>
      </c>
      <c r="BK421" cm="1">
        <f t="array" ref="BK421">SUM(IF(Cocina!A:A=Tabla4[[#This Row],[Número de Orden]],Cocina!H:H,0))</f>
        <v>64</v>
      </c>
    </row>
    <row r="422" spans="1:63" x14ac:dyDescent="0.3">
      <c r="A422" s="8" t="str">
        <f>MID(Tabla4[[#This Row],[Cliente]], SEARCH("_", Tabla4[[#This Row],[Cliente]]) + 1, LEN(Tabla4[[#This Row],[Cliente]]) - SEARCH("_",Tabla4[[#This Row],[Cliente]]))</f>
        <v>33</v>
      </c>
      <c r="B422">
        <f>sala!K421</f>
        <v>420</v>
      </c>
      <c r="C422">
        <f>Tabla4[[#This Row],[Propina]]+Tabla4[[#This Row],[Precio Cena]]</f>
        <v>3391</v>
      </c>
      <c r="D422" s="3">
        <f>INT(sala!E421)</f>
        <v>45021</v>
      </c>
      <c r="E422" s="4">
        <f>MOD( sala!D421,1)</f>
        <v>9.5833333332848269E-2</v>
      </c>
      <c r="F422" s="4">
        <f>MOD( sala!E421,1)</f>
        <v>0.22847222222480923</v>
      </c>
      <c r="G422" s="4">
        <f>Tabla5[[#This Row],[Hora de Salida]]-Tabla5[[#This Row],[Hora de Llegada]]+Tabla4[[#This Row],[Tiempo Extra]]</f>
        <v>0.14305555555862762</v>
      </c>
      <c r="H422" s="5" t="str">
        <f>TEXT(Tabla4[[#This Row],[Preparación en horas]]/1440, "h:mm")</f>
        <v>1:45</v>
      </c>
      <c r="I422" s="4">
        <f>IF(Tabla5[[#This Row],[Tiempo Permanencia]]-Tabla5[[#This Row],[Tiempo de Preparación ]]&gt;=0,Tabla5[[#This Row],[Tiempo Permanencia]]-Tabla5[[#This Row],[Tiempo de Preparación ]],0)</f>
        <v>7.0138888891960946E-2</v>
      </c>
      <c r="J422" s="5" t="str">
        <f>IF(Tabla5[[#This Row],[Tiempo de Degustación]]=0,"No Cobrada","Cobrada")</f>
        <v>Cobrada</v>
      </c>
      <c r="K422" s="5" cm="1">
        <f t="array" ref="K422">SUM(IF(Tabla5[[#This Row],[Orden Cobrada]]="Cobrada",IF(Cocina!A:A=Tabla5[[#This Row],[Nº Orden]],Cocina!F:F*Cocina!G:G,0),-Tabla6[[#This Row],[Precio Cena]]))</f>
        <v>242</v>
      </c>
      <c r="L422" s="5">
        <f>IF(Tabla5[[#This Row],[Orden Cobrada]]="Cobrada",Tabla5[[#This Row],[Ganancia Bruta]]-Tabla6[[#This Row],[Coste Cena]],-Tabla6[[#This Row],[Precio Cena]]+Tabla6[[#This Row],[Coste Cena]])</f>
        <v>98</v>
      </c>
      <c r="M422" s="10">
        <f>IF(Tabla5[[#This Row],[Orden Cobrada]]="Cobrada",((Tabla5[[#This Row],[Ganancia Neta]]/Tabla5[[#This Row],[Ganancia Bruta]])*100)/100,-((Tabla5[[#This Row],[Ganancia Neta]]/Tabla5[[#This Row],[Ganancia Bruta]]*100)/100))</f>
        <v>0.4049586776859504</v>
      </c>
      <c r="N422" s="5" t="str">
        <f>sala!F421</f>
        <v>Mesero_2</v>
      </c>
      <c r="AY422" cm="1">
        <f t="array" ref="AY422">SUM(IF(Cocina!A:A=Tabla5[[#This Row],[Nº Orden]],Cocina!F:F*Cocina!G:G,0))</f>
        <v>242</v>
      </c>
      <c r="AZ422" cm="1">
        <f t="array" ref="AZ422">SUM(IF(Cocina!A:A=Tabla5[[#This Row],[Nº Orden]],Cocina!E:E*Cocina!G:G,0))</f>
        <v>144</v>
      </c>
      <c r="BB422" t="str">
        <f>MID(Tabla4[[#This Row],[Cliente]], SEARCH("_", Tabla4[[#This Row],[Cliente]]) + 1, LEN(Tabla4[[#This Row],[Cliente]]) - SEARCH("_",Tabla4[[#This Row],[Cliente]]))</f>
        <v>33</v>
      </c>
      <c r="BC422" t="str">
        <f>sala!B421</f>
        <v>Cliente_33</v>
      </c>
      <c r="BD422" s="1">
        <f>sala!D421</f>
        <v>45021.095833333333</v>
      </c>
      <c r="BE422" s="1">
        <f>sala!E421</f>
        <v>45021.228472222225</v>
      </c>
      <c r="BF422">
        <f>sala!K421</f>
        <v>420</v>
      </c>
      <c r="BG422">
        <f>sala!I421</f>
        <v>3149</v>
      </c>
      <c r="BH422" cm="1">
        <f t="array" ref="BH422">SUM(IF(Cocina!A:A=Tabla4[[#This Row],[Número de Orden]],Cocina!F:F*Cocina!G:G,0))</f>
        <v>242</v>
      </c>
      <c r="BI422" t="str">
        <f>sala!J421</f>
        <v>Ocupada</v>
      </c>
      <c r="BJ422" s="4" t="str">
        <f>IF(Tabla4[[#This Row],[Estado mesa]]="Ocupada","00:15","00:00")</f>
        <v>00:15</v>
      </c>
      <c r="BK422" cm="1">
        <f t="array" ref="BK422">SUM(IF(Cocina!A:A=Tabla4[[#This Row],[Número de Orden]],Cocina!H:H,0))</f>
        <v>105</v>
      </c>
    </row>
    <row r="423" spans="1:63" x14ac:dyDescent="0.3">
      <c r="A423" s="8" t="str">
        <f>MID(Tabla4[[#This Row],[Cliente]], SEARCH("_", Tabla4[[#This Row],[Cliente]]) + 1, LEN(Tabla4[[#This Row],[Cliente]]) - SEARCH("_",Tabla4[[#This Row],[Cliente]]))</f>
        <v>160</v>
      </c>
      <c r="B423">
        <f>sala!K422</f>
        <v>421</v>
      </c>
      <c r="C423">
        <f>Tabla4[[#This Row],[Propina]]+Tabla4[[#This Row],[Precio Cena]]</f>
        <v>1842</v>
      </c>
      <c r="D423" s="3">
        <f>INT(sala!E422)</f>
        <v>45021</v>
      </c>
      <c r="E423" s="4">
        <f>MOD( sala!D422,1)</f>
        <v>6.7361111112404615E-2</v>
      </c>
      <c r="F423" s="4">
        <f>MOD( sala!E422,1)</f>
        <v>0.17152777777664596</v>
      </c>
      <c r="G423" s="4">
        <f>Tabla5[[#This Row],[Hora de Salida]]-Tabla5[[#This Row],[Hora de Llegada]]+Tabla4[[#This Row],[Tiempo Extra]]</f>
        <v>0.11458333333090802</v>
      </c>
      <c r="H423" s="5" t="str">
        <f>TEXT(Tabla4[[#This Row],[Preparación en horas]]/1440, "h:mm")</f>
        <v>1:11</v>
      </c>
      <c r="I423" s="4">
        <f>IF(Tabla5[[#This Row],[Tiempo Permanencia]]-Tabla5[[#This Row],[Tiempo de Preparación ]]&gt;=0,Tabla5[[#This Row],[Tiempo Permanencia]]-Tabla5[[#This Row],[Tiempo de Preparación ]],0)</f>
        <v>6.5277777775352458E-2</v>
      </c>
      <c r="J423" s="5" t="str">
        <f>IF(Tabla5[[#This Row],[Tiempo de Degustación]]=0,"No Cobrada","Cobrada")</f>
        <v>Cobrada</v>
      </c>
      <c r="K423" s="5" cm="1">
        <f t="array" ref="K423">SUM(IF(Tabla5[[#This Row],[Orden Cobrada]]="Cobrada",IF(Cocina!A:A=Tabla5[[#This Row],[Nº Orden]],Cocina!F:F*Cocina!G:G,0),-Tabla6[[#This Row],[Precio Cena]]))</f>
        <v>85</v>
      </c>
      <c r="L423" s="5">
        <f>IF(Tabla5[[#This Row],[Orden Cobrada]]="Cobrada",Tabla5[[#This Row],[Ganancia Bruta]]-Tabla6[[#This Row],[Coste Cena]],-Tabla6[[#This Row],[Precio Cena]]+Tabla6[[#This Row],[Coste Cena]])</f>
        <v>36</v>
      </c>
      <c r="M423" s="10">
        <f>IF(Tabla5[[#This Row],[Orden Cobrada]]="Cobrada",((Tabla5[[#This Row],[Ganancia Neta]]/Tabla5[[#This Row],[Ganancia Bruta]])*100)/100,-((Tabla5[[#This Row],[Ganancia Neta]]/Tabla5[[#This Row],[Ganancia Bruta]]*100)/100))</f>
        <v>0.42352941176470588</v>
      </c>
      <c r="N423" s="5" t="str">
        <f>sala!F422</f>
        <v>Mesero_1</v>
      </c>
      <c r="AY423" cm="1">
        <f t="array" ref="AY423">SUM(IF(Cocina!A:A=Tabla5[[#This Row],[Nº Orden]],Cocina!F:F*Cocina!G:G,0))</f>
        <v>85</v>
      </c>
      <c r="AZ423" cm="1">
        <f t="array" ref="AZ423">SUM(IF(Cocina!A:A=Tabla5[[#This Row],[Nº Orden]],Cocina!E:E*Cocina!G:G,0))</f>
        <v>49</v>
      </c>
      <c r="BB423" t="str">
        <f>MID(Tabla4[[#This Row],[Cliente]], SEARCH("_", Tabla4[[#This Row],[Cliente]]) + 1, LEN(Tabla4[[#This Row],[Cliente]]) - SEARCH("_",Tabla4[[#This Row],[Cliente]]))</f>
        <v>160</v>
      </c>
      <c r="BC423" t="str">
        <f>sala!B422</f>
        <v>Cliente_160</v>
      </c>
      <c r="BD423" s="1">
        <f>sala!D422</f>
        <v>45021.067361111112</v>
      </c>
      <c r="BE423" s="1">
        <f>sala!E422</f>
        <v>45021.171527777777</v>
      </c>
      <c r="BF423">
        <f>sala!K422</f>
        <v>421</v>
      </c>
      <c r="BG423">
        <f>sala!I422</f>
        <v>1757</v>
      </c>
      <c r="BH423" cm="1">
        <f t="array" ref="BH423">SUM(IF(Cocina!A:A=Tabla4[[#This Row],[Número de Orden]],Cocina!F:F*Cocina!G:G,0))</f>
        <v>85</v>
      </c>
      <c r="BI423" t="str">
        <f>sala!J422</f>
        <v>Ocupada</v>
      </c>
      <c r="BJ423" s="4" t="str">
        <f>IF(Tabla4[[#This Row],[Estado mesa]]="Ocupada","00:15","00:00")</f>
        <v>00:15</v>
      </c>
      <c r="BK423" cm="1">
        <f t="array" ref="BK423">SUM(IF(Cocina!A:A=Tabla4[[#This Row],[Número de Orden]],Cocina!H:H,0))</f>
        <v>71</v>
      </c>
    </row>
    <row r="424" spans="1:63" x14ac:dyDescent="0.3">
      <c r="A424" s="8" t="str">
        <f>MID(Tabla4[[#This Row],[Cliente]], SEARCH("_", Tabla4[[#This Row],[Cliente]]) + 1, LEN(Tabla4[[#This Row],[Cliente]]) - SEARCH("_",Tabla4[[#This Row],[Cliente]]))</f>
        <v>109</v>
      </c>
      <c r="B424">
        <f>sala!K423</f>
        <v>422</v>
      </c>
      <c r="C424">
        <f>Tabla4[[#This Row],[Propina]]+Tabla4[[#This Row],[Precio Cena]]</f>
        <v>4060</v>
      </c>
      <c r="D424" s="3">
        <f>INT(sala!E423)</f>
        <v>45021</v>
      </c>
      <c r="E424" s="4">
        <f>MOD( sala!D423,1)</f>
        <v>2.5000000001455192E-2</v>
      </c>
      <c r="F424" s="4">
        <f>MOD( sala!E423,1)</f>
        <v>0.13124999999854481</v>
      </c>
      <c r="G424" s="4">
        <f>Tabla5[[#This Row],[Hora de Salida]]-Tabla5[[#This Row],[Hora de Llegada]]+Tabla4[[#This Row],[Tiempo Extra]]</f>
        <v>0.10624999999708962</v>
      </c>
      <c r="H424" s="5" t="str">
        <f>TEXT(Tabla4[[#This Row],[Preparación en horas]]/1440, "h:mm")</f>
        <v>0:34</v>
      </c>
      <c r="I424" s="4">
        <f>IF(Tabla5[[#This Row],[Tiempo Permanencia]]-Tabla5[[#This Row],[Tiempo de Preparación ]]&gt;=0,Tabla5[[#This Row],[Tiempo Permanencia]]-Tabla5[[#This Row],[Tiempo de Preparación ]],0)</f>
        <v>8.2638888885978506E-2</v>
      </c>
      <c r="J424" s="5" t="str">
        <f>IF(Tabla5[[#This Row],[Tiempo de Degustación]]=0,"No Cobrada","Cobrada")</f>
        <v>Cobrada</v>
      </c>
      <c r="K424" s="5" cm="1">
        <f t="array" ref="K424">SUM(IF(Tabla5[[#This Row],[Orden Cobrada]]="Cobrada",IF(Cocina!A:A=Tabla5[[#This Row],[Nº Orden]],Cocina!F:F*Cocina!G:G,0),-Tabla6[[#This Row],[Precio Cena]]))</f>
        <v>88</v>
      </c>
      <c r="L424" s="5">
        <f>IF(Tabla5[[#This Row],[Orden Cobrada]]="Cobrada",Tabla5[[#This Row],[Ganancia Bruta]]-Tabla6[[#This Row],[Coste Cena]],-Tabla6[[#This Row],[Precio Cena]]+Tabla6[[#This Row],[Coste Cena]])</f>
        <v>36</v>
      </c>
      <c r="M424" s="10">
        <f>IF(Tabla5[[#This Row],[Orden Cobrada]]="Cobrada",((Tabla5[[#This Row],[Ganancia Neta]]/Tabla5[[#This Row],[Ganancia Bruta]])*100)/100,-((Tabla5[[#This Row],[Ganancia Neta]]/Tabla5[[#This Row],[Ganancia Bruta]]*100)/100))</f>
        <v>0.40909090909090912</v>
      </c>
      <c r="N424" s="5" t="str">
        <f>sala!F423</f>
        <v>Mesero_2</v>
      </c>
      <c r="AY424" cm="1">
        <f t="array" ref="AY424">SUM(IF(Cocina!A:A=Tabla5[[#This Row],[Nº Orden]],Cocina!F:F*Cocina!G:G,0))</f>
        <v>88</v>
      </c>
      <c r="AZ424" cm="1">
        <f t="array" ref="AZ424">SUM(IF(Cocina!A:A=Tabla5[[#This Row],[Nº Orden]],Cocina!E:E*Cocina!G:G,0))</f>
        <v>52</v>
      </c>
      <c r="BB424" t="str">
        <f>MID(Tabla4[[#This Row],[Cliente]], SEARCH("_", Tabla4[[#This Row],[Cliente]]) + 1, LEN(Tabla4[[#This Row],[Cliente]]) - SEARCH("_",Tabla4[[#This Row],[Cliente]]))</f>
        <v>109</v>
      </c>
      <c r="BC424" t="str">
        <f>sala!B423</f>
        <v>Cliente_109</v>
      </c>
      <c r="BD424" s="1">
        <f>sala!D423</f>
        <v>45021.025000000001</v>
      </c>
      <c r="BE424" s="1">
        <f>sala!E423</f>
        <v>45021.131249999999</v>
      </c>
      <c r="BF424">
        <f>sala!K423</f>
        <v>422</v>
      </c>
      <c r="BG424">
        <f>sala!I423</f>
        <v>3972</v>
      </c>
      <c r="BH424" cm="1">
        <f t="array" ref="BH424">SUM(IF(Cocina!A:A=Tabla4[[#This Row],[Número de Orden]],Cocina!F:F*Cocina!G:G,0))</f>
        <v>88</v>
      </c>
      <c r="BI424" t="str">
        <f>sala!J423</f>
        <v>Reservada</v>
      </c>
      <c r="BJ424" s="4" t="str">
        <f>IF(Tabla4[[#This Row],[Estado mesa]]="Ocupada","00:15","00:00")</f>
        <v>00:00</v>
      </c>
      <c r="BK424" cm="1">
        <f t="array" ref="BK424">SUM(IF(Cocina!A:A=Tabla4[[#This Row],[Número de Orden]],Cocina!H:H,0))</f>
        <v>34</v>
      </c>
    </row>
    <row r="425" spans="1:63" x14ac:dyDescent="0.3">
      <c r="A425" s="8" t="str">
        <f>MID(Tabla4[[#This Row],[Cliente]], SEARCH("_", Tabla4[[#This Row],[Cliente]]) + 1, LEN(Tabla4[[#This Row],[Cliente]]) - SEARCH("_",Tabla4[[#This Row],[Cliente]]))</f>
        <v>151</v>
      </c>
      <c r="B425">
        <f>sala!K424</f>
        <v>423</v>
      </c>
      <c r="C425">
        <f>Tabla4[[#This Row],[Propina]]+Tabla4[[#This Row],[Precio Cena]]</f>
        <v>3565</v>
      </c>
      <c r="D425" s="3">
        <f>INT(sala!E424)</f>
        <v>45021</v>
      </c>
      <c r="E425" s="4">
        <f>MOD( sala!D424,1)</f>
        <v>0.10694444444379769</v>
      </c>
      <c r="F425" s="4">
        <f>MOD( sala!E424,1)</f>
        <v>0.20625000000291038</v>
      </c>
      <c r="G425" s="4">
        <f>Tabla5[[#This Row],[Hora de Salida]]-Tabla5[[#This Row],[Hora de Llegada]]+Tabla4[[#This Row],[Tiempo Extra]]</f>
        <v>9.930555555911269E-2</v>
      </c>
      <c r="H425" s="5" t="str">
        <f>TEXT(Tabla4[[#This Row],[Preparación en horas]]/1440, "h:mm")</f>
        <v>0:31</v>
      </c>
      <c r="I425" s="4">
        <f>IF(Tabla5[[#This Row],[Tiempo Permanencia]]-Tabla5[[#This Row],[Tiempo de Preparación ]]&gt;=0,Tabla5[[#This Row],[Tiempo Permanencia]]-Tabla5[[#This Row],[Tiempo de Preparación ]],0)</f>
        <v>7.7777777781334906E-2</v>
      </c>
      <c r="J425" s="5" t="str">
        <f>IF(Tabla5[[#This Row],[Tiempo de Degustación]]=0,"No Cobrada","Cobrada")</f>
        <v>Cobrada</v>
      </c>
      <c r="K425" s="5" cm="1">
        <f t="array" ref="K425">SUM(IF(Tabla5[[#This Row],[Orden Cobrada]]="Cobrada",IF(Cocina!A:A=Tabla5[[#This Row],[Nº Orden]],Cocina!F:F*Cocina!G:G,0),-Tabla6[[#This Row],[Precio Cena]]))</f>
        <v>152</v>
      </c>
      <c r="L425" s="5">
        <f>IF(Tabla5[[#This Row],[Orden Cobrada]]="Cobrada",Tabla5[[#This Row],[Ganancia Bruta]]-Tabla6[[#This Row],[Coste Cena]],-Tabla6[[#This Row],[Precio Cena]]+Tabla6[[#This Row],[Coste Cena]])</f>
        <v>63</v>
      </c>
      <c r="M425" s="10">
        <f>IF(Tabla5[[#This Row],[Orden Cobrada]]="Cobrada",((Tabla5[[#This Row],[Ganancia Neta]]/Tabla5[[#This Row],[Ganancia Bruta]])*100)/100,-((Tabla5[[#This Row],[Ganancia Neta]]/Tabla5[[#This Row],[Ganancia Bruta]]*100)/100))</f>
        <v>0.41447368421052633</v>
      </c>
      <c r="N425" s="5" t="str">
        <f>sala!F424</f>
        <v>Mesero_1</v>
      </c>
      <c r="AY425" cm="1">
        <f t="array" ref="AY425">SUM(IF(Cocina!A:A=Tabla5[[#This Row],[Nº Orden]],Cocina!F:F*Cocina!G:G,0))</f>
        <v>152</v>
      </c>
      <c r="AZ425" cm="1">
        <f t="array" ref="AZ425">SUM(IF(Cocina!A:A=Tabla5[[#This Row],[Nº Orden]],Cocina!E:E*Cocina!G:G,0))</f>
        <v>89</v>
      </c>
      <c r="BB425" t="str">
        <f>MID(Tabla4[[#This Row],[Cliente]], SEARCH("_", Tabla4[[#This Row],[Cliente]]) + 1, LEN(Tabla4[[#This Row],[Cliente]]) - SEARCH("_",Tabla4[[#This Row],[Cliente]]))</f>
        <v>151</v>
      </c>
      <c r="BC425" t="str">
        <f>sala!B424</f>
        <v>Cliente_151</v>
      </c>
      <c r="BD425" s="1">
        <f>sala!D424</f>
        <v>45021.106944444444</v>
      </c>
      <c r="BE425" s="1">
        <f>sala!E424</f>
        <v>45021.206250000003</v>
      </c>
      <c r="BF425">
        <f>sala!K424</f>
        <v>423</v>
      </c>
      <c r="BG425">
        <f>sala!I424</f>
        <v>3413</v>
      </c>
      <c r="BH425" cm="1">
        <f t="array" ref="BH425">SUM(IF(Cocina!A:A=Tabla4[[#This Row],[Número de Orden]],Cocina!F:F*Cocina!G:G,0))</f>
        <v>152</v>
      </c>
      <c r="BI425" t="str">
        <f>sala!J424</f>
        <v>Libre</v>
      </c>
      <c r="BJ425" s="4" t="str">
        <f>IF(Tabla4[[#This Row],[Estado mesa]]="Ocupada","00:15","00:00")</f>
        <v>00:00</v>
      </c>
      <c r="BK425" cm="1">
        <f t="array" ref="BK425">SUM(IF(Cocina!A:A=Tabla4[[#This Row],[Número de Orden]],Cocina!H:H,0))</f>
        <v>31</v>
      </c>
    </row>
    <row r="426" spans="1:63" x14ac:dyDescent="0.3">
      <c r="A426" s="8" t="str">
        <f>MID(Tabla4[[#This Row],[Cliente]], SEARCH("_", Tabla4[[#This Row],[Cliente]]) + 1, LEN(Tabla4[[#This Row],[Cliente]]) - SEARCH("_",Tabla4[[#This Row],[Cliente]]))</f>
        <v>342</v>
      </c>
      <c r="B426">
        <f>sala!K425</f>
        <v>424</v>
      </c>
      <c r="C426">
        <f>Tabla4[[#This Row],[Propina]]+Tabla4[[#This Row],[Precio Cena]]</f>
        <v>1249</v>
      </c>
      <c r="D426" s="3">
        <f>INT(sala!E425)</f>
        <v>45021</v>
      </c>
      <c r="E426" s="4">
        <f>MOD( sala!D425,1)</f>
        <v>4.7222222223354038E-2</v>
      </c>
      <c r="F426" s="4">
        <f>MOD( sala!E425,1)</f>
        <v>0.1368055555576575</v>
      </c>
      <c r="G426" s="4">
        <f>Tabla5[[#This Row],[Hora de Salida]]-Tabla5[[#This Row],[Hora de Llegada]]+Tabla4[[#This Row],[Tiempo Extra]]</f>
        <v>8.9583333334303461E-2</v>
      </c>
      <c r="H426" s="5" t="str">
        <f>TEXT(Tabla4[[#This Row],[Preparación en horas]]/1440, "h:mm")</f>
        <v>1:28</v>
      </c>
      <c r="I426" s="4">
        <f>IF(Tabla5[[#This Row],[Tiempo Permanencia]]-Tabla5[[#This Row],[Tiempo de Preparación ]]&gt;=0,Tabla5[[#This Row],[Tiempo Permanencia]]-Tabla5[[#This Row],[Tiempo de Preparación ]],0)</f>
        <v>2.8472222223192352E-2</v>
      </c>
      <c r="J426" s="5" t="str">
        <f>IF(Tabla5[[#This Row],[Tiempo de Degustación]]=0,"No Cobrada","Cobrada")</f>
        <v>Cobrada</v>
      </c>
      <c r="K426" s="5" cm="1">
        <f t="array" ref="K426">SUM(IF(Tabla5[[#This Row],[Orden Cobrada]]="Cobrada",IF(Cocina!A:A=Tabla5[[#This Row],[Nº Orden]],Cocina!F:F*Cocina!G:G,0),-Tabla6[[#This Row],[Precio Cena]]))</f>
        <v>147</v>
      </c>
      <c r="L426" s="5">
        <f>IF(Tabla5[[#This Row],[Orden Cobrada]]="Cobrada",Tabla5[[#This Row],[Ganancia Bruta]]-Tabla6[[#This Row],[Coste Cena]],-Tabla6[[#This Row],[Precio Cena]]+Tabla6[[#This Row],[Coste Cena]])</f>
        <v>60</v>
      </c>
      <c r="M426" s="10">
        <f>IF(Tabla5[[#This Row],[Orden Cobrada]]="Cobrada",((Tabla5[[#This Row],[Ganancia Neta]]/Tabla5[[#This Row],[Ganancia Bruta]])*100)/100,-((Tabla5[[#This Row],[Ganancia Neta]]/Tabla5[[#This Row],[Ganancia Bruta]]*100)/100))</f>
        <v>0.40816326530612246</v>
      </c>
      <c r="N426" s="5" t="str">
        <f>sala!F425</f>
        <v>Mesero_2</v>
      </c>
      <c r="AY426" cm="1">
        <f t="array" ref="AY426">SUM(IF(Cocina!A:A=Tabla5[[#This Row],[Nº Orden]],Cocina!F:F*Cocina!G:G,0))</f>
        <v>147</v>
      </c>
      <c r="AZ426" cm="1">
        <f t="array" ref="AZ426">SUM(IF(Cocina!A:A=Tabla5[[#This Row],[Nº Orden]],Cocina!E:E*Cocina!G:G,0))</f>
        <v>87</v>
      </c>
      <c r="BB426" t="str">
        <f>MID(Tabla4[[#This Row],[Cliente]], SEARCH("_", Tabla4[[#This Row],[Cliente]]) + 1, LEN(Tabla4[[#This Row],[Cliente]]) - SEARCH("_",Tabla4[[#This Row],[Cliente]]))</f>
        <v>342</v>
      </c>
      <c r="BC426" t="str">
        <f>sala!B425</f>
        <v>Cliente_342</v>
      </c>
      <c r="BD426" s="1">
        <f>sala!D425</f>
        <v>45021.047222222223</v>
      </c>
      <c r="BE426" s="1">
        <f>sala!E425</f>
        <v>45021.136805555558</v>
      </c>
      <c r="BF426">
        <f>sala!K425</f>
        <v>424</v>
      </c>
      <c r="BG426">
        <f>sala!I425</f>
        <v>1102</v>
      </c>
      <c r="BH426" cm="1">
        <f t="array" ref="BH426">SUM(IF(Cocina!A:A=Tabla4[[#This Row],[Número de Orden]],Cocina!F:F*Cocina!G:G,0))</f>
        <v>147</v>
      </c>
      <c r="BI426" t="str">
        <f>sala!J425</f>
        <v>Reservada</v>
      </c>
      <c r="BJ426" s="4" t="str">
        <f>IF(Tabla4[[#This Row],[Estado mesa]]="Ocupada","00:15","00:00")</f>
        <v>00:00</v>
      </c>
      <c r="BK426" cm="1">
        <f t="array" ref="BK426">SUM(IF(Cocina!A:A=Tabla4[[#This Row],[Número de Orden]],Cocina!H:H,0))</f>
        <v>88</v>
      </c>
    </row>
    <row r="427" spans="1:63" x14ac:dyDescent="0.3">
      <c r="A427" s="8" t="str">
        <f>MID(Tabla4[[#This Row],[Cliente]], SEARCH("_", Tabla4[[#This Row],[Cliente]]) + 1, LEN(Tabla4[[#This Row],[Cliente]]) - SEARCH("_",Tabla4[[#This Row],[Cliente]]))</f>
        <v>332</v>
      </c>
      <c r="B427">
        <f>sala!K426</f>
        <v>425</v>
      </c>
      <c r="C427">
        <f>Tabla4[[#This Row],[Propina]]+Tabla4[[#This Row],[Precio Cena]]</f>
        <v>4962</v>
      </c>
      <c r="D427" s="3">
        <f>INT(sala!E426)</f>
        <v>45021</v>
      </c>
      <c r="E427" s="4">
        <f>MOD( sala!D426,1)</f>
        <v>5.8333333334303461E-2</v>
      </c>
      <c r="F427" s="4">
        <f>MOD( sala!E426,1)</f>
        <v>0.15625</v>
      </c>
      <c r="G427" s="4">
        <f>Tabla5[[#This Row],[Hora de Salida]]-Tabla5[[#This Row],[Hora de Llegada]]+Tabla4[[#This Row],[Tiempo Extra]]</f>
        <v>9.7916666665696539E-2</v>
      </c>
      <c r="H427" s="5" t="str">
        <f>TEXT(Tabla4[[#This Row],[Preparación en horas]]/1440, "h:mm")</f>
        <v>0:28</v>
      </c>
      <c r="I427" s="4">
        <f>IF(Tabla5[[#This Row],[Tiempo Permanencia]]-Tabla5[[#This Row],[Tiempo de Preparación ]]&gt;=0,Tabla5[[#This Row],[Tiempo Permanencia]]-Tabla5[[#This Row],[Tiempo de Preparación ]],0)</f>
        <v>7.8472222221252094E-2</v>
      </c>
      <c r="J427" s="5" t="str">
        <f>IF(Tabla5[[#This Row],[Tiempo de Degustación]]=0,"No Cobrada","Cobrada")</f>
        <v>Cobrada</v>
      </c>
      <c r="K427" s="5" cm="1">
        <f t="array" ref="K427">SUM(IF(Tabla5[[#This Row],[Orden Cobrada]]="Cobrada",IF(Cocina!A:A=Tabla5[[#This Row],[Nº Orden]],Cocina!F:F*Cocina!G:G,0),-Tabla6[[#This Row],[Precio Cena]]))</f>
        <v>19</v>
      </c>
      <c r="L427" s="5">
        <f>IF(Tabla5[[#This Row],[Orden Cobrada]]="Cobrada",Tabla5[[#This Row],[Ganancia Bruta]]-Tabla6[[#This Row],[Coste Cena]],-Tabla6[[#This Row],[Precio Cena]]+Tabla6[[#This Row],[Coste Cena]])</f>
        <v>8</v>
      </c>
      <c r="M427" s="10">
        <f>IF(Tabla5[[#This Row],[Orden Cobrada]]="Cobrada",((Tabla5[[#This Row],[Ganancia Neta]]/Tabla5[[#This Row],[Ganancia Bruta]])*100)/100,-((Tabla5[[#This Row],[Ganancia Neta]]/Tabla5[[#This Row],[Ganancia Bruta]]*100)/100))</f>
        <v>0.42105263157894735</v>
      </c>
      <c r="N427" s="5" t="str">
        <f>sala!F426</f>
        <v>Mesero_2</v>
      </c>
      <c r="AY427" cm="1">
        <f t="array" ref="AY427">SUM(IF(Cocina!A:A=Tabla5[[#This Row],[Nº Orden]],Cocina!F:F*Cocina!G:G,0))</f>
        <v>19</v>
      </c>
      <c r="AZ427" cm="1">
        <f t="array" ref="AZ427">SUM(IF(Cocina!A:A=Tabla5[[#This Row],[Nº Orden]],Cocina!E:E*Cocina!G:G,0))</f>
        <v>11</v>
      </c>
      <c r="BB427" t="str">
        <f>MID(Tabla4[[#This Row],[Cliente]], SEARCH("_", Tabla4[[#This Row],[Cliente]]) + 1, LEN(Tabla4[[#This Row],[Cliente]]) - SEARCH("_",Tabla4[[#This Row],[Cliente]]))</f>
        <v>332</v>
      </c>
      <c r="BC427" t="str">
        <f>sala!B426</f>
        <v>Cliente_332</v>
      </c>
      <c r="BD427" s="1">
        <f>sala!D426</f>
        <v>45021.058333333334</v>
      </c>
      <c r="BE427" s="1">
        <f>sala!E426</f>
        <v>45021.15625</v>
      </c>
      <c r="BF427">
        <f>sala!K426</f>
        <v>425</v>
      </c>
      <c r="BG427">
        <f>sala!I426</f>
        <v>4943</v>
      </c>
      <c r="BH427" cm="1">
        <f t="array" ref="BH427">SUM(IF(Cocina!A:A=Tabla4[[#This Row],[Número de Orden]],Cocina!F:F*Cocina!G:G,0))</f>
        <v>19</v>
      </c>
      <c r="BI427" t="str">
        <f>sala!J426</f>
        <v>Reservada</v>
      </c>
      <c r="BJ427" s="4" t="str">
        <f>IF(Tabla4[[#This Row],[Estado mesa]]="Ocupada","00:15","00:00")</f>
        <v>00:00</v>
      </c>
      <c r="BK427" cm="1">
        <f t="array" ref="BK427">SUM(IF(Cocina!A:A=Tabla4[[#This Row],[Número de Orden]],Cocina!H:H,0))</f>
        <v>28</v>
      </c>
    </row>
    <row r="428" spans="1:63" x14ac:dyDescent="0.3">
      <c r="A428" s="8" t="str">
        <f>MID(Tabla4[[#This Row],[Cliente]], SEARCH("_", Tabla4[[#This Row],[Cliente]]) + 1, LEN(Tabla4[[#This Row],[Cliente]]) - SEARCH("_",Tabla4[[#This Row],[Cliente]]))</f>
        <v>689</v>
      </c>
      <c r="B428">
        <f>sala!K427</f>
        <v>426</v>
      </c>
      <c r="C428">
        <f>Tabla4[[#This Row],[Propina]]+Tabla4[[#This Row],[Precio Cena]]</f>
        <v>725</v>
      </c>
      <c r="D428" s="3">
        <f>INT(sala!E427)</f>
        <v>45021</v>
      </c>
      <c r="E428" s="4">
        <f>MOD( sala!D427,1)</f>
        <v>0.13263888889196096</v>
      </c>
      <c r="F428" s="4">
        <f>MOD( sala!E427,1)</f>
        <v>0.20972222222189885</v>
      </c>
      <c r="G428" s="4">
        <f>Tabla5[[#This Row],[Hora de Salida]]-Tabla5[[#This Row],[Hora de Llegada]]+Tabla4[[#This Row],[Tiempo Extra]]</f>
        <v>7.7083333329937886E-2</v>
      </c>
      <c r="H428" s="5" t="str">
        <f>TEXT(Tabla4[[#This Row],[Preparación en horas]]/1440, "h:mm")</f>
        <v>1:56</v>
      </c>
      <c r="I428" s="4">
        <f>IF(Tabla5[[#This Row],[Tiempo Permanencia]]-Tabla5[[#This Row],[Tiempo de Preparación ]]&gt;=0,Tabla5[[#This Row],[Tiempo Permanencia]]-Tabla5[[#This Row],[Tiempo de Preparación ]],0)</f>
        <v>0</v>
      </c>
      <c r="J428" s="5" t="str">
        <f>IF(Tabla5[[#This Row],[Tiempo de Degustación]]=0,"No Cobrada","Cobrada")</f>
        <v>No Cobrada</v>
      </c>
      <c r="K428" s="5" cm="1">
        <f t="array" ref="K428">SUM(IF(Tabla5[[#This Row],[Orden Cobrada]]="Cobrada",IF(Cocina!A:A=Tabla5[[#This Row],[Nº Orden]],Cocina!F:F*Cocina!G:G,0),-Tabla6[[#This Row],[Precio Cena]]))</f>
        <v>-247</v>
      </c>
      <c r="L428" s="5">
        <f>IF(Tabla5[[#This Row],[Orden Cobrada]]="Cobrada",Tabla5[[#This Row],[Ganancia Bruta]]-Tabla6[[#This Row],[Coste Cena]],-Tabla6[[#This Row],[Precio Cena]]+Tabla6[[#This Row],[Coste Cena]])</f>
        <v>-99</v>
      </c>
      <c r="M428" s="10">
        <f>IF(Tabla5[[#This Row],[Orden Cobrada]]="Cobrada",((Tabla5[[#This Row],[Ganancia Neta]]/Tabla5[[#This Row],[Ganancia Bruta]])*100)/100,-((Tabla5[[#This Row],[Ganancia Neta]]/Tabla5[[#This Row],[Ganancia Bruta]]*100)/100))</f>
        <v>-0.40080971659919029</v>
      </c>
      <c r="N428" s="5" t="str">
        <f>sala!F427</f>
        <v>Mesero_4</v>
      </c>
      <c r="AY428" cm="1">
        <f t="array" ref="AY428">SUM(IF(Cocina!A:A=Tabla5[[#This Row],[Nº Orden]],Cocina!F:F*Cocina!G:G,0))</f>
        <v>247</v>
      </c>
      <c r="AZ428" cm="1">
        <f t="array" ref="AZ428">SUM(IF(Cocina!A:A=Tabla5[[#This Row],[Nº Orden]],Cocina!E:E*Cocina!G:G,0))</f>
        <v>148</v>
      </c>
      <c r="BB428" t="str">
        <f>MID(Tabla4[[#This Row],[Cliente]], SEARCH("_", Tabla4[[#This Row],[Cliente]]) + 1, LEN(Tabla4[[#This Row],[Cliente]]) - SEARCH("_",Tabla4[[#This Row],[Cliente]]))</f>
        <v>689</v>
      </c>
      <c r="BC428" t="str">
        <f>sala!B427</f>
        <v>Cliente_689</v>
      </c>
      <c r="BD428" s="1">
        <f>sala!D427</f>
        <v>45021.132638888892</v>
      </c>
      <c r="BE428" s="1">
        <f>sala!E427</f>
        <v>45021.209722222222</v>
      </c>
      <c r="BF428">
        <f>sala!K427</f>
        <v>426</v>
      </c>
      <c r="BG428">
        <f>sala!I427</f>
        <v>478</v>
      </c>
      <c r="BH428" cm="1">
        <f t="array" ref="BH428">SUM(IF(Cocina!A:A=Tabla4[[#This Row],[Número de Orden]],Cocina!F:F*Cocina!G:G,0))</f>
        <v>247</v>
      </c>
      <c r="BI428" t="str">
        <f>sala!J427</f>
        <v>Reservada</v>
      </c>
      <c r="BJ428" s="4" t="str">
        <f>IF(Tabla4[[#This Row],[Estado mesa]]="Ocupada","00:15","00:00")</f>
        <v>00:00</v>
      </c>
      <c r="BK428" cm="1">
        <f t="array" ref="BK428">SUM(IF(Cocina!A:A=Tabla4[[#This Row],[Número de Orden]],Cocina!H:H,0))</f>
        <v>116</v>
      </c>
    </row>
    <row r="429" spans="1:63" x14ac:dyDescent="0.3">
      <c r="A429" s="8" t="str">
        <f>MID(Tabla4[[#This Row],[Cliente]], SEARCH("_", Tabla4[[#This Row],[Cliente]]) + 1, LEN(Tabla4[[#This Row],[Cliente]]) - SEARCH("_",Tabla4[[#This Row],[Cliente]]))</f>
        <v>953</v>
      </c>
      <c r="B429">
        <f>sala!K428</f>
        <v>427</v>
      </c>
      <c r="C429">
        <f>Tabla4[[#This Row],[Propina]]+Tabla4[[#This Row],[Precio Cena]]</f>
        <v>4580</v>
      </c>
      <c r="D429" s="3">
        <f>INT(sala!E428)</f>
        <v>45021</v>
      </c>
      <c r="E429" s="4">
        <f>MOD( sala!D428,1)</f>
        <v>0.10694444444379769</v>
      </c>
      <c r="F429" s="4">
        <f>MOD( sala!E428,1)</f>
        <v>0.15486111111385981</v>
      </c>
      <c r="G429" s="4">
        <f>Tabla5[[#This Row],[Hora de Salida]]-Tabla5[[#This Row],[Hora de Llegada]]+Tabla4[[#This Row],[Tiempo Extra]]</f>
        <v>4.7916666670062114E-2</v>
      </c>
      <c r="H429" s="5" t="str">
        <f>TEXT(Tabla4[[#This Row],[Preparación en horas]]/1440, "h:mm")</f>
        <v>2:46</v>
      </c>
      <c r="I429" s="4">
        <f>IF(Tabla5[[#This Row],[Tiempo Permanencia]]-Tabla5[[#This Row],[Tiempo de Preparación ]]&gt;=0,Tabla5[[#This Row],[Tiempo Permanencia]]-Tabla5[[#This Row],[Tiempo de Preparación ]],0)</f>
        <v>0</v>
      </c>
      <c r="J429" s="5" t="str">
        <f>IF(Tabla5[[#This Row],[Tiempo de Degustación]]=0,"No Cobrada","Cobrada")</f>
        <v>No Cobrada</v>
      </c>
      <c r="K429" s="5" cm="1">
        <f t="array" ref="K429">SUM(IF(Tabla5[[#This Row],[Orden Cobrada]]="Cobrada",IF(Cocina!A:A=Tabla5[[#This Row],[Nº Orden]],Cocina!F:F*Cocina!G:G,0),-Tabla6[[#This Row],[Precio Cena]]))</f>
        <v>-206</v>
      </c>
      <c r="L429" s="5">
        <f>IF(Tabla5[[#This Row],[Orden Cobrada]]="Cobrada",Tabla5[[#This Row],[Ganancia Bruta]]-Tabla6[[#This Row],[Coste Cena]],-Tabla6[[#This Row],[Precio Cena]]+Tabla6[[#This Row],[Coste Cena]])</f>
        <v>-83</v>
      </c>
      <c r="M429" s="10">
        <f>IF(Tabla5[[#This Row],[Orden Cobrada]]="Cobrada",((Tabla5[[#This Row],[Ganancia Neta]]/Tabla5[[#This Row],[Ganancia Bruta]])*100)/100,-((Tabla5[[#This Row],[Ganancia Neta]]/Tabla5[[#This Row],[Ganancia Bruta]]*100)/100))</f>
        <v>-0.40291262135922329</v>
      </c>
      <c r="N429" s="5" t="str">
        <f>sala!F428</f>
        <v>Mesero_2</v>
      </c>
      <c r="AY429" cm="1">
        <f t="array" ref="AY429">SUM(IF(Cocina!A:A=Tabla5[[#This Row],[Nº Orden]],Cocina!F:F*Cocina!G:G,0))</f>
        <v>206</v>
      </c>
      <c r="AZ429" cm="1">
        <f t="array" ref="AZ429">SUM(IF(Cocina!A:A=Tabla5[[#This Row],[Nº Orden]],Cocina!E:E*Cocina!G:G,0))</f>
        <v>123</v>
      </c>
      <c r="BB429" t="str">
        <f>MID(Tabla4[[#This Row],[Cliente]], SEARCH("_", Tabla4[[#This Row],[Cliente]]) + 1, LEN(Tabla4[[#This Row],[Cliente]]) - SEARCH("_",Tabla4[[#This Row],[Cliente]]))</f>
        <v>953</v>
      </c>
      <c r="BC429" t="str">
        <f>sala!B428</f>
        <v>Cliente_953</v>
      </c>
      <c r="BD429" s="1">
        <f>sala!D428</f>
        <v>45021.106944444444</v>
      </c>
      <c r="BE429" s="1">
        <f>sala!E428</f>
        <v>45021.154861111114</v>
      </c>
      <c r="BF429">
        <f>sala!K428</f>
        <v>427</v>
      </c>
      <c r="BG429">
        <f>sala!I428</f>
        <v>4374</v>
      </c>
      <c r="BH429" cm="1">
        <f t="array" ref="BH429">SUM(IF(Cocina!A:A=Tabla4[[#This Row],[Número de Orden]],Cocina!F:F*Cocina!G:G,0))</f>
        <v>206</v>
      </c>
      <c r="BI429" t="str">
        <f>sala!J428</f>
        <v>Libre</v>
      </c>
      <c r="BJ429" s="4" t="str">
        <f>IF(Tabla4[[#This Row],[Estado mesa]]="Ocupada","00:15","00:00")</f>
        <v>00:00</v>
      </c>
      <c r="BK429" cm="1">
        <f t="array" ref="BK429">SUM(IF(Cocina!A:A=Tabla4[[#This Row],[Número de Orden]],Cocina!H:H,0))</f>
        <v>166</v>
      </c>
    </row>
    <row r="430" spans="1:63" x14ac:dyDescent="0.3">
      <c r="A430" s="8" t="str">
        <f>MID(Tabla4[[#This Row],[Cliente]], SEARCH("_", Tabla4[[#This Row],[Cliente]]) + 1, LEN(Tabla4[[#This Row],[Cliente]]) - SEARCH("_",Tabla4[[#This Row],[Cliente]]))</f>
        <v>518</v>
      </c>
      <c r="B430">
        <f>sala!K429</f>
        <v>428</v>
      </c>
      <c r="C430">
        <f>Tabla4[[#This Row],[Propina]]+Tabla4[[#This Row],[Precio Cena]]</f>
        <v>331</v>
      </c>
      <c r="D430" s="3">
        <f>INT(sala!E429)</f>
        <v>45021</v>
      </c>
      <c r="E430" s="4">
        <f>MOD( sala!D429,1)</f>
        <v>0.13749999999708962</v>
      </c>
      <c r="F430" s="4">
        <f>MOD( sala!E429,1)</f>
        <v>0.25208333333284827</v>
      </c>
      <c r="G430" s="4">
        <f>Tabla5[[#This Row],[Hora de Salida]]-Tabla5[[#This Row],[Hora de Llegada]]+Tabla4[[#This Row],[Tiempo Extra]]</f>
        <v>0.11458333333575865</v>
      </c>
      <c r="H430" s="5" t="str">
        <f>TEXT(Tabla4[[#This Row],[Preparación en horas]]/1440, "h:mm")</f>
        <v>2:59</v>
      </c>
      <c r="I430" s="4">
        <f>IF(Tabla5[[#This Row],[Tiempo Permanencia]]-Tabla5[[#This Row],[Tiempo de Preparación ]]&gt;=0,Tabla5[[#This Row],[Tiempo Permanencia]]-Tabla5[[#This Row],[Tiempo de Preparación ]],0)</f>
        <v>0</v>
      </c>
      <c r="J430" s="5" t="str">
        <f>IF(Tabla5[[#This Row],[Tiempo de Degustación]]=0,"No Cobrada","Cobrada")</f>
        <v>No Cobrada</v>
      </c>
      <c r="K430" s="5" cm="1">
        <f t="array" ref="K430">SUM(IF(Tabla5[[#This Row],[Orden Cobrada]]="Cobrada",IF(Cocina!A:A=Tabla5[[#This Row],[Nº Orden]],Cocina!F:F*Cocina!G:G,0),-Tabla6[[#This Row],[Precio Cena]]))</f>
        <v>-175</v>
      </c>
      <c r="L430" s="5">
        <f>IF(Tabla5[[#This Row],[Orden Cobrada]]="Cobrada",Tabla5[[#This Row],[Ganancia Bruta]]-Tabla6[[#This Row],[Coste Cena]],-Tabla6[[#This Row],[Precio Cena]]+Tabla6[[#This Row],[Coste Cena]])</f>
        <v>-68</v>
      </c>
      <c r="M430" s="10">
        <f>IF(Tabla5[[#This Row],[Orden Cobrada]]="Cobrada",((Tabla5[[#This Row],[Ganancia Neta]]/Tabla5[[#This Row],[Ganancia Bruta]])*100)/100,-((Tabla5[[#This Row],[Ganancia Neta]]/Tabla5[[#This Row],[Ganancia Bruta]]*100)/100))</f>
        <v>-0.38857142857142857</v>
      </c>
      <c r="N430" s="5" t="str">
        <f>sala!F429</f>
        <v>Mesero_4</v>
      </c>
      <c r="AY430" cm="1">
        <f t="array" ref="AY430">SUM(IF(Cocina!A:A=Tabla5[[#This Row],[Nº Orden]],Cocina!F:F*Cocina!G:G,0))</f>
        <v>175</v>
      </c>
      <c r="AZ430" cm="1">
        <f t="array" ref="AZ430">SUM(IF(Cocina!A:A=Tabla5[[#This Row],[Nº Orden]],Cocina!E:E*Cocina!G:G,0))</f>
        <v>107</v>
      </c>
      <c r="BB430" t="str">
        <f>MID(Tabla4[[#This Row],[Cliente]], SEARCH("_", Tabla4[[#This Row],[Cliente]]) + 1, LEN(Tabla4[[#This Row],[Cliente]]) - SEARCH("_",Tabla4[[#This Row],[Cliente]]))</f>
        <v>518</v>
      </c>
      <c r="BC430" t="str">
        <f>sala!B429</f>
        <v>Cliente_518</v>
      </c>
      <c r="BD430" s="1">
        <f>sala!D429</f>
        <v>45021.137499999997</v>
      </c>
      <c r="BE430" s="1">
        <f>sala!E429</f>
        <v>45021.252083333333</v>
      </c>
      <c r="BF430">
        <f>sala!K429</f>
        <v>428</v>
      </c>
      <c r="BG430">
        <f>sala!I429</f>
        <v>156</v>
      </c>
      <c r="BH430" cm="1">
        <f t="array" ref="BH430">SUM(IF(Cocina!A:A=Tabla4[[#This Row],[Número de Orden]],Cocina!F:F*Cocina!G:G,0))</f>
        <v>175</v>
      </c>
      <c r="BI430" t="str">
        <f>sala!J429</f>
        <v>Reservada</v>
      </c>
      <c r="BJ430" s="4" t="str">
        <f>IF(Tabla4[[#This Row],[Estado mesa]]="Ocupada","00:15","00:00")</f>
        <v>00:00</v>
      </c>
      <c r="BK430" cm="1">
        <f t="array" ref="BK430">SUM(IF(Cocina!A:A=Tabla4[[#This Row],[Número de Orden]],Cocina!H:H,0))</f>
        <v>179</v>
      </c>
    </row>
    <row r="431" spans="1:63" x14ac:dyDescent="0.3">
      <c r="A431" s="8" t="str">
        <f>MID(Tabla4[[#This Row],[Cliente]], SEARCH("_", Tabla4[[#This Row],[Cliente]]) + 1, LEN(Tabla4[[#This Row],[Cliente]]) - SEARCH("_",Tabla4[[#This Row],[Cliente]]))</f>
        <v>348</v>
      </c>
      <c r="B431">
        <f>sala!K430</f>
        <v>429</v>
      </c>
      <c r="C431">
        <f>Tabla4[[#This Row],[Propina]]+Tabla4[[#This Row],[Precio Cena]]</f>
        <v>1173</v>
      </c>
      <c r="D431" s="3">
        <f>INT(sala!E430)</f>
        <v>45021</v>
      </c>
      <c r="E431" s="4">
        <f>MOD( sala!D430,1)</f>
        <v>6.9444444452528842E-3</v>
      </c>
      <c r="F431" s="4">
        <f>MOD( sala!E430,1)</f>
        <v>0.15694444444670808</v>
      </c>
      <c r="G431" s="4">
        <f>Tabla5[[#This Row],[Hora de Salida]]-Tabla5[[#This Row],[Hora de Llegada]]+Tabla4[[#This Row],[Tiempo Extra]]</f>
        <v>0.15000000000145519</v>
      </c>
      <c r="H431" s="5" t="str">
        <f>TEXT(Tabla4[[#This Row],[Preparación en horas]]/1440, "h:mm")</f>
        <v>0:27</v>
      </c>
      <c r="I431" s="4">
        <f>IF(Tabla5[[#This Row],[Tiempo Permanencia]]-Tabla5[[#This Row],[Tiempo de Preparación ]]&gt;=0,Tabla5[[#This Row],[Tiempo Permanencia]]-Tabla5[[#This Row],[Tiempo de Preparación ]],0)</f>
        <v>0.1312500000014552</v>
      </c>
      <c r="J431" s="5" t="str">
        <f>IF(Tabla5[[#This Row],[Tiempo de Degustación]]=0,"No Cobrada","Cobrada")</f>
        <v>Cobrada</v>
      </c>
      <c r="K431" s="5" cm="1">
        <f t="array" ref="K431">SUM(IF(Tabla5[[#This Row],[Orden Cobrada]]="Cobrada",IF(Cocina!A:A=Tabla5[[#This Row],[Nº Orden]],Cocina!F:F*Cocina!G:G,0),-Tabla6[[#This Row],[Precio Cena]]))</f>
        <v>78</v>
      </c>
      <c r="L431" s="5">
        <f>IF(Tabla5[[#This Row],[Orden Cobrada]]="Cobrada",Tabla5[[#This Row],[Ganancia Bruta]]-Tabla6[[#This Row],[Coste Cena]],-Tabla6[[#This Row],[Precio Cena]]+Tabla6[[#This Row],[Coste Cena]])</f>
        <v>33</v>
      </c>
      <c r="M431" s="10">
        <f>IF(Tabla5[[#This Row],[Orden Cobrada]]="Cobrada",((Tabla5[[#This Row],[Ganancia Neta]]/Tabla5[[#This Row],[Ganancia Bruta]])*100)/100,-((Tabla5[[#This Row],[Ganancia Neta]]/Tabla5[[#This Row],[Ganancia Bruta]]*100)/100))</f>
        <v>0.42307692307692307</v>
      </c>
      <c r="N431" s="5" t="str">
        <f>sala!F430</f>
        <v>Mesero_4</v>
      </c>
      <c r="AY431" cm="1">
        <f t="array" ref="AY431">SUM(IF(Cocina!A:A=Tabla5[[#This Row],[Nº Orden]],Cocina!F:F*Cocina!G:G,0))</f>
        <v>78</v>
      </c>
      <c r="AZ431" cm="1">
        <f t="array" ref="AZ431">SUM(IF(Cocina!A:A=Tabla5[[#This Row],[Nº Orden]],Cocina!E:E*Cocina!G:G,0))</f>
        <v>45</v>
      </c>
      <c r="BB431" t="str">
        <f>MID(Tabla4[[#This Row],[Cliente]], SEARCH("_", Tabla4[[#This Row],[Cliente]]) + 1, LEN(Tabla4[[#This Row],[Cliente]]) - SEARCH("_",Tabla4[[#This Row],[Cliente]]))</f>
        <v>348</v>
      </c>
      <c r="BC431" t="str">
        <f>sala!B430</f>
        <v>Cliente_348</v>
      </c>
      <c r="BD431" s="1">
        <f>sala!D430</f>
        <v>45021.006944444445</v>
      </c>
      <c r="BE431" s="1">
        <f>sala!E430</f>
        <v>45021.156944444447</v>
      </c>
      <c r="BF431">
        <f>sala!K430</f>
        <v>429</v>
      </c>
      <c r="BG431">
        <f>sala!I430</f>
        <v>1095</v>
      </c>
      <c r="BH431" cm="1">
        <f t="array" ref="BH431">SUM(IF(Cocina!A:A=Tabla4[[#This Row],[Número de Orden]],Cocina!F:F*Cocina!G:G,0))</f>
        <v>78</v>
      </c>
      <c r="BI431" t="str">
        <f>sala!J430</f>
        <v>Reservada</v>
      </c>
      <c r="BJ431" s="4" t="str">
        <f>IF(Tabla4[[#This Row],[Estado mesa]]="Ocupada","00:15","00:00")</f>
        <v>00:00</v>
      </c>
      <c r="BK431" cm="1">
        <f t="array" ref="BK431">SUM(IF(Cocina!A:A=Tabla4[[#This Row],[Número de Orden]],Cocina!H:H,0))</f>
        <v>27</v>
      </c>
    </row>
    <row r="432" spans="1:63" x14ac:dyDescent="0.3">
      <c r="A432" s="8" t="str">
        <f>MID(Tabla4[[#This Row],[Cliente]], SEARCH("_", Tabla4[[#This Row],[Cliente]]) + 1, LEN(Tabla4[[#This Row],[Cliente]]) - SEARCH("_",Tabla4[[#This Row],[Cliente]]))</f>
        <v>259</v>
      </c>
      <c r="B432">
        <f>sala!K431</f>
        <v>430</v>
      </c>
      <c r="C432">
        <f>Tabla4[[#This Row],[Propina]]+Tabla4[[#This Row],[Precio Cena]]</f>
        <v>4234</v>
      </c>
      <c r="D432" s="3">
        <f>INT(sala!E431)</f>
        <v>45021</v>
      </c>
      <c r="E432" s="4">
        <f>MOD( sala!D431,1)</f>
        <v>9.7916666665696539E-2</v>
      </c>
      <c r="F432" s="4">
        <f>MOD( sala!E431,1)</f>
        <v>0.16597222222480923</v>
      </c>
      <c r="G432" s="4">
        <f>Tabla5[[#This Row],[Hora de Salida]]-Tabla5[[#This Row],[Hora de Llegada]]+Tabla4[[#This Row],[Tiempo Extra]]</f>
        <v>6.805555555911269E-2</v>
      </c>
      <c r="H432" s="5" t="str">
        <f>TEXT(Tabla4[[#This Row],[Preparación en horas]]/1440, "h:mm")</f>
        <v>0:49</v>
      </c>
      <c r="I432" s="4">
        <f>IF(Tabla5[[#This Row],[Tiempo Permanencia]]-Tabla5[[#This Row],[Tiempo de Preparación ]]&gt;=0,Tabla5[[#This Row],[Tiempo Permanencia]]-Tabla5[[#This Row],[Tiempo de Preparación ]],0)</f>
        <v>3.4027777781334916E-2</v>
      </c>
      <c r="J432" s="5" t="str">
        <f>IF(Tabla5[[#This Row],[Tiempo de Degustación]]=0,"No Cobrada","Cobrada")</f>
        <v>Cobrada</v>
      </c>
      <c r="K432" s="5" cm="1">
        <f t="array" ref="K432">SUM(IF(Tabla5[[#This Row],[Orden Cobrada]]="Cobrada",IF(Cocina!A:A=Tabla5[[#This Row],[Nº Orden]],Cocina!F:F*Cocina!G:G,0),-Tabla6[[#This Row],[Precio Cena]]))</f>
        <v>25</v>
      </c>
      <c r="L432" s="5">
        <f>IF(Tabla5[[#This Row],[Orden Cobrada]]="Cobrada",Tabla5[[#This Row],[Ganancia Bruta]]-Tabla6[[#This Row],[Coste Cena]],-Tabla6[[#This Row],[Precio Cena]]+Tabla6[[#This Row],[Coste Cena]])</f>
        <v>10</v>
      </c>
      <c r="M432" s="10">
        <f>IF(Tabla5[[#This Row],[Orden Cobrada]]="Cobrada",((Tabla5[[#This Row],[Ganancia Neta]]/Tabla5[[#This Row],[Ganancia Bruta]])*100)/100,-((Tabla5[[#This Row],[Ganancia Neta]]/Tabla5[[#This Row],[Ganancia Bruta]]*100)/100))</f>
        <v>0.4</v>
      </c>
      <c r="N432" s="5" t="str">
        <f>sala!F431</f>
        <v>Mesero_4</v>
      </c>
      <c r="AY432" cm="1">
        <f t="array" ref="AY432">SUM(IF(Cocina!A:A=Tabla5[[#This Row],[Nº Orden]],Cocina!F:F*Cocina!G:G,0))</f>
        <v>25</v>
      </c>
      <c r="AZ432" cm="1">
        <f t="array" ref="AZ432">SUM(IF(Cocina!A:A=Tabla5[[#This Row],[Nº Orden]],Cocina!E:E*Cocina!G:G,0))</f>
        <v>15</v>
      </c>
      <c r="BB432" t="str">
        <f>MID(Tabla4[[#This Row],[Cliente]], SEARCH("_", Tabla4[[#This Row],[Cliente]]) + 1, LEN(Tabla4[[#This Row],[Cliente]]) - SEARCH("_",Tabla4[[#This Row],[Cliente]]))</f>
        <v>259</v>
      </c>
      <c r="BC432" t="str">
        <f>sala!B431</f>
        <v>Cliente_259</v>
      </c>
      <c r="BD432" s="1">
        <f>sala!D431</f>
        <v>45021.097916666666</v>
      </c>
      <c r="BE432" s="1">
        <f>sala!E431</f>
        <v>45021.165972222225</v>
      </c>
      <c r="BF432">
        <f>sala!K431</f>
        <v>430</v>
      </c>
      <c r="BG432">
        <f>sala!I431</f>
        <v>4209</v>
      </c>
      <c r="BH432" cm="1">
        <f t="array" ref="BH432">SUM(IF(Cocina!A:A=Tabla4[[#This Row],[Número de Orden]],Cocina!F:F*Cocina!G:G,0))</f>
        <v>25</v>
      </c>
      <c r="BI432" t="str">
        <f>sala!J431</f>
        <v>Reservada</v>
      </c>
      <c r="BJ432" s="4" t="str">
        <f>IF(Tabla4[[#This Row],[Estado mesa]]="Ocupada","00:15","00:00")</f>
        <v>00:00</v>
      </c>
      <c r="BK432" cm="1">
        <f t="array" ref="BK432">SUM(IF(Cocina!A:A=Tabla4[[#This Row],[Número de Orden]],Cocina!H:H,0))</f>
        <v>49</v>
      </c>
    </row>
    <row r="433" spans="1:63" x14ac:dyDescent="0.3">
      <c r="A433" s="8" t="str">
        <f>MID(Tabla4[[#This Row],[Cliente]], SEARCH("_", Tabla4[[#This Row],[Cliente]]) + 1, LEN(Tabla4[[#This Row],[Cliente]]) - SEARCH("_",Tabla4[[#This Row],[Cliente]]))</f>
        <v>243</v>
      </c>
      <c r="B433">
        <f>sala!K432</f>
        <v>431</v>
      </c>
      <c r="C433">
        <f>Tabla4[[#This Row],[Propina]]+Tabla4[[#This Row],[Precio Cena]]</f>
        <v>4042</v>
      </c>
      <c r="D433" s="3">
        <f>INT(sala!E432)</f>
        <v>45021</v>
      </c>
      <c r="E433" s="4">
        <f>MOD( sala!D432,1)</f>
        <v>0.14791666666860692</v>
      </c>
      <c r="F433" s="4">
        <f>MOD( sala!E432,1)</f>
        <v>0.30902777778101154</v>
      </c>
      <c r="G433" s="4">
        <f>Tabla5[[#This Row],[Hora de Salida]]-Tabla5[[#This Row],[Hora de Llegada]]+Tabla4[[#This Row],[Tiempo Extra]]</f>
        <v>0.16111111111240461</v>
      </c>
      <c r="H433" s="5" t="str">
        <f>TEXT(Tabla4[[#This Row],[Preparación en horas]]/1440, "h:mm")</f>
        <v>0:20</v>
      </c>
      <c r="I433" s="4">
        <f>IF(Tabla5[[#This Row],[Tiempo Permanencia]]-Tabla5[[#This Row],[Tiempo de Preparación ]]&gt;=0,Tabla5[[#This Row],[Tiempo Permanencia]]-Tabla5[[#This Row],[Tiempo de Preparación ]],0)</f>
        <v>0.14722222222351572</v>
      </c>
      <c r="J433" s="5" t="str">
        <f>IF(Tabla5[[#This Row],[Tiempo de Degustación]]=0,"No Cobrada","Cobrada")</f>
        <v>Cobrada</v>
      </c>
      <c r="K433" s="5" cm="1">
        <f t="array" ref="K433">SUM(IF(Tabla5[[#This Row],[Orden Cobrada]]="Cobrada",IF(Cocina!A:A=Tabla5[[#This Row],[Nº Orden]],Cocina!F:F*Cocina!G:G,0),-Tabla6[[#This Row],[Precio Cena]]))</f>
        <v>60</v>
      </c>
      <c r="L433" s="5">
        <f>IF(Tabla5[[#This Row],[Orden Cobrada]]="Cobrada",Tabla5[[#This Row],[Ganancia Bruta]]-Tabla6[[#This Row],[Coste Cena]],-Tabla6[[#This Row],[Precio Cena]]+Tabla6[[#This Row],[Coste Cena]])</f>
        <v>24</v>
      </c>
      <c r="M433" s="10">
        <f>IF(Tabla5[[#This Row],[Orden Cobrada]]="Cobrada",((Tabla5[[#This Row],[Ganancia Neta]]/Tabla5[[#This Row],[Ganancia Bruta]])*100)/100,-((Tabla5[[#This Row],[Ganancia Neta]]/Tabla5[[#This Row],[Ganancia Bruta]]*100)/100))</f>
        <v>0.4</v>
      </c>
      <c r="N433" s="5" t="str">
        <f>sala!F432</f>
        <v>Mesero_5</v>
      </c>
      <c r="AY433" cm="1">
        <f t="array" ref="AY433">SUM(IF(Cocina!A:A=Tabla5[[#This Row],[Nº Orden]],Cocina!F:F*Cocina!G:G,0))</f>
        <v>60</v>
      </c>
      <c r="AZ433" cm="1">
        <f t="array" ref="AZ433">SUM(IF(Cocina!A:A=Tabla5[[#This Row],[Nº Orden]],Cocina!E:E*Cocina!G:G,0))</f>
        <v>36</v>
      </c>
      <c r="BB433" t="str">
        <f>MID(Tabla4[[#This Row],[Cliente]], SEARCH("_", Tabla4[[#This Row],[Cliente]]) + 1, LEN(Tabla4[[#This Row],[Cliente]]) - SEARCH("_",Tabla4[[#This Row],[Cliente]]))</f>
        <v>243</v>
      </c>
      <c r="BC433" t="str">
        <f>sala!B432</f>
        <v>Cliente_243</v>
      </c>
      <c r="BD433" s="1">
        <f>sala!D432</f>
        <v>45021.147916666669</v>
      </c>
      <c r="BE433" s="1">
        <f>sala!E432</f>
        <v>45021.309027777781</v>
      </c>
      <c r="BF433">
        <f>sala!K432</f>
        <v>431</v>
      </c>
      <c r="BG433">
        <f>sala!I432</f>
        <v>3982</v>
      </c>
      <c r="BH433" cm="1">
        <f t="array" ref="BH433">SUM(IF(Cocina!A:A=Tabla4[[#This Row],[Número de Orden]],Cocina!F:F*Cocina!G:G,0))</f>
        <v>60</v>
      </c>
      <c r="BI433" t="str">
        <f>sala!J432</f>
        <v>Libre</v>
      </c>
      <c r="BJ433" s="4" t="str">
        <f>IF(Tabla4[[#This Row],[Estado mesa]]="Ocupada","00:15","00:00")</f>
        <v>00:00</v>
      </c>
      <c r="BK433" cm="1">
        <f t="array" ref="BK433">SUM(IF(Cocina!A:A=Tabla4[[#This Row],[Número de Orden]],Cocina!H:H,0))</f>
        <v>20</v>
      </c>
    </row>
    <row r="434" spans="1:63" x14ac:dyDescent="0.3">
      <c r="A434" s="8" t="str">
        <f>MID(Tabla4[[#This Row],[Cliente]], SEARCH("_", Tabla4[[#This Row],[Cliente]]) + 1, LEN(Tabla4[[#This Row],[Cliente]]) - SEARCH("_",Tabla4[[#This Row],[Cliente]]))</f>
        <v>869</v>
      </c>
      <c r="B434">
        <f>sala!K433</f>
        <v>432</v>
      </c>
      <c r="C434">
        <f>Tabla4[[#This Row],[Propina]]+Tabla4[[#This Row],[Precio Cena]]</f>
        <v>1980</v>
      </c>
      <c r="D434" s="3">
        <f>INT(sala!E433)</f>
        <v>45021</v>
      </c>
      <c r="E434" s="4">
        <f>MOD( sala!D433,1)</f>
        <v>0.14652777777519077</v>
      </c>
      <c r="F434" s="4">
        <f>MOD( sala!E433,1)</f>
        <v>0.24583333333430346</v>
      </c>
      <c r="G434" s="4">
        <f>Tabla5[[#This Row],[Hora de Salida]]-Tabla5[[#This Row],[Hora de Llegada]]+Tabla4[[#This Row],[Tiempo Extra]]</f>
        <v>9.930555555911269E-2</v>
      </c>
      <c r="H434" s="5" t="str">
        <f>TEXT(Tabla4[[#This Row],[Preparación en horas]]/1440, "h:mm")</f>
        <v>1:14</v>
      </c>
      <c r="I434" s="4">
        <f>IF(Tabla5[[#This Row],[Tiempo Permanencia]]-Tabla5[[#This Row],[Tiempo de Preparación ]]&gt;=0,Tabla5[[#This Row],[Tiempo Permanencia]]-Tabla5[[#This Row],[Tiempo de Preparación ]],0)</f>
        <v>4.7916666670223804E-2</v>
      </c>
      <c r="J434" s="5" t="str">
        <f>IF(Tabla5[[#This Row],[Tiempo de Degustación]]=0,"No Cobrada","Cobrada")</f>
        <v>Cobrada</v>
      </c>
      <c r="K434" s="5" cm="1">
        <f t="array" ref="K434">SUM(IF(Tabla5[[#This Row],[Orden Cobrada]]="Cobrada",IF(Cocina!A:A=Tabla5[[#This Row],[Nº Orden]],Cocina!F:F*Cocina!G:G,0),-Tabla6[[#This Row],[Precio Cena]]))</f>
        <v>109</v>
      </c>
      <c r="L434" s="5">
        <f>IF(Tabla5[[#This Row],[Orden Cobrada]]="Cobrada",Tabla5[[#This Row],[Ganancia Bruta]]-Tabla6[[#This Row],[Coste Cena]],-Tabla6[[#This Row],[Precio Cena]]+Tabla6[[#This Row],[Coste Cena]])</f>
        <v>44</v>
      </c>
      <c r="M434" s="10">
        <f>IF(Tabla5[[#This Row],[Orden Cobrada]]="Cobrada",((Tabla5[[#This Row],[Ganancia Neta]]/Tabla5[[#This Row],[Ganancia Bruta]])*100)/100,-((Tabla5[[#This Row],[Ganancia Neta]]/Tabla5[[#This Row],[Ganancia Bruta]]*100)/100))</f>
        <v>0.40366972477064222</v>
      </c>
      <c r="N434" s="5" t="str">
        <f>sala!F433</f>
        <v>Mesero_4</v>
      </c>
      <c r="AY434" cm="1">
        <f t="array" ref="AY434">SUM(IF(Cocina!A:A=Tabla5[[#This Row],[Nº Orden]],Cocina!F:F*Cocina!G:G,0))</f>
        <v>109</v>
      </c>
      <c r="AZ434" cm="1">
        <f t="array" ref="AZ434">SUM(IF(Cocina!A:A=Tabla5[[#This Row],[Nº Orden]],Cocina!E:E*Cocina!G:G,0))</f>
        <v>65</v>
      </c>
      <c r="BB434" t="str">
        <f>MID(Tabla4[[#This Row],[Cliente]], SEARCH("_", Tabla4[[#This Row],[Cliente]]) + 1, LEN(Tabla4[[#This Row],[Cliente]]) - SEARCH("_",Tabla4[[#This Row],[Cliente]]))</f>
        <v>869</v>
      </c>
      <c r="BC434" t="str">
        <f>sala!B433</f>
        <v>Cliente_869</v>
      </c>
      <c r="BD434" s="1">
        <f>sala!D433</f>
        <v>45021.146527777775</v>
      </c>
      <c r="BE434" s="1">
        <f>sala!E433</f>
        <v>45021.245833333334</v>
      </c>
      <c r="BF434">
        <f>sala!K433</f>
        <v>432</v>
      </c>
      <c r="BG434">
        <f>sala!I433</f>
        <v>1871</v>
      </c>
      <c r="BH434" cm="1">
        <f t="array" ref="BH434">SUM(IF(Cocina!A:A=Tabla4[[#This Row],[Número de Orden]],Cocina!F:F*Cocina!G:G,0))</f>
        <v>109</v>
      </c>
      <c r="BI434" t="str">
        <f>sala!J433</f>
        <v>Libre</v>
      </c>
      <c r="BJ434" s="4" t="str">
        <f>IF(Tabla4[[#This Row],[Estado mesa]]="Ocupada","00:15","00:00")</f>
        <v>00:00</v>
      </c>
      <c r="BK434" cm="1">
        <f t="array" ref="BK434">SUM(IF(Cocina!A:A=Tabla4[[#This Row],[Número de Orden]],Cocina!H:H,0))</f>
        <v>74</v>
      </c>
    </row>
    <row r="435" spans="1:63" x14ac:dyDescent="0.3">
      <c r="A435" s="8" t="str">
        <f>MID(Tabla4[[#This Row],[Cliente]], SEARCH("_", Tabla4[[#This Row],[Cliente]]) + 1, LEN(Tabla4[[#This Row],[Cliente]]) - SEARCH("_",Tabla4[[#This Row],[Cliente]]))</f>
        <v>306</v>
      </c>
      <c r="B435">
        <f>sala!K434</f>
        <v>433</v>
      </c>
      <c r="C435">
        <f>Tabla4[[#This Row],[Propina]]+Tabla4[[#This Row],[Precio Cena]]</f>
        <v>4679</v>
      </c>
      <c r="D435" s="3">
        <f>INT(sala!E434)</f>
        <v>45021</v>
      </c>
      <c r="E435" s="4">
        <f>MOD( sala!D434,1)</f>
        <v>5.1388888889050577E-2</v>
      </c>
      <c r="F435" s="4">
        <f>MOD( sala!E434,1)</f>
        <v>0.13124999999854481</v>
      </c>
      <c r="G435" s="4">
        <f>Tabla5[[#This Row],[Hora de Salida]]-Tabla5[[#This Row],[Hora de Llegada]]+Tabla4[[#This Row],[Tiempo Extra]]</f>
        <v>7.9861111109494232E-2</v>
      </c>
      <c r="H435" s="5" t="str">
        <f>TEXT(Tabla4[[#This Row],[Preparación en horas]]/1440, "h:mm")</f>
        <v>1:14</v>
      </c>
      <c r="I435" s="4">
        <f>IF(Tabla5[[#This Row],[Tiempo Permanencia]]-Tabla5[[#This Row],[Tiempo de Preparación ]]&gt;=0,Tabla5[[#This Row],[Tiempo Permanencia]]-Tabla5[[#This Row],[Tiempo de Preparación ]],0)</f>
        <v>2.8472222220605345E-2</v>
      </c>
      <c r="J435" s="5" t="str">
        <f>IF(Tabla5[[#This Row],[Tiempo de Degustación]]=0,"No Cobrada","Cobrada")</f>
        <v>Cobrada</v>
      </c>
      <c r="K435" s="5" cm="1">
        <f t="array" ref="K435">SUM(IF(Tabla5[[#This Row],[Orden Cobrada]]="Cobrada",IF(Cocina!A:A=Tabla5[[#This Row],[Nº Orden]],Cocina!F:F*Cocina!G:G,0),-Tabla6[[#This Row],[Precio Cena]]))</f>
        <v>102</v>
      </c>
      <c r="L435" s="5">
        <f>IF(Tabla5[[#This Row],[Orden Cobrada]]="Cobrada",Tabla5[[#This Row],[Ganancia Bruta]]-Tabla6[[#This Row],[Coste Cena]],-Tabla6[[#This Row],[Precio Cena]]+Tabla6[[#This Row],[Coste Cena]])</f>
        <v>42</v>
      </c>
      <c r="M435" s="10">
        <f>IF(Tabla5[[#This Row],[Orden Cobrada]]="Cobrada",((Tabla5[[#This Row],[Ganancia Neta]]/Tabla5[[#This Row],[Ganancia Bruta]])*100)/100,-((Tabla5[[#This Row],[Ganancia Neta]]/Tabla5[[#This Row],[Ganancia Bruta]]*100)/100))</f>
        <v>0.41176470588235292</v>
      </c>
      <c r="N435" s="5" t="str">
        <f>sala!F434</f>
        <v>Mesero_4</v>
      </c>
      <c r="AY435" cm="1">
        <f t="array" ref="AY435">SUM(IF(Cocina!A:A=Tabla5[[#This Row],[Nº Orden]],Cocina!F:F*Cocina!G:G,0))</f>
        <v>102</v>
      </c>
      <c r="AZ435" cm="1">
        <f t="array" ref="AZ435">SUM(IF(Cocina!A:A=Tabla5[[#This Row],[Nº Orden]],Cocina!E:E*Cocina!G:G,0))</f>
        <v>60</v>
      </c>
      <c r="BB435" t="str">
        <f>MID(Tabla4[[#This Row],[Cliente]], SEARCH("_", Tabla4[[#This Row],[Cliente]]) + 1, LEN(Tabla4[[#This Row],[Cliente]]) - SEARCH("_",Tabla4[[#This Row],[Cliente]]))</f>
        <v>306</v>
      </c>
      <c r="BC435" t="str">
        <f>sala!B434</f>
        <v>Cliente_306</v>
      </c>
      <c r="BD435" s="1">
        <f>sala!D434</f>
        <v>45021.051388888889</v>
      </c>
      <c r="BE435" s="1">
        <f>sala!E434</f>
        <v>45021.131249999999</v>
      </c>
      <c r="BF435">
        <f>sala!K434</f>
        <v>433</v>
      </c>
      <c r="BG435">
        <f>sala!I434</f>
        <v>4577</v>
      </c>
      <c r="BH435" cm="1">
        <f t="array" ref="BH435">SUM(IF(Cocina!A:A=Tabla4[[#This Row],[Número de Orden]],Cocina!F:F*Cocina!G:G,0))</f>
        <v>102</v>
      </c>
      <c r="BI435" t="str">
        <f>sala!J434</f>
        <v>Reservada</v>
      </c>
      <c r="BJ435" s="4" t="str">
        <f>IF(Tabla4[[#This Row],[Estado mesa]]="Ocupada","00:15","00:00")</f>
        <v>00:00</v>
      </c>
      <c r="BK435" cm="1">
        <f t="array" ref="BK435">SUM(IF(Cocina!A:A=Tabla4[[#This Row],[Número de Orden]],Cocina!H:H,0))</f>
        <v>74</v>
      </c>
    </row>
    <row r="436" spans="1:63" x14ac:dyDescent="0.3">
      <c r="A436" s="8" t="str">
        <f>MID(Tabla4[[#This Row],[Cliente]], SEARCH("_", Tabla4[[#This Row],[Cliente]]) + 1, LEN(Tabla4[[#This Row],[Cliente]]) - SEARCH("_",Tabla4[[#This Row],[Cliente]]))</f>
        <v>842</v>
      </c>
      <c r="B436">
        <f>sala!K435</f>
        <v>434</v>
      </c>
      <c r="C436">
        <f>Tabla4[[#This Row],[Propina]]+Tabla4[[#This Row],[Precio Cena]]</f>
        <v>3811</v>
      </c>
      <c r="D436" s="3">
        <f>INT(sala!E435)</f>
        <v>45021</v>
      </c>
      <c r="E436" s="4">
        <f>MOD( sala!D435,1)</f>
        <v>1.0416666664241347E-2</v>
      </c>
      <c r="F436" s="4">
        <f>MOD( sala!E435,1)</f>
        <v>0.16319444444525288</v>
      </c>
      <c r="G436" s="4">
        <f>Tabla5[[#This Row],[Hora de Salida]]-Tabla5[[#This Row],[Hora de Llegada]]+Tabla4[[#This Row],[Tiempo Extra]]</f>
        <v>0.15277777778101154</v>
      </c>
      <c r="H436" s="5" t="str">
        <f>TEXT(Tabla4[[#This Row],[Preparación en horas]]/1440, "h:mm")</f>
        <v>0:58</v>
      </c>
      <c r="I436" s="4">
        <f>IF(Tabla5[[#This Row],[Tiempo Permanencia]]-Tabla5[[#This Row],[Tiempo de Preparación ]]&gt;=0,Tabla5[[#This Row],[Tiempo Permanencia]]-Tabla5[[#This Row],[Tiempo de Preparación ]],0)</f>
        <v>0.11250000000323376</v>
      </c>
      <c r="J436" s="5" t="str">
        <f>IF(Tabla5[[#This Row],[Tiempo de Degustación]]=0,"No Cobrada","Cobrada")</f>
        <v>Cobrada</v>
      </c>
      <c r="K436" s="5" cm="1">
        <f t="array" ref="K436">SUM(IF(Tabla5[[#This Row],[Orden Cobrada]]="Cobrada",IF(Cocina!A:A=Tabla5[[#This Row],[Nº Orden]],Cocina!F:F*Cocina!G:G,0),-Tabla6[[#This Row],[Precio Cena]]))</f>
        <v>96</v>
      </c>
      <c r="L436" s="5">
        <f>IF(Tabla5[[#This Row],[Orden Cobrada]]="Cobrada",Tabla5[[#This Row],[Ganancia Bruta]]-Tabla6[[#This Row],[Coste Cena]],-Tabla6[[#This Row],[Precio Cena]]+Tabla6[[#This Row],[Coste Cena]])</f>
        <v>40</v>
      </c>
      <c r="M436" s="10">
        <f>IF(Tabla5[[#This Row],[Orden Cobrada]]="Cobrada",((Tabla5[[#This Row],[Ganancia Neta]]/Tabla5[[#This Row],[Ganancia Bruta]])*100)/100,-((Tabla5[[#This Row],[Ganancia Neta]]/Tabla5[[#This Row],[Ganancia Bruta]]*100)/100))</f>
        <v>0.41666666666666674</v>
      </c>
      <c r="N436" s="5" t="str">
        <f>sala!F435</f>
        <v>Mesero_4</v>
      </c>
      <c r="AY436" cm="1">
        <f t="array" ref="AY436">SUM(IF(Cocina!A:A=Tabla5[[#This Row],[Nº Orden]],Cocina!F:F*Cocina!G:G,0))</f>
        <v>96</v>
      </c>
      <c r="AZ436" cm="1">
        <f t="array" ref="AZ436">SUM(IF(Cocina!A:A=Tabla5[[#This Row],[Nº Orden]],Cocina!E:E*Cocina!G:G,0))</f>
        <v>56</v>
      </c>
      <c r="BB436" t="str">
        <f>MID(Tabla4[[#This Row],[Cliente]], SEARCH("_", Tabla4[[#This Row],[Cliente]]) + 1, LEN(Tabla4[[#This Row],[Cliente]]) - SEARCH("_",Tabla4[[#This Row],[Cliente]]))</f>
        <v>842</v>
      </c>
      <c r="BC436" t="str">
        <f>sala!B435</f>
        <v>Cliente_842</v>
      </c>
      <c r="BD436" s="1">
        <f>sala!D435</f>
        <v>45021.010416666664</v>
      </c>
      <c r="BE436" s="1">
        <f>sala!E435</f>
        <v>45021.163194444445</v>
      </c>
      <c r="BF436">
        <f>sala!K435</f>
        <v>434</v>
      </c>
      <c r="BG436">
        <f>sala!I435</f>
        <v>3715</v>
      </c>
      <c r="BH436" cm="1">
        <f t="array" ref="BH436">SUM(IF(Cocina!A:A=Tabla4[[#This Row],[Número de Orden]],Cocina!F:F*Cocina!G:G,0))</f>
        <v>96</v>
      </c>
      <c r="BI436" t="str">
        <f>sala!J435</f>
        <v>Reservada</v>
      </c>
      <c r="BJ436" s="4" t="str">
        <f>IF(Tabla4[[#This Row],[Estado mesa]]="Ocupada","00:15","00:00")</f>
        <v>00:00</v>
      </c>
      <c r="BK436" cm="1">
        <f t="array" ref="BK436">SUM(IF(Cocina!A:A=Tabla4[[#This Row],[Número de Orden]],Cocina!H:H,0))</f>
        <v>58</v>
      </c>
    </row>
    <row r="437" spans="1:63" x14ac:dyDescent="0.3">
      <c r="A437" s="8" t="str">
        <f>MID(Tabla4[[#This Row],[Cliente]], SEARCH("_", Tabla4[[#This Row],[Cliente]]) + 1, LEN(Tabla4[[#This Row],[Cliente]]) - SEARCH("_",Tabla4[[#This Row],[Cliente]]))</f>
        <v>349</v>
      </c>
      <c r="B437">
        <f>sala!K436</f>
        <v>435</v>
      </c>
      <c r="C437">
        <f>Tabla4[[#This Row],[Propina]]+Tabla4[[#This Row],[Precio Cena]]</f>
        <v>3202</v>
      </c>
      <c r="D437" s="3">
        <f>INT(sala!E436)</f>
        <v>45021</v>
      </c>
      <c r="E437" s="4">
        <f>MOD( sala!D436,1)</f>
        <v>0.16180555555911269</v>
      </c>
      <c r="F437" s="4">
        <f>MOD( sala!E436,1)</f>
        <v>0.25069444444670808</v>
      </c>
      <c r="G437" s="4">
        <f>Tabla5[[#This Row],[Hora de Salida]]-Tabla5[[#This Row],[Hora de Llegada]]+Tabla4[[#This Row],[Tiempo Extra]]</f>
        <v>9.9305555554262057E-2</v>
      </c>
      <c r="H437" s="5" t="str">
        <f>TEXT(Tabla4[[#This Row],[Preparación en horas]]/1440, "h:mm")</f>
        <v>1:51</v>
      </c>
      <c r="I437" s="4">
        <f>IF(Tabla5[[#This Row],[Tiempo Permanencia]]-Tabla5[[#This Row],[Tiempo de Preparación ]]&gt;=0,Tabla5[[#This Row],[Tiempo Permanencia]]-Tabla5[[#This Row],[Tiempo de Preparación ]],0)</f>
        <v>2.222222222092872E-2</v>
      </c>
      <c r="J437" s="5" t="str">
        <f>IF(Tabla5[[#This Row],[Tiempo de Degustación]]=0,"No Cobrada","Cobrada")</f>
        <v>Cobrada</v>
      </c>
      <c r="K437" s="5" cm="1">
        <f t="array" ref="K437">SUM(IF(Tabla5[[#This Row],[Orden Cobrada]]="Cobrada",IF(Cocina!A:A=Tabla5[[#This Row],[Nº Orden]],Cocina!F:F*Cocina!G:G,0),-Tabla6[[#This Row],[Precio Cena]]))</f>
        <v>154</v>
      </c>
      <c r="L437" s="5">
        <f>IF(Tabla5[[#This Row],[Orden Cobrada]]="Cobrada",Tabla5[[#This Row],[Ganancia Bruta]]-Tabla6[[#This Row],[Coste Cena]],-Tabla6[[#This Row],[Precio Cena]]+Tabla6[[#This Row],[Coste Cena]])</f>
        <v>62</v>
      </c>
      <c r="M437" s="10">
        <f>IF(Tabla5[[#This Row],[Orden Cobrada]]="Cobrada",((Tabla5[[#This Row],[Ganancia Neta]]/Tabla5[[#This Row],[Ganancia Bruta]])*100)/100,-((Tabla5[[#This Row],[Ganancia Neta]]/Tabla5[[#This Row],[Ganancia Bruta]]*100)/100))</f>
        <v>0.40259740259740262</v>
      </c>
      <c r="N437" s="5" t="str">
        <f>sala!F436</f>
        <v>Mesero_5</v>
      </c>
      <c r="AY437" cm="1">
        <f t="array" ref="AY437">SUM(IF(Cocina!A:A=Tabla5[[#This Row],[Nº Orden]],Cocina!F:F*Cocina!G:G,0))</f>
        <v>154</v>
      </c>
      <c r="AZ437" cm="1">
        <f t="array" ref="AZ437">SUM(IF(Cocina!A:A=Tabla5[[#This Row],[Nº Orden]],Cocina!E:E*Cocina!G:G,0))</f>
        <v>92</v>
      </c>
      <c r="BB437" t="str">
        <f>MID(Tabla4[[#This Row],[Cliente]], SEARCH("_", Tabla4[[#This Row],[Cliente]]) + 1, LEN(Tabla4[[#This Row],[Cliente]]) - SEARCH("_",Tabla4[[#This Row],[Cliente]]))</f>
        <v>349</v>
      </c>
      <c r="BC437" t="str">
        <f>sala!B436</f>
        <v>Cliente_349</v>
      </c>
      <c r="BD437" s="1">
        <f>sala!D436</f>
        <v>45021.161805555559</v>
      </c>
      <c r="BE437" s="1">
        <f>sala!E436</f>
        <v>45021.250694444447</v>
      </c>
      <c r="BF437">
        <f>sala!K436</f>
        <v>435</v>
      </c>
      <c r="BG437">
        <f>sala!I436</f>
        <v>3048</v>
      </c>
      <c r="BH437" cm="1">
        <f t="array" ref="BH437">SUM(IF(Cocina!A:A=Tabla4[[#This Row],[Número de Orden]],Cocina!F:F*Cocina!G:G,0))</f>
        <v>154</v>
      </c>
      <c r="BI437" t="str">
        <f>sala!J436</f>
        <v>Ocupada</v>
      </c>
      <c r="BJ437" s="4" t="str">
        <f>IF(Tabla4[[#This Row],[Estado mesa]]="Ocupada","00:15","00:00")</f>
        <v>00:15</v>
      </c>
      <c r="BK437" cm="1">
        <f t="array" ref="BK437">SUM(IF(Cocina!A:A=Tabla4[[#This Row],[Número de Orden]],Cocina!H:H,0))</f>
        <v>111</v>
      </c>
    </row>
    <row r="438" spans="1:63" x14ac:dyDescent="0.3">
      <c r="A438" s="8" t="str">
        <f>MID(Tabla4[[#This Row],[Cliente]], SEARCH("_", Tabla4[[#This Row],[Cliente]]) + 1, LEN(Tabla4[[#This Row],[Cliente]]) - SEARCH("_",Tabla4[[#This Row],[Cliente]]))</f>
        <v>316</v>
      </c>
      <c r="B438">
        <f>sala!K437</f>
        <v>436</v>
      </c>
      <c r="C438">
        <f>Tabla4[[#This Row],[Propina]]+Tabla4[[#This Row],[Precio Cena]]</f>
        <v>1070</v>
      </c>
      <c r="D438" s="3">
        <f>INT(sala!E437)</f>
        <v>45021</v>
      </c>
      <c r="E438" s="4">
        <f>MOD( sala!D437,1)</f>
        <v>8.333333331393078E-3</v>
      </c>
      <c r="F438" s="4">
        <f>MOD( sala!E437,1)</f>
        <v>0.16944444444379769</v>
      </c>
      <c r="G438" s="4">
        <f>Tabla5[[#This Row],[Hora de Salida]]-Tabla5[[#This Row],[Hora de Llegada]]+Tabla4[[#This Row],[Tiempo Extra]]</f>
        <v>0.17152777777907127</v>
      </c>
      <c r="H438" s="5" t="str">
        <f>TEXT(Tabla4[[#This Row],[Preparación en horas]]/1440, "h:mm")</f>
        <v>0:45</v>
      </c>
      <c r="I438" s="4">
        <f>IF(Tabla5[[#This Row],[Tiempo Permanencia]]-Tabla5[[#This Row],[Tiempo de Preparación ]]&gt;=0,Tabla5[[#This Row],[Tiempo Permanencia]]-Tabla5[[#This Row],[Tiempo de Preparación ]],0)</f>
        <v>0.14027777777907127</v>
      </c>
      <c r="J438" s="5" t="str">
        <f>IF(Tabla5[[#This Row],[Tiempo de Degustación]]=0,"No Cobrada","Cobrada")</f>
        <v>Cobrada</v>
      </c>
      <c r="K438" s="5" cm="1">
        <f t="array" ref="K438">SUM(IF(Tabla5[[#This Row],[Orden Cobrada]]="Cobrada",IF(Cocina!A:A=Tabla5[[#This Row],[Nº Orden]],Cocina!F:F*Cocina!G:G,0),-Tabla6[[#This Row],[Precio Cena]]))</f>
        <v>56</v>
      </c>
      <c r="L438" s="5">
        <f>IF(Tabla5[[#This Row],[Orden Cobrada]]="Cobrada",Tabla5[[#This Row],[Ganancia Bruta]]-Tabla6[[#This Row],[Coste Cena]],-Tabla6[[#This Row],[Precio Cena]]+Tabla6[[#This Row],[Coste Cena]])</f>
        <v>24</v>
      </c>
      <c r="M438" s="10">
        <f>IF(Tabla5[[#This Row],[Orden Cobrada]]="Cobrada",((Tabla5[[#This Row],[Ganancia Neta]]/Tabla5[[#This Row],[Ganancia Bruta]])*100)/100,-((Tabla5[[#This Row],[Ganancia Neta]]/Tabla5[[#This Row],[Ganancia Bruta]]*100)/100))</f>
        <v>0.42857142857142855</v>
      </c>
      <c r="N438" s="5" t="str">
        <f>sala!F437</f>
        <v>Mesero_5</v>
      </c>
      <c r="AY438" cm="1">
        <f t="array" ref="AY438">SUM(IF(Cocina!A:A=Tabla5[[#This Row],[Nº Orden]],Cocina!F:F*Cocina!G:G,0))</f>
        <v>56</v>
      </c>
      <c r="AZ438" cm="1">
        <f t="array" ref="AZ438">SUM(IF(Cocina!A:A=Tabla5[[#This Row],[Nº Orden]],Cocina!E:E*Cocina!G:G,0))</f>
        <v>32</v>
      </c>
      <c r="BB438" t="str">
        <f>MID(Tabla4[[#This Row],[Cliente]], SEARCH("_", Tabla4[[#This Row],[Cliente]]) + 1, LEN(Tabla4[[#This Row],[Cliente]]) - SEARCH("_",Tabla4[[#This Row],[Cliente]]))</f>
        <v>316</v>
      </c>
      <c r="BC438" t="str">
        <f>sala!B437</f>
        <v>Cliente_316</v>
      </c>
      <c r="BD438" s="1">
        <f>sala!D437</f>
        <v>45021.008333333331</v>
      </c>
      <c r="BE438" s="1">
        <f>sala!E437</f>
        <v>45021.169444444444</v>
      </c>
      <c r="BF438">
        <f>sala!K437</f>
        <v>436</v>
      </c>
      <c r="BG438">
        <f>sala!I437</f>
        <v>1014</v>
      </c>
      <c r="BH438" cm="1">
        <f t="array" ref="BH438">SUM(IF(Cocina!A:A=Tabla4[[#This Row],[Número de Orden]],Cocina!F:F*Cocina!G:G,0))</f>
        <v>56</v>
      </c>
      <c r="BI438" t="str">
        <f>sala!J437</f>
        <v>Ocupada</v>
      </c>
      <c r="BJ438" s="4" t="str">
        <f>IF(Tabla4[[#This Row],[Estado mesa]]="Ocupada","00:15","00:00")</f>
        <v>00:15</v>
      </c>
      <c r="BK438" cm="1">
        <f t="array" ref="BK438">SUM(IF(Cocina!A:A=Tabla4[[#This Row],[Número de Orden]],Cocina!H:H,0))</f>
        <v>45</v>
      </c>
    </row>
    <row r="439" spans="1:63" x14ac:dyDescent="0.3">
      <c r="A439" s="8" t="str">
        <f>MID(Tabla4[[#This Row],[Cliente]], SEARCH("_", Tabla4[[#This Row],[Cliente]]) + 1, LEN(Tabla4[[#This Row],[Cliente]]) - SEARCH("_",Tabla4[[#This Row],[Cliente]]))</f>
        <v>600</v>
      </c>
      <c r="B439">
        <f>sala!K438</f>
        <v>437</v>
      </c>
      <c r="C439">
        <f>Tabla4[[#This Row],[Propina]]+Tabla4[[#This Row],[Precio Cena]]</f>
        <v>1326</v>
      </c>
      <c r="D439" s="3">
        <f>INT(sala!E438)</f>
        <v>45021</v>
      </c>
      <c r="E439" s="4">
        <f>MOD( sala!D438,1)</f>
        <v>0.12638888888614019</v>
      </c>
      <c r="F439" s="4">
        <f>MOD( sala!E438,1)</f>
        <v>0.22569444444525288</v>
      </c>
      <c r="G439" s="4">
        <f>Tabla5[[#This Row],[Hora de Salida]]-Tabla5[[#This Row],[Hora de Llegada]]+Tabla4[[#This Row],[Tiempo Extra]]</f>
        <v>9.930555555911269E-2</v>
      </c>
      <c r="H439" s="5" t="str">
        <f>TEXT(Tabla4[[#This Row],[Preparación en horas]]/1440, "h:mm")</f>
        <v>0:51</v>
      </c>
      <c r="I439" s="4">
        <f>IF(Tabla5[[#This Row],[Tiempo Permanencia]]-Tabla5[[#This Row],[Tiempo de Preparación ]]&gt;=0,Tabla5[[#This Row],[Tiempo Permanencia]]-Tabla5[[#This Row],[Tiempo de Preparación ]],0)</f>
        <v>6.3888888892446025E-2</v>
      </c>
      <c r="J439" s="5" t="str">
        <f>IF(Tabla5[[#This Row],[Tiempo de Degustación]]=0,"No Cobrada","Cobrada")</f>
        <v>Cobrada</v>
      </c>
      <c r="K439" s="5" cm="1">
        <f t="array" ref="K439">SUM(IF(Tabla5[[#This Row],[Orden Cobrada]]="Cobrada",IF(Cocina!A:A=Tabla5[[#This Row],[Nº Orden]],Cocina!F:F*Cocina!G:G,0),-Tabla6[[#This Row],[Precio Cena]]))</f>
        <v>70</v>
      </c>
      <c r="L439" s="5">
        <f>IF(Tabla5[[#This Row],[Orden Cobrada]]="Cobrada",Tabla5[[#This Row],[Ganancia Bruta]]-Tabla6[[#This Row],[Coste Cena]],-Tabla6[[#This Row],[Precio Cena]]+Tabla6[[#This Row],[Coste Cena]])</f>
        <v>28</v>
      </c>
      <c r="M439" s="10">
        <f>IF(Tabla5[[#This Row],[Orden Cobrada]]="Cobrada",((Tabla5[[#This Row],[Ganancia Neta]]/Tabla5[[#This Row],[Ganancia Bruta]])*100)/100,-((Tabla5[[#This Row],[Ganancia Neta]]/Tabla5[[#This Row],[Ganancia Bruta]]*100)/100))</f>
        <v>0.4</v>
      </c>
      <c r="N439" s="5" t="str">
        <f>sala!F438</f>
        <v>Mesero_3</v>
      </c>
      <c r="AY439" cm="1">
        <f t="array" ref="AY439">SUM(IF(Cocina!A:A=Tabla5[[#This Row],[Nº Orden]],Cocina!F:F*Cocina!G:G,0))</f>
        <v>70</v>
      </c>
      <c r="AZ439" cm="1">
        <f t="array" ref="AZ439">SUM(IF(Cocina!A:A=Tabla5[[#This Row],[Nº Orden]],Cocina!E:E*Cocina!G:G,0))</f>
        <v>42</v>
      </c>
      <c r="BB439" t="str">
        <f>MID(Tabla4[[#This Row],[Cliente]], SEARCH("_", Tabla4[[#This Row],[Cliente]]) + 1, LEN(Tabla4[[#This Row],[Cliente]]) - SEARCH("_",Tabla4[[#This Row],[Cliente]]))</f>
        <v>600</v>
      </c>
      <c r="BC439" t="str">
        <f>sala!B438</f>
        <v>Cliente_600</v>
      </c>
      <c r="BD439" s="1">
        <f>sala!D438</f>
        <v>45021.126388888886</v>
      </c>
      <c r="BE439" s="1">
        <f>sala!E438</f>
        <v>45021.225694444445</v>
      </c>
      <c r="BF439">
        <f>sala!K438</f>
        <v>437</v>
      </c>
      <c r="BG439">
        <f>sala!I438</f>
        <v>1256</v>
      </c>
      <c r="BH439" cm="1">
        <f t="array" ref="BH439">SUM(IF(Cocina!A:A=Tabla4[[#This Row],[Número de Orden]],Cocina!F:F*Cocina!G:G,0))</f>
        <v>70</v>
      </c>
      <c r="BI439" t="str">
        <f>sala!J438</f>
        <v>Reservada</v>
      </c>
      <c r="BJ439" s="4" t="str">
        <f>IF(Tabla4[[#This Row],[Estado mesa]]="Ocupada","00:15","00:00")</f>
        <v>00:00</v>
      </c>
      <c r="BK439" cm="1">
        <f t="array" ref="BK439">SUM(IF(Cocina!A:A=Tabla4[[#This Row],[Número de Orden]],Cocina!H:H,0))</f>
        <v>51</v>
      </c>
    </row>
    <row r="440" spans="1:63" x14ac:dyDescent="0.3">
      <c r="A440" s="8" t="str">
        <f>MID(Tabla4[[#This Row],[Cliente]], SEARCH("_", Tabla4[[#This Row],[Cliente]]) + 1, LEN(Tabla4[[#This Row],[Cliente]]) - SEARCH("_",Tabla4[[#This Row],[Cliente]]))</f>
        <v>732</v>
      </c>
      <c r="B440">
        <f>sala!K439</f>
        <v>438</v>
      </c>
      <c r="C440">
        <f>Tabla4[[#This Row],[Propina]]+Tabla4[[#This Row],[Precio Cena]]</f>
        <v>226</v>
      </c>
      <c r="D440" s="3">
        <f>INT(sala!E439)</f>
        <v>45021</v>
      </c>
      <c r="E440" s="4">
        <f>MOD( sala!D439,1)</f>
        <v>0.16527777777810115</v>
      </c>
      <c r="F440" s="4">
        <f>MOD( sala!E439,1)</f>
        <v>0.31458333333284827</v>
      </c>
      <c r="G440" s="4">
        <f>Tabla5[[#This Row],[Hora de Salida]]-Tabla5[[#This Row],[Hora de Llegada]]+Tabla4[[#This Row],[Tiempo Extra]]</f>
        <v>0.14930555555474712</v>
      </c>
      <c r="H440" s="5" t="str">
        <f>TEXT(Tabla4[[#This Row],[Preparación en horas]]/1440, "h:mm")</f>
        <v>0:51</v>
      </c>
      <c r="I440" s="4">
        <f>IF(Tabla5[[#This Row],[Tiempo Permanencia]]-Tabla5[[#This Row],[Tiempo de Preparación ]]&gt;=0,Tabla5[[#This Row],[Tiempo Permanencia]]-Tabla5[[#This Row],[Tiempo de Preparación ]],0)</f>
        <v>0.11388888888808045</v>
      </c>
      <c r="J440" s="5" t="str">
        <f>IF(Tabla5[[#This Row],[Tiempo de Degustación]]=0,"No Cobrada","Cobrada")</f>
        <v>Cobrada</v>
      </c>
      <c r="K440" s="5" cm="1">
        <f t="array" ref="K440">SUM(IF(Tabla5[[#This Row],[Orden Cobrada]]="Cobrada",IF(Cocina!A:A=Tabla5[[#This Row],[Nº Orden]],Cocina!F:F*Cocina!G:G,0),-Tabla6[[#This Row],[Precio Cena]]))</f>
        <v>33</v>
      </c>
      <c r="L440" s="5">
        <f>IF(Tabla5[[#This Row],[Orden Cobrada]]="Cobrada",Tabla5[[#This Row],[Ganancia Bruta]]-Tabla6[[#This Row],[Coste Cena]],-Tabla6[[#This Row],[Precio Cena]]+Tabla6[[#This Row],[Coste Cena]])</f>
        <v>13</v>
      </c>
      <c r="M440" s="10">
        <f>IF(Tabla5[[#This Row],[Orden Cobrada]]="Cobrada",((Tabla5[[#This Row],[Ganancia Neta]]/Tabla5[[#This Row],[Ganancia Bruta]])*100)/100,-((Tabla5[[#This Row],[Ganancia Neta]]/Tabla5[[#This Row],[Ganancia Bruta]]*100)/100))</f>
        <v>0.39393939393939392</v>
      </c>
      <c r="N440" s="5" t="str">
        <f>sala!F439</f>
        <v>Mesero_1</v>
      </c>
      <c r="AY440" cm="1">
        <f t="array" ref="AY440">SUM(IF(Cocina!A:A=Tabla5[[#This Row],[Nº Orden]],Cocina!F:F*Cocina!G:G,0))</f>
        <v>33</v>
      </c>
      <c r="AZ440" cm="1">
        <f t="array" ref="AZ440">SUM(IF(Cocina!A:A=Tabla5[[#This Row],[Nº Orden]],Cocina!E:E*Cocina!G:G,0))</f>
        <v>20</v>
      </c>
      <c r="BB440" t="str">
        <f>MID(Tabla4[[#This Row],[Cliente]], SEARCH("_", Tabla4[[#This Row],[Cliente]]) + 1, LEN(Tabla4[[#This Row],[Cliente]]) - SEARCH("_",Tabla4[[#This Row],[Cliente]]))</f>
        <v>732</v>
      </c>
      <c r="BC440" t="str">
        <f>sala!B439</f>
        <v>Cliente_732</v>
      </c>
      <c r="BD440" s="1">
        <f>sala!D439</f>
        <v>45021.165277777778</v>
      </c>
      <c r="BE440" s="1">
        <f>sala!E439</f>
        <v>45021.314583333333</v>
      </c>
      <c r="BF440">
        <f>sala!K439</f>
        <v>438</v>
      </c>
      <c r="BG440">
        <f>sala!I439</f>
        <v>193</v>
      </c>
      <c r="BH440" cm="1">
        <f t="array" ref="BH440">SUM(IF(Cocina!A:A=Tabla4[[#This Row],[Número de Orden]],Cocina!F:F*Cocina!G:G,0))</f>
        <v>33</v>
      </c>
      <c r="BI440" t="str">
        <f>sala!J439</f>
        <v>Libre</v>
      </c>
      <c r="BJ440" s="4" t="str">
        <f>IF(Tabla4[[#This Row],[Estado mesa]]="Ocupada","00:15","00:00")</f>
        <v>00:00</v>
      </c>
      <c r="BK440" cm="1">
        <f t="array" ref="BK440">SUM(IF(Cocina!A:A=Tabla4[[#This Row],[Número de Orden]],Cocina!H:H,0))</f>
        <v>51</v>
      </c>
    </row>
    <row r="441" spans="1:63" x14ac:dyDescent="0.3">
      <c r="A441" s="8" t="str">
        <f>MID(Tabla4[[#This Row],[Cliente]], SEARCH("_", Tabla4[[#This Row],[Cliente]]) + 1, LEN(Tabla4[[#This Row],[Cliente]]) - SEARCH("_",Tabla4[[#This Row],[Cliente]]))</f>
        <v>807</v>
      </c>
      <c r="B441">
        <f>sala!K440</f>
        <v>439</v>
      </c>
      <c r="C441">
        <f>Tabla4[[#This Row],[Propina]]+Tabla4[[#This Row],[Precio Cena]]</f>
        <v>2733</v>
      </c>
      <c r="D441" s="3">
        <f>INT(sala!E440)</f>
        <v>45021</v>
      </c>
      <c r="E441" s="4">
        <f>MOD( sala!D440,1)</f>
        <v>0</v>
      </c>
      <c r="F441" s="4">
        <f>MOD( sala!E440,1)</f>
        <v>5.7638888887595385E-2</v>
      </c>
      <c r="G441" s="4">
        <f>Tabla5[[#This Row],[Hora de Salida]]-Tabla5[[#This Row],[Hora de Llegada]]+Tabla4[[#This Row],[Tiempo Extra]]</f>
        <v>5.7638888887595385E-2</v>
      </c>
      <c r="H441" s="5" t="str">
        <f>TEXT(Tabla4[[#This Row],[Preparación en horas]]/1440, "h:mm")</f>
        <v>1:04</v>
      </c>
      <c r="I441" s="4">
        <f>IF(Tabla5[[#This Row],[Tiempo Permanencia]]-Tabla5[[#This Row],[Tiempo de Preparación ]]&gt;=0,Tabla5[[#This Row],[Tiempo Permanencia]]-Tabla5[[#This Row],[Tiempo de Preparación ]],0)</f>
        <v>1.3194444443150939E-2</v>
      </c>
      <c r="J441" s="5" t="str">
        <f>IF(Tabla5[[#This Row],[Tiempo de Degustación]]=0,"No Cobrada","Cobrada")</f>
        <v>Cobrada</v>
      </c>
      <c r="K441" s="5" cm="1">
        <f t="array" ref="K441">SUM(IF(Tabla5[[#This Row],[Orden Cobrada]]="Cobrada",IF(Cocina!A:A=Tabla5[[#This Row],[Nº Orden]],Cocina!F:F*Cocina!G:G,0),-Tabla6[[#This Row],[Precio Cena]]))</f>
        <v>177</v>
      </c>
      <c r="L441" s="5">
        <f>IF(Tabla5[[#This Row],[Orden Cobrada]]="Cobrada",Tabla5[[#This Row],[Ganancia Bruta]]-Tabla6[[#This Row],[Coste Cena]],-Tabla6[[#This Row],[Precio Cena]]+Tabla6[[#This Row],[Coste Cena]])</f>
        <v>72</v>
      </c>
      <c r="M441" s="10">
        <f>IF(Tabla5[[#This Row],[Orden Cobrada]]="Cobrada",((Tabla5[[#This Row],[Ganancia Neta]]/Tabla5[[#This Row],[Ganancia Bruta]])*100)/100,-((Tabla5[[#This Row],[Ganancia Neta]]/Tabla5[[#This Row],[Ganancia Bruta]]*100)/100))</f>
        <v>0.40677966101694918</v>
      </c>
      <c r="N441" s="5" t="str">
        <f>sala!F440</f>
        <v>Mesero_3</v>
      </c>
      <c r="AY441" cm="1">
        <f t="array" ref="AY441">SUM(IF(Cocina!A:A=Tabla5[[#This Row],[Nº Orden]],Cocina!F:F*Cocina!G:G,0))</f>
        <v>177</v>
      </c>
      <c r="AZ441" cm="1">
        <f t="array" ref="AZ441">SUM(IF(Cocina!A:A=Tabla5[[#This Row],[Nº Orden]],Cocina!E:E*Cocina!G:G,0))</f>
        <v>105</v>
      </c>
      <c r="BB441" t="str">
        <f>MID(Tabla4[[#This Row],[Cliente]], SEARCH("_", Tabla4[[#This Row],[Cliente]]) + 1, LEN(Tabla4[[#This Row],[Cliente]]) - SEARCH("_",Tabla4[[#This Row],[Cliente]]))</f>
        <v>807</v>
      </c>
      <c r="BC441" t="str">
        <f>sala!B440</f>
        <v>Cliente_807</v>
      </c>
      <c r="BD441" s="1">
        <f>sala!D440</f>
        <v>45021</v>
      </c>
      <c r="BE441" s="1">
        <f>sala!E440</f>
        <v>45021.057638888888</v>
      </c>
      <c r="BF441">
        <f>sala!K440</f>
        <v>439</v>
      </c>
      <c r="BG441">
        <f>sala!I440</f>
        <v>2556</v>
      </c>
      <c r="BH441" cm="1">
        <f t="array" ref="BH441">SUM(IF(Cocina!A:A=Tabla4[[#This Row],[Número de Orden]],Cocina!F:F*Cocina!G:G,0))</f>
        <v>177</v>
      </c>
      <c r="BI441" t="str">
        <f>sala!J440</f>
        <v>Libre</v>
      </c>
      <c r="BJ441" s="4" t="str">
        <f>IF(Tabla4[[#This Row],[Estado mesa]]="Ocupada","00:15","00:00")</f>
        <v>00:00</v>
      </c>
      <c r="BK441" cm="1">
        <f t="array" ref="BK441">SUM(IF(Cocina!A:A=Tabla4[[#This Row],[Número de Orden]],Cocina!H:H,0))</f>
        <v>64</v>
      </c>
    </row>
    <row r="442" spans="1:63" x14ac:dyDescent="0.3">
      <c r="A442" s="8" t="str">
        <f>MID(Tabla4[[#This Row],[Cliente]], SEARCH("_", Tabla4[[#This Row],[Cliente]]) + 1, LEN(Tabla4[[#This Row],[Cliente]]) - SEARCH("_",Tabla4[[#This Row],[Cliente]]))</f>
        <v>900</v>
      </c>
      <c r="B442">
        <f>sala!K441</f>
        <v>440</v>
      </c>
      <c r="C442">
        <f>Tabla4[[#This Row],[Propina]]+Tabla4[[#This Row],[Precio Cena]]</f>
        <v>3969</v>
      </c>
      <c r="D442" s="3">
        <f>INT(sala!E441)</f>
        <v>45021</v>
      </c>
      <c r="E442" s="4">
        <f>MOD( sala!D441,1)</f>
        <v>8.2638888889050577E-2</v>
      </c>
      <c r="F442" s="4">
        <f>MOD( sala!E441,1)</f>
        <v>0.24166666666860692</v>
      </c>
      <c r="G442" s="4">
        <f>Tabla5[[#This Row],[Hora de Salida]]-Tabla5[[#This Row],[Hora de Llegada]]+Tabla4[[#This Row],[Tiempo Extra]]</f>
        <v>0.169444444446223</v>
      </c>
      <c r="H442" s="5" t="str">
        <f>TEXT(Tabla4[[#This Row],[Preparación en horas]]/1440, "h:mm")</f>
        <v>0:45</v>
      </c>
      <c r="I442" s="4">
        <f>IF(Tabla5[[#This Row],[Tiempo Permanencia]]-Tabla5[[#This Row],[Tiempo de Preparación ]]&gt;=0,Tabla5[[#This Row],[Tiempo Permanencia]]-Tabla5[[#This Row],[Tiempo de Preparación ]],0)</f>
        <v>0.138194444446223</v>
      </c>
      <c r="J442" s="5" t="str">
        <f>IF(Tabla5[[#This Row],[Tiempo de Degustación]]=0,"No Cobrada","Cobrada")</f>
        <v>Cobrada</v>
      </c>
      <c r="K442" s="5" cm="1">
        <f t="array" ref="K442">SUM(IF(Tabla5[[#This Row],[Orden Cobrada]]="Cobrada",IF(Cocina!A:A=Tabla5[[#This Row],[Nº Orden]],Cocina!F:F*Cocina!G:G,0),-Tabla6[[#This Row],[Precio Cena]]))</f>
        <v>84</v>
      </c>
      <c r="L442" s="5">
        <f>IF(Tabla5[[#This Row],[Orden Cobrada]]="Cobrada",Tabla5[[#This Row],[Ganancia Bruta]]-Tabla6[[#This Row],[Coste Cena]],-Tabla6[[#This Row],[Precio Cena]]+Tabla6[[#This Row],[Coste Cena]])</f>
        <v>34</v>
      </c>
      <c r="M442" s="10">
        <f>IF(Tabla5[[#This Row],[Orden Cobrada]]="Cobrada",((Tabla5[[#This Row],[Ganancia Neta]]/Tabla5[[#This Row],[Ganancia Bruta]])*100)/100,-((Tabla5[[#This Row],[Ganancia Neta]]/Tabla5[[#This Row],[Ganancia Bruta]]*100)/100))</f>
        <v>0.40476190476190477</v>
      </c>
      <c r="N442" s="5" t="str">
        <f>sala!F441</f>
        <v>Mesero_2</v>
      </c>
      <c r="AY442" cm="1">
        <f t="array" ref="AY442">SUM(IF(Cocina!A:A=Tabla5[[#This Row],[Nº Orden]],Cocina!F:F*Cocina!G:G,0))</f>
        <v>84</v>
      </c>
      <c r="AZ442" cm="1">
        <f t="array" ref="AZ442">SUM(IF(Cocina!A:A=Tabla5[[#This Row],[Nº Orden]],Cocina!E:E*Cocina!G:G,0))</f>
        <v>50</v>
      </c>
      <c r="BB442" t="str">
        <f>MID(Tabla4[[#This Row],[Cliente]], SEARCH("_", Tabla4[[#This Row],[Cliente]]) + 1, LEN(Tabla4[[#This Row],[Cliente]]) - SEARCH("_",Tabla4[[#This Row],[Cliente]]))</f>
        <v>900</v>
      </c>
      <c r="BC442" t="str">
        <f>sala!B441</f>
        <v>Cliente_900</v>
      </c>
      <c r="BD442" s="1">
        <f>sala!D441</f>
        <v>45021.082638888889</v>
      </c>
      <c r="BE442" s="1">
        <f>sala!E441</f>
        <v>45021.241666666669</v>
      </c>
      <c r="BF442">
        <f>sala!K441</f>
        <v>440</v>
      </c>
      <c r="BG442">
        <f>sala!I441</f>
        <v>3885</v>
      </c>
      <c r="BH442" cm="1">
        <f t="array" ref="BH442">SUM(IF(Cocina!A:A=Tabla4[[#This Row],[Número de Orden]],Cocina!F:F*Cocina!G:G,0))</f>
        <v>84</v>
      </c>
      <c r="BI442" t="str">
        <f>sala!J441</f>
        <v>Ocupada</v>
      </c>
      <c r="BJ442" s="4" t="str">
        <f>IF(Tabla4[[#This Row],[Estado mesa]]="Ocupada","00:15","00:00")</f>
        <v>00:15</v>
      </c>
      <c r="BK442" cm="1">
        <f t="array" ref="BK442">SUM(IF(Cocina!A:A=Tabla4[[#This Row],[Número de Orden]],Cocina!H:H,0))</f>
        <v>45</v>
      </c>
    </row>
    <row r="443" spans="1:63" x14ac:dyDescent="0.3">
      <c r="A443" s="8" t="str">
        <f>MID(Tabla4[[#This Row],[Cliente]], SEARCH("_", Tabla4[[#This Row],[Cliente]]) + 1, LEN(Tabla4[[#This Row],[Cliente]]) - SEARCH("_",Tabla4[[#This Row],[Cliente]]))</f>
        <v>143</v>
      </c>
      <c r="B443">
        <f>sala!K442</f>
        <v>441</v>
      </c>
      <c r="C443">
        <f>Tabla4[[#This Row],[Propina]]+Tabla4[[#This Row],[Precio Cena]]</f>
        <v>2514</v>
      </c>
      <c r="D443" s="3">
        <f>INT(sala!E442)</f>
        <v>45021</v>
      </c>
      <c r="E443" s="4">
        <f>MOD( sala!D442,1)</f>
        <v>4.4444444443797693E-2</v>
      </c>
      <c r="F443" s="4">
        <f>MOD( sala!E442,1)</f>
        <v>0.14097222222335404</v>
      </c>
      <c r="G443" s="4">
        <f>Tabla5[[#This Row],[Hora de Salida]]-Tabla5[[#This Row],[Hora de Llegada]]+Tabla4[[#This Row],[Tiempo Extra]]</f>
        <v>0.10694444444622302</v>
      </c>
      <c r="H443" s="5" t="str">
        <f>TEXT(Tabla4[[#This Row],[Preparación en horas]]/1440, "h:mm")</f>
        <v>1:30</v>
      </c>
      <c r="I443" s="4">
        <f>IF(Tabla5[[#This Row],[Tiempo Permanencia]]-Tabla5[[#This Row],[Tiempo de Preparación ]]&gt;=0,Tabla5[[#This Row],[Tiempo Permanencia]]-Tabla5[[#This Row],[Tiempo de Preparación ]],0)</f>
        <v>4.4444444446223016E-2</v>
      </c>
      <c r="J443" s="5" t="str">
        <f>IF(Tabla5[[#This Row],[Tiempo de Degustación]]=0,"No Cobrada","Cobrada")</f>
        <v>Cobrada</v>
      </c>
      <c r="K443" s="5" cm="1">
        <f t="array" ref="K443">SUM(IF(Tabla5[[#This Row],[Orden Cobrada]]="Cobrada",IF(Cocina!A:A=Tabla5[[#This Row],[Nº Orden]],Cocina!F:F*Cocina!G:G,0),-Tabla6[[#This Row],[Precio Cena]]))</f>
        <v>183</v>
      </c>
      <c r="L443" s="5">
        <f>IF(Tabla5[[#This Row],[Orden Cobrada]]="Cobrada",Tabla5[[#This Row],[Ganancia Bruta]]-Tabla6[[#This Row],[Coste Cena]],-Tabla6[[#This Row],[Precio Cena]]+Tabla6[[#This Row],[Coste Cena]])</f>
        <v>75</v>
      </c>
      <c r="M443" s="10">
        <f>IF(Tabla5[[#This Row],[Orden Cobrada]]="Cobrada",((Tabla5[[#This Row],[Ganancia Neta]]/Tabla5[[#This Row],[Ganancia Bruta]])*100)/100,-((Tabla5[[#This Row],[Ganancia Neta]]/Tabla5[[#This Row],[Ganancia Bruta]]*100)/100))</f>
        <v>0.4098360655737705</v>
      </c>
      <c r="N443" s="5" t="str">
        <f>sala!F442</f>
        <v>Mesero_2</v>
      </c>
      <c r="AY443" cm="1">
        <f t="array" ref="AY443">SUM(IF(Cocina!A:A=Tabla5[[#This Row],[Nº Orden]],Cocina!F:F*Cocina!G:G,0))</f>
        <v>183</v>
      </c>
      <c r="AZ443" cm="1">
        <f t="array" ref="AZ443">SUM(IF(Cocina!A:A=Tabla5[[#This Row],[Nº Orden]],Cocina!E:E*Cocina!G:G,0))</f>
        <v>108</v>
      </c>
      <c r="BB443" t="str">
        <f>MID(Tabla4[[#This Row],[Cliente]], SEARCH("_", Tabla4[[#This Row],[Cliente]]) + 1, LEN(Tabla4[[#This Row],[Cliente]]) - SEARCH("_",Tabla4[[#This Row],[Cliente]]))</f>
        <v>143</v>
      </c>
      <c r="BC443" t="str">
        <f>sala!B442</f>
        <v>Cliente_143</v>
      </c>
      <c r="BD443" s="1">
        <f>sala!D442</f>
        <v>45021.044444444444</v>
      </c>
      <c r="BE443" s="1">
        <f>sala!E442</f>
        <v>45021.140972222223</v>
      </c>
      <c r="BF443">
        <f>sala!K442</f>
        <v>441</v>
      </c>
      <c r="BG443">
        <f>sala!I442</f>
        <v>2331</v>
      </c>
      <c r="BH443" cm="1">
        <f t="array" ref="BH443">SUM(IF(Cocina!A:A=Tabla4[[#This Row],[Número de Orden]],Cocina!F:F*Cocina!G:G,0))</f>
        <v>183</v>
      </c>
      <c r="BI443" t="str">
        <f>sala!J442</f>
        <v>Ocupada</v>
      </c>
      <c r="BJ443" s="4" t="str">
        <f>IF(Tabla4[[#This Row],[Estado mesa]]="Ocupada","00:15","00:00")</f>
        <v>00:15</v>
      </c>
      <c r="BK443" cm="1">
        <f t="array" ref="BK443">SUM(IF(Cocina!A:A=Tabla4[[#This Row],[Número de Orden]],Cocina!H:H,0))</f>
        <v>90</v>
      </c>
    </row>
    <row r="444" spans="1:63" x14ac:dyDescent="0.3">
      <c r="A444" s="8" t="str">
        <f>MID(Tabla4[[#This Row],[Cliente]], SEARCH("_", Tabla4[[#This Row],[Cliente]]) + 1, LEN(Tabla4[[#This Row],[Cliente]]) - SEARCH("_",Tabla4[[#This Row],[Cliente]]))</f>
        <v>405</v>
      </c>
      <c r="B444">
        <f>sala!K443</f>
        <v>442</v>
      </c>
      <c r="C444">
        <f>Tabla4[[#This Row],[Propina]]+Tabla4[[#This Row],[Precio Cena]]</f>
        <v>2342</v>
      </c>
      <c r="D444" s="3">
        <f>INT(sala!E443)</f>
        <v>45021</v>
      </c>
      <c r="E444" s="4">
        <f>MOD( sala!D443,1)</f>
        <v>8.611111110803904E-2</v>
      </c>
      <c r="F444" s="4">
        <f>MOD( sala!E443,1)</f>
        <v>0.13749999999708962</v>
      </c>
      <c r="G444" s="4">
        <f>Tabla5[[#This Row],[Hora de Salida]]-Tabla5[[#This Row],[Hora de Llegada]]+Tabla4[[#This Row],[Tiempo Extra]]</f>
        <v>6.1805555555717241E-2</v>
      </c>
      <c r="H444" s="5" t="str">
        <f>TEXT(Tabla4[[#This Row],[Preparación en horas]]/1440, "h:mm")</f>
        <v>2:11</v>
      </c>
      <c r="I444" s="4">
        <f>IF(Tabla5[[#This Row],[Tiempo Permanencia]]-Tabla5[[#This Row],[Tiempo de Preparación ]]&gt;=0,Tabla5[[#This Row],[Tiempo Permanencia]]-Tabla5[[#This Row],[Tiempo de Preparación ]],0)</f>
        <v>0</v>
      </c>
      <c r="J444" s="5" t="str">
        <f>IF(Tabla5[[#This Row],[Tiempo de Degustación]]=0,"No Cobrada","Cobrada")</f>
        <v>No Cobrada</v>
      </c>
      <c r="K444" s="5" cm="1">
        <f t="array" ref="K444">SUM(IF(Tabla5[[#This Row],[Orden Cobrada]]="Cobrada",IF(Cocina!A:A=Tabla5[[#This Row],[Nº Orden]],Cocina!F:F*Cocina!G:G,0),-Tabla6[[#This Row],[Precio Cena]]))</f>
        <v>-235</v>
      </c>
      <c r="L444" s="5">
        <f>IF(Tabla5[[#This Row],[Orden Cobrada]]="Cobrada",Tabla5[[#This Row],[Ganancia Bruta]]-Tabla6[[#This Row],[Coste Cena]],-Tabla6[[#This Row],[Precio Cena]]+Tabla6[[#This Row],[Coste Cena]])</f>
        <v>-94</v>
      </c>
      <c r="M444" s="10">
        <f>IF(Tabla5[[#This Row],[Orden Cobrada]]="Cobrada",((Tabla5[[#This Row],[Ganancia Neta]]/Tabla5[[#This Row],[Ganancia Bruta]])*100)/100,-((Tabla5[[#This Row],[Ganancia Neta]]/Tabla5[[#This Row],[Ganancia Bruta]]*100)/100))</f>
        <v>-0.4</v>
      </c>
      <c r="N444" s="5" t="str">
        <f>sala!F443</f>
        <v>Mesero_4</v>
      </c>
      <c r="AY444" cm="1">
        <f t="array" ref="AY444">SUM(IF(Cocina!A:A=Tabla5[[#This Row],[Nº Orden]],Cocina!F:F*Cocina!G:G,0))</f>
        <v>235</v>
      </c>
      <c r="AZ444" cm="1">
        <f t="array" ref="AZ444">SUM(IF(Cocina!A:A=Tabla5[[#This Row],[Nº Orden]],Cocina!E:E*Cocina!G:G,0))</f>
        <v>141</v>
      </c>
      <c r="BB444" t="str">
        <f>MID(Tabla4[[#This Row],[Cliente]], SEARCH("_", Tabla4[[#This Row],[Cliente]]) + 1, LEN(Tabla4[[#This Row],[Cliente]]) - SEARCH("_",Tabla4[[#This Row],[Cliente]]))</f>
        <v>405</v>
      </c>
      <c r="BC444" t="str">
        <f>sala!B443</f>
        <v>Cliente_405</v>
      </c>
      <c r="BD444" s="1">
        <f>sala!D443</f>
        <v>45021.086111111108</v>
      </c>
      <c r="BE444" s="1">
        <f>sala!E443</f>
        <v>45021.137499999997</v>
      </c>
      <c r="BF444">
        <f>sala!K443</f>
        <v>442</v>
      </c>
      <c r="BG444">
        <f>sala!I443</f>
        <v>2107</v>
      </c>
      <c r="BH444" cm="1">
        <f t="array" ref="BH444">SUM(IF(Cocina!A:A=Tabla4[[#This Row],[Número de Orden]],Cocina!F:F*Cocina!G:G,0))</f>
        <v>235</v>
      </c>
      <c r="BI444" t="str">
        <f>sala!J443</f>
        <v>Ocupada</v>
      </c>
      <c r="BJ444" s="4" t="str">
        <f>IF(Tabla4[[#This Row],[Estado mesa]]="Ocupada","00:15","00:00")</f>
        <v>00:15</v>
      </c>
      <c r="BK444" cm="1">
        <f t="array" ref="BK444">SUM(IF(Cocina!A:A=Tabla4[[#This Row],[Número de Orden]],Cocina!H:H,0))</f>
        <v>131</v>
      </c>
    </row>
    <row r="445" spans="1:63" x14ac:dyDescent="0.3">
      <c r="A445" s="8" t="str">
        <f>MID(Tabla4[[#This Row],[Cliente]], SEARCH("_", Tabla4[[#This Row],[Cliente]]) + 1, LEN(Tabla4[[#This Row],[Cliente]]) - SEARCH("_",Tabla4[[#This Row],[Cliente]]))</f>
        <v>332</v>
      </c>
      <c r="B445">
        <f>sala!K444</f>
        <v>443</v>
      </c>
      <c r="C445">
        <f>Tabla4[[#This Row],[Propina]]+Tabla4[[#This Row],[Precio Cena]]</f>
        <v>1665</v>
      </c>
      <c r="D445" s="3">
        <f>INT(sala!E444)</f>
        <v>45021</v>
      </c>
      <c r="E445" s="4">
        <f>MOD( sala!D444,1)</f>
        <v>5.2083333335758653E-2</v>
      </c>
      <c r="F445" s="4">
        <f>MOD( sala!E444,1)</f>
        <v>0.13472222222480923</v>
      </c>
      <c r="G445" s="4">
        <f>Tabla5[[#This Row],[Hora de Salida]]-Tabla5[[#This Row],[Hora de Llegada]]+Tabla4[[#This Row],[Tiempo Extra]]</f>
        <v>8.2638888889050577E-2</v>
      </c>
      <c r="H445" s="5" t="str">
        <f>TEXT(Tabla4[[#This Row],[Preparación en horas]]/1440, "h:mm")</f>
        <v>2:35</v>
      </c>
      <c r="I445" s="4">
        <f>IF(Tabla5[[#This Row],[Tiempo Permanencia]]-Tabla5[[#This Row],[Tiempo de Preparación ]]&gt;=0,Tabla5[[#This Row],[Tiempo Permanencia]]-Tabla5[[#This Row],[Tiempo de Preparación ]],0)</f>
        <v>0</v>
      </c>
      <c r="J445" s="5" t="str">
        <f>IF(Tabla5[[#This Row],[Tiempo de Degustación]]=0,"No Cobrada","Cobrada")</f>
        <v>No Cobrada</v>
      </c>
      <c r="K445" s="5" cm="1">
        <f t="array" ref="K445">SUM(IF(Tabla5[[#This Row],[Orden Cobrada]]="Cobrada",IF(Cocina!A:A=Tabla5[[#This Row],[Nº Orden]],Cocina!F:F*Cocina!G:G,0),-Tabla6[[#This Row],[Precio Cena]]))</f>
        <v>-217</v>
      </c>
      <c r="L445" s="5">
        <f>IF(Tabla5[[#This Row],[Orden Cobrada]]="Cobrada",Tabla5[[#This Row],[Ganancia Bruta]]-Tabla6[[#This Row],[Coste Cena]],-Tabla6[[#This Row],[Precio Cena]]+Tabla6[[#This Row],[Coste Cena]])</f>
        <v>-91</v>
      </c>
      <c r="M445" s="10">
        <f>IF(Tabla5[[#This Row],[Orden Cobrada]]="Cobrada",((Tabla5[[#This Row],[Ganancia Neta]]/Tabla5[[#This Row],[Ganancia Bruta]])*100)/100,-((Tabla5[[#This Row],[Ganancia Neta]]/Tabla5[[#This Row],[Ganancia Bruta]]*100)/100))</f>
        <v>-0.41935483870967744</v>
      </c>
      <c r="N445" s="5" t="str">
        <f>sala!F444</f>
        <v>Mesero_2</v>
      </c>
      <c r="AY445" cm="1">
        <f t="array" ref="AY445">SUM(IF(Cocina!A:A=Tabla5[[#This Row],[Nº Orden]],Cocina!F:F*Cocina!G:G,0))</f>
        <v>217</v>
      </c>
      <c r="AZ445" cm="1">
        <f t="array" ref="AZ445">SUM(IF(Cocina!A:A=Tabla5[[#This Row],[Nº Orden]],Cocina!E:E*Cocina!G:G,0))</f>
        <v>126</v>
      </c>
      <c r="BB445" t="str">
        <f>MID(Tabla4[[#This Row],[Cliente]], SEARCH("_", Tabla4[[#This Row],[Cliente]]) + 1, LEN(Tabla4[[#This Row],[Cliente]]) - SEARCH("_",Tabla4[[#This Row],[Cliente]]))</f>
        <v>332</v>
      </c>
      <c r="BC445" t="str">
        <f>sala!B444</f>
        <v>Cliente_332</v>
      </c>
      <c r="BD445" s="1">
        <f>sala!D444</f>
        <v>45021.052083333336</v>
      </c>
      <c r="BE445" s="1">
        <f>sala!E444</f>
        <v>45021.134722222225</v>
      </c>
      <c r="BF445">
        <f>sala!K444</f>
        <v>443</v>
      </c>
      <c r="BG445">
        <f>sala!I444</f>
        <v>1448</v>
      </c>
      <c r="BH445" cm="1">
        <f t="array" ref="BH445">SUM(IF(Cocina!A:A=Tabla4[[#This Row],[Número de Orden]],Cocina!F:F*Cocina!G:G,0))</f>
        <v>217</v>
      </c>
      <c r="BI445" t="str">
        <f>sala!J444</f>
        <v>Libre</v>
      </c>
      <c r="BJ445" s="4" t="str">
        <f>IF(Tabla4[[#This Row],[Estado mesa]]="Ocupada","00:15","00:00")</f>
        <v>00:00</v>
      </c>
      <c r="BK445" cm="1">
        <f t="array" ref="BK445">SUM(IF(Cocina!A:A=Tabla4[[#This Row],[Número de Orden]],Cocina!H:H,0))</f>
        <v>155</v>
      </c>
    </row>
    <row r="446" spans="1:63" x14ac:dyDescent="0.3">
      <c r="A446" s="8" t="str">
        <f>MID(Tabla4[[#This Row],[Cliente]], SEARCH("_", Tabla4[[#This Row],[Cliente]]) + 1, LEN(Tabla4[[#This Row],[Cliente]]) - SEARCH("_",Tabla4[[#This Row],[Cliente]]))</f>
        <v>894</v>
      </c>
      <c r="B446">
        <f>sala!K445</f>
        <v>444</v>
      </c>
      <c r="C446">
        <f>Tabla4[[#This Row],[Propina]]+Tabla4[[#This Row],[Precio Cena]]</f>
        <v>2621</v>
      </c>
      <c r="D446" s="3">
        <f>INT(sala!E445)</f>
        <v>45021</v>
      </c>
      <c r="E446" s="4">
        <f>MOD( sala!D445,1)</f>
        <v>0.14097222222335404</v>
      </c>
      <c r="F446" s="4">
        <f>MOD( sala!E445,1)</f>
        <v>0.25555555555911269</v>
      </c>
      <c r="G446" s="4">
        <f>Tabla5[[#This Row],[Hora de Salida]]-Tabla5[[#This Row],[Hora de Llegada]]+Tabla4[[#This Row],[Tiempo Extra]]</f>
        <v>0.11458333333575865</v>
      </c>
      <c r="H446" s="5" t="str">
        <f>TEXT(Tabla4[[#This Row],[Preparación en horas]]/1440, "h:mm")</f>
        <v>1:21</v>
      </c>
      <c r="I446" s="4">
        <f>IF(Tabla5[[#This Row],[Tiempo Permanencia]]-Tabla5[[#This Row],[Tiempo de Preparación ]]&gt;=0,Tabla5[[#This Row],[Tiempo Permanencia]]-Tabla5[[#This Row],[Tiempo de Preparación ]],0)</f>
        <v>5.8333333335758651E-2</v>
      </c>
      <c r="J446" s="5" t="str">
        <f>IF(Tabla5[[#This Row],[Tiempo de Degustación]]=0,"No Cobrada","Cobrada")</f>
        <v>Cobrada</v>
      </c>
      <c r="K446" s="5" cm="1">
        <f t="array" ref="K446">SUM(IF(Tabla5[[#This Row],[Orden Cobrada]]="Cobrada",IF(Cocina!A:A=Tabla5[[#This Row],[Nº Orden]],Cocina!F:F*Cocina!G:G,0),-Tabla6[[#This Row],[Precio Cena]]))</f>
        <v>95</v>
      </c>
      <c r="L446" s="5">
        <f>IF(Tabla5[[#This Row],[Orden Cobrada]]="Cobrada",Tabla5[[#This Row],[Ganancia Bruta]]-Tabla6[[#This Row],[Coste Cena]],-Tabla6[[#This Row],[Precio Cena]]+Tabla6[[#This Row],[Coste Cena]])</f>
        <v>39</v>
      </c>
      <c r="M446" s="10">
        <f>IF(Tabla5[[#This Row],[Orden Cobrada]]="Cobrada",((Tabla5[[#This Row],[Ganancia Neta]]/Tabla5[[#This Row],[Ganancia Bruta]])*100)/100,-((Tabla5[[#This Row],[Ganancia Neta]]/Tabla5[[#This Row],[Ganancia Bruta]]*100)/100))</f>
        <v>0.41052631578947368</v>
      </c>
      <c r="N446" s="5" t="str">
        <f>sala!F445</f>
        <v>Mesero_1</v>
      </c>
      <c r="AY446" cm="1">
        <f t="array" ref="AY446">SUM(IF(Cocina!A:A=Tabla5[[#This Row],[Nº Orden]],Cocina!F:F*Cocina!G:G,0))</f>
        <v>95</v>
      </c>
      <c r="AZ446" cm="1">
        <f t="array" ref="AZ446">SUM(IF(Cocina!A:A=Tabla5[[#This Row],[Nº Orden]],Cocina!E:E*Cocina!G:G,0))</f>
        <v>56</v>
      </c>
      <c r="BB446" t="str">
        <f>MID(Tabla4[[#This Row],[Cliente]], SEARCH("_", Tabla4[[#This Row],[Cliente]]) + 1, LEN(Tabla4[[#This Row],[Cliente]]) - SEARCH("_",Tabla4[[#This Row],[Cliente]]))</f>
        <v>894</v>
      </c>
      <c r="BC446" t="str">
        <f>sala!B445</f>
        <v>Cliente_894</v>
      </c>
      <c r="BD446" s="1">
        <f>sala!D445</f>
        <v>45021.140972222223</v>
      </c>
      <c r="BE446" s="1">
        <f>sala!E445</f>
        <v>45021.255555555559</v>
      </c>
      <c r="BF446">
        <f>sala!K445</f>
        <v>444</v>
      </c>
      <c r="BG446">
        <f>sala!I445</f>
        <v>2526</v>
      </c>
      <c r="BH446" cm="1">
        <f t="array" ref="BH446">SUM(IF(Cocina!A:A=Tabla4[[#This Row],[Número de Orden]],Cocina!F:F*Cocina!G:G,0))</f>
        <v>95</v>
      </c>
      <c r="BI446" t="str">
        <f>sala!J445</f>
        <v>Libre</v>
      </c>
      <c r="BJ446" s="4" t="str">
        <f>IF(Tabla4[[#This Row],[Estado mesa]]="Ocupada","00:15","00:00")</f>
        <v>00:00</v>
      </c>
      <c r="BK446" cm="1">
        <f t="array" ref="BK446">SUM(IF(Cocina!A:A=Tabla4[[#This Row],[Número de Orden]],Cocina!H:H,0))</f>
        <v>81</v>
      </c>
    </row>
    <row r="447" spans="1:63" x14ac:dyDescent="0.3">
      <c r="A447" s="8" t="str">
        <f>MID(Tabla4[[#This Row],[Cliente]], SEARCH("_", Tabla4[[#This Row],[Cliente]]) + 1, LEN(Tabla4[[#This Row],[Cliente]]) - SEARCH("_",Tabla4[[#This Row],[Cliente]]))</f>
        <v>473</v>
      </c>
      <c r="B447">
        <f>sala!K446</f>
        <v>445</v>
      </c>
      <c r="C447">
        <f>Tabla4[[#This Row],[Propina]]+Tabla4[[#This Row],[Precio Cena]]</f>
        <v>1509</v>
      </c>
      <c r="D447" s="3">
        <f>INT(sala!E446)</f>
        <v>45021</v>
      </c>
      <c r="E447" s="4">
        <f>MOD( sala!D446,1)</f>
        <v>4.2361111110949423E-2</v>
      </c>
      <c r="F447" s="4">
        <f>MOD( sala!E446,1)</f>
        <v>0.13124999999854481</v>
      </c>
      <c r="G447" s="4">
        <f>Tabla5[[#This Row],[Hora de Salida]]-Tabla5[[#This Row],[Hora de Llegada]]+Tabla4[[#This Row],[Tiempo Extra]]</f>
        <v>8.8888888887595385E-2</v>
      </c>
      <c r="H447" s="5" t="str">
        <f>TEXT(Tabla4[[#This Row],[Preparación en horas]]/1440, "h:mm")</f>
        <v>0:26</v>
      </c>
      <c r="I447" s="4">
        <f>IF(Tabla5[[#This Row],[Tiempo Permanencia]]-Tabla5[[#This Row],[Tiempo de Preparación ]]&gt;=0,Tabla5[[#This Row],[Tiempo Permanencia]]-Tabla5[[#This Row],[Tiempo de Preparación ]],0)</f>
        <v>7.0833333332039838E-2</v>
      </c>
      <c r="J447" s="5" t="str">
        <f>IF(Tabla5[[#This Row],[Tiempo de Degustación]]=0,"No Cobrada","Cobrada")</f>
        <v>Cobrada</v>
      </c>
      <c r="K447" s="5" cm="1">
        <f t="array" ref="K447">SUM(IF(Tabla5[[#This Row],[Orden Cobrada]]="Cobrada",IF(Cocina!A:A=Tabla5[[#This Row],[Nº Orden]],Cocina!F:F*Cocina!G:G,0),-Tabla6[[#This Row],[Precio Cena]]))</f>
        <v>81</v>
      </c>
      <c r="L447" s="5">
        <f>IF(Tabla5[[#This Row],[Orden Cobrada]]="Cobrada",Tabla5[[#This Row],[Ganancia Bruta]]-Tabla6[[#This Row],[Coste Cena]],-Tabla6[[#This Row],[Precio Cena]]+Tabla6[[#This Row],[Coste Cena]])</f>
        <v>33</v>
      </c>
      <c r="M447" s="10">
        <f>IF(Tabla5[[#This Row],[Orden Cobrada]]="Cobrada",((Tabla5[[#This Row],[Ganancia Neta]]/Tabla5[[#This Row],[Ganancia Bruta]])*100)/100,-((Tabla5[[#This Row],[Ganancia Neta]]/Tabla5[[#This Row],[Ganancia Bruta]]*100)/100))</f>
        <v>0.40740740740740738</v>
      </c>
      <c r="N447" s="5" t="str">
        <f>sala!F446</f>
        <v>Mesero_1</v>
      </c>
      <c r="AY447" cm="1">
        <f t="array" ref="AY447">SUM(IF(Cocina!A:A=Tabla5[[#This Row],[Nº Orden]],Cocina!F:F*Cocina!G:G,0))</f>
        <v>81</v>
      </c>
      <c r="AZ447" cm="1">
        <f t="array" ref="AZ447">SUM(IF(Cocina!A:A=Tabla5[[#This Row],[Nº Orden]],Cocina!E:E*Cocina!G:G,0))</f>
        <v>48</v>
      </c>
      <c r="BB447" t="str">
        <f>MID(Tabla4[[#This Row],[Cliente]], SEARCH("_", Tabla4[[#This Row],[Cliente]]) + 1, LEN(Tabla4[[#This Row],[Cliente]]) - SEARCH("_",Tabla4[[#This Row],[Cliente]]))</f>
        <v>473</v>
      </c>
      <c r="BC447" t="str">
        <f>sala!B446</f>
        <v>Cliente_473</v>
      </c>
      <c r="BD447" s="1">
        <f>sala!D446</f>
        <v>45021.042361111111</v>
      </c>
      <c r="BE447" s="1">
        <f>sala!E446</f>
        <v>45021.131249999999</v>
      </c>
      <c r="BF447">
        <f>sala!K446</f>
        <v>445</v>
      </c>
      <c r="BG447">
        <f>sala!I446</f>
        <v>1428</v>
      </c>
      <c r="BH447" cm="1">
        <f t="array" ref="BH447">SUM(IF(Cocina!A:A=Tabla4[[#This Row],[Número de Orden]],Cocina!F:F*Cocina!G:G,0))</f>
        <v>81</v>
      </c>
      <c r="BI447" t="str">
        <f>sala!J446</f>
        <v>Libre</v>
      </c>
      <c r="BJ447" s="4" t="str">
        <f>IF(Tabla4[[#This Row],[Estado mesa]]="Ocupada","00:15","00:00")</f>
        <v>00:00</v>
      </c>
      <c r="BK447" cm="1">
        <f t="array" ref="BK447">SUM(IF(Cocina!A:A=Tabla4[[#This Row],[Número de Orden]],Cocina!H:H,0))</f>
        <v>26</v>
      </c>
    </row>
    <row r="448" spans="1:63" x14ac:dyDescent="0.3">
      <c r="A448" s="8" t="str">
        <f>MID(Tabla4[[#This Row],[Cliente]], SEARCH("_", Tabla4[[#This Row],[Cliente]]) + 1, LEN(Tabla4[[#This Row],[Cliente]]) - SEARCH("_",Tabla4[[#This Row],[Cliente]]))</f>
        <v>606</v>
      </c>
      <c r="B448">
        <f>sala!K447</f>
        <v>446</v>
      </c>
      <c r="C448">
        <f>Tabla4[[#This Row],[Propina]]+Tabla4[[#This Row],[Precio Cena]]</f>
        <v>3545</v>
      </c>
      <c r="D448" s="3">
        <f>INT(sala!E447)</f>
        <v>45021</v>
      </c>
      <c r="E448" s="4">
        <f>MOD( sala!D447,1)</f>
        <v>0.11666666666860692</v>
      </c>
      <c r="F448" s="4">
        <f>MOD( sala!E447,1)</f>
        <v>0.25902777777810115</v>
      </c>
      <c r="G448" s="4">
        <f>Tabla5[[#This Row],[Hora de Salida]]-Tabla5[[#This Row],[Hora de Llegada]]+Tabla4[[#This Row],[Tiempo Extra]]</f>
        <v>0.14236111110949423</v>
      </c>
      <c r="H448" s="5" t="str">
        <f>TEXT(Tabla4[[#This Row],[Preparación en horas]]/1440, "h:mm")</f>
        <v>0:08</v>
      </c>
      <c r="I448" s="4">
        <f>IF(Tabla5[[#This Row],[Tiempo Permanencia]]-Tabla5[[#This Row],[Tiempo de Preparación ]]&gt;=0,Tabla5[[#This Row],[Tiempo Permanencia]]-Tabla5[[#This Row],[Tiempo de Preparación ]],0)</f>
        <v>0.13680555555393867</v>
      </c>
      <c r="J448" s="5" t="str">
        <f>IF(Tabla5[[#This Row],[Tiempo de Degustación]]=0,"No Cobrada","Cobrada")</f>
        <v>Cobrada</v>
      </c>
      <c r="K448" s="5" cm="1">
        <f t="array" ref="K448">SUM(IF(Tabla5[[#This Row],[Orden Cobrada]]="Cobrada",IF(Cocina!A:A=Tabla5[[#This Row],[Nº Orden]],Cocina!F:F*Cocina!G:G,0),-Tabla6[[#This Row],[Precio Cena]]))</f>
        <v>21</v>
      </c>
      <c r="L448" s="5">
        <f>IF(Tabla5[[#This Row],[Orden Cobrada]]="Cobrada",Tabla5[[#This Row],[Ganancia Bruta]]-Tabla6[[#This Row],[Coste Cena]],-Tabla6[[#This Row],[Precio Cena]]+Tabla6[[#This Row],[Coste Cena]])</f>
        <v>8</v>
      </c>
      <c r="M448" s="10">
        <f>IF(Tabla5[[#This Row],[Orden Cobrada]]="Cobrada",((Tabla5[[#This Row],[Ganancia Neta]]/Tabla5[[#This Row],[Ganancia Bruta]])*100)/100,-((Tabla5[[#This Row],[Ganancia Neta]]/Tabla5[[#This Row],[Ganancia Bruta]]*100)/100))</f>
        <v>0.38095238095238093</v>
      </c>
      <c r="N448" s="5" t="str">
        <f>sala!F447</f>
        <v>Mesero_1</v>
      </c>
      <c r="AY448" cm="1">
        <f t="array" ref="AY448">SUM(IF(Cocina!A:A=Tabla5[[#This Row],[Nº Orden]],Cocina!F:F*Cocina!G:G,0))</f>
        <v>21</v>
      </c>
      <c r="AZ448" cm="1">
        <f t="array" ref="AZ448">SUM(IF(Cocina!A:A=Tabla5[[#This Row],[Nº Orden]],Cocina!E:E*Cocina!G:G,0))</f>
        <v>13</v>
      </c>
      <c r="BB448" t="str">
        <f>MID(Tabla4[[#This Row],[Cliente]], SEARCH("_", Tabla4[[#This Row],[Cliente]]) + 1, LEN(Tabla4[[#This Row],[Cliente]]) - SEARCH("_",Tabla4[[#This Row],[Cliente]]))</f>
        <v>606</v>
      </c>
      <c r="BC448" t="str">
        <f>sala!B447</f>
        <v>Cliente_606</v>
      </c>
      <c r="BD448" s="1">
        <f>sala!D447</f>
        <v>45021.116666666669</v>
      </c>
      <c r="BE448" s="1">
        <f>sala!E447</f>
        <v>45021.259027777778</v>
      </c>
      <c r="BF448">
        <f>sala!K447</f>
        <v>446</v>
      </c>
      <c r="BG448">
        <f>sala!I447</f>
        <v>3524</v>
      </c>
      <c r="BH448" cm="1">
        <f t="array" ref="BH448">SUM(IF(Cocina!A:A=Tabla4[[#This Row],[Número de Orden]],Cocina!F:F*Cocina!G:G,0))</f>
        <v>21</v>
      </c>
      <c r="BI448" t="str">
        <f>sala!J447</f>
        <v>Libre</v>
      </c>
      <c r="BJ448" s="4" t="str">
        <f>IF(Tabla4[[#This Row],[Estado mesa]]="Ocupada","00:15","00:00")</f>
        <v>00:00</v>
      </c>
      <c r="BK448" cm="1">
        <f t="array" ref="BK448">SUM(IF(Cocina!A:A=Tabla4[[#This Row],[Número de Orden]],Cocina!H:H,0))</f>
        <v>8</v>
      </c>
    </row>
    <row r="449" spans="1:63" x14ac:dyDescent="0.3">
      <c r="A449" s="8" t="str">
        <f>MID(Tabla4[[#This Row],[Cliente]], SEARCH("_", Tabla4[[#This Row],[Cliente]]) + 1, LEN(Tabla4[[#This Row],[Cliente]]) - SEARCH("_",Tabla4[[#This Row],[Cliente]]))</f>
        <v>404</v>
      </c>
      <c r="B449">
        <f>sala!K448</f>
        <v>447</v>
      </c>
      <c r="C449">
        <f>Tabla4[[#This Row],[Propina]]+Tabla4[[#This Row],[Precio Cena]]</f>
        <v>3049</v>
      </c>
      <c r="D449" s="3">
        <f>INT(sala!E448)</f>
        <v>45021</v>
      </c>
      <c r="E449" s="4">
        <f>MOD( sala!D448,1)</f>
        <v>0.16180555555911269</v>
      </c>
      <c r="F449" s="4">
        <f>MOD( sala!E448,1)</f>
        <v>0.30833333333430346</v>
      </c>
      <c r="G449" s="4">
        <f>Tabla5[[#This Row],[Hora de Salida]]-Tabla5[[#This Row],[Hora de Llegada]]+Tabla4[[#This Row],[Tiempo Extra]]</f>
        <v>0.14652777777519077</v>
      </c>
      <c r="H449" s="5" t="str">
        <f>TEXT(Tabla4[[#This Row],[Preparación en horas]]/1440, "h:mm")</f>
        <v>1:26</v>
      </c>
      <c r="I449" s="4">
        <f>IF(Tabla5[[#This Row],[Tiempo Permanencia]]-Tabla5[[#This Row],[Tiempo de Preparación ]]&gt;=0,Tabla5[[#This Row],[Tiempo Permanencia]]-Tabla5[[#This Row],[Tiempo de Preparación ]],0)</f>
        <v>8.6805555552968539E-2</v>
      </c>
      <c r="J449" s="5" t="str">
        <f>IF(Tabla5[[#This Row],[Tiempo de Degustación]]=0,"No Cobrada","Cobrada")</f>
        <v>Cobrada</v>
      </c>
      <c r="K449" s="5" cm="1">
        <f t="array" ref="K449">SUM(IF(Tabla5[[#This Row],[Orden Cobrada]]="Cobrada",IF(Cocina!A:A=Tabla5[[#This Row],[Nº Orden]],Cocina!F:F*Cocina!G:G,0),-Tabla6[[#This Row],[Precio Cena]]))</f>
        <v>181</v>
      </c>
      <c r="L449" s="5">
        <f>IF(Tabla5[[#This Row],[Orden Cobrada]]="Cobrada",Tabla5[[#This Row],[Ganancia Bruta]]-Tabla6[[#This Row],[Coste Cena]],-Tabla6[[#This Row],[Precio Cena]]+Tabla6[[#This Row],[Coste Cena]])</f>
        <v>76</v>
      </c>
      <c r="M449" s="10">
        <f>IF(Tabla5[[#This Row],[Orden Cobrada]]="Cobrada",((Tabla5[[#This Row],[Ganancia Neta]]/Tabla5[[#This Row],[Ganancia Bruta]])*100)/100,-((Tabla5[[#This Row],[Ganancia Neta]]/Tabla5[[#This Row],[Ganancia Bruta]]*100)/100))</f>
        <v>0.41988950276243098</v>
      </c>
      <c r="N449" s="5" t="str">
        <f>sala!F448</f>
        <v>Mesero_4</v>
      </c>
      <c r="AY449" cm="1">
        <f t="array" ref="AY449">SUM(IF(Cocina!A:A=Tabla5[[#This Row],[Nº Orden]],Cocina!F:F*Cocina!G:G,0))</f>
        <v>181</v>
      </c>
      <c r="AZ449" cm="1">
        <f t="array" ref="AZ449">SUM(IF(Cocina!A:A=Tabla5[[#This Row],[Nº Orden]],Cocina!E:E*Cocina!G:G,0))</f>
        <v>105</v>
      </c>
      <c r="BB449" t="str">
        <f>MID(Tabla4[[#This Row],[Cliente]], SEARCH("_", Tabla4[[#This Row],[Cliente]]) + 1, LEN(Tabla4[[#This Row],[Cliente]]) - SEARCH("_",Tabla4[[#This Row],[Cliente]]))</f>
        <v>404</v>
      </c>
      <c r="BC449" t="str">
        <f>sala!B448</f>
        <v>Cliente_404</v>
      </c>
      <c r="BD449" s="1">
        <f>sala!D448</f>
        <v>45021.161805555559</v>
      </c>
      <c r="BE449" s="1">
        <f>sala!E448</f>
        <v>45021.308333333334</v>
      </c>
      <c r="BF449">
        <f>sala!K448</f>
        <v>447</v>
      </c>
      <c r="BG449">
        <f>sala!I448</f>
        <v>2868</v>
      </c>
      <c r="BH449" cm="1">
        <f t="array" ref="BH449">SUM(IF(Cocina!A:A=Tabla4[[#This Row],[Número de Orden]],Cocina!F:F*Cocina!G:G,0))</f>
        <v>181</v>
      </c>
      <c r="BI449" t="str">
        <f>sala!J448</f>
        <v>Libre</v>
      </c>
      <c r="BJ449" s="4" t="str">
        <f>IF(Tabla4[[#This Row],[Estado mesa]]="Ocupada","00:15","00:00")</f>
        <v>00:00</v>
      </c>
      <c r="BK449" cm="1">
        <f t="array" ref="BK449">SUM(IF(Cocina!A:A=Tabla4[[#This Row],[Número de Orden]],Cocina!H:H,0))</f>
        <v>86</v>
      </c>
    </row>
    <row r="450" spans="1:63" x14ac:dyDescent="0.3">
      <c r="A450" s="8" t="str">
        <f>MID(Tabla4[[#This Row],[Cliente]], SEARCH("_", Tabla4[[#This Row],[Cliente]]) + 1, LEN(Tabla4[[#This Row],[Cliente]]) - SEARCH("_",Tabla4[[#This Row],[Cliente]]))</f>
        <v>216</v>
      </c>
      <c r="B450">
        <f>sala!K449</f>
        <v>448</v>
      </c>
      <c r="C450">
        <f>Tabla4[[#This Row],[Propina]]+Tabla4[[#This Row],[Precio Cena]]</f>
        <v>3705</v>
      </c>
      <c r="D450" s="3">
        <f>INT(sala!E449)</f>
        <v>45021</v>
      </c>
      <c r="E450" s="4">
        <f>MOD( sala!D449,1)</f>
        <v>4.8611111124046147E-3</v>
      </c>
      <c r="F450" s="4">
        <f>MOD( sala!E449,1)</f>
        <v>0.14930555555474712</v>
      </c>
      <c r="G450" s="4">
        <f>Tabla5[[#This Row],[Hora de Salida]]-Tabla5[[#This Row],[Hora de Llegada]]+Tabla4[[#This Row],[Tiempo Extra]]</f>
        <v>0.15486111110900916</v>
      </c>
      <c r="H450" s="5" t="str">
        <f>TEXT(Tabla4[[#This Row],[Preparación en horas]]/1440, "h:mm")</f>
        <v>1:06</v>
      </c>
      <c r="I450" s="4">
        <f>IF(Tabla5[[#This Row],[Tiempo Permanencia]]-Tabla5[[#This Row],[Tiempo de Preparación ]]&gt;=0,Tabla5[[#This Row],[Tiempo Permanencia]]-Tabla5[[#This Row],[Tiempo de Preparación ]],0)</f>
        <v>0.10902777777567582</v>
      </c>
      <c r="J450" s="5" t="str">
        <f>IF(Tabla5[[#This Row],[Tiempo de Degustación]]=0,"No Cobrada","Cobrada")</f>
        <v>Cobrada</v>
      </c>
      <c r="K450" s="5" cm="1">
        <f t="array" ref="K450">SUM(IF(Tabla5[[#This Row],[Orden Cobrada]]="Cobrada",IF(Cocina!A:A=Tabla5[[#This Row],[Nº Orden]],Cocina!F:F*Cocina!G:G,0),-Tabla6[[#This Row],[Precio Cena]]))</f>
        <v>137</v>
      </c>
      <c r="L450" s="5">
        <f>IF(Tabla5[[#This Row],[Orden Cobrada]]="Cobrada",Tabla5[[#This Row],[Ganancia Bruta]]-Tabla6[[#This Row],[Coste Cena]],-Tabla6[[#This Row],[Precio Cena]]+Tabla6[[#This Row],[Coste Cena]])</f>
        <v>55</v>
      </c>
      <c r="M450" s="10">
        <f>IF(Tabla5[[#This Row],[Orden Cobrada]]="Cobrada",((Tabla5[[#This Row],[Ganancia Neta]]/Tabla5[[#This Row],[Ganancia Bruta]])*100)/100,-((Tabla5[[#This Row],[Ganancia Neta]]/Tabla5[[#This Row],[Ganancia Bruta]]*100)/100))</f>
        <v>0.40145985401459855</v>
      </c>
      <c r="N450" s="5" t="str">
        <f>sala!F449</f>
        <v>Mesero_4</v>
      </c>
      <c r="AY450" cm="1">
        <f t="array" ref="AY450">SUM(IF(Cocina!A:A=Tabla5[[#This Row],[Nº Orden]],Cocina!F:F*Cocina!G:G,0))</f>
        <v>137</v>
      </c>
      <c r="AZ450" cm="1">
        <f t="array" ref="AZ450">SUM(IF(Cocina!A:A=Tabla5[[#This Row],[Nº Orden]],Cocina!E:E*Cocina!G:G,0))</f>
        <v>82</v>
      </c>
      <c r="BB450" t="str">
        <f>MID(Tabla4[[#This Row],[Cliente]], SEARCH("_", Tabla4[[#This Row],[Cliente]]) + 1, LEN(Tabla4[[#This Row],[Cliente]]) - SEARCH("_",Tabla4[[#This Row],[Cliente]]))</f>
        <v>216</v>
      </c>
      <c r="BC450" t="str">
        <f>sala!B449</f>
        <v>Cliente_216</v>
      </c>
      <c r="BD450" s="1">
        <f>sala!D449</f>
        <v>45021.004861111112</v>
      </c>
      <c r="BE450" s="1">
        <f>sala!E449</f>
        <v>45021.149305555555</v>
      </c>
      <c r="BF450">
        <f>sala!K449</f>
        <v>448</v>
      </c>
      <c r="BG450">
        <f>sala!I449</f>
        <v>3568</v>
      </c>
      <c r="BH450" cm="1">
        <f t="array" ref="BH450">SUM(IF(Cocina!A:A=Tabla4[[#This Row],[Número de Orden]],Cocina!F:F*Cocina!G:G,0))</f>
        <v>137</v>
      </c>
      <c r="BI450" t="str">
        <f>sala!J449</f>
        <v>Ocupada</v>
      </c>
      <c r="BJ450" s="4" t="str">
        <f>IF(Tabla4[[#This Row],[Estado mesa]]="Ocupada","00:15","00:00")</f>
        <v>00:15</v>
      </c>
      <c r="BK450" cm="1">
        <f t="array" ref="BK450">SUM(IF(Cocina!A:A=Tabla4[[#This Row],[Número de Orden]],Cocina!H:H,0))</f>
        <v>66</v>
      </c>
    </row>
    <row r="451" spans="1:63" x14ac:dyDescent="0.3">
      <c r="A451" s="8" t="str">
        <f>MID(Tabla4[[#This Row],[Cliente]], SEARCH("_", Tabla4[[#This Row],[Cliente]]) + 1, LEN(Tabla4[[#This Row],[Cliente]]) - SEARCH("_",Tabla4[[#This Row],[Cliente]]))</f>
        <v>717</v>
      </c>
      <c r="B451">
        <f>sala!K450</f>
        <v>449</v>
      </c>
      <c r="C451">
        <f>Tabla4[[#This Row],[Propina]]+Tabla4[[#This Row],[Precio Cena]]</f>
        <v>4289</v>
      </c>
      <c r="D451" s="3">
        <f>INT(sala!E450)</f>
        <v>45021</v>
      </c>
      <c r="E451" s="4">
        <f>MOD( sala!D450,1)</f>
        <v>0.14236111110949423</v>
      </c>
      <c r="F451" s="4">
        <f>MOD( sala!E450,1)</f>
        <v>0.20972222222189885</v>
      </c>
      <c r="G451" s="4">
        <f>Tabla5[[#This Row],[Hora de Salida]]-Tabla5[[#This Row],[Hora de Llegada]]+Tabla4[[#This Row],[Tiempo Extra]]</f>
        <v>7.7777777779071286E-2</v>
      </c>
      <c r="H451" s="5" t="str">
        <f>TEXT(Tabla4[[#This Row],[Preparación en horas]]/1440, "h:mm")</f>
        <v>0:33</v>
      </c>
      <c r="I451" s="4">
        <f>IF(Tabla5[[#This Row],[Tiempo Permanencia]]-Tabla5[[#This Row],[Tiempo de Preparación ]]&gt;=0,Tabla5[[#This Row],[Tiempo Permanencia]]-Tabla5[[#This Row],[Tiempo de Preparación ]],0)</f>
        <v>5.4861111112404617E-2</v>
      </c>
      <c r="J451" s="5" t="str">
        <f>IF(Tabla5[[#This Row],[Tiempo de Degustación]]=0,"No Cobrada","Cobrada")</f>
        <v>Cobrada</v>
      </c>
      <c r="K451" s="5" cm="1">
        <f t="array" ref="K451">SUM(IF(Tabla5[[#This Row],[Orden Cobrada]]="Cobrada",IF(Cocina!A:A=Tabla5[[#This Row],[Nº Orden]],Cocina!F:F*Cocina!G:G,0),-Tabla6[[#This Row],[Precio Cena]]))</f>
        <v>64</v>
      </c>
      <c r="L451" s="5">
        <f>IF(Tabla5[[#This Row],[Orden Cobrada]]="Cobrada",Tabla5[[#This Row],[Ganancia Bruta]]-Tabla6[[#This Row],[Coste Cena]],-Tabla6[[#This Row],[Precio Cena]]+Tabla6[[#This Row],[Coste Cena]])</f>
        <v>26</v>
      </c>
      <c r="M451" s="10">
        <f>IF(Tabla5[[#This Row],[Orden Cobrada]]="Cobrada",((Tabla5[[#This Row],[Ganancia Neta]]/Tabla5[[#This Row],[Ganancia Bruta]])*100)/100,-((Tabla5[[#This Row],[Ganancia Neta]]/Tabla5[[#This Row],[Ganancia Bruta]]*100)/100))</f>
        <v>0.40625</v>
      </c>
      <c r="N451" s="5" t="str">
        <f>sala!F450</f>
        <v>Mesero_3</v>
      </c>
      <c r="AY451" cm="1">
        <f t="array" ref="AY451">SUM(IF(Cocina!A:A=Tabla5[[#This Row],[Nº Orden]],Cocina!F:F*Cocina!G:G,0))</f>
        <v>64</v>
      </c>
      <c r="AZ451" cm="1">
        <f t="array" ref="AZ451">SUM(IF(Cocina!A:A=Tabla5[[#This Row],[Nº Orden]],Cocina!E:E*Cocina!G:G,0))</f>
        <v>38</v>
      </c>
      <c r="BB451" t="str">
        <f>MID(Tabla4[[#This Row],[Cliente]], SEARCH("_", Tabla4[[#This Row],[Cliente]]) + 1, LEN(Tabla4[[#This Row],[Cliente]]) - SEARCH("_",Tabla4[[#This Row],[Cliente]]))</f>
        <v>717</v>
      </c>
      <c r="BC451" t="str">
        <f>sala!B450</f>
        <v>Cliente_717</v>
      </c>
      <c r="BD451" s="1">
        <f>sala!D450</f>
        <v>45021.142361111109</v>
      </c>
      <c r="BE451" s="1">
        <f>sala!E450</f>
        <v>45021.209722222222</v>
      </c>
      <c r="BF451">
        <f>sala!K450</f>
        <v>449</v>
      </c>
      <c r="BG451">
        <f>sala!I450</f>
        <v>4225</v>
      </c>
      <c r="BH451" cm="1">
        <f t="array" ref="BH451">SUM(IF(Cocina!A:A=Tabla4[[#This Row],[Número de Orden]],Cocina!F:F*Cocina!G:G,0))</f>
        <v>64</v>
      </c>
      <c r="BI451" t="str">
        <f>sala!J450</f>
        <v>Ocupada</v>
      </c>
      <c r="BJ451" s="4" t="str">
        <f>IF(Tabla4[[#This Row],[Estado mesa]]="Ocupada","00:15","00:00")</f>
        <v>00:15</v>
      </c>
      <c r="BK451" cm="1">
        <f t="array" ref="BK451">SUM(IF(Cocina!A:A=Tabla4[[#This Row],[Número de Orden]],Cocina!H:H,0))</f>
        <v>33</v>
      </c>
    </row>
    <row r="452" spans="1:63" x14ac:dyDescent="0.3">
      <c r="A452" s="8" t="str">
        <f>MID(Tabla4[[#This Row],[Cliente]], SEARCH("_", Tabla4[[#This Row],[Cliente]]) + 1, LEN(Tabla4[[#This Row],[Cliente]]) - SEARCH("_",Tabla4[[#This Row],[Cliente]]))</f>
        <v>783</v>
      </c>
      <c r="B452">
        <f>sala!K451</f>
        <v>450</v>
      </c>
      <c r="C452">
        <f>Tabla4[[#This Row],[Propina]]+Tabla4[[#This Row],[Precio Cena]]</f>
        <v>561</v>
      </c>
      <c r="D452" s="3">
        <f>INT(sala!E451)</f>
        <v>45021</v>
      </c>
      <c r="E452" s="4">
        <f>MOD( sala!D451,1)</f>
        <v>0.16041666666569654</v>
      </c>
      <c r="F452" s="4">
        <f>MOD( sala!E451,1)</f>
        <v>0.20902777777519077</v>
      </c>
      <c r="G452" s="4">
        <f>Tabla5[[#This Row],[Hora de Salida]]-Tabla5[[#This Row],[Hora de Llegada]]+Tabla4[[#This Row],[Tiempo Extra]]</f>
        <v>5.9027777776160896E-2</v>
      </c>
      <c r="H452" s="5" t="str">
        <f>TEXT(Tabla4[[#This Row],[Preparación en horas]]/1440, "h:mm")</f>
        <v>0:34</v>
      </c>
      <c r="I452" s="4">
        <f>IF(Tabla5[[#This Row],[Tiempo Permanencia]]-Tabla5[[#This Row],[Tiempo de Preparación ]]&gt;=0,Tabla5[[#This Row],[Tiempo Permanencia]]-Tabla5[[#This Row],[Tiempo de Preparación ]],0)</f>
        <v>3.5416666665049786E-2</v>
      </c>
      <c r="J452" s="5" t="str">
        <f>IF(Tabla5[[#This Row],[Tiempo de Degustación]]=0,"No Cobrada","Cobrada")</f>
        <v>Cobrada</v>
      </c>
      <c r="K452" s="5" cm="1">
        <f t="array" ref="K452">SUM(IF(Tabla5[[#This Row],[Orden Cobrada]]="Cobrada",IF(Cocina!A:A=Tabla5[[#This Row],[Nº Orden]],Cocina!F:F*Cocina!G:G,0),-Tabla6[[#This Row],[Precio Cena]]))</f>
        <v>72</v>
      </c>
      <c r="L452" s="5">
        <f>IF(Tabla5[[#This Row],[Orden Cobrada]]="Cobrada",Tabla5[[#This Row],[Ganancia Bruta]]-Tabla6[[#This Row],[Coste Cena]],-Tabla6[[#This Row],[Precio Cena]]+Tabla6[[#This Row],[Coste Cena]])</f>
        <v>30</v>
      </c>
      <c r="M452" s="10">
        <f>IF(Tabla5[[#This Row],[Orden Cobrada]]="Cobrada",((Tabla5[[#This Row],[Ganancia Neta]]/Tabla5[[#This Row],[Ganancia Bruta]])*100)/100,-((Tabla5[[#This Row],[Ganancia Neta]]/Tabla5[[#This Row],[Ganancia Bruta]]*100)/100))</f>
        <v>0.41666666666666674</v>
      </c>
      <c r="N452" s="5" t="str">
        <f>sala!F451</f>
        <v>Mesero_3</v>
      </c>
      <c r="AY452" cm="1">
        <f t="array" ref="AY452">SUM(IF(Cocina!A:A=Tabla5[[#This Row],[Nº Orden]],Cocina!F:F*Cocina!G:G,0))</f>
        <v>72</v>
      </c>
      <c r="AZ452" cm="1">
        <f t="array" ref="AZ452">SUM(IF(Cocina!A:A=Tabla5[[#This Row],[Nº Orden]],Cocina!E:E*Cocina!G:G,0))</f>
        <v>42</v>
      </c>
      <c r="BB452" t="str">
        <f>MID(Tabla4[[#This Row],[Cliente]], SEARCH("_", Tabla4[[#This Row],[Cliente]]) + 1, LEN(Tabla4[[#This Row],[Cliente]]) - SEARCH("_",Tabla4[[#This Row],[Cliente]]))</f>
        <v>783</v>
      </c>
      <c r="BC452" t="str">
        <f>sala!B451</f>
        <v>Cliente_783</v>
      </c>
      <c r="BD452" s="1">
        <f>sala!D451</f>
        <v>45021.160416666666</v>
      </c>
      <c r="BE452" s="1">
        <f>sala!E451</f>
        <v>45021.209027777775</v>
      </c>
      <c r="BF452">
        <f>sala!K451</f>
        <v>450</v>
      </c>
      <c r="BG452">
        <f>sala!I451</f>
        <v>489</v>
      </c>
      <c r="BH452" cm="1">
        <f t="array" ref="BH452">SUM(IF(Cocina!A:A=Tabla4[[#This Row],[Número de Orden]],Cocina!F:F*Cocina!G:G,0))</f>
        <v>72</v>
      </c>
      <c r="BI452" t="str">
        <f>sala!J451</f>
        <v>Ocupada</v>
      </c>
      <c r="BJ452" s="4" t="str">
        <f>IF(Tabla4[[#This Row],[Estado mesa]]="Ocupada","00:15","00:00")</f>
        <v>00:15</v>
      </c>
      <c r="BK452" cm="1">
        <f t="array" ref="BK452">SUM(IF(Cocina!A:A=Tabla4[[#This Row],[Número de Orden]],Cocina!H:H,0))</f>
        <v>34</v>
      </c>
    </row>
    <row r="453" spans="1:63" x14ac:dyDescent="0.3">
      <c r="A453" s="8" t="str">
        <f>MID(Tabla4[[#This Row],[Cliente]], SEARCH("_", Tabla4[[#This Row],[Cliente]]) + 1, LEN(Tabla4[[#This Row],[Cliente]]) - SEARCH("_",Tabla4[[#This Row],[Cliente]]))</f>
        <v>240</v>
      </c>
      <c r="B453">
        <f>sala!K452</f>
        <v>451</v>
      </c>
      <c r="C453">
        <f>Tabla4[[#This Row],[Propina]]+Tabla4[[#This Row],[Precio Cena]]</f>
        <v>4729</v>
      </c>
      <c r="D453" s="3">
        <f>INT(sala!E452)</f>
        <v>45021</v>
      </c>
      <c r="E453" s="4">
        <f>MOD( sala!D452,1)</f>
        <v>5.3472222221898846E-2</v>
      </c>
      <c r="F453" s="4">
        <f>MOD( sala!E452,1)</f>
        <v>0.10138888889196096</v>
      </c>
      <c r="G453" s="4">
        <f>Tabla5[[#This Row],[Hora de Salida]]-Tabla5[[#This Row],[Hora de Llegada]]+Tabla4[[#This Row],[Tiempo Extra]]</f>
        <v>4.7916666670062114E-2</v>
      </c>
      <c r="H453" s="5" t="str">
        <f>TEXT(Tabla4[[#This Row],[Preparación en horas]]/1440, "h:mm")</f>
        <v>1:43</v>
      </c>
      <c r="I453" s="4">
        <f>IF(Tabla5[[#This Row],[Tiempo Permanencia]]-Tabla5[[#This Row],[Tiempo de Preparación ]]&gt;=0,Tabla5[[#This Row],[Tiempo Permanencia]]-Tabla5[[#This Row],[Tiempo de Preparación ]],0)</f>
        <v>0</v>
      </c>
      <c r="J453" s="5" t="str">
        <f>IF(Tabla5[[#This Row],[Tiempo de Degustación]]=0,"No Cobrada","Cobrada")</f>
        <v>No Cobrada</v>
      </c>
      <c r="K453" s="5" cm="1">
        <f t="array" ref="K453">SUM(IF(Tabla5[[#This Row],[Orden Cobrada]]="Cobrada",IF(Cocina!A:A=Tabla5[[#This Row],[Nº Orden]],Cocina!F:F*Cocina!G:G,0),-Tabla6[[#This Row],[Precio Cena]]))</f>
        <v>-92</v>
      </c>
      <c r="L453" s="5">
        <f>IF(Tabla5[[#This Row],[Orden Cobrada]]="Cobrada",Tabla5[[#This Row],[Ganancia Bruta]]-Tabla6[[#This Row],[Coste Cena]],-Tabla6[[#This Row],[Precio Cena]]+Tabla6[[#This Row],[Coste Cena]])</f>
        <v>-37</v>
      </c>
      <c r="M453" s="10">
        <f>IF(Tabla5[[#This Row],[Orden Cobrada]]="Cobrada",((Tabla5[[#This Row],[Ganancia Neta]]/Tabla5[[#This Row],[Ganancia Bruta]])*100)/100,-((Tabla5[[#This Row],[Ganancia Neta]]/Tabla5[[#This Row],[Ganancia Bruta]]*100)/100))</f>
        <v>-0.40217391304347827</v>
      </c>
      <c r="N453" s="5" t="str">
        <f>sala!F452</f>
        <v>Mesero_5</v>
      </c>
      <c r="AY453" cm="1">
        <f t="array" ref="AY453">SUM(IF(Cocina!A:A=Tabla5[[#This Row],[Nº Orden]],Cocina!F:F*Cocina!G:G,0))</f>
        <v>92</v>
      </c>
      <c r="AZ453" cm="1">
        <f t="array" ref="AZ453">SUM(IF(Cocina!A:A=Tabla5[[#This Row],[Nº Orden]],Cocina!E:E*Cocina!G:G,0))</f>
        <v>55</v>
      </c>
      <c r="BB453" t="str">
        <f>MID(Tabla4[[#This Row],[Cliente]], SEARCH("_", Tabla4[[#This Row],[Cliente]]) + 1, LEN(Tabla4[[#This Row],[Cliente]]) - SEARCH("_",Tabla4[[#This Row],[Cliente]]))</f>
        <v>240</v>
      </c>
      <c r="BC453" t="str">
        <f>sala!B452</f>
        <v>Cliente_240</v>
      </c>
      <c r="BD453" s="1">
        <f>sala!D452</f>
        <v>45021.053472222222</v>
      </c>
      <c r="BE453" s="1">
        <f>sala!E452</f>
        <v>45021.101388888892</v>
      </c>
      <c r="BF453">
        <f>sala!K452</f>
        <v>451</v>
      </c>
      <c r="BG453">
        <f>sala!I452</f>
        <v>4637</v>
      </c>
      <c r="BH453" cm="1">
        <f t="array" ref="BH453">SUM(IF(Cocina!A:A=Tabla4[[#This Row],[Número de Orden]],Cocina!F:F*Cocina!G:G,0))</f>
        <v>92</v>
      </c>
      <c r="BI453" t="str">
        <f>sala!J452</f>
        <v>Libre</v>
      </c>
      <c r="BJ453" s="4" t="str">
        <f>IF(Tabla4[[#This Row],[Estado mesa]]="Ocupada","00:15","00:00")</f>
        <v>00:00</v>
      </c>
      <c r="BK453" cm="1">
        <f t="array" ref="BK453">SUM(IF(Cocina!A:A=Tabla4[[#This Row],[Número de Orden]],Cocina!H:H,0))</f>
        <v>103</v>
      </c>
    </row>
    <row r="454" spans="1:63" x14ac:dyDescent="0.3">
      <c r="A454" s="8" t="str">
        <f>MID(Tabla4[[#This Row],[Cliente]], SEARCH("_", Tabla4[[#This Row],[Cliente]]) + 1, LEN(Tabla4[[#This Row],[Cliente]]) - SEARCH("_",Tabla4[[#This Row],[Cliente]]))</f>
        <v>589</v>
      </c>
      <c r="B454">
        <f>sala!K453</f>
        <v>452</v>
      </c>
      <c r="C454">
        <f>Tabla4[[#This Row],[Propina]]+Tabla4[[#This Row],[Precio Cena]]</f>
        <v>4506</v>
      </c>
      <c r="D454" s="3">
        <f>INT(sala!E453)</f>
        <v>45021</v>
      </c>
      <c r="E454" s="4">
        <f>MOD( sala!D453,1)</f>
        <v>0.12013888888759539</v>
      </c>
      <c r="F454" s="4">
        <f>MOD( sala!E453,1)</f>
        <v>0.22152777777955635</v>
      </c>
      <c r="G454" s="4">
        <f>Tabla5[[#This Row],[Hora de Salida]]-Tabla5[[#This Row],[Hora de Llegada]]+Tabla4[[#This Row],[Tiempo Extra]]</f>
        <v>0.10138888889196096</v>
      </c>
      <c r="H454" s="5" t="str">
        <f>TEXT(Tabla4[[#This Row],[Preparación en horas]]/1440, "h:mm")</f>
        <v>2:03</v>
      </c>
      <c r="I454" s="4">
        <f>IF(Tabla5[[#This Row],[Tiempo Permanencia]]-Tabla5[[#This Row],[Tiempo de Preparación ]]&gt;=0,Tabla5[[#This Row],[Tiempo Permanencia]]-Tabla5[[#This Row],[Tiempo de Preparación ]],0)</f>
        <v>1.5972222225294291E-2</v>
      </c>
      <c r="J454" s="5" t="str">
        <f>IF(Tabla5[[#This Row],[Tiempo de Degustación]]=0,"No Cobrada","Cobrada")</f>
        <v>Cobrada</v>
      </c>
      <c r="K454" s="5" cm="1">
        <f t="array" ref="K454">SUM(IF(Tabla5[[#This Row],[Orden Cobrada]]="Cobrada",IF(Cocina!A:A=Tabla5[[#This Row],[Nº Orden]],Cocina!F:F*Cocina!G:G,0),-Tabla6[[#This Row],[Precio Cena]]))</f>
        <v>158</v>
      </c>
      <c r="L454" s="5">
        <f>IF(Tabla5[[#This Row],[Orden Cobrada]]="Cobrada",Tabla5[[#This Row],[Ganancia Bruta]]-Tabla6[[#This Row],[Coste Cena]],-Tabla6[[#This Row],[Precio Cena]]+Tabla6[[#This Row],[Coste Cena]])</f>
        <v>62</v>
      </c>
      <c r="M454" s="10">
        <f>IF(Tabla5[[#This Row],[Orden Cobrada]]="Cobrada",((Tabla5[[#This Row],[Ganancia Neta]]/Tabla5[[#This Row],[Ganancia Bruta]])*100)/100,-((Tabla5[[#This Row],[Ganancia Neta]]/Tabla5[[#This Row],[Ganancia Bruta]]*100)/100))</f>
        <v>0.39240506329113922</v>
      </c>
      <c r="N454" s="5" t="str">
        <f>sala!F453</f>
        <v>Mesero_4</v>
      </c>
      <c r="AY454" cm="1">
        <f t="array" ref="AY454">SUM(IF(Cocina!A:A=Tabla5[[#This Row],[Nº Orden]],Cocina!F:F*Cocina!G:G,0))</f>
        <v>158</v>
      </c>
      <c r="AZ454" cm="1">
        <f t="array" ref="AZ454">SUM(IF(Cocina!A:A=Tabla5[[#This Row],[Nº Orden]],Cocina!E:E*Cocina!G:G,0))</f>
        <v>96</v>
      </c>
      <c r="BB454" t="str">
        <f>MID(Tabla4[[#This Row],[Cliente]], SEARCH("_", Tabla4[[#This Row],[Cliente]]) + 1, LEN(Tabla4[[#This Row],[Cliente]]) - SEARCH("_",Tabla4[[#This Row],[Cliente]]))</f>
        <v>589</v>
      </c>
      <c r="BC454" t="str">
        <f>sala!B453</f>
        <v>Cliente_589</v>
      </c>
      <c r="BD454" s="1">
        <f>sala!D453</f>
        <v>45021.120138888888</v>
      </c>
      <c r="BE454" s="1">
        <f>sala!E453</f>
        <v>45021.22152777778</v>
      </c>
      <c r="BF454">
        <f>sala!K453</f>
        <v>452</v>
      </c>
      <c r="BG454">
        <f>sala!I453</f>
        <v>4348</v>
      </c>
      <c r="BH454" cm="1">
        <f t="array" ref="BH454">SUM(IF(Cocina!A:A=Tabla4[[#This Row],[Número de Orden]],Cocina!F:F*Cocina!G:G,0))</f>
        <v>158</v>
      </c>
      <c r="BI454" t="str">
        <f>sala!J453</f>
        <v>Reservada</v>
      </c>
      <c r="BJ454" s="4" t="str">
        <f>IF(Tabla4[[#This Row],[Estado mesa]]="Ocupada","00:15","00:00")</f>
        <v>00:00</v>
      </c>
      <c r="BK454" cm="1">
        <f t="array" ref="BK454">SUM(IF(Cocina!A:A=Tabla4[[#This Row],[Número de Orden]],Cocina!H:H,0))</f>
        <v>123</v>
      </c>
    </row>
    <row r="455" spans="1:63" x14ac:dyDescent="0.3">
      <c r="A455" s="8" t="str">
        <f>MID(Tabla4[[#This Row],[Cliente]], SEARCH("_", Tabla4[[#This Row],[Cliente]]) + 1, LEN(Tabla4[[#This Row],[Cliente]]) - SEARCH("_",Tabla4[[#This Row],[Cliente]]))</f>
        <v>284</v>
      </c>
      <c r="B455">
        <f>sala!K454</f>
        <v>453</v>
      </c>
      <c r="C455">
        <f>Tabla4[[#This Row],[Propina]]+Tabla4[[#This Row],[Precio Cena]]</f>
        <v>3813</v>
      </c>
      <c r="D455" s="3">
        <f>INT(sala!E454)</f>
        <v>45021</v>
      </c>
      <c r="E455" s="4">
        <f>MOD( sala!D454,1)</f>
        <v>0.15416666666715173</v>
      </c>
      <c r="F455" s="4">
        <f>MOD( sala!E454,1)</f>
        <v>0.21319444444088731</v>
      </c>
      <c r="G455" s="4">
        <f>Tabla5[[#This Row],[Hora de Salida]]-Tabla5[[#This Row],[Hora de Llegada]]+Tabla4[[#This Row],[Tiempo Extra]]</f>
        <v>5.9027777773735579E-2</v>
      </c>
      <c r="H455" s="5" t="str">
        <f>TEXT(Tabla4[[#This Row],[Preparación en horas]]/1440, "h:mm")</f>
        <v>1:40</v>
      </c>
      <c r="I455" s="4">
        <f>IF(Tabla5[[#This Row],[Tiempo Permanencia]]-Tabla5[[#This Row],[Tiempo de Preparación ]]&gt;=0,Tabla5[[#This Row],[Tiempo Permanencia]]-Tabla5[[#This Row],[Tiempo de Preparación ]],0)</f>
        <v>0</v>
      </c>
      <c r="J455" s="5" t="str">
        <f>IF(Tabla5[[#This Row],[Tiempo de Degustación]]=0,"No Cobrada","Cobrada")</f>
        <v>No Cobrada</v>
      </c>
      <c r="K455" s="5" cm="1">
        <f t="array" ref="K455">SUM(IF(Tabla5[[#This Row],[Orden Cobrada]]="Cobrada",IF(Cocina!A:A=Tabla5[[#This Row],[Nº Orden]],Cocina!F:F*Cocina!G:G,0),-Tabla6[[#This Row],[Precio Cena]]))</f>
        <v>-130</v>
      </c>
      <c r="L455" s="5">
        <f>IF(Tabla5[[#This Row],[Orden Cobrada]]="Cobrada",Tabla5[[#This Row],[Ganancia Bruta]]-Tabla6[[#This Row],[Coste Cena]],-Tabla6[[#This Row],[Precio Cena]]+Tabla6[[#This Row],[Coste Cena]])</f>
        <v>-53</v>
      </c>
      <c r="M455" s="10">
        <f>IF(Tabla5[[#This Row],[Orden Cobrada]]="Cobrada",((Tabla5[[#This Row],[Ganancia Neta]]/Tabla5[[#This Row],[Ganancia Bruta]])*100)/100,-((Tabla5[[#This Row],[Ganancia Neta]]/Tabla5[[#This Row],[Ganancia Bruta]]*100)/100))</f>
        <v>-0.40769230769230769</v>
      </c>
      <c r="N455" s="5" t="str">
        <f>sala!F454</f>
        <v>Mesero_2</v>
      </c>
      <c r="AY455" cm="1">
        <f t="array" ref="AY455">SUM(IF(Cocina!A:A=Tabla5[[#This Row],[Nº Orden]],Cocina!F:F*Cocina!G:G,0))</f>
        <v>130</v>
      </c>
      <c r="AZ455" cm="1">
        <f t="array" ref="AZ455">SUM(IF(Cocina!A:A=Tabla5[[#This Row],[Nº Orden]],Cocina!E:E*Cocina!G:G,0))</f>
        <v>77</v>
      </c>
      <c r="BB455" t="str">
        <f>MID(Tabla4[[#This Row],[Cliente]], SEARCH("_", Tabla4[[#This Row],[Cliente]]) + 1, LEN(Tabla4[[#This Row],[Cliente]]) - SEARCH("_",Tabla4[[#This Row],[Cliente]]))</f>
        <v>284</v>
      </c>
      <c r="BC455" t="str">
        <f>sala!B454</f>
        <v>Cliente_284</v>
      </c>
      <c r="BD455" s="1">
        <f>sala!D454</f>
        <v>45021.154166666667</v>
      </c>
      <c r="BE455" s="1">
        <f>sala!E454</f>
        <v>45021.213194444441</v>
      </c>
      <c r="BF455">
        <f>sala!K454</f>
        <v>453</v>
      </c>
      <c r="BG455">
        <f>sala!I454</f>
        <v>3683</v>
      </c>
      <c r="BH455" cm="1">
        <f t="array" ref="BH455">SUM(IF(Cocina!A:A=Tabla4[[#This Row],[Número de Orden]],Cocina!F:F*Cocina!G:G,0))</f>
        <v>130</v>
      </c>
      <c r="BI455" t="str">
        <f>sala!J454</f>
        <v>Libre</v>
      </c>
      <c r="BJ455" s="4" t="str">
        <f>IF(Tabla4[[#This Row],[Estado mesa]]="Ocupada","00:15","00:00")</f>
        <v>00:00</v>
      </c>
      <c r="BK455" cm="1">
        <f t="array" ref="BK455">SUM(IF(Cocina!A:A=Tabla4[[#This Row],[Número de Orden]],Cocina!H:H,0))</f>
        <v>100</v>
      </c>
    </row>
    <row r="456" spans="1:63" x14ac:dyDescent="0.3">
      <c r="A456" s="8" t="str">
        <f>MID(Tabla4[[#This Row],[Cliente]], SEARCH("_", Tabla4[[#This Row],[Cliente]]) + 1, LEN(Tabla4[[#This Row],[Cliente]]) - SEARCH("_",Tabla4[[#This Row],[Cliente]]))</f>
        <v>342</v>
      </c>
      <c r="B456">
        <f>sala!K455</f>
        <v>454</v>
      </c>
      <c r="C456">
        <f>Tabla4[[#This Row],[Propina]]+Tabla4[[#This Row],[Precio Cena]]</f>
        <v>4195</v>
      </c>
      <c r="D456" s="3">
        <f>INT(sala!E455)</f>
        <v>45021</v>
      </c>
      <c r="E456" s="4">
        <f>MOD( sala!D455,1)</f>
        <v>0.14305555555620231</v>
      </c>
      <c r="F456" s="4">
        <f>MOD( sala!E455,1)</f>
        <v>0.20347222222335404</v>
      </c>
      <c r="G456" s="4">
        <f>Tabla5[[#This Row],[Hora de Salida]]-Tabla5[[#This Row],[Hora de Llegada]]+Tabla4[[#This Row],[Tiempo Extra]]</f>
        <v>6.0416666667151731E-2</v>
      </c>
      <c r="H456" s="5" t="str">
        <f>TEXT(Tabla4[[#This Row],[Preparación en horas]]/1440, "h:mm")</f>
        <v>2:33</v>
      </c>
      <c r="I456" s="4">
        <f>IF(Tabla5[[#This Row],[Tiempo Permanencia]]-Tabla5[[#This Row],[Tiempo de Preparación ]]&gt;=0,Tabla5[[#This Row],[Tiempo Permanencia]]-Tabla5[[#This Row],[Tiempo de Preparación ]],0)</f>
        <v>0</v>
      </c>
      <c r="J456" s="5" t="str">
        <f>IF(Tabla5[[#This Row],[Tiempo de Degustación]]=0,"No Cobrada","Cobrada")</f>
        <v>No Cobrada</v>
      </c>
      <c r="K456" s="5" cm="1">
        <f t="array" ref="K456">SUM(IF(Tabla5[[#This Row],[Orden Cobrada]]="Cobrada",IF(Cocina!A:A=Tabla5[[#This Row],[Nº Orden]],Cocina!F:F*Cocina!G:G,0),-Tabla6[[#This Row],[Precio Cena]]))</f>
        <v>-233</v>
      </c>
      <c r="L456" s="5">
        <f>IF(Tabla5[[#This Row],[Orden Cobrada]]="Cobrada",Tabla5[[#This Row],[Ganancia Bruta]]-Tabla6[[#This Row],[Coste Cena]],-Tabla6[[#This Row],[Precio Cena]]+Tabla6[[#This Row],[Coste Cena]])</f>
        <v>-94</v>
      </c>
      <c r="M456" s="10">
        <f>IF(Tabla5[[#This Row],[Orden Cobrada]]="Cobrada",((Tabla5[[#This Row],[Ganancia Neta]]/Tabla5[[#This Row],[Ganancia Bruta]])*100)/100,-((Tabla5[[#This Row],[Ganancia Neta]]/Tabla5[[#This Row],[Ganancia Bruta]]*100)/100))</f>
        <v>-0.40343347639484972</v>
      </c>
      <c r="N456" s="5" t="str">
        <f>sala!F455</f>
        <v>Mesero_1</v>
      </c>
      <c r="AY456" cm="1">
        <f t="array" ref="AY456">SUM(IF(Cocina!A:A=Tabla5[[#This Row],[Nº Orden]],Cocina!F:F*Cocina!G:G,0))</f>
        <v>233</v>
      </c>
      <c r="AZ456" cm="1">
        <f t="array" ref="AZ456">SUM(IF(Cocina!A:A=Tabla5[[#This Row],[Nº Orden]],Cocina!E:E*Cocina!G:G,0))</f>
        <v>139</v>
      </c>
      <c r="BB456" t="str">
        <f>MID(Tabla4[[#This Row],[Cliente]], SEARCH("_", Tabla4[[#This Row],[Cliente]]) + 1, LEN(Tabla4[[#This Row],[Cliente]]) - SEARCH("_",Tabla4[[#This Row],[Cliente]]))</f>
        <v>342</v>
      </c>
      <c r="BC456" t="str">
        <f>sala!B455</f>
        <v>Cliente_342</v>
      </c>
      <c r="BD456" s="1">
        <f>sala!D455</f>
        <v>45021.143055555556</v>
      </c>
      <c r="BE456" s="1">
        <f>sala!E455</f>
        <v>45021.203472222223</v>
      </c>
      <c r="BF456">
        <f>sala!K455</f>
        <v>454</v>
      </c>
      <c r="BG456">
        <f>sala!I455</f>
        <v>3962</v>
      </c>
      <c r="BH456" cm="1">
        <f t="array" ref="BH456">SUM(IF(Cocina!A:A=Tabla4[[#This Row],[Número de Orden]],Cocina!F:F*Cocina!G:G,0))</f>
        <v>233</v>
      </c>
      <c r="BI456" t="str">
        <f>sala!J455</f>
        <v>Libre</v>
      </c>
      <c r="BJ456" s="4" t="str">
        <f>IF(Tabla4[[#This Row],[Estado mesa]]="Ocupada","00:15","00:00")</f>
        <v>00:00</v>
      </c>
      <c r="BK456" cm="1">
        <f t="array" ref="BK456">SUM(IF(Cocina!A:A=Tabla4[[#This Row],[Número de Orden]],Cocina!H:H,0))</f>
        <v>153</v>
      </c>
    </row>
    <row r="457" spans="1:63" x14ac:dyDescent="0.3">
      <c r="A457" s="8" t="str">
        <f>MID(Tabla4[[#This Row],[Cliente]], SEARCH("_", Tabla4[[#This Row],[Cliente]]) + 1, LEN(Tabla4[[#This Row],[Cliente]]) - SEARCH("_",Tabla4[[#This Row],[Cliente]]))</f>
        <v>665</v>
      </c>
      <c r="B457">
        <f>sala!K456</f>
        <v>455</v>
      </c>
      <c r="C457">
        <f>Tabla4[[#This Row],[Propina]]+Tabla4[[#This Row],[Precio Cena]]</f>
        <v>245</v>
      </c>
      <c r="D457" s="3">
        <f>INT(sala!E456)</f>
        <v>45021</v>
      </c>
      <c r="E457" s="4">
        <f>MOD( sala!D456,1)</f>
        <v>0.16527777777810115</v>
      </c>
      <c r="F457" s="4">
        <f>MOD( sala!E456,1)</f>
        <v>0.24583333333430346</v>
      </c>
      <c r="G457" s="4">
        <f>Tabla5[[#This Row],[Hora de Salida]]-Tabla5[[#This Row],[Hora de Llegada]]+Tabla4[[#This Row],[Tiempo Extra]]</f>
        <v>8.0555555556202307E-2</v>
      </c>
      <c r="H457" s="5" t="str">
        <f>TEXT(Tabla4[[#This Row],[Preparación en horas]]/1440, "h:mm")</f>
        <v>0:11</v>
      </c>
      <c r="I457" s="4">
        <f>IF(Tabla5[[#This Row],[Tiempo Permanencia]]-Tabla5[[#This Row],[Tiempo de Preparación ]]&gt;=0,Tabla5[[#This Row],[Tiempo Permanencia]]-Tabla5[[#This Row],[Tiempo de Preparación ]],0)</f>
        <v>7.2916666667313418E-2</v>
      </c>
      <c r="J457" s="5" t="str">
        <f>IF(Tabla5[[#This Row],[Tiempo de Degustación]]=0,"No Cobrada","Cobrada")</f>
        <v>Cobrada</v>
      </c>
      <c r="K457" s="5" cm="1">
        <f t="array" ref="K457">SUM(IF(Tabla5[[#This Row],[Orden Cobrada]]="Cobrada",IF(Cocina!A:A=Tabla5[[#This Row],[Nº Orden]],Cocina!F:F*Cocina!G:G,0),-Tabla6[[#This Row],[Precio Cena]]))</f>
        <v>48</v>
      </c>
      <c r="L457" s="5">
        <f>IF(Tabla5[[#This Row],[Orden Cobrada]]="Cobrada",Tabla5[[#This Row],[Ganancia Bruta]]-Tabla6[[#This Row],[Coste Cena]],-Tabla6[[#This Row],[Precio Cena]]+Tabla6[[#This Row],[Coste Cena]])</f>
        <v>20</v>
      </c>
      <c r="M457" s="10">
        <f>IF(Tabla5[[#This Row],[Orden Cobrada]]="Cobrada",((Tabla5[[#This Row],[Ganancia Neta]]/Tabla5[[#This Row],[Ganancia Bruta]])*100)/100,-((Tabla5[[#This Row],[Ganancia Neta]]/Tabla5[[#This Row],[Ganancia Bruta]]*100)/100))</f>
        <v>0.41666666666666674</v>
      </c>
      <c r="N457" s="5" t="str">
        <f>sala!F456</f>
        <v>Mesero_5</v>
      </c>
      <c r="AY457" cm="1">
        <f t="array" ref="AY457">SUM(IF(Cocina!A:A=Tabla5[[#This Row],[Nº Orden]],Cocina!F:F*Cocina!G:G,0))</f>
        <v>48</v>
      </c>
      <c r="AZ457" cm="1">
        <f t="array" ref="AZ457">SUM(IF(Cocina!A:A=Tabla5[[#This Row],[Nº Orden]],Cocina!E:E*Cocina!G:G,0))</f>
        <v>28</v>
      </c>
      <c r="BB457" t="str">
        <f>MID(Tabla4[[#This Row],[Cliente]], SEARCH("_", Tabla4[[#This Row],[Cliente]]) + 1, LEN(Tabla4[[#This Row],[Cliente]]) - SEARCH("_",Tabla4[[#This Row],[Cliente]]))</f>
        <v>665</v>
      </c>
      <c r="BC457" t="str">
        <f>sala!B456</f>
        <v>Cliente_665</v>
      </c>
      <c r="BD457" s="1">
        <f>sala!D456</f>
        <v>45021.165277777778</v>
      </c>
      <c r="BE457" s="1">
        <f>sala!E456</f>
        <v>45021.245833333334</v>
      </c>
      <c r="BF457">
        <f>sala!K456</f>
        <v>455</v>
      </c>
      <c r="BG457">
        <f>sala!I456</f>
        <v>197</v>
      </c>
      <c r="BH457" cm="1">
        <f t="array" ref="BH457">SUM(IF(Cocina!A:A=Tabla4[[#This Row],[Número de Orden]],Cocina!F:F*Cocina!G:G,0))</f>
        <v>48</v>
      </c>
      <c r="BI457" t="str">
        <f>sala!J456</f>
        <v>Reservada</v>
      </c>
      <c r="BJ457" s="4" t="str">
        <f>IF(Tabla4[[#This Row],[Estado mesa]]="Ocupada","00:15","00:00")</f>
        <v>00:00</v>
      </c>
      <c r="BK457" cm="1">
        <f t="array" ref="BK457">SUM(IF(Cocina!A:A=Tabla4[[#This Row],[Número de Orden]],Cocina!H:H,0))</f>
        <v>11</v>
      </c>
    </row>
    <row r="458" spans="1:63" x14ac:dyDescent="0.3">
      <c r="A458" s="8" t="str">
        <f>MID(Tabla4[[#This Row],[Cliente]], SEARCH("_", Tabla4[[#This Row],[Cliente]]) + 1, LEN(Tabla4[[#This Row],[Cliente]]) - SEARCH("_",Tabla4[[#This Row],[Cliente]]))</f>
        <v>207</v>
      </c>
      <c r="B458">
        <f>sala!K457</f>
        <v>456</v>
      </c>
      <c r="C458">
        <f>Tabla4[[#This Row],[Propina]]+Tabla4[[#This Row],[Precio Cena]]</f>
        <v>2342</v>
      </c>
      <c r="D458" s="3">
        <f>INT(sala!E457)</f>
        <v>45021</v>
      </c>
      <c r="E458" s="4">
        <f>MOD( sala!D457,1)</f>
        <v>9.1666666667151731E-2</v>
      </c>
      <c r="F458" s="4">
        <f>MOD( sala!E457,1)</f>
        <v>0.21875</v>
      </c>
      <c r="G458" s="4">
        <f>Tabla5[[#This Row],[Hora de Salida]]-Tabla5[[#This Row],[Hora de Llegada]]+Tabla4[[#This Row],[Tiempo Extra]]</f>
        <v>0.12708333333284827</v>
      </c>
      <c r="H458" s="5" t="str">
        <f>TEXT(Tabla4[[#This Row],[Preparación en horas]]/1440, "h:mm")</f>
        <v>1:11</v>
      </c>
      <c r="I458" s="4">
        <f>IF(Tabla5[[#This Row],[Tiempo Permanencia]]-Tabla5[[#This Row],[Tiempo de Preparación ]]&gt;=0,Tabla5[[#This Row],[Tiempo Permanencia]]-Tabla5[[#This Row],[Tiempo de Preparación ]],0)</f>
        <v>7.7777777777292723E-2</v>
      </c>
      <c r="J458" s="5" t="str">
        <f>IF(Tabla5[[#This Row],[Tiempo de Degustación]]=0,"No Cobrada","Cobrada")</f>
        <v>Cobrada</v>
      </c>
      <c r="K458" s="5" cm="1">
        <f t="array" ref="K458">SUM(IF(Tabla5[[#This Row],[Orden Cobrada]]="Cobrada",IF(Cocina!A:A=Tabla5[[#This Row],[Nº Orden]],Cocina!F:F*Cocina!G:G,0),-Tabla6[[#This Row],[Precio Cena]]))</f>
        <v>148</v>
      </c>
      <c r="L458" s="5">
        <f>IF(Tabla5[[#This Row],[Orden Cobrada]]="Cobrada",Tabla5[[#This Row],[Ganancia Bruta]]-Tabla6[[#This Row],[Coste Cena]],-Tabla6[[#This Row],[Precio Cena]]+Tabla6[[#This Row],[Coste Cena]])</f>
        <v>58</v>
      </c>
      <c r="M458" s="10">
        <f>IF(Tabla5[[#This Row],[Orden Cobrada]]="Cobrada",((Tabla5[[#This Row],[Ganancia Neta]]/Tabla5[[#This Row],[Ganancia Bruta]])*100)/100,-((Tabla5[[#This Row],[Ganancia Neta]]/Tabla5[[#This Row],[Ganancia Bruta]]*100)/100))</f>
        <v>0.39189189189189189</v>
      </c>
      <c r="N458" s="5" t="str">
        <f>sala!F457</f>
        <v>Mesero_4</v>
      </c>
      <c r="AY458" cm="1">
        <f t="array" ref="AY458">SUM(IF(Cocina!A:A=Tabla5[[#This Row],[Nº Orden]],Cocina!F:F*Cocina!G:G,0))</f>
        <v>148</v>
      </c>
      <c r="AZ458" cm="1">
        <f t="array" ref="AZ458">SUM(IF(Cocina!A:A=Tabla5[[#This Row],[Nº Orden]],Cocina!E:E*Cocina!G:G,0))</f>
        <v>90</v>
      </c>
      <c r="BB458" t="str">
        <f>MID(Tabla4[[#This Row],[Cliente]], SEARCH("_", Tabla4[[#This Row],[Cliente]]) + 1, LEN(Tabla4[[#This Row],[Cliente]]) - SEARCH("_",Tabla4[[#This Row],[Cliente]]))</f>
        <v>207</v>
      </c>
      <c r="BC458" t="str">
        <f>sala!B457</f>
        <v>Cliente_207</v>
      </c>
      <c r="BD458" s="1">
        <f>sala!D457</f>
        <v>45021.091666666667</v>
      </c>
      <c r="BE458" s="1">
        <f>sala!E457</f>
        <v>45021.21875</v>
      </c>
      <c r="BF458">
        <f>sala!K457</f>
        <v>456</v>
      </c>
      <c r="BG458">
        <f>sala!I457</f>
        <v>2194</v>
      </c>
      <c r="BH458" cm="1">
        <f t="array" ref="BH458">SUM(IF(Cocina!A:A=Tabla4[[#This Row],[Número de Orden]],Cocina!F:F*Cocina!G:G,0))</f>
        <v>148</v>
      </c>
      <c r="BI458" t="str">
        <f>sala!J457</f>
        <v>Libre</v>
      </c>
      <c r="BJ458" s="4" t="str">
        <f>IF(Tabla4[[#This Row],[Estado mesa]]="Ocupada","00:15","00:00")</f>
        <v>00:00</v>
      </c>
      <c r="BK458" cm="1">
        <f t="array" ref="BK458">SUM(IF(Cocina!A:A=Tabla4[[#This Row],[Número de Orden]],Cocina!H:H,0))</f>
        <v>71</v>
      </c>
    </row>
    <row r="459" spans="1:63" x14ac:dyDescent="0.3">
      <c r="A459" s="8" t="str">
        <f>MID(Tabla4[[#This Row],[Cliente]], SEARCH("_", Tabla4[[#This Row],[Cliente]]) + 1, LEN(Tabla4[[#This Row],[Cliente]]) - SEARCH("_",Tabla4[[#This Row],[Cliente]]))</f>
        <v>531</v>
      </c>
      <c r="B459">
        <f>sala!K458</f>
        <v>457</v>
      </c>
      <c r="C459">
        <f>Tabla4[[#This Row],[Propina]]+Tabla4[[#This Row],[Precio Cena]]</f>
        <v>1863</v>
      </c>
      <c r="D459" s="3">
        <f>INT(sala!E458)</f>
        <v>45021</v>
      </c>
      <c r="E459" s="4">
        <f>MOD( sala!D458,1)</f>
        <v>0.15833333333284827</v>
      </c>
      <c r="F459" s="4">
        <f>MOD( sala!E458,1)</f>
        <v>0.31388888888614019</v>
      </c>
      <c r="G459" s="4">
        <f>Tabla5[[#This Row],[Hora de Salida]]-Tabla5[[#This Row],[Hora de Llegada]]+Tabla4[[#This Row],[Tiempo Extra]]</f>
        <v>0.15555555555329192</v>
      </c>
      <c r="H459" s="5" t="str">
        <f>TEXT(Tabla4[[#This Row],[Preparación en horas]]/1440, "h:mm")</f>
        <v>0:58</v>
      </c>
      <c r="I459" s="4">
        <f>IF(Tabla5[[#This Row],[Tiempo Permanencia]]-Tabla5[[#This Row],[Tiempo de Preparación ]]&gt;=0,Tabla5[[#This Row],[Tiempo Permanencia]]-Tabla5[[#This Row],[Tiempo de Preparación ]],0)</f>
        <v>0.11527777777551415</v>
      </c>
      <c r="J459" s="5" t="str">
        <f>IF(Tabla5[[#This Row],[Tiempo de Degustación]]=0,"No Cobrada","Cobrada")</f>
        <v>Cobrada</v>
      </c>
      <c r="K459" s="5" cm="1">
        <f t="array" ref="K459">SUM(IF(Tabla5[[#This Row],[Orden Cobrada]]="Cobrada",IF(Cocina!A:A=Tabla5[[#This Row],[Nº Orden]],Cocina!F:F*Cocina!G:G,0),-Tabla6[[#This Row],[Precio Cena]]))</f>
        <v>137</v>
      </c>
      <c r="L459" s="5">
        <f>IF(Tabla5[[#This Row],[Orden Cobrada]]="Cobrada",Tabla5[[#This Row],[Ganancia Bruta]]-Tabla6[[#This Row],[Coste Cena]],-Tabla6[[#This Row],[Precio Cena]]+Tabla6[[#This Row],[Coste Cena]])</f>
        <v>55</v>
      </c>
      <c r="M459" s="10">
        <f>IF(Tabla5[[#This Row],[Orden Cobrada]]="Cobrada",((Tabla5[[#This Row],[Ganancia Neta]]/Tabla5[[#This Row],[Ganancia Bruta]])*100)/100,-((Tabla5[[#This Row],[Ganancia Neta]]/Tabla5[[#This Row],[Ganancia Bruta]]*100)/100))</f>
        <v>0.40145985401459855</v>
      </c>
      <c r="N459" s="5" t="str">
        <f>sala!F458</f>
        <v>Mesero_2</v>
      </c>
      <c r="AY459" cm="1">
        <f t="array" ref="AY459">SUM(IF(Cocina!A:A=Tabla5[[#This Row],[Nº Orden]],Cocina!F:F*Cocina!G:G,0))</f>
        <v>137</v>
      </c>
      <c r="AZ459" cm="1">
        <f t="array" ref="AZ459">SUM(IF(Cocina!A:A=Tabla5[[#This Row],[Nº Orden]],Cocina!E:E*Cocina!G:G,0))</f>
        <v>82</v>
      </c>
      <c r="BB459" t="str">
        <f>MID(Tabla4[[#This Row],[Cliente]], SEARCH("_", Tabla4[[#This Row],[Cliente]]) + 1, LEN(Tabla4[[#This Row],[Cliente]]) - SEARCH("_",Tabla4[[#This Row],[Cliente]]))</f>
        <v>531</v>
      </c>
      <c r="BC459" t="str">
        <f>sala!B458</f>
        <v>Cliente_531</v>
      </c>
      <c r="BD459" s="1">
        <f>sala!D458</f>
        <v>45021.158333333333</v>
      </c>
      <c r="BE459" s="1">
        <f>sala!E458</f>
        <v>45021.313888888886</v>
      </c>
      <c r="BF459">
        <f>sala!K458</f>
        <v>457</v>
      </c>
      <c r="BG459">
        <f>sala!I458</f>
        <v>1726</v>
      </c>
      <c r="BH459" cm="1">
        <f t="array" ref="BH459">SUM(IF(Cocina!A:A=Tabla4[[#This Row],[Número de Orden]],Cocina!F:F*Cocina!G:G,0))</f>
        <v>137</v>
      </c>
      <c r="BI459" t="str">
        <f>sala!J458</f>
        <v>Reservada</v>
      </c>
      <c r="BJ459" s="4" t="str">
        <f>IF(Tabla4[[#This Row],[Estado mesa]]="Ocupada","00:15","00:00")</f>
        <v>00:00</v>
      </c>
      <c r="BK459" cm="1">
        <f t="array" ref="BK459">SUM(IF(Cocina!A:A=Tabla4[[#This Row],[Número de Orden]],Cocina!H:H,0))</f>
        <v>58</v>
      </c>
    </row>
    <row r="460" spans="1:63" x14ac:dyDescent="0.3">
      <c r="A460" s="8" t="str">
        <f>MID(Tabla4[[#This Row],[Cliente]], SEARCH("_", Tabla4[[#This Row],[Cliente]]) + 1, LEN(Tabla4[[#This Row],[Cliente]]) - SEARCH("_",Tabla4[[#This Row],[Cliente]]))</f>
        <v>420</v>
      </c>
      <c r="B460">
        <f>sala!K459</f>
        <v>458</v>
      </c>
      <c r="C460">
        <f>Tabla4[[#This Row],[Propina]]+Tabla4[[#This Row],[Precio Cena]]</f>
        <v>1789</v>
      </c>
      <c r="D460" s="3">
        <f>INT(sala!E459)</f>
        <v>45021</v>
      </c>
      <c r="E460" s="4">
        <f>MOD( sala!D459,1)</f>
        <v>0.11180555555620231</v>
      </c>
      <c r="F460" s="4">
        <f>MOD( sala!E459,1)</f>
        <v>0.18125000000145519</v>
      </c>
      <c r="G460" s="4">
        <f>Tabla5[[#This Row],[Hora de Salida]]-Tabla5[[#This Row],[Hora de Llegada]]+Tabla4[[#This Row],[Tiempo Extra]]</f>
        <v>7.9861111111919555E-2</v>
      </c>
      <c r="H460" s="5" t="str">
        <f>TEXT(Tabla4[[#This Row],[Preparación en horas]]/1440, "h:mm")</f>
        <v>1:29</v>
      </c>
      <c r="I460" s="4">
        <f>IF(Tabla5[[#This Row],[Tiempo Permanencia]]-Tabla5[[#This Row],[Tiempo de Preparación ]]&gt;=0,Tabla5[[#This Row],[Tiempo Permanencia]]-Tabla5[[#This Row],[Tiempo de Preparación ]],0)</f>
        <v>1.8055555556363997E-2</v>
      </c>
      <c r="J460" s="5" t="str">
        <f>IF(Tabla5[[#This Row],[Tiempo de Degustación]]=0,"No Cobrada","Cobrada")</f>
        <v>Cobrada</v>
      </c>
      <c r="K460" s="5" cm="1">
        <f t="array" ref="K460">SUM(IF(Tabla5[[#This Row],[Orden Cobrada]]="Cobrada",IF(Cocina!A:A=Tabla5[[#This Row],[Nº Orden]],Cocina!F:F*Cocina!G:G,0),-Tabla6[[#This Row],[Precio Cena]]))</f>
        <v>268</v>
      </c>
      <c r="L460" s="5">
        <f>IF(Tabla5[[#This Row],[Orden Cobrada]]="Cobrada",Tabla5[[#This Row],[Ganancia Bruta]]-Tabla6[[#This Row],[Coste Cena]],-Tabla6[[#This Row],[Precio Cena]]+Tabla6[[#This Row],[Coste Cena]])</f>
        <v>110</v>
      </c>
      <c r="M460" s="10">
        <f>IF(Tabla5[[#This Row],[Orden Cobrada]]="Cobrada",((Tabla5[[#This Row],[Ganancia Neta]]/Tabla5[[#This Row],[Ganancia Bruta]])*100)/100,-((Tabla5[[#This Row],[Ganancia Neta]]/Tabla5[[#This Row],[Ganancia Bruta]]*100)/100))</f>
        <v>0.41044776119402987</v>
      </c>
      <c r="N460" s="5" t="str">
        <f>sala!F459</f>
        <v>Mesero_4</v>
      </c>
      <c r="AY460" cm="1">
        <f t="array" ref="AY460">SUM(IF(Cocina!A:A=Tabla5[[#This Row],[Nº Orden]],Cocina!F:F*Cocina!G:G,0))</f>
        <v>268</v>
      </c>
      <c r="AZ460" cm="1">
        <f t="array" ref="AZ460">SUM(IF(Cocina!A:A=Tabla5[[#This Row],[Nº Orden]],Cocina!E:E*Cocina!G:G,0))</f>
        <v>158</v>
      </c>
      <c r="BB460" t="str">
        <f>MID(Tabla4[[#This Row],[Cliente]], SEARCH("_", Tabla4[[#This Row],[Cliente]]) + 1, LEN(Tabla4[[#This Row],[Cliente]]) - SEARCH("_",Tabla4[[#This Row],[Cliente]]))</f>
        <v>420</v>
      </c>
      <c r="BC460" t="str">
        <f>sala!B459</f>
        <v>Cliente_420</v>
      </c>
      <c r="BD460" s="1">
        <f>sala!D459</f>
        <v>45021.111805555556</v>
      </c>
      <c r="BE460" s="1">
        <f>sala!E459</f>
        <v>45021.181250000001</v>
      </c>
      <c r="BF460">
        <f>sala!K459</f>
        <v>458</v>
      </c>
      <c r="BG460">
        <f>sala!I459</f>
        <v>1521</v>
      </c>
      <c r="BH460" cm="1">
        <f t="array" ref="BH460">SUM(IF(Cocina!A:A=Tabla4[[#This Row],[Número de Orden]],Cocina!F:F*Cocina!G:G,0))</f>
        <v>268</v>
      </c>
      <c r="BI460" t="str">
        <f>sala!J459</f>
        <v>Ocupada</v>
      </c>
      <c r="BJ460" s="4" t="str">
        <f>IF(Tabla4[[#This Row],[Estado mesa]]="Ocupada","00:15","00:00")</f>
        <v>00:15</v>
      </c>
      <c r="BK460" cm="1">
        <f t="array" ref="BK460">SUM(IF(Cocina!A:A=Tabla4[[#This Row],[Número de Orden]],Cocina!H:H,0))</f>
        <v>89</v>
      </c>
    </row>
    <row r="461" spans="1:63" x14ac:dyDescent="0.3">
      <c r="A461" s="8" t="str">
        <f>MID(Tabla4[[#This Row],[Cliente]], SEARCH("_", Tabla4[[#This Row],[Cliente]]) + 1, LEN(Tabla4[[#This Row],[Cliente]]) - SEARCH("_",Tabla4[[#This Row],[Cliente]]))</f>
        <v>989</v>
      </c>
      <c r="B461">
        <f>sala!K460</f>
        <v>459</v>
      </c>
      <c r="C461">
        <f>Tabla4[[#This Row],[Propina]]+Tabla4[[#This Row],[Precio Cena]]</f>
        <v>3361</v>
      </c>
      <c r="D461" s="3">
        <f>INT(sala!E460)</f>
        <v>45021</v>
      </c>
      <c r="E461" s="4">
        <f>MOD( sala!D460,1)</f>
        <v>1.6666666670062114E-2</v>
      </c>
      <c r="F461" s="4">
        <f>MOD( sala!E460,1)</f>
        <v>9.1666666667151731E-2</v>
      </c>
      <c r="G461" s="4">
        <f>Tabla5[[#This Row],[Hora de Salida]]-Tabla5[[#This Row],[Hora de Llegada]]+Tabla4[[#This Row],[Tiempo Extra]]</f>
        <v>8.5416666663756288E-2</v>
      </c>
      <c r="H461" s="5" t="str">
        <f>TEXT(Tabla4[[#This Row],[Preparación en horas]]/1440, "h:mm")</f>
        <v>0:30</v>
      </c>
      <c r="I461" s="4">
        <f>IF(Tabla5[[#This Row],[Tiempo Permanencia]]-Tabla5[[#This Row],[Tiempo de Preparación ]]&gt;=0,Tabla5[[#This Row],[Tiempo Permanencia]]-Tabla5[[#This Row],[Tiempo de Preparación ]],0)</f>
        <v>6.458333333042296E-2</v>
      </c>
      <c r="J461" s="5" t="str">
        <f>IF(Tabla5[[#This Row],[Tiempo de Degustación]]=0,"No Cobrada","Cobrada")</f>
        <v>Cobrada</v>
      </c>
      <c r="K461" s="5" cm="1">
        <f t="array" ref="K461">SUM(IF(Tabla5[[#This Row],[Orden Cobrada]]="Cobrada",IF(Cocina!A:A=Tabla5[[#This Row],[Nº Orden]],Cocina!F:F*Cocina!G:G,0),-Tabla6[[#This Row],[Precio Cena]]))</f>
        <v>84</v>
      </c>
      <c r="L461" s="5">
        <f>IF(Tabla5[[#This Row],[Orden Cobrada]]="Cobrada",Tabla5[[#This Row],[Ganancia Bruta]]-Tabla6[[#This Row],[Coste Cena]],-Tabla6[[#This Row],[Precio Cena]]+Tabla6[[#This Row],[Coste Cena]])</f>
        <v>36</v>
      </c>
      <c r="M461" s="10">
        <f>IF(Tabla5[[#This Row],[Orden Cobrada]]="Cobrada",((Tabla5[[#This Row],[Ganancia Neta]]/Tabla5[[#This Row],[Ganancia Bruta]])*100)/100,-((Tabla5[[#This Row],[Ganancia Neta]]/Tabla5[[#This Row],[Ganancia Bruta]]*100)/100))</f>
        <v>0.42857142857142855</v>
      </c>
      <c r="N461" s="5" t="str">
        <f>sala!F460</f>
        <v>Mesero_1</v>
      </c>
      <c r="AY461" cm="1">
        <f t="array" ref="AY461">SUM(IF(Cocina!A:A=Tabla5[[#This Row],[Nº Orden]],Cocina!F:F*Cocina!G:G,0))</f>
        <v>84</v>
      </c>
      <c r="AZ461" cm="1">
        <f t="array" ref="AZ461">SUM(IF(Cocina!A:A=Tabla5[[#This Row],[Nº Orden]],Cocina!E:E*Cocina!G:G,0))</f>
        <v>48</v>
      </c>
      <c r="BB461" t="str">
        <f>MID(Tabla4[[#This Row],[Cliente]], SEARCH("_", Tabla4[[#This Row],[Cliente]]) + 1, LEN(Tabla4[[#This Row],[Cliente]]) - SEARCH("_",Tabla4[[#This Row],[Cliente]]))</f>
        <v>989</v>
      </c>
      <c r="BC461" t="str">
        <f>sala!B460</f>
        <v>Cliente_989</v>
      </c>
      <c r="BD461" s="1">
        <f>sala!D460</f>
        <v>45021.01666666667</v>
      </c>
      <c r="BE461" s="1">
        <f>sala!E460</f>
        <v>45021.091666666667</v>
      </c>
      <c r="BF461">
        <f>sala!K460</f>
        <v>459</v>
      </c>
      <c r="BG461">
        <f>sala!I460</f>
        <v>3277</v>
      </c>
      <c r="BH461" cm="1">
        <f t="array" ref="BH461">SUM(IF(Cocina!A:A=Tabla4[[#This Row],[Número de Orden]],Cocina!F:F*Cocina!G:G,0))</f>
        <v>84</v>
      </c>
      <c r="BI461" t="str">
        <f>sala!J460</f>
        <v>Ocupada</v>
      </c>
      <c r="BJ461" s="4" t="str">
        <f>IF(Tabla4[[#This Row],[Estado mesa]]="Ocupada","00:15","00:00")</f>
        <v>00:15</v>
      </c>
      <c r="BK461" cm="1">
        <f t="array" ref="BK461">SUM(IF(Cocina!A:A=Tabla4[[#This Row],[Número de Orden]],Cocina!H:H,0))</f>
        <v>30</v>
      </c>
    </row>
    <row r="462" spans="1:63" x14ac:dyDescent="0.3">
      <c r="A462" s="8" t="str">
        <f>MID(Tabla4[[#This Row],[Cliente]], SEARCH("_", Tabla4[[#This Row],[Cliente]]) + 1, LEN(Tabla4[[#This Row],[Cliente]]) - SEARCH("_",Tabla4[[#This Row],[Cliente]]))</f>
        <v>964</v>
      </c>
      <c r="B462">
        <f>sala!K461</f>
        <v>460</v>
      </c>
      <c r="C462">
        <f>Tabla4[[#This Row],[Propina]]+Tabla4[[#This Row],[Precio Cena]]</f>
        <v>672</v>
      </c>
      <c r="D462" s="3">
        <f>INT(sala!E461)</f>
        <v>45021</v>
      </c>
      <c r="E462" s="4">
        <f>MOD( sala!D461,1)</f>
        <v>0.14375000000291038</v>
      </c>
      <c r="F462" s="4">
        <f>MOD( sala!E461,1)</f>
        <v>0.28888888889196096</v>
      </c>
      <c r="G462" s="4">
        <f>Tabla5[[#This Row],[Hora de Salida]]-Tabla5[[#This Row],[Hora de Llegada]]+Tabla4[[#This Row],[Tiempo Extra]]</f>
        <v>0.14513888888905058</v>
      </c>
      <c r="H462" s="5" t="str">
        <f>TEXT(Tabla4[[#This Row],[Preparación en horas]]/1440, "h:mm")</f>
        <v>2:04</v>
      </c>
      <c r="I462" s="4">
        <f>IF(Tabla5[[#This Row],[Tiempo Permanencia]]-Tabla5[[#This Row],[Tiempo de Preparación ]]&gt;=0,Tabla5[[#This Row],[Tiempo Permanencia]]-Tabla5[[#This Row],[Tiempo de Preparación ]],0)</f>
        <v>5.9027777777939466E-2</v>
      </c>
      <c r="J462" s="5" t="str">
        <f>IF(Tabla5[[#This Row],[Tiempo de Degustación]]=0,"No Cobrada","Cobrada")</f>
        <v>Cobrada</v>
      </c>
      <c r="K462" s="5" cm="1">
        <f t="array" ref="K462">SUM(IF(Tabla5[[#This Row],[Orden Cobrada]]="Cobrada",IF(Cocina!A:A=Tabla5[[#This Row],[Nº Orden]],Cocina!F:F*Cocina!G:G,0),-Tabla6[[#This Row],[Precio Cena]]))</f>
        <v>176</v>
      </c>
      <c r="L462" s="5">
        <f>IF(Tabla5[[#This Row],[Orden Cobrada]]="Cobrada",Tabla5[[#This Row],[Ganancia Bruta]]-Tabla6[[#This Row],[Coste Cena]],-Tabla6[[#This Row],[Precio Cena]]+Tabla6[[#This Row],[Coste Cena]])</f>
        <v>73</v>
      </c>
      <c r="M462" s="10">
        <f>IF(Tabla5[[#This Row],[Orden Cobrada]]="Cobrada",((Tabla5[[#This Row],[Ganancia Neta]]/Tabla5[[#This Row],[Ganancia Bruta]])*100)/100,-((Tabla5[[#This Row],[Ganancia Neta]]/Tabla5[[#This Row],[Ganancia Bruta]]*100)/100))</f>
        <v>0.41477272727272729</v>
      </c>
      <c r="N462" s="5" t="str">
        <f>sala!F461</f>
        <v>Mesero_4</v>
      </c>
      <c r="AY462" cm="1">
        <f t="array" ref="AY462">SUM(IF(Cocina!A:A=Tabla5[[#This Row],[Nº Orden]],Cocina!F:F*Cocina!G:G,0))</f>
        <v>176</v>
      </c>
      <c r="AZ462" cm="1">
        <f t="array" ref="AZ462">SUM(IF(Cocina!A:A=Tabla5[[#This Row],[Nº Orden]],Cocina!E:E*Cocina!G:G,0))</f>
        <v>103</v>
      </c>
      <c r="BB462" t="str">
        <f>MID(Tabla4[[#This Row],[Cliente]], SEARCH("_", Tabla4[[#This Row],[Cliente]]) + 1, LEN(Tabla4[[#This Row],[Cliente]]) - SEARCH("_",Tabla4[[#This Row],[Cliente]]))</f>
        <v>964</v>
      </c>
      <c r="BC462" t="str">
        <f>sala!B461</f>
        <v>Cliente_964</v>
      </c>
      <c r="BD462" s="1">
        <f>sala!D461</f>
        <v>45021.143750000003</v>
      </c>
      <c r="BE462" s="1">
        <f>sala!E461</f>
        <v>45021.288888888892</v>
      </c>
      <c r="BF462">
        <f>sala!K461</f>
        <v>460</v>
      </c>
      <c r="BG462">
        <f>sala!I461</f>
        <v>496</v>
      </c>
      <c r="BH462" cm="1">
        <f t="array" ref="BH462">SUM(IF(Cocina!A:A=Tabla4[[#This Row],[Número de Orden]],Cocina!F:F*Cocina!G:G,0))</f>
        <v>176</v>
      </c>
      <c r="BI462" t="str">
        <f>sala!J461</f>
        <v>Libre</v>
      </c>
      <c r="BJ462" s="4" t="str">
        <f>IF(Tabla4[[#This Row],[Estado mesa]]="Ocupada","00:15","00:00")</f>
        <v>00:00</v>
      </c>
      <c r="BK462" cm="1">
        <f t="array" ref="BK462">SUM(IF(Cocina!A:A=Tabla4[[#This Row],[Número de Orden]],Cocina!H:H,0))</f>
        <v>124</v>
      </c>
    </row>
    <row r="463" spans="1:63" x14ac:dyDescent="0.3">
      <c r="A463" s="8" t="str">
        <f>MID(Tabla4[[#This Row],[Cliente]], SEARCH("_", Tabla4[[#This Row],[Cliente]]) + 1, LEN(Tabla4[[#This Row],[Cliente]]) - SEARCH("_",Tabla4[[#This Row],[Cliente]]))</f>
        <v>421</v>
      </c>
      <c r="B463">
        <f>sala!K462</f>
        <v>461</v>
      </c>
      <c r="C463">
        <f>Tabla4[[#This Row],[Propina]]+Tabla4[[#This Row],[Precio Cena]]</f>
        <v>2250</v>
      </c>
      <c r="D463" s="3">
        <f>INT(sala!E462)</f>
        <v>45021</v>
      </c>
      <c r="E463" s="4">
        <f>MOD( sala!D462,1)</f>
        <v>0.1131944444423425</v>
      </c>
      <c r="F463" s="4">
        <f>MOD( sala!E462,1)</f>
        <v>0.24652777778101154</v>
      </c>
      <c r="G463" s="4">
        <f>Tabla5[[#This Row],[Hora de Salida]]-Tabla5[[#This Row],[Hora de Llegada]]+Tabla4[[#This Row],[Tiempo Extra]]</f>
        <v>0.13333333333866904</v>
      </c>
      <c r="H463" s="5" t="str">
        <f>TEXT(Tabla4[[#This Row],[Preparación en horas]]/1440, "h:mm")</f>
        <v>1:06</v>
      </c>
      <c r="I463" s="4">
        <f>IF(Tabla5[[#This Row],[Tiempo Permanencia]]-Tabla5[[#This Row],[Tiempo de Preparación ]]&gt;=0,Tabla5[[#This Row],[Tiempo Permanencia]]-Tabla5[[#This Row],[Tiempo de Preparación ]],0)</f>
        <v>8.7500000005335699E-2</v>
      </c>
      <c r="J463" s="5" t="str">
        <f>IF(Tabla5[[#This Row],[Tiempo de Degustación]]=0,"No Cobrada","Cobrada")</f>
        <v>Cobrada</v>
      </c>
      <c r="K463" s="5" cm="1">
        <f t="array" ref="K463">SUM(IF(Tabla5[[#This Row],[Orden Cobrada]]="Cobrada",IF(Cocina!A:A=Tabla5[[#This Row],[Nº Orden]],Cocina!F:F*Cocina!G:G,0),-Tabla6[[#This Row],[Precio Cena]]))</f>
        <v>99</v>
      </c>
      <c r="L463" s="5">
        <f>IF(Tabla5[[#This Row],[Orden Cobrada]]="Cobrada",Tabla5[[#This Row],[Ganancia Bruta]]-Tabla6[[#This Row],[Coste Cena]],-Tabla6[[#This Row],[Precio Cena]]+Tabla6[[#This Row],[Coste Cena]])</f>
        <v>40</v>
      </c>
      <c r="M463" s="10">
        <f>IF(Tabla5[[#This Row],[Orden Cobrada]]="Cobrada",((Tabla5[[#This Row],[Ganancia Neta]]/Tabla5[[#This Row],[Ganancia Bruta]])*100)/100,-((Tabla5[[#This Row],[Ganancia Neta]]/Tabla5[[#This Row],[Ganancia Bruta]]*100)/100))</f>
        <v>0.40404040404040403</v>
      </c>
      <c r="N463" s="5" t="str">
        <f>sala!F462</f>
        <v>Mesero_5</v>
      </c>
      <c r="AY463" cm="1">
        <f t="array" ref="AY463">SUM(IF(Cocina!A:A=Tabla5[[#This Row],[Nº Orden]],Cocina!F:F*Cocina!G:G,0))</f>
        <v>99</v>
      </c>
      <c r="AZ463" cm="1">
        <f t="array" ref="AZ463">SUM(IF(Cocina!A:A=Tabla5[[#This Row],[Nº Orden]],Cocina!E:E*Cocina!G:G,0))</f>
        <v>59</v>
      </c>
      <c r="BB463" t="str">
        <f>MID(Tabla4[[#This Row],[Cliente]], SEARCH("_", Tabla4[[#This Row],[Cliente]]) + 1, LEN(Tabla4[[#This Row],[Cliente]]) - SEARCH("_",Tabla4[[#This Row],[Cliente]]))</f>
        <v>421</v>
      </c>
      <c r="BC463" t="str">
        <f>sala!B462</f>
        <v>Cliente_421</v>
      </c>
      <c r="BD463" s="1">
        <f>sala!D462</f>
        <v>45021.113194444442</v>
      </c>
      <c r="BE463" s="1">
        <f>sala!E462</f>
        <v>45021.246527777781</v>
      </c>
      <c r="BF463">
        <f>sala!K462</f>
        <v>461</v>
      </c>
      <c r="BG463">
        <f>sala!I462</f>
        <v>2151</v>
      </c>
      <c r="BH463" cm="1">
        <f t="array" ref="BH463">SUM(IF(Cocina!A:A=Tabla4[[#This Row],[Número de Orden]],Cocina!F:F*Cocina!G:G,0))</f>
        <v>99</v>
      </c>
      <c r="BI463" t="str">
        <f>sala!J462</f>
        <v>Libre</v>
      </c>
      <c r="BJ463" s="4" t="str">
        <f>IF(Tabla4[[#This Row],[Estado mesa]]="Ocupada","00:15","00:00")</f>
        <v>00:00</v>
      </c>
      <c r="BK463" cm="1">
        <f t="array" ref="BK463">SUM(IF(Cocina!A:A=Tabla4[[#This Row],[Número de Orden]],Cocina!H:H,0))</f>
        <v>66</v>
      </c>
    </row>
    <row r="464" spans="1:63" x14ac:dyDescent="0.3">
      <c r="A464" s="8" t="str">
        <f>MID(Tabla4[[#This Row],[Cliente]], SEARCH("_", Tabla4[[#This Row],[Cliente]]) + 1, LEN(Tabla4[[#This Row],[Cliente]]) - SEARCH("_",Tabla4[[#This Row],[Cliente]]))</f>
        <v>27</v>
      </c>
      <c r="B464">
        <f>sala!K463</f>
        <v>462</v>
      </c>
      <c r="C464">
        <f>Tabla4[[#This Row],[Propina]]+Tabla4[[#This Row],[Precio Cena]]</f>
        <v>2216</v>
      </c>
      <c r="D464" s="3">
        <f>INT(sala!E463)</f>
        <v>45021</v>
      </c>
      <c r="E464" s="4">
        <f>MOD( sala!D463,1)</f>
        <v>9.1666666667151731E-2</v>
      </c>
      <c r="F464" s="4">
        <f>MOD( sala!E463,1)</f>
        <v>0.18541666666715173</v>
      </c>
      <c r="G464" s="4">
        <f>Tabla5[[#This Row],[Hora de Salida]]-Tabla5[[#This Row],[Hora de Llegada]]+Tabla4[[#This Row],[Tiempo Extra]]</f>
        <v>9.375E-2</v>
      </c>
      <c r="H464" s="5" t="str">
        <f>TEXT(Tabla4[[#This Row],[Preparación en horas]]/1440, "h:mm")</f>
        <v>0:11</v>
      </c>
      <c r="I464" s="4">
        <f>IF(Tabla5[[#This Row],[Tiempo Permanencia]]-Tabla5[[#This Row],[Tiempo de Preparación ]]&gt;=0,Tabla5[[#This Row],[Tiempo Permanencia]]-Tabla5[[#This Row],[Tiempo de Preparación ]],0)</f>
        <v>8.611111111111111E-2</v>
      </c>
      <c r="J464" s="5" t="str">
        <f>IF(Tabla5[[#This Row],[Tiempo de Degustación]]=0,"No Cobrada","Cobrada")</f>
        <v>Cobrada</v>
      </c>
      <c r="K464" s="5" cm="1">
        <f t="array" ref="K464">SUM(IF(Tabla5[[#This Row],[Orden Cobrada]]="Cobrada",IF(Cocina!A:A=Tabla5[[#This Row],[Nº Orden]],Cocina!F:F*Cocina!G:G,0),-Tabla6[[#This Row],[Precio Cena]]))</f>
        <v>99</v>
      </c>
      <c r="L464" s="5">
        <f>IF(Tabla5[[#This Row],[Orden Cobrada]]="Cobrada",Tabla5[[#This Row],[Ganancia Bruta]]-Tabla6[[#This Row],[Coste Cena]],-Tabla6[[#This Row],[Precio Cena]]+Tabla6[[#This Row],[Coste Cena]])</f>
        <v>39</v>
      </c>
      <c r="M464" s="10">
        <f>IF(Tabla5[[#This Row],[Orden Cobrada]]="Cobrada",((Tabla5[[#This Row],[Ganancia Neta]]/Tabla5[[#This Row],[Ganancia Bruta]])*100)/100,-((Tabla5[[#This Row],[Ganancia Neta]]/Tabla5[[#This Row],[Ganancia Bruta]]*100)/100))</f>
        <v>0.39393939393939392</v>
      </c>
      <c r="N464" s="5" t="str">
        <f>sala!F463</f>
        <v>Mesero_2</v>
      </c>
      <c r="AY464" cm="1">
        <f t="array" ref="AY464">SUM(IF(Cocina!A:A=Tabla5[[#This Row],[Nº Orden]],Cocina!F:F*Cocina!G:G,0))</f>
        <v>99</v>
      </c>
      <c r="AZ464" cm="1">
        <f t="array" ref="AZ464">SUM(IF(Cocina!A:A=Tabla5[[#This Row],[Nº Orden]],Cocina!E:E*Cocina!G:G,0))</f>
        <v>60</v>
      </c>
      <c r="BB464" t="str">
        <f>MID(Tabla4[[#This Row],[Cliente]], SEARCH("_", Tabla4[[#This Row],[Cliente]]) + 1, LEN(Tabla4[[#This Row],[Cliente]]) - SEARCH("_",Tabla4[[#This Row],[Cliente]]))</f>
        <v>27</v>
      </c>
      <c r="BC464" t="str">
        <f>sala!B463</f>
        <v>Cliente_27</v>
      </c>
      <c r="BD464" s="1">
        <f>sala!D463</f>
        <v>45021.091666666667</v>
      </c>
      <c r="BE464" s="1">
        <f>sala!E463</f>
        <v>45021.185416666667</v>
      </c>
      <c r="BF464">
        <f>sala!K463</f>
        <v>462</v>
      </c>
      <c r="BG464">
        <f>sala!I463</f>
        <v>2117</v>
      </c>
      <c r="BH464" cm="1">
        <f t="array" ref="BH464">SUM(IF(Cocina!A:A=Tabla4[[#This Row],[Número de Orden]],Cocina!F:F*Cocina!G:G,0))</f>
        <v>99</v>
      </c>
      <c r="BI464" t="str">
        <f>sala!J463</f>
        <v>Reservada</v>
      </c>
      <c r="BJ464" s="4" t="str">
        <f>IF(Tabla4[[#This Row],[Estado mesa]]="Ocupada","00:15","00:00")</f>
        <v>00:00</v>
      </c>
      <c r="BK464" cm="1">
        <f t="array" ref="BK464">SUM(IF(Cocina!A:A=Tabla4[[#This Row],[Número de Orden]],Cocina!H:H,0))</f>
        <v>11</v>
      </c>
    </row>
    <row r="465" spans="1:63" x14ac:dyDescent="0.3">
      <c r="A465" s="8" t="str">
        <f>MID(Tabla4[[#This Row],[Cliente]], SEARCH("_", Tabla4[[#This Row],[Cliente]]) + 1, LEN(Tabla4[[#This Row],[Cliente]]) - SEARCH("_",Tabla4[[#This Row],[Cliente]]))</f>
        <v>194</v>
      </c>
      <c r="B465">
        <f>sala!K464</f>
        <v>463</v>
      </c>
      <c r="C465">
        <f>Tabla4[[#This Row],[Propina]]+Tabla4[[#This Row],[Precio Cena]]</f>
        <v>1800</v>
      </c>
      <c r="D465" s="3">
        <f>INT(sala!E464)</f>
        <v>45021</v>
      </c>
      <c r="E465" s="4">
        <f>MOD( sala!D464,1)</f>
        <v>3.680555555911269E-2</v>
      </c>
      <c r="F465" s="4">
        <f>MOD( sala!E464,1)</f>
        <v>0.13402777777810115</v>
      </c>
      <c r="G465" s="4">
        <f>Tabla5[[#This Row],[Hora de Salida]]-Tabla5[[#This Row],[Hora de Llegada]]+Tabla4[[#This Row],[Tiempo Extra]]</f>
        <v>0.10763888888565513</v>
      </c>
      <c r="H465" s="5" t="str">
        <f>TEXT(Tabla4[[#This Row],[Preparación en horas]]/1440, "h:mm")</f>
        <v>0:14</v>
      </c>
      <c r="I465" s="4">
        <f>IF(Tabla5[[#This Row],[Tiempo Permanencia]]-Tabla5[[#This Row],[Tiempo de Preparación ]]&gt;=0,Tabla5[[#This Row],[Tiempo Permanencia]]-Tabla5[[#This Row],[Tiempo de Preparación ]],0)</f>
        <v>9.7916666663432905E-2</v>
      </c>
      <c r="J465" s="5" t="str">
        <f>IF(Tabla5[[#This Row],[Tiempo de Degustación]]=0,"No Cobrada","Cobrada")</f>
        <v>Cobrada</v>
      </c>
      <c r="K465" s="5" cm="1">
        <f t="array" ref="K465">SUM(IF(Tabla5[[#This Row],[Orden Cobrada]]="Cobrada",IF(Cocina!A:A=Tabla5[[#This Row],[Nº Orden]],Cocina!F:F*Cocina!G:G,0),-Tabla6[[#This Row],[Precio Cena]]))</f>
        <v>93</v>
      </c>
      <c r="L465" s="5">
        <f>IF(Tabla5[[#This Row],[Orden Cobrada]]="Cobrada",Tabla5[[#This Row],[Ganancia Bruta]]-Tabla6[[#This Row],[Coste Cena]],-Tabla6[[#This Row],[Precio Cena]]+Tabla6[[#This Row],[Coste Cena]])</f>
        <v>36</v>
      </c>
      <c r="M465" s="10">
        <f>IF(Tabla5[[#This Row],[Orden Cobrada]]="Cobrada",((Tabla5[[#This Row],[Ganancia Neta]]/Tabla5[[#This Row],[Ganancia Bruta]])*100)/100,-((Tabla5[[#This Row],[Ganancia Neta]]/Tabla5[[#This Row],[Ganancia Bruta]]*100)/100))</f>
        <v>0.38709677419354838</v>
      </c>
      <c r="N465" s="5" t="str">
        <f>sala!F464</f>
        <v>Mesero_2</v>
      </c>
      <c r="AY465" cm="1">
        <f t="array" ref="AY465">SUM(IF(Cocina!A:A=Tabla5[[#This Row],[Nº Orden]],Cocina!F:F*Cocina!G:G,0))</f>
        <v>93</v>
      </c>
      <c r="AZ465" cm="1">
        <f t="array" ref="AZ465">SUM(IF(Cocina!A:A=Tabla5[[#This Row],[Nº Orden]],Cocina!E:E*Cocina!G:G,0))</f>
        <v>57</v>
      </c>
      <c r="BB465" t="str">
        <f>MID(Tabla4[[#This Row],[Cliente]], SEARCH("_", Tabla4[[#This Row],[Cliente]]) + 1, LEN(Tabla4[[#This Row],[Cliente]]) - SEARCH("_",Tabla4[[#This Row],[Cliente]]))</f>
        <v>194</v>
      </c>
      <c r="BC465" t="str">
        <f>sala!B464</f>
        <v>Cliente_194</v>
      </c>
      <c r="BD465" s="1">
        <f>sala!D464</f>
        <v>45021.036805555559</v>
      </c>
      <c r="BE465" s="1">
        <f>sala!E464</f>
        <v>45021.134027777778</v>
      </c>
      <c r="BF465">
        <f>sala!K464</f>
        <v>463</v>
      </c>
      <c r="BG465">
        <f>sala!I464</f>
        <v>1707</v>
      </c>
      <c r="BH465" cm="1">
        <f t="array" ref="BH465">SUM(IF(Cocina!A:A=Tabla4[[#This Row],[Número de Orden]],Cocina!F:F*Cocina!G:G,0))</f>
        <v>93</v>
      </c>
      <c r="BI465" t="str">
        <f>sala!J464</f>
        <v>Ocupada</v>
      </c>
      <c r="BJ465" s="4" t="str">
        <f>IF(Tabla4[[#This Row],[Estado mesa]]="Ocupada","00:15","00:00")</f>
        <v>00:15</v>
      </c>
      <c r="BK465" cm="1">
        <f t="array" ref="BK465">SUM(IF(Cocina!A:A=Tabla4[[#This Row],[Número de Orden]],Cocina!H:H,0))</f>
        <v>14</v>
      </c>
    </row>
    <row r="466" spans="1:63" x14ac:dyDescent="0.3">
      <c r="A466" s="8" t="str">
        <f>MID(Tabla4[[#This Row],[Cliente]], SEARCH("_", Tabla4[[#This Row],[Cliente]]) + 1, LEN(Tabla4[[#This Row],[Cliente]]) - SEARCH("_",Tabla4[[#This Row],[Cliente]]))</f>
        <v>440</v>
      </c>
      <c r="B466">
        <f>sala!K465</f>
        <v>464</v>
      </c>
      <c r="C466">
        <f>Tabla4[[#This Row],[Propina]]+Tabla4[[#This Row],[Precio Cena]]</f>
        <v>639</v>
      </c>
      <c r="D466" s="3">
        <f>INT(sala!E465)</f>
        <v>45021</v>
      </c>
      <c r="E466" s="4">
        <f>MOD( sala!D465,1)</f>
        <v>5.6250000001455192E-2</v>
      </c>
      <c r="F466" s="4">
        <f>MOD( sala!E465,1)</f>
        <v>0.19374999999854481</v>
      </c>
      <c r="G466" s="4">
        <f>Tabla5[[#This Row],[Hora de Salida]]-Tabla5[[#This Row],[Hora de Llegada]]+Tabla4[[#This Row],[Tiempo Extra]]</f>
        <v>0.13749999999708962</v>
      </c>
      <c r="H466" s="5" t="str">
        <f>TEXT(Tabla4[[#This Row],[Preparación en horas]]/1440, "h:mm")</f>
        <v>1:24</v>
      </c>
      <c r="I466" s="4">
        <f>IF(Tabla5[[#This Row],[Tiempo Permanencia]]-Tabla5[[#This Row],[Tiempo de Preparación ]]&gt;=0,Tabla5[[#This Row],[Tiempo Permanencia]]-Tabla5[[#This Row],[Tiempo de Preparación ]],0)</f>
        <v>7.9166666663756283E-2</v>
      </c>
      <c r="J466" s="5" t="str">
        <f>IF(Tabla5[[#This Row],[Tiempo de Degustación]]=0,"No Cobrada","Cobrada")</f>
        <v>Cobrada</v>
      </c>
      <c r="K466" s="5" cm="1">
        <f t="array" ref="K466">SUM(IF(Tabla5[[#This Row],[Orden Cobrada]]="Cobrada",IF(Cocina!A:A=Tabla5[[#This Row],[Nº Orden]],Cocina!F:F*Cocina!G:G,0),-Tabla6[[#This Row],[Precio Cena]]))</f>
        <v>154</v>
      </c>
      <c r="L466" s="5">
        <f>IF(Tabla5[[#This Row],[Orden Cobrada]]="Cobrada",Tabla5[[#This Row],[Ganancia Bruta]]-Tabla6[[#This Row],[Coste Cena]],-Tabla6[[#This Row],[Precio Cena]]+Tabla6[[#This Row],[Coste Cena]])</f>
        <v>64</v>
      </c>
      <c r="M466" s="10">
        <f>IF(Tabla5[[#This Row],[Orden Cobrada]]="Cobrada",((Tabla5[[#This Row],[Ganancia Neta]]/Tabla5[[#This Row],[Ganancia Bruta]])*100)/100,-((Tabla5[[#This Row],[Ganancia Neta]]/Tabla5[[#This Row],[Ganancia Bruta]]*100)/100))</f>
        <v>0.41558441558441556</v>
      </c>
      <c r="N466" s="5" t="str">
        <f>sala!F465</f>
        <v>Mesero_4</v>
      </c>
      <c r="AY466" cm="1">
        <f t="array" ref="AY466">SUM(IF(Cocina!A:A=Tabla5[[#This Row],[Nº Orden]],Cocina!F:F*Cocina!G:G,0))</f>
        <v>154</v>
      </c>
      <c r="AZ466" cm="1">
        <f t="array" ref="AZ466">SUM(IF(Cocina!A:A=Tabla5[[#This Row],[Nº Orden]],Cocina!E:E*Cocina!G:G,0))</f>
        <v>90</v>
      </c>
      <c r="BB466" t="str">
        <f>MID(Tabla4[[#This Row],[Cliente]], SEARCH("_", Tabla4[[#This Row],[Cliente]]) + 1, LEN(Tabla4[[#This Row],[Cliente]]) - SEARCH("_",Tabla4[[#This Row],[Cliente]]))</f>
        <v>440</v>
      </c>
      <c r="BC466" t="str">
        <f>sala!B465</f>
        <v>Cliente_440</v>
      </c>
      <c r="BD466" s="1">
        <f>sala!D465</f>
        <v>45021.056250000001</v>
      </c>
      <c r="BE466" s="1">
        <f>sala!E465</f>
        <v>45021.193749999999</v>
      </c>
      <c r="BF466">
        <f>sala!K465</f>
        <v>464</v>
      </c>
      <c r="BG466">
        <f>sala!I465</f>
        <v>485</v>
      </c>
      <c r="BH466" cm="1">
        <f t="array" ref="BH466">SUM(IF(Cocina!A:A=Tabla4[[#This Row],[Número de Orden]],Cocina!F:F*Cocina!G:G,0))</f>
        <v>154</v>
      </c>
      <c r="BI466" t="str">
        <f>sala!J465</f>
        <v>Reservada</v>
      </c>
      <c r="BJ466" s="4" t="str">
        <f>IF(Tabla4[[#This Row],[Estado mesa]]="Ocupada","00:15","00:00")</f>
        <v>00:00</v>
      </c>
      <c r="BK466" cm="1">
        <f t="array" ref="BK466">SUM(IF(Cocina!A:A=Tabla4[[#This Row],[Número de Orden]],Cocina!H:H,0))</f>
        <v>84</v>
      </c>
    </row>
    <row r="467" spans="1:63" x14ac:dyDescent="0.3">
      <c r="A467" s="8" t="str">
        <f>MID(Tabla4[[#This Row],[Cliente]], SEARCH("_", Tabla4[[#This Row],[Cliente]]) + 1, LEN(Tabla4[[#This Row],[Cliente]]) - SEARCH("_",Tabla4[[#This Row],[Cliente]]))</f>
        <v>876</v>
      </c>
      <c r="B467">
        <f>sala!K466</f>
        <v>465</v>
      </c>
      <c r="C467">
        <f>Tabla4[[#This Row],[Propina]]+Tabla4[[#This Row],[Precio Cena]]</f>
        <v>570</v>
      </c>
      <c r="D467" s="3">
        <f>INT(sala!E466)</f>
        <v>45021</v>
      </c>
      <c r="E467" s="4">
        <f>MOD( sala!D466,1)</f>
        <v>4.9305555556202307E-2</v>
      </c>
      <c r="F467" s="4">
        <f>MOD( sala!E466,1)</f>
        <v>0.15138888888759539</v>
      </c>
      <c r="G467" s="4">
        <f>Tabla5[[#This Row],[Hora de Salida]]-Tabla5[[#This Row],[Hora de Llegada]]+Tabla4[[#This Row],[Tiempo Extra]]</f>
        <v>0.11249999999805975</v>
      </c>
      <c r="H467" s="5" t="str">
        <f>TEXT(Tabla4[[#This Row],[Preparación en horas]]/1440, "h:mm")</f>
        <v>1:00</v>
      </c>
      <c r="I467" s="4">
        <f>IF(Tabla5[[#This Row],[Tiempo Permanencia]]-Tabla5[[#This Row],[Tiempo de Preparación ]]&gt;=0,Tabla5[[#This Row],[Tiempo Permanencia]]-Tabla5[[#This Row],[Tiempo de Preparación ]],0)</f>
        <v>7.0833333331393078E-2</v>
      </c>
      <c r="J467" s="5" t="str">
        <f>IF(Tabla5[[#This Row],[Tiempo de Degustación]]=0,"No Cobrada","Cobrada")</f>
        <v>Cobrada</v>
      </c>
      <c r="K467" s="5" cm="1">
        <f t="array" ref="K467">SUM(IF(Tabla5[[#This Row],[Orden Cobrada]]="Cobrada",IF(Cocina!A:A=Tabla5[[#This Row],[Nº Orden]],Cocina!F:F*Cocina!G:G,0),-Tabla6[[#This Row],[Precio Cena]]))</f>
        <v>121</v>
      </c>
      <c r="L467" s="5">
        <f>IF(Tabla5[[#This Row],[Orden Cobrada]]="Cobrada",Tabla5[[#This Row],[Ganancia Bruta]]-Tabla6[[#This Row],[Coste Cena]],-Tabla6[[#This Row],[Precio Cena]]+Tabla6[[#This Row],[Coste Cena]])</f>
        <v>48</v>
      </c>
      <c r="M467" s="10">
        <f>IF(Tabla5[[#This Row],[Orden Cobrada]]="Cobrada",((Tabla5[[#This Row],[Ganancia Neta]]/Tabla5[[#This Row],[Ganancia Bruta]])*100)/100,-((Tabla5[[#This Row],[Ganancia Neta]]/Tabla5[[#This Row],[Ganancia Bruta]]*100)/100))</f>
        <v>0.39669421487603307</v>
      </c>
      <c r="N467" s="5" t="str">
        <f>sala!F466</f>
        <v>Mesero_1</v>
      </c>
      <c r="AY467" cm="1">
        <f t="array" ref="AY467">SUM(IF(Cocina!A:A=Tabla5[[#This Row],[Nº Orden]],Cocina!F:F*Cocina!G:G,0))</f>
        <v>121</v>
      </c>
      <c r="AZ467" cm="1">
        <f t="array" ref="AZ467">SUM(IF(Cocina!A:A=Tabla5[[#This Row],[Nº Orden]],Cocina!E:E*Cocina!G:G,0))</f>
        <v>73</v>
      </c>
      <c r="BB467" t="str">
        <f>MID(Tabla4[[#This Row],[Cliente]], SEARCH("_", Tabla4[[#This Row],[Cliente]]) + 1, LEN(Tabla4[[#This Row],[Cliente]]) - SEARCH("_",Tabla4[[#This Row],[Cliente]]))</f>
        <v>876</v>
      </c>
      <c r="BC467" t="str">
        <f>sala!B466</f>
        <v>Cliente_876</v>
      </c>
      <c r="BD467" s="1">
        <f>sala!D466</f>
        <v>45021.049305555556</v>
      </c>
      <c r="BE467" s="1">
        <f>sala!E466</f>
        <v>45021.151388888888</v>
      </c>
      <c r="BF467">
        <f>sala!K466</f>
        <v>465</v>
      </c>
      <c r="BG467">
        <f>sala!I466</f>
        <v>449</v>
      </c>
      <c r="BH467" cm="1">
        <f t="array" ref="BH467">SUM(IF(Cocina!A:A=Tabla4[[#This Row],[Número de Orden]],Cocina!F:F*Cocina!G:G,0))</f>
        <v>121</v>
      </c>
      <c r="BI467" t="str">
        <f>sala!J466</f>
        <v>Ocupada</v>
      </c>
      <c r="BJ467" s="4" t="str">
        <f>IF(Tabla4[[#This Row],[Estado mesa]]="Ocupada","00:15","00:00")</f>
        <v>00:15</v>
      </c>
      <c r="BK467" cm="1">
        <f t="array" ref="BK467">SUM(IF(Cocina!A:A=Tabla4[[#This Row],[Número de Orden]],Cocina!H:H,0))</f>
        <v>60</v>
      </c>
    </row>
    <row r="468" spans="1:63" x14ac:dyDescent="0.3">
      <c r="A468" s="8" t="str">
        <f>MID(Tabla4[[#This Row],[Cliente]], SEARCH("_", Tabla4[[#This Row],[Cliente]]) + 1, LEN(Tabla4[[#This Row],[Cliente]]) - SEARCH("_",Tabla4[[#This Row],[Cliente]]))</f>
        <v>365</v>
      </c>
      <c r="B468">
        <f>sala!K467</f>
        <v>466</v>
      </c>
      <c r="C468">
        <f>Tabla4[[#This Row],[Propina]]+Tabla4[[#This Row],[Precio Cena]]</f>
        <v>2803</v>
      </c>
      <c r="D468" s="3">
        <f>INT(sala!E467)</f>
        <v>45021</v>
      </c>
      <c r="E468" s="4">
        <f>MOD( sala!D467,1)</f>
        <v>7.9166666670062114E-2</v>
      </c>
      <c r="F468" s="4">
        <f>MOD( sala!E467,1)</f>
        <v>0.18055555555474712</v>
      </c>
      <c r="G468" s="4">
        <f>Tabla5[[#This Row],[Hora de Salida]]-Tabla5[[#This Row],[Hora de Llegada]]+Tabla4[[#This Row],[Tiempo Extra]]</f>
        <v>0.101388888884685</v>
      </c>
      <c r="H468" s="5" t="str">
        <f>TEXT(Tabla4[[#This Row],[Preparación en horas]]/1440, "h:mm")</f>
        <v>2:25</v>
      </c>
      <c r="I468" s="4">
        <f>IF(Tabla5[[#This Row],[Tiempo Permanencia]]-Tabla5[[#This Row],[Tiempo de Preparación ]]&gt;=0,Tabla5[[#This Row],[Tiempo Permanencia]]-Tabla5[[#This Row],[Tiempo de Preparación ]],0)</f>
        <v>6.9444444024055474E-4</v>
      </c>
      <c r="J468" s="5" t="str">
        <f>IF(Tabla5[[#This Row],[Tiempo de Degustación]]=0,"No Cobrada","Cobrada")</f>
        <v>Cobrada</v>
      </c>
      <c r="K468" s="5" cm="1">
        <f t="array" ref="K468">SUM(IF(Tabla5[[#This Row],[Orden Cobrada]]="Cobrada",IF(Cocina!A:A=Tabla5[[#This Row],[Nº Orden]],Cocina!F:F*Cocina!G:G,0),-Tabla6[[#This Row],[Precio Cena]]))</f>
        <v>140</v>
      </c>
      <c r="L468" s="5">
        <f>IF(Tabla5[[#This Row],[Orden Cobrada]]="Cobrada",Tabla5[[#This Row],[Ganancia Bruta]]-Tabla6[[#This Row],[Coste Cena]],-Tabla6[[#This Row],[Precio Cena]]+Tabla6[[#This Row],[Coste Cena]])</f>
        <v>57</v>
      </c>
      <c r="M468" s="10">
        <f>IF(Tabla5[[#This Row],[Orden Cobrada]]="Cobrada",((Tabla5[[#This Row],[Ganancia Neta]]/Tabla5[[#This Row],[Ganancia Bruta]])*100)/100,-((Tabla5[[#This Row],[Ganancia Neta]]/Tabla5[[#This Row],[Ganancia Bruta]]*100)/100))</f>
        <v>0.40714285714285714</v>
      </c>
      <c r="N468" s="5" t="str">
        <f>sala!F467</f>
        <v>Mesero_1</v>
      </c>
      <c r="AY468" cm="1">
        <f t="array" ref="AY468">SUM(IF(Cocina!A:A=Tabla5[[#This Row],[Nº Orden]],Cocina!F:F*Cocina!G:G,0))</f>
        <v>140</v>
      </c>
      <c r="AZ468" cm="1">
        <f t="array" ref="AZ468">SUM(IF(Cocina!A:A=Tabla5[[#This Row],[Nº Orden]],Cocina!E:E*Cocina!G:G,0))</f>
        <v>83</v>
      </c>
      <c r="BB468" t="str">
        <f>MID(Tabla4[[#This Row],[Cliente]], SEARCH("_", Tabla4[[#This Row],[Cliente]]) + 1, LEN(Tabla4[[#This Row],[Cliente]]) - SEARCH("_",Tabla4[[#This Row],[Cliente]]))</f>
        <v>365</v>
      </c>
      <c r="BC468" t="str">
        <f>sala!B467</f>
        <v>Cliente_365</v>
      </c>
      <c r="BD468" s="1">
        <f>sala!D467</f>
        <v>45021.07916666667</v>
      </c>
      <c r="BE468" s="1">
        <f>sala!E467</f>
        <v>45021.180555555555</v>
      </c>
      <c r="BF468">
        <f>sala!K467</f>
        <v>466</v>
      </c>
      <c r="BG468">
        <f>sala!I467</f>
        <v>2663</v>
      </c>
      <c r="BH468" cm="1">
        <f t="array" ref="BH468">SUM(IF(Cocina!A:A=Tabla4[[#This Row],[Número de Orden]],Cocina!F:F*Cocina!G:G,0))</f>
        <v>140</v>
      </c>
      <c r="BI468" t="str">
        <f>sala!J467</f>
        <v>Libre</v>
      </c>
      <c r="BJ468" s="4" t="str">
        <f>IF(Tabla4[[#This Row],[Estado mesa]]="Ocupada","00:15","00:00")</f>
        <v>00:00</v>
      </c>
      <c r="BK468" cm="1">
        <f t="array" ref="BK468">SUM(IF(Cocina!A:A=Tabla4[[#This Row],[Número de Orden]],Cocina!H:H,0))</f>
        <v>145</v>
      </c>
    </row>
    <row r="469" spans="1:63" x14ac:dyDescent="0.3">
      <c r="A469" s="8" t="str">
        <f>MID(Tabla4[[#This Row],[Cliente]], SEARCH("_", Tabla4[[#This Row],[Cliente]]) + 1, LEN(Tabla4[[#This Row],[Cliente]]) - SEARCH("_",Tabla4[[#This Row],[Cliente]]))</f>
        <v>185</v>
      </c>
      <c r="B469">
        <f>sala!K468</f>
        <v>467</v>
      </c>
      <c r="C469">
        <f>Tabla4[[#This Row],[Propina]]+Tabla4[[#This Row],[Precio Cena]]</f>
        <v>4374</v>
      </c>
      <c r="D469" s="3">
        <f>INT(sala!E468)</f>
        <v>45021</v>
      </c>
      <c r="E469" s="4">
        <f>MOD( sala!D468,1)</f>
        <v>0.11250000000291038</v>
      </c>
      <c r="F469" s="4">
        <f>MOD( sala!E468,1)</f>
        <v>0.17638888888905058</v>
      </c>
      <c r="G469" s="4">
        <f>Tabla5[[#This Row],[Hora de Salida]]-Tabla5[[#This Row],[Hora de Llegada]]+Tabla4[[#This Row],[Tiempo Extra]]</f>
        <v>6.3888888886140194E-2</v>
      </c>
      <c r="H469" s="5" t="str">
        <f>TEXT(Tabla4[[#This Row],[Preparación en horas]]/1440, "h:mm")</f>
        <v>1:12</v>
      </c>
      <c r="I469" s="4">
        <f>IF(Tabla5[[#This Row],[Tiempo Permanencia]]-Tabla5[[#This Row],[Tiempo de Preparación ]]&gt;=0,Tabla5[[#This Row],[Tiempo Permanencia]]-Tabla5[[#This Row],[Tiempo de Preparación ]],0)</f>
        <v>1.3888888886140191E-2</v>
      </c>
      <c r="J469" s="5" t="str">
        <f>IF(Tabla5[[#This Row],[Tiempo de Degustación]]=0,"No Cobrada","Cobrada")</f>
        <v>Cobrada</v>
      </c>
      <c r="K469" s="5" cm="1">
        <f t="array" ref="K469">SUM(IF(Tabla5[[#This Row],[Orden Cobrada]]="Cobrada",IF(Cocina!A:A=Tabla5[[#This Row],[Nº Orden]],Cocina!F:F*Cocina!G:G,0),-Tabla6[[#This Row],[Precio Cena]]))</f>
        <v>143</v>
      </c>
      <c r="L469" s="5">
        <f>IF(Tabla5[[#This Row],[Orden Cobrada]]="Cobrada",Tabla5[[#This Row],[Ganancia Bruta]]-Tabla6[[#This Row],[Coste Cena]],-Tabla6[[#This Row],[Precio Cena]]+Tabla6[[#This Row],[Coste Cena]])</f>
        <v>57</v>
      </c>
      <c r="M469" s="10">
        <f>IF(Tabla5[[#This Row],[Orden Cobrada]]="Cobrada",((Tabla5[[#This Row],[Ganancia Neta]]/Tabla5[[#This Row],[Ganancia Bruta]])*100)/100,-((Tabla5[[#This Row],[Ganancia Neta]]/Tabla5[[#This Row],[Ganancia Bruta]]*100)/100))</f>
        <v>0.39860139860139859</v>
      </c>
      <c r="N469" s="5" t="str">
        <f>sala!F468</f>
        <v>Mesero_1</v>
      </c>
      <c r="AY469" cm="1">
        <f t="array" ref="AY469">SUM(IF(Cocina!A:A=Tabla5[[#This Row],[Nº Orden]],Cocina!F:F*Cocina!G:G,0))</f>
        <v>143</v>
      </c>
      <c r="AZ469" cm="1">
        <f t="array" ref="AZ469">SUM(IF(Cocina!A:A=Tabla5[[#This Row],[Nº Orden]],Cocina!E:E*Cocina!G:G,0))</f>
        <v>86</v>
      </c>
      <c r="BB469" t="str">
        <f>MID(Tabla4[[#This Row],[Cliente]], SEARCH("_", Tabla4[[#This Row],[Cliente]]) + 1, LEN(Tabla4[[#This Row],[Cliente]]) - SEARCH("_",Tabla4[[#This Row],[Cliente]]))</f>
        <v>185</v>
      </c>
      <c r="BC469" t="str">
        <f>sala!B468</f>
        <v>Cliente_185</v>
      </c>
      <c r="BD469" s="1">
        <f>sala!D468</f>
        <v>45021.112500000003</v>
      </c>
      <c r="BE469" s="1">
        <f>sala!E468</f>
        <v>45021.176388888889</v>
      </c>
      <c r="BF469">
        <f>sala!K468</f>
        <v>467</v>
      </c>
      <c r="BG469">
        <f>sala!I468</f>
        <v>4231</v>
      </c>
      <c r="BH469" cm="1">
        <f t="array" ref="BH469">SUM(IF(Cocina!A:A=Tabla4[[#This Row],[Número de Orden]],Cocina!F:F*Cocina!G:G,0))</f>
        <v>143</v>
      </c>
      <c r="BI469" t="str">
        <f>sala!J468</f>
        <v>Reservada</v>
      </c>
      <c r="BJ469" s="4" t="str">
        <f>IF(Tabla4[[#This Row],[Estado mesa]]="Ocupada","00:15","00:00")</f>
        <v>00:00</v>
      </c>
      <c r="BK469" cm="1">
        <f t="array" ref="BK469">SUM(IF(Cocina!A:A=Tabla4[[#This Row],[Número de Orden]],Cocina!H:H,0))</f>
        <v>72</v>
      </c>
    </row>
    <row r="470" spans="1:63" x14ac:dyDescent="0.3">
      <c r="A470" s="8" t="str">
        <f>MID(Tabla4[[#This Row],[Cliente]], SEARCH("_", Tabla4[[#This Row],[Cliente]]) + 1, LEN(Tabla4[[#This Row],[Cliente]]) - SEARCH("_",Tabla4[[#This Row],[Cliente]]))</f>
        <v>558</v>
      </c>
      <c r="B470">
        <f>sala!K469</f>
        <v>468</v>
      </c>
      <c r="C470">
        <f>Tabla4[[#This Row],[Propina]]+Tabla4[[#This Row],[Precio Cena]]</f>
        <v>1534</v>
      </c>
      <c r="D470" s="3">
        <f>INT(sala!E469)</f>
        <v>45021</v>
      </c>
      <c r="E470" s="4">
        <f>MOD( sala!D469,1)</f>
        <v>0.12430555555329192</v>
      </c>
      <c r="F470" s="4">
        <f>MOD( sala!E469,1)</f>
        <v>0.23958333333575865</v>
      </c>
      <c r="G470" s="4">
        <f>Tabla5[[#This Row],[Hora de Salida]]-Tabla5[[#This Row],[Hora de Llegada]]+Tabla4[[#This Row],[Tiempo Extra]]</f>
        <v>0.11527777778246673</v>
      </c>
      <c r="H470" s="5" t="str">
        <f>TEXT(Tabla4[[#This Row],[Preparación en horas]]/1440, "h:mm")</f>
        <v>1:03</v>
      </c>
      <c r="I470" s="4">
        <f>IF(Tabla5[[#This Row],[Tiempo Permanencia]]-Tabla5[[#This Row],[Tiempo de Preparación ]]&gt;=0,Tabla5[[#This Row],[Tiempo Permanencia]]-Tabla5[[#This Row],[Tiempo de Preparación ]],0)</f>
        <v>7.1527777782466731E-2</v>
      </c>
      <c r="J470" s="5" t="str">
        <f>IF(Tabla5[[#This Row],[Tiempo de Degustación]]=0,"No Cobrada","Cobrada")</f>
        <v>Cobrada</v>
      </c>
      <c r="K470" s="5" cm="1">
        <f t="array" ref="K470">SUM(IF(Tabla5[[#This Row],[Orden Cobrada]]="Cobrada",IF(Cocina!A:A=Tabla5[[#This Row],[Nº Orden]],Cocina!F:F*Cocina!G:G,0),-Tabla6[[#This Row],[Precio Cena]]))</f>
        <v>106</v>
      </c>
      <c r="L470" s="5">
        <f>IF(Tabla5[[#This Row],[Orden Cobrada]]="Cobrada",Tabla5[[#This Row],[Ganancia Bruta]]-Tabla6[[#This Row],[Coste Cena]],-Tabla6[[#This Row],[Precio Cena]]+Tabla6[[#This Row],[Coste Cena]])</f>
        <v>44</v>
      </c>
      <c r="M470" s="10">
        <f>IF(Tabla5[[#This Row],[Orden Cobrada]]="Cobrada",((Tabla5[[#This Row],[Ganancia Neta]]/Tabla5[[#This Row],[Ganancia Bruta]])*100)/100,-((Tabla5[[#This Row],[Ganancia Neta]]/Tabla5[[#This Row],[Ganancia Bruta]]*100)/100))</f>
        <v>0.41509433962264153</v>
      </c>
      <c r="N470" s="5" t="str">
        <f>sala!F469</f>
        <v>Mesero_2</v>
      </c>
      <c r="AY470" cm="1">
        <f t="array" ref="AY470">SUM(IF(Cocina!A:A=Tabla5[[#This Row],[Nº Orden]],Cocina!F:F*Cocina!G:G,0))</f>
        <v>106</v>
      </c>
      <c r="AZ470" cm="1">
        <f t="array" ref="AZ470">SUM(IF(Cocina!A:A=Tabla5[[#This Row],[Nº Orden]],Cocina!E:E*Cocina!G:G,0))</f>
        <v>62</v>
      </c>
      <c r="BB470" t="str">
        <f>MID(Tabla4[[#This Row],[Cliente]], SEARCH("_", Tabla4[[#This Row],[Cliente]]) + 1, LEN(Tabla4[[#This Row],[Cliente]]) - SEARCH("_",Tabla4[[#This Row],[Cliente]]))</f>
        <v>558</v>
      </c>
      <c r="BC470" t="str">
        <f>sala!B469</f>
        <v>Cliente_558</v>
      </c>
      <c r="BD470" s="1">
        <f>sala!D469</f>
        <v>45021.124305555553</v>
      </c>
      <c r="BE470" s="1">
        <f>sala!E469</f>
        <v>45021.239583333336</v>
      </c>
      <c r="BF470">
        <f>sala!K469</f>
        <v>468</v>
      </c>
      <c r="BG470">
        <f>sala!I469</f>
        <v>1428</v>
      </c>
      <c r="BH470" cm="1">
        <f t="array" ref="BH470">SUM(IF(Cocina!A:A=Tabla4[[#This Row],[Número de Orden]],Cocina!F:F*Cocina!G:G,0))</f>
        <v>106</v>
      </c>
      <c r="BI470" t="str">
        <f>sala!J469</f>
        <v>Reservada</v>
      </c>
      <c r="BJ470" s="4" t="str">
        <f>IF(Tabla4[[#This Row],[Estado mesa]]="Ocupada","00:15","00:00")</f>
        <v>00:00</v>
      </c>
      <c r="BK470" cm="1">
        <f t="array" ref="BK470">SUM(IF(Cocina!A:A=Tabla4[[#This Row],[Número de Orden]],Cocina!H:H,0))</f>
        <v>63</v>
      </c>
    </row>
    <row r="471" spans="1:63" x14ac:dyDescent="0.3">
      <c r="A471" s="8" t="str">
        <f>MID(Tabla4[[#This Row],[Cliente]], SEARCH("_", Tabla4[[#This Row],[Cliente]]) + 1, LEN(Tabla4[[#This Row],[Cliente]]) - SEARCH("_",Tabla4[[#This Row],[Cliente]]))</f>
        <v>535</v>
      </c>
      <c r="B471">
        <f>sala!K470</f>
        <v>469</v>
      </c>
      <c r="C471">
        <f>Tabla4[[#This Row],[Propina]]+Tabla4[[#This Row],[Precio Cena]]</f>
        <v>2663</v>
      </c>
      <c r="D471" s="3">
        <f>INT(sala!E470)</f>
        <v>45021</v>
      </c>
      <c r="E471" s="4">
        <f>MOD( sala!D470,1)</f>
        <v>0.12291666666715173</v>
      </c>
      <c r="F471" s="4">
        <f>MOD( sala!E470,1)</f>
        <v>0.22361111111240461</v>
      </c>
      <c r="G471" s="4">
        <f>Tabla5[[#This Row],[Hora de Salida]]-Tabla5[[#This Row],[Hora de Llegada]]+Tabla4[[#This Row],[Tiempo Extra]]</f>
        <v>0.10069444444525288</v>
      </c>
      <c r="H471" s="5" t="str">
        <f>TEXT(Tabla4[[#This Row],[Preparación en horas]]/1440, "h:mm")</f>
        <v>1:06</v>
      </c>
      <c r="I471" s="4">
        <f>IF(Tabla5[[#This Row],[Tiempo Permanencia]]-Tabla5[[#This Row],[Tiempo de Preparación ]]&gt;=0,Tabla5[[#This Row],[Tiempo Permanencia]]-Tabla5[[#This Row],[Tiempo de Preparación ]],0)</f>
        <v>5.4861111111919554E-2</v>
      </c>
      <c r="J471" s="5" t="str">
        <f>IF(Tabla5[[#This Row],[Tiempo de Degustación]]=0,"No Cobrada","Cobrada")</f>
        <v>Cobrada</v>
      </c>
      <c r="K471" s="5" cm="1">
        <f t="array" ref="K471">SUM(IF(Tabla5[[#This Row],[Orden Cobrada]]="Cobrada",IF(Cocina!A:A=Tabla5[[#This Row],[Nº Orden]],Cocina!F:F*Cocina!G:G,0),-Tabla6[[#This Row],[Precio Cena]]))</f>
        <v>137</v>
      </c>
      <c r="L471" s="5">
        <f>IF(Tabla5[[#This Row],[Orden Cobrada]]="Cobrada",Tabla5[[#This Row],[Ganancia Bruta]]-Tabla6[[#This Row],[Coste Cena]],-Tabla6[[#This Row],[Precio Cena]]+Tabla6[[#This Row],[Coste Cena]])</f>
        <v>55</v>
      </c>
      <c r="M471" s="10">
        <f>IF(Tabla5[[#This Row],[Orden Cobrada]]="Cobrada",((Tabla5[[#This Row],[Ganancia Neta]]/Tabla5[[#This Row],[Ganancia Bruta]])*100)/100,-((Tabla5[[#This Row],[Ganancia Neta]]/Tabla5[[#This Row],[Ganancia Bruta]]*100)/100))</f>
        <v>0.40145985401459855</v>
      </c>
      <c r="N471" s="5" t="str">
        <f>sala!F470</f>
        <v>Mesero_1</v>
      </c>
      <c r="AY471" cm="1">
        <f t="array" ref="AY471">SUM(IF(Cocina!A:A=Tabla5[[#This Row],[Nº Orden]],Cocina!F:F*Cocina!G:G,0))</f>
        <v>137</v>
      </c>
      <c r="AZ471" cm="1">
        <f t="array" ref="AZ471">SUM(IF(Cocina!A:A=Tabla5[[#This Row],[Nº Orden]],Cocina!E:E*Cocina!G:G,0))</f>
        <v>82</v>
      </c>
      <c r="BB471" t="str">
        <f>MID(Tabla4[[#This Row],[Cliente]], SEARCH("_", Tabla4[[#This Row],[Cliente]]) + 1, LEN(Tabla4[[#This Row],[Cliente]]) - SEARCH("_",Tabla4[[#This Row],[Cliente]]))</f>
        <v>535</v>
      </c>
      <c r="BC471" t="str">
        <f>sala!B470</f>
        <v>Cliente_535</v>
      </c>
      <c r="BD471" s="1">
        <f>sala!D470</f>
        <v>45021.122916666667</v>
      </c>
      <c r="BE471" s="1">
        <f>sala!E470</f>
        <v>45021.223611111112</v>
      </c>
      <c r="BF471">
        <f>sala!K470</f>
        <v>469</v>
      </c>
      <c r="BG471">
        <f>sala!I470</f>
        <v>2526</v>
      </c>
      <c r="BH471" cm="1">
        <f t="array" ref="BH471">SUM(IF(Cocina!A:A=Tabla4[[#This Row],[Número de Orden]],Cocina!F:F*Cocina!G:G,0))</f>
        <v>137</v>
      </c>
      <c r="BI471" t="str">
        <f>sala!J470</f>
        <v>Reservada</v>
      </c>
      <c r="BJ471" s="4" t="str">
        <f>IF(Tabla4[[#This Row],[Estado mesa]]="Ocupada","00:15","00:00")</f>
        <v>00:00</v>
      </c>
      <c r="BK471" cm="1">
        <f t="array" ref="BK471">SUM(IF(Cocina!A:A=Tabla4[[#This Row],[Número de Orden]],Cocina!H:H,0))</f>
        <v>66</v>
      </c>
    </row>
    <row r="472" spans="1:63" x14ac:dyDescent="0.3">
      <c r="A472" s="8" t="str">
        <f>MID(Tabla4[[#This Row],[Cliente]], SEARCH("_", Tabla4[[#This Row],[Cliente]]) + 1, LEN(Tabla4[[#This Row],[Cliente]]) - SEARCH("_",Tabla4[[#This Row],[Cliente]]))</f>
        <v>18</v>
      </c>
      <c r="B472">
        <f>sala!K471</f>
        <v>470</v>
      </c>
      <c r="C472">
        <f>Tabla4[[#This Row],[Propina]]+Tabla4[[#This Row],[Precio Cena]]</f>
        <v>4824</v>
      </c>
      <c r="D472" s="3">
        <f>INT(sala!E471)</f>
        <v>45021</v>
      </c>
      <c r="E472" s="4">
        <f>MOD( sala!D471,1)</f>
        <v>7.013888889196096E-2</v>
      </c>
      <c r="F472" s="4">
        <f>MOD( sala!E471,1)</f>
        <v>0.17847222222189885</v>
      </c>
      <c r="G472" s="4">
        <f>Tabla5[[#This Row],[Hora de Salida]]-Tabla5[[#This Row],[Hora de Llegada]]+Tabla4[[#This Row],[Tiempo Extra]]</f>
        <v>0.11874999999660456</v>
      </c>
      <c r="H472" s="5" t="str">
        <f>TEXT(Tabla4[[#This Row],[Preparación en horas]]/1440, "h:mm")</f>
        <v>1:12</v>
      </c>
      <c r="I472" s="4">
        <f>IF(Tabla5[[#This Row],[Tiempo Permanencia]]-Tabla5[[#This Row],[Tiempo de Preparación ]]&gt;=0,Tabla5[[#This Row],[Tiempo Permanencia]]-Tabla5[[#This Row],[Tiempo de Preparación ]],0)</f>
        <v>6.8749999996604555E-2</v>
      </c>
      <c r="J472" s="5" t="str">
        <f>IF(Tabla5[[#This Row],[Tiempo de Degustación]]=0,"No Cobrada","Cobrada")</f>
        <v>Cobrada</v>
      </c>
      <c r="K472" s="5" cm="1">
        <f t="array" ref="K472">SUM(IF(Tabla5[[#This Row],[Orden Cobrada]]="Cobrada",IF(Cocina!A:A=Tabla5[[#This Row],[Nº Orden]],Cocina!F:F*Cocina!G:G,0),-Tabla6[[#This Row],[Precio Cena]]))</f>
        <v>78</v>
      </c>
      <c r="L472" s="5">
        <f>IF(Tabla5[[#This Row],[Orden Cobrada]]="Cobrada",Tabla5[[#This Row],[Ganancia Bruta]]-Tabla6[[#This Row],[Coste Cena]],-Tabla6[[#This Row],[Precio Cena]]+Tabla6[[#This Row],[Coste Cena]])</f>
        <v>34</v>
      </c>
      <c r="M472" s="10">
        <f>IF(Tabla5[[#This Row],[Orden Cobrada]]="Cobrada",((Tabla5[[#This Row],[Ganancia Neta]]/Tabla5[[#This Row],[Ganancia Bruta]])*100)/100,-((Tabla5[[#This Row],[Ganancia Neta]]/Tabla5[[#This Row],[Ganancia Bruta]]*100)/100))</f>
        <v>0.4358974358974359</v>
      </c>
      <c r="N472" s="5" t="str">
        <f>sala!F471</f>
        <v>Mesero_4</v>
      </c>
      <c r="AY472" cm="1">
        <f t="array" ref="AY472">SUM(IF(Cocina!A:A=Tabla5[[#This Row],[Nº Orden]],Cocina!F:F*Cocina!G:G,0))</f>
        <v>78</v>
      </c>
      <c r="AZ472" cm="1">
        <f t="array" ref="AZ472">SUM(IF(Cocina!A:A=Tabla5[[#This Row],[Nº Orden]],Cocina!E:E*Cocina!G:G,0))</f>
        <v>44</v>
      </c>
      <c r="BB472" t="str">
        <f>MID(Tabla4[[#This Row],[Cliente]], SEARCH("_", Tabla4[[#This Row],[Cliente]]) + 1, LEN(Tabla4[[#This Row],[Cliente]]) - SEARCH("_",Tabla4[[#This Row],[Cliente]]))</f>
        <v>18</v>
      </c>
      <c r="BC472" t="str">
        <f>sala!B471</f>
        <v>Cliente_18</v>
      </c>
      <c r="BD472" s="1">
        <f>sala!D471</f>
        <v>45021.070138888892</v>
      </c>
      <c r="BE472" s="1">
        <f>sala!E471</f>
        <v>45021.178472222222</v>
      </c>
      <c r="BF472">
        <f>sala!K471</f>
        <v>470</v>
      </c>
      <c r="BG472">
        <f>sala!I471</f>
        <v>4746</v>
      </c>
      <c r="BH472" cm="1">
        <f t="array" ref="BH472">SUM(IF(Cocina!A:A=Tabla4[[#This Row],[Número de Orden]],Cocina!F:F*Cocina!G:G,0))</f>
        <v>78</v>
      </c>
      <c r="BI472" t="str">
        <f>sala!J471</f>
        <v>Ocupada</v>
      </c>
      <c r="BJ472" s="4" t="str">
        <f>IF(Tabla4[[#This Row],[Estado mesa]]="Ocupada","00:15","00:00")</f>
        <v>00:15</v>
      </c>
      <c r="BK472" cm="1">
        <f t="array" ref="BK472">SUM(IF(Cocina!A:A=Tabla4[[#This Row],[Número de Orden]],Cocina!H:H,0))</f>
        <v>72</v>
      </c>
    </row>
    <row r="473" spans="1:63" x14ac:dyDescent="0.3">
      <c r="A473" s="8" t="str">
        <f>MID(Tabla4[[#This Row],[Cliente]], SEARCH("_", Tabla4[[#This Row],[Cliente]]) + 1, LEN(Tabla4[[#This Row],[Cliente]]) - SEARCH("_",Tabla4[[#This Row],[Cliente]]))</f>
        <v>696</v>
      </c>
      <c r="B473">
        <f>sala!K472</f>
        <v>471</v>
      </c>
      <c r="C473">
        <f>Tabla4[[#This Row],[Propina]]+Tabla4[[#This Row],[Precio Cena]]</f>
        <v>2954</v>
      </c>
      <c r="D473" s="3">
        <f>INT(sala!E472)</f>
        <v>45021</v>
      </c>
      <c r="E473" s="4">
        <f>MOD( sala!D472,1)</f>
        <v>0.15000000000145519</v>
      </c>
      <c r="F473" s="4">
        <f>MOD( sala!E472,1)</f>
        <v>0.23472222222335404</v>
      </c>
      <c r="G473" s="4">
        <f>Tabla5[[#This Row],[Hora de Salida]]-Tabla5[[#This Row],[Hora de Llegada]]+Tabla4[[#This Row],[Tiempo Extra]]</f>
        <v>8.4722222221898846E-2</v>
      </c>
      <c r="H473" s="5" t="str">
        <f>TEXT(Tabla4[[#This Row],[Preparación en horas]]/1440, "h:mm")</f>
        <v>0:57</v>
      </c>
      <c r="I473" s="4">
        <f>IF(Tabla5[[#This Row],[Tiempo Permanencia]]-Tabla5[[#This Row],[Tiempo de Preparación ]]&gt;=0,Tabla5[[#This Row],[Tiempo Permanencia]]-Tabla5[[#This Row],[Tiempo de Preparación ]],0)</f>
        <v>4.5138888888565515E-2</v>
      </c>
      <c r="J473" s="5" t="str">
        <f>IF(Tabla5[[#This Row],[Tiempo de Degustación]]=0,"No Cobrada","Cobrada")</f>
        <v>Cobrada</v>
      </c>
      <c r="K473" s="5" cm="1">
        <f t="array" ref="K473">SUM(IF(Tabla5[[#This Row],[Orden Cobrada]]="Cobrada",IF(Cocina!A:A=Tabla5[[#This Row],[Nº Orden]],Cocina!F:F*Cocina!G:G,0),-Tabla6[[#This Row],[Precio Cena]]))</f>
        <v>105</v>
      </c>
      <c r="L473" s="5">
        <f>IF(Tabla5[[#This Row],[Orden Cobrada]]="Cobrada",Tabla5[[#This Row],[Ganancia Bruta]]-Tabla6[[#This Row],[Coste Cena]],-Tabla6[[#This Row],[Precio Cena]]+Tabla6[[#This Row],[Coste Cena]])</f>
        <v>42</v>
      </c>
      <c r="M473" s="10">
        <f>IF(Tabla5[[#This Row],[Orden Cobrada]]="Cobrada",((Tabla5[[#This Row],[Ganancia Neta]]/Tabla5[[#This Row],[Ganancia Bruta]])*100)/100,-((Tabla5[[#This Row],[Ganancia Neta]]/Tabla5[[#This Row],[Ganancia Bruta]]*100)/100))</f>
        <v>0.4</v>
      </c>
      <c r="N473" s="5" t="str">
        <f>sala!F472</f>
        <v>Mesero_4</v>
      </c>
      <c r="AY473" cm="1">
        <f t="array" ref="AY473">SUM(IF(Cocina!A:A=Tabla5[[#This Row],[Nº Orden]],Cocina!F:F*Cocina!G:G,0))</f>
        <v>105</v>
      </c>
      <c r="AZ473" cm="1">
        <f t="array" ref="AZ473">SUM(IF(Cocina!A:A=Tabla5[[#This Row],[Nº Orden]],Cocina!E:E*Cocina!G:G,0))</f>
        <v>63</v>
      </c>
      <c r="BB473" t="str">
        <f>MID(Tabla4[[#This Row],[Cliente]], SEARCH("_", Tabla4[[#This Row],[Cliente]]) + 1, LEN(Tabla4[[#This Row],[Cliente]]) - SEARCH("_",Tabla4[[#This Row],[Cliente]]))</f>
        <v>696</v>
      </c>
      <c r="BC473" t="str">
        <f>sala!B472</f>
        <v>Cliente_696</v>
      </c>
      <c r="BD473" s="1">
        <f>sala!D472</f>
        <v>45021.15</v>
      </c>
      <c r="BE473" s="1">
        <f>sala!E472</f>
        <v>45021.234722222223</v>
      </c>
      <c r="BF473">
        <f>sala!K472</f>
        <v>471</v>
      </c>
      <c r="BG473">
        <f>sala!I472</f>
        <v>2849</v>
      </c>
      <c r="BH473" cm="1">
        <f t="array" ref="BH473">SUM(IF(Cocina!A:A=Tabla4[[#This Row],[Número de Orden]],Cocina!F:F*Cocina!G:G,0))</f>
        <v>105</v>
      </c>
      <c r="BI473" t="str">
        <f>sala!J472</f>
        <v>Reservada</v>
      </c>
      <c r="BJ473" s="4" t="str">
        <f>IF(Tabla4[[#This Row],[Estado mesa]]="Ocupada","00:15","00:00")</f>
        <v>00:00</v>
      </c>
      <c r="BK473" cm="1">
        <f t="array" ref="BK473">SUM(IF(Cocina!A:A=Tabla4[[#This Row],[Número de Orden]],Cocina!H:H,0))</f>
        <v>57</v>
      </c>
    </row>
    <row r="474" spans="1:63" x14ac:dyDescent="0.3">
      <c r="A474" s="8" t="str">
        <f>MID(Tabla4[[#This Row],[Cliente]], SEARCH("_", Tabla4[[#This Row],[Cliente]]) + 1, LEN(Tabla4[[#This Row],[Cliente]]) - SEARCH("_",Tabla4[[#This Row],[Cliente]]))</f>
        <v>704</v>
      </c>
      <c r="B474">
        <f>sala!K473</f>
        <v>472</v>
      </c>
      <c r="C474">
        <f>Tabla4[[#This Row],[Propina]]+Tabla4[[#This Row],[Precio Cena]]</f>
        <v>3793</v>
      </c>
      <c r="D474" s="3">
        <f>INT(sala!E473)</f>
        <v>45021</v>
      </c>
      <c r="E474" s="4">
        <f>MOD( sala!D473,1)</f>
        <v>0.16458333333139308</v>
      </c>
      <c r="F474" s="4">
        <f>MOD( sala!E473,1)</f>
        <v>0.28611111111240461</v>
      </c>
      <c r="G474" s="4">
        <f>Tabla5[[#This Row],[Hora de Salida]]-Tabla5[[#This Row],[Hora de Llegada]]+Tabla4[[#This Row],[Tiempo Extra]]</f>
        <v>0.13194444444767819</v>
      </c>
      <c r="H474" s="5" t="str">
        <f>TEXT(Tabla4[[#This Row],[Preparación en horas]]/1440, "h:mm")</f>
        <v>1:13</v>
      </c>
      <c r="I474" s="4">
        <f>IF(Tabla5[[#This Row],[Tiempo Permanencia]]-Tabla5[[#This Row],[Tiempo de Preparación ]]&gt;=0,Tabla5[[#This Row],[Tiempo Permanencia]]-Tabla5[[#This Row],[Tiempo de Preparación ]],0)</f>
        <v>8.1250000003233749E-2</v>
      </c>
      <c r="J474" s="5" t="str">
        <f>IF(Tabla5[[#This Row],[Tiempo de Degustación]]=0,"No Cobrada","Cobrada")</f>
        <v>Cobrada</v>
      </c>
      <c r="K474" s="5" cm="1">
        <f t="array" ref="K474">SUM(IF(Tabla5[[#This Row],[Orden Cobrada]]="Cobrada",IF(Cocina!A:A=Tabla5[[#This Row],[Nº Orden]],Cocina!F:F*Cocina!G:G,0),-Tabla6[[#This Row],[Precio Cena]]))</f>
        <v>114</v>
      </c>
      <c r="L474" s="5">
        <f>IF(Tabla5[[#This Row],[Orden Cobrada]]="Cobrada",Tabla5[[#This Row],[Ganancia Bruta]]-Tabla6[[#This Row],[Coste Cena]],-Tabla6[[#This Row],[Precio Cena]]+Tabla6[[#This Row],[Coste Cena]])</f>
        <v>46</v>
      </c>
      <c r="M474" s="10">
        <f>IF(Tabla5[[#This Row],[Orden Cobrada]]="Cobrada",((Tabla5[[#This Row],[Ganancia Neta]]/Tabla5[[#This Row],[Ganancia Bruta]])*100)/100,-((Tabla5[[#This Row],[Ganancia Neta]]/Tabla5[[#This Row],[Ganancia Bruta]]*100)/100))</f>
        <v>0.40350877192982454</v>
      </c>
      <c r="N474" s="5" t="str">
        <f>sala!F473</f>
        <v>Mesero_2</v>
      </c>
      <c r="AY474" cm="1">
        <f t="array" ref="AY474">SUM(IF(Cocina!A:A=Tabla5[[#This Row],[Nº Orden]],Cocina!F:F*Cocina!G:G,0))</f>
        <v>114</v>
      </c>
      <c r="AZ474" cm="1">
        <f t="array" ref="AZ474">SUM(IF(Cocina!A:A=Tabla5[[#This Row],[Nº Orden]],Cocina!E:E*Cocina!G:G,0))</f>
        <v>68</v>
      </c>
      <c r="BB474" t="str">
        <f>MID(Tabla4[[#This Row],[Cliente]], SEARCH("_", Tabla4[[#This Row],[Cliente]]) + 1, LEN(Tabla4[[#This Row],[Cliente]]) - SEARCH("_",Tabla4[[#This Row],[Cliente]]))</f>
        <v>704</v>
      </c>
      <c r="BC474" t="str">
        <f>sala!B473</f>
        <v>Cliente_704</v>
      </c>
      <c r="BD474" s="1">
        <f>sala!D473</f>
        <v>45021.164583333331</v>
      </c>
      <c r="BE474" s="1">
        <f>sala!E473</f>
        <v>45021.286111111112</v>
      </c>
      <c r="BF474">
        <f>sala!K473</f>
        <v>472</v>
      </c>
      <c r="BG474">
        <f>sala!I473</f>
        <v>3679</v>
      </c>
      <c r="BH474" cm="1">
        <f t="array" ref="BH474">SUM(IF(Cocina!A:A=Tabla4[[#This Row],[Número de Orden]],Cocina!F:F*Cocina!G:G,0))</f>
        <v>114</v>
      </c>
      <c r="BI474" t="str">
        <f>sala!J473</f>
        <v>Ocupada</v>
      </c>
      <c r="BJ474" s="4" t="str">
        <f>IF(Tabla4[[#This Row],[Estado mesa]]="Ocupada","00:15","00:00")</f>
        <v>00:15</v>
      </c>
      <c r="BK474" cm="1">
        <f t="array" ref="BK474">SUM(IF(Cocina!A:A=Tabla4[[#This Row],[Número de Orden]],Cocina!H:H,0))</f>
        <v>73</v>
      </c>
    </row>
    <row r="475" spans="1:63" x14ac:dyDescent="0.3">
      <c r="A475" s="8" t="str">
        <f>MID(Tabla4[[#This Row],[Cliente]], SEARCH("_", Tabla4[[#This Row],[Cliente]]) + 1, LEN(Tabla4[[#This Row],[Cliente]]) - SEARCH("_",Tabla4[[#This Row],[Cliente]]))</f>
        <v>720</v>
      </c>
      <c r="B475">
        <f>sala!K474</f>
        <v>473</v>
      </c>
      <c r="C475">
        <f>Tabla4[[#This Row],[Propina]]+Tabla4[[#This Row],[Precio Cena]]</f>
        <v>1642</v>
      </c>
      <c r="D475" s="3">
        <f>INT(sala!E474)</f>
        <v>45022</v>
      </c>
      <c r="E475" s="4">
        <f>MOD( sala!D474,1)</f>
        <v>0.15000000000145519</v>
      </c>
      <c r="F475" s="4">
        <f>MOD( sala!E474,1)</f>
        <v>0.29444444444379769</v>
      </c>
      <c r="G475" s="4">
        <f>Tabla5[[#This Row],[Hora de Salida]]-Tabla5[[#This Row],[Hora de Llegada]]+Tabla4[[#This Row],[Tiempo Extra]]</f>
        <v>0.15486111110900916</v>
      </c>
      <c r="H475" s="5" t="str">
        <f>TEXT(Tabla4[[#This Row],[Preparación en horas]]/1440, "h:mm")</f>
        <v>1:01</v>
      </c>
      <c r="I475" s="4">
        <f>IF(Tabla5[[#This Row],[Tiempo Permanencia]]-Tabla5[[#This Row],[Tiempo de Preparación ]]&gt;=0,Tabla5[[#This Row],[Tiempo Permanencia]]-Tabla5[[#This Row],[Tiempo de Preparación ]],0)</f>
        <v>0.11249999999789805</v>
      </c>
      <c r="J475" s="5" t="str">
        <f>IF(Tabla5[[#This Row],[Tiempo de Degustación]]=0,"No Cobrada","Cobrada")</f>
        <v>Cobrada</v>
      </c>
      <c r="K475" s="5" cm="1">
        <f t="array" ref="K475">SUM(IF(Tabla5[[#This Row],[Orden Cobrada]]="Cobrada",IF(Cocina!A:A=Tabla5[[#This Row],[Nº Orden]],Cocina!F:F*Cocina!G:G,0),-Tabla6[[#This Row],[Precio Cena]]))</f>
        <v>79</v>
      </c>
      <c r="L475" s="5">
        <f>IF(Tabla5[[#This Row],[Orden Cobrada]]="Cobrada",Tabla5[[#This Row],[Ganancia Bruta]]-Tabla6[[#This Row],[Coste Cena]],-Tabla6[[#This Row],[Precio Cena]]+Tabla6[[#This Row],[Coste Cena]])</f>
        <v>32</v>
      </c>
      <c r="M475" s="10">
        <f>IF(Tabla5[[#This Row],[Orden Cobrada]]="Cobrada",((Tabla5[[#This Row],[Ganancia Neta]]/Tabla5[[#This Row],[Ganancia Bruta]])*100)/100,-((Tabla5[[#This Row],[Ganancia Neta]]/Tabla5[[#This Row],[Ganancia Bruta]]*100)/100))</f>
        <v>0.40506329113924056</v>
      </c>
      <c r="N475" s="5" t="str">
        <f>sala!F474</f>
        <v>Mesero_2</v>
      </c>
      <c r="AY475" cm="1">
        <f t="array" ref="AY475">SUM(IF(Cocina!A:A=Tabla5[[#This Row],[Nº Orden]],Cocina!F:F*Cocina!G:G,0))</f>
        <v>79</v>
      </c>
      <c r="AZ475" cm="1">
        <f t="array" ref="AZ475">SUM(IF(Cocina!A:A=Tabla5[[#This Row],[Nº Orden]],Cocina!E:E*Cocina!G:G,0))</f>
        <v>47</v>
      </c>
      <c r="BB475" t="str">
        <f>MID(Tabla4[[#This Row],[Cliente]], SEARCH("_", Tabla4[[#This Row],[Cliente]]) + 1, LEN(Tabla4[[#This Row],[Cliente]]) - SEARCH("_",Tabla4[[#This Row],[Cliente]]))</f>
        <v>720</v>
      </c>
      <c r="BC475" t="str">
        <f>sala!B474</f>
        <v>Cliente_720</v>
      </c>
      <c r="BD475" s="1">
        <f>sala!D474</f>
        <v>45022.15</v>
      </c>
      <c r="BE475" s="1">
        <f>sala!E474</f>
        <v>45022.294444444444</v>
      </c>
      <c r="BF475">
        <f>sala!K474</f>
        <v>473</v>
      </c>
      <c r="BG475">
        <f>sala!I474</f>
        <v>1563</v>
      </c>
      <c r="BH475" cm="1">
        <f t="array" ref="BH475">SUM(IF(Cocina!A:A=Tabla4[[#This Row],[Número de Orden]],Cocina!F:F*Cocina!G:G,0))</f>
        <v>79</v>
      </c>
      <c r="BI475" t="str">
        <f>sala!J474</f>
        <v>Ocupada</v>
      </c>
      <c r="BJ475" s="4" t="str">
        <f>IF(Tabla4[[#This Row],[Estado mesa]]="Ocupada","00:15","00:00")</f>
        <v>00:15</v>
      </c>
      <c r="BK475" cm="1">
        <f t="array" ref="BK475">SUM(IF(Cocina!A:A=Tabla4[[#This Row],[Número de Orden]],Cocina!H:H,0))</f>
        <v>61</v>
      </c>
    </row>
    <row r="476" spans="1:63" x14ac:dyDescent="0.3">
      <c r="A476" s="8" t="str">
        <f>MID(Tabla4[[#This Row],[Cliente]], SEARCH("_", Tabla4[[#This Row],[Cliente]]) + 1, LEN(Tabla4[[#This Row],[Cliente]]) - SEARCH("_",Tabla4[[#This Row],[Cliente]]))</f>
        <v>624</v>
      </c>
      <c r="B476">
        <f>sala!K475</f>
        <v>474</v>
      </c>
      <c r="C476">
        <f>Tabla4[[#This Row],[Propina]]+Tabla4[[#This Row],[Precio Cena]]</f>
        <v>2344</v>
      </c>
      <c r="D476" s="3">
        <f>INT(sala!E475)</f>
        <v>45022</v>
      </c>
      <c r="E476" s="4">
        <f>MOD( sala!D475,1)</f>
        <v>7.7777777776645962E-2</v>
      </c>
      <c r="F476" s="4">
        <f>MOD( sala!E475,1)</f>
        <v>0.14722222222189885</v>
      </c>
      <c r="G476" s="4">
        <f>Tabla5[[#This Row],[Hora de Salida]]-Tabla5[[#This Row],[Hora de Llegada]]+Tabla4[[#This Row],[Tiempo Extra]]</f>
        <v>6.9444444445252884E-2</v>
      </c>
      <c r="H476" s="5" t="str">
        <f>TEXT(Tabla4[[#This Row],[Preparación en horas]]/1440, "h:mm")</f>
        <v>2:41</v>
      </c>
      <c r="I476" s="4">
        <f>IF(Tabla5[[#This Row],[Tiempo Permanencia]]-Tabla5[[#This Row],[Tiempo de Preparación ]]&gt;=0,Tabla5[[#This Row],[Tiempo Permanencia]]-Tabla5[[#This Row],[Tiempo de Preparación ]],0)</f>
        <v>0</v>
      </c>
      <c r="J476" s="5" t="str">
        <f>IF(Tabla5[[#This Row],[Tiempo de Degustación]]=0,"No Cobrada","Cobrada")</f>
        <v>No Cobrada</v>
      </c>
      <c r="K476" s="5" cm="1">
        <f t="array" ref="K476">SUM(IF(Tabla5[[#This Row],[Orden Cobrada]]="Cobrada",IF(Cocina!A:A=Tabla5[[#This Row],[Nº Orden]],Cocina!F:F*Cocina!G:G,0),-Tabla6[[#This Row],[Precio Cena]]))</f>
        <v>-178</v>
      </c>
      <c r="L476" s="5">
        <f>IF(Tabla5[[#This Row],[Orden Cobrada]]="Cobrada",Tabla5[[#This Row],[Ganancia Bruta]]-Tabla6[[#This Row],[Coste Cena]],-Tabla6[[#This Row],[Precio Cena]]+Tabla6[[#This Row],[Coste Cena]])</f>
        <v>-74</v>
      </c>
      <c r="M476" s="10">
        <f>IF(Tabla5[[#This Row],[Orden Cobrada]]="Cobrada",((Tabla5[[#This Row],[Ganancia Neta]]/Tabla5[[#This Row],[Ganancia Bruta]])*100)/100,-((Tabla5[[#This Row],[Ganancia Neta]]/Tabla5[[#This Row],[Ganancia Bruta]]*100)/100))</f>
        <v>-0.4157303370786517</v>
      </c>
      <c r="N476" s="5" t="str">
        <f>sala!F475</f>
        <v>Mesero_4</v>
      </c>
      <c r="AY476" cm="1">
        <f t="array" ref="AY476">SUM(IF(Cocina!A:A=Tabla5[[#This Row],[Nº Orden]],Cocina!F:F*Cocina!G:G,0))</f>
        <v>178</v>
      </c>
      <c r="AZ476" cm="1">
        <f t="array" ref="AZ476">SUM(IF(Cocina!A:A=Tabla5[[#This Row],[Nº Orden]],Cocina!E:E*Cocina!G:G,0))</f>
        <v>104</v>
      </c>
      <c r="BB476" t="str">
        <f>MID(Tabla4[[#This Row],[Cliente]], SEARCH("_", Tabla4[[#This Row],[Cliente]]) + 1, LEN(Tabla4[[#This Row],[Cliente]]) - SEARCH("_",Tabla4[[#This Row],[Cliente]]))</f>
        <v>624</v>
      </c>
      <c r="BC476" t="str">
        <f>sala!B475</f>
        <v>Cliente_624</v>
      </c>
      <c r="BD476" s="1">
        <f>sala!D475</f>
        <v>45022.077777777777</v>
      </c>
      <c r="BE476" s="1">
        <f>sala!E475</f>
        <v>45022.147222222222</v>
      </c>
      <c r="BF476">
        <f>sala!K475</f>
        <v>474</v>
      </c>
      <c r="BG476">
        <f>sala!I475</f>
        <v>2166</v>
      </c>
      <c r="BH476" cm="1">
        <f t="array" ref="BH476">SUM(IF(Cocina!A:A=Tabla4[[#This Row],[Número de Orden]],Cocina!F:F*Cocina!G:G,0))</f>
        <v>178</v>
      </c>
      <c r="BI476" t="str">
        <f>sala!J475</f>
        <v>Libre</v>
      </c>
      <c r="BJ476" s="4" t="str">
        <f>IF(Tabla4[[#This Row],[Estado mesa]]="Ocupada","00:15","00:00")</f>
        <v>00:00</v>
      </c>
      <c r="BK476" cm="1">
        <f t="array" ref="BK476">SUM(IF(Cocina!A:A=Tabla4[[#This Row],[Número de Orden]],Cocina!H:H,0))</f>
        <v>161</v>
      </c>
    </row>
    <row r="477" spans="1:63" x14ac:dyDescent="0.3">
      <c r="A477" s="8" t="str">
        <f>MID(Tabla4[[#This Row],[Cliente]], SEARCH("_", Tabla4[[#This Row],[Cliente]]) + 1, LEN(Tabla4[[#This Row],[Cliente]]) - SEARCH("_",Tabla4[[#This Row],[Cliente]]))</f>
        <v>289</v>
      </c>
      <c r="B477">
        <f>sala!K476</f>
        <v>475</v>
      </c>
      <c r="C477">
        <f>Tabla4[[#This Row],[Propina]]+Tabla4[[#This Row],[Precio Cena]]</f>
        <v>2129</v>
      </c>
      <c r="D477" s="3">
        <f>INT(sala!E476)</f>
        <v>45022</v>
      </c>
      <c r="E477" s="4">
        <f>MOD( sala!D476,1)</f>
        <v>0.1368055555576575</v>
      </c>
      <c r="F477" s="4">
        <f>MOD( sala!E476,1)</f>
        <v>0.24305555555474712</v>
      </c>
      <c r="G477" s="4">
        <f>Tabla5[[#This Row],[Hora de Salida]]-Tabla5[[#This Row],[Hora de Llegada]]+Tabla4[[#This Row],[Tiempo Extra]]</f>
        <v>0.11666666666375629</v>
      </c>
      <c r="H477" s="5" t="str">
        <f>TEXT(Tabla4[[#This Row],[Preparación en horas]]/1440, "h:mm")</f>
        <v>0:35</v>
      </c>
      <c r="I477" s="4">
        <f>IF(Tabla5[[#This Row],[Tiempo Permanencia]]-Tabla5[[#This Row],[Tiempo de Preparación ]]&gt;=0,Tabla5[[#This Row],[Tiempo Permanencia]]-Tabla5[[#This Row],[Tiempo de Preparación ]],0)</f>
        <v>9.2361111108200736E-2</v>
      </c>
      <c r="J477" s="5" t="str">
        <f>IF(Tabla5[[#This Row],[Tiempo de Degustación]]=0,"No Cobrada","Cobrada")</f>
        <v>Cobrada</v>
      </c>
      <c r="K477" s="5" cm="1">
        <f t="array" ref="K477">SUM(IF(Tabla5[[#This Row],[Orden Cobrada]]="Cobrada",IF(Cocina!A:A=Tabla5[[#This Row],[Nº Orden]],Cocina!F:F*Cocina!G:G,0),-Tabla6[[#This Row],[Precio Cena]]))</f>
        <v>174</v>
      </c>
      <c r="L477" s="5">
        <f>IF(Tabla5[[#This Row],[Orden Cobrada]]="Cobrada",Tabla5[[#This Row],[Ganancia Bruta]]-Tabla6[[#This Row],[Coste Cena]],-Tabla6[[#This Row],[Precio Cena]]+Tabla6[[#This Row],[Coste Cena]])</f>
        <v>72</v>
      </c>
      <c r="M477" s="10">
        <f>IF(Tabla5[[#This Row],[Orden Cobrada]]="Cobrada",((Tabla5[[#This Row],[Ganancia Neta]]/Tabla5[[#This Row],[Ganancia Bruta]])*100)/100,-((Tabla5[[#This Row],[Ganancia Neta]]/Tabla5[[#This Row],[Ganancia Bruta]]*100)/100))</f>
        <v>0.41379310344827586</v>
      </c>
      <c r="N477" s="5" t="str">
        <f>sala!F476</f>
        <v>Mesero_5</v>
      </c>
      <c r="AY477" cm="1">
        <f t="array" ref="AY477">SUM(IF(Cocina!A:A=Tabla5[[#This Row],[Nº Orden]],Cocina!F:F*Cocina!G:G,0))</f>
        <v>174</v>
      </c>
      <c r="AZ477" cm="1">
        <f t="array" ref="AZ477">SUM(IF(Cocina!A:A=Tabla5[[#This Row],[Nº Orden]],Cocina!E:E*Cocina!G:G,0))</f>
        <v>102</v>
      </c>
      <c r="BB477" t="str">
        <f>MID(Tabla4[[#This Row],[Cliente]], SEARCH("_", Tabla4[[#This Row],[Cliente]]) + 1, LEN(Tabla4[[#This Row],[Cliente]]) - SEARCH("_",Tabla4[[#This Row],[Cliente]]))</f>
        <v>289</v>
      </c>
      <c r="BC477" t="str">
        <f>sala!B476</f>
        <v>Cliente_289</v>
      </c>
      <c r="BD477" s="1">
        <f>sala!D476</f>
        <v>45022.136805555558</v>
      </c>
      <c r="BE477" s="1">
        <f>sala!E476</f>
        <v>45022.243055555555</v>
      </c>
      <c r="BF477">
        <f>sala!K476</f>
        <v>475</v>
      </c>
      <c r="BG477">
        <f>sala!I476</f>
        <v>1955</v>
      </c>
      <c r="BH477" cm="1">
        <f t="array" ref="BH477">SUM(IF(Cocina!A:A=Tabla4[[#This Row],[Número de Orden]],Cocina!F:F*Cocina!G:G,0))</f>
        <v>174</v>
      </c>
      <c r="BI477" t="str">
        <f>sala!J476</f>
        <v>Ocupada</v>
      </c>
      <c r="BJ477" s="4" t="str">
        <f>IF(Tabla4[[#This Row],[Estado mesa]]="Ocupada","00:15","00:00")</f>
        <v>00:15</v>
      </c>
      <c r="BK477" cm="1">
        <f t="array" ref="BK477">SUM(IF(Cocina!A:A=Tabla4[[#This Row],[Número de Orden]],Cocina!H:H,0))</f>
        <v>35</v>
      </c>
    </row>
    <row r="478" spans="1:63" x14ac:dyDescent="0.3">
      <c r="A478" s="8" t="str">
        <f>MID(Tabla4[[#This Row],[Cliente]], SEARCH("_", Tabla4[[#This Row],[Cliente]]) + 1, LEN(Tabla4[[#This Row],[Cliente]]) - SEARCH("_",Tabla4[[#This Row],[Cliente]]))</f>
        <v>434</v>
      </c>
      <c r="B478">
        <f>sala!K477</f>
        <v>476</v>
      </c>
      <c r="C478">
        <f>Tabla4[[#This Row],[Propina]]+Tabla4[[#This Row],[Precio Cena]]</f>
        <v>4571</v>
      </c>
      <c r="D478" s="3">
        <f>INT(sala!E477)</f>
        <v>45022</v>
      </c>
      <c r="E478" s="4">
        <f>MOD( sala!D477,1)</f>
        <v>2.0833333328482695E-3</v>
      </c>
      <c r="F478" s="4">
        <f>MOD( sala!E477,1)</f>
        <v>7.4305555557657499E-2</v>
      </c>
      <c r="G478" s="4">
        <f>Tabla5[[#This Row],[Hora de Salida]]-Tabla5[[#This Row],[Hora de Llegada]]+Tabla4[[#This Row],[Tiempo Extra]]</f>
        <v>8.2638888891475901E-2</v>
      </c>
      <c r="H478" s="5" t="str">
        <f>TEXT(Tabla4[[#This Row],[Preparación en horas]]/1440, "h:mm")</f>
        <v>1:55</v>
      </c>
      <c r="I478" s="4">
        <f>IF(Tabla5[[#This Row],[Tiempo Permanencia]]-Tabla5[[#This Row],[Tiempo de Preparación ]]&gt;=0,Tabla5[[#This Row],[Tiempo Permanencia]]-Tabla5[[#This Row],[Tiempo de Preparación ]],0)</f>
        <v>2.7777777803647957E-3</v>
      </c>
      <c r="J478" s="5" t="str">
        <f>IF(Tabla5[[#This Row],[Tiempo de Degustación]]=0,"No Cobrada","Cobrada")</f>
        <v>Cobrada</v>
      </c>
      <c r="K478" s="5" cm="1">
        <f t="array" ref="K478">SUM(IF(Tabla5[[#This Row],[Orden Cobrada]]="Cobrada",IF(Cocina!A:A=Tabla5[[#This Row],[Nº Orden]],Cocina!F:F*Cocina!G:G,0),-Tabla6[[#This Row],[Precio Cena]]))</f>
        <v>218</v>
      </c>
      <c r="L478" s="5">
        <f>IF(Tabla5[[#This Row],[Orden Cobrada]]="Cobrada",Tabla5[[#This Row],[Ganancia Bruta]]-Tabla6[[#This Row],[Coste Cena]],-Tabla6[[#This Row],[Precio Cena]]+Tabla6[[#This Row],[Coste Cena]])</f>
        <v>88</v>
      </c>
      <c r="M478" s="10">
        <f>IF(Tabla5[[#This Row],[Orden Cobrada]]="Cobrada",((Tabla5[[#This Row],[Ganancia Neta]]/Tabla5[[#This Row],[Ganancia Bruta]])*100)/100,-((Tabla5[[#This Row],[Ganancia Neta]]/Tabla5[[#This Row],[Ganancia Bruta]]*100)/100))</f>
        <v>0.40366972477064222</v>
      </c>
      <c r="N478" s="5" t="str">
        <f>sala!F477</f>
        <v>Mesero_3</v>
      </c>
      <c r="AY478" cm="1">
        <f t="array" ref="AY478">SUM(IF(Cocina!A:A=Tabla5[[#This Row],[Nº Orden]],Cocina!F:F*Cocina!G:G,0))</f>
        <v>218</v>
      </c>
      <c r="AZ478" cm="1">
        <f t="array" ref="AZ478">SUM(IF(Cocina!A:A=Tabla5[[#This Row],[Nº Orden]],Cocina!E:E*Cocina!G:G,0))</f>
        <v>130</v>
      </c>
      <c r="BB478" t="str">
        <f>MID(Tabla4[[#This Row],[Cliente]], SEARCH("_", Tabla4[[#This Row],[Cliente]]) + 1, LEN(Tabla4[[#This Row],[Cliente]]) - SEARCH("_",Tabla4[[#This Row],[Cliente]]))</f>
        <v>434</v>
      </c>
      <c r="BC478" t="str">
        <f>sala!B477</f>
        <v>Cliente_434</v>
      </c>
      <c r="BD478" s="1">
        <f>sala!D477</f>
        <v>45022.002083333333</v>
      </c>
      <c r="BE478" s="1">
        <f>sala!E477</f>
        <v>45022.074305555558</v>
      </c>
      <c r="BF478">
        <f>sala!K477</f>
        <v>476</v>
      </c>
      <c r="BG478">
        <f>sala!I477</f>
        <v>4353</v>
      </c>
      <c r="BH478" cm="1">
        <f t="array" ref="BH478">SUM(IF(Cocina!A:A=Tabla4[[#This Row],[Número de Orden]],Cocina!F:F*Cocina!G:G,0))</f>
        <v>218</v>
      </c>
      <c r="BI478" t="str">
        <f>sala!J477</f>
        <v>Ocupada</v>
      </c>
      <c r="BJ478" s="4" t="str">
        <f>IF(Tabla4[[#This Row],[Estado mesa]]="Ocupada","00:15","00:00")</f>
        <v>00:15</v>
      </c>
      <c r="BK478" cm="1">
        <f t="array" ref="BK478">SUM(IF(Cocina!A:A=Tabla4[[#This Row],[Número de Orden]],Cocina!H:H,0))</f>
        <v>115</v>
      </c>
    </row>
    <row r="479" spans="1:63" x14ac:dyDescent="0.3">
      <c r="A479" s="8" t="str">
        <f>MID(Tabla4[[#This Row],[Cliente]], SEARCH("_", Tabla4[[#This Row],[Cliente]]) + 1, LEN(Tabla4[[#This Row],[Cliente]]) - SEARCH("_",Tabla4[[#This Row],[Cliente]]))</f>
        <v>149</v>
      </c>
      <c r="B479">
        <f>sala!K478</f>
        <v>477</v>
      </c>
      <c r="C479">
        <f>Tabla4[[#This Row],[Propina]]+Tabla4[[#This Row],[Precio Cena]]</f>
        <v>3589</v>
      </c>
      <c r="D479" s="3">
        <f>INT(sala!E478)</f>
        <v>45022</v>
      </c>
      <c r="E479" s="4">
        <f>MOD( sala!D478,1)</f>
        <v>6.8749999998544808E-2</v>
      </c>
      <c r="F479" s="4">
        <f>MOD( sala!E478,1)</f>
        <v>0.12361111111385981</v>
      </c>
      <c r="G479" s="4">
        <f>Tabla5[[#This Row],[Hora de Salida]]-Tabla5[[#This Row],[Hora de Llegada]]+Tabla4[[#This Row],[Tiempo Extra]]</f>
        <v>5.4861111115314998E-2</v>
      </c>
      <c r="H479" s="5" t="str">
        <f>TEXT(Tabla4[[#This Row],[Preparación en horas]]/1440, "h:mm")</f>
        <v>1:55</v>
      </c>
      <c r="I479" s="4">
        <f>IF(Tabla5[[#This Row],[Tiempo Permanencia]]-Tabla5[[#This Row],[Tiempo de Preparación ]]&gt;=0,Tabla5[[#This Row],[Tiempo Permanencia]]-Tabla5[[#This Row],[Tiempo de Preparación ]],0)</f>
        <v>0</v>
      </c>
      <c r="J479" s="5" t="str">
        <f>IF(Tabla5[[#This Row],[Tiempo de Degustación]]=0,"No Cobrada","Cobrada")</f>
        <v>No Cobrada</v>
      </c>
      <c r="K479" s="5" cm="1">
        <f t="array" ref="K479">SUM(IF(Tabla5[[#This Row],[Orden Cobrada]]="Cobrada",IF(Cocina!A:A=Tabla5[[#This Row],[Nº Orden]],Cocina!F:F*Cocina!G:G,0),-Tabla6[[#This Row],[Precio Cena]]))</f>
        <v>-204</v>
      </c>
      <c r="L479" s="5">
        <f>IF(Tabla5[[#This Row],[Orden Cobrada]]="Cobrada",Tabla5[[#This Row],[Ganancia Bruta]]-Tabla6[[#This Row],[Coste Cena]],-Tabla6[[#This Row],[Precio Cena]]+Tabla6[[#This Row],[Coste Cena]])</f>
        <v>-82</v>
      </c>
      <c r="M479" s="10">
        <f>IF(Tabla5[[#This Row],[Orden Cobrada]]="Cobrada",((Tabla5[[#This Row],[Ganancia Neta]]/Tabla5[[#This Row],[Ganancia Bruta]])*100)/100,-((Tabla5[[#This Row],[Ganancia Neta]]/Tabla5[[#This Row],[Ganancia Bruta]]*100)/100))</f>
        <v>-0.40196078431372551</v>
      </c>
      <c r="N479" s="5" t="str">
        <f>sala!F478</f>
        <v>Mesero_4</v>
      </c>
      <c r="AY479" cm="1">
        <f t="array" ref="AY479">SUM(IF(Cocina!A:A=Tabla5[[#This Row],[Nº Orden]],Cocina!F:F*Cocina!G:G,0))</f>
        <v>204</v>
      </c>
      <c r="AZ479" cm="1">
        <f t="array" ref="AZ479">SUM(IF(Cocina!A:A=Tabla5[[#This Row],[Nº Orden]],Cocina!E:E*Cocina!G:G,0))</f>
        <v>122</v>
      </c>
      <c r="BB479" t="str">
        <f>MID(Tabla4[[#This Row],[Cliente]], SEARCH("_", Tabla4[[#This Row],[Cliente]]) + 1, LEN(Tabla4[[#This Row],[Cliente]]) - SEARCH("_",Tabla4[[#This Row],[Cliente]]))</f>
        <v>149</v>
      </c>
      <c r="BC479" t="str">
        <f>sala!B478</f>
        <v>Cliente_149</v>
      </c>
      <c r="BD479" s="1">
        <f>sala!D478</f>
        <v>45022.068749999999</v>
      </c>
      <c r="BE479" s="1">
        <f>sala!E478</f>
        <v>45022.123611111114</v>
      </c>
      <c r="BF479">
        <f>sala!K478</f>
        <v>477</v>
      </c>
      <c r="BG479">
        <f>sala!I478</f>
        <v>3385</v>
      </c>
      <c r="BH479" cm="1">
        <f t="array" ref="BH479">SUM(IF(Cocina!A:A=Tabla4[[#This Row],[Número de Orden]],Cocina!F:F*Cocina!G:G,0))</f>
        <v>204</v>
      </c>
      <c r="BI479" t="str">
        <f>sala!J478</f>
        <v>Reservada</v>
      </c>
      <c r="BJ479" s="4" t="str">
        <f>IF(Tabla4[[#This Row],[Estado mesa]]="Ocupada","00:15","00:00")</f>
        <v>00:00</v>
      </c>
      <c r="BK479" cm="1">
        <f t="array" ref="BK479">SUM(IF(Cocina!A:A=Tabla4[[#This Row],[Número de Orden]],Cocina!H:H,0))</f>
        <v>115</v>
      </c>
    </row>
    <row r="480" spans="1:63" x14ac:dyDescent="0.3">
      <c r="A480" s="8" t="str">
        <f>MID(Tabla4[[#This Row],[Cliente]], SEARCH("_", Tabla4[[#This Row],[Cliente]]) + 1, LEN(Tabla4[[#This Row],[Cliente]]) - SEARCH("_",Tabla4[[#This Row],[Cliente]]))</f>
        <v>29</v>
      </c>
      <c r="B480">
        <f>sala!K479</f>
        <v>478</v>
      </c>
      <c r="C480">
        <f>Tabla4[[#This Row],[Propina]]+Tabla4[[#This Row],[Precio Cena]]</f>
        <v>3396</v>
      </c>
      <c r="D480" s="3">
        <f>INT(sala!E479)</f>
        <v>45022</v>
      </c>
      <c r="E480" s="4">
        <f>MOD( sala!D479,1)</f>
        <v>6.944444467080757E-4</v>
      </c>
      <c r="F480" s="4">
        <f>MOD( sala!E479,1)</f>
        <v>0.1444444444423425</v>
      </c>
      <c r="G480" s="4">
        <f>Tabla5[[#This Row],[Hora de Salida]]-Tabla5[[#This Row],[Hora de Llegada]]+Tabla4[[#This Row],[Tiempo Extra]]</f>
        <v>0.15416666666230108</v>
      </c>
      <c r="H480" s="5" t="str">
        <f>TEXT(Tabla4[[#This Row],[Preparación en horas]]/1440, "h:mm")</f>
        <v>1:30</v>
      </c>
      <c r="I480" s="4">
        <f>IF(Tabla5[[#This Row],[Tiempo Permanencia]]-Tabla5[[#This Row],[Tiempo de Preparación ]]&gt;=0,Tabla5[[#This Row],[Tiempo Permanencia]]-Tabla5[[#This Row],[Tiempo de Preparación ]],0)</f>
        <v>9.1666666662301083E-2</v>
      </c>
      <c r="J480" s="5" t="str">
        <f>IF(Tabla5[[#This Row],[Tiempo de Degustación]]=0,"No Cobrada","Cobrada")</f>
        <v>Cobrada</v>
      </c>
      <c r="K480" s="5" cm="1">
        <f t="array" ref="K480">SUM(IF(Tabla5[[#This Row],[Orden Cobrada]]="Cobrada",IF(Cocina!A:A=Tabla5[[#This Row],[Nº Orden]],Cocina!F:F*Cocina!G:G,0),-Tabla6[[#This Row],[Precio Cena]]))</f>
        <v>118</v>
      </c>
      <c r="L480" s="5">
        <f>IF(Tabla5[[#This Row],[Orden Cobrada]]="Cobrada",Tabla5[[#This Row],[Ganancia Bruta]]-Tabla6[[#This Row],[Coste Cena]],-Tabla6[[#This Row],[Precio Cena]]+Tabla6[[#This Row],[Coste Cena]])</f>
        <v>48</v>
      </c>
      <c r="M480" s="10">
        <f>IF(Tabla5[[#This Row],[Orden Cobrada]]="Cobrada",((Tabla5[[#This Row],[Ganancia Neta]]/Tabla5[[#This Row],[Ganancia Bruta]])*100)/100,-((Tabla5[[#This Row],[Ganancia Neta]]/Tabla5[[#This Row],[Ganancia Bruta]]*100)/100))</f>
        <v>0.40677966101694918</v>
      </c>
      <c r="N480" s="5" t="str">
        <f>sala!F479</f>
        <v>Mesero_1</v>
      </c>
      <c r="AY480" cm="1">
        <f t="array" ref="AY480">SUM(IF(Cocina!A:A=Tabla5[[#This Row],[Nº Orden]],Cocina!F:F*Cocina!G:G,0))</f>
        <v>118</v>
      </c>
      <c r="AZ480" cm="1">
        <f t="array" ref="AZ480">SUM(IF(Cocina!A:A=Tabla5[[#This Row],[Nº Orden]],Cocina!E:E*Cocina!G:G,0))</f>
        <v>70</v>
      </c>
      <c r="BB480" t="str">
        <f>MID(Tabla4[[#This Row],[Cliente]], SEARCH("_", Tabla4[[#This Row],[Cliente]]) + 1, LEN(Tabla4[[#This Row],[Cliente]]) - SEARCH("_",Tabla4[[#This Row],[Cliente]]))</f>
        <v>29</v>
      </c>
      <c r="BC480" t="str">
        <f>sala!B479</f>
        <v>Cliente_29</v>
      </c>
      <c r="BD480" s="1">
        <f>sala!D479</f>
        <v>45022.000694444447</v>
      </c>
      <c r="BE480" s="1">
        <f>sala!E479</f>
        <v>45022.144444444442</v>
      </c>
      <c r="BF480">
        <f>sala!K479</f>
        <v>478</v>
      </c>
      <c r="BG480">
        <f>sala!I479</f>
        <v>3278</v>
      </c>
      <c r="BH480" cm="1">
        <f t="array" ref="BH480">SUM(IF(Cocina!A:A=Tabla4[[#This Row],[Número de Orden]],Cocina!F:F*Cocina!G:G,0))</f>
        <v>118</v>
      </c>
      <c r="BI480" t="str">
        <f>sala!J479</f>
        <v>Ocupada</v>
      </c>
      <c r="BJ480" s="4" t="str">
        <f>IF(Tabla4[[#This Row],[Estado mesa]]="Ocupada","00:15","00:00")</f>
        <v>00:15</v>
      </c>
      <c r="BK480" cm="1">
        <f t="array" ref="BK480">SUM(IF(Cocina!A:A=Tabla4[[#This Row],[Número de Orden]],Cocina!H:H,0))</f>
        <v>90</v>
      </c>
    </row>
    <row r="481" spans="1:63" x14ac:dyDescent="0.3">
      <c r="A481" s="8" t="str">
        <f>MID(Tabla4[[#This Row],[Cliente]], SEARCH("_", Tabla4[[#This Row],[Cliente]]) + 1, LEN(Tabla4[[#This Row],[Cliente]]) - SEARCH("_",Tabla4[[#This Row],[Cliente]]))</f>
        <v>708</v>
      </c>
      <c r="B481">
        <f>sala!K480</f>
        <v>479</v>
      </c>
      <c r="C481">
        <f>Tabla4[[#This Row],[Propina]]+Tabla4[[#This Row],[Precio Cena]]</f>
        <v>4010</v>
      </c>
      <c r="D481" s="3">
        <f>INT(sala!E480)</f>
        <v>45022</v>
      </c>
      <c r="E481" s="4">
        <f>MOD( sala!D480,1)</f>
        <v>2.9166666667151731E-2</v>
      </c>
      <c r="F481" s="4">
        <f>MOD( sala!E480,1)</f>
        <v>0.1875</v>
      </c>
      <c r="G481" s="4">
        <f>Tabla5[[#This Row],[Hora de Salida]]-Tabla5[[#This Row],[Hora de Llegada]]+Tabla4[[#This Row],[Tiempo Extra]]</f>
        <v>0.15833333333284827</v>
      </c>
      <c r="H481" s="5" t="str">
        <f>TEXT(Tabla4[[#This Row],[Preparación en horas]]/1440, "h:mm")</f>
        <v>1:23</v>
      </c>
      <c r="I481" s="4">
        <f>IF(Tabla5[[#This Row],[Tiempo Permanencia]]-Tabla5[[#This Row],[Tiempo de Preparación ]]&gt;=0,Tabla5[[#This Row],[Tiempo Permanencia]]-Tabla5[[#This Row],[Tiempo de Preparación ]],0)</f>
        <v>0.10069444444395938</v>
      </c>
      <c r="J481" s="5" t="str">
        <f>IF(Tabla5[[#This Row],[Tiempo de Degustación]]=0,"No Cobrada","Cobrada")</f>
        <v>Cobrada</v>
      </c>
      <c r="K481" s="5" cm="1">
        <f t="array" ref="K481">SUM(IF(Tabla5[[#This Row],[Orden Cobrada]]="Cobrada",IF(Cocina!A:A=Tabla5[[#This Row],[Nº Orden]],Cocina!F:F*Cocina!G:G,0),-Tabla6[[#This Row],[Precio Cena]]))</f>
        <v>52</v>
      </c>
      <c r="L481" s="5">
        <f>IF(Tabla5[[#This Row],[Orden Cobrada]]="Cobrada",Tabla5[[#This Row],[Ganancia Bruta]]-Tabla6[[#This Row],[Coste Cena]],-Tabla6[[#This Row],[Precio Cena]]+Tabla6[[#This Row],[Coste Cena]])</f>
        <v>22</v>
      </c>
      <c r="M481" s="10">
        <f>IF(Tabla5[[#This Row],[Orden Cobrada]]="Cobrada",((Tabla5[[#This Row],[Ganancia Neta]]/Tabla5[[#This Row],[Ganancia Bruta]])*100)/100,-((Tabla5[[#This Row],[Ganancia Neta]]/Tabla5[[#This Row],[Ganancia Bruta]]*100)/100))</f>
        <v>0.42307692307692307</v>
      </c>
      <c r="N481" s="5" t="str">
        <f>sala!F480</f>
        <v>Mesero_3</v>
      </c>
      <c r="AY481" cm="1">
        <f t="array" ref="AY481">SUM(IF(Cocina!A:A=Tabla5[[#This Row],[Nº Orden]],Cocina!F:F*Cocina!G:G,0))</f>
        <v>52</v>
      </c>
      <c r="AZ481" cm="1">
        <f t="array" ref="AZ481">SUM(IF(Cocina!A:A=Tabla5[[#This Row],[Nº Orden]],Cocina!E:E*Cocina!G:G,0))</f>
        <v>30</v>
      </c>
      <c r="BB481" t="str">
        <f>MID(Tabla4[[#This Row],[Cliente]], SEARCH("_", Tabla4[[#This Row],[Cliente]]) + 1, LEN(Tabla4[[#This Row],[Cliente]]) - SEARCH("_",Tabla4[[#This Row],[Cliente]]))</f>
        <v>708</v>
      </c>
      <c r="BC481" t="str">
        <f>sala!B480</f>
        <v>Cliente_708</v>
      </c>
      <c r="BD481" s="1">
        <f>sala!D480</f>
        <v>45022.029166666667</v>
      </c>
      <c r="BE481" s="1">
        <f>sala!E480</f>
        <v>45022.1875</v>
      </c>
      <c r="BF481">
        <f>sala!K480</f>
        <v>479</v>
      </c>
      <c r="BG481">
        <f>sala!I480</f>
        <v>3958</v>
      </c>
      <c r="BH481" cm="1">
        <f t="array" ref="BH481">SUM(IF(Cocina!A:A=Tabla4[[#This Row],[Número de Orden]],Cocina!F:F*Cocina!G:G,0))</f>
        <v>52</v>
      </c>
      <c r="BI481" t="str">
        <f>sala!J480</f>
        <v>Reservada</v>
      </c>
      <c r="BJ481" s="4" t="str">
        <f>IF(Tabla4[[#This Row],[Estado mesa]]="Ocupada","00:15","00:00")</f>
        <v>00:00</v>
      </c>
      <c r="BK481" cm="1">
        <f t="array" ref="BK481">SUM(IF(Cocina!A:A=Tabla4[[#This Row],[Número de Orden]],Cocina!H:H,0))</f>
        <v>83</v>
      </c>
    </row>
    <row r="482" spans="1:63" x14ac:dyDescent="0.3">
      <c r="A482" s="8" t="str">
        <f>MID(Tabla4[[#This Row],[Cliente]], SEARCH("_", Tabla4[[#This Row],[Cliente]]) + 1, LEN(Tabla4[[#This Row],[Cliente]]) - SEARCH("_",Tabla4[[#This Row],[Cliente]]))</f>
        <v>125</v>
      </c>
      <c r="B482">
        <f>sala!K481</f>
        <v>480</v>
      </c>
      <c r="C482">
        <f>Tabla4[[#This Row],[Propina]]+Tabla4[[#This Row],[Precio Cena]]</f>
        <v>2022</v>
      </c>
      <c r="D482" s="3">
        <f>INT(sala!E481)</f>
        <v>45022</v>
      </c>
      <c r="E482" s="4">
        <f>MOD( sala!D481,1)</f>
        <v>0.14305555555620231</v>
      </c>
      <c r="F482" s="4">
        <f>MOD( sala!E481,1)</f>
        <v>0.30486111110803904</v>
      </c>
      <c r="G482" s="4">
        <f>Tabla5[[#This Row],[Hora de Salida]]-Tabla5[[#This Row],[Hora de Llegada]]+Tabla4[[#This Row],[Tiempo Extra]]</f>
        <v>0.16180555555183673</v>
      </c>
      <c r="H482" s="5" t="str">
        <f>TEXT(Tabla4[[#This Row],[Preparación en horas]]/1440, "h:mm")</f>
        <v>1:05</v>
      </c>
      <c r="I482" s="4">
        <f>IF(Tabla5[[#This Row],[Tiempo Permanencia]]-Tabla5[[#This Row],[Tiempo de Preparación ]]&gt;=0,Tabla5[[#This Row],[Tiempo Permanencia]]-Tabla5[[#This Row],[Tiempo de Preparación ]],0)</f>
        <v>0.11666666666294784</v>
      </c>
      <c r="J482" s="5" t="str">
        <f>IF(Tabla5[[#This Row],[Tiempo de Degustación]]=0,"No Cobrada","Cobrada")</f>
        <v>Cobrada</v>
      </c>
      <c r="K482" s="5" cm="1">
        <f t="array" ref="K482">SUM(IF(Tabla5[[#This Row],[Orden Cobrada]]="Cobrada",IF(Cocina!A:A=Tabla5[[#This Row],[Nº Orden]],Cocina!F:F*Cocina!G:G,0),-Tabla6[[#This Row],[Precio Cena]]))</f>
        <v>159</v>
      </c>
      <c r="L482" s="5">
        <f>IF(Tabla5[[#This Row],[Orden Cobrada]]="Cobrada",Tabla5[[#This Row],[Ganancia Bruta]]-Tabla6[[#This Row],[Coste Cena]],-Tabla6[[#This Row],[Precio Cena]]+Tabla6[[#This Row],[Coste Cena]])</f>
        <v>64</v>
      </c>
      <c r="M482" s="10">
        <f>IF(Tabla5[[#This Row],[Orden Cobrada]]="Cobrada",((Tabla5[[#This Row],[Ganancia Neta]]/Tabla5[[#This Row],[Ganancia Bruta]])*100)/100,-((Tabla5[[#This Row],[Ganancia Neta]]/Tabla5[[#This Row],[Ganancia Bruta]]*100)/100))</f>
        <v>0.40251572327044033</v>
      </c>
      <c r="N482" s="5" t="str">
        <f>sala!F481</f>
        <v>Mesero_5</v>
      </c>
      <c r="AY482" cm="1">
        <f t="array" ref="AY482">SUM(IF(Cocina!A:A=Tabla5[[#This Row],[Nº Orden]],Cocina!F:F*Cocina!G:G,0))</f>
        <v>159</v>
      </c>
      <c r="AZ482" cm="1">
        <f t="array" ref="AZ482">SUM(IF(Cocina!A:A=Tabla5[[#This Row],[Nº Orden]],Cocina!E:E*Cocina!G:G,0))</f>
        <v>95</v>
      </c>
      <c r="BB482" t="str">
        <f>MID(Tabla4[[#This Row],[Cliente]], SEARCH("_", Tabla4[[#This Row],[Cliente]]) + 1, LEN(Tabla4[[#This Row],[Cliente]]) - SEARCH("_",Tabla4[[#This Row],[Cliente]]))</f>
        <v>125</v>
      </c>
      <c r="BC482" t="str">
        <f>sala!B481</f>
        <v>Cliente_125</v>
      </c>
      <c r="BD482" s="1">
        <f>sala!D481</f>
        <v>45022.143055555556</v>
      </c>
      <c r="BE482" s="1">
        <f>sala!E481</f>
        <v>45022.304861111108</v>
      </c>
      <c r="BF482">
        <f>sala!K481</f>
        <v>480</v>
      </c>
      <c r="BG482">
        <f>sala!I481</f>
        <v>1863</v>
      </c>
      <c r="BH482" cm="1">
        <f t="array" ref="BH482">SUM(IF(Cocina!A:A=Tabla4[[#This Row],[Número de Orden]],Cocina!F:F*Cocina!G:G,0))</f>
        <v>159</v>
      </c>
      <c r="BI482" t="str">
        <f>sala!J481</f>
        <v>Reservada</v>
      </c>
      <c r="BJ482" s="4" t="str">
        <f>IF(Tabla4[[#This Row],[Estado mesa]]="Ocupada","00:15","00:00")</f>
        <v>00:00</v>
      </c>
      <c r="BK482" cm="1">
        <f t="array" ref="BK482">SUM(IF(Cocina!A:A=Tabla4[[#This Row],[Número de Orden]],Cocina!H:H,0))</f>
        <v>65</v>
      </c>
    </row>
    <row r="483" spans="1:63" x14ac:dyDescent="0.3">
      <c r="A483" s="8" t="str">
        <f>MID(Tabla4[[#This Row],[Cliente]], SEARCH("_", Tabla4[[#This Row],[Cliente]]) + 1, LEN(Tabla4[[#This Row],[Cliente]]) - SEARCH("_",Tabla4[[#This Row],[Cliente]]))</f>
        <v>618</v>
      </c>
      <c r="B483">
        <f>sala!K482</f>
        <v>481</v>
      </c>
      <c r="C483">
        <f>Tabla4[[#This Row],[Propina]]+Tabla4[[#This Row],[Precio Cena]]</f>
        <v>4254</v>
      </c>
      <c r="D483" s="3">
        <f>INT(sala!E482)</f>
        <v>45022</v>
      </c>
      <c r="E483" s="4">
        <f>MOD( sala!D482,1)</f>
        <v>8.1250000002910383E-2</v>
      </c>
      <c r="F483" s="4">
        <f>MOD( sala!E482,1)</f>
        <v>0.19652777777810115</v>
      </c>
      <c r="G483" s="4">
        <f>Tabla5[[#This Row],[Hora de Salida]]-Tabla5[[#This Row],[Hora de Llegada]]+Tabla4[[#This Row],[Tiempo Extra]]</f>
        <v>0.11527777777519077</v>
      </c>
      <c r="H483" s="5" t="str">
        <f>TEXT(Tabla4[[#This Row],[Preparación en horas]]/1440, "h:mm")</f>
        <v>0:58</v>
      </c>
      <c r="I483" s="4">
        <f>IF(Tabla5[[#This Row],[Tiempo Permanencia]]-Tabla5[[#This Row],[Tiempo de Preparación ]]&gt;=0,Tabla5[[#This Row],[Tiempo Permanencia]]-Tabla5[[#This Row],[Tiempo de Preparación ]],0)</f>
        <v>7.4999999997412997E-2</v>
      </c>
      <c r="J483" s="5" t="str">
        <f>IF(Tabla5[[#This Row],[Tiempo de Degustación]]=0,"No Cobrada","Cobrada")</f>
        <v>Cobrada</v>
      </c>
      <c r="K483" s="5" cm="1">
        <f t="array" ref="K483">SUM(IF(Tabla5[[#This Row],[Orden Cobrada]]="Cobrada",IF(Cocina!A:A=Tabla5[[#This Row],[Nº Orden]],Cocina!F:F*Cocina!G:G,0),-Tabla6[[#This Row],[Precio Cena]]))</f>
        <v>52</v>
      </c>
      <c r="L483" s="5">
        <f>IF(Tabla5[[#This Row],[Orden Cobrada]]="Cobrada",Tabla5[[#This Row],[Ganancia Bruta]]-Tabla6[[#This Row],[Coste Cena]],-Tabla6[[#This Row],[Precio Cena]]+Tabla6[[#This Row],[Coste Cena]])</f>
        <v>22</v>
      </c>
      <c r="M483" s="10">
        <f>IF(Tabla5[[#This Row],[Orden Cobrada]]="Cobrada",((Tabla5[[#This Row],[Ganancia Neta]]/Tabla5[[#This Row],[Ganancia Bruta]])*100)/100,-((Tabla5[[#This Row],[Ganancia Neta]]/Tabla5[[#This Row],[Ganancia Bruta]]*100)/100))</f>
        <v>0.42307692307692307</v>
      </c>
      <c r="N483" s="5" t="str">
        <f>sala!F482</f>
        <v>Mesero_1</v>
      </c>
      <c r="AY483" cm="1">
        <f t="array" ref="AY483">SUM(IF(Cocina!A:A=Tabla5[[#This Row],[Nº Orden]],Cocina!F:F*Cocina!G:G,0))</f>
        <v>52</v>
      </c>
      <c r="AZ483" cm="1">
        <f t="array" ref="AZ483">SUM(IF(Cocina!A:A=Tabla5[[#This Row],[Nº Orden]],Cocina!E:E*Cocina!G:G,0))</f>
        <v>30</v>
      </c>
      <c r="BB483" t="str">
        <f>MID(Tabla4[[#This Row],[Cliente]], SEARCH("_", Tabla4[[#This Row],[Cliente]]) + 1, LEN(Tabla4[[#This Row],[Cliente]]) - SEARCH("_",Tabla4[[#This Row],[Cliente]]))</f>
        <v>618</v>
      </c>
      <c r="BC483" t="str">
        <f>sala!B482</f>
        <v>Cliente_618</v>
      </c>
      <c r="BD483" s="1">
        <f>sala!D482</f>
        <v>45022.081250000003</v>
      </c>
      <c r="BE483" s="1">
        <f>sala!E482</f>
        <v>45022.196527777778</v>
      </c>
      <c r="BF483">
        <f>sala!K482</f>
        <v>481</v>
      </c>
      <c r="BG483">
        <f>sala!I482</f>
        <v>4202</v>
      </c>
      <c r="BH483" cm="1">
        <f t="array" ref="BH483">SUM(IF(Cocina!A:A=Tabla4[[#This Row],[Número de Orden]],Cocina!F:F*Cocina!G:G,0))</f>
        <v>52</v>
      </c>
      <c r="BI483" t="str">
        <f>sala!J482</f>
        <v>Reservada</v>
      </c>
      <c r="BJ483" s="4" t="str">
        <f>IF(Tabla4[[#This Row],[Estado mesa]]="Ocupada","00:15","00:00")</f>
        <v>00:00</v>
      </c>
      <c r="BK483" cm="1">
        <f t="array" ref="BK483">SUM(IF(Cocina!A:A=Tabla4[[#This Row],[Número de Orden]],Cocina!H:H,0))</f>
        <v>58</v>
      </c>
    </row>
    <row r="484" spans="1:63" x14ac:dyDescent="0.3">
      <c r="A484" s="8" t="str">
        <f>MID(Tabla4[[#This Row],[Cliente]], SEARCH("_", Tabla4[[#This Row],[Cliente]]) + 1, LEN(Tabla4[[#This Row],[Cliente]]) - SEARCH("_",Tabla4[[#This Row],[Cliente]]))</f>
        <v>115</v>
      </c>
      <c r="B484">
        <f>sala!K483</f>
        <v>482</v>
      </c>
      <c r="C484">
        <f>Tabla4[[#This Row],[Propina]]+Tabla4[[#This Row],[Precio Cena]]</f>
        <v>1947</v>
      </c>
      <c r="D484" s="3">
        <f>INT(sala!E483)</f>
        <v>45022</v>
      </c>
      <c r="E484" s="4">
        <f>MOD( sala!D483,1)</f>
        <v>2.8472222220443655E-2</v>
      </c>
      <c r="F484" s="4">
        <f>MOD( sala!E483,1)</f>
        <v>0.12430555555329192</v>
      </c>
      <c r="G484" s="4">
        <f>Tabla5[[#This Row],[Hora de Salida]]-Tabla5[[#This Row],[Hora de Llegada]]+Tabla4[[#This Row],[Tiempo Extra]]</f>
        <v>9.5833333332848269E-2</v>
      </c>
      <c r="H484" s="5" t="str">
        <f>TEXT(Tabla4[[#This Row],[Preparación en horas]]/1440, "h:mm")</f>
        <v>0:21</v>
      </c>
      <c r="I484" s="4">
        <f>IF(Tabla5[[#This Row],[Tiempo Permanencia]]-Tabla5[[#This Row],[Tiempo de Preparación ]]&gt;=0,Tabla5[[#This Row],[Tiempo Permanencia]]-Tabla5[[#This Row],[Tiempo de Preparación ]],0)</f>
        <v>8.1249999999514932E-2</v>
      </c>
      <c r="J484" s="5" t="str">
        <f>IF(Tabla5[[#This Row],[Tiempo de Degustación]]=0,"No Cobrada","Cobrada")</f>
        <v>Cobrada</v>
      </c>
      <c r="K484" s="5" cm="1">
        <f t="array" ref="K484">SUM(IF(Tabla5[[#This Row],[Orden Cobrada]]="Cobrada",IF(Cocina!A:A=Tabla5[[#This Row],[Nº Orden]],Cocina!F:F*Cocina!G:G,0),-Tabla6[[#This Row],[Precio Cena]]))</f>
        <v>63</v>
      </c>
      <c r="L484" s="5">
        <f>IF(Tabla5[[#This Row],[Orden Cobrada]]="Cobrada",Tabla5[[#This Row],[Ganancia Bruta]]-Tabla6[[#This Row],[Coste Cena]],-Tabla6[[#This Row],[Precio Cena]]+Tabla6[[#This Row],[Coste Cena]])</f>
        <v>24</v>
      </c>
      <c r="M484" s="10">
        <f>IF(Tabla5[[#This Row],[Orden Cobrada]]="Cobrada",((Tabla5[[#This Row],[Ganancia Neta]]/Tabla5[[#This Row],[Ganancia Bruta]])*100)/100,-((Tabla5[[#This Row],[Ganancia Neta]]/Tabla5[[#This Row],[Ganancia Bruta]]*100)/100))</f>
        <v>0.38095238095238093</v>
      </c>
      <c r="N484" s="5" t="str">
        <f>sala!F483</f>
        <v>Mesero_3</v>
      </c>
      <c r="AY484" cm="1">
        <f t="array" ref="AY484">SUM(IF(Cocina!A:A=Tabla5[[#This Row],[Nº Orden]],Cocina!F:F*Cocina!G:G,0))</f>
        <v>63</v>
      </c>
      <c r="AZ484" cm="1">
        <f t="array" ref="AZ484">SUM(IF(Cocina!A:A=Tabla5[[#This Row],[Nº Orden]],Cocina!E:E*Cocina!G:G,0))</f>
        <v>39</v>
      </c>
      <c r="BB484" t="str">
        <f>MID(Tabla4[[#This Row],[Cliente]], SEARCH("_", Tabla4[[#This Row],[Cliente]]) + 1, LEN(Tabla4[[#This Row],[Cliente]]) - SEARCH("_",Tabla4[[#This Row],[Cliente]]))</f>
        <v>115</v>
      </c>
      <c r="BC484" t="str">
        <f>sala!B483</f>
        <v>Cliente_115</v>
      </c>
      <c r="BD484" s="1">
        <f>sala!D483</f>
        <v>45022.02847222222</v>
      </c>
      <c r="BE484" s="1">
        <f>sala!E483</f>
        <v>45022.124305555553</v>
      </c>
      <c r="BF484">
        <f>sala!K483</f>
        <v>482</v>
      </c>
      <c r="BG484">
        <f>sala!I483</f>
        <v>1884</v>
      </c>
      <c r="BH484" cm="1">
        <f t="array" ref="BH484">SUM(IF(Cocina!A:A=Tabla4[[#This Row],[Número de Orden]],Cocina!F:F*Cocina!G:G,0))</f>
        <v>63</v>
      </c>
      <c r="BI484" t="str">
        <f>sala!J483</f>
        <v>Libre</v>
      </c>
      <c r="BJ484" s="4" t="str">
        <f>IF(Tabla4[[#This Row],[Estado mesa]]="Ocupada","00:15","00:00")</f>
        <v>00:00</v>
      </c>
      <c r="BK484" cm="1">
        <f t="array" ref="BK484">SUM(IF(Cocina!A:A=Tabla4[[#This Row],[Número de Orden]],Cocina!H:H,0))</f>
        <v>21</v>
      </c>
    </row>
    <row r="485" spans="1:63" x14ac:dyDescent="0.3">
      <c r="A485" s="8" t="str">
        <f>MID(Tabla4[[#This Row],[Cliente]], SEARCH("_", Tabla4[[#This Row],[Cliente]]) + 1, LEN(Tabla4[[#This Row],[Cliente]]) - SEARCH("_",Tabla4[[#This Row],[Cliente]]))</f>
        <v>527</v>
      </c>
      <c r="B485">
        <f>sala!K484</f>
        <v>483</v>
      </c>
      <c r="C485">
        <f>Tabla4[[#This Row],[Propina]]+Tabla4[[#This Row],[Precio Cena]]</f>
        <v>1355</v>
      </c>
      <c r="D485" s="3">
        <f>INT(sala!E484)</f>
        <v>45022</v>
      </c>
      <c r="E485" s="4">
        <f>MOD( sala!D484,1)</f>
        <v>0.15972222221898846</v>
      </c>
      <c r="F485" s="4">
        <f>MOD( sala!E484,1)</f>
        <v>0.29236111111094942</v>
      </c>
      <c r="G485" s="4">
        <f>Tabla5[[#This Row],[Hora de Salida]]-Tabla5[[#This Row],[Hora de Llegada]]+Tabla4[[#This Row],[Tiempo Extra]]</f>
        <v>0.13263888889196096</v>
      </c>
      <c r="H485" s="5" t="str">
        <f>TEXT(Tabla4[[#This Row],[Preparación en horas]]/1440, "h:mm")</f>
        <v>0:53</v>
      </c>
      <c r="I485" s="4">
        <f>IF(Tabla5[[#This Row],[Tiempo Permanencia]]-Tabla5[[#This Row],[Tiempo de Preparación ]]&gt;=0,Tabla5[[#This Row],[Tiempo Permanencia]]-Tabla5[[#This Row],[Tiempo de Preparación ]],0)</f>
        <v>9.5833333336405396E-2</v>
      </c>
      <c r="J485" s="5" t="str">
        <f>IF(Tabla5[[#This Row],[Tiempo de Degustación]]=0,"No Cobrada","Cobrada")</f>
        <v>Cobrada</v>
      </c>
      <c r="K485" s="5" cm="1">
        <f t="array" ref="K485">SUM(IF(Tabla5[[#This Row],[Orden Cobrada]]="Cobrada",IF(Cocina!A:A=Tabla5[[#This Row],[Nº Orden]],Cocina!F:F*Cocina!G:G,0),-Tabla6[[#This Row],[Precio Cena]]))</f>
        <v>81</v>
      </c>
      <c r="L485" s="5">
        <f>IF(Tabla5[[#This Row],[Orden Cobrada]]="Cobrada",Tabla5[[#This Row],[Ganancia Bruta]]-Tabla6[[#This Row],[Coste Cena]],-Tabla6[[#This Row],[Precio Cena]]+Tabla6[[#This Row],[Coste Cena]])</f>
        <v>33</v>
      </c>
      <c r="M485" s="10">
        <f>IF(Tabla5[[#This Row],[Orden Cobrada]]="Cobrada",((Tabla5[[#This Row],[Ganancia Neta]]/Tabla5[[#This Row],[Ganancia Bruta]])*100)/100,-((Tabla5[[#This Row],[Ganancia Neta]]/Tabla5[[#This Row],[Ganancia Bruta]]*100)/100))</f>
        <v>0.40740740740740738</v>
      </c>
      <c r="N485" s="5" t="str">
        <f>sala!F484</f>
        <v>Mesero_1</v>
      </c>
      <c r="AY485" cm="1">
        <f t="array" ref="AY485">SUM(IF(Cocina!A:A=Tabla5[[#This Row],[Nº Orden]],Cocina!F:F*Cocina!G:G,0))</f>
        <v>81</v>
      </c>
      <c r="AZ485" cm="1">
        <f t="array" ref="AZ485">SUM(IF(Cocina!A:A=Tabla5[[#This Row],[Nº Orden]],Cocina!E:E*Cocina!G:G,0))</f>
        <v>48</v>
      </c>
      <c r="BB485" t="str">
        <f>MID(Tabla4[[#This Row],[Cliente]], SEARCH("_", Tabla4[[#This Row],[Cliente]]) + 1, LEN(Tabla4[[#This Row],[Cliente]]) - SEARCH("_",Tabla4[[#This Row],[Cliente]]))</f>
        <v>527</v>
      </c>
      <c r="BC485" t="str">
        <f>sala!B484</f>
        <v>Cliente_527</v>
      </c>
      <c r="BD485" s="1">
        <f>sala!D484</f>
        <v>45022.159722222219</v>
      </c>
      <c r="BE485" s="1">
        <f>sala!E484</f>
        <v>45022.292361111111</v>
      </c>
      <c r="BF485">
        <f>sala!K484</f>
        <v>483</v>
      </c>
      <c r="BG485">
        <f>sala!I484</f>
        <v>1274</v>
      </c>
      <c r="BH485" cm="1">
        <f t="array" ref="BH485">SUM(IF(Cocina!A:A=Tabla4[[#This Row],[Número de Orden]],Cocina!F:F*Cocina!G:G,0))</f>
        <v>81</v>
      </c>
      <c r="BI485" t="str">
        <f>sala!J484</f>
        <v>Reservada</v>
      </c>
      <c r="BJ485" s="4" t="str">
        <f>IF(Tabla4[[#This Row],[Estado mesa]]="Ocupada","00:15","00:00")</f>
        <v>00:00</v>
      </c>
      <c r="BK485" cm="1">
        <f t="array" ref="BK485">SUM(IF(Cocina!A:A=Tabla4[[#This Row],[Número de Orden]],Cocina!H:H,0))</f>
        <v>53</v>
      </c>
    </row>
    <row r="486" spans="1:63" x14ac:dyDescent="0.3">
      <c r="A486" s="8" t="str">
        <f>MID(Tabla4[[#This Row],[Cliente]], SEARCH("_", Tabla4[[#This Row],[Cliente]]) + 1, LEN(Tabla4[[#This Row],[Cliente]]) - SEARCH("_",Tabla4[[#This Row],[Cliente]]))</f>
        <v>71</v>
      </c>
      <c r="B486">
        <f>sala!K485</f>
        <v>484</v>
      </c>
      <c r="C486">
        <f>Tabla4[[#This Row],[Propina]]+Tabla4[[#This Row],[Precio Cena]]</f>
        <v>2351</v>
      </c>
      <c r="D486" s="3">
        <f>INT(sala!E485)</f>
        <v>45022</v>
      </c>
      <c r="E486" s="4">
        <f>MOD( sala!D485,1)</f>
        <v>6.4583333332848269E-2</v>
      </c>
      <c r="F486" s="4">
        <f>MOD( sala!E485,1)</f>
        <v>0.18819444444670808</v>
      </c>
      <c r="G486" s="4">
        <f>Tabla5[[#This Row],[Hora de Salida]]-Tabla5[[#This Row],[Hora de Llegada]]+Tabla4[[#This Row],[Tiempo Extra]]</f>
        <v>0.12361111111385981</v>
      </c>
      <c r="H486" s="5" t="str">
        <f>TEXT(Tabla4[[#This Row],[Preparación en horas]]/1440, "h:mm")</f>
        <v>0:34</v>
      </c>
      <c r="I486" s="4">
        <f>IF(Tabla5[[#This Row],[Tiempo Permanencia]]-Tabla5[[#This Row],[Tiempo de Preparación ]]&gt;=0,Tabla5[[#This Row],[Tiempo Permanencia]]-Tabla5[[#This Row],[Tiempo de Preparación ]],0)</f>
        <v>0.1000000000027487</v>
      </c>
      <c r="J486" s="5" t="str">
        <f>IF(Tabla5[[#This Row],[Tiempo de Degustación]]=0,"No Cobrada","Cobrada")</f>
        <v>Cobrada</v>
      </c>
      <c r="K486" s="5" cm="1">
        <f t="array" ref="K486">SUM(IF(Tabla5[[#This Row],[Orden Cobrada]]="Cobrada",IF(Cocina!A:A=Tabla5[[#This Row],[Nº Orden]],Cocina!F:F*Cocina!G:G,0),-Tabla6[[#This Row],[Precio Cena]]))</f>
        <v>75</v>
      </c>
      <c r="L486" s="5">
        <f>IF(Tabla5[[#This Row],[Orden Cobrada]]="Cobrada",Tabla5[[#This Row],[Ganancia Bruta]]-Tabla6[[#This Row],[Coste Cena]],-Tabla6[[#This Row],[Precio Cena]]+Tabla6[[#This Row],[Coste Cena]])</f>
        <v>30</v>
      </c>
      <c r="M486" s="10">
        <f>IF(Tabla5[[#This Row],[Orden Cobrada]]="Cobrada",((Tabla5[[#This Row],[Ganancia Neta]]/Tabla5[[#This Row],[Ganancia Bruta]])*100)/100,-((Tabla5[[#This Row],[Ganancia Neta]]/Tabla5[[#This Row],[Ganancia Bruta]]*100)/100))</f>
        <v>0.4</v>
      </c>
      <c r="N486" s="5" t="str">
        <f>sala!F485</f>
        <v>Mesero_4</v>
      </c>
      <c r="AY486" cm="1">
        <f t="array" ref="AY486">SUM(IF(Cocina!A:A=Tabla5[[#This Row],[Nº Orden]],Cocina!F:F*Cocina!G:G,0))</f>
        <v>75</v>
      </c>
      <c r="AZ486" cm="1">
        <f t="array" ref="AZ486">SUM(IF(Cocina!A:A=Tabla5[[#This Row],[Nº Orden]],Cocina!E:E*Cocina!G:G,0))</f>
        <v>45</v>
      </c>
      <c r="BB486" t="str">
        <f>MID(Tabla4[[#This Row],[Cliente]], SEARCH("_", Tabla4[[#This Row],[Cliente]]) + 1, LEN(Tabla4[[#This Row],[Cliente]]) - SEARCH("_",Tabla4[[#This Row],[Cliente]]))</f>
        <v>71</v>
      </c>
      <c r="BC486" t="str">
        <f>sala!B485</f>
        <v>Cliente_71</v>
      </c>
      <c r="BD486" s="1">
        <f>sala!D485</f>
        <v>45022.064583333333</v>
      </c>
      <c r="BE486" s="1">
        <f>sala!E485</f>
        <v>45022.188194444447</v>
      </c>
      <c r="BF486">
        <f>sala!K485</f>
        <v>484</v>
      </c>
      <c r="BG486">
        <f>sala!I485</f>
        <v>2276</v>
      </c>
      <c r="BH486" cm="1">
        <f t="array" ref="BH486">SUM(IF(Cocina!A:A=Tabla4[[#This Row],[Número de Orden]],Cocina!F:F*Cocina!G:G,0))</f>
        <v>75</v>
      </c>
      <c r="BI486" t="str">
        <f>sala!J485</f>
        <v>Libre</v>
      </c>
      <c r="BJ486" s="4" t="str">
        <f>IF(Tabla4[[#This Row],[Estado mesa]]="Ocupada","00:15","00:00")</f>
        <v>00:00</v>
      </c>
      <c r="BK486" cm="1">
        <f t="array" ref="BK486">SUM(IF(Cocina!A:A=Tabla4[[#This Row],[Número de Orden]],Cocina!H:H,0))</f>
        <v>34</v>
      </c>
    </row>
    <row r="487" spans="1:63" x14ac:dyDescent="0.3">
      <c r="A487" s="8" t="str">
        <f>MID(Tabla4[[#This Row],[Cliente]], SEARCH("_", Tabla4[[#This Row],[Cliente]]) + 1, LEN(Tabla4[[#This Row],[Cliente]]) - SEARCH("_",Tabla4[[#This Row],[Cliente]]))</f>
        <v>524</v>
      </c>
      <c r="B487">
        <f>sala!K486</f>
        <v>485</v>
      </c>
      <c r="C487">
        <f>Tabla4[[#This Row],[Propina]]+Tabla4[[#This Row],[Precio Cena]]</f>
        <v>4051</v>
      </c>
      <c r="D487" s="3">
        <f>INT(sala!E486)</f>
        <v>45022</v>
      </c>
      <c r="E487" s="4">
        <f>MOD( sala!D486,1)</f>
        <v>4.1666666664241347E-2</v>
      </c>
      <c r="F487" s="4">
        <f>MOD( sala!E486,1)</f>
        <v>0.11944444444088731</v>
      </c>
      <c r="G487" s="4">
        <f>Tabla5[[#This Row],[Hora de Salida]]-Tabla5[[#This Row],[Hora de Llegada]]+Tabla4[[#This Row],[Tiempo Extra]]</f>
        <v>7.7777777776645962E-2</v>
      </c>
      <c r="H487" s="5" t="str">
        <f>TEXT(Tabla4[[#This Row],[Preparación en horas]]/1440, "h:mm")</f>
        <v>1:19</v>
      </c>
      <c r="I487" s="4">
        <f>IF(Tabla5[[#This Row],[Tiempo Permanencia]]-Tabla5[[#This Row],[Tiempo de Preparación ]]&gt;=0,Tabla5[[#This Row],[Tiempo Permanencia]]-Tabla5[[#This Row],[Tiempo de Preparación ]],0)</f>
        <v>2.2916666665534852E-2</v>
      </c>
      <c r="J487" s="5" t="str">
        <f>IF(Tabla5[[#This Row],[Tiempo de Degustación]]=0,"No Cobrada","Cobrada")</f>
        <v>Cobrada</v>
      </c>
      <c r="K487" s="5" cm="1">
        <f t="array" ref="K487">SUM(IF(Tabla5[[#This Row],[Orden Cobrada]]="Cobrada",IF(Cocina!A:A=Tabla5[[#This Row],[Nº Orden]],Cocina!F:F*Cocina!G:G,0),-Tabla6[[#This Row],[Precio Cena]]))</f>
        <v>144</v>
      </c>
      <c r="L487" s="5">
        <f>IF(Tabla5[[#This Row],[Orden Cobrada]]="Cobrada",Tabla5[[#This Row],[Ganancia Bruta]]-Tabla6[[#This Row],[Coste Cena]],-Tabla6[[#This Row],[Precio Cena]]+Tabla6[[#This Row],[Coste Cena]])</f>
        <v>58</v>
      </c>
      <c r="M487" s="10">
        <f>IF(Tabla5[[#This Row],[Orden Cobrada]]="Cobrada",((Tabla5[[#This Row],[Ganancia Neta]]/Tabla5[[#This Row],[Ganancia Bruta]])*100)/100,-((Tabla5[[#This Row],[Ganancia Neta]]/Tabla5[[#This Row],[Ganancia Bruta]]*100)/100))</f>
        <v>0.40277777777777779</v>
      </c>
      <c r="N487" s="5" t="str">
        <f>sala!F486</f>
        <v>Mesero_5</v>
      </c>
      <c r="AY487" cm="1">
        <f t="array" ref="AY487">SUM(IF(Cocina!A:A=Tabla5[[#This Row],[Nº Orden]],Cocina!F:F*Cocina!G:G,0))</f>
        <v>144</v>
      </c>
      <c r="AZ487" cm="1">
        <f t="array" ref="AZ487">SUM(IF(Cocina!A:A=Tabla5[[#This Row],[Nº Orden]],Cocina!E:E*Cocina!G:G,0))</f>
        <v>86</v>
      </c>
      <c r="BB487" t="str">
        <f>MID(Tabla4[[#This Row],[Cliente]], SEARCH("_", Tabla4[[#This Row],[Cliente]]) + 1, LEN(Tabla4[[#This Row],[Cliente]]) - SEARCH("_",Tabla4[[#This Row],[Cliente]]))</f>
        <v>524</v>
      </c>
      <c r="BC487" t="str">
        <f>sala!B486</f>
        <v>Cliente_524</v>
      </c>
      <c r="BD487" s="1">
        <f>sala!D486</f>
        <v>45022.041666666664</v>
      </c>
      <c r="BE487" s="1">
        <f>sala!E486</f>
        <v>45022.119444444441</v>
      </c>
      <c r="BF487">
        <f>sala!K486</f>
        <v>485</v>
      </c>
      <c r="BG487">
        <f>sala!I486</f>
        <v>3907</v>
      </c>
      <c r="BH487" cm="1">
        <f t="array" ref="BH487">SUM(IF(Cocina!A:A=Tabla4[[#This Row],[Número de Orden]],Cocina!F:F*Cocina!G:G,0))</f>
        <v>144</v>
      </c>
      <c r="BI487" t="str">
        <f>sala!J486</f>
        <v>Reservada</v>
      </c>
      <c r="BJ487" s="4" t="str">
        <f>IF(Tabla4[[#This Row],[Estado mesa]]="Ocupada","00:15","00:00")</f>
        <v>00:00</v>
      </c>
      <c r="BK487" cm="1">
        <f t="array" ref="BK487">SUM(IF(Cocina!A:A=Tabla4[[#This Row],[Número de Orden]],Cocina!H:H,0))</f>
        <v>79</v>
      </c>
    </row>
    <row r="488" spans="1:63" x14ac:dyDescent="0.3">
      <c r="A488" s="8" t="str">
        <f>MID(Tabla4[[#This Row],[Cliente]], SEARCH("_", Tabla4[[#This Row],[Cliente]]) + 1, LEN(Tabla4[[#This Row],[Cliente]]) - SEARCH("_",Tabla4[[#This Row],[Cliente]]))</f>
        <v>437</v>
      </c>
      <c r="B488">
        <f>sala!K487</f>
        <v>486</v>
      </c>
      <c r="C488">
        <f>Tabla4[[#This Row],[Propina]]+Tabla4[[#This Row],[Precio Cena]]</f>
        <v>1416</v>
      </c>
      <c r="D488" s="3">
        <f>INT(sala!E487)</f>
        <v>45022</v>
      </c>
      <c r="E488" s="4">
        <f>MOD( sala!D487,1)</f>
        <v>0.11597222222189885</v>
      </c>
      <c r="F488" s="4">
        <f>MOD( sala!E487,1)</f>
        <v>0.25833333333139308</v>
      </c>
      <c r="G488" s="4">
        <f>Tabla5[[#This Row],[Hora de Salida]]-Tabla5[[#This Row],[Hora de Llegada]]+Tabla4[[#This Row],[Tiempo Extra]]</f>
        <v>0.15277777777616089</v>
      </c>
      <c r="H488" s="5" t="str">
        <f>TEXT(Tabla4[[#This Row],[Preparación en horas]]/1440, "h:mm")</f>
        <v>0:59</v>
      </c>
      <c r="I488" s="4">
        <f>IF(Tabla5[[#This Row],[Tiempo Permanencia]]-Tabla5[[#This Row],[Tiempo de Preparación ]]&gt;=0,Tabla5[[#This Row],[Tiempo Permanencia]]-Tabla5[[#This Row],[Tiempo de Preparación ]],0)</f>
        <v>0.11180555555393867</v>
      </c>
      <c r="J488" s="5" t="str">
        <f>IF(Tabla5[[#This Row],[Tiempo de Degustación]]=0,"No Cobrada","Cobrada")</f>
        <v>Cobrada</v>
      </c>
      <c r="K488" s="5" cm="1">
        <f t="array" ref="K488">SUM(IF(Tabla5[[#This Row],[Orden Cobrada]]="Cobrada",IF(Cocina!A:A=Tabla5[[#This Row],[Nº Orden]],Cocina!F:F*Cocina!G:G,0),-Tabla6[[#This Row],[Precio Cena]]))</f>
        <v>150</v>
      </c>
      <c r="L488" s="5">
        <f>IF(Tabla5[[#This Row],[Orden Cobrada]]="Cobrada",Tabla5[[#This Row],[Ganancia Bruta]]-Tabla6[[#This Row],[Coste Cena]],-Tabla6[[#This Row],[Precio Cena]]+Tabla6[[#This Row],[Coste Cena]])</f>
        <v>60</v>
      </c>
      <c r="M488" s="10">
        <f>IF(Tabla5[[#This Row],[Orden Cobrada]]="Cobrada",((Tabla5[[#This Row],[Ganancia Neta]]/Tabla5[[#This Row],[Ganancia Bruta]])*100)/100,-((Tabla5[[#This Row],[Ganancia Neta]]/Tabla5[[#This Row],[Ganancia Bruta]]*100)/100))</f>
        <v>0.4</v>
      </c>
      <c r="N488" s="5" t="str">
        <f>sala!F487</f>
        <v>Mesero_1</v>
      </c>
      <c r="AY488" cm="1">
        <f t="array" ref="AY488">SUM(IF(Cocina!A:A=Tabla5[[#This Row],[Nº Orden]],Cocina!F:F*Cocina!G:G,0))</f>
        <v>150</v>
      </c>
      <c r="AZ488" cm="1">
        <f t="array" ref="AZ488">SUM(IF(Cocina!A:A=Tabla5[[#This Row],[Nº Orden]],Cocina!E:E*Cocina!G:G,0))</f>
        <v>90</v>
      </c>
      <c r="BB488" t="str">
        <f>MID(Tabla4[[#This Row],[Cliente]], SEARCH("_", Tabla4[[#This Row],[Cliente]]) + 1, LEN(Tabla4[[#This Row],[Cliente]]) - SEARCH("_",Tabla4[[#This Row],[Cliente]]))</f>
        <v>437</v>
      </c>
      <c r="BC488" t="str">
        <f>sala!B487</f>
        <v>Cliente_437</v>
      </c>
      <c r="BD488" s="1">
        <f>sala!D487</f>
        <v>45022.115972222222</v>
      </c>
      <c r="BE488" s="1">
        <f>sala!E487</f>
        <v>45022.258333333331</v>
      </c>
      <c r="BF488">
        <f>sala!K487</f>
        <v>486</v>
      </c>
      <c r="BG488">
        <f>sala!I487</f>
        <v>1266</v>
      </c>
      <c r="BH488" cm="1">
        <f t="array" ref="BH488">SUM(IF(Cocina!A:A=Tabla4[[#This Row],[Número de Orden]],Cocina!F:F*Cocina!G:G,0))</f>
        <v>150</v>
      </c>
      <c r="BI488" t="str">
        <f>sala!J487</f>
        <v>Ocupada</v>
      </c>
      <c r="BJ488" s="4" t="str">
        <f>IF(Tabla4[[#This Row],[Estado mesa]]="Ocupada","00:15","00:00")</f>
        <v>00:15</v>
      </c>
      <c r="BK488" cm="1">
        <f t="array" ref="BK488">SUM(IF(Cocina!A:A=Tabla4[[#This Row],[Número de Orden]],Cocina!H:H,0))</f>
        <v>59</v>
      </c>
    </row>
    <row r="489" spans="1:63" x14ac:dyDescent="0.3">
      <c r="A489" s="8" t="str">
        <f>MID(Tabla4[[#This Row],[Cliente]], SEARCH("_", Tabla4[[#This Row],[Cliente]]) + 1, LEN(Tabla4[[#This Row],[Cliente]]) - SEARCH("_",Tabla4[[#This Row],[Cliente]]))</f>
        <v>946</v>
      </c>
      <c r="B489">
        <f>sala!K488</f>
        <v>487</v>
      </c>
      <c r="C489">
        <f>Tabla4[[#This Row],[Propina]]+Tabla4[[#This Row],[Precio Cena]]</f>
        <v>4728</v>
      </c>
      <c r="D489" s="3">
        <f>INT(sala!E488)</f>
        <v>45022</v>
      </c>
      <c r="E489" s="4">
        <f>MOD( sala!D488,1)</f>
        <v>6.5277777779556345E-2</v>
      </c>
      <c r="F489" s="4">
        <f>MOD( sala!E488,1)</f>
        <v>0.15972222221898846</v>
      </c>
      <c r="G489" s="4">
        <f>Tabla5[[#This Row],[Hora de Salida]]-Tabla5[[#This Row],[Hora de Llegada]]+Tabla4[[#This Row],[Tiempo Extra]]</f>
        <v>0.10486111110609879</v>
      </c>
      <c r="H489" s="5" t="str">
        <f>TEXT(Tabla4[[#This Row],[Preparación en horas]]/1440, "h:mm")</f>
        <v>1:32</v>
      </c>
      <c r="I489" s="4">
        <f>IF(Tabla5[[#This Row],[Tiempo Permanencia]]-Tabla5[[#This Row],[Tiempo de Preparación ]]&gt;=0,Tabla5[[#This Row],[Tiempo Permanencia]]-Tabla5[[#This Row],[Tiempo de Preparación ]],0)</f>
        <v>4.0972222217209905E-2</v>
      </c>
      <c r="J489" s="5" t="str">
        <f>IF(Tabla5[[#This Row],[Tiempo de Degustación]]=0,"No Cobrada","Cobrada")</f>
        <v>Cobrada</v>
      </c>
      <c r="K489" s="5" cm="1">
        <f t="array" ref="K489">SUM(IF(Tabla5[[#This Row],[Orden Cobrada]]="Cobrada",IF(Cocina!A:A=Tabla5[[#This Row],[Nº Orden]],Cocina!F:F*Cocina!G:G,0),-Tabla6[[#This Row],[Precio Cena]]))</f>
        <v>152</v>
      </c>
      <c r="L489" s="5">
        <f>IF(Tabla5[[#This Row],[Orden Cobrada]]="Cobrada",Tabla5[[#This Row],[Ganancia Bruta]]-Tabla6[[#This Row],[Coste Cena]],-Tabla6[[#This Row],[Precio Cena]]+Tabla6[[#This Row],[Coste Cena]])</f>
        <v>61</v>
      </c>
      <c r="M489" s="10">
        <f>IF(Tabla5[[#This Row],[Orden Cobrada]]="Cobrada",((Tabla5[[#This Row],[Ganancia Neta]]/Tabla5[[#This Row],[Ganancia Bruta]])*100)/100,-((Tabla5[[#This Row],[Ganancia Neta]]/Tabla5[[#This Row],[Ganancia Bruta]]*100)/100))</f>
        <v>0.40131578947368424</v>
      </c>
      <c r="N489" s="5" t="str">
        <f>sala!F488</f>
        <v>Mesero_1</v>
      </c>
      <c r="AY489" cm="1">
        <f t="array" ref="AY489">SUM(IF(Cocina!A:A=Tabla5[[#This Row],[Nº Orden]],Cocina!F:F*Cocina!G:G,0))</f>
        <v>152</v>
      </c>
      <c r="AZ489" cm="1">
        <f t="array" ref="AZ489">SUM(IF(Cocina!A:A=Tabla5[[#This Row],[Nº Orden]],Cocina!E:E*Cocina!G:G,0))</f>
        <v>91</v>
      </c>
      <c r="BB489" t="str">
        <f>MID(Tabla4[[#This Row],[Cliente]], SEARCH("_", Tabla4[[#This Row],[Cliente]]) + 1, LEN(Tabla4[[#This Row],[Cliente]]) - SEARCH("_",Tabla4[[#This Row],[Cliente]]))</f>
        <v>946</v>
      </c>
      <c r="BC489" t="str">
        <f>sala!B488</f>
        <v>Cliente_946</v>
      </c>
      <c r="BD489" s="1">
        <f>sala!D488</f>
        <v>45022.06527777778</v>
      </c>
      <c r="BE489" s="1">
        <f>sala!E488</f>
        <v>45022.159722222219</v>
      </c>
      <c r="BF489">
        <f>sala!K488</f>
        <v>487</v>
      </c>
      <c r="BG489">
        <f>sala!I488</f>
        <v>4576</v>
      </c>
      <c r="BH489" cm="1">
        <f t="array" ref="BH489">SUM(IF(Cocina!A:A=Tabla4[[#This Row],[Número de Orden]],Cocina!F:F*Cocina!G:G,0))</f>
        <v>152</v>
      </c>
      <c r="BI489" t="str">
        <f>sala!J488</f>
        <v>Ocupada</v>
      </c>
      <c r="BJ489" s="4" t="str">
        <f>IF(Tabla4[[#This Row],[Estado mesa]]="Ocupada","00:15","00:00")</f>
        <v>00:15</v>
      </c>
      <c r="BK489" cm="1">
        <f t="array" ref="BK489">SUM(IF(Cocina!A:A=Tabla4[[#This Row],[Número de Orden]],Cocina!H:H,0))</f>
        <v>92</v>
      </c>
    </row>
    <row r="490" spans="1:63" x14ac:dyDescent="0.3">
      <c r="A490" s="8" t="str">
        <f>MID(Tabla4[[#This Row],[Cliente]], SEARCH("_", Tabla4[[#This Row],[Cliente]]) + 1, LEN(Tabla4[[#This Row],[Cliente]]) - SEARCH("_",Tabla4[[#This Row],[Cliente]]))</f>
        <v>719</v>
      </c>
      <c r="B490">
        <f>sala!K489</f>
        <v>488</v>
      </c>
      <c r="C490">
        <f>Tabla4[[#This Row],[Propina]]+Tabla4[[#This Row],[Precio Cena]]</f>
        <v>3923</v>
      </c>
      <c r="D490" s="3">
        <f>INT(sala!E489)</f>
        <v>45022</v>
      </c>
      <c r="E490" s="4">
        <f>MOD( sala!D489,1)</f>
        <v>0</v>
      </c>
      <c r="F490" s="4">
        <f>MOD( sala!E489,1)</f>
        <v>8.1944444442342501E-2</v>
      </c>
      <c r="G490" s="4">
        <f>Tabla5[[#This Row],[Hora de Salida]]-Tabla5[[#This Row],[Hora de Llegada]]+Tabla4[[#This Row],[Tiempo Extra]]</f>
        <v>8.1944444442342501E-2</v>
      </c>
      <c r="H490" s="5" t="str">
        <f>TEXT(Tabla4[[#This Row],[Preparación en horas]]/1440, "h:mm")</f>
        <v>2:04</v>
      </c>
      <c r="I490" s="4">
        <f>IF(Tabla5[[#This Row],[Tiempo Permanencia]]-Tabla5[[#This Row],[Tiempo de Preparación ]]&gt;=0,Tabla5[[#This Row],[Tiempo Permanencia]]-Tabla5[[#This Row],[Tiempo de Preparación ]],0)</f>
        <v>0</v>
      </c>
      <c r="J490" s="5" t="str">
        <f>IF(Tabla5[[#This Row],[Tiempo de Degustación]]=0,"No Cobrada","Cobrada")</f>
        <v>No Cobrada</v>
      </c>
      <c r="K490" s="5" cm="1">
        <f t="array" ref="K490">SUM(IF(Tabla5[[#This Row],[Orden Cobrada]]="Cobrada",IF(Cocina!A:A=Tabla5[[#This Row],[Nº Orden]],Cocina!F:F*Cocina!G:G,0),-Tabla6[[#This Row],[Precio Cena]]))</f>
        <v>-185</v>
      </c>
      <c r="L490" s="5">
        <f>IF(Tabla5[[#This Row],[Orden Cobrada]]="Cobrada",Tabla5[[#This Row],[Ganancia Bruta]]-Tabla6[[#This Row],[Coste Cena]],-Tabla6[[#This Row],[Precio Cena]]+Tabla6[[#This Row],[Coste Cena]])</f>
        <v>-75</v>
      </c>
      <c r="M490" s="10">
        <f>IF(Tabla5[[#This Row],[Orden Cobrada]]="Cobrada",((Tabla5[[#This Row],[Ganancia Neta]]/Tabla5[[#This Row],[Ganancia Bruta]])*100)/100,-((Tabla5[[#This Row],[Ganancia Neta]]/Tabla5[[#This Row],[Ganancia Bruta]]*100)/100))</f>
        <v>-0.40540540540540543</v>
      </c>
      <c r="N490" s="5" t="str">
        <f>sala!F489</f>
        <v>Mesero_3</v>
      </c>
      <c r="AY490" cm="1">
        <f t="array" ref="AY490">SUM(IF(Cocina!A:A=Tabla5[[#This Row],[Nº Orden]],Cocina!F:F*Cocina!G:G,0))</f>
        <v>185</v>
      </c>
      <c r="AZ490" cm="1">
        <f t="array" ref="AZ490">SUM(IF(Cocina!A:A=Tabla5[[#This Row],[Nº Orden]],Cocina!E:E*Cocina!G:G,0))</f>
        <v>110</v>
      </c>
      <c r="BB490" t="str">
        <f>MID(Tabla4[[#This Row],[Cliente]], SEARCH("_", Tabla4[[#This Row],[Cliente]]) + 1, LEN(Tabla4[[#This Row],[Cliente]]) - SEARCH("_",Tabla4[[#This Row],[Cliente]]))</f>
        <v>719</v>
      </c>
      <c r="BC490" t="str">
        <f>sala!B489</f>
        <v>Cliente_719</v>
      </c>
      <c r="BD490" s="1">
        <f>sala!D489</f>
        <v>45022</v>
      </c>
      <c r="BE490" s="1">
        <f>sala!E489</f>
        <v>45022.081944444442</v>
      </c>
      <c r="BF490">
        <f>sala!K489</f>
        <v>488</v>
      </c>
      <c r="BG490">
        <f>sala!I489</f>
        <v>3738</v>
      </c>
      <c r="BH490" cm="1">
        <f t="array" ref="BH490">SUM(IF(Cocina!A:A=Tabla4[[#This Row],[Número de Orden]],Cocina!F:F*Cocina!G:G,0))</f>
        <v>185</v>
      </c>
      <c r="BI490" t="str">
        <f>sala!J489</f>
        <v>Libre</v>
      </c>
      <c r="BJ490" s="4" t="str">
        <f>IF(Tabla4[[#This Row],[Estado mesa]]="Ocupada","00:15","00:00")</f>
        <v>00:00</v>
      </c>
      <c r="BK490" cm="1">
        <f t="array" ref="BK490">SUM(IF(Cocina!A:A=Tabla4[[#This Row],[Número de Orden]],Cocina!H:H,0))</f>
        <v>124</v>
      </c>
    </row>
    <row r="491" spans="1:63" x14ac:dyDescent="0.3">
      <c r="A491" s="8" t="str">
        <f>MID(Tabla4[[#This Row],[Cliente]], SEARCH("_", Tabla4[[#This Row],[Cliente]]) + 1, LEN(Tabla4[[#This Row],[Cliente]]) - SEARCH("_",Tabla4[[#This Row],[Cliente]]))</f>
        <v>354</v>
      </c>
      <c r="B491">
        <f>sala!K490</f>
        <v>489</v>
      </c>
      <c r="C491">
        <f>Tabla4[[#This Row],[Propina]]+Tabla4[[#This Row],[Precio Cena]]</f>
        <v>2376</v>
      </c>
      <c r="D491" s="3">
        <f>INT(sala!E490)</f>
        <v>45022</v>
      </c>
      <c r="E491" s="4">
        <f>MOD( sala!D490,1)</f>
        <v>0.12291666666715173</v>
      </c>
      <c r="F491" s="4">
        <f>MOD( sala!E490,1)</f>
        <v>0.22708333333139308</v>
      </c>
      <c r="G491" s="4">
        <f>Tabla5[[#This Row],[Hora de Salida]]-Tabla5[[#This Row],[Hora de Llegada]]+Tabla4[[#This Row],[Tiempo Extra]]</f>
        <v>0.11458333333090802</v>
      </c>
      <c r="H491" s="5" t="str">
        <f>TEXT(Tabla4[[#This Row],[Preparación en horas]]/1440, "h:mm")</f>
        <v>0:34</v>
      </c>
      <c r="I491" s="4">
        <f>IF(Tabla5[[#This Row],[Tiempo Permanencia]]-Tabla5[[#This Row],[Tiempo de Preparación ]]&gt;=0,Tabla5[[#This Row],[Tiempo Permanencia]]-Tabla5[[#This Row],[Tiempo de Preparación ]],0)</f>
        <v>9.0972222219796908E-2</v>
      </c>
      <c r="J491" s="5" t="str">
        <f>IF(Tabla5[[#This Row],[Tiempo de Degustación]]=0,"No Cobrada","Cobrada")</f>
        <v>Cobrada</v>
      </c>
      <c r="K491" s="5" cm="1">
        <f t="array" ref="K491">SUM(IF(Tabla5[[#This Row],[Orden Cobrada]]="Cobrada",IF(Cocina!A:A=Tabla5[[#This Row],[Nº Orden]],Cocina!F:F*Cocina!G:G,0),-Tabla6[[#This Row],[Precio Cena]]))</f>
        <v>149</v>
      </c>
      <c r="L491" s="5">
        <f>IF(Tabla5[[#This Row],[Orden Cobrada]]="Cobrada",Tabla5[[#This Row],[Ganancia Bruta]]-Tabla6[[#This Row],[Coste Cena]],-Tabla6[[#This Row],[Precio Cena]]+Tabla6[[#This Row],[Coste Cena]])</f>
        <v>57</v>
      </c>
      <c r="M491" s="10">
        <f>IF(Tabla5[[#This Row],[Orden Cobrada]]="Cobrada",((Tabla5[[#This Row],[Ganancia Neta]]/Tabla5[[#This Row],[Ganancia Bruta]])*100)/100,-((Tabla5[[#This Row],[Ganancia Neta]]/Tabla5[[#This Row],[Ganancia Bruta]]*100)/100))</f>
        <v>0.3825503355704698</v>
      </c>
      <c r="N491" s="5" t="str">
        <f>sala!F490</f>
        <v>Mesero_3</v>
      </c>
      <c r="AY491" cm="1">
        <f t="array" ref="AY491">SUM(IF(Cocina!A:A=Tabla5[[#This Row],[Nº Orden]],Cocina!F:F*Cocina!G:G,0))</f>
        <v>149</v>
      </c>
      <c r="AZ491" cm="1">
        <f t="array" ref="AZ491">SUM(IF(Cocina!A:A=Tabla5[[#This Row],[Nº Orden]],Cocina!E:E*Cocina!G:G,0))</f>
        <v>92</v>
      </c>
      <c r="BB491" t="str">
        <f>MID(Tabla4[[#This Row],[Cliente]], SEARCH("_", Tabla4[[#This Row],[Cliente]]) + 1, LEN(Tabla4[[#This Row],[Cliente]]) - SEARCH("_",Tabla4[[#This Row],[Cliente]]))</f>
        <v>354</v>
      </c>
      <c r="BC491" t="str">
        <f>sala!B490</f>
        <v>Cliente_354</v>
      </c>
      <c r="BD491" s="1">
        <f>sala!D490</f>
        <v>45022.122916666667</v>
      </c>
      <c r="BE491" s="1">
        <f>sala!E490</f>
        <v>45022.227083333331</v>
      </c>
      <c r="BF491">
        <f>sala!K490</f>
        <v>489</v>
      </c>
      <c r="BG491">
        <f>sala!I490</f>
        <v>2227</v>
      </c>
      <c r="BH491" cm="1">
        <f t="array" ref="BH491">SUM(IF(Cocina!A:A=Tabla4[[#This Row],[Número de Orden]],Cocina!F:F*Cocina!G:G,0))</f>
        <v>149</v>
      </c>
      <c r="BI491" t="str">
        <f>sala!J490</f>
        <v>Ocupada</v>
      </c>
      <c r="BJ491" s="4" t="str">
        <f>IF(Tabla4[[#This Row],[Estado mesa]]="Ocupada","00:15","00:00")</f>
        <v>00:15</v>
      </c>
      <c r="BK491" cm="1">
        <f t="array" ref="BK491">SUM(IF(Cocina!A:A=Tabla4[[#This Row],[Número de Orden]],Cocina!H:H,0))</f>
        <v>34</v>
      </c>
    </row>
    <row r="492" spans="1:63" x14ac:dyDescent="0.3">
      <c r="A492" s="8" t="str">
        <f>MID(Tabla4[[#This Row],[Cliente]], SEARCH("_", Tabla4[[#This Row],[Cliente]]) + 1, LEN(Tabla4[[#This Row],[Cliente]]) - SEARCH("_",Tabla4[[#This Row],[Cliente]]))</f>
        <v>194</v>
      </c>
      <c r="B492">
        <f>sala!K491</f>
        <v>490</v>
      </c>
      <c r="C492">
        <f>Tabla4[[#This Row],[Propina]]+Tabla4[[#This Row],[Precio Cena]]</f>
        <v>2891</v>
      </c>
      <c r="D492" s="3">
        <f>INT(sala!E491)</f>
        <v>45022</v>
      </c>
      <c r="E492" s="4">
        <f>MOD( sala!D491,1)</f>
        <v>0.13888888889050577</v>
      </c>
      <c r="F492" s="4">
        <f>MOD( sala!E491,1)</f>
        <v>0.20625000000291038</v>
      </c>
      <c r="G492" s="4">
        <f>Tabla5[[#This Row],[Hora de Salida]]-Tabla5[[#This Row],[Hora de Llegada]]+Tabla4[[#This Row],[Tiempo Extra]]</f>
        <v>6.7361111112404615E-2</v>
      </c>
      <c r="H492" s="5" t="str">
        <f>TEXT(Tabla4[[#This Row],[Preparación en horas]]/1440, "h:mm")</f>
        <v>2:11</v>
      </c>
      <c r="I492" s="4">
        <f>IF(Tabla5[[#This Row],[Tiempo Permanencia]]-Tabla5[[#This Row],[Tiempo de Preparación ]]&gt;=0,Tabla5[[#This Row],[Tiempo Permanencia]]-Tabla5[[#This Row],[Tiempo de Preparación ]],0)</f>
        <v>0</v>
      </c>
      <c r="J492" s="5" t="str">
        <f>IF(Tabla5[[#This Row],[Tiempo de Degustación]]=0,"No Cobrada","Cobrada")</f>
        <v>No Cobrada</v>
      </c>
      <c r="K492" s="5" cm="1">
        <f t="array" ref="K492">SUM(IF(Tabla5[[#This Row],[Orden Cobrada]]="Cobrada",IF(Cocina!A:A=Tabla5[[#This Row],[Nº Orden]],Cocina!F:F*Cocina!G:G,0),-Tabla6[[#This Row],[Precio Cena]]))</f>
        <v>-212</v>
      </c>
      <c r="L492" s="5">
        <f>IF(Tabla5[[#This Row],[Orden Cobrada]]="Cobrada",Tabla5[[#This Row],[Ganancia Bruta]]-Tabla6[[#This Row],[Coste Cena]],-Tabla6[[#This Row],[Precio Cena]]+Tabla6[[#This Row],[Coste Cena]])</f>
        <v>-88</v>
      </c>
      <c r="M492" s="10">
        <f>IF(Tabla5[[#This Row],[Orden Cobrada]]="Cobrada",((Tabla5[[#This Row],[Ganancia Neta]]/Tabla5[[#This Row],[Ganancia Bruta]])*100)/100,-((Tabla5[[#This Row],[Ganancia Neta]]/Tabla5[[#This Row],[Ganancia Bruta]]*100)/100))</f>
        <v>-0.41509433962264153</v>
      </c>
      <c r="N492" s="5" t="str">
        <f>sala!F491</f>
        <v>Mesero_5</v>
      </c>
      <c r="AY492" cm="1">
        <f t="array" ref="AY492">SUM(IF(Cocina!A:A=Tabla5[[#This Row],[Nº Orden]],Cocina!F:F*Cocina!G:G,0))</f>
        <v>212</v>
      </c>
      <c r="AZ492" cm="1">
        <f t="array" ref="AZ492">SUM(IF(Cocina!A:A=Tabla5[[#This Row],[Nº Orden]],Cocina!E:E*Cocina!G:G,0))</f>
        <v>124</v>
      </c>
      <c r="BB492" t="str">
        <f>MID(Tabla4[[#This Row],[Cliente]], SEARCH("_", Tabla4[[#This Row],[Cliente]]) + 1, LEN(Tabla4[[#This Row],[Cliente]]) - SEARCH("_",Tabla4[[#This Row],[Cliente]]))</f>
        <v>194</v>
      </c>
      <c r="BC492" t="str">
        <f>sala!B491</f>
        <v>Cliente_194</v>
      </c>
      <c r="BD492" s="1">
        <f>sala!D491</f>
        <v>45022.138888888891</v>
      </c>
      <c r="BE492" s="1">
        <f>sala!E491</f>
        <v>45022.206250000003</v>
      </c>
      <c r="BF492">
        <f>sala!K491</f>
        <v>490</v>
      </c>
      <c r="BG492">
        <f>sala!I491</f>
        <v>2679</v>
      </c>
      <c r="BH492" cm="1">
        <f t="array" ref="BH492">SUM(IF(Cocina!A:A=Tabla4[[#This Row],[Número de Orden]],Cocina!F:F*Cocina!G:G,0))</f>
        <v>212</v>
      </c>
      <c r="BI492" t="str">
        <f>sala!J491</f>
        <v>Libre</v>
      </c>
      <c r="BJ492" s="4" t="str">
        <f>IF(Tabla4[[#This Row],[Estado mesa]]="Ocupada","00:15","00:00")</f>
        <v>00:00</v>
      </c>
      <c r="BK492" cm="1">
        <f t="array" ref="BK492">SUM(IF(Cocina!A:A=Tabla4[[#This Row],[Número de Orden]],Cocina!H:H,0))</f>
        <v>131</v>
      </c>
    </row>
    <row r="493" spans="1:63" x14ac:dyDescent="0.3">
      <c r="A493" s="8" t="str">
        <f>MID(Tabla4[[#This Row],[Cliente]], SEARCH("_", Tabla4[[#This Row],[Cliente]]) + 1, LEN(Tabla4[[#This Row],[Cliente]]) - SEARCH("_",Tabla4[[#This Row],[Cliente]]))</f>
        <v>160</v>
      </c>
      <c r="B493">
        <f>sala!K492</f>
        <v>491</v>
      </c>
      <c r="C493">
        <f>Tabla4[[#This Row],[Propina]]+Tabla4[[#This Row],[Precio Cena]]</f>
        <v>3586</v>
      </c>
      <c r="D493" s="3">
        <f>INT(sala!E492)</f>
        <v>45022</v>
      </c>
      <c r="E493" s="4">
        <f>MOD( sala!D492,1)</f>
        <v>4.8611111124046147E-3</v>
      </c>
      <c r="F493" s="4">
        <f>MOD( sala!E492,1)</f>
        <v>0.10902777777664596</v>
      </c>
      <c r="G493" s="4">
        <f>Tabla5[[#This Row],[Hora de Salida]]-Tabla5[[#This Row],[Hora de Llegada]]+Tabla4[[#This Row],[Tiempo Extra]]</f>
        <v>0.11458333333090802</v>
      </c>
      <c r="H493" s="5" t="str">
        <f>TEXT(Tabla4[[#This Row],[Preparación en horas]]/1440, "h:mm")</f>
        <v>0:41</v>
      </c>
      <c r="I493" s="4">
        <f>IF(Tabla5[[#This Row],[Tiempo Permanencia]]-Tabla5[[#This Row],[Tiempo de Preparación ]]&gt;=0,Tabla5[[#This Row],[Tiempo Permanencia]]-Tabla5[[#This Row],[Tiempo de Preparación ]],0)</f>
        <v>8.6111111108685801E-2</v>
      </c>
      <c r="J493" s="5" t="str">
        <f>IF(Tabla5[[#This Row],[Tiempo de Degustación]]=0,"No Cobrada","Cobrada")</f>
        <v>Cobrada</v>
      </c>
      <c r="K493" s="5" cm="1">
        <f t="array" ref="K493">SUM(IF(Tabla5[[#This Row],[Orden Cobrada]]="Cobrada",IF(Cocina!A:A=Tabla5[[#This Row],[Nº Orden]],Cocina!F:F*Cocina!G:G,0),-Tabla6[[#This Row],[Precio Cena]]))</f>
        <v>118</v>
      </c>
      <c r="L493" s="5">
        <f>IF(Tabla5[[#This Row],[Orden Cobrada]]="Cobrada",Tabla5[[#This Row],[Ganancia Bruta]]-Tabla6[[#This Row],[Coste Cena]],-Tabla6[[#This Row],[Precio Cena]]+Tabla6[[#This Row],[Coste Cena]])</f>
        <v>48</v>
      </c>
      <c r="M493" s="10">
        <f>IF(Tabla5[[#This Row],[Orden Cobrada]]="Cobrada",((Tabla5[[#This Row],[Ganancia Neta]]/Tabla5[[#This Row],[Ganancia Bruta]])*100)/100,-((Tabla5[[#This Row],[Ganancia Neta]]/Tabla5[[#This Row],[Ganancia Bruta]]*100)/100))</f>
        <v>0.40677966101694918</v>
      </c>
      <c r="N493" s="5" t="str">
        <f>sala!F492</f>
        <v>Mesero_4</v>
      </c>
      <c r="AY493" cm="1">
        <f t="array" ref="AY493">SUM(IF(Cocina!A:A=Tabla5[[#This Row],[Nº Orden]],Cocina!F:F*Cocina!G:G,0))</f>
        <v>118</v>
      </c>
      <c r="AZ493" cm="1">
        <f t="array" ref="AZ493">SUM(IF(Cocina!A:A=Tabla5[[#This Row],[Nº Orden]],Cocina!E:E*Cocina!G:G,0))</f>
        <v>70</v>
      </c>
      <c r="BB493" t="str">
        <f>MID(Tabla4[[#This Row],[Cliente]], SEARCH("_", Tabla4[[#This Row],[Cliente]]) + 1, LEN(Tabla4[[#This Row],[Cliente]]) - SEARCH("_",Tabla4[[#This Row],[Cliente]]))</f>
        <v>160</v>
      </c>
      <c r="BC493" t="str">
        <f>sala!B492</f>
        <v>Cliente_160</v>
      </c>
      <c r="BD493" s="1">
        <f>sala!D492</f>
        <v>45022.004861111112</v>
      </c>
      <c r="BE493" s="1">
        <f>sala!E492</f>
        <v>45022.109027777777</v>
      </c>
      <c r="BF493">
        <f>sala!K492</f>
        <v>491</v>
      </c>
      <c r="BG493">
        <f>sala!I492</f>
        <v>3468</v>
      </c>
      <c r="BH493" cm="1">
        <f t="array" ref="BH493">SUM(IF(Cocina!A:A=Tabla4[[#This Row],[Número de Orden]],Cocina!F:F*Cocina!G:G,0))</f>
        <v>118</v>
      </c>
      <c r="BI493" t="str">
        <f>sala!J492</f>
        <v>Ocupada</v>
      </c>
      <c r="BJ493" s="4" t="str">
        <f>IF(Tabla4[[#This Row],[Estado mesa]]="Ocupada","00:15","00:00")</f>
        <v>00:15</v>
      </c>
      <c r="BK493" cm="1">
        <f t="array" ref="BK493">SUM(IF(Cocina!A:A=Tabla4[[#This Row],[Número de Orden]],Cocina!H:H,0))</f>
        <v>41</v>
      </c>
    </row>
    <row r="494" spans="1:63" x14ac:dyDescent="0.3">
      <c r="A494" s="8" t="str">
        <f>MID(Tabla4[[#This Row],[Cliente]], SEARCH("_", Tabla4[[#This Row],[Cliente]]) + 1, LEN(Tabla4[[#This Row],[Cliente]]) - SEARCH("_",Tabla4[[#This Row],[Cliente]]))</f>
        <v>363</v>
      </c>
      <c r="B494">
        <f>sala!K493</f>
        <v>492</v>
      </c>
      <c r="C494">
        <f>Tabla4[[#This Row],[Propina]]+Tabla4[[#This Row],[Precio Cena]]</f>
        <v>1872</v>
      </c>
      <c r="D494" s="3">
        <f>INT(sala!E493)</f>
        <v>45022</v>
      </c>
      <c r="E494" s="4">
        <f>MOD( sala!D493,1)</f>
        <v>4.3749999997089617E-2</v>
      </c>
      <c r="F494" s="4">
        <f>MOD( sala!E493,1)</f>
        <v>0.19166666666569654</v>
      </c>
      <c r="G494" s="4">
        <f>Tabla5[[#This Row],[Hora de Salida]]-Tabla5[[#This Row],[Hora de Llegada]]+Tabla4[[#This Row],[Tiempo Extra]]</f>
        <v>0.14791666666860692</v>
      </c>
      <c r="H494" s="5" t="str">
        <f>TEXT(Tabla4[[#This Row],[Preparación en horas]]/1440, "h:mm")</f>
        <v>0:49</v>
      </c>
      <c r="I494" s="4">
        <f>IF(Tabla5[[#This Row],[Tiempo Permanencia]]-Tabla5[[#This Row],[Tiempo de Preparación ]]&gt;=0,Tabla5[[#This Row],[Tiempo Permanencia]]-Tabla5[[#This Row],[Tiempo de Preparación ]],0)</f>
        <v>0.11388888889082915</v>
      </c>
      <c r="J494" s="5" t="str">
        <f>IF(Tabla5[[#This Row],[Tiempo de Degustación]]=0,"No Cobrada","Cobrada")</f>
        <v>Cobrada</v>
      </c>
      <c r="K494" s="5" cm="1">
        <f t="array" ref="K494">SUM(IF(Tabla5[[#This Row],[Orden Cobrada]]="Cobrada",IF(Cocina!A:A=Tabla5[[#This Row],[Nº Orden]],Cocina!F:F*Cocina!G:G,0),-Tabla6[[#This Row],[Precio Cena]]))</f>
        <v>210</v>
      </c>
      <c r="L494" s="5">
        <f>IF(Tabla5[[#This Row],[Orden Cobrada]]="Cobrada",Tabla5[[#This Row],[Ganancia Bruta]]-Tabla6[[#This Row],[Coste Cena]],-Tabla6[[#This Row],[Precio Cena]]+Tabla6[[#This Row],[Coste Cena]])</f>
        <v>83</v>
      </c>
      <c r="M494" s="10">
        <f>IF(Tabla5[[#This Row],[Orden Cobrada]]="Cobrada",((Tabla5[[#This Row],[Ganancia Neta]]/Tabla5[[#This Row],[Ganancia Bruta]])*100)/100,-((Tabla5[[#This Row],[Ganancia Neta]]/Tabla5[[#This Row],[Ganancia Bruta]]*100)/100))</f>
        <v>0.39523809523809528</v>
      </c>
      <c r="N494" s="5" t="str">
        <f>sala!F493</f>
        <v>Mesero_1</v>
      </c>
      <c r="AY494" cm="1">
        <f t="array" ref="AY494">SUM(IF(Cocina!A:A=Tabla5[[#This Row],[Nº Orden]],Cocina!F:F*Cocina!G:G,0))</f>
        <v>210</v>
      </c>
      <c r="AZ494" cm="1">
        <f t="array" ref="AZ494">SUM(IF(Cocina!A:A=Tabla5[[#This Row],[Nº Orden]],Cocina!E:E*Cocina!G:G,0))</f>
        <v>127</v>
      </c>
      <c r="BB494" t="str">
        <f>MID(Tabla4[[#This Row],[Cliente]], SEARCH("_", Tabla4[[#This Row],[Cliente]]) + 1, LEN(Tabla4[[#This Row],[Cliente]]) - SEARCH("_",Tabla4[[#This Row],[Cliente]]))</f>
        <v>363</v>
      </c>
      <c r="BC494" t="str">
        <f>sala!B493</f>
        <v>Cliente_363</v>
      </c>
      <c r="BD494" s="1">
        <f>sala!D493</f>
        <v>45022.043749999997</v>
      </c>
      <c r="BE494" s="1">
        <f>sala!E493</f>
        <v>45022.191666666666</v>
      </c>
      <c r="BF494">
        <f>sala!K493</f>
        <v>492</v>
      </c>
      <c r="BG494">
        <f>sala!I493</f>
        <v>1662</v>
      </c>
      <c r="BH494" cm="1">
        <f t="array" ref="BH494">SUM(IF(Cocina!A:A=Tabla4[[#This Row],[Número de Orden]],Cocina!F:F*Cocina!G:G,0))</f>
        <v>210</v>
      </c>
      <c r="BI494" t="str">
        <f>sala!J493</f>
        <v>Reservada</v>
      </c>
      <c r="BJ494" s="4" t="str">
        <f>IF(Tabla4[[#This Row],[Estado mesa]]="Ocupada","00:15","00:00")</f>
        <v>00:00</v>
      </c>
      <c r="BK494" cm="1">
        <f t="array" ref="BK494">SUM(IF(Cocina!A:A=Tabla4[[#This Row],[Número de Orden]],Cocina!H:H,0))</f>
        <v>49</v>
      </c>
    </row>
    <row r="495" spans="1:63" x14ac:dyDescent="0.3">
      <c r="A495" s="8" t="str">
        <f>MID(Tabla4[[#This Row],[Cliente]], SEARCH("_", Tabla4[[#This Row],[Cliente]]) + 1, LEN(Tabla4[[#This Row],[Cliente]]) - SEARCH("_",Tabla4[[#This Row],[Cliente]]))</f>
        <v>140</v>
      </c>
      <c r="B495">
        <f>sala!K494</f>
        <v>493</v>
      </c>
      <c r="C495">
        <f>Tabla4[[#This Row],[Propina]]+Tabla4[[#This Row],[Precio Cena]]</f>
        <v>3321</v>
      </c>
      <c r="D495" s="3">
        <f>INT(sala!E494)</f>
        <v>45022</v>
      </c>
      <c r="E495" s="4">
        <f>MOD( sala!D494,1)</f>
        <v>2.1527777775190771E-2</v>
      </c>
      <c r="F495" s="4">
        <f>MOD( sala!E494,1)</f>
        <v>7.3611111110949423E-2</v>
      </c>
      <c r="G495" s="4">
        <f>Tabla5[[#This Row],[Hora de Salida]]-Tabla5[[#This Row],[Hora de Llegada]]+Tabla4[[#This Row],[Tiempo Extra]]</f>
        <v>6.2500000002425324E-2</v>
      </c>
      <c r="H495" s="5" t="str">
        <f>TEXT(Tabla4[[#This Row],[Preparación en horas]]/1440, "h:mm")</f>
        <v>0:08</v>
      </c>
      <c r="I495" s="4">
        <f>IF(Tabla5[[#This Row],[Tiempo Permanencia]]-Tabla5[[#This Row],[Tiempo de Preparación ]]&gt;=0,Tabla5[[#This Row],[Tiempo Permanencia]]-Tabla5[[#This Row],[Tiempo de Preparación ]],0)</f>
        <v>5.6944444446869767E-2</v>
      </c>
      <c r="J495" s="5" t="str">
        <f>IF(Tabla5[[#This Row],[Tiempo de Degustación]]=0,"No Cobrada","Cobrada")</f>
        <v>Cobrada</v>
      </c>
      <c r="K495" s="5" cm="1">
        <f t="array" ref="K495">SUM(IF(Tabla5[[#This Row],[Orden Cobrada]]="Cobrada",IF(Cocina!A:A=Tabla5[[#This Row],[Nº Orden]],Cocina!F:F*Cocina!G:G,0),-Tabla6[[#This Row],[Precio Cena]]))</f>
        <v>54</v>
      </c>
      <c r="L495" s="5">
        <f>IF(Tabla5[[#This Row],[Orden Cobrada]]="Cobrada",Tabla5[[#This Row],[Ganancia Bruta]]-Tabla6[[#This Row],[Coste Cena]],-Tabla6[[#This Row],[Precio Cena]]+Tabla6[[#This Row],[Coste Cena]])</f>
        <v>24</v>
      </c>
      <c r="M495" s="10">
        <f>IF(Tabla5[[#This Row],[Orden Cobrada]]="Cobrada",((Tabla5[[#This Row],[Ganancia Neta]]/Tabla5[[#This Row],[Ganancia Bruta]])*100)/100,-((Tabla5[[#This Row],[Ganancia Neta]]/Tabla5[[#This Row],[Ganancia Bruta]]*100)/100))</f>
        <v>0.44444444444444442</v>
      </c>
      <c r="N495" s="5" t="str">
        <f>sala!F494</f>
        <v>Mesero_5</v>
      </c>
      <c r="AY495" cm="1">
        <f t="array" ref="AY495">SUM(IF(Cocina!A:A=Tabla5[[#This Row],[Nº Orden]],Cocina!F:F*Cocina!G:G,0))</f>
        <v>54</v>
      </c>
      <c r="AZ495" cm="1">
        <f t="array" ref="AZ495">SUM(IF(Cocina!A:A=Tabla5[[#This Row],[Nº Orden]],Cocina!E:E*Cocina!G:G,0))</f>
        <v>30</v>
      </c>
      <c r="BB495" t="str">
        <f>MID(Tabla4[[#This Row],[Cliente]], SEARCH("_", Tabla4[[#This Row],[Cliente]]) + 1, LEN(Tabla4[[#This Row],[Cliente]]) - SEARCH("_",Tabla4[[#This Row],[Cliente]]))</f>
        <v>140</v>
      </c>
      <c r="BC495" t="str">
        <f>sala!B494</f>
        <v>Cliente_140</v>
      </c>
      <c r="BD495" s="1">
        <f>sala!D494</f>
        <v>45022.021527777775</v>
      </c>
      <c r="BE495" s="1">
        <f>sala!E494</f>
        <v>45022.073611111111</v>
      </c>
      <c r="BF495">
        <f>sala!K494</f>
        <v>493</v>
      </c>
      <c r="BG495">
        <f>sala!I494</f>
        <v>3267</v>
      </c>
      <c r="BH495" cm="1">
        <f t="array" ref="BH495">SUM(IF(Cocina!A:A=Tabla4[[#This Row],[Número de Orden]],Cocina!F:F*Cocina!G:G,0))</f>
        <v>54</v>
      </c>
      <c r="BI495" t="str">
        <f>sala!J494</f>
        <v>Ocupada</v>
      </c>
      <c r="BJ495" s="4" t="str">
        <f>IF(Tabla4[[#This Row],[Estado mesa]]="Ocupada","00:15","00:00")</f>
        <v>00:15</v>
      </c>
      <c r="BK495" cm="1">
        <f t="array" ref="BK495">SUM(IF(Cocina!A:A=Tabla4[[#This Row],[Número de Orden]],Cocina!H:H,0))</f>
        <v>8</v>
      </c>
    </row>
    <row r="496" spans="1:63" x14ac:dyDescent="0.3">
      <c r="A496" s="8" t="str">
        <f>MID(Tabla4[[#This Row],[Cliente]], SEARCH("_", Tabla4[[#This Row],[Cliente]]) + 1, LEN(Tabla4[[#This Row],[Cliente]]) - SEARCH("_",Tabla4[[#This Row],[Cliente]]))</f>
        <v>546</v>
      </c>
      <c r="B496">
        <f>sala!K495</f>
        <v>494</v>
      </c>
      <c r="C496">
        <f>Tabla4[[#This Row],[Propina]]+Tabla4[[#This Row],[Precio Cena]]</f>
        <v>1357</v>
      </c>
      <c r="D496" s="3">
        <f>INT(sala!E495)</f>
        <v>45022</v>
      </c>
      <c r="E496" s="4">
        <f>MOD( sala!D495,1)</f>
        <v>6.1111111113859806E-2</v>
      </c>
      <c r="F496" s="4">
        <f>MOD( sala!E495,1)</f>
        <v>0.20069444444379769</v>
      </c>
      <c r="G496" s="4">
        <f>Tabla5[[#This Row],[Hora de Salida]]-Tabla5[[#This Row],[Hora de Llegada]]+Tabla4[[#This Row],[Tiempo Extra]]</f>
        <v>0.13958333332993789</v>
      </c>
      <c r="H496" s="5" t="str">
        <f>TEXT(Tabla4[[#This Row],[Preparación en horas]]/1440, "h:mm")</f>
        <v>0:31</v>
      </c>
      <c r="I496" s="4">
        <f>IF(Tabla5[[#This Row],[Tiempo Permanencia]]-Tabla5[[#This Row],[Tiempo de Preparación ]]&gt;=0,Tabla5[[#This Row],[Tiempo Permanencia]]-Tabla5[[#This Row],[Tiempo de Preparación ]],0)</f>
        <v>0.1180555555521601</v>
      </c>
      <c r="J496" s="5" t="str">
        <f>IF(Tabla5[[#This Row],[Tiempo de Degustación]]=0,"No Cobrada","Cobrada")</f>
        <v>Cobrada</v>
      </c>
      <c r="K496" s="5" cm="1">
        <f t="array" ref="K496">SUM(IF(Tabla5[[#This Row],[Orden Cobrada]]="Cobrada",IF(Cocina!A:A=Tabla5[[#This Row],[Nº Orden]],Cocina!F:F*Cocina!G:G,0),-Tabla6[[#This Row],[Precio Cena]]))</f>
        <v>172</v>
      </c>
      <c r="L496" s="5">
        <f>IF(Tabla5[[#This Row],[Orden Cobrada]]="Cobrada",Tabla5[[#This Row],[Ganancia Bruta]]-Tabla6[[#This Row],[Coste Cena]],-Tabla6[[#This Row],[Precio Cena]]+Tabla6[[#This Row],[Coste Cena]])</f>
        <v>68</v>
      </c>
      <c r="M496" s="10">
        <f>IF(Tabla5[[#This Row],[Orden Cobrada]]="Cobrada",((Tabla5[[#This Row],[Ganancia Neta]]/Tabla5[[#This Row],[Ganancia Bruta]])*100)/100,-((Tabla5[[#This Row],[Ganancia Neta]]/Tabla5[[#This Row],[Ganancia Bruta]]*100)/100))</f>
        <v>0.39534883720930231</v>
      </c>
      <c r="N496" s="5" t="str">
        <f>sala!F495</f>
        <v>Mesero_1</v>
      </c>
      <c r="AY496" cm="1">
        <f t="array" ref="AY496">SUM(IF(Cocina!A:A=Tabla5[[#This Row],[Nº Orden]],Cocina!F:F*Cocina!G:G,0))</f>
        <v>172</v>
      </c>
      <c r="AZ496" cm="1">
        <f t="array" ref="AZ496">SUM(IF(Cocina!A:A=Tabla5[[#This Row],[Nº Orden]],Cocina!E:E*Cocina!G:G,0))</f>
        <v>104</v>
      </c>
      <c r="BB496" t="str">
        <f>MID(Tabla4[[#This Row],[Cliente]], SEARCH("_", Tabla4[[#This Row],[Cliente]]) + 1, LEN(Tabla4[[#This Row],[Cliente]]) - SEARCH("_",Tabla4[[#This Row],[Cliente]]))</f>
        <v>546</v>
      </c>
      <c r="BC496" t="str">
        <f>sala!B495</f>
        <v>Cliente_546</v>
      </c>
      <c r="BD496" s="1">
        <f>sala!D495</f>
        <v>45022.061111111114</v>
      </c>
      <c r="BE496" s="1">
        <f>sala!E495</f>
        <v>45022.200694444444</v>
      </c>
      <c r="BF496">
        <f>sala!K495</f>
        <v>494</v>
      </c>
      <c r="BG496">
        <f>sala!I495</f>
        <v>1185</v>
      </c>
      <c r="BH496" cm="1">
        <f t="array" ref="BH496">SUM(IF(Cocina!A:A=Tabla4[[#This Row],[Número de Orden]],Cocina!F:F*Cocina!G:G,0))</f>
        <v>172</v>
      </c>
      <c r="BI496" t="str">
        <f>sala!J495</f>
        <v>Reservada</v>
      </c>
      <c r="BJ496" s="4" t="str">
        <f>IF(Tabla4[[#This Row],[Estado mesa]]="Ocupada","00:15","00:00")</f>
        <v>00:00</v>
      </c>
      <c r="BK496" cm="1">
        <f t="array" ref="BK496">SUM(IF(Cocina!A:A=Tabla4[[#This Row],[Número de Orden]],Cocina!H:H,0))</f>
        <v>31</v>
      </c>
    </row>
    <row r="497" spans="1:63" x14ac:dyDescent="0.3">
      <c r="A497" s="8" t="str">
        <f>MID(Tabla4[[#This Row],[Cliente]], SEARCH("_", Tabla4[[#This Row],[Cliente]]) + 1, LEN(Tabla4[[#This Row],[Cliente]]) - SEARCH("_",Tabla4[[#This Row],[Cliente]]))</f>
        <v>778</v>
      </c>
      <c r="B497">
        <f>sala!K496</f>
        <v>495</v>
      </c>
      <c r="C497">
        <f>Tabla4[[#This Row],[Propina]]+Tabla4[[#This Row],[Precio Cena]]</f>
        <v>3659</v>
      </c>
      <c r="D497" s="3">
        <f>INT(sala!E496)</f>
        <v>45022</v>
      </c>
      <c r="E497" s="4">
        <f>MOD( sala!D496,1)</f>
        <v>0.12569444444670808</v>
      </c>
      <c r="F497" s="4">
        <f>MOD( sala!E496,1)</f>
        <v>0.28472222221898846</v>
      </c>
      <c r="G497" s="4">
        <f>Tabla5[[#This Row],[Hora de Salida]]-Tabla5[[#This Row],[Hora de Llegada]]+Tabla4[[#This Row],[Tiempo Extra]]</f>
        <v>0.15902777777228039</v>
      </c>
      <c r="H497" s="5" t="str">
        <f>TEXT(Tabla4[[#This Row],[Preparación en horas]]/1440, "h:mm")</f>
        <v>1:42</v>
      </c>
      <c r="I497" s="4">
        <f>IF(Tabla5[[#This Row],[Tiempo Permanencia]]-Tabla5[[#This Row],[Tiempo de Preparación ]]&gt;=0,Tabla5[[#This Row],[Tiempo Permanencia]]-Tabla5[[#This Row],[Tiempo de Preparación ]],0)</f>
        <v>8.8194444438947056E-2</v>
      </c>
      <c r="J497" s="5" t="str">
        <f>IF(Tabla5[[#This Row],[Tiempo de Degustación]]=0,"No Cobrada","Cobrada")</f>
        <v>Cobrada</v>
      </c>
      <c r="K497" s="5" cm="1">
        <f t="array" ref="K497">SUM(IF(Tabla5[[#This Row],[Orden Cobrada]]="Cobrada",IF(Cocina!A:A=Tabla5[[#This Row],[Nº Orden]],Cocina!F:F*Cocina!G:G,0),-Tabla6[[#This Row],[Precio Cena]]))</f>
        <v>263</v>
      </c>
      <c r="L497" s="5">
        <f>IF(Tabla5[[#This Row],[Orden Cobrada]]="Cobrada",Tabla5[[#This Row],[Ganancia Bruta]]-Tabla6[[#This Row],[Coste Cena]],-Tabla6[[#This Row],[Precio Cena]]+Tabla6[[#This Row],[Coste Cena]])</f>
        <v>104</v>
      </c>
      <c r="M497" s="10">
        <f>IF(Tabla5[[#This Row],[Orden Cobrada]]="Cobrada",((Tabla5[[#This Row],[Ganancia Neta]]/Tabla5[[#This Row],[Ganancia Bruta]])*100)/100,-((Tabla5[[#This Row],[Ganancia Neta]]/Tabla5[[#This Row],[Ganancia Bruta]]*100)/100))</f>
        <v>0.39543726235741444</v>
      </c>
      <c r="N497" s="5" t="str">
        <f>sala!F496</f>
        <v>Mesero_2</v>
      </c>
      <c r="AY497" cm="1">
        <f t="array" ref="AY497">SUM(IF(Cocina!A:A=Tabla5[[#This Row],[Nº Orden]],Cocina!F:F*Cocina!G:G,0))</f>
        <v>263</v>
      </c>
      <c r="AZ497" cm="1">
        <f t="array" ref="AZ497">SUM(IF(Cocina!A:A=Tabla5[[#This Row],[Nº Orden]],Cocina!E:E*Cocina!G:G,0))</f>
        <v>159</v>
      </c>
      <c r="BB497" t="str">
        <f>MID(Tabla4[[#This Row],[Cliente]], SEARCH("_", Tabla4[[#This Row],[Cliente]]) + 1, LEN(Tabla4[[#This Row],[Cliente]]) - SEARCH("_",Tabla4[[#This Row],[Cliente]]))</f>
        <v>778</v>
      </c>
      <c r="BC497" t="str">
        <f>sala!B496</f>
        <v>Cliente_778</v>
      </c>
      <c r="BD497" s="1">
        <f>sala!D496</f>
        <v>45022.125694444447</v>
      </c>
      <c r="BE497" s="1">
        <f>sala!E496</f>
        <v>45022.284722222219</v>
      </c>
      <c r="BF497">
        <f>sala!K496</f>
        <v>495</v>
      </c>
      <c r="BG497">
        <f>sala!I496</f>
        <v>3396</v>
      </c>
      <c r="BH497" cm="1">
        <f t="array" ref="BH497">SUM(IF(Cocina!A:A=Tabla4[[#This Row],[Número de Orden]],Cocina!F:F*Cocina!G:G,0))</f>
        <v>263</v>
      </c>
      <c r="BI497" t="str">
        <f>sala!J496</f>
        <v>Libre</v>
      </c>
      <c r="BJ497" s="4" t="str">
        <f>IF(Tabla4[[#This Row],[Estado mesa]]="Ocupada","00:15","00:00")</f>
        <v>00:00</v>
      </c>
      <c r="BK497" cm="1">
        <f t="array" ref="BK497">SUM(IF(Cocina!A:A=Tabla4[[#This Row],[Número de Orden]],Cocina!H:H,0))</f>
        <v>102</v>
      </c>
    </row>
    <row r="498" spans="1:63" x14ac:dyDescent="0.3">
      <c r="A498" s="8" t="str">
        <f>MID(Tabla4[[#This Row],[Cliente]], SEARCH("_", Tabla4[[#This Row],[Cliente]]) + 1, LEN(Tabla4[[#This Row],[Cliente]]) - SEARCH("_",Tabla4[[#This Row],[Cliente]]))</f>
        <v>402</v>
      </c>
      <c r="B498">
        <f>sala!K497</f>
        <v>496</v>
      </c>
      <c r="C498">
        <f>Tabla4[[#This Row],[Propina]]+Tabla4[[#This Row],[Precio Cena]]</f>
        <v>4165</v>
      </c>
      <c r="D498" s="3">
        <f>INT(sala!E497)</f>
        <v>45022</v>
      </c>
      <c r="E498" s="4">
        <f>MOD( sala!D497,1)</f>
        <v>0.10694444444379769</v>
      </c>
      <c r="F498" s="4">
        <f>MOD( sala!E497,1)</f>
        <v>0.26527777777664596</v>
      </c>
      <c r="G498" s="4">
        <f>Tabla5[[#This Row],[Hora de Salida]]-Tabla5[[#This Row],[Hora de Llegada]]+Tabla4[[#This Row],[Tiempo Extra]]</f>
        <v>0.15833333333284827</v>
      </c>
      <c r="H498" s="5" t="str">
        <f>TEXT(Tabla4[[#This Row],[Preparación en horas]]/1440, "h:mm")</f>
        <v>2:13</v>
      </c>
      <c r="I498" s="4">
        <f>IF(Tabla5[[#This Row],[Tiempo Permanencia]]-Tabla5[[#This Row],[Tiempo de Preparación ]]&gt;=0,Tabla5[[#This Row],[Tiempo Permanencia]]-Tabla5[[#This Row],[Tiempo de Preparación ]],0)</f>
        <v>6.5972222221737153E-2</v>
      </c>
      <c r="J498" s="5" t="str">
        <f>IF(Tabla5[[#This Row],[Tiempo de Degustación]]=0,"No Cobrada","Cobrada")</f>
        <v>Cobrada</v>
      </c>
      <c r="K498" s="5" cm="1">
        <f t="array" ref="K498">SUM(IF(Tabla5[[#This Row],[Orden Cobrada]]="Cobrada",IF(Cocina!A:A=Tabla5[[#This Row],[Nº Orden]],Cocina!F:F*Cocina!G:G,0),-Tabla6[[#This Row],[Precio Cena]]))</f>
        <v>223</v>
      </c>
      <c r="L498" s="5">
        <f>IF(Tabla5[[#This Row],[Orden Cobrada]]="Cobrada",Tabla5[[#This Row],[Ganancia Bruta]]-Tabla6[[#This Row],[Coste Cena]],-Tabla6[[#This Row],[Precio Cena]]+Tabla6[[#This Row],[Coste Cena]])</f>
        <v>91</v>
      </c>
      <c r="M498" s="10">
        <f>IF(Tabla5[[#This Row],[Orden Cobrada]]="Cobrada",((Tabla5[[#This Row],[Ganancia Neta]]/Tabla5[[#This Row],[Ganancia Bruta]])*100)/100,-((Tabla5[[#This Row],[Ganancia Neta]]/Tabla5[[#This Row],[Ganancia Bruta]]*100)/100))</f>
        <v>0.40807174887892378</v>
      </c>
      <c r="N498" s="5" t="str">
        <f>sala!F497</f>
        <v>Mesero_1</v>
      </c>
      <c r="AY498" cm="1">
        <f t="array" ref="AY498">SUM(IF(Cocina!A:A=Tabla5[[#This Row],[Nº Orden]],Cocina!F:F*Cocina!G:G,0))</f>
        <v>223</v>
      </c>
      <c r="AZ498" cm="1">
        <f t="array" ref="AZ498">SUM(IF(Cocina!A:A=Tabla5[[#This Row],[Nº Orden]],Cocina!E:E*Cocina!G:G,0))</f>
        <v>132</v>
      </c>
      <c r="BB498" t="str">
        <f>MID(Tabla4[[#This Row],[Cliente]], SEARCH("_", Tabla4[[#This Row],[Cliente]]) + 1, LEN(Tabla4[[#This Row],[Cliente]]) - SEARCH("_",Tabla4[[#This Row],[Cliente]]))</f>
        <v>402</v>
      </c>
      <c r="BC498" t="str">
        <f>sala!B497</f>
        <v>Cliente_402</v>
      </c>
      <c r="BD498" s="1">
        <f>sala!D497</f>
        <v>45022.106944444444</v>
      </c>
      <c r="BE498" s="1">
        <f>sala!E497</f>
        <v>45022.265277777777</v>
      </c>
      <c r="BF498">
        <f>sala!K497</f>
        <v>496</v>
      </c>
      <c r="BG498">
        <f>sala!I497</f>
        <v>3942</v>
      </c>
      <c r="BH498" cm="1">
        <f t="array" ref="BH498">SUM(IF(Cocina!A:A=Tabla4[[#This Row],[Número de Orden]],Cocina!F:F*Cocina!G:G,0))</f>
        <v>223</v>
      </c>
      <c r="BI498" t="str">
        <f>sala!J497</f>
        <v>Reservada</v>
      </c>
      <c r="BJ498" s="4" t="str">
        <f>IF(Tabla4[[#This Row],[Estado mesa]]="Ocupada","00:15","00:00")</f>
        <v>00:00</v>
      </c>
      <c r="BK498" cm="1">
        <f t="array" ref="BK498">SUM(IF(Cocina!A:A=Tabla4[[#This Row],[Número de Orden]],Cocina!H:H,0))</f>
        <v>133</v>
      </c>
    </row>
    <row r="499" spans="1:63" x14ac:dyDescent="0.3">
      <c r="A499" s="8" t="str">
        <f>MID(Tabla4[[#This Row],[Cliente]], SEARCH("_", Tabla4[[#This Row],[Cliente]]) + 1, LEN(Tabla4[[#This Row],[Cliente]]) - SEARCH("_",Tabla4[[#This Row],[Cliente]]))</f>
        <v>784</v>
      </c>
      <c r="B499">
        <f>sala!K498</f>
        <v>497</v>
      </c>
      <c r="C499">
        <f>Tabla4[[#This Row],[Propina]]+Tabla4[[#This Row],[Precio Cena]]</f>
        <v>3143</v>
      </c>
      <c r="D499" s="3">
        <f>INT(sala!E498)</f>
        <v>45022</v>
      </c>
      <c r="E499" s="4">
        <f>MOD( sala!D498,1)</f>
        <v>0.14583333333575865</v>
      </c>
      <c r="F499" s="4">
        <f>MOD( sala!E498,1)</f>
        <v>0.29027777777810115</v>
      </c>
      <c r="G499" s="4">
        <f>Tabla5[[#This Row],[Hora de Salida]]-Tabla5[[#This Row],[Hora de Llegada]]+Tabla4[[#This Row],[Tiempo Extra]]</f>
        <v>0.1444444444423425</v>
      </c>
      <c r="H499" s="5" t="str">
        <f>TEXT(Tabla4[[#This Row],[Preparación en horas]]/1440, "h:mm")</f>
        <v>0:38</v>
      </c>
      <c r="I499" s="4">
        <f>IF(Tabla5[[#This Row],[Tiempo Permanencia]]-Tabla5[[#This Row],[Tiempo de Preparación ]]&gt;=0,Tabla5[[#This Row],[Tiempo Permanencia]]-Tabla5[[#This Row],[Tiempo de Preparación ]],0)</f>
        <v>0.11805555555345361</v>
      </c>
      <c r="J499" s="5" t="str">
        <f>IF(Tabla5[[#This Row],[Tiempo de Degustación]]=0,"No Cobrada","Cobrada")</f>
        <v>Cobrada</v>
      </c>
      <c r="K499" s="5" cm="1">
        <f t="array" ref="K499">SUM(IF(Tabla5[[#This Row],[Orden Cobrada]]="Cobrada",IF(Cocina!A:A=Tabla5[[#This Row],[Nº Orden]],Cocina!F:F*Cocina!G:G,0),-Tabla6[[#This Row],[Precio Cena]]))</f>
        <v>150</v>
      </c>
      <c r="L499" s="5">
        <f>IF(Tabla5[[#This Row],[Orden Cobrada]]="Cobrada",Tabla5[[#This Row],[Ganancia Bruta]]-Tabla6[[#This Row],[Coste Cena]],-Tabla6[[#This Row],[Precio Cena]]+Tabla6[[#This Row],[Coste Cena]])</f>
        <v>57</v>
      </c>
      <c r="M499" s="10">
        <f>IF(Tabla5[[#This Row],[Orden Cobrada]]="Cobrada",((Tabla5[[#This Row],[Ganancia Neta]]/Tabla5[[#This Row],[Ganancia Bruta]])*100)/100,-((Tabla5[[#This Row],[Ganancia Neta]]/Tabla5[[#This Row],[Ganancia Bruta]]*100)/100))</f>
        <v>0.38</v>
      </c>
      <c r="N499" s="5" t="str">
        <f>sala!F498</f>
        <v>Mesero_3</v>
      </c>
      <c r="AY499" cm="1">
        <f t="array" ref="AY499">SUM(IF(Cocina!A:A=Tabla5[[#This Row],[Nº Orden]],Cocina!F:F*Cocina!G:G,0))</f>
        <v>150</v>
      </c>
      <c r="AZ499" cm="1">
        <f t="array" ref="AZ499">SUM(IF(Cocina!A:A=Tabla5[[#This Row],[Nº Orden]],Cocina!E:E*Cocina!G:G,0))</f>
        <v>93</v>
      </c>
      <c r="BB499" t="str">
        <f>MID(Tabla4[[#This Row],[Cliente]], SEARCH("_", Tabla4[[#This Row],[Cliente]]) + 1, LEN(Tabla4[[#This Row],[Cliente]]) - SEARCH("_",Tabla4[[#This Row],[Cliente]]))</f>
        <v>784</v>
      </c>
      <c r="BC499" t="str">
        <f>sala!B498</f>
        <v>Cliente_784</v>
      </c>
      <c r="BD499" s="1">
        <f>sala!D498</f>
        <v>45022.145833333336</v>
      </c>
      <c r="BE499" s="1">
        <f>sala!E498</f>
        <v>45022.290277777778</v>
      </c>
      <c r="BF499">
        <f>sala!K498</f>
        <v>497</v>
      </c>
      <c r="BG499">
        <f>sala!I498</f>
        <v>2993</v>
      </c>
      <c r="BH499" cm="1">
        <f t="array" ref="BH499">SUM(IF(Cocina!A:A=Tabla4[[#This Row],[Número de Orden]],Cocina!F:F*Cocina!G:G,0))</f>
        <v>150</v>
      </c>
      <c r="BI499" t="str">
        <f>sala!J498</f>
        <v>Reservada</v>
      </c>
      <c r="BJ499" s="4" t="str">
        <f>IF(Tabla4[[#This Row],[Estado mesa]]="Ocupada","00:15","00:00")</f>
        <v>00:00</v>
      </c>
      <c r="BK499" cm="1">
        <f t="array" ref="BK499">SUM(IF(Cocina!A:A=Tabla4[[#This Row],[Número de Orden]],Cocina!H:H,0))</f>
        <v>38</v>
      </c>
    </row>
    <row r="500" spans="1:63" x14ac:dyDescent="0.3">
      <c r="A500" s="8" t="str">
        <f>MID(Tabla4[[#This Row],[Cliente]], SEARCH("_", Tabla4[[#This Row],[Cliente]]) + 1, LEN(Tabla4[[#This Row],[Cliente]]) - SEARCH("_",Tabla4[[#This Row],[Cliente]]))</f>
        <v>259</v>
      </c>
      <c r="B500">
        <f>sala!K499</f>
        <v>498</v>
      </c>
      <c r="C500">
        <f>Tabla4[[#This Row],[Propina]]+Tabla4[[#This Row],[Precio Cena]]</f>
        <v>2218</v>
      </c>
      <c r="D500" s="3">
        <f>INT(sala!E499)</f>
        <v>45022</v>
      </c>
      <c r="E500" s="4">
        <f>MOD( sala!D499,1)</f>
        <v>1.1805555557657499E-2</v>
      </c>
      <c r="F500" s="4">
        <f>MOD( sala!E499,1)</f>
        <v>0.15694444444670808</v>
      </c>
      <c r="G500" s="4">
        <f>Tabla5[[#This Row],[Hora de Salida]]-Tabla5[[#This Row],[Hora de Llegada]]+Tabla4[[#This Row],[Tiempo Extra]]</f>
        <v>0.14513888888905058</v>
      </c>
      <c r="H500" s="5" t="str">
        <f>TEXT(Tabla4[[#This Row],[Preparación en horas]]/1440, "h:mm")</f>
        <v>0:32</v>
      </c>
      <c r="I500" s="4">
        <f>IF(Tabla5[[#This Row],[Tiempo Permanencia]]-Tabla5[[#This Row],[Tiempo de Preparación ]]&gt;=0,Tabla5[[#This Row],[Tiempo Permanencia]]-Tabla5[[#This Row],[Tiempo de Preparación ]],0)</f>
        <v>0.12291666666682835</v>
      </c>
      <c r="J500" s="5" t="str">
        <f>IF(Tabla5[[#This Row],[Tiempo de Degustación]]=0,"No Cobrada","Cobrada")</f>
        <v>Cobrada</v>
      </c>
      <c r="K500" s="5" cm="1">
        <f t="array" ref="K500">SUM(IF(Tabla5[[#This Row],[Orden Cobrada]]="Cobrada",IF(Cocina!A:A=Tabla5[[#This Row],[Nº Orden]],Cocina!F:F*Cocina!G:G,0),-Tabla6[[#This Row],[Precio Cena]]))</f>
        <v>19</v>
      </c>
      <c r="L500" s="5">
        <f>IF(Tabla5[[#This Row],[Orden Cobrada]]="Cobrada",Tabla5[[#This Row],[Ganancia Bruta]]-Tabla6[[#This Row],[Coste Cena]],-Tabla6[[#This Row],[Precio Cena]]+Tabla6[[#This Row],[Coste Cena]])</f>
        <v>8</v>
      </c>
      <c r="M500" s="10">
        <f>IF(Tabla5[[#This Row],[Orden Cobrada]]="Cobrada",((Tabla5[[#This Row],[Ganancia Neta]]/Tabla5[[#This Row],[Ganancia Bruta]])*100)/100,-((Tabla5[[#This Row],[Ganancia Neta]]/Tabla5[[#This Row],[Ganancia Bruta]]*100)/100))</f>
        <v>0.42105263157894735</v>
      </c>
      <c r="N500" s="5" t="str">
        <f>sala!F499</f>
        <v>Mesero_3</v>
      </c>
      <c r="AY500" cm="1">
        <f t="array" ref="AY500">SUM(IF(Cocina!A:A=Tabla5[[#This Row],[Nº Orden]],Cocina!F:F*Cocina!G:G,0))</f>
        <v>19</v>
      </c>
      <c r="AZ500" cm="1">
        <f t="array" ref="AZ500">SUM(IF(Cocina!A:A=Tabla5[[#This Row],[Nº Orden]],Cocina!E:E*Cocina!G:G,0))</f>
        <v>11</v>
      </c>
      <c r="BB500" t="str">
        <f>MID(Tabla4[[#This Row],[Cliente]], SEARCH("_", Tabla4[[#This Row],[Cliente]]) + 1, LEN(Tabla4[[#This Row],[Cliente]]) - SEARCH("_",Tabla4[[#This Row],[Cliente]]))</f>
        <v>259</v>
      </c>
      <c r="BC500" t="str">
        <f>sala!B499</f>
        <v>Cliente_259</v>
      </c>
      <c r="BD500" s="1">
        <f>sala!D499</f>
        <v>45022.011805555558</v>
      </c>
      <c r="BE500" s="1">
        <f>sala!E499</f>
        <v>45022.156944444447</v>
      </c>
      <c r="BF500">
        <f>sala!K499</f>
        <v>498</v>
      </c>
      <c r="BG500">
        <f>sala!I499</f>
        <v>2199</v>
      </c>
      <c r="BH500" cm="1">
        <f t="array" ref="BH500">SUM(IF(Cocina!A:A=Tabla4[[#This Row],[Número de Orden]],Cocina!F:F*Cocina!G:G,0))</f>
        <v>19</v>
      </c>
      <c r="BI500" t="str">
        <f>sala!J499</f>
        <v>Libre</v>
      </c>
      <c r="BJ500" s="4" t="str">
        <f>IF(Tabla4[[#This Row],[Estado mesa]]="Ocupada","00:15","00:00")</f>
        <v>00:00</v>
      </c>
      <c r="BK500" cm="1">
        <f t="array" ref="BK500">SUM(IF(Cocina!A:A=Tabla4[[#This Row],[Número de Orden]],Cocina!H:H,0))</f>
        <v>32</v>
      </c>
    </row>
    <row r="501" spans="1:63" x14ac:dyDescent="0.3">
      <c r="A501" s="8" t="str">
        <f>MID(Tabla4[[#This Row],[Cliente]], SEARCH("_", Tabla4[[#This Row],[Cliente]]) + 1, LEN(Tabla4[[#This Row],[Cliente]]) - SEARCH("_",Tabla4[[#This Row],[Cliente]]))</f>
        <v>919</v>
      </c>
      <c r="B501">
        <f>sala!K500</f>
        <v>499</v>
      </c>
      <c r="C501">
        <f>Tabla4[[#This Row],[Propina]]+Tabla4[[#This Row],[Precio Cena]]</f>
        <v>2427</v>
      </c>
      <c r="D501" s="3">
        <f>INT(sala!E500)</f>
        <v>45022</v>
      </c>
      <c r="E501" s="4">
        <f>MOD( sala!D500,1)</f>
        <v>5.6250000001455192E-2</v>
      </c>
      <c r="F501" s="4">
        <f>MOD( sala!E500,1)</f>
        <v>0.18611111111385981</v>
      </c>
      <c r="G501" s="4">
        <f>Tabla5[[#This Row],[Hora de Salida]]-Tabla5[[#This Row],[Hora de Llegada]]+Tabla4[[#This Row],[Tiempo Extra]]</f>
        <v>0.12986111111240461</v>
      </c>
      <c r="H501" s="5" t="str">
        <f>TEXT(Tabla4[[#This Row],[Preparación en horas]]/1440, "h:mm")</f>
        <v>2:10</v>
      </c>
      <c r="I501" s="4">
        <f>IF(Tabla5[[#This Row],[Tiempo Permanencia]]-Tabla5[[#This Row],[Tiempo de Preparación ]]&gt;=0,Tabla5[[#This Row],[Tiempo Permanencia]]-Tabla5[[#This Row],[Tiempo de Preparación ]],0)</f>
        <v>3.9583333334626838E-2</v>
      </c>
      <c r="J501" s="5" t="str">
        <f>IF(Tabla5[[#This Row],[Tiempo de Degustación]]=0,"No Cobrada","Cobrada")</f>
        <v>Cobrada</v>
      </c>
      <c r="K501" s="5" cm="1">
        <f t="array" ref="K501">SUM(IF(Tabla5[[#This Row],[Orden Cobrada]]="Cobrada",IF(Cocina!A:A=Tabla5[[#This Row],[Nº Orden]],Cocina!F:F*Cocina!G:G,0),-Tabla6[[#This Row],[Precio Cena]]))</f>
        <v>158</v>
      </c>
      <c r="L501" s="5">
        <f>IF(Tabla5[[#This Row],[Orden Cobrada]]="Cobrada",Tabla5[[#This Row],[Ganancia Bruta]]-Tabla6[[#This Row],[Coste Cena]],-Tabla6[[#This Row],[Precio Cena]]+Tabla6[[#This Row],[Coste Cena]])</f>
        <v>65</v>
      </c>
      <c r="M501" s="10">
        <f>IF(Tabla5[[#This Row],[Orden Cobrada]]="Cobrada",((Tabla5[[#This Row],[Ganancia Neta]]/Tabla5[[#This Row],[Ganancia Bruta]])*100)/100,-((Tabla5[[#This Row],[Ganancia Neta]]/Tabla5[[#This Row],[Ganancia Bruta]]*100)/100))</f>
        <v>0.41139240506329117</v>
      </c>
      <c r="N501" s="5" t="str">
        <f>sala!F500</f>
        <v>Mesero_2</v>
      </c>
      <c r="AY501" cm="1">
        <f t="array" ref="AY501">SUM(IF(Cocina!A:A=Tabla5[[#This Row],[Nº Orden]],Cocina!F:F*Cocina!G:G,0))</f>
        <v>158</v>
      </c>
      <c r="AZ501" cm="1">
        <f t="array" ref="AZ501">SUM(IF(Cocina!A:A=Tabla5[[#This Row],[Nº Orden]],Cocina!E:E*Cocina!G:G,0))</f>
        <v>93</v>
      </c>
      <c r="BB501" t="str">
        <f>MID(Tabla4[[#This Row],[Cliente]], SEARCH("_", Tabla4[[#This Row],[Cliente]]) + 1, LEN(Tabla4[[#This Row],[Cliente]]) - SEARCH("_",Tabla4[[#This Row],[Cliente]]))</f>
        <v>919</v>
      </c>
      <c r="BC501" t="str">
        <f>sala!B500</f>
        <v>Cliente_919</v>
      </c>
      <c r="BD501" s="1">
        <f>sala!D500</f>
        <v>45022.056250000001</v>
      </c>
      <c r="BE501" s="1">
        <f>sala!E500</f>
        <v>45022.186111111114</v>
      </c>
      <c r="BF501">
        <f>sala!K500</f>
        <v>499</v>
      </c>
      <c r="BG501">
        <f>sala!I500</f>
        <v>2269</v>
      </c>
      <c r="BH501" cm="1">
        <f t="array" ref="BH501">SUM(IF(Cocina!A:A=Tabla4[[#This Row],[Número de Orden]],Cocina!F:F*Cocina!G:G,0))</f>
        <v>158</v>
      </c>
      <c r="BI501" t="str">
        <f>sala!J500</f>
        <v>Reservada</v>
      </c>
      <c r="BJ501" s="4" t="str">
        <f>IF(Tabla4[[#This Row],[Estado mesa]]="Ocupada","00:15","00:00")</f>
        <v>00:00</v>
      </c>
      <c r="BK501" cm="1">
        <f t="array" ref="BK501">SUM(IF(Cocina!A:A=Tabla4[[#This Row],[Número de Orden]],Cocina!H:H,0))</f>
        <v>130</v>
      </c>
    </row>
    <row r="502" spans="1:63" x14ac:dyDescent="0.3">
      <c r="A502" s="8" t="str">
        <f>MID(Tabla4[[#This Row],[Cliente]], SEARCH("_", Tabla4[[#This Row],[Cliente]]) + 1, LEN(Tabla4[[#This Row],[Cliente]]) - SEARCH("_",Tabla4[[#This Row],[Cliente]]))</f>
        <v>354</v>
      </c>
      <c r="B502">
        <f>sala!K501</f>
        <v>500</v>
      </c>
      <c r="C502">
        <f>Tabla4[[#This Row],[Propina]]+Tabla4[[#This Row],[Precio Cena]]</f>
        <v>3855</v>
      </c>
      <c r="D502" s="3">
        <f>INT(sala!E501)</f>
        <v>45022</v>
      </c>
      <c r="E502" s="4">
        <f>MOD( sala!D501,1)</f>
        <v>5.3472222221898846E-2</v>
      </c>
      <c r="F502" s="4">
        <f>MOD( sala!E501,1)</f>
        <v>0.21875</v>
      </c>
      <c r="G502" s="4">
        <f>Tabla5[[#This Row],[Hora de Salida]]-Tabla5[[#This Row],[Hora de Llegada]]+Tabla4[[#This Row],[Tiempo Extra]]</f>
        <v>0.17569444444476781</v>
      </c>
      <c r="H502" s="5" t="str">
        <f>TEXT(Tabla4[[#This Row],[Preparación en horas]]/1440, "h:mm")</f>
        <v>0:42</v>
      </c>
      <c r="I502" s="4">
        <f>IF(Tabla5[[#This Row],[Tiempo Permanencia]]-Tabla5[[#This Row],[Tiempo de Preparación ]]&gt;=0,Tabla5[[#This Row],[Tiempo Permanencia]]-Tabla5[[#This Row],[Tiempo de Preparación ]],0)</f>
        <v>0.14652777777810114</v>
      </c>
      <c r="J502" s="5" t="str">
        <f>IF(Tabla5[[#This Row],[Tiempo de Degustación]]=0,"No Cobrada","Cobrada")</f>
        <v>Cobrada</v>
      </c>
      <c r="K502" s="5" cm="1">
        <f t="array" ref="K502">SUM(IF(Tabla5[[#This Row],[Orden Cobrada]]="Cobrada",IF(Cocina!A:A=Tabla5[[#This Row],[Nº Orden]],Cocina!F:F*Cocina!G:G,0),-Tabla6[[#This Row],[Precio Cena]]))</f>
        <v>93</v>
      </c>
      <c r="L502" s="5">
        <f>IF(Tabla5[[#This Row],[Orden Cobrada]]="Cobrada",Tabla5[[#This Row],[Ganancia Bruta]]-Tabla6[[#This Row],[Coste Cena]],-Tabla6[[#This Row],[Precio Cena]]+Tabla6[[#This Row],[Coste Cena]])</f>
        <v>38</v>
      </c>
      <c r="M502" s="10">
        <f>IF(Tabla5[[#This Row],[Orden Cobrada]]="Cobrada",((Tabla5[[#This Row],[Ganancia Neta]]/Tabla5[[#This Row],[Ganancia Bruta]])*100)/100,-((Tabla5[[#This Row],[Ganancia Neta]]/Tabla5[[#This Row],[Ganancia Bruta]]*100)/100))</f>
        <v>0.40860215053763438</v>
      </c>
      <c r="N502" s="5" t="str">
        <f>sala!F501</f>
        <v>Mesero_4</v>
      </c>
      <c r="AY502" cm="1">
        <f t="array" ref="AY502">SUM(IF(Cocina!A:A=Tabla5[[#This Row],[Nº Orden]],Cocina!F:F*Cocina!G:G,0))</f>
        <v>93</v>
      </c>
      <c r="AZ502" cm="1">
        <f t="array" ref="AZ502">SUM(IF(Cocina!A:A=Tabla5[[#This Row],[Nº Orden]],Cocina!E:E*Cocina!G:G,0))</f>
        <v>55</v>
      </c>
      <c r="BB502" t="str">
        <f>MID(Tabla4[[#This Row],[Cliente]], SEARCH("_", Tabla4[[#This Row],[Cliente]]) + 1, LEN(Tabla4[[#This Row],[Cliente]]) - SEARCH("_",Tabla4[[#This Row],[Cliente]]))</f>
        <v>354</v>
      </c>
      <c r="BC502" t="str">
        <f>sala!B501</f>
        <v>Cliente_354</v>
      </c>
      <c r="BD502" s="1">
        <f>sala!D501</f>
        <v>45022.053472222222</v>
      </c>
      <c r="BE502" s="1">
        <f>sala!E501</f>
        <v>45022.21875</v>
      </c>
      <c r="BF502">
        <f>sala!K501</f>
        <v>500</v>
      </c>
      <c r="BG502">
        <f>sala!I501</f>
        <v>3762</v>
      </c>
      <c r="BH502" cm="1">
        <f t="array" ref="BH502">SUM(IF(Cocina!A:A=Tabla4[[#This Row],[Número de Orden]],Cocina!F:F*Cocina!G:G,0))</f>
        <v>93</v>
      </c>
      <c r="BI502" t="str">
        <f>sala!J501</f>
        <v>Ocupada</v>
      </c>
      <c r="BJ502" s="4" t="str">
        <f>IF(Tabla4[[#This Row],[Estado mesa]]="Ocupada","00:15","00:00")</f>
        <v>00:15</v>
      </c>
      <c r="BK502" cm="1">
        <f t="array" ref="BK502">SUM(IF(Cocina!A:A=Tabla4[[#This Row],[Número de Orden]],Cocina!H:H,0))</f>
        <v>42</v>
      </c>
    </row>
    <row r="503" spans="1:63" x14ac:dyDescent="0.3">
      <c r="A503" s="8" t="str">
        <f>MID(Tabla4[[#This Row],[Cliente]], SEARCH("_", Tabla4[[#This Row],[Cliente]]) + 1, LEN(Tabla4[[#This Row],[Cliente]]) - SEARCH("_",Tabla4[[#This Row],[Cliente]]))</f>
        <v>637</v>
      </c>
      <c r="B503">
        <f>sala!K502</f>
        <v>501</v>
      </c>
      <c r="C503">
        <f>Tabla4[[#This Row],[Propina]]+Tabla4[[#This Row],[Precio Cena]]</f>
        <v>2976</v>
      </c>
      <c r="D503" s="3">
        <f>INT(sala!E502)</f>
        <v>45022</v>
      </c>
      <c r="E503" s="4">
        <f>MOD( sala!D502,1)</f>
        <v>0.15555555555329192</v>
      </c>
      <c r="F503" s="4">
        <f>MOD( sala!E502,1)</f>
        <v>0.27152777777519077</v>
      </c>
      <c r="G503" s="4">
        <f>Tabla5[[#This Row],[Hora de Salida]]-Tabla5[[#This Row],[Hora de Llegada]]+Tabla4[[#This Row],[Tiempo Extra]]</f>
        <v>0.1263888888885655</v>
      </c>
      <c r="H503" s="5" t="str">
        <f>TEXT(Tabla4[[#This Row],[Preparación en horas]]/1440, "h:mm")</f>
        <v>0:39</v>
      </c>
      <c r="I503" s="4">
        <f>IF(Tabla5[[#This Row],[Tiempo Permanencia]]-Tabla5[[#This Row],[Tiempo de Preparación ]]&gt;=0,Tabla5[[#This Row],[Tiempo Permanencia]]-Tabla5[[#This Row],[Tiempo de Preparación ]],0)</f>
        <v>9.9305555555232169E-2</v>
      </c>
      <c r="J503" s="5" t="str">
        <f>IF(Tabla5[[#This Row],[Tiempo de Degustación]]=0,"No Cobrada","Cobrada")</f>
        <v>Cobrada</v>
      </c>
      <c r="K503" s="5" cm="1">
        <f t="array" ref="K503">SUM(IF(Tabla5[[#This Row],[Orden Cobrada]]="Cobrada",IF(Cocina!A:A=Tabla5[[#This Row],[Nº Orden]],Cocina!F:F*Cocina!G:G,0),-Tabla6[[#This Row],[Precio Cena]]))</f>
        <v>138</v>
      </c>
      <c r="L503" s="5">
        <f>IF(Tabla5[[#This Row],[Orden Cobrada]]="Cobrada",Tabla5[[#This Row],[Ganancia Bruta]]-Tabla6[[#This Row],[Coste Cena]],-Tabla6[[#This Row],[Precio Cena]]+Tabla6[[#This Row],[Coste Cena]])</f>
        <v>55</v>
      </c>
      <c r="M503" s="10">
        <f>IF(Tabla5[[#This Row],[Orden Cobrada]]="Cobrada",((Tabla5[[#This Row],[Ganancia Neta]]/Tabla5[[#This Row],[Ganancia Bruta]])*100)/100,-((Tabla5[[#This Row],[Ganancia Neta]]/Tabla5[[#This Row],[Ganancia Bruta]]*100)/100))</f>
        <v>0.39855072463768115</v>
      </c>
      <c r="N503" s="5" t="str">
        <f>sala!F502</f>
        <v>Mesero_1</v>
      </c>
      <c r="AY503" cm="1">
        <f t="array" ref="AY503">SUM(IF(Cocina!A:A=Tabla5[[#This Row],[Nº Orden]],Cocina!F:F*Cocina!G:G,0))</f>
        <v>138</v>
      </c>
      <c r="AZ503" cm="1">
        <f t="array" ref="AZ503">SUM(IF(Cocina!A:A=Tabla5[[#This Row],[Nº Orden]],Cocina!E:E*Cocina!G:G,0))</f>
        <v>83</v>
      </c>
      <c r="BB503" t="str">
        <f>MID(Tabla4[[#This Row],[Cliente]], SEARCH("_", Tabla4[[#This Row],[Cliente]]) + 1, LEN(Tabla4[[#This Row],[Cliente]]) - SEARCH("_",Tabla4[[#This Row],[Cliente]]))</f>
        <v>637</v>
      </c>
      <c r="BC503" t="str">
        <f>sala!B502</f>
        <v>Cliente_637</v>
      </c>
      <c r="BD503" s="1">
        <f>sala!D502</f>
        <v>45022.155555555553</v>
      </c>
      <c r="BE503" s="1">
        <f>sala!E502</f>
        <v>45022.271527777775</v>
      </c>
      <c r="BF503">
        <f>sala!K502</f>
        <v>501</v>
      </c>
      <c r="BG503">
        <f>sala!I502</f>
        <v>2838</v>
      </c>
      <c r="BH503" cm="1">
        <f t="array" ref="BH503">SUM(IF(Cocina!A:A=Tabla4[[#This Row],[Número de Orden]],Cocina!F:F*Cocina!G:G,0))</f>
        <v>138</v>
      </c>
      <c r="BI503" t="str">
        <f>sala!J502</f>
        <v>Ocupada</v>
      </c>
      <c r="BJ503" s="4" t="str">
        <f>IF(Tabla4[[#This Row],[Estado mesa]]="Ocupada","00:15","00:00")</f>
        <v>00:15</v>
      </c>
      <c r="BK503" cm="1">
        <f t="array" ref="BK503">SUM(IF(Cocina!A:A=Tabla4[[#This Row],[Número de Orden]],Cocina!H:H,0))</f>
        <v>39</v>
      </c>
    </row>
    <row r="504" spans="1:63" x14ac:dyDescent="0.3">
      <c r="A504" s="8" t="str">
        <f>MID(Tabla4[[#This Row],[Cliente]], SEARCH("_", Tabla4[[#This Row],[Cliente]]) + 1, LEN(Tabla4[[#This Row],[Cliente]]) - SEARCH("_",Tabla4[[#This Row],[Cliente]]))</f>
        <v>759</v>
      </c>
      <c r="B504">
        <f>sala!K503</f>
        <v>502</v>
      </c>
      <c r="C504">
        <f>Tabla4[[#This Row],[Propina]]+Tabla4[[#This Row],[Precio Cena]]</f>
        <v>468</v>
      </c>
      <c r="D504" s="3">
        <f>INT(sala!E503)</f>
        <v>45022</v>
      </c>
      <c r="E504" s="4">
        <f>MOD( sala!D503,1)</f>
        <v>3.125E-2</v>
      </c>
      <c r="F504" s="4">
        <f>MOD( sala!E503,1)</f>
        <v>8.1250000002910383E-2</v>
      </c>
      <c r="G504" s="4">
        <f>Tabla5[[#This Row],[Hora de Salida]]-Tabla5[[#This Row],[Hora de Llegada]]+Tabla4[[#This Row],[Tiempo Extra]]</f>
        <v>5.0000000002910383E-2</v>
      </c>
      <c r="H504" s="5" t="str">
        <f>TEXT(Tabla4[[#This Row],[Preparación en horas]]/1440, "h:mm")</f>
        <v>1:13</v>
      </c>
      <c r="I504" s="4">
        <f>IF(Tabla5[[#This Row],[Tiempo Permanencia]]-Tabla5[[#This Row],[Tiempo de Preparación ]]&gt;=0,Tabla5[[#This Row],[Tiempo Permanencia]]-Tabla5[[#This Row],[Tiempo de Preparación ]],0)</f>
        <v>0</v>
      </c>
      <c r="J504" s="5" t="str">
        <f>IF(Tabla5[[#This Row],[Tiempo de Degustación]]=0,"No Cobrada","Cobrada")</f>
        <v>No Cobrada</v>
      </c>
      <c r="K504" s="5" cm="1">
        <f t="array" ref="K504">SUM(IF(Tabla5[[#This Row],[Orden Cobrada]]="Cobrada",IF(Cocina!A:A=Tabla5[[#This Row],[Nº Orden]],Cocina!F:F*Cocina!G:G,0),-Tabla6[[#This Row],[Precio Cena]]))</f>
        <v>-139</v>
      </c>
      <c r="L504" s="5">
        <f>IF(Tabla5[[#This Row],[Orden Cobrada]]="Cobrada",Tabla5[[#This Row],[Ganancia Bruta]]-Tabla6[[#This Row],[Coste Cena]],-Tabla6[[#This Row],[Precio Cena]]+Tabla6[[#This Row],[Coste Cena]])</f>
        <v>-56</v>
      </c>
      <c r="M504" s="10">
        <f>IF(Tabla5[[#This Row],[Orden Cobrada]]="Cobrada",((Tabla5[[#This Row],[Ganancia Neta]]/Tabla5[[#This Row],[Ganancia Bruta]])*100)/100,-((Tabla5[[#This Row],[Ganancia Neta]]/Tabla5[[#This Row],[Ganancia Bruta]]*100)/100))</f>
        <v>-0.40287769784172661</v>
      </c>
      <c r="N504" s="5" t="str">
        <f>sala!F503</f>
        <v>Mesero_5</v>
      </c>
      <c r="AY504" cm="1">
        <f t="array" ref="AY504">SUM(IF(Cocina!A:A=Tabla5[[#This Row],[Nº Orden]],Cocina!F:F*Cocina!G:G,0))</f>
        <v>139</v>
      </c>
      <c r="AZ504" cm="1">
        <f t="array" ref="AZ504">SUM(IF(Cocina!A:A=Tabla5[[#This Row],[Nº Orden]],Cocina!E:E*Cocina!G:G,0))</f>
        <v>83</v>
      </c>
      <c r="BB504" t="str">
        <f>MID(Tabla4[[#This Row],[Cliente]], SEARCH("_", Tabla4[[#This Row],[Cliente]]) + 1, LEN(Tabla4[[#This Row],[Cliente]]) - SEARCH("_",Tabla4[[#This Row],[Cliente]]))</f>
        <v>759</v>
      </c>
      <c r="BC504" t="str">
        <f>sala!B503</f>
        <v>Cliente_759</v>
      </c>
      <c r="BD504" s="1">
        <f>sala!D503</f>
        <v>45022.03125</v>
      </c>
      <c r="BE504" s="1">
        <f>sala!E503</f>
        <v>45022.081250000003</v>
      </c>
      <c r="BF504">
        <f>sala!K503</f>
        <v>502</v>
      </c>
      <c r="BG504">
        <f>sala!I503</f>
        <v>329</v>
      </c>
      <c r="BH504" cm="1">
        <f t="array" ref="BH504">SUM(IF(Cocina!A:A=Tabla4[[#This Row],[Número de Orden]],Cocina!F:F*Cocina!G:G,0))</f>
        <v>139</v>
      </c>
      <c r="BI504" t="str">
        <f>sala!J503</f>
        <v>Reservada</v>
      </c>
      <c r="BJ504" s="4" t="str">
        <f>IF(Tabla4[[#This Row],[Estado mesa]]="Ocupada","00:15","00:00")</f>
        <v>00:00</v>
      </c>
      <c r="BK504" cm="1">
        <f t="array" ref="BK504">SUM(IF(Cocina!A:A=Tabla4[[#This Row],[Número de Orden]],Cocina!H:H,0))</f>
        <v>73</v>
      </c>
    </row>
    <row r="505" spans="1:63" x14ac:dyDescent="0.3">
      <c r="A505" s="8" t="str">
        <f>MID(Tabla4[[#This Row],[Cliente]], SEARCH("_", Tabla4[[#This Row],[Cliente]]) + 1, LEN(Tabla4[[#This Row],[Cliente]]) - SEARCH("_",Tabla4[[#This Row],[Cliente]]))</f>
        <v>948</v>
      </c>
      <c r="B505">
        <f>sala!K504</f>
        <v>503</v>
      </c>
      <c r="C505">
        <f>Tabla4[[#This Row],[Propina]]+Tabla4[[#This Row],[Precio Cena]]</f>
        <v>3721</v>
      </c>
      <c r="D505" s="3">
        <f>INT(sala!E504)</f>
        <v>45022</v>
      </c>
      <c r="E505" s="4">
        <f>MOD( sala!D504,1)</f>
        <v>9.7222222218988463E-2</v>
      </c>
      <c r="F505" s="4">
        <f>MOD( sala!E504,1)</f>
        <v>0.1680555555576575</v>
      </c>
      <c r="G505" s="4">
        <f>Tabla5[[#This Row],[Hora de Salida]]-Tabla5[[#This Row],[Hora de Llegada]]+Tabla4[[#This Row],[Tiempo Extra]]</f>
        <v>7.0833333338669036E-2</v>
      </c>
      <c r="H505" s="5" t="str">
        <f>TEXT(Tabla4[[#This Row],[Preparación en horas]]/1440, "h:mm")</f>
        <v>1:25</v>
      </c>
      <c r="I505" s="4">
        <f>IF(Tabla5[[#This Row],[Tiempo Permanencia]]-Tabla5[[#This Row],[Tiempo de Preparación ]]&gt;=0,Tabla5[[#This Row],[Tiempo Permanencia]]-Tabla5[[#This Row],[Tiempo de Preparación ]],0)</f>
        <v>1.1805555560891259E-2</v>
      </c>
      <c r="J505" s="5" t="str">
        <f>IF(Tabla5[[#This Row],[Tiempo de Degustación]]=0,"No Cobrada","Cobrada")</f>
        <v>Cobrada</v>
      </c>
      <c r="K505" s="5" cm="1">
        <f t="array" ref="K505">SUM(IF(Tabla5[[#This Row],[Orden Cobrada]]="Cobrada",IF(Cocina!A:A=Tabla5[[#This Row],[Nº Orden]],Cocina!F:F*Cocina!G:G,0),-Tabla6[[#This Row],[Precio Cena]]))</f>
        <v>137</v>
      </c>
      <c r="L505" s="5">
        <f>IF(Tabla5[[#This Row],[Orden Cobrada]]="Cobrada",Tabla5[[#This Row],[Ganancia Bruta]]-Tabla6[[#This Row],[Coste Cena]],-Tabla6[[#This Row],[Precio Cena]]+Tabla6[[#This Row],[Coste Cena]])</f>
        <v>54</v>
      </c>
      <c r="M505" s="10">
        <f>IF(Tabla5[[#This Row],[Orden Cobrada]]="Cobrada",((Tabla5[[#This Row],[Ganancia Neta]]/Tabla5[[#This Row],[Ganancia Bruta]])*100)/100,-((Tabla5[[#This Row],[Ganancia Neta]]/Tabla5[[#This Row],[Ganancia Bruta]]*100)/100))</f>
        <v>0.39416058394160586</v>
      </c>
      <c r="N505" s="5" t="str">
        <f>sala!F504</f>
        <v>Mesero_3</v>
      </c>
      <c r="AY505" cm="1">
        <f t="array" ref="AY505">SUM(IF(Cocina!A:A=Tabla5[[#This Row],[Nº Orden]],Cocina!F:F*Cocina!G:G,0))</f>
        <v>137</v>
      </c>
      <c r="AZ505" cm="1">
        <f t="array" ref="AZ505">SUM(IF(Cocina!A:A=Tabla5[[#This Row],[Nº Orden]],Cocina!E:E*Cocina!G:G,0))</f>
        <v>83</v>
      </c>
      <c r="BB505" t="str">
        <f>MID(Tabla4[[#This Row],[Cliente]], SEARCH("_", Tabla4[[#This Row],[Cliente]]) + 1, LEN(Tabla4[[#This Row],[Cliente]]) - SEARCH("_",Tabla4[[#This Row],[Cliente]]))</f>
        <v>948</v>
      </c>
      <c r="BC505" t="str">
        <f>sala!B504</f>
        <v>Cliente_948</v>
      </c>
      <c r="BD505" s="1">
        <f>sala!D504</f>
        <v>45022.097222222219</v>
      </c>
      <c r="BE505" s="1">
        <f>sala!E504</f>
        <v>45022.168055555558</v>
      </c>
      <c r="BF505">
        <f>sala!K504</f>
        <v>503</v>
      </c>
      <c r="BG505">
        <f>sala!I504</f>
        <v>3584</v>
      </c>
      <c r="BH505" cm="1">
        <f t="array" ref="BH505">SUM(IF(Cocina!A:A=Tabla4[[#This Row],[Número de Orden]],Cocina!F:F*Cocina!G:G,0))</f>
        <v>137</v>
      </c>
      <c r="BI505" t="str">
        <f>sala!J504</f>
        <v>Reservada</v>
      </c>
      <c r="BJ505" s="4" t="str">
        <f>IF(Tabla4[[#This Row],[Estado mesa]]="Ocupada","00:15","00:00")</f>
        <v>00:00</v>
      </c>
      <c r="BK505" cm="1">
        <f t="array" ref="BK505">SUM(IF(Cocina!A:A=Tabla4[[#This Row],[Número de Orden]],Cocina!H:H,0))</f>
        <v>85</v>
      </c>
    </row>
    <row r="506" spans="1:63" x14ac:dyDescent="0.3">
      <c r="A506" s="8" t="str">
        <f>MID(Tabla4[[#This Row],[Cliente]], SEARCH("_", Tabla4[[#This Row],[Cliente]]) + 1, LEN(Tabla4[[#This Row],[Cliente]]) - SEARCH("_",Tabla4[[#This Row],[Cliente]]))</f>
        <v>172</v>
      </c>
      <c r="B506">
        <f>sala!K505</f>
        <v>504</v>
      </c>
      <c r="C506">
        <f>Tabla4[[#This Row],[Propina]]+Tabla4[[#This Row],[Precio Cena]]</f>
        <v>3185</v>
      </c>
      <c r="D506" s="3">
        <f>INT(sala!E505)</f>
        <v>45022</v>
      </c>
      <c r="E506" s="4">
        <f>MOD( sala!D505,1)</f>
        <v>9.0277777781011537E-2</v>
      </c>
      <c r="F506" s="4">
        <f>MOD( sala!E505,1)</f>
        <v>0.19999999999708962</v>
      </c>
      <c r="G506" s="4">
        <f>Tabla5[[#This Row],[Hora de Salida]]-Tabla5[[#This Row],[Hora de Llegada]]+Tabla4[[#This Row],[Tiempo Extra]]</f>
        <v>0.10972222221607808</v>
      </c>
      <c r="H506" s="5" t="str">
        <f>TEXT(Tabla4[[#This Row],[Preparación en horas]]/1440, "h:mm")</f>
        <v>0:19</v>
      </c>
      <c r="I506" s="4">
        <f>IF(Tabla5[[#This Row],[Tiempo Permanencia]]-Tabla5[[#This Row],[Tiempo de Preparación ]]&gt;=0,Tabla5[[#This Row],[Tiempo Permanencia]]-Tabla5[[#This Row],[Tiempo de Preparación ]],0)</f>
        <v>9.6527777771633641E-2</v>
      </c>
      <c r="J506" s="5" t="str">
        <f>IF(Tabla5[[#This Row],[Tiempo de Degustación]]=0,"No Cobrada","Cobrada")</f>
        <v>Cobrada</v>
      </c>
      <c r="K506" s="5" cm="1">
        <f t="array" ref="K506">SUM(IF(Tabla5[[#This Row],[Orden Cobrada]]="Cobrada",IF(Cocina!A:A=Tabla5[[#This Row],[Nº Orden]],Cocina!F:F*Cocina!G:G,0),-Tabla6[[#This Row],[Precio Cena]]))</f>
        <v>54</v>
      </c>
      <c r="L506" s="5">
        <f>IF(Tabla5[[#This Row],[Orden Cobrada]]="Cobrada",Tabla5[[#This Row],[Ganancia Bruta]]-Tabla6[[#This Row],[Coste Cena]],-Tabla6[[#This Row],[Precio Cena]]+Tabla6[[#This Row],[Coste Cena]])</f>
        <v>22</v>
      </c>
      <c r="M506" s="10">
        <f>IF(Tabla5[[#This Row],[Orden Cobrada]]="Cobrada",((Tabla5[[#This Row],[Ganancia Neta]]/Tabla5[[#This Row],[Ganancia Bruta]])*100)/100,-((Tabla5[[#This Row],[Ganancia Neta]]/Tabla5[[#This Row],[Ganancia Bruta]]*100)/100))</f>
        <v>0.40740740740740738</v>
      </c>
      <c r="N506" s="5" t="str">
        <f>sala!F505</f>
        <v>Mesero_5</v>
      </c>
      <c r="AY506" cm="1">
        <f t="array" ref="AY506">SUM(IF(Cocina!A:A=Tabla5[[#This Row],[Nº Orden]],Cocina!F:F*Cocina!G:G,0))</f>
        <v>54</v>
      </c>
      <c r="AZ506" cm="1">
        <f t="array" ref="AZ506">SUM(IF(Cocina!A:A=Tabla5[[#This Row],[Nº Orden]],Cocina!E:E*Cocina!G:G,0))</f>
        <v>32</v>
      </c>
      <c r="BB506" t="str">
        <f>MID(Tabla4[[#This Row],[Cliente]], SEARCH("_", Tabla4[[#This Row],[Cliente]]) + 1, LEN(Tabla4[[#This Row],[Cliente]]) - SEARCH("_",Tabla4[[#This Row],[Cliente]]))</f>
        <v>172</v>
      </c>
      <c r="BC506" t="str">
        <f>sala!B505</f>
        <v>Cliente_172</v>
      </c>
      <c r="BD506" s="1">
        <f>sala!D505</f>
        <v>45022.090277777781</v>
      </c>
      <c r="BE506" s="1">
        <f>sala!E505</f>
        <v>45022.2</v>
      </c>
      <c r="BF506">
        <f>sala!K505</f>
        <v>504</v>
      </c>
      <c r="BG506">
        <f>sala!I505</f>
        <v>3131</v>
      </c>
      <c r="BH506" cm="1">
        <f t="array" ref="BH506">SUM(IF(Cocina!A:A=Tabla4[[#This Row],[Número de Orden]],Cocina!F:F*Cocina!G:G,0))</f>
        <v>54</v>
      </c>
      <c r="BI506" t="str">
        <f>sala!J505</f>
        <v>Reservada</v>
      </c>
      <c r="BJ506" s="4" t="str">
        <f>IF(Tabla4[[#This Row],[Estado mesa]]="Ocupada","00:15","00:00")</f>
        <v>00:00</v>
      </c>
      <c r="BK506" cm="1">
        <f t="array" ref="BK506">SUM(IF(Cocina!A:A=Tabla4[[#This Row],[Número de Orden]],Cocina!H:H,0))</f>
        <v>19</v>
      </c>
    </row>
    <row r="507" spans="1:63" x14ac:dyDescent="0.3">
      <c r="A507" s="8" t="str">
        <f>MID(Tabla4[[#This Row],[Cliente]], SEARCH("_", Tabla4[[#This Row],[Cliente]]) + 1, LEN(Tabla4[[#This Row],[Cliente]]) - SEARCH("_",Tabla4[[#This Row],[Cliente]]))</f>
        <v>70</v>
      </c>
      <c r="B507">
        <f>sala!K506</f>
        <v>505</v>
      </c>
      <c r="C507">
        <f>Tabla4[[#This Row],[Propina]]+Tabla4[[#This Row],[Precio Cena]]</f>
        <v>2731</v>
      </c>
      <c r="D507" s="3">
        <f>INT(sala!E506)</f>
        <v>45022</v>
      </c>
      <c r="E507" s="4">
        <f>MOD( sala!D506,1)</f>
        <v>0.10972222222335404</v>
      </c>
      <c r="F507" s="4">
        <f>MOD( sala!E506,1)</f>
        <v>0.25486111111240461</v>
      </c>
      <c r="G507" s="4">
        <f>Tabla5[[#This Row],[Hora de Salida]]-Tabla5[[#This Row],[Hora de Llegada]]+Tabla4[[#This Row],[Tiempo Extra]]</f>
        <v>0.14513888888905058</v>
      </c>
      <c r="H507" s="5" t="str">
        <f>TEXT(Tabla4[[#This Row],[Preparación en horas]]/1440, "h:mm")</f>
        <v>1:55</v>
      </c>
      <c r="I507" s="4">
        <f>IF(Tabla5[[#This Row],[Tiempo Permanencia]]-Tabla5[[#This Row],[Tiempo de Preparación ]]&gt;=0,Tabla5[[#This Row],[Tiempo Permanencia]]-Tabla5[[#This Row],[Tiempo de Preparación ]],0)</f>
        <v>6.5277777777939472E-2</v>
      </c>
      <c r="J507" s="5" t="str">
        <f>IF(Tabla5[[#This Row],[Tiempo de Degustación]]=0,"No Cobrada","Cobrada")</f>
        <v>Cobrada</v>
      </c>
      <c r="K507" s="5" cm="1">
        <f t="array" ref="K507">SUM(IF(Tabla5[[#This Row],[Orden Cobrada]]="Cobrada",IF(Cocina!A:A=Tabla5[[#This Row],[Nº Orden]],Cocina!F:F*Cocina!G:G,0),-Tabla6[[#This Row],[Precio Cena]]))</f>
        <v>155</v>
      </c>
      <c r="L507" s="5">
        <f>IF(Tabla5[[#This Row],[Orden Cobrada]]="Cobrada",Tabla5[[#This Row],[Ganancia Bruta]]-Tabla6[[#This Row],[Coste Cena]],-Tabla6[[#This Row],[Precio Cena]]+Tabla6[[#This Row],[Coste Cena]])</f>
        <v>60</v>
      </c>
      <c r="M507" s="10">
        <f>IF(Tabla5[[#This Row],[Orden Cobrada]]="Cobrada",((Tabla5[[#This Row],[Ganancia Neta]]/Tabla5[[#This Row],[Ganancia Bruta]])*100)/100,-((Tabla5[[#This Row],[Ganancia Neta]]/Tabla5[[#This Row],[Ganancia Bruta]]*100)/100))</f>
        <v>0.38709677419354838</v>
      </c>
      <c r="N507" s="5" t="str">
        <f>sala!F506</f>
        <v>Mesero_2</v>
      </c>
      <c r="AY507" cm="1">
        <f t="array" ref="AY507">SUM(IF(Cocina!A:A=Tabla5[[#This Row],[Nº Orden]],Cocina!F:F*Cocina!G:G,0))</f>
        <v>155</v>
      </c>
      <c r="AZ507" cm="1">
        <f t="array" ref="AZ507">SUM(IF(Cocina!A:A=Tabla5[[#This Row],[Nº Orden]],Cocina!E:E*Cocina!G:G,0))</f>
        <v>95</v>
      </c>
      <c r="BB507" t="str">
        <f>MID(Tabla4[[#This Row],[Cliente]], SEARCH("_", Tabla4[[#This Row],[Cliente]]) + 1, LEN(Tabla4[[#This Row],[Cliente]]) - SEARCH("_",Tabla4[[#This Row],[Cliente]]))</f>
        <v>70</v>
      </c>
      <c r="BC507" t="str">
        <f>sala!B506</f>
        <v>Cliente_70</v>
      </c>
      <c r="BD507" s="1">
        <f>sala!D506</f>
        <v>45022.109722222223</v>
      </c>
      <c r="BE507" s="1">
        <f>sala!E506</f>
        <v>45022.254861111112</v>
      </c>
      <c r="BF507">
        <f>sala!K506</f>
        <v>505</v>
      </c>
      <c r="BG507">
        <f>sala!I506</f>
        <v>2576</v>
      </c>
      <c r="BH507" cm="1">
        <f t="array" ref="BH507">SUM(IF(Cocina!A:A=Tabla4[[#This Row],[Número de Orden]],Cocina!F:F*Cocina!G:G,0))</f>
        <v>155</v>
      </c>
      <c r="BI507" t="str">
        <f>sala!J506</f>
        <v>Reservada</v>
      </c>
      <c r="BJ507" s="4" t="str">
        <f>IF(Tabla4[[#This Row],[Estado mesa]]="Ocupada","00:15","00:00")</f>
        <v>00:00</v>
      </c>
      <c r="BK507" cm="1">
        <f t="array" ref="BK507">SUM(IF(Cocina!A:A=Tabla4[[#This Row],[Número de Orden]],Cocina!H:H,0))</f>
        <v>115</v>
      </c>
    </row>
    <row r="508" spans="1:63" x14ac:dyDescent="0.3">
      <c r="A508" s="8" t="str">
        <f>MID(Tabla4[[#This Row],[Cliente]], SEARCH("_", Tabla4[[#This Row],[Cliente]]) + 1, LEN(Tabla4[[#This Row],[Cliente]]) - SEARCH("_",Tabla4[[#This Row],[Cliente]]))</f>
        <v>835</v>
      </c>
      <c r="B508">
        <f>sala!K507</f>
        <v>506</v>
      </c>
      <c r="C508">
        <f>Tabla4[[#This Row],[Propina]]+Tabla4[[#This Row],[Precio Cena]]</f>
        <v>1235</v>
      </c>
      <c r="D508" s="3">
        <f>INT(sala!E507)</f>
        <v>45022</v>
      </c>
      <c r="E508" s="4">
        <f>MOD( sala!D507,1)</f>
        <v>8.4027777775190771E-2</v>
      </c>
      <c r="F508" s="4">
        <f>MOD( sala!E507,1)</f>
        <v>0.1680555555576575</v>
      </c>
      <c r="G508" s="4">
        <f>Tabla5[[#This Row],[Hora de Salida]]-Tabla5[[#This Row],[Hora de Llegada]]+Tabla4[[#This Row],[Tiempo Extra]]</f>
        <v>9.44444444491334E-2</v>
      </c>
      <c r="H508" s="5" t="str">
        <f>TEXT(Tabla4[[#This Row],[Preparación en horas]]/1440, "h:mm")</f>
        <v>0:05</v>
      </c>
      <c r="I508" s="4">
        <f>IF(Tabla5[[#This Row],[Tiempo Permanencia]]-Tabla5[[#This Row],[Tiempo de Preparación ]]&gt;=0,Tabla5[[#This Row],[Tiempo Permanencia]]-Tabla5[[#This Row],[Tiempo de Preparación ]],0)</f>
        <v>9.0972222226911176E-2</v>
      </c>
      <c r="J508" s="5" t="str">
        <f>IF(Tabla5[[#This Row],[Tiempo de Degustación]]=0,"No Cobrada","Cobrada")</f>
        <v>Cobrada</v>
      </c>
      <c r="K508" s="5" cm="1">
        <f t="array" ref="K508">SUM(IF(Tabla5[[#This Row],[Orden Cobrada]]="Cobrada",IF(Cocina!A:A=Tabla5[[#This Row],[Nº Orden]],Cocina!F:F*Cocina!G:G,0),-Tabla6[[#This Row],[Precio Cena]]))</f>
        <v>70</v>
      </c>
      <c r="L508" s="5">
        <f>IF(Tabla5[[#This Row],[Orden Cobrada]]="Cobrada",Tabla5[[#This Row],[Ganancia Bruta]]-Tabla6[[#This Row],[Coste Cena]],-Tabla6[[#This Row],[Precio Cena]]+Tabla6[[#This Row],[Coste Cena]])</f>
        <v>28</v>
      </c>
      <c r="M508" s="10">
        <f>IF(Tabla5[[#This Row],[Orden Cobrada]]="Cobrada",((Tabla5[[#This Row],[Ganancia Neta]]/Tabla5[[#This Row],[Ganancia Bruta]])*100)/100,-((Tabla5[[#This Row],[Ganancia Neta]]/Tabla5[[#This Row],[Ganancia Bruta]]*100)/100))</f>
        <v>0.4</v>
      </c>
      <c r="N508" s="5" t="str">
        <f>sala!F507</f>
        <v>Mesero_3</v>
      </c>
      <c r="AY508" cm="1">
        <f t="array" ref="AY508">SUM(IF(Cocina!A:A=Tabla5[[#This Row],[Nº Orden]],Cocina!F:F*Cocina!G:G,0))</f>
        <v>70</v>
      </c>
      <c r="AZ508" cm="1">
        <f t="array" ref="AZ508">SUM(IF(Cocina!A:A=Tabla5[[#This Row],[Nº Orden]],Cocina!E:E*Cocina!G:G,0))</f>
        <v>42</v>
      </c>
      <c r="BB508" t="str">
        <f>MID(Tabla4[[#This Row],[Cliente]], SEARCH("_", Tabla4[[#This Row],[Cliente]]) + 1, LEN(Tabla4[[#This Row],[Cliente]]) - SEARCH("_",Tabla4[[#This Row],[Cliente]]))</f>
        <v>835</v>
      </c>
      <c r="BC508" t="str">
        <f>sala!B507</f>
        <v>Cliente_835</v>
      </c>
      <c r="BD508" s="1">
        <f>sala!D507</f>
        <v>45022.084027777775</v>
      </c>
      <c r="BE508" s="1">
        <f>sala!E507</f>
        <v>45022.168055555558</v>
      </c>
      <c r="BF508">
        <f>sala!K507</f>
        <v>506</v>
      </c>
      <c r="BG508">
        <f>sala!I507</f>
        <v>1165</v>
      </c>
      <c r="BH508" cm="1">
        <f t="array" ref="BH508">SUM(IF(Cocina!A:A=Tabla4[[#This Row],[Número de Orden]],Cocina!F:F*Cocina!G:G,0))</f>
        <v>70</v>
      </c>
      <c r="BI508" t="str">
        <f>sala!J507</f>
        <v>Ocupada</v>
      </c>
      <c r="BJ508" s="4" t="str">
        <f>IF(Tabla4[[#This Row],[Estado mesa]]="Ocupada","00:15","00:00")</f>
        <v>00:15</v>
      </c>
      <c r="BK508" cm="1">
        <f t="array" ref="BK508">SUM(IF(Cocina!A:A=Tabla4[[#This Row],[Número de Orden]],Cocina!H:H,0))</f>
        <v>5</v>
      </c>
    </row>
    <row r="509" spans="1:63" x14ac:dyDescent="0.3">
      <c r="A509" s="8" t="str">
        <f>MID(Tabla4[[#This Row],[Cliente]], SEARCH("_", Tabla4[[#This Row],[Cliente]]) + 1, LEN(Tabla4[[#This Row],[Cliente]]) - SEARCH("_",Tabla4[[#This Row],[Cliente]]))</f>
        <v>989</v>
      </c>
      <c r="B509">
        <f>sala!K508</f>
        <v>507</v>
      </c>
      <c r="C509">
        <f>Tabla4[[#This Row],[Propina]]+Tabla4[[#This Row],[Precio Cena]]</f>
        <v>4552</v>
      </c>
      <c r="D509" s="3">
        <f>INT(sala!E508)</f>
        <v>45022</v>
      </c>
      <c r="E509" s="4">
        <f>MOD( sala!D508,1)</f>
        <v>0.14305555555620231</v>
      </c>
      <c r="F509" s="4">
        <f>MOD( sala!E508,1)</f>
        <v>0.1875</v>
      </c>
      <c r="G509" s="4">
        <f>Tabla5[[#This Row],[Hora de Salida]]-Tabla5[[#This Row],[Hora de Llegada]]+Tabla4[[#This Row],[Tiempo Extra]]</f>
        <v>4.4444444443797693E-2</v>
      </c>
      <c r="H509" s="5" t="str">
        <f>TEXT(Tabla4[[#This Row],[Preparación en horas]]/1440, "h:mm")</f>
        <v>1:09</v>
      </c>
      <c r="I509" s="4">
        <f>IF(Tabla5[[#This Row],[Tiempo Permanencia]]-Tabla5[[#This Row],[Tiempo de Preparación ]]&gt;=0,Tabla5[[#This Row],[Tiempo Permanencia]]-Tabla5[[#This Row],[Tiempo de Preparación ]],0)</f>
        <v>0</v>
      </c>
      <c r="J509" s="5" t="str">
        <f>IF(Tabla5[[#This Row],[Tiempo de Degustación]]=0,"No Cobrada","Cobrada")</f>
        <v>No Cobrada</v>
      </c>
      <c r="K509" s="5" cm="1">
        <f t="array" ref="K509">SUM(IF(Tabla5[[#This Row],[Orden Cobrada]]="Cobrada",IF(Cocina!A:A=Tabla5[[#This Row],[Nº Orden]],Cocina!F:F*Cocina!G:G,0),-Tabla6[[#This Row],[Precio Cena]]))</f>
        <v>-210</v>
      </c>
      <c r="L509" s="5">
        <f>IF(Tabla5[[#This Row],[Orden Cobrada]]="Cobrada",Tabla5[[#This Row],[Ganancia Bruta]]-Tabla6[[#This Row],[Coste Cena]],-Tabla6[[#This Row],[Precio Cena]]+Tabla6[[#This Row],[Coste Cena]])</f>
        <v>-84</v>
      </c>
      <c r="M509" s="10">
        <f>IF(Tabla5[[#This Row],[Orden Cobrada]]="Cobrada",((Tabla5[[#This Row],[Ganancia Neta]]/Tabla5[[#This Row],[Ganancia Bruta]])*100)/100,-((Tabla5[[#This Row],[Ganancia Neta]]/Tabla5[[#This Row],[Ganancia Bruta]]*100)/100))</f>
        <v>-0.4</v>
      </c>
      <c r="N509" s="5" t="str">
        <f>sala!F508</f>
        <v>Mesero_2</v>
      </c>
      <c r="AY509" cm="1">
        <f t="array" ref="AY509">SUM(IF(Cocina!A:A=Tabla5[[#This Row],[Nº Orden]],Cocina!F:F*Cocina!G:G,0))</f>
        <v>210</v>
      </c>
      <c r="AZ509" cm="1">
        <f t="array" ref="AZ509">SUM(IF(Cocina!A:A=Tabla5[[#This Row],[Nº Orden]],Cocina!E:E*Cocina!G:G,0))</f>
        <v>126</v>
      </c>
      <c r="BB509" t="str">
        <f>MID(Tabla4[[#This Row],[Cliente]], SEARCH("_", Tabla4[[#This Row],[Cliente]]) + 1, LEN(Tabla4[[#This Row],[Cliente]]) - SEARCH("_",Tabla4[[#This Row],[Cliente]]))</f>
        <v>989</v>
      </c>
      <c r="BC509" t="str">
        <f>sala!B508</f>
        <v>Cliente_989</v>
      </c>
      <c r="BD509" s="1">
        <f>sala!D508</f>
        <v>45022.143055555556</v>
      </c>
      <c r="BE509" s="1">
        <f>sala!E508</f>
        <v>45022.1875</v>
      </c>
      <c r="BF509">
        <f>sala!K508</f>
        <v>507</v>
      </c>
      <c r="BG509">
        <f>sala!I508</f>
        <v>4342</v>
      </c>
      <c r="BH509" cm="1">
        <f t="array" ref="BH509">SUM(IF(Cocina!A:A=Tabla4[[#This Row],[Número de Orden]],Cocina!F:F*Cocina!G:G,0))</f>
        <v>210</v>
      </c>
      <c r="BI509" t="str">
        <f>sala!J508</f>
        <v>Libre</v>
      </c>
      <c r="BJ509" s="4" t="str">
        <f>IF(Tabla4[[#This Row],[Estado mesa]]="Ocupada","00:15","00:00")</f>
        <v>00:00</v>
      </c>
      <c r="BK509" cm="1">
        <f t="array" ref="BK509">SUM(IF(Cocina!A:A=Tabla4[[#This Row],[Número de Orden]],Cocina!H:H,0))</f>
        <v>69</v>
      </c>
    </row>
    <row r="510" spans="1:63" x14ac:dyDescent="0.3">
      <c r="A510" s="8" t="str">
        <f>MID(Tabla4[[#This Row],[Cliente]], SEARCH("_", Tabla4[[#This Row],[Cliente]]) + 1, LEN(Tabla4[[#This Row],[Cliente]]) - SEARCH("_",Tabla4[[#This Row],[Cliente]]))</f>
        <v>821</v>
      </c>
      <c r="B510">
        <f>sala!K509</f>
        <v>508</v>
      </c>
      <c r="C510">
        <f>Tabla4[[#This Row],[Propina]]+Tabla4[[#This Row],[Precio Cena]]</f>
        <v>460</v>
      </c>
      <c r="D510" s="3">
        <f>INT(sala!E509)</f>
        <v>45022</v>
      </c>
      <c r="E510" s="4">
        <f>MOD( sala!D509,1)</f>
        <v>0.11805555555474712</v>
      </c>
      <c r="F510" s="4">
        <f>MOD( sala!E509,1)</f>
        <v>0.27430555555474712</v>
      </c>
      <c r="G510" s="4">
        <f>Tabla5[[#This Row],[Hora de Salida]]-Tabla5[[#This Row],[Hora de Llegada]]+Tabla4[[#This Row],[Tiempo Extra]]</f>
        <v>0.15625</v>
      </c>
      <c r="H510" s="5" t="str">
        <f>TEXT(Tabla4[[#This Row],[Preparación en horas]]/1440, "h:mm")</f>
        <v>0:34</v>
      </c>
      <c r="I510" s="4">
        <f>IF(Tabla5[[#This Row],[Tiempo Permanencia]]-Tabla5[[#This Row],[Tiempo de Preparación ]]&gt;=0,Tabla5[[#This Row],[Tiempo Permanencia]]-Tabla5[[#This Row],[Tiempo de Preparación ]],0)</f>
        <v>0.13263888888888889</v>
      </c>
      <c r="J510" s="5" t="str">
        <f>IF(Tabla5[[#This Row],[Tiempo de Degustación]]=0,"No Cobrada","Cobrada")</f>
        <v>Cobrada</v>
      </c>
      <c r="K510" s="5" cm="1">
        <f t="array" ref="K510">SUM(IF(Tabla5[[#This Row],[Orden Cobrada]]="Cobrada",IF(Cocina!A:A=Tabla5[[#This Row],[Nº Orden]],Cocina!F:F*Cocina!G:G,0),-Tabla6[[#This Row],[Precio Cena]]))</f>
        <v>32</v>
      </c>
      <c r="L510" s="5">
        <f>IF(Tabla5[[#This Row],[Orden Cobrada]]="Cobrada",Tabla5[[#This Row],[Ganancia Bruta]]-Tabla6[[#This Row],[Coste Cena]],-Tabla6[[#This Row],[Precio Cena]]+Tabla6[[#This Row],[Coste Cena]])</f>
        <v>13</v>
      </c>
      <c r="M510" s="10">
        <f>IF(Tabla5[[#This Row],[Orden Cobrada]]="Cobrada",((Tabla5[[#This Row],[Ganancia Neta]]/Tabla5[[#This Row],[Ganancia Bruta]])*100)/100,-((Tabla5[[#This Row],[Ganancia Neta]]/Tabla5[[#This Row],[Ganancia Bruta]]*100)/100))</f>
        <v>0.40625</v>
      </c>
      <c r="N510" s="5" t="str">
        <f>sala!F509</f>
        <v>Mesero_5</v>
      </c>
      <c r="AY510" cm="1">
        <f t="array" ref="AY510">SUM(IF(Cocina!A:A=Tabla5[[#This Row],[Nº Orden]],Cocina!F:F*Cocina!G:G,0))</f>
        <v>32</v>
      </c>
      <c r="AZ510" cm="1">
        <f t="array" ref="AZ510">SUM(IF(Cocina!A:A=Tabla5[[#This Row],[Nº Orden]],Cocina!E:E*Cocina!G:G,0))</f>
        <v>19</v>
      </c>
      <c r="BB510" t="str">
        <f>MID(Tabla4[[#This Row],[Cliente]], SEARCH("_", Tabla4[[#This Row],[Cliente]]) + 1, LEN(Tabla4[[#This Row],[Cliente]]) - SEARCH("_",Tabla4[[#This Row],[Cliente]]))</f>
        <v>821</v>
      </c>
      <c r="BC510" t="str">
        <f>sala!B509</f>
        <v>Cliente_821</v>
      </c>
      <c r="BD510" s="1">
        <f>sala!D509</f>
        <v>45022.118055555555</v>
      </c>
      <c r="BE510" s="1">
        <f>sala!E509</f>
        <v>45022.274305555555</v>
      </c>
      <c r="BF510">
        <f>sala!K509</f>
        <v>508</v>
      </c>
      <c r="BG510">
        <f>sala!I509</f>
        <v>428</v>
      </c>
      <c r="BH510" cm="1">
        <f t="array" ref="BH510">SUM(IF(Cocina!A:A=Tabla4[[#This Row],[Número de Orden]],Cocina!F:F*Cocina!G:G,0))</f>
        <v>32</v>
      </c>
      <c r="BI510" t="str">
        <f>sala!J509</f>
        <v>Reservada</v>
      </c>
      <c r="BJ510" s="4" t="str">
        <f>IF(Tabla4[[#This Row],[Estado mesa]]="Ocupada","00:15","00:00")</f>
        <v>00:00</v>
      </c>
      <c r="BK510" cm="1">
        <f t="array" ref="BK510">SUM(IF(Cocina!A:A=Tabla4[[#This Row],[Número de Orden]],Cocina!H:H,0))</f>
        <v>34</v>
      </c>
    </row>
    <row r="511" spans="1:63" x14ac:dyDescent="0.3">
      <c r="A511" s="8" t="str">
        <f>MID(Tabla4[[#This Row],[Cliente]], SEARCH("_", Tabla4[[#This Row],[Cliente]]) + 1, LEN(Tabla4[[#This Row],[Cliente]]) - SEARCH("_",Tabla4[[#This Row],[Cliente]]))</f>
        <v>977</v>
      </c>
      <c r="B511">
        <f>sala!K510</f>
        <v>509</v>
      </c>
      <c r="C511">
        <f>Tabla4[[#This Row],[Propina]]+Tabla4[[#This Row],[Precio Cena]]</f>
        <v>1706</v>
      </c>
      <c r="D511" s="3">
        <f>INT(sala!E510)</f>
        <v>45022</v>
      </c>
      <c r="E511" s="4">
        <f>MOD( sala!D510,1)</f>
        <v>0.13333333333139308</v>
      </c>
      <c r="F511" s="4">
        <f>MOD( sala!E510,1)</f>
        <v>0.25138888888614019</v>
      </c>
      <c r="G511" s="4">
        <f>Tabla5[[#This Row],[Hora de Salida]]-Tabla5[[#This Row],[Hora de Llegada]]+Tabla4[[#This Row],[Tiempo Extra]]</f>
        <v>0.12847222222141377</v>
      </c>
      <c r="H511" s="5" t="str">
        <f>TEXT(Tabla4[[#This Row],[Preparación en horas]]/1440, "h:mm")</f>
        <v>0:47</v>
      </c>
      <c r="I511" s="4">
        <f>IF(Tabla5[[#This Row],[Tiempo Permanencia]]-Tabla5[[#This Row],[Tiempo de Preparación ]]&gt;=0,Tabla5[[#This Row],[Tiempo Permanencia]]-Tabla5[[#This Row],[Tiempo de Preparación ]],0)</f>
        <v>9.5833333332524889E-2</v>
      </c>
      <c r="J511" s="5" t="str">
        <f>IF(Tabla5[[#This Row],[Tiempo de Degustación]]=0,"No Cobrada","Cobrada")</f>
        <v>Cobrada</v>
      </c>
      <c r="K511" s="5" cm="1">
        <f t="array" ref="K511">SUM(IF(Tabla5[[#This Row],[Orden Cobrada]]="Cobrada",IF(Cocina!A:A=Tabla5[[#This Row],[Nº Orden]],Cocina!F:F*Cocina!G:G,0),-Tabla6[[#This Row],[Precio Cena]]))</f>
        <v>80</v>
      </c>
      <c r="L511" s="5">
        <f>IF(Tabla5[[#This Row],[Orden Cobrada]]="Cobrada",Tabla5[[#This Row],[Ganancia Bruta]]-Tabla6[[#This Row],[Coste Cena]],-Tabla6[[#This Row],[Precio Cena]]+Tabla6[[#This Row],[Coste Cena]])</f>
        <v>30</v>
      </c>
      <c r="M511" s="10">
        <f>IF(Tabla5[[#This Row],[Orden Cobrada]]="Cobrada",((Tabla5[[#This Row],[Ganancia Neta]]/Tabla5[[#This Row],[Ganancia Bruta]])*100)/100,-((Tabla5[[#This Row],[Ganancia Neta]]/Tabla5[[#This Row],[Ganancia Bruta]]*100)/100))</f>
        <v>0.375</v>
      </c>
      <c r="N511" s="5" t="str">
        <f>sala!F510</f>
        <v>Mesero_1</v>
      </c>
      <c r="AY511" cm="1">
        <f t="array" ref="AY511">SUM(IF(Cocina!A:A=Tabla5[[#This Row],[Nº Orden]],Cocina!F:F*Cocina!G:G,0))</f>
        <v>80</v>
      </c>
      <c r="AZ511" cm="1">
        <f t="array" ref="AZ511">SUM(IF(Cocina!A:A=Tabla5[[#This Row],[Nº Orden]],Cocina!E:E*Cocina!G:G,0))</f>
        <v>50</v>
      </c>
      <c r="BB511" t="str">
        <f>MID(Tabla4[[#This Row],[Cliente]], SEARCH("_", Tabla4[[#This Row],[Cliente]]) + 1, LEN(Tabla4[[#This Row],[Cliente]]) - SEARCH("_",Tabla4[[#This Row],[Cliente]]))</f>
        <v>977</v>
      </c>
      <c r="BC511" t="str">
        <f>sala!B510</f>
        <v>Cliente_977</v>
      </c>
      <c r="BD511" s="1">
        <f>sala!D510</f>
        <v>45022.133333333331</v>
      </c>
      <c r="BE511" s="1">
        <f>sala!E510</f>
        <v>45022.251388888886</v>
      </c>
      <c r="BF511">
        <f>sala!K510</f>
        <v>509</v>
      </c>
      <c r="BG511">
        <f>sala!I510</f>
        <v>1626</v>
      </c>
      <c r="BH511" cm="1">
        <f t="array" ref="BH511">SUM(IF(Cocina!A:A=Tabla4[[#This Row],[Número de Orden]],Cocina!F:F*Cocina!G:G,0))</f>
        <v>80</v>
      </c>
      <c r="BI511" t="str">
        <f>sala!J510</f>
        <v>Ocupada</v>
      </c>
      <c r="BJ511" s="4" t="str">
        <f>IF(Tabla4[[#This Row],[Estado mesa]]="Ocupada","00:15","00:00")</f>
        <v>00:15</v>
      </c>
      <c r="BK511" cm="1">
        <f t="array" ref="BK511">SUM(IF(Cocina!A:A=Tabla4[[#This Row],[Número de Orden]],Cocina!H:H,0))</f>
        <v>47</v>
      </c>
    </row>
    <row r="512" spans="1:63" x14ac:dyDescent="0.3">
      <c r="A512" s="8" t="str">
        <f>MID(Tabla4[[#This Row],[Cliente]], SEARCH("_", Tabla4[[#This Row],[Cliente]]) + 1, LEN(Tabla4[[#This Row],[Cliente]]) - SEARCH("_",Tabla4[[#This Row],[Cliente]]))</f>
        <v>509</v>
      </c>
      <c r="B512">
        <f>sala!K511</f>
        <v>510</v>
      </c>
      <c r="C512">
        <f>Tabla4[[#This Row],[Propina]]+Tabla4[[#This Row],[Precio Cena]]</f>
        <v>1533</v>
      </c>
      <c r="D512" s="3">
        <f>INT(sala!E511)</f>
        <v>45022</v>
      </c>
      <c r="E512" s="4">
        <f>MOD( sala!D511,1)</f>
        <v>0.14722222222189885</v>
      </c>
      <c r="F512" s="4">
        <f>MOD( sala!E511,1)</f>
        <v>0.18958333333284827</v>
      </c>
      <c r="G512" s="4">
        <f>Tabla5[[#This Row],[Hora de Salida]]-Tabla5[[#This Row],[Hora de Llegada]]+Tabla4[[#This Row],[Tiempo Extra]]</f>
        <v>4.2361111110949423E-2</v>
      </c>
      <c r="H512" s="5" t="str">
        <f>TEXT(Tabla4[[#This Row],[Preparación en horas]]/1440, "h:mm")</f>
        <v>0:48</v>
      </c>
      <c r="I512" s="4">
        <f>IF(Tabla5[[#This Row],[Tiempo Permanencia]]-Tabla5[[#This Row],[Tiempo de Preparación ]]&gt;=0,Tabla5[[#This Row],[Tiempo Permanencia]]-Tabla5[[#This Row],[Tiempo de Preparación ]],0)</f>
        <v>9.0277777776160903E-3</v>
      </c>
      <c r="J512" s="5" t="str">
        <f>IF(Tabla5[[#This Row],[Tiempo de Degustación]]=0,"No Cobrada","Cobrada")</f>
        <v>Cobrada</v>
      </c>
      <c r="K512" s="5" cm="1">
        <f t="array" ref="K512">SUM(IF(Tabla5[[#This Row],[Orden Cobrada]]="Cobrada",IF(Cocina!A:A=Tabla5[[#This Row],[Nº Orden]],Cocina!F:F*Cocina!G:G,0),-Tabla6[[#This Row],[Precio Cena]]))</f>
        <v>36</v>
      </c>
      <c r="L512" s="5">
        <f>IF(Tabla5[[#This Row],[Orden Cobrada]]="Cobrada",Tabla5[[#This Row],[Ganancia Bruta]]-Tabla6[[#This Row],[Coste Cena]],-Tabla6[[#This Row],[Precio Cena]]+Tabla6[[#This Row],[Coste Cena]])</f>
        <v>14</v>
      </c>
      <c r="M512" s="10">
        <f>IF(Tabla5[[#This Row],[Orden Cobrada]]="Cobrada",((Tabla5[[#This Row],[Ganancia Neta]]/Tabla5[[#This Row],[Ganancia Bruta]])*100)/100,-((Tabla5[[#This Row],[Ganancia Neta]]/Tabla5[[#This Row],[Ganancia Bruta]]*100)/100))</f>
        <v>0.38888888888888895</v>
      </c>
      <c r="N512" s="5" t="str">
        <f>sala!F511</f>
        <v>Mesero_4</v>
      </c>
      <c r="AY512" cm="1">
        <f t="array" ref="AY512">SUM(IF(Cocina!A:A=Tabla5[[#This Row],[Nº Orden]],Cocina!F:F*Cocina!G:G,0))</f>
        <v>36</v>
      </c>
      <c r="AZ512" cm="1">
        <f t="array" ref="AZ512">SUM(IF(Cocina!A:A=Tabla5[[#This Row],[Nº Orden]],Cocina!E:E*Cocina!G:G,0))</f>
        <v>22</v>
      </c>
      <c r="BB512" t="str">
        <f>MID(Tabla4[[#This Row],[Cliente]], SEARCH("_", Tabla4[[#This Row],[Cliente]]) + 1, LEN(Tabla4[[#This Row],[Cliente]]) - SEARCH("_",Tabla4[[#This Row],[Cliente]]))</f>
        <v>509</v>
      </c>
      <c r="BC512" t="str">
        <f>sala!B511</f>
        <v>Cliente_509</v>
      </c>
      <c r="BD512" s="1">
        <f>sala!D511</f>
        <v>45022.147222222222</v>
      </c>
      <c r="BE512" s="1">
        <f>sala!E511</f>
        <v>45022.189583333333</v>
      </c>
      <c r="BF512">
        <f>sala!K511</f>
        <v>510</v>
      </c>
      <c r="BG512">
        <f>sala!I511</f>
        <v>1497</v>
      </c>
      <c r="BH512" cm="1">
        <f t="array" ref="BH512">SUM(IF(Cocina!A:A=Tabla4[[#This Row],[Número de Orden]],Cocina!F:F*Cocina!G:G,0))</f>
        <v>36</v>
      </c>
      <c r="BI512" t="str">
        <f>sala!J511</f>
        <v>Libre</v>
      </c>
      <c r="BJ512" s="4" t="str">
        <f>IF(Tabla4[[#This Row],[Estado mesa]]="Ocupada","00:15","00:00")</f>
        <v>00:00</v>
      </c>
      <c r="BK512" cm="1">
        <f t="array" ref="BK512">SUM(IF(Cocina!A:A=Tabla4[[#This Row],[Número de Orden]],Cocina!H:H,0))</f>
        <v>48</v>
      </c>
    </row>
    <row r="513" spans="1:63" x14ac:dyDescent="0.3">
      <c r="A513" s="8" t="str">
        <f>MID(Tabla4[[#This Row],[Cliente]], SEARCH("_", Tabla4[[#This Row],[Cliente]]) + 1, LEN(Tabla4[[#This Row],[Cliente]]) - SEARCH("_",Tabla4[[#This Row],[Cliente]]))</f>
        <v>951</v>
      </c>
      <c r="B513">
        <f>sala!K512</f>
        <v>511</v>
      </c>
      <c r="C513">
        <f>Tabla4[[#This Row],[Propina]]+Tabla4[[#This Row],[Precio Cena]]</f>
        <v>3732</v>
      </c>
      <c r="D513" s="3">
        <f>INT(sala!E512)</f>
        <v>45022</v>
      </c>
      <c r="E513" s="4">
        <f>MOD( sala!D512,1)</f>
        <v>6.805555555911269E-2</v>
      </c>
      <c r="F513" s="4">
        <f>MOD( sala!E512,1)</f>
        <v>0.14097222222335404</v>
      </c>
      <c r="G513" s="4">
        <f>Tabla5[[#This Row],[Hora de Salida]]-Tabla5[[#This Row],[Hora de Llegada]]+Tabla4[[#This Row],[Tiempo Extra]]</f>
        <v>7.2916666664241347E-2</v>
      </c>
      <c r="H513" s="5" t="str">
        <f>TEXT(Tabla4[[#This Row],[Preparación en horas]]/1440, "h:mm")</f>
        <v>0:38</v>
      </c>
      <c r="I513" s="4">
        <f>IF(Tabla5[[#This Row],[Tiempo Permanencia]]-Tabla5[[#This Row],[Tiempo de Preparación ]]&gt;=0,Tabla5[[#This Row],[Tiempo Permanencia]]-Tabla5[[#This Row],[Tiempo de Preparación ]],0)</f>
        <v>4.6527777775352455E-2</v>
      </c>
      <c r="J513" s="5" t="str">
        <f>IF(Tabla5[[#This Row],[Tiempo de Degustación]]=0,"No Cobrada","Cobrada")</f>
        <v>Cobrada</v>
      </c>
      <c r="K513" s="5" cm="1">
        <f t="array" ref="K513">SUM(IF(Tabla5[[#This Row],[Orden Cobrada]]="Cobrada",IF(Cocina!A:A=Tabla5[[#This Row],[Nº Orden]],Cocina!F:F*Cocina!G:G,0),-Tabla6[[#This Row],[Precio Cena]]))</f>
        <v>137</v>
      </c>
      <c r="L513" s="5">
        <f>IF(Tabla5[[#This Row],[Orden Cobrada]]="Cobrada",Tabla5[[#This Row],[Ganancia Bruta]]-Tabla6[[#This Row],[Coste Cena]],-Tabla6[[#This Row],[Precio Cena]]+Tabla6[[#This Row],[Coste Cena]])</f>
        <v>55</v>
      </c>
      <c r="M513" s="10">
        <f>IF(Tabla5[[#This Row],[Orden Cobrada]]="Cobrada",((Tabla5[[#This Row],[Ganancia Neta]]/Tabla5[[#This Row],[Ganancia Bruta]])*100)/100,-((Tabla5[[#This Row],[Ganancia Neta]]/Tabla5[[#This Row],[Ganancia Bruta]]*100)/100))</f>
        <v>0.40145985401459855</v>
      </c>
      <c r="N513" s="5" t="str">
        <f>sala!F512</f>
        <v>Mesero_1</v>
      </c>
      <c r="AY513" cm="1">
        <f t="array" ref="AY513">SUM(IF(Cocina!A:A=Tabla5[[#This Row],[Nº Orden]],Cocina!F:F*Cocina!G:G,0))</f>
        <v>137</v>
      </c>
      <c r="AZ513" cm="1">
        <f t="array" ref="AZ513">SUM(IF(Cocina!A:A=Tabla5[[#This Row],[Nº Orden]],Cocina!E:E*Cocina!G:G,0))</f>
        <v>82</v>
      </c>
      <c r="BB513" t="str">
        <f>MID(Tabla4[[#This Row],[Cliente]], SEARCH("_", Tabla4[[#This Row],[Cliente]]) + 1, LEN(Tabla4[[#This Row],[Cliente]]) - SEARCH("_",Tabla4[[#This Row],[Cliente]]))</f>
        <v>951</v>
      </c>
      <c r="BC513" t="str">
        <f>sala!B512</f>
        <v>Cliente_951</v>
      </c>
      <c r="BD513" s="1">
        <f>sala!D512</f>
        <v>45022.068055555559</v>
      </c>
      <c r="BE513" s="1">
        <f>sala!E512</f>
        <v>45022.140972222223</v>
      </c>
      <c r="BF513">
        <f>sala!K512</f>
        <v>511</v>
      </c>
      <c r="BG513">
        <f>sala!I512</f>
        <v>3595</v>
      </c>
      <c r="BH513" cm="1">
        <f t="array" ref="BH513">SUM(IF(Cocina!A:A=Tabla4[[#This Row],[Número de Orden]],Cocina!F:F*Cocina!G:G,0))</f>
        <v>137</v>
      </c>
      <c r="BI513" t="str">
        <f>sala!J512</f>
        <v>Libre</v>
      </c>
      <c r="BJ513" s="4" t="str">
        <f>IF(Tabla4[[#This Row],[Estado mesa]]="Ocupada","00:15","00:00")</f>
        <v>00:00</v>
      </c>
      <c r="BK513" cm="1">
        <f t="array" ref="BK513">SUM(IF(Cocina!A:A=Tabla4[[#This Row],[Número de Orden]],Cocina!H:H,0))</f>
        <v>38</v>
      </c>
    </row>
    <row r="514" spans="1:63" x14ac:dyDescent="0.3">
      <c r="A514" s="8" t="str">
        <f>MID(Tabla4[[#This Row],[Cliente]], SEARCH("_", Tabla4[[#This Row],[Cliente]]) + 1, LEN(Tabla4[[#This Row],[Cliente]]) - SEARCH("_",Tabla4[[#This Row],[Cliente]]))</f>
        <v>285</v>
      </c>
      <c r="B514">
        <f>sala!K513</f>
        <v>512</v>
      </c>
      <c r="C514">
        <f>Tabla4[[#This Row],[Propina]]+Tabla4[[#This Row],[Precio Cena]]</f>
        <v>3865</v>
      </c>
      <c r="D514" s="3">
        <f>INT(sala!E513)</f>
        <v>45022</v>
      </c>
      <c r="E514" s="4">
        <f>MOD( sala!D513,1)</f>
        <v>5.486111110803904E-2</v>
      </c>
      <c r="F514" s="4">
        <f>MOD( sala!E513,1)</f>
        <v>0.10138888889196096</v>
      </c>
      <c r="G514" s="4">
        <f>Tabla5[[#This Row],[Hora de Salida]]-Tabla5[[#This Row],[Hora de Llegada]]+Tabla4[[#This Row],[Tiempo Extra]]</f>
        <v>5.6944444450588584E-2</v>
      </c>
      <c r="H514" s="5" t="str">
        <f>TEXT(Tabla4[[#This Row],[Preparación en horas]]/1440, "h:mm")</f>
        <v>0:59</v>
      </c>
      <c r="I514" s="4">
        <f>IF(Tabla5[[#This Row],[Tiempo Permanencia]]-Tabla5[[#This Row],[Tiempo de Preparación ]]&gt;=0,Tabla5[[#This Row],[Tiempo Permanencia]]-Tabla5[[#This Row],[Tiempo de Preparación ]],0)</f>
        <v>1.5972222228366362E-2</v>
      </c>
      <c r="J514" s="5" t="str">
        <f>IF(Tabla5[[#This Row],[Tiempo de Degustación]]=0,"No Cobrada","Cobrada")</f>
        <v>Cobrada</v>
      </c>
      <c r="K514" s="5" cm="1">
        <f t="array" ref="K514">SUM(IF(Tabla5[[#This Row],[Orden Cobrada]]="Cobrada",IF(Cocina!A:A=Tabla5[[#This Row],[Nº Orden]],Cocina!F:F*Cocina!G:G,0),-Tabla6[[#This Row],[Precio Cena]]))</f>
        <v>128</v>
      </c>
      <c r="L514" s="5">
        <f>IF(Tabla5[[#This Row],[Orden Cobrada]]="Cobrada",Tabla5[[#This Row],[Ganancia Bruta]]-Tabla6[[#This Row],[Coste Cena]],-Tabla6[[#This Row],[Precio Cena]]+Tabla6[[#This Row],[Coste Cena]])</f>
        <v>50</v>
      </c>
      <c r="M514" s="10">
        <f>IF(Tabla5[[#This Row],[Orden Cobrada]]="Cobrada",((Tabla5[[#This Row],[Ganancia Neta]]/Tabla5[[#This Row],[Ganancia Bruta]])*100)/100,-((Tabla5[[#This Row],[Ganancia Neta]]/Tabla5[[#This Row],[Ganancia Bruta]]*100)/100))</f>
        <v>0.390625</v>
      </c>
      <c r="N514" s="5" t="str">
        <f>sala!F513</f>
        <v>Mesero_5</v>
      </c>
      <c r="AY514" cm="1">
        <f t="array" ref="AY514">SUM(IF(Cocina!A:A=Tabla5[[#This Row],[Nº Orden]],Cocina!F:F*Cocina!G:G,0))</f>
        <v>128</v>
      </c>
      <c r="AZ514" cm="1">
        <f t="array" ref="AZ514">SUM(IF(Cocina!A:A=Tabla5[[#This Row],[Nº Orden]],Cocina!E:E*Cocina!G:G,0))</f>
        <v>78</v>
      </c>
      <c r="BB514" t="str">
        <f>MID(Tabla4[[#This Row],[Cliente]], SEARCH("_", Tabla4[[#This Row],[Cliente]]) + 1, LEN(Tabla4[[#This Row],[Cliente]]) - SEARCH("_",Tabla4[[#This Row],[Cliente]]))</f>
        <v>285</v>
      </c>
      <c r="BC514" t="str">
        <f>sala!B513</f>
        <v>Cliente_285</v>
      </c>
      <c r="BD514" s="1">
        <f>sala!D513</f>
        <v>45022.054861111108</v>
      </c>
      <c r="BE514" s="1">
        <f>sala!E513</f>
        <v>45022.101388888892</v>
      </c>
      <c r="BF514">
        <f>sala!K513</f>
        <v>512</v>
      </c>
      <c r="BG514">
        <f>sala!I513</f>
        <v>3737</v>
      </c>
      <c r="BH514" cm="1">
        <f t="array" ref="BH514">SUM(IF(Cocina!A:A=Tabla4[[#This Row],[Número de Orden]],Cocina!F:F*Cocina!G:G,0))</f>
        <v>128</v>
      </c>
      <c r="BI514" t="str">
        <f>sala!J513</f>
        <v>Ocupada</v>
      </c>
      <c r="BJ514" s="4" t="str">
        <f>IF(Tabla4[[#This Row],[Estado mesa]]="Ocupada","00:15","00:00")</f>
        <v>00:15</v>
      </c>
      <c r="BK514" cm="1">
        <f t="array" ref="BK514">SUM(IF(Cocina!A:A=Tabla4[[#This Row],[Número de Orden]],Cocina!H:H,0))</f>
        <v>59</v>
      </c>
    </row>
    <row r="515" spans="1:63" x14ac:dyDescent="0.3">
      <c r="A515" s="8" t="str">
        <f>MID(Tabla4[[#This Row],[Cliente]], SEARCH("_", Tabla4[[#This Row],[Cliente]]) + 1, LEN(Tabla4[[#This Row],[Cliente]]) - SEARCH("_",Tabla4[[#This Row],[Cliente]]))</f>
        <v>873</v>
      </c>
      <c r="B515">
        <f>sala!K514</f>
        <v>513</v>
      </c>
      <c r="C515">
        <f>Tabla4[[#This Row],[Propina]]+Tabla4[[#This Row],[Precio Cena]]</f>
        <v>2328</v>
      </c>
      <c r="D515" s="3">
        <f>INT(sala!E514)</f>
        <v>45022</v>
      </c>
      <c r="E515" s="4">
        <f>MOD( sala!D514,1)</f>
        <v>6.1111111113859806E-2</v>
      </c>
      <c r="F515" s="4">
        <f>MOD( sala!E514,1)</f>
        <v>0.20208333332993789</v>
      </c>
      <c r="G515" s="4">
        <f>Tabla5[[#This Row],[Hora de Salida]]-Tabla5[[#This Row],[Hora de Llegada]]+Tabla4[[#This Row],[Tiempo Extra]]</f>
        <v>0.15138888888274474</v>
      </c>
      <c r="H515" s="5" t="str">
        <f>TEXT(Tabla4[[#This Row],[Preparación en horas]]/1440, "h:mm")</f>
        <v>0:56</v>
      </c>
      <c r="I515" s="4">
        <f>IF(Tabla5[[#This Row],[Tiempo Permanencia]]-Tabla5[[#This Row],[Tiempo de Preparación ]]&gt;=0,Tabla5[[#This Row],[Tiempo Permanencia]]-Tabla5[[#This Row],[Tiempo de Preparación ]],0)</f>
        <v>0.11249999999385585</v>
      </c>
      <c r="J515" s="5" t="str">
        <f>IF(Tabla5[[#This Row],[Tiempo de Degustación]]=0,"No Cobrada","Cobrada")</f>
        <v>Cobrada</v>
      </c>
      <c r="K515" s="5" cm="1">
        <f t="array" ref="K515">SUM(IF(Tabla5[[#This Row],[Orden Cobrada]]="Cobrada",IF(Cocina!A:A=Tabla5[[#This Row],[Nº Orden]],Cocina!F:F*Cocina!G:G,0),-Tabla6[[#This Row],[Precio Cena]]))</f>
        <v>54</v>
      </c>
      <c r="L515" s="5">
        <f>IF(Tabla5[[#This Row],[Orden Cobrada]]="Cobrada",Tabla5[[#This Row],[Ganancia Bruta]]-Tabla6[[#This Row],[Coste Cena]],-Tabla6[[#This Row],[Precio Cena]]+Tabla6[[#This Row],[Coste Cena]])</f>
        <v>24</v>
      </c>
      <c r="M515" s="10">
        <f>IF(Tabla5[[#This Row],[Orden Cobrada]]="Cobrada",((Tabla5[[#This Row],[Ganancia Neta]]/Tabla5[[#This Row],[Ganancia Bruta]])*100)/100,-((Tabla5[[#This Row],[Ganancia Neta]]/Tabla5[[#This Row],[Ganancia Bruta]]*100)/100))</f>
        <v>0.44444444444444442</v>
      </c>
      <c r="N515" s="5" t="str">
        <f>sala!F514</f>
        <v>Mesero_3</v>
      </c>
      <c r="AY515" cm="1">
        <f t="array" ref="AY515">SUM(IF(Cocina!A:A=Tabla5[[#This Row],[Nº Orden]],Cocina!F:F*Cocina!G:G,0))</f>
        <v>54</v>
      </c>
      <c r="AZ515" cm="1">
        <f t="array" ref="AZ515">SUM(IF(Cocina!A:A=Tabla5[[#This Row],[Nº Orden]],Cocina!E:E*Cocina!G:G,0))</f>
        <v>30</v>
      </c>
      <c r="BB515" t="str">
        <f>MID(Tabla4[[#This Row],[Cliente]], SEARCH("_", Tabla4[[#This Row],[Cliente]]) + 1, LEN(Tabla4[[#This Row],[Cliente]]) - SEARCH("_",Tabla4[[#This Row],[Cliente]]))</f>
        <v>873</v>
      </c>
      <c r="BC515" t="str">
        <f>sala!B514</f>
        <v>Cliente_873</v>
      </c>
      <c r="BD515" s="1">
        <f>sala!D514</f>
        <v>45022.061111111114</v>
      </c>
      <c r="BE515" s="1">
        <f>sala!E514</f>
        <v>45022.20208333333</v>
      </c>
      <c r="BF515">
        <f>sala!K514</f>
        <v>513</v>
      </c>
      <c r="BG515">
        <f>sala!I514</f>
        <v>2274</v>
      </c>
      <c r="BH515" cm="1">
        <f t="array" ref="BH515">SUM(IF(Cocina!A:A=Tabla4[[#This Row],[Número de Orden]],Cocina!F:F*Cocina!G:G,0))</f>
        <v>54</v>
      </c>
      <c r="BI515" t="str">
        <f>sala!J514</f>
        <v>Ocupada</v>
      </c>
      <c r="BJ515" s="4" t="str">
        <f>IF(Tabla4[[#This Row],[Estado mesa]]="Ocupada","00:15","00:00")</f>
        <v>00:15</v>
      </c>
      <c r="BK515" cm="1">
        <f t="array" ref="BK515">SUM(IF(Cocina!A:A=Tabla4[[#This Row],[Número de Orden]],Cocina!H:H,0))</f>
        <v>56</v>
      </c>
    </row>
    <row r="516" spans="1:63" x14ac:dyDescent="0.3">
      <c r="A516" s="8" t="str">
        <f>MID(Tabla4[[#This Row],[Cliente]], SEARCH("_", Tabla4[[#This Row],[Cliente]]) + 1, LEN(Tabla4[[#This Row],[Cliente]]) - SEARCH("_",Tabla4[[#This Row],[Cliente]]))</f>
        <v>819</v>
      </c>
      <c r="B516">
        <f>sala!K515</f>
        <v>514</v>
      </c>
      <c r="C516">
        <f>Tabla4[[#This Row],[Propina]]+Tabla4[[#This Row],[Precio Cena]]</f>
        <v>4058</v>
      </c>
      <c r="D516" s="3">
        <f>INT(sala!E515)</f>
        <v>45022</v>
      </c>
      <c r="E516" s="4">
        <f>MOD( sala!D515,1)</f>
        <v>5.486111110803904E-2</v>
      </c>
      <c r="F516" s="4">
        <f>MOD( sala!E515,1)</f>
        <v>0.19166666666569654</v>
      </c>
      <c r="G516" s="4">
        <f>Tabla5[[#This Row],[Hora de Salida]]-Tabla5[[#This Row],[Hora de Llegada]]+Tabla4[[#This Row],[Tiempo Extra]]</f>
        <v>0.1368055555576575</v>
      </c>
      <c r="H516" s="5" t="str">
        <f>TEXT(Tabla4[[#This Row],[Preparación en horas]]/1440, "h:mm")</f>
        <v>1:52</v>
      </c>
      <c r="I516" s="4">
        <f>IF(Tabla5[[#This Row],[Tiempo Permanencia]]-Tabla5[[#This Row],[Tiempo de Preparación ]]&gt;=0,Tabla5[[#This Row],[Tiempo Permanencia]]-Tabla5[[#This Row],[Tiempo de Preparación ]],0)</f>
        <v>5.902777777987972E-2</v>
      </c>
      <c r="J516" s="5" t="str">
        <f>IF(Tabla5[[#This Row],[Tiempo de Degustación]]=0,"No Cobrada","Cobrada")</f>
        <v>Cobrada</v>
      </c>
      <c r="K516" s="5" cm="1">
        <f t="array" ref="K516">SUM(IF(Tabla5[[#This Row],[Orden Cobrada]]="Cobrada",IF(Cocina!A:A=Tabla5[[#This Row],[Nº Orden]],Cocina!F:F*Cocina!G:G,0),-Tabla6[[#This Row],[Precio Cena]]))</f>
        <v>174</v>
      </c>
      <c r="L516" s="5">
        <f>IF(Tabla5[[#This Row],[Orden Cobrada]]="Cobrada",Tabla5[[#This Row],[Ganancia Bruta]]-Tabla6[[#This Row],[Coste Cena]],-Tabla6[[#This Row],[Precio Cena]]+Tabla6[[#This Row],[Coste Cena]])</f>
        <v>72</v>
      </c>
      <c r="M516" s="10">
        <f>IF(Tabla5[[#This Row],[Orden Cobrada]]="Cobrada",((Tabla5[[#This Row],[Ganancia Neta]]/Tabla5[[#This Row],[Ganancia Bruta]])*100)/100,-((Tabla5[[#This Row],[Ganancia Neta]]/Tabla5[[#This Row],[Ganancia Bruta]]*100)/100))</f>
        <v>0.41379310344827586</v>
      </c>
      <c r="N516" s="5" t="str">
        <f>sala!F515</f>
        <v>Mesero_4</v>
      </c>
      <c r="AY516" cm="1">
        <f t="array" ref="AY516">SUM(IF(Cocina!A:A=Tabla5[[#This Row],[Nº Orden]],Cocina!F:F*Cocina!G:G,0))</f>
        <v>174</v>
      </c>
      <c r="AZ516" cm="1">
        <f t="array" ref="AZ516">SUM(IF(Cocina!A:A=Tabla5[[#This Row],[Nº Orden]],Cocina!E:E*Cocina!G:G,0))</f>
        <v>102</v>
      </c>
      <c r="BB516" t="str">
        <f>MID(Tabla4[[#This Row],[Cliente]], SEARCH("_", Tabla4[[#This Row],[Cliente]]) + 1, LEN(Tabla4[[#This Row],[Cliente]]) - SEARCH("_",Tabla4[[#This Row],[Cliente]]))</f>
        <v>819</v>
      </c>
      <c r="BC516" t="str">
        <f>sala!B515</f>
        <v>Cliente_819</v>
      </c>
      <c r="BD516" s="1">
        <f>sala!D515</f>
        <v>45022.054861111108</v>
      </c>
      <c r="BE516" s="1">
        <f>sala!E515</f>
        <v>45022.191666666666</v>
      </c>
      <c r="BF516">
        <f>sala!K515</f>
        <v>514</v>
      </c>
      <c r="BG516">
        <f>sala!I515</f>
        <v>3884</v>
      </c>
      <c r="BH516" cm="1">
        <f t="array" ref="BH516">SUM(IF(Cocina!A:A=Tabla4[[#This Row],[Número de Orden]],Cocina!F:F*Cocina!G:G,0))</f>
        <v>174</v>
      </c>
      <c r="BI516" t="str">
        <f>sala!J515</f>
        <v>Libre</v>
      </c>
      <c r="BJ516" s="4" t="str">
        <f>IF(Tabla4[[#This Row],[Estado mesa]]="Ocupada","00:15","00:00")</f>
        <v>00:00</v>
      </c>
      <c r="BK516" cm="1">
        <f t="array" ref="BK516">SUM(IF(Cocina!A:A=Tabla4[[#This Row],[Número de Orden]],Cocina!H:H,0))</f>
        <v>112</v>
      </c>
    </row>
    <row r="517" spans="1:63" x14ac:dyDescent="0.3">
      <c r="A517" s="8" t="str">
        <f>MID(Tabla4[[#This Row],[Cliente]], SEARCH("_", Tabla4[[#This Row],[Cliente]]) + 1, LEN(Tabla4[[#This Row],[Cliente]]) - SEARCH("_",Tabla4[[#This Row],[Cliente]]))</f>
        <v>690</v>
      </c>
      <c r="B517">
        <f>sala!K516</f>
        <v>515</v>
      </c>
      <c r="C517">
        <f>Tabla4[[#This Row],[Propina]]+Tabla4[[#This Row],[Precio Cena]]</f>
        <v>4397</v>
      </c>
      <c r="D517" s="3">
        <f>INT(sala!E516)</f>
        <v>45022</v>
      </c>
      <c r="E517" s="4">
        <f>MOD( sala!D516,1)</f>
        <v>4.0277777778101154E-2</v>
      </c>
      <c r="F517" s="4">
        <f>MOD( sala!E516,1)</f>
        <v>8.5416666668606922E-2</v>
      </c>
      <c r="G517" s="4">
        <f>Tabla5[[#This Row],[Hora de Salida]]-Tabla5[[#This Row],[Hora de Llegada]]+Tabla4[[#This Row],[Tiempo Extra]]</f>
        <v>5.5555555557172433E-2</v>
      </c>
      <c r="H517" s="5" t="str">
        <f>TEXT(Tabla4[[#This Row],[Preparación en horas]]/1440, "h:mm")</f>
        <v>0:13</v>
      </c>
      <c r="I517" s="4">
        <f>IF(Tabla5[[#This Row],[Tiempo Permanencia]]-Tabla5[[#This Row],[Tiempo de Preparación ]]&gt;=0,Tabla5[[#This Row],[Tiempo Permanencia]]-Tabla5[[#This Row],[Tiempo de Preparación ]],0)</f>
        <v>4.6527777779394652E-2</v>
      </c>
      <c r="J517" s="5" t="str">
        <f>IF(Tabla5[[#This Row],[Tiempo de Degustación]]=0,"No Cobrada","Cobrada")</f>
        <v>Cobrada</v>
      </c>
      <c r="K517" s="5" cm="1">
        <f t="array" ref="K517">SUM(IF(Tabla5[[#This Row],[Orden Cobrada]]="Cobrada",IF(Cocina!A:A=Tabla5[[#This Row],[Nº Orden]],Cocina!F:F*Cocina!G:G,0),-Tabla6[[#This Row],[Precio Cena]]))</f>
        <v>18</v>
      </c>
      <c r="L517" s="5">
        <f>IF(Tabla5[[#This Row],[Orden Cobrada]]="Cobrada",Tabla5[[#This Row],[Ganancia Bruta]]-Tabla6[[#This Row],[Coste Cena]],-Tabla6[[#This Row],[Precio Cena]]+Tabla6[[#This Row],[Coste Cena]])</f>
        <v>8</v>
      </c>
      <c r="M517" s="10">
        <f>IF(Tabla5[[#This Row],[Orden Cobrada]]="Cobrada",((Tabla5[[#This Row],[Ganancia Neta]]/Tabla5[[#This Row],[Ganancia Bruta]])*100)/100,-((Tabla5[[#This Row],[Ganancia Neta]]/Tabla5[[#This Row],[Ganancia Bruta]]*100)/100))</f>
        <v>0.44444444444444442</v>
      </c>
      <c r="N517" s="5" t="str">
        <f>sala!F516</f>
        <v>Mesero_2</v>
      </c>
      <c r="AY517" cm="1">
        <f t="array" ref="AY517">SUM(IF(Cocina!A:A=Tabla5[[#This Row],[Nº Orden]],Cocina!F:F*Cocina!G:G,0))</f>
        <v>18</v>
      </c>
      <c r="AZ517" cm="1">
        <f t="array" ref="AZ517">SUM(IF(Cocina!A:A=Tabla5[[#This Row],[Nº Orden]],Cocina!E:E*Cocina!G:G,0))</f>
        <v>10</v>
      </c>
      <c r="BB517" t="str">
        <f>MID(Tabla4[[#This Row],[Cliente]], SEARCH("_", Tabla4[[#This Row],[Cliente]]) + 1, LEN(Tabla4[[#This Row],[Cliente]]) - SEARCH("_",Tabla4[[#This Row],[Cliente]]))</f>
        <v>690</v>
      </c>
      <c r="BC517" t="str">
        <f>sala!B516</f>
        <v>Cliente_690</v>
      </c>
      <c r="BD517" s="1">
        <f>sala!D516</f>
        <v>45022.040277777778</v>
      </c>
      <c r="BE517" s="1">
        <f>sala!E516</f>
        <v>45022.085416666669</v>
      </c>
      <c r="BF517">
        <f>sala!K516</f>
        <v>515</v>
      </c>
      <c r="BG517">
        <f>sala!I516</f>
        <v>4379</v>
      </c>
      <c r="BH517" cm="1">
        <f t="array" ref="BH517">SUM(IF(Cocina!A:A=Tabla4[[#This Row],[Número de Orden]],Cocina!F:F*Cocina!G:G,0))</f>
        <v>18</v>
      </c>
      <c r="BI517" t="str">
        <f>sala!J516</f>
        <v>Ocupada</v>
      </c>
      <c r="BJ517" s="4" t="str">
        <f>IF(Tabla4[[#This Row],[Estado mesa]]="Ocupada","00:15","00:00")</f>
        <v>00:15</v>
      </c>
      <c r="BK517" cm="1">
        <f t="array" ref="BK517">SUM(IF(Cocina!A:A=Tabla4[[#This Row],[Número de Orden]],Cocina!H:H,0))</f>
        <v>13</v>
      </c>
    </row>
    <row r="518" spans="1:63" x14ac:dyDescent="0.3">
      <c r="A518" s="8" t="str">
        <f>MID(Tabla4[[#This Row],[Cliente]], SEARCH("_", Tabla4[[#This Row],[Cliente]]) + 1, LEN(Tabla4[[#This Row],[Cliente]]) - SEARCH("_",Tabla4[[#This Row],[Cliente]]))</f>
        <v>334</v>
      </c>
      <c r="B518">
        <f>sala!K517</f>
        <v>516</v>
      </c>
      <c r="C518">
        <f>Tabla4[[#This Row],[Propina]]+Tabla4[[#This Row],[Precio Cena]]</f>
        <v>2231</v>
      </c>
      <c r="D518" s="3">
        <f>INT(sala!E517)</f>
        <v>45022</v>
      </c>
      <c r="E518" s="4">
        <f>MOD( sala!D517,1)</f>
        <v>0.16319444444525288</v>
      </c>
      <c r="F518" s="4">
        <f>MOD( sala!E517,1)</f>
        <v>0.20763888888905058</v>
      </c>
      <c r="G518" s="4">
        <f>Tabla5[[#This Row],[Hora de Salida]]-Tabla5[[#This Row],[Hora de Llegada]]+Tabla4[[#This Row],[Tiempo Extra]]</f>
        <v>4.4444444443797693E-2</v>
      </c>
      <c r="H518" s="5" t="str">
        <f>TEXT(Tabla4[[#This Row],[Preparación en horas]]/1440, "h:mm")</f>
        <v>1:37</v>
      </c>
      <c r="I518" s="4">
        <f>IF(Tabla5[[#This Row],[Tiempo Permanencia]]-Tabla5[[#This Row],[Tiempo de Preparación ]]&gt;=0,Tabla5[[#This Row],[Tiempo Permanencia]]-Tabla5[[#This Row],[Tiempo de Preparación ]],0)</f>
        <v>0</v>
      </c>
      <c r="J518" s="5" t="str">
        <f>IF(Tabla5[[#This Row],[Tiempo de Degustación]]=0,"No Cobrada","Cobrada")</f>
        <v>No Cobrada</v>
      </c>
      <c r="K518" s="5" cm="1">
        <f t="array" ref="K518">SUM(IF(Tabla5[[#This Row],[Orden Cobrada]]="Cobrada",IF(Cocina!A:A=Tabla5[[#This Row],[Nº Orden]],Cocina!F:F*Cocina!G:G,0),-Tabla6[[#This Row],[Precio Cena]]))</f>
        <v>-146</v>
      </c>
      <c r="L518" s="5">
        <f>IF(Tabla5[[#This Row],[Orden Cobrada]]="Cobrada",Tabla5[[#This Row],[Ganancia Bruta]]-Tabla6[[#This Row],[Coste Cena]],-Tabla6[[#This Row],[Precio Cena]]+Tabla6[[#This Row],[Coste Cena]])</f>
        <v>-59</v>
      </c>
      <c r="M518" s="10">
        <f>IF(Tabla5[[#This Row],[Orden Cobrada]]="Cobrada",((Tabla5[[#This Row],[Ganancia Neta]]/Tabla5[[#This Row],[Ganancia Bruta]])*100)/100,-((Tabla5[[#This Row],[Ganancia Neta]]/Tabla5[[#This Row],[Ganancia Bruta]]*100)/100))</f>
        <v>-0.4041095890410959</v>
      </c>
      <c r="N518" s="5" t="str">
        <f>sala!F517</f>
        <v>Mesero_4</v>
      </c>
      <c r="AY518" cm="1">
        <f t="array" ref="AY518">SUM(IF(Cocina!A:A=Tabla5[[#This Row],[Nº Orden]],Cocina!F:F*Cocina!G:G,0))</f>
        <v>146</v>
      </c>
      <c r="AZ518" cm="1">
        <f t="array" ref="AZ518">SUM(IF(Cocina!A:A=Tabla5[[#This Row],[Nº Orden]],Cocina!E:E*Cocina!G:G,0))</f>
        <v>87</v>
      </c>
      <c r="BB518" t="str">
        <f>MID(Tabla4[[#This Row],[Cliente]], SEARCH("_", Tabla4[[#This Row],[Cliente]]) + 1, LEN(Tabla4[[#This Row],[Cliente]]) - SEARCH("_",Tabla4[[#This Row],[Cliente]]))</f>
        <v>334</v>
      </c>
      <c r="BC518" t="str">
        <f>sala!B517</f>
        <v>Cliente_334</v>
      </c>
      <c r="BD518" s="1">
        <f>sala!D517</f>
        <v>45022.163194444445</v>
      </c>
      <c r="BE518" s="1">
        <f>sala!E517</f>
        <v>45022.207638888889</v>
      </c>
      <c r="BF518">
        <f>sala!K517</f>
        <v>516</v>
      </c>
      <c r="BG518">
        <f>sala!I517</f>
        <v>2085</v>
      </c>
      <c r="BH518" cm="1">
        <f t="array" ref="BH518">SUM(IF(Cocina!A:A=Tabla4[[#This Row],[Número de Orden]],Cocina!F:F*Cocina!G:G,0))</f>
        <v>146</v>
      </c>
      <c r="BI518" t="str">
        <f>sala!J517</f>
        <v>Reservada</v>
      </c>
      <c r="BJ518" s="4" t="str">
        <f>IF(Tabla4[[#This Row],[Estado mesa]]="Ocupada","00:15","00:00")</f>
        <v>00:00</v>
      </c>
      <c r="BK518" cm="1">
        <f t="array" ref="BK518">SUM(IF(Cocina!A:A=Tabla4[[#This Row],[Número de Orden]],Cocina!H:H,0))</f>
        <v>97</v>
      </c>
    </row>
    <row r="519" spans="1:63" x14ac:dyDescent="0.3">
      <c r="A519" s="8" t="str">
        <f>MID(Tabla4[[#This Row],[Cliente]], SEARCH("_", Tabla4[[#This Row],[Cliente]]) + 1, LEN(Tabla4[[#This Row],[Cliente]]) - SEARCH("_",Tabla4[[#This Row],[Cliente]]))</f>
        <v>508</v>
      </c>
      <c r="B519">
        <f>sala!K518</f>
        <v>517</v>
      </c>
      <c r="C519">
        <f>Tabla4[[#This Row],[Propina]]+Tabla4[[#This Row],[Precio Cena]]</f>
        <v>2495</v>
      </c>
      <c r="D519" s="3">
        <f>INT(sala!E518)</f>
        <v>45022</v>
      </c>
      <c r="E519" s="4">
        <f>MOD( sala!D518,1)</f>
        <v>6.5972222218988463E-2</v>
      </c>
      <c r="F519" s="4">
        <f>MOD( sala!E518,1)</f>
        <v>0.22916666666424135</v>
      </c>
      <c r="G519" s="4">
        <f>Tabla5[[#This Row],[Hora de Salida]]-Tabla5[[#This Row],[Hora de Llegada]]+Tabla4[[#This Row],[Tiempo Extra]]</f>
        <v>0.16319444444525288</v>
      </c>
      <c r="H519" s="5" t="str">
        <f>TEXT(Tabla4[[#This Row],[Preparación en horas]]/1440, "h:mm")</f>
        <v>1:05</v>
      </c>
      <c r="I519" s="4">
        <f>IF(Tabla5[[#This Row],[Tiempo Permanencia]]-Tabla5[[#This Row],[Tiempo de Preparación ]]&gt;=0,Tabla5[[#This Row],[Tiempo Permanencia]]-Tabla5[[#This Row],[Tiempo de Preparación ]],0)</f>
        <v>0.11805555555636399</v>
      </c>
      <c r="J519" s="5" t="str">
        <f>IF(Tabla5[[#This Row],[Tiempo de Degustación]]=0,"No Cobrada","Cobrada")</f>
        <v>Cobrada</v>
      </c>
      <c r="K519" s="5" cm="1">
        <f t="array" ref="K519">SUM(IF(Tabla5[[#This Row],[Orden Cobrada]]="Cobrada",IF(Cocina!A:A=Tabla5[[#This Row],[Nº Orden]],Cocina!F:F*Cocina!G:G,0),-Tabla6[[#This Row],[Precio Cena]]))</f>
        <v>103</v>
      </c>
      <c r="L519" s="5">
        <f>IF(Tabla5[[#This Row],[Orden Cobrada]]="Cobrada",Tabla5[[#This Row],[Ganancia Bruta]]-Tabla6[[#This Row],[Coste Cena]],-Tabla6[[#This Row],[Precio Cena]]+Tabla6[[#This Row],[Coste Cena]])</f>
        <v>43</v>
      </c>
      <c r="M519" s="10">
        <f>IF(Tabla5[[#This Row],[Orden Cobrada]]="Cobrada",((Tabla5[[#This Row],[Ganancia Neta]]/Tabla5[[#This Row],[Ganancia Bruta]])*100)/100,-((Tabla5[[#This Row],[Ganancia Neta]]/Tabla5[[#This Row],[Ganancia Bruta]]*100)/100))</f>
        <v>0.41747572815533979</v>
      </c>
      <c r="N519" s="5" t="str">
        <f>sala!F518</f>
        <v>Mesero_4</v>
      </c>
      <c r="AY519" cm="1">
        <f t="array" ref="AY519">SUM(IF(Cocina!A:A=Tabla5[[#This Row],[Nº Orden]],Cocina!F:F*Cocina!G:G,0))</f>
        <v>103</v>
      </c>
      <c r="AZ519" cm="1">
        <f t="array" ref="AZ519">SUM(IF(Cocina!A:A=Tabla5[[#This Row],[Nº Orden]],Cocina!E:E*Cocina!G:G,0))</f>
        <v>60</v>
      </c>
      <c r="BB519" t="str">
        <f>MID(Tabla4[[#This Row],[Cliente]], SEARCH("_", Tabla4[[#This Row],[Cliente]]) + 1, LEN(Tabla4[[#This Row],[Cliente]]) - SEARCH("_",Tabla4[[#This Row],[Cliente]]))</f>
        <v>508</v>
      </c>
      <c r="BC519" t="str">
        <f>sala!B518</f>
        <v>Cliente_508</v>
      </c>
      <c r="BD519" s="1">
        <f>sala!D518</f>
        <v>45022.065972222219</v>
      </c>
      <c r="BE519" s="1">
        <f>sala!E518</f>
        <v>45022.229166666664</v>
      </c>
      <c r="BF519">
        <f>sala!K518</f>
        <v>517</v>
      </c>
      <c r="BG519">
        <f>sala!I518</f>
        <v>2392</v>
      </c>
      <c r="BH519" cm="1">
        <f t="array" ref="BH519">SUM(IF(Cocina!A:A=Tabla4[[#This Row],[Número de Orden]],Cocina!F:F*Cocina!G:G,0))</f>
        <v>103</v>
      </c>
      <c r="BI519" t="str">
        <f>sala!J518</f>
        <v>Reservada</v>
      </c>
      <c r="BJ519" s="4" t="str">
        <f>IF(Tabla4[[#This Row],[Estado mesa]]="Ocupada","00:15","00:00")</f>
        <v>00:00</v>
      </c>
      <c r="BK519" cm="1">
        <f t="array" ref="BK519">SUM(IF(Cocina!A:A=Tabla4[[#This Row],[Número de Orden]],Cocina!H:H,0))</f>
        <v>65</v>
      </c>
    </row>
    <row r="520" spans="1:63" x14ac:dyDescent="0.3">
      <c r="A520" s="8" t="str">
        <f>MID(Tabla4[[#This Row],[Cliente]], SEARCH("_", Tabla4[[#This Row],[Cliente]]) + 1, LEN(Tabla4[[#This Row],[Cliente]]) - SEARCH("_",Tabla4[[#This Row],[Cliente]]))</f>
        <v>830</v>
      </c>
      <c r="B520">
        <f>sala!K519</f>
        <v>518</v>
      </c>
      <c r="C520">
        <f>Tabla4[[#This Row],[Propina]]+Tabla4[[#This Row],[Precio Cena]]</f>
        <v>1925</v>
      </c>
      <c r="D520" s="3">
        <f>INT(sala!E519)</f>
        <v>45022</v>
      </c>
      <c r="E520" s="4">
        <f>MOD( sala!D519,1)</f>
        <v>8.8888888887595385E-2</v>
      </c>
      <c r="F520" s="4">
        <f>MOD( sala!E519,1)</f>
        <v>0.25138888888614019</v>
      </c>
      <c r="G520" s="4">
        <f>Tabla5[[#This Row],[Hora de Salida]]-Tabla5[[#This Row],[Hora de Llegada]]+Tabla4[[#This Row],[Tiempo Extra]]</f>
        <v>0.17291666666521147</v>
      </c>
      <c r="H520" s="5" t="str">
        <f>TEXT(Tabla4[[#This Row],[Preparación en horas]]/1440, "h:mm")</f>
        <v>0:53</v>
      </c>
      <c r="I520" s="4">
        <f>IF(Tabla5[[#This Row],[Tiempo Permanencia]]-Tabla5[[#This Row],[Tiempo de Preparación ]]&gt;=0,Tabla5[[#This Row],[Tiempo Permanencia]]-Tabla5[[#This Row],[Tiempo de Preparación ]],0)</f>
        <v>0.1361111111096559</v>
      </c>
      <c r="J520" s="5" t="str">
        <f>IF(Tabla5[[#This Row],[Tiempo de Degustación]]=0,"No Cobrada","Cobrada")</f>
        <v>Cobrada</v>
      </c>
      <c r="K520" s="5" cm="1">
        <f t="array" ref="K520">SUM(IF(Tabla5[[#This Row],[Orden Cobrada]]="Cobrada",IF(Cocina!A:A=Tabla5[[#This Row],[Nº Orden]],Cocina!F:F*Cocina!G:G,0),-Tabla6[[#This Row],[Precio Cena]]))</f>
        <v>77</v>
      </c>
      <c r="L520" s="5">
        <f>IF(Tabla5[[#This Row],[Orden Cobrada]]="Cobrada",Tabla5[[#This Row],[Ganancia Bruta]]-Tabla6[[#This Row],[Coste Cena]],-Tabla6[[#This Row],[Precio Cena]]+Tabla6[[#This Row],[Coste Cena]])</f>
        <v>31</v>
      </c>
      <c r="M520" s="10">
        <f>IF(Tabla5[[#This Row],[Orden Cobrada]]="Cobrada",((Tabla5[[#This Row],[Ganancia Neta]]/Tabla5[[#This Row],[Ganancia Bruta]])*100)/100,-((Tabla5[[#This Row],[Ganancia Neta]]/Tabla5[[#This Row],[Ganancia Bruta]]*100)/100))</f>
        <v>0.40259740259740262</v>
      </c>
      <c r="N520" s="5" t="str">
        <f>sala!F519</f>
        <v>Mesero_4</v>
      </c>
      <c r="AY520" cm="1">
        <f t="array" ref="AY520">SUM(IF(Cocina!A:A=Tabla5[[#This Row],[Nº Orden]],Cocina!F:F*Cocina!G:G,0))</f>
        <v>77</v>
      </c>
      <c r="AZ520" cm="1">
        <f t="array" ref="AZ520">SUM(IF(Cocina!A:A=Tabla5[[#This Row],[Nº Orden]],Cocina!E:E*Cocina!G:G,0))</f>
        <v>46</v>
      </c>
      <c r="BB520" t="str">
        <f>MID(Tabla4[[#This Row],[Cliente]], SEARCH("_", Tabla4[[#This Row],[Cliente]]) + 1, LEN(Tabla4[[#This Row],[Cliente]]) - SEARCH("_",Tabla4[[#This Row],[Cliente]]))</f>
        <v>830</v>
      </c>
      <c r="BC520" t="str">
        <f>sala!B519</f>
        <v>Cliente_830</v>
      </c>
      <c r="BD520" s="1">
        <f>sala!D519</f>
        <v>45022.088888888888</v>
      </c>
      <c r="BE520" s="1">
        <f>sala!E519</f>
        <v>45022.251388888886</v>
      </c>
      <c r="BF520">
        <f>sala!K519</f>
        <v>518</v>
      </c>
      <c r="BG520">
        <f>sala!I519</f>
        <v>1848</v>
      </c>
      <c r="BH520" cm="1">
        <f t="array" ref="BH520">SUM(IF(Cocina!A:A=Tabla4[[#This Row],[Número de Orden]],Cocina!F:F*Cocina!G:G,0))</f>
        <v>77</v>
      </c>
      <c r="BI520" t="str">
        <f>sala!J519</f>
        <v>Ocupada</v>
      </c>
      <c r="BJ520" s="4" t="str">
        <f>IF(Tabla4[[#This Row],[Estado mesa]]="Ocupada","00:15","00:00")</f>
        <v>00:15</v>
      </c>
      <c r="BK520" cm="1">
        <f t="array" ref="BK520">SUM(IF(Cocina!A:A=Tabla4[[#This Row],[Número de Orden]],Cocina!H:H,0))</f>
        <v>53</v>
      </c>
    </row>
    <row r="521" spans="1:63" x14ac:dyDescent="0.3">
      <c r="A521" s="8" t="str">
        <f>MID(Tabla4[[#This Row],[Cliente]], SEARCH("_", Tabla4[[#This Row],[Cliente]]) + 1, LEN(Tabla4[[#This Row],[Cliente]]) - SEARCH("_",Tabla4[[#This Row],[Cliente]]))</f>
        <v>787</v>
      </c>
      <c r="B521">
        <f>sala!K520</f>
        <v>519</v>
      </c>
      <c r="C521">
        <f>Tabla4[[#This Row],[Propina]]+Tabla4[[#This Row],[Precio Cena]]</f>
        <v>3704</v>
      </c>
      <c r="D521" s="3">
        <f>INT(sala!E520)</f>
        <v>45022</v>
      </c>
      <c r="E521" s="4">
        <f>MOD( sala!D520,1)</f>
        <v>3.3333333332848269E-2</v>
      </c>
      <c r="F521" s="4">
        <f>MOD( sala!E520,1)</f>
        <v>0.15902777777955635</v>
      </c>
      <c r="G521" s="4">
        <f>Tabla5[[#This Row],[Hora de Salida]]-Tabla5[[#This Row],[Hora de Llegada]]+Tabla4[[#This Row],[Tiempo Extra]]</f>
        <v>0.12569444444670808</v>
      </c>
      <c r="H521" s="5" t="str">
        <f>TEXT(Tabla4[[#This Row],[Preparación en horas]]/1440, "h:mm")</f>
        <v>2:36</v>
      </c>
      <c r="I521" s="4">
        <f>IF(Tabla5[[#This Row],[Tiempo Permanencia]]-Tabla5[[#This Row],[Tiempo de Preparación ]]&gt;=0,Tabla5[[#This Row],[Tiempo Permanencia]]-Tabla5[[#This Row],[Tiempo de Preparación ]],0)</f>
        <v>1.7361111113374739E-2</v>
      </c>
      <c r="J521" s="5" t="str">
        <f>IF(Tabla5[[#This Row],[Tiempo de Degustación]]=0,"No Cobrada","Cobrada")</f>
        <v>Cobrada</v>
      </c>
      <c r="K521" s="5" cm="1">
        <f t="array" ref="K521">SUM(IF(Tabla5[[#This Row],[Orden Cobrada]]="Cobrada",IF(Cocina!A:A=Tabla5[[#This Row],[Nº Orden]],Cocina!F:F*Cocina!G:G,0),-Tabla6[[#This Row],[Precio Cena]]))</f>
        <v>245</v>
      </c>
      <c r="L521" s="5">
        <f>IF(Tabla5[[#This Row],[Orden Cobrada]]="Cobrada",Tabla5[[#This Row],[Ganancia Bruta]]-Tabla6[[#This Row],[Coste Cena]],-Tabla6[[#This Row],[Precio Cena]]+Tabla6[[#This Row],[Coste Cena]])</f>
        <v>96</v>
      </c>
      <c r="M521" s="10">
        <f>IF(Tabla5[[#This Row],[Orden Cobrada]]="Cobrada",((Tabla5[[#This Row],[Ganancia Neta]]/Tabla5[[#This Row],[Ganancia Bruta]])*100)/100,-((Tabla5[[#This Row],[Ganancia Neta]]/Tabla5[[#This Row],[Ganancia Bruta]]*100)/100))</f>
        <v>0.39183673469387759</v>
      </c>
      <c r="N521" s="5" t="str">
        <f>sala!F520</f>
        <v>Mesero_5</v>
      </c>
      <c r="AY521" cm="1">
        <f t="array" ref="AY521">SUM(IF(Cocina!A:A=Tabla5[[#This Row],[Nº Orden]],Cocina!F:F*Cocina!G:G,0))</f>
        <v>245</v>
      </c>
      <c r="AZ521" cm="1">
        <f t="array" ref="AZ521">SUM(IF(Cocina!A:A=Tabla5[[#This Row],[Nº Orden]],Cocina!E:E*Cocina!G:G,0))</f>
        <v>149</v>
      </c>
      <c r="BB521" t="str">
        <f>MID(Tabla4[[#This Row],[Cliente]], SEARCH("_", Tabla4[[#This Row],[Cliente]]) + 1, LEN(Tabla4[[#This Row],[Cliente]]) - SEARCH("_",Tabla4[[#This Row],[Cliente]]))</f>
        <v>787</v>
      </c>
      <c r="BC521" t="str">
        <f>sala!B520</f>
        <v>Cliente_787</v>
      </c>
      <c r="BD521" s="1">
        <f>sala!D520</f>
        <v>45022.033333333333</v>
      </c>
      <c r="BE521" s="1">
        <f>sala!E520</f>
        <v>45022.15902777778</v>
      </c>
      <c r="BF521">
        <f>sala!K520</f>
        <v>519</v>
      </c>
      <c r="BG521">
        <f>sala!I520</f>
        <v>3459</v>
      </c>
      <c r="BH521" cm="1">
        <f t="array" ref="BH521">SUM(IF(Cocina!A:A=Tabla4[[#This Row],[Número de Orden]],Cocina!F:F*Cocina!G:G,0))</f>
        <v>245</v>
      </c>
      <c r="BI521" t="str">
        <f>sala!J520</f>
        <v>Libre</v>
      </c>
      <c r="BJ521" s="4" t="str">
        <f>IF(Tabla4[[#This Row],[Estado mesa]]="Ocupada","00:15","00:00")</f>
        <v>00:00</v>
      </c>
      <c r="BK521" cm="1">
        <f t="array" ref="BK521">SUM(IF(Cocina!A:A=Tabla4[[#This Row],[Número de Orden]],Cocina!H:H,0))</f>
        <v>156</v>
      </c>
    </row>
    <row r="522" spans="1:63" x14ac:dyDescent="0.3">
      <c r="A522" s="8" t="str">
        <f>MID(Tabla4[[#This Row],[Cliente]], SEARCH("_", Tabla4[[#This Row],[Cliente]]) + 1, LEN(Tabla4[[#This Row],[Cliente]]) - SEARCH("_",Tabla4[[#This Row],[Cliente]]))</f>
        <v>616</v>
      </c>
      <c r="B522">
        <f>sala!K521</f>
        <v>520</v>
      </c>
      <c r="C522">
        <f>Tabla4[[#This Row],[Propina]]+Tabla4[[#This Row],[Precio Cena]]</f>
        <v>4679</v>
      </c>
      <c r="D522" s="3">
        <f>INT(sala!E521)</f>
        <v>45022</v>
      </c>
      <c r="E522" s="4">
        <f>MOD( sala!D521,1)</f>
        <v>0.14930555555474712</v>
      </c>
      <c r="F522" s="4">
        <f>MOD( sala!E521,1)</f>
        <v>0.26597222222335404</v>
      </c>
      <c r="G522" s="4">
        <f>Tabla5[[#This Row],[Hora de Salida]]-Tabla5[[#This Row],[Hora de Llegada]]+Tabla4[[#This Row],[Tiempo Extra]]</f>
        <v>0.11666666666860692</v>
      </c>
      <c r="H522" s="5" t="str">
        <f>TEXT(Tabla4[[#This Row],[Preparación en horas]]/1440, "h:mm")</f>
        <v>2:01</v>
      </c>
      <c r="I522" s="4">
        <f>IF(Tabla5[[#This Row],[Tiempo Permanencia]]-Tabla5[[#This Row],[Tiempo de Preparación ]]&gt;=0,Tabla5[[#This Row],[Tiempo Permanencia]]-Tabla5[[#This Row],[Tiempo de Preparación ]],0)</f>
        <v>3.2638888890829137E-2</v>
      </c>
      <c r="J522" s="5" t="str">
        <f>IF(Tabla5[[#This Row],[Tiempo de Degustación]]=0,"No Cobrada","Cobrada")</f>
        <v>Cobrada</v>
      </c>
      <c r="K522" s="5" cm="1">
        <f t="array" ref="K522">SUM(IF(Tabla5[[#This Row],[Orden Cobrada]]="Cobrada",IF(Cocina!A:A=Tabla5[[#This Row],[Nº Orden]],Cocina!F:F*Cocina!G:G,0),-Tabla6[[#This Row],[Precio Cena]]))</f>
        <v>280</v>
      </c>
      <c r="L522" s="5">
        <f>IF(Tabla5[[#This Row],[Orden Cobrada]]="Cobrada",Tabla5[[#This Row],[Ganancia Bruta]]-Tabla6[[#This Row],[Coste Cena]],-Tabla6[[#This Row],[Precio Cena]]+Tabla6[[#This Row],[Coste Cena]])</f>
        <v>112</v>
      </c>
      <c r="M522" s="10">
        <f>IF(Tabla5[[#This Row],[Orden Cobrada]]="Cobrada",((Tabla5[[#This Row],[Ganancia Neta]]/Tabla5[[#This Row],[Ganancia Bruta]])*100)/100,-((Tabla5[[#This Row],[Ganancia Neta]]/Tabla5[[#This Row],[Ganancia Bruta]]*100)/100))</f>
        <v>0.4</v>
      </c>
      <c r="N522" s="5" t="str">
        <f>sala!F521</f>
        <v>Mesero_4</v>
      </c>
      <c r="AY522" cm="1">
        <f t="array" ref="AY522">SUM(IF(Cocina!A:A=Tabla5[[#This Row],[Nº Orden]],Cocina!F:F*Cocina!G:G,0))</f>
        <v>280</v>
      </c>
      <c r="AZ522" cm="1">
        <f t="array" ref="AZ522">SUM(IF(Cocina!A:A=Tabla5[[#This Row],[Nº Orden]],Cocina!E:E*Cocina!G:G,0))</f>
        <v>168</v>
      </c>
      <c r="BB522" t="str">
        <f>MID(Tabla4[[#This Row],[Cliente]], SEARCH("_", Tabla4[[#This Row],[Cliente]]) + 1, LEN(Tabla4[[#This Row],[Cliente]]) - SEARCH("_",Tabla4[[#This Row],[Cliente]]))</f>
        <v>616</v>
      </c>
      <c r="BC522" t="str">
        <f>sala!B521</f>
        <v>Cliente_616</v>
      </c>
      <c r="BD522" s="1">
        <f>sala!D521</f>
        <v>45022.149305555555</v>
      </c>
      <c r="BE522" s="1">
        <f>sala!E521</f>
        <v>45022.265972222223</v>
      </c>
      <c r="BF522">
        <f>sala!K521</f>
        <v>520</v>
      </c>
      <c r="BG522">
        <f>sala!I521</f>
        <v>4399</v>
      </c>
      <c r="BH522" cm="1">
        <f t="array" ref="BH522">SUM(IF(Cocina!A:A=Tabla4[[#This Row],[Número de Orden]],Cocina!F:F*Cocina!G:G,0))</f>
        <v>280</v>
      </c>
      <c r="BI522" t="str">
        <f>sala!J521</f>
        <v>Libre</v>
      </c>
      <c r="BJ522" s="4" t="str">
        <f>IF(Tabla4[[#This Row],[Estado mesa]]="Ocupada","00:15","00:00")</f>
        <v>00:00</v>
      </c>
      <c r="BK522" cm="1">
        <f t="array" ref="BK522">SUM(IF(Cocina!A:A=Tabla4[[#This Row],[Número de Orden]],Cocina!H:H,0))</f>
        <v>121</v>
      </c>
    </row>
    <row r="523" spans="1:63" x14ac:dyDescent="0.3">
      <c r="A523" s="8" t="str">
        <f>MID(Tabla4[[#This Row],[Cliente]], SEARCH("_", Tabla4[[#This Row],[Cliente]]) + 1, LEN(Tabla4[[#This Row],[Cliente]]) - SEARCH("_",Tabla4[[#This Row],[Cliente]]))</f>
        <v>422</v>
      </c>
      <c r="B523">
        <f>sala!K522</f>
        <v>521</v>
      </c>
      <c r="C523">
        <f>Tabla4[[#This Row],[Propina]]+Tabla4[[#This Row],[Precio Cena]]</f>
        <v>1728</v>
      </c>
      <c r="D523" s="3">
        <f>INT(sala!E522)</f>
        <v>45022</v>
      </c>
      <c r="E523" s="4">
        <f>MOD( sala!D522,1)</f>
        <v>2.9861111113859806E-2</v>
      </c>
      <c r="F523" s="4">
        <f>MOD( sala!E522,1)</f>
        <v>0.12083333333430346</v>
      </c>
      <c r="G523" s="4">
        <f>Tabla5[[#This Row],[Hora de Salida]]-Tabla5[[#This Row],[Hora de Llegada]]+Tabla4[[#This Row],[Tiempo Extra]]</f>
        <v>9.0972222220443655E-2</v>
      </c>
      <c r="H523" s="5" t="str">
        <f>TEXT(Tabla4[[#This Row],[Preparación en horas]]/1440, "h:mm")</f>
        <v>1:31</v>
      </c>
      <c r="I523" s="4">
        <f>IF(Tabla5[[#This Row],[Tiempo Permanencia]]-Tabla5[[#This Row],[Tiempo de Preparación ]]&gt;=0,Tabla5[[#This Row],[Tiempo Permanencia]]-Tabla5[[#This Row],[Tiempo de Preparación ]],0)</f>
        <v>2.7777777775999213E-2</v>
      </c>
      <c r="J523" s="5" t="str">
        <f>IF(Tabla5[[#This Row],[Tiempo de Degustación]]=0,"No Cobrada","Cobrada")</f>
        <v>Cobrada</v>
      </c>
      <c r="K523" s="5" cm="1">
        <f t="array" ref="K523">SUM(IF(Tabla5[[#This Row],[Orden Cobrada]]="Cobrada",IF(Cocina!A:A=Tabla5[[#This Row],[Nº Orden]],Cocina!F:F*Cocina!G:G,0),-Tabla6[[#This Row],[Precio Cena]]))</f>
        <v>210</v>
      </c>
      <c r="L523" s="5">
        <f>IF(Tabla5[[#This Row],[Orden Cobrada]]="Cobrada",Tabla5[[#This Row],[Ganancia Bruta]]-Tabla6[[#This Row],[Coste Cena]],-Tabla6[[#This Row],[Precio Cena]]+Tabla6[[#This Row],[Coste Cena]])</f>
        <v>86</v>
      </c>
      <c r="M523" s="10">
        <f>IF(Tabla5[[#This Row],[Orden Cobrada]]="Cobrada",((Tabla5[[#This Row],[Ganancia Neta]]/Tabla5[[#This Row],[Ganancia Bruta]])*100)/100,-((Tabla5[[#This Row],[Ganancia Neta]]/Tabla5[[#This Row],[Ganancia Bruta]]*100)/100))</f>
        <v>0.40952380952380951</v>
      </c>
      <c r="N523" s="5" t="str">
        <f>sala!F522</f>
        <v>Mesero_4</v>
      </c>
      <c r="AY523" cm="1">
        <f t="array" ref="AY523">SUM(IF(Cocina!A:A=Tabla5[[#This Row],[Nº Orden]],Cocina!F:F*Cocina!G:G,0))</f>
        <v>210</v>
      </c>
      <c r="AZ523" cm="1">
        <f t="array" ref="AZ523">SUM(IF(Cocina!A:A=Tabla5[[#This Row],[Nº Orden]],Cocina!E:E*Cocina!G:G,0))</f>
        <v>124</v>
      </c>
      <c r="BB523" t="str">
        <f>MID(Tabla4[[#This Row],[Cliente]], SEARCH("_", Tabla4[[#This Row],[Cliente]]) + 1, LEN(Tabla4[[#This Row],[Cliente]]) - SEARCH("_",Tabla4[[#This Row],[Cliente]]))</f>
        <v>422</v>
      </c>
      <c r="BC523" t="str">
        <f>sala!B522</f>
        <v>Cliente_422</v>
      </c>
      <c r="BD523" s="1">
        <f>sala!D522</f>
        <v>45022.029861111114</v>
      </c>
      <c r="BE523" s="1">
        <f>sala!E522</f>
        <v>45022.120833333334</v>
      </c>
      <c r="BF523">
        <f>sala!K522</f>
        <v>521</v>
      </c>
      <c r="BG523">
        <f>sala!I522</f>
        <v>1518</v>
      </c>
      <c r="BH523" cm="1">
        <f t="array" ref="BH523">SUM(IF(Cocina!A:A=Tabla4[[#This Row],[Número de Orden]],Cocina!F:F*Cocina!G:G,0))</f>
        <v>210</v>
      </c>
      <c r="BI523" t="str">
        <f>sala!J522</f>
        <v>Libre</v>
      </c>
      <c r="BJ523" s="4" t="str">
        <f>IF(Tabla4[[#This Row],[Estado mesa]]="Ocupada","00:15","00:00")</f>
        <v>00:00</v>
      </c>
      <c r="BK523" cm="1">
        <f t="array" ref="BK523">SUM(IF(Cocina!A:A=Tabla4[[#This Row],[Número de Orden]],Cocina!H:H,0))</f>
        <v>91</v>
      </c>
    </row>
    <row r="524" spans="1:63" x14ac:dyDescent="0.3">
      <c r="A524" s="8" t="str">
        <f>MID(Tabla4[[#This Row],[Cliente]], SEARCH("_", Tabla4[[#This Row],[Cliente]]) + 1, LEN(Tabla4[[#This Row],[Cliente]]) - SEARCH("_",Tabla4[[#This Row],[Cliente]]))</f>
        <v>740</v>
      </c>
      <c r="B524">
        <f>sala!K523</f>
        <v>522</v>
      </c>
      <c r="C524">
        <f>Tabla4[[#This Row],[Propina]]+Tabla4[[#This Row],[Precio Cena]]</f>
        <v>3619</v>
      </c>
      <c r="D524" s="3">
        <f>INT(sala!E523)</f>
        <v>45022</v>
      </c>
      <c r="E524" s="4">
        <f>MOD( sala!D523,1)</f>
        <v>6.805555555911269E-2</v>
      </c>
      <c r="F524" s="4">
        <f>MOD( sala!E523,1)</f>
        <v>0.18472222222044365</v>
      </c>
      <c r="G524" s="4">
        <f>Tabla5[[#This Row],[Hora de Salida]]-Tabla5[[#This Row],[Hora de Llegada]]+Tabla4[[#This Row],[Tiempo Extra]]</f>
        <v>0.11666666666133096</v>
      </c>
      <c r="H524" s="5" t="str">
        <f>TEXT(Tabla4[[#This Row],[Preparación en horas]]/1440, "h:mm")</f>
        <v>0:47</v>
      </c>
      <c r="I524" s="4">
        <f>IF(Tabla5[[#This Row],[Tiempo Permanencia]]-Tabla5[[#This Row],[Tiempo de Preparación ]]&gt;=0,Tabla5[[#This Row],[Tiempo Permanencia]]-Tabla5[[#This Row],[Tiempo de Preparación ]],0)</f>
        <v>8.402777777244208E-2</v>
      </c>
      <c r="J524" s="5" t="str">
        <f>IF(Tabla5[[#This Row],[Tiempo de Degustación]]=0,"No Cobrada","Cobrada")</f>
        <v>Cobrada</v>
      </c>
      <c r="K524" s="5" cm="1">
        <f t="array" ref="K524">SUM(IF(Tabla5[[#This Row],[Orden Cobrada]]="Cobrada",IF(Cocina!A:A=Tabla5[[#This Row],[Nº Orden]],Cocina!F:F*Cocina!G:G,0),-Tabla6[[#This Row],[Precio Cena]]))</f>
        <v>84</v>
      </c>
      <c r="L524" s="5">
        <f>IF(Tabla5[[#This Row],[Orden Cobrada]]="Cobrada",Tabla5[[#This Row],[Ganancia Bruta]]-Tabla6[[#This Row],[Coste Cena]],-Tabla6[[#This Row],[Precio Cena]]+Tabla6[[#This Row],[Coste Cena]])</f>
        <v>36</v>
      </c>
      <c r="M524" s="10">
        <f>IF(Tabla5[[#This Row],[Orden Cobrada]]="Cobrada",((Tabla5[[#This Row],[Ganancia Neta]]/Tabla5[[#This Row],[Ganancia Bruta]])*100)/100,-((Tabla5[[#This Row],[Ganancia Neta]]/Tabla5[[#This Row],[Ganancia Bruta]]*100)/100))</f>
        <v>0.42857142857142855</v>
      </c>
      <c r="N524" s="5" t="str">
        <f>sala!F523</f>
        <v>Mesero_4</v>
      </c>
      <c r="AY524" cm="1">
        <f t="array" ref="AY524">SUM(IF(Cocina!A:A=Tabla5[[#This Row],[Nº Orden]],Cocina!F:F*Cocina!G:G,0))</f>
        <v>84</v>
      </c>
      <c r="AZ524" cm="1">
        <f t="array" ref="AZ524">SUM(IF(Cocina!A:A=Tabla5[[#This Row],[Nº Orden]],Cocina!E:E*Cocina!G:G,0))</f>
        <v>48</v>
      </c>
      <c r="BB524" t="str">
        <f>MID(Tabla4[[#This Row],[Cliente]], SEARCH("_", Tabla4[[#This Row],[Cliente]]) + 1, LEN(Tabla4[[#This Row],[Cliente]]) - SEARCH("_",Tabla4[[#This Row],[Cliente]]))</f>
        <v>740</v>
      </c>
      <c r="BC524" t="str">
        <f>sala!B523</f>
        <v>Cliente_740</v>
      </c>
      <c r="BD524" s="1">
        <f>sala!D523</f>
        <v>45022.068055555559</v>
      </c>
      <c r="BE524" s="1">
        <f>sala!E523</f>
        <v>45022.18472222222</v>
      </c>
      <c r="BF524">
        <f>sala!K523</f>
        <v>522</v>
      </c>
      <c r="BG524">
        <f>sala!I523</f>
        <v>3535</v>
      </c>
      <c r="BH524" cm="1">
        <f t="array" ref="BH524">SUM(IF(Cocina!A:A=Tabla4[[#This Row],[Número de Orden]],Cocina!F:F*Cocina!G:G,0))</f>
        <v>84</v>
      </c>
      <c r="BI524" t="str">
        <f>sala!J523</f>
        <v>Libre</v>
      </c>
      <c r="BJ524" s="4" t="str">
        <f>IF(Tabla4[[#This Row],[Estado mesa]]="Ocupada","00:15","00:00")</f>
        <v>00:00</v>
      </c>
      <c r="BK524" cm="1">
        <f t="array" ref="BK524">SUM(IF(Cocina!A:A=Tabla4[[#This Row],[Número de Orden]],Cocina!H:H,0))</f>
        <v>47</v>
      </c>
    </row>
    <row r="525" spans="1:63" x14ac:dyDescent="0.3">
      <c r="A525" s="8" t="str">
        <f>MID(Tabla4[[#This Row],[Cliente]], SEARCH("_", Tabla4[[#This Row],[Cliente]]) + 1, LEN(Tabla4[[#This Row],[Cliente]]) - SEARCH("_",Tabla4[[#This Row],[Cliente]]))</f>
        <v>930</v>
      </c>
      <c r="B525">
        <f>sala!K524</f>
        <v>523</v>
      </c>
      <c r="C525">
        <f>Tabla4[[#This Row],[Propina]]+Tabla4[[#This Row],[Precio Cena]]</f>
        <v>4622</v>
      </c>
      <c r="D525" s="3">
        <f>INT(sala!E524)</f>
        <v>45022</v>
      </c>
      <c r="E525" s="4">
        <f>MOD( sala!D524,1)</f>
        <v>6.8749999998544808E-2</v>
      </c>
      <c r="F525" s="4">
        <f>MOD( sala!E524,1)</f>
        <v>0.19583333333139308</v>
      </c>
      <c r="G525" s="4">
        <f>Tabla5[[#This Row],[Hora de Salida]]-Tabla5[[#This Row],[Hora de Llegada]]+Tabla4[[#This Row],[Tiempo Extra]]</f>
        <v>0.13749999999951493</v>
      </c>
      <c r="H525" s="5" t="str">
        <f>TEXT(Tabla4[[#This Row],[Preparación en horas]]/1440, "h:mm")</f>
        <v>0:51</v>
      </c>
      <c r="I525" s="4">
        <f>IF(Tabla5[[#This Row],[Tiempo Permanencia]]-Tabla5[[#This Row],[Tiempo de Preparación ]]&gt;=0,Tabla5[[#This Row],[Tiempo Permanencia]]-Tabla5[[#This Row],[Tiempo de Preparación ]],0)</f>
        <v>0.10208333333284826</v>
      </c>
      <c r="J525" s="5" t="str">
        <f>IF(Tabla5[[#This Row],[Tiempo de Degustación]]=0,"No Cobrada","Cobrada")</f>
        <v>Cobrada</v>
      </c>
      <c r="K525" s="5" cm="1">
        <f t="array" ref="K525">SUM(IF(Tabla5[[#This Row],[Orden Cobrada]]="Cobrada",IF(Cocina!A:A=Tabla5[[#This Row],[Nº Orden]],Cocina!F:F*Cocina!G:G,0),-Tabla6[[#This Row],[Precio Cena]]))</f>
        <v>81</v>
      </c>
      <c r="L525" s="5">
        <f>IF(Tabla5[[#This Row],[Orden Cobrada]]="Cobrada",Tabla5[[#This Row],[Ganancia Bruta]]-Tabla6[[#This Row],[Coste Cena]],-Tabla6[[#This Row],[Precio Cena]]+Tabla6[[#This Row],[Coste Cena]])</f>
        <v>33</v>
      </c>
      <c r="M525" s="10">
        <f>IF(Tabla5[[#This Row],[Orden Cobrada]]="Cobrada",((Tabla5[[#This Row],[Ganancia Neta]]/Tabla5[[#This Row],[Ganancia Bruta]])*100)/100,-((Tabla5[[#This Row],[Ganancia Neta]]/Tabla5[[#This Row],[Ganancia Bruta]]*100)/100))</f>
        <v>0.40740740740740738</v>
      </c>
      <c r="N525" s="5" t="str">
        <f>sala!F524</f>
        <v>Mesero_5</v>
      </c>
      <c r="AY525" cm="1">
        <f t="array" ref="AY525">SUM(IF(Cocina!A:A=Tabla5[[#This Row],[Nº Orden]],Cocina!F:F*Cocina!G:G,0))</f>
        <v>81</v>
      </c>
      <c r="AZ525" cm="1">
        <f t="array" ref="AZ525">SUM(IF(Cocina!A:A=Tabla5[[#This Row],[Nº Orden]],Cocina!E:E*Cocina!G:G,0))</f>
        <v>48</v>
      </c>
      <c r="BB525" t="str">
        <f>MID(Tabla4[[#This Row],[Cliente]], SEARCH("_", Tabla4[[#This Row],[Cliente]]) + 1, LEN(Tabla4[[#This Row],[Cliente]]) - SEARCH("_",Tabla4[[#This Row],[Cliente]]))</f>
        <v>930</v>
      </c>
      <c r="BC525" t="str">
        <f>sala!B524</f>
        <v>Cliente_930</v>
      </c>
      <c r="BD525" s="1">
        <f>sala!D524</f>
        <v>45022.068749999999</v>
      </c>
      <c r="BE525" s="1">
        <f>sala!E524</f>
        <v>45022.195833333331</v>
      </c>
      <c r="BF525">
        <f>sala!K524</f>
        <v>523</v>
      </c>
      <c r="BG525">
        <f>sala!I524</f>
        <v>4541</v>
      </c>
      <c r="BH525" cm="1">
        <f t="array" ref="BH525">SUM(IF(Cocina!A:A=Tabla4[[#This Row],[Número de Orden]],Cocina!F:F*Cocina!G:G,0))</f>
        <v>81</v>
      </c>
      <c r="BI525" t="str">
        <f>sala!J524</f>
        <v>Ocupada</v>
      </c>
      <c r="BJ525" s="4" t="str">
        <f>IF(Tabla4[[#This Row],[Estado mesa]]="Ocupada","00:15","00:00")</f>
        <v>00:15</v>
      </c>
      <c r="BK525" cm="1">
        <f t="array" ref="BK525">SUM(IF(Cocina!A:A=Tabla4[[#This Row],[Número de Orden]],Cocina!H:H,0))</f>
        <v>51</v>
      </c>
    </row>
    <row r="526" spans="1:63" x14ac:dyDescent="0.3">
      <c r="A526" s="8" t="str">
        <f>MID(Tabla4[[#This Row],[Cliente]], SEARCH("_", Tabla4[[#This Row],[Cliente]]) + 1, LEN(Tabla4[[#This Row],[Cliente]]) - SEARCH("_",Tabla4[[#This Row],[Cliente]]))</f>
        <v>218</v>
      </c>
      <c r="B526">
        <f>sala!K525</f>
        <v>524</v>
      </c>
      <c r="C526">
        <f>Tabla4[[#This Row],[Propina]]+Tabla4[[#This Row],[Precio Cena]]</f>
        <v>2767</v>
      </c>
      <c r="D526" s="3">
        <f>INT(sala!E525)</f>
        <v>45022</v>
      </c>
      <c r="E526" s="4">
        <f>MOD( sala!D525,1)</f>
        <v>2.0833333328482695E-3</v>
      </c>
      <c r="F526" s="4">
        <f>MOD( sala!E525,1)</f>
        <v>0.1055555555576575</v>
      </c>
      <c r="G526" s="4">
        <f>Tabla5[[#This Row],[Hora de Salida]]-Tabla5[[#This Row],[Hora de Llegada]]+Tabla4[[#This Row],[Tiempo Extra]]</f>
        <v>0.1138888888914759</v>
      </c>
      <c r="H526" s="5" t="str">
        <f>TEXT(Tabla4[[#This Row],[Preparación en horas]]/1440, "h:mm")</f>
        <v>1:01</v>
      </c>
      <c r="I526" s="4">
        <f>IF(Tabla5[[#This Row],[Tiempo Permanencia]]-Tabla5[[#This Row],[Tiempo de Preparación ]]&gt;=0,Tabla5[[#This Row],[Tiempo Permanencia]]-Tabla5[[#This Row],[Tiempo de Preparación ]],0)</f>
        <v>7.1527777780364787E-2</v>
      </c>
      <c r="J526" s="5" t="str">
        <f>IF(Tabla5[[#This Row],[Tiempo de Degustación]]=0,"No Cobrada","Cobrada")</f>
        <v>Cobrada</v>
      </c>
      <c r="K526" s="5" cm="1">
        <f t="array" ref="K526">SUM(IF(Tabla5[[#This Row],[Orden Cobrada]]="Cobrada",IF(Cocina!A:A=Tabla5[[#This Row],[Nº Orden]],Cocina!F:F*Cocina!G:G,0),-Tabla6[[#This Row],[Precio Cena]]))</f>
        <v>76</v>
      </c>
      <c r="L526" s="5">
        <f>IF(Tabla5[[#This Row],[Orden Cobrada]]="Cobrada",Tabla5[[#This Row],[Ganancia Bruta]]-Tabla6[[#This Row],[Coste Cena]],-Tabla6[[#This Row],[Precio Cena]]+Tabla6[[#This Row],[Coste Cena]])</f>
        <v>31</v>
      </c>
      <c r="M526" s="10">
        <f>IF(Tabla5[[#This Row],[Orden Cobrada]]="Cobrada",((Tabla5[[#This Row],[Ganancia Neta]]/Tabla5[[#This Row],[Ganancia Bruta]])*100)/100,-((Tabla5[[#This Row],[Ganancia Neta]]/Tabla5[[#This Row],[Ganancia Bruta]]*100)/100))</f>
        <v>0.40789473684210525</v>
      </c>
      <c r="N526" s="5" t="str">
        <f>sala!F525</f>
        <v>Mesero_3</v>
      </c>
      <c r="AY526" cm="1">
        <f t="array" ref="AY526">SUM(IF(Cocina!A:A=Tabla5[[#This Row],[Nº Orden]],Cocina!F:F*Cocina!G:G,0))</f>
        <v>76</v>
      </c>
      <c r="AZ526" cm="1">
        <f t="array" ref="AZ526">SUM(IF(Cocina!A:A=Tabla5[[#This Row],[Nº Orden]],Cocina!E:E*Cocina!G:G,0))</f>
        <v>45</v>
      </c>
      <c r="BB526" t="str">
        <f>MID(Tabla4[[#This Row],[Cliente]], SEARCH("_", Tabla4[[#This Row],[Cliente]]) + 1, LEN(Tabla4[[#This Row],[Cliente]]) - SEARCH("_",Tabla4[[#This Row],[Cliente]]))</f>
        <v>218</v>
      </c>
      <c r="BC526" t="str">
        <f>sala!B525</f>
        <v>Cliente_218</v>
      </c>
      <c r="BD526" s="1">
        <f>sala!D525</f>
        <v>45022.002083333333</v>
      </c>
      <c r="BE526" s="1">
        <f>sala!E525</f>
        <v>45022.105555555558</v>
      </c>
      <c r="BF526">
        <f>sala!K525</f>
        <v>524</v>
      </c>
      <c r="BG526">
        <f>sala!I525</f>
        <v>2691</v>
      </c>
      <c r="BH526" cm="1">
        <f t="array" ref="BH526">SUM(IF(Cocina!A:A=Tabla4[[#This Row],[Número de Orden]],Cocina!F:F*Cocina!G:G,0))</f>
        <v>76</v>
      </c>
      <c r="BI526" t="str">
        <f>sala!J525</f>
        <v>Ocupada</v>
      </c>
      <c r="BJ526" s="4" t="str">
        <f>IF(Tabla4[[#This Row],[Estado mesa]]="Ocupada","00:15","00:00")</f>
        <v>00:15</v>
      </c>
      <c r="BK526" cm="1">
        <f t="array" ref="BK526">SUM(IF(Cocina!A:A=Tabla4[[#This Row],[Número de Orden]],Cocina!H:H,0))</f>
        <v>61</v>
      </c>
    </row>
    <row r="527" spans="1:63" x14ac:dyDescent="0.3">
      <c r="A527" s="8" t="str">
        <f>MID(Tabla4[[#This Row],[Cliente]], SEARCH("_", Tabla4[[#This Row],[Cliente]]) + 1, LEN(Tabla4[[#This Row],[Cliente]]) - SEARCH("_",Tabla4[[#This Row],[Cliente]]))</f>
        <v>318</v>
      </c>
      <c r="B527">
        <f>sala!K526</f>
        <v>525</v>
      </c>
      <c r="C527">
        <f>Tabla4[[#This Row],[Propina]]+Tabla4[[#This Row],[Precio Cena]]</f>
        <v>3484</v>
      </c>
      <c r="D527" s="3">
        <f>INT(sala!E526)</f>
        <v>45022</v>
      </c>
      <c r="E527" s="4">
        <f>MOD( sala!D526,1)</f>
        <v>0.14375000000291038</v>
      </c>
      <c r="F527" s="4">
        <f>MOD( sala!E526,1)</f>
        <v>0.30138888888905058</v>
      </c>
      <c r="G527" s="4">
        <f>Tabla5[[#This Row],[Hora de Salida]]-Tabla5[[#This Row],[Hora de Llegada]]+Tabla4[[#This Row],[Tiempo Extra]]</f>
        <v>0.16805555555280685</v>
      </c>
      <c r="H527" s="5" t="str">
        <f>TEXT(Tabla4[[#This Row],[Preparación en horas]]/1440, "h:mm")</f>
        <v>1:17</v>
      </c>
      <c r="I527" s="4">
        <f>IF(Tabla5[[#This Row],[Tiempo Permanencia]]-Tabla5[[#This Row],[Tiempo de Preparación ]]&gt;=0,Tabla5[[#This Row],[Tiempo Permanencia]]-Tabla5[[#This Row],[Tiempo de Preparación ]],0)</f>
        <v>0.11458333333058462</v>
      </c>
      <c r="J527" s="5" t="str">
        <f>IF(Tabla5[[#This Row],[Tiempo de Degustación]]=0,"No Cobrada","Cobrada")</f>
        <v>Cobrada</v>
      </c>
      <c r="K527" s="5" cm="1">
        <f t="array" ref="K527">SUM(IF(Tabla5[[#This Row],[Orden Cobrada]]="Cobrada",IF(Cocina!A:A=Tabla5[[#This Row],[Nº Orden]],Cocina!F:F*Cocina!G:G,0),-Tabla6[[#This Row],[Precio Cena]]))</f>
        <v>197</v>
      </c>
      <c r="L527" s="5">
        <f>IF(Tabla5[[#This Row],[Orden Cobrada]]="Cobrada",Tabla5[[#This Row],[Ganancia Bruta]]-Tabla6[[#This Row],[Coste Cena]],-Tabla6[[#This Row],[Precio Cena]]+Tabla6[[#This Row],[Coste Cena]])</f>
        <v>77</v>
      </c>
      <c r="M527" s="10">
        <f>IF(Tabla5[[#This Row],[Orden Cobrada]]="Cobrada",((Tabla5[[#This Row],[Ganancia Neta]]/Tabla5[[#This Row],[Ganancia Bruta]])*100)/100,-((Tabla5[[#This Row],[Ganancia Neta]]/Tabla5[[#This Row],[Ganancia Bruta]]*100)/100))</f>
        <v>0.39086294416243655</v>
      </c>
      <c r="N527" s="5" t="str">
        <f>sala!F526</f>
        <v>Mesero_3</v>
      </c>
      <c r="AY527" cm="1">
        <f t="array" ref="AY527">SUM(IF(Cocina!A:A=Tabla5[[#This Row],[Nº Orden]],Cocina!F:F*Cocina!G:G,0))</f>
        <v>197</v>
      </c>
      <c r="AZ527" cm="1">
        <f t="array" ref="AZ527">SUM(IF(Cocina!A:A=Tabla5[[#This Row],[Nº Orden]],Cocina!E:E*Cocina!G:G,0))</f>
        <v>120</v>
      </c>
      <c r="BB527" t="str">
        <f>MID(Tabla4[[#This Row],[Cliente]], SEARCH("_", Tabla4[[#This Row],[Cliente]]) + 1, LEN(Tabla4[[#This Row],[Cliente]]) - SEARCH("_",Tabla4[[#This Row],[Cliente]]))</f>
        <v>318</v>
      </c>
      <c r="BC527" t="str">
        <f>sala!B526</f>
        <v>Cliente_318</v>
      </c>
      <c r="BD527" s="1">
        <f>sala!D526</f>
        <v>45022.143750000003</v>
      </c>
      <c r="BE527" s="1">
        <f>sala!E526</f>
        <v>45022.301388888889</v>
      </c>
      <c r="BF527">
        <f>sala!K526</f>
        <v>525</v>
      </c>
      <c r="BG527">
        <f>sala!I526</f>
        <v>3287</v>
      </c>
      <c r="BH527" cm="1">
        <f t="array" ref="BH527">SUM(IF(Cocina!A:A=Tabla4[[#This Row],[Número de Orden]],Cocina!F:F*Cocina!G:G,0))</f>
        <v>197</v>
      </c>
      <c r="BI527" t="str">
        <f>sala!J526</f>
        <v>Ocupada</v>
      </c>
      <c r="BJ527" s="4" t="str">
        <f>IF(Tabla4[[#This Row],[Estado mesa]]="Ocupada","00:15","00:00")</f>
        <v>00:15</v>
      </c>
      <c r="BK527" cm="1">
        <f t="array" ref="BK527">SUM(IF(Cocina!A:A=Tabla4[[#This Row],[Número de Orden]],Cocina!H:H,0))</f>
        <v>77</v>
      </c>
    </row>
    <row r="528" spans="1:63" x14ac:dyDescent="0.3">
      <c r="A528" s="8" t="str">
        <f>MID(Tabla4[[#This Row],[Cliente]], SEARCH("_", Tabla4[[#This Row],[Cliente]]) + 1, LEN(Tabla4[[#This Row],[Cliente]]) - SEARCH("_",Tabla4[[#This Row],[Cliente]]))</f>
        <v>257</v>
      </c>
      <c r="B528">
        <f>sala!K527</f>
        <v>526</v>
      </c>
      <c r="C528">
        <f>Tabla4[[#This Row],[Propina]]+Tabla4[[#This Row],[Precio Cena]]</f>
        <v>4335</v>
      </c>
      <c r="D528" s="3">
        <f>INT(sala!E527)</f>
        <v>45022</v>
      </c>
      <c r="E528" s="4">
        <f>MOD( sala!D527,1)</f>
        <v>0.15555555555329192</v>
      </c>
      <c r="F528" s="4">
        <f>MOD( sala!E527,1)</f>
        <v>0.23680555555620231</v>
      </c>
      <c r="G528" s="4">
        <f>Tabla5[[#This Row],[Hora de Salida]]-Tabla5[[#This Row],[Hora de Llegada]]+Tabla4[[#This Row],[Tiempo Extra]]</f>
        <v>8.1250000002910383E-2</v>
      </c>
      <c r="H528" s="5" t="str">
        <f>TEXT(Tabla4[[#This Row],[Preparación en horas]]/1440, "h:mm")</f>
        <v>0:22</v>
      </c>
      <c r="I528" s="4">
        <f>IF(Tabla5[[#This Row],[Tiempo Permanencia]]-Tabla5[[#This Row],[Tiempo de Preparación ]]&gt;=0,Tabla5[[#This Row],[Tiempo Permanencia]]-Tabla5[[#This Row],[Tiempo de Preparación ]],0)</f>
        <v>6.5972222225132604E-2</v>
      </c>
      <c r="J528" s="5" t="str">
        <f>IF(Tabla5[[#This Row],[Tiempo de Degustación]]=0,"No Cobrada","Cobrada")</f>
        <v>Cobrada</v>
      </c>
      <c r="K528" s="5" cm="1">
        <f t="array" ref="K528">SUM(IF(Tabla5[[#This Row],[Orden Cobrada]]="Cobrada",IF(Cocina!A:A=Tabla5[[#This Row],[Nº Orden]],Cocina!F:F*Cocina!G:G,0),-Tabla6[[#This Row],[Precio Cena]]))</f>
        <v>33</v>
      </c>
      <c r="L528" s="5">
        <f>IF(Tabla5[[#This Row],[Orden Cobrada]]="Cobrada",Tabla5[[#This Row],[Ganancia Bruta]]-Tabla6[[#This Row],[Coste Cena]],-Tabla6[[#This Row],[Precio Cena]]+Tabla6[[#This Row],[Coste Cena]])</f>
        <v>13</v>
      </c>
      <c r="M528" s="10">
        <f>IF(Tabla5[[#This Row],[Orden Cobrada]]="Cobrada",((Tabla5[[#This Row],[Ganancia Neta]]/Tabla5[[#This Row],[Ganancia Bruta]])*100)/100,-((Tabla5[[#This Row],[Ganancia Neta]]/Tabla5[[#This Row],[Ganancia Bruta]]*100)/100))</f>
        <v>0.39393939393939392</v>
      </c>
      <c r="N528" s="5" t="str">
        <f>sala!F527</f>
        <v>Mesero_4</v>
      </c>
      <c r="AY528" cm="1">
        <f t="array" ref="AY528">SUM(IF(Cocina!A:A=Tabla5[[#This Row],[Nº Orden]],Cocina!F:F*Cocina!G:G,0))</f>
        <v>33</v>
      </c>
      <c r="AZ528" cm="1">
        <f t="array" ref="AZ528">SUM(IF(Cocina!A:A=Tabla5[[#This Row],[Nº Orden]],Cocina!E:E*Cocina!G:G,0))</f>
        <v>20</v>
      </c>
      <c r="BB528" t="str">
        <f>MID(Tabla4[[#This Row],[Cliente]], SEARCH("_", Tabla4[[#This Row],[Cliente]]) + 1, LEN(Tabla4[[#This Row],[Cliente]]) - SEARCH("_",Tabla4[[#This Row],[Cliente]]))</f>
        <v>257</v>
      </c>
      <c r="BC528" t="str">
        <f>sala!B527</f>
        <v>Cliente_257</v>
      </c>
      <c r="BD528" s="1">
        <f>sala!D527</f>
        <v>45022.155555555553</v>
      </c>
      <c r="BE528" s="1">
        <f>sala!E527</f>
        <v>45022.236805555556</v>
      </c>
      <c r="BF528">
        <f>sala!K527</f>
        <v>526</v>
      </c>
      <c r="BG528">
        <f>sala!I527</f>
        <v>4302</v>
      </c>
      <c r="BH528" cm="1">
        <f t="array" ref="BH528">SUM(IF(Cocina!A:A=Tabla4[[#This Row],[Número de Orden]],Cocina!F:F*Cocina!G:G,0))</f>
        <v>33</v>
      </c>
      <c r="BI528" t="str">
        <f>sala!J527</f>
        <v>Libre</v>
      </c>
      <c r="BJ528" s="4" t="str">
        <f>IF(Tabla4[[#This Row],[Estado mesa]]="Ocupada","00:15","00:00")</f>
        <v>00:00</v>
      </c>
      <c r="BK528" cm="1">
        <f t="array" ref="BK528">SUM(IF(Cocina!A:A=Tabla4[[#This Row],[Número de Orden]],Cocina!H:H,0))</f>
        <v>22</v>
      </c>
    </row>
    <row r="529" spans="1:63" x14ac:dyDescent="0.3">
      <c r="A529" s="8" t="str">
        <f>MID(Tabla4[[#This Row],[Cliente]], SEARCH("_", Tabla4[[#This Row],[Cliente]]) + 1, LEN(Tabla4[[#This Row],[Cliente]]) - SEARCH("_",Tabla4[[#This Row],[Cliente]]))</f>
        <v>112</v>
      </c>
      <c r="B529">
        <f>sala!K528</f>
        <v>527</v>
      </c>
      <c r="C529">
        <f>Tabla4[[#This Row],[Propina]]+Tabla4[[#This Row],[Precio Cena]]</f>
        <v>2349</v>
      </c>
      <c r="D529" s="3">
        <f>INT(sala!E528)</f>
        <v>45022</v>
      </c>
      <c r="E529" s="4">
        <f>MOD( sala!D528,1)</f>
        <v>0.15347222222044365</v>
      </c>
      <c r="F529" s="4">
        <f>MOD( sala!E528,1)</f>
        <v>0.24652777778101154</v>
      </c>
      <c r="G529" s="4">
        <f>Tabla5[[#This Row],[Hora de Salida]]-Tabla5[[#This Row],[Hora de Llegada]]+Tabla4[[#This Row],[Tiempo Extra]]</f>
        <v>0.10347222222723455</v>
      </c>
      <c r="H529" s="5" t="str">
        <f>TEXT(Tabla4[[#This Row],[Preparación en horas]]/1440, "h:mm")</f>
        <v>0:31</v>
      </c>
      <c r="I529" s="4">
        <f>IF(Tabla5[[#This Row],[Tiempo Permanencia]]-Tabla5[[#This Row],[Tiempo de Preparación ]]&gt;=0,Tabla5[[#This Row],[Tiempo Permanencia]]-Tabla5[[#This Row],[Tiempo de Preparación ]],0)</f>
        <v>8.1944444449456783E-2</v>
      </c>
      <c r="J529" s="5" t="str">
        <f>IF(Tabla5[[#This Row],[Tiempo de Degustación]]=0,"No Cobrada","Cobrada")</f>
        <v>Cobrada</v>
      </c>
      <c r="K529" s="5" cm="1">
        <f t="array" ref="K529">SUM(IF(Tabla5[[#This Row],[Orden Cobrada]]="Cobrada",IF(Cocina!A:A=Tabla5[[#This Row],[Nº Orden]],Cocina!F:F*Cocina!G:G,0),-Tabla6[[#This Row],[Precio Cena]]))</f>
        <v>54</v>
      </c>
      <c r="L529" s="5">
        <f>IF(Tabla5[[#This Row],[Orden Cobrada]]="Cobrada",Tabla5[[#This Row],[Ganancia Bruta]]-Tabla6[[#This Row],[Coste Cena]],-Tabla6[[#This Row],[Precio Cena]]+Tabla6[[#This Row],[Coste Cena]])</f>
        <v>22</v>
      </c>
      <c r="M529" s="10">
        <f>IF(Tabla5[[#This Row],[Orden Cobrada]]="Cobrada",((Tabla5[[#This Row],[Ganancia Neta]]/Tabla5[[#This Row],[Ganancia Bruta]])*100)/100,-((Tabla5[[#This Row],[Ganancia Neta]]/Tabla5[[#This Row],[Ganancia Bruta]]*100)/100))</f>
        <v>0.40740740740740738</v>
      </c>
      <c r="N529" s="5" t="str">
        <f>sala!F528</f>
        <v>Mesero_1</v>
      </c>
      <c r="AY529" cm="1">
        <f t="array" ref="AY529">SUM(IF(Cocina!A:A=Tabla5[[#This Row],[Nº Orden]],Cocina!F:F*Cocina!G:G,0))</f>
        <v>54</v>
      </c>
      <c r="AZ529" cm="1">
        <f t="array" ref="AZ529">SUM(IF(Cocina!A:A=Tabla5[[#This Row],[Nº Orden]],Cocina!E:E*Cocina!G:G,0))</f>
        <v>32</v>
      </c>
      <c r="BB529" t="str">
        <f>MID(Tabla4[[#This Row],[Cliente]], SEARCH("_", Tabla4[[#This Row],[Cliente]]) + 1, LEN(Tabla4[[#This Row],[Cliente]]) - SEARCH("_",Tabla4[[#This Row],[Cliente]]))</f>
        <v>112</v>
      </c>
      <c r="BC529" t="str">
        <f>sala!B528</f>
        <v>Cliente_112</v>
      </c>
      <c r="BD529" s="1">
        <f>sala!D528</f>
        <v>45022.15347222222</v>
      </c>
      <c r="BE529" s="1">
        <f>sala!E528</f>
        <v>45022.246527777781</v>
      </c>
      <c r="BF529">
        <f>sala!K528</f>
        <v>527</v>
      </c>
      <c r="BG529">
        <f>sala!I528</f>
        <v>2295</v>
      </c>
      <c r="BH529" cm="1">
        <f t="array" ref="BH529">SUM(IF(Cocina!A:A=Tabla4[[#This Row],[Número de Orden]],Cocina!F:F*Cocina!G:G,0))</f>
        <v>54</v>
      </c>
      <c r="BI529" t="str">
        <f>sala!J528</f>
        <v>Ocupada</v>
      </c>
      <c r="BJ529" s="4" t="str">
        <f>IF(Tabla4[[#This Row],[Estado mesa]]="Ocupada","00:15","00:00")</f>
        <v>00:15</v>
      </c>
      <c r="BK529" cm="1">
        <f t="array" ref="BK529">SUM(IF(Cocina!A:A=Tabla4[[#This Row],[Número de Orden]],Cocina!H:H,0))</f>
        <v>31</v>
      </c>
    </row>
    <row r="530" spans="1:63" x14ac:dyDescent="0.3">
      <c r="A530" s="8" t="str">
        <f>MID(Tabla4[[#This Row],[Cliente]], SEARCH("_", Tabla4[[#This Row],[Cliente]]) + 1, LEN(Tabla4[[#This Row],[Cliente]]) - SEARCH("_",Tabla4[[#This Row],[Cliente]]))</f>
        <v>95</v>
      </c>
      <c r="B530">
        <f>sala!K529</f>
        <v>528</v>
      </c>
      <c r="C530">
        <f>Tabla4[[#This Row],[Propina]]+Tabla4[[#This Row],[Precio Cena]]</f>
        <v>1640</v>
      </c>
      <c r="D530" s="3">
        <f>INT(sala!E529)</f>
        <v>45022</v>
      </c>
      <c r="E530" s="4">
        <f>MOD( sala!D529,1)</f>
        <v>7.4305555557657499E-2</v>
      </c>
      <c r="F530" s="4">
        <f>MOD( sala!E529,1)</f>
        <v>0.15833333333284827</v>
      </c>
      <c r="G530" s="4">
        <f>Tabla5[[#This Row],[Hora de Salida]]-Tabla5[[#This Row],[Hora de Llegada]]+Tabla4[[#This Row],[Tiempo Extra]]</f>
        <v>8.4027777775190771E-2</v>
      </c>
      <c r="H530" s="5" t="str">
        <f>TEXT(Tabla4[[#This Row],[Preparación en horas]]/1440, "h:mm")</f>
        <v>2:01</v>
      </c>
      <c r="I530" s="4">
        <f>IF(Tabla5[[#This Row],[Tiempo Permanencia]]-Tabla5[[#This Row],[Tiempo de Preparación ]]&gt;=0,Tabla5[[#This Row],[Tiempo Permanencia]]-Tabla5[[#This Row],[Tiempo de Preparación ]],0)</f>
        <v>0</v>
      </c>
      <c r="J530" s="5" t="str">
        <f>IF(Tabla5[[#This Row],[Tiempo de Degustación]]=0,"No Cobrada","Cobrada")</f>
        <v>No Cobrada</v>
      </c>
      <c r="K530" s="5" cm="1">
        <f t="array" ref="K530">SUM(IF(Tabla5[[#This Row],[Orden Cobrada]]="Cobrada",IF(Cocina!A:A=Tabla5[[#This Row],[Nº Orden]],Cocina!F:F*Cocina!G:G,0),-Tabla6[[#This Row],[Precio Cena]]))</f>
        <v>-78</v>
      </c>
      <c r="L530" s="5">
        <f>IF(Tabla5[[#This Row],[Orden Cobrada]]="Cobrada",Tabla5[[#This Row],[Ganancia Bruta]]-Tabla6[[#This Row],[Coste Cena]],-Tabla6[[#This Row],[Precio Cena]]+Tabla6[[#This Row],[Coste Cena]])</f>
        <v>-31</v>
      </c>
      <c r="M530" s="10">
        <f>IF(Tabla5[[#This Row],[Orden Cobrada]]="Cobrada",((Tabla5[[#This Row],[Ganancia Neta]]/Tabla5[[#This Row],[Ganancia Bruta]])*100)/100,-((Tabla5[[#This Row],[Ganancia Neta]]/Tabla5[[#This Row],[Ganancia Bruta]]*100)/100))</f>
        <v>-0.39743589743589747</v>
      </c>
      <c r="N530" s="5" t="str">
        <f>sala!F529</f>
        <v>Mesero_2</v>
      </c>
      <c r="AY530" cm="1">
        <f t="array" ref="AY530">SUM(IF(Cocina!A:A=Tabla5[[#This Row],[Nº Orden]],Cocina!F:F*Cocina!G:G,0))</f>
        <v>78</v>
      </c>
      <c r="AZ530" cm="1">
        <f t="array" ref="AZ530">SUM(IF(Cocina!A:A=Tabla5[[#This Row],[Nº Orden]],Cocina!E:E*Cocina!G:G,0))</f>
        <v>47</v>
      </c>
      <c r="BB530" t="str">
        <f>MID(Tabla4[[#This Row],[Cliente]], SEARCH("_", Tabla4[[#This Row],[Cliente]]) + 1, LEN(Tabla4[[#This Row],[Cliente]]) - SEARCH("_",Tabla4[[#This Row],[Cliente]]))</f>
        <v>95</v>
      </c>
      <c r="BC530" t="str">
        <f>sala!B529</f>
        <v>Cliente_95</v>
      </c>
      <c r="BD530" s="1">
        <f>sala!D529</f>
        <v>45022.074305555558</v>
      </c>
      <c r="BE530" s="1">
        <f>sala!E529</f>
        <v>45022.158333333333</v>
      </c>
      <c r="BF530">
        <f>sala!K529</f>
        <v>528</v>
      </c>
      <c r="BG530">
        <f>sala!I529</f>
        <v>1562</v>
      </c>
      <c r="BH530" cm="1">
        <f t="array" ref="BH530">SUM(IF(Cocina!A:A=Tabla4[[#This Row],[Número de Orden]],Cocina!F:F*Cocina!G:G,0))</f>
        <v>78</v>
      </c>
      <c r="BI530" t="str">
        <f>sala!J529</f>
        <v>Reservada</v>
      </c>
      <c r="BJ530" s="4" t="str">
        <f>IF(Tabla4[[#This Row],[Estado mesa]]="Ocupada","00:15","00:00")</f>
        <v>00:00</v>
      </c>
      <c r="BK530" cm="1">
        <f t="array" ref="BK530">SUM(IF(Cocina!A:A=Tabla4[[#This Row],[Número de Orden]],Cocina!H:H,0))</f>
        <v>121</v>
      </c>
    </row>
    <row r="531" spans="1:63" x14ac:dyDescent="0.3">
      <c r="A531" s="8" t="str">
        <f>MID(Tabla4[[#This Row],[Cliente]], SEARCH("_", Tabla4[[#This Row],[Cliente]]) + 1, LEN(Tabla4[[#This Row],[Cliente]]) - SEARCH("_",Tabla4[[#This Row],[Cliente]]))</f>
        <v>866</v>
      </c>
      <c r="B531">
        <f>sala!K530</f>
        <v>529</v>
      </c>
      <c r="C531">
        <f>Tabla4[[#This Row],[Propina]]+Tabla4[[#This Row],[Precio Cena]]</f>
        <v>2799</v>
      </c>
      <c r="D531" s="3">
        <f>INT(sala!E530)</f>
        <v>45022</v>
      </c>
      <c r="E531" s="4">
        <f>MOD( sala!D530,1)</f>
        <v>8.1944444442342501E-2</v>
      </c>
      <c r="F531" s="4">
        <f>MOD( sala!E530,1)</f>
        <v>0.19583333333139308</v>
      </c>
      <c r="G531" s="4">
        <f>Tabla5[[#This Row],[Hora de Salida]]-Tabla5[[#This Row],[Hora de Llegada]]+Tabla4[[#This Row],[Tiempo Extra]]</f>
        <v>0.12430555555571725</v>
      </c>
      <c r="H531" s="5" t="str">
        <f>TEXT(Tabla4[[#This Row],[Preparación en horas]]/1440, "h:mm")</f>
        <v>2:37</v>
      </c>
      <c r="I531" s="4">
        <f>IF(Tabla5[[#This Row],[Tiempo Permanencia]]-Tabla5[[#This Row],[Tiempo de Preparación ]]&gt;=0,Tabla5[[#This Row],[Tiempo Permanencia]]-Tabla5[[#This Row],[Tiempo de Preparación ]],0)</f>
        <v>1.5277777777939469E-2</v>
      </c>
      <c r="J531" s="5" t="str">
        <f>IF(Tabla5[[#This Row],[Tiempo de Degustación]]=0,"No Cobrada","Cobrada")</f>
        <v>Cobrada</v>
      </c>
      <c r="K531" s="5" cm="1">
        <f t="array" ref="K531">SUM(IF(Tabla5[[#This Row],[Orden Cobrada]]="Cobrada",IF(Cocina!A:A=Tabla5[[#This Row],[Nº Orden]],Cocina!F:F*Cocina!G:G,0),-Tabla6[[#This Row],[Precio Cena]]))</f>
        <v>208</v>
      </c>
      <c r="L531" s="5">
        <f>IF(Tabla5[[#This Row],[Orden Cobrada]]="Cobrada",Tabla5[[#This Row],[Ganancia Bruta]]-Tabla6[[#This Row],[Coste Cena]],-Tabla6[[#This Row],[Precio Cena]]+Tabla6[[#This Row],[Coste Cena]])</f>
        <v>84</v>
      </c>
      <c r="M531" s="10">
        <f>IF(Tabla5[[#This Row],[Orden Cobrada]]="Cobrada",((Tabla5[[#This Row],[Ganancia Neta]]/Tabla5[[#This Row],[Ganancia Bruta]])*100)/100,-((Tabla5[[#This Row],[Ganancia Neta]]/Tabla5[[#This Row],[Ganancia Bruta]]*100)/100))</f>
        <v>0.40384615384615385</v>
      </c>
      <c r="N531" s="5" t="str">
        <f>sala!F530</f>
        <v>Mesero_3</v>
      </c>
      <c r="AY531" cm="1">
        <f t="array" ref="AY531">SUM(IF(Cocina!A:A=Tabla5[[#This Row],[Nº Orden]],Cocina!F:F*Cocina!G:G,0))</f>
        <v>208</v>
      </c>
      <c r="AZ531" cm="1">
        <f t="array" ref="AZ531">SUM(IF(Cocina!A:A=Tabla5[[#This Row],[Nº Orden]],Cocina!E:E*Cocina!G:G,0))</f>
        <v>124</v>
      </c>
      <c r="BB531" t="str">
        <f>MID(Tabla4[[#This Row],[Cliente]], SEARCH("_", Tabla4[[#This Row],[Cliente]]) + 1, LEN(Tabla4[[#This Row],[Cliente]]) - SEARCH("_",Tabla4[[#This Row],[Cliente]]))</f>
        <v>866</v>
      </c>
      <c r="BC531" t="str">
        <f>sala!B530</f>
        <v>Cliente_866</v>
      </c>
      <c r="BD531" s="1">
        <f>sala!D530</f>
        <v>45022.081944444442</v>
      </c>
      <c r="BE531" s="1">
        <f>sala!E530</f>
        <v>45022.195833333331</v>
      </c>
      <c r="BF531">
        <f>sala!K530</f>
        <v>529</v>
      </c>
      <c r="BG531">
        <f>sala!I530</f>
        <v>2591</v>
      </c>
      <c r="BH531" cm="1">
        <f t="array" ref="BH531">SUM(IF(Cocina!A:A=Tabla4[[#This Row],[Número de Orden]],Cocina!F:F*Cocina!G:G,0))</f>
        <v>208</v>
      </c>
      <c r="BI531" t="str">
        <f>sala!J530</f>
        <v>Ocupada</v>
      </c>
      <c r="BJ531" s="4" t="str">
        <f>IF(Tabla4[[#This Row],[Estado mesa]]="Ocupada","00:15","00:00")</f>
        <v>00:15</v>
      </c>
      <c r="BK531" cm="1">
        <f t="array" ref="BK531">SUM(IF(Cocina!A:A=Tabla4[[#This Row],[Número de Orden]],Cocina!H:H,0))</f>
        <v>157</v>
      </c>
    </row>
    <row r="532" spans="1:63" x14ac:dyDescent="0.3">
      <c r="A532" s="8" t="str">
        <f>MID(Tabla4[[#This Row],[Cliente]], SEARCH("_", Tabla4[[#This Row],[Cliente]]) + 1, LEN(Tabla4[[#This Row],[Cliente]]) - SEARCH("_",Tabla4[[#This Row],[Cliente]]))</f>
        <v>232</v>
      </c>
      <c r="B532">
        <f>sala!K531</f>
        <v>530</v>
      </c>
      <c r="C532">
        <f>Tabla4[[#This Row],[Propina]]+Tabla4[[#This Row],[Precio Cena]]</f>
        <v>3179</v>
      </c>
      <c r="D532" s="3">
        <f>INT(sala!E531)</f>
        <v>45022</v>
      </c>
      <c r="E532" s="4">
        <f>MOD( sala!D531,1)</f>
        <v>9.2361111113859806E-2</v>
      </c>
      <c r="F532" s="4">
        <f>MOD( sala!E531,1)</f>
        <v>0.25486111111240461</v>
      </c>
      <c r="G532" s="4">
        <f>Tabla5[[#This Row],[Hora de Salida]]-Tabla5[[#This Row],[Hora de Llegada]]+Tabla4[[#This Row],[Tiempo Extra]]</f>
        <v>0.17291666666521147</v>
      </c>
      <c r="H532" s="5" t="str">
        <f>TEXT(Tabla4[[#This Row],[Preparación en horas]]/1440, "h:mm")</f>
        <v>1:46</v>
      </c>
      <c r="I532" s="4">
        <f>IF(Tabla5[[#This Row],[Tiempo Permanencia]]-Tabla5[[#This Row],[Tiempo de Preparación ]]&gt;=0,Tabla5[[#This Row],[Tiempo Permanencia]]-Tabla5[[#This Row],[Tiempo de Preparación ]],0)</f>
        <v>9.9305555554100353E-2</v>
      </c>
      <c r="J532" s="5" t="str">
        <f>IF(Tabla5[[#This Row],[Tiempo de Degustación]]=0,"No Cobrada","Cobrada")</f>
        <v>Cobrada</v>
      </c>
      <c r="K532" s="5" cm="1">
        <f t="array" ref="K532">SUM(IF(Tabla5[[#This Row],[Orden Cobrada]]="Cobrada",IF(Cocina!A:A=Tabla5[[#This Row],[Nº Orden]],Cocina!F:F*Cocina!G:G,0),-Tabla6[[#This Row],[Precio Cena]]))</f>
        <v>160</v>
      </c>
      <c r="L532" s="5">
        <f>IF(Tabla5[[#This Row],[Orden Cobrada]]="Cobrada",Tabla5[[#This Row],[Ganancia Bruta]]-Tabla6[[#This Row],[Coste Cena]],-Tabla6[[#This Row],[Precio Cena]]+Tabla6[[#This Row],[Coste Cena]])</f>
        <v>68</v>
      </c>
      <c r="M532" s="10">
        <f>IF(Tabla5[[#This Row],[Orden Cobrada]]="Cobrada",((Tabla5[[#This Row],[Ganancia Neta]]/Tabla5[[#This Row],[Ganancia Bruta]])*100)/100,-((Tabla5[[#This Row],[Ganancia Neta]]/Tabla5[[#This Row],[Ganancia Bruta]]*100)/100))</f>
        <v>0.42499999999999999</v>
      </c>
      <c r="N532" s="5" t="str">
        <f>sala!F531</f>
        <v>Mesero_5</v>
      </c>
      <c r="AY532" cm="1">
        <f t="array" ref="AY532">SUM(IF(Cocina!A:A=Tabla5[[#This Row],[Nº Orden]],Cocina!F:F*Cocina!G:G,0))</f>
        <v>160</v>
      </c>
      <c r="AZ532" cm="1">
        <f t="array" ref="AZ532">SUM(IF(Cocina!A:A=Tabla5[[#This Row],[Nº Orden]],Cocina!E:E*Cocina!G:G,0))</f>
        <v>92</v>
      </c>
      <c r="BB532" t="str">
        <f>MID(Tabla4[[#This Row],[Cliente]], SEARCH("_", Tabla4[[#This Row],[Cliente]]) + 1, LEN(Tabla4[[#This Row],[Cliente]]) - SEARCH("_",Tabla4[[#This Row],[Cliente]]))</f>
        <v>232</v>
      </c>
      <c r="BC532" t="str">
        <f>sala!B531</f>
        <v>Cliente_232</v>
      </c>
      <c r="BD532" s="1">
        <f>sala!D531</f>
        <v>45022.092361111114</v>
      </c>
      <c r="BE532" s="1">
        <f>sala!E531</f>
        <v>45022.254861111112</v>
      </c>
      <c r="BF532">
        <f>sala!K531</f>
        <v>530</v>
      </c>
      <c r="BG532">
        <f>sala!I531</f>
        <v>3019</v>
      </c>
      <c r="BH532" cm="1">
        <f t="array" ref="BH532">SUM(IF(Cocina!A:A=Tabla4[[#This Row],[Número de Orden]],Cocina!F:F*Cocina!G:G,0))</f>
        <v>160</v>
      </c>
      <c r="BI532" t="str">
        <f>sala!J531</f>
        <v>Ocupada</v>
      </c>
      <c r="BJ532" s="4" t="str">
        <f>IF(Tabla4[[#This Row],[Estado mesa]]="Ocupada","00:15","00:00")</f>
        <v>00:15</v>
      </c>
      <c r="BK532" cm="1">
        <f t="array" ref="BK532">SUM(IF(Cocina!A:A=Tabla4[[#This Row],[Número de Orden]],Cocina!H:H,0))</f>
        <v>106</v>
      </c>
    </row>
    <row r="533" spans="1:63" x14ac:dyDescent="0.3">
      <c r="A533" s="8" t="str">
        <f>MID(Tabla4[[#This Row],[Cliente]], SEARCH("_", Tabla4[[#This Row],[Cliente]]) + 1, LEN(Tabla4[[#This Row],[Cliente]]) - SEARCH("_",Tabla4[[#This Row],[Cliente]]))</f>
        <v>882</v>
      </c>
      <c r="B533">
        <f>sala!K532</f>
        <v>531</v>
      </c>
      <c r="C533">
        <f>Tabla4[[#This Row],[Propina]]+Tabla4[[#This Row],[Precio Cena]]</f>
        <v>3683</v>
      </c>
      <c r="D533" s="3">
        <f>INT(sala!E532)</f>
        <v>45022</v>
      </c>
      <c r="E533" s="4">
        <f>MOD( sala!D532,1)</f>
        <v>0.12708333333284827</v>
      </c>
      <c r="F533" s="4">
        <f>MOD( sala!E532,1)</f>
        <v>0.21111111110803904</v>
      </c>
      <c r="G533" s="4">
        <f>Tabla5[[#This Row],[Hora de Salida]]-Tabla5[[#This Row],[Hora de Llegada]]+Tabla4[[#This Row],[Tiempo Extra]]</f>
        <v>8.4027777775190771E-2</v>
      </c>
      <c r="H533" s="5" t="str">
        <f>TEXT(Tabla4[[#This Row],[Preparación en horas]]/1440, "h:mm")</f>
        <v>3:19</v>
      </c>
      <c r="I533" s="4">
        <f>IF(Tabla5[[#This Row],[Tiempo Permanencia]]-Tabla5[[#This Row],[Tiempo de Preparación ]]&gt;=0,Tabla5[[#This Row],[Tiempo Permanencia]]-Tabla5[[#This Row],[Tiempo de Preparación ]],0)</f>
        <v>0</v>
      </c>
      <c r="J533" s="5" t="str">
        <f>IF(Tabla5[[#This Row],[Tiempo de Degustación]]=0,"No Cobrada","Cobrada")</f>
        <v>No Cobrada</v>
      </c>
      <c r="K533" s="5" cm="1">
        <f t="array" ref="K533">SUM(IF(Tabla5[[#This Row],[Orden Cobrada]]="Cobrada",IF(Cocina!A:A=Tabla5[[#This Row],[Nº Orden]],Cocina!F:F*Cocina!G:G,0),-Tabla6[[#This Row],[Precio Cena]]))</f>
        <v>-244</v>
      </c>
      <c r="L533" s="5">
        <f>IF(Tabla5[[#This Row],[Orden Cobrada]]="Cobrada",Tabla5[[#This Row],[Ganancia Bruta]]-Tabla6[[#This Row],[Coste Cena]],-Tabla6[[#This Row],[Precio Cena]]+Tabla6[[#This Row],[Coste Cena]])</f>
        <v>-99</v>
      </c>
      <c r="M533" s="10">
        <f>IF(Tabla5[[#This Row],[Orden Cobrada]]="Cobrada",((Tabla5[[#This Row],[Ganancia Neta]]/Tabla5[[#This Row],[Ganancia Bruta]])*100)/100,-((Tabla5[[#This Row],[Ganancia Neta]]/Tabla5[[#This Row],[Ganancia Bruta]]*100)/100))</f>
        <v>-0.40573770491803279</v>
      </c>
      <c r="N533" s="5" t="str">
        <f>sala!F532</f>
        <v>Mesero_2</v>
      </c>
      <c r="AY533" cm="1">
        <f t="array" ref="AY533">SUM(IF(Cocina!A:A=Tabla5[[#This Row],[Nº Orden]],Cocina!F:F*Cocina!G:G,0))</f>
        <v>244</v>
      </c>
      <c r="AZ533" cm="1">
        <f t="array" ref="AZ533">SUM(IF(Cocina!A:A=Tabla5[[#This Row],[Nº Orden]],Cocina!E:E*Cocina!G:G,0))</f>
        <v>145</v>
      </c>
      <c r="BB533" t="str">
        <f>MID(Tabla4[[#This Row],[Cliente]], SEARCH("_", Tabla4[[#This Row],[Cliente]]) + 1, LEN(Tabla4[[#This Row],[Cliente]]) - SEARCH("_",Tabla4[[#This Row],[Cliente]]))</f>
        <v>882</v>
      </c>
      <c r="BC533" t="str">
        <f>sala!B532</f>
        <v>Cliente_882</v>
      </c>
      <c r="BD533" s="1">
        <f>sala!D532</f>
        <v>45022.127083333333</v>
      </c>
      <c r="BE533" s="1">
        <f>sala!E532</f>
        <v>45022.211111111108</v>
      </c>
      <c r="BF533">
        <f>sala!K532</f>
        <v>531</v>
      </c>
      <c r="BG533">
        <f>sala!I532</f>
        <v>3439</v>
      </c>
      <c r="BH533" cm="1">
        <f t="array" ref="BH533">SUM(IF(Cocina!A:A=Tabla4[[#This Row],[Número de Orden]],Cocina!F:F*Cocina!G:G,0))</f>
        <v>244</v>
      </c>
      <c r="BI533" t="str">
        <f>sala!J532</f>
        <v>Libre</v>
      </c>
      <c r="BJ533" s="4" t="str">
        <f>IF(Tabla4[[#This Row],[Estado mesa]]="Ocupada","00:15","00:00")</f>
        <v>00:00</v>
      </c>
      <c r="BK533" cm="1">
        <f t="array" ref="BK533">SUM(IF(Cocina!A:A=Tabla4[[#This Row],[Número de Orden]],Cocina!H:H,0))</f>
        <v>199</v>
      </c>
    </row>
    <row r="534" spans="1:63" x14ac:dyDescent="0.3">
      <c r="A534" s="8" t="str">
        <f>MID(Tabla4[[#This Row],[Cliente]], SEARCH("_", Tabla4[[#This Row],[Cliente]]) + 1, LEN(Tabla4[[#This Row],[Cliente]]) - SEARCH("_",Tabla4[[#This Row],[Cliente]]))</f>
        <v>63</v>
      </c>
      <c r="B534">
        <f>sala!K533</f>
        <v>532</v>
      </c>
      <c r="C534">
        <f>Tabla4[[#This Row],[Propina]]+Tabla4[[#This Row],[Precio Cena]]</f>
        <v>1932</v>
      </c>
      <c r="D534" s="3">
        <f>INT(sala!E533)</f>
        <v>45022</v>
      </c>
      <c r="E534" s="4">
        <f>MOD( sala!D533,1)</f>
        <v>7.4999999997089617E-2</v>
      </c>
      <c r="F534" s="4">
        <f>MOD( sala!E533,1)</f>
        <v>0.22638888889196096</v>
      </c>
      <c r="G534" s="4">
        <f>Tabla5[[#This Row],[Hora de Salida]]-Tabla5[[#This Row],[Hora de Llegada]]+Tabla4[[#This Row],[Tiempo Extra]]</f>
        <v>0.15138888889487134</v>
      </c>
      <c r="H534" s="5" t="str">
        <f>TEXT(Tabla4[[#This Row],[Preparación en horas]]/1440, "h:mm")</f>
        <v>0:59</v>
      </c>
      <c r="I534" s="4">
        <f>IF(Tabla5[[#This Row],[Tiempo Permanencia]]-Tabla5[[#This Row],[Tiempo de Preparación ]]&gt;=0,Tabla5[[#This Row],[Tiempo Permanencia]]-Tabla5[[#This Row],[Tiempo de Preparación ]],0)</f>
        <v>0.11041666667264913</v>
      </c>
      <c r="J534" s="5" t="str">
        <f>IF(Tabla5[[#This Row],[Tiempo de Degustación]]=0,"No Cobrada","Cobrada")</f>
        <v>Cobrada</v>
      </c>
      <c r="K534" s="5" cm="1">
        <f t="array" ref="K534">SUM(IF(Tabla5[[#This Row],[Orden Cobrada]]="Cobrada",IF(Cocina!A:A=Tabla5[[#This Row],[Nº Orden]],Cocina!F:F*Cocina!G:G,0),-Tabla6[[#This Row],[Precio Cena]]))</f>
        <v>137</v>
      </c>
      <c r="L534" s="5">
        <f>IF(Tabla5[[#This Row],[Orden Cobrada]]="Cobrada",Tabla5[[#This Row],[Ganancia Bruta]]-Tabla6[[#This Row],[Coste Cena]],-Tabla6[[#This Row],[Precio Cena]]+Tabla6[[#This Row],[Coste Cena]])</f>
        <v>56</v>
      </c>
      <c r="M534" s="10">
        <f>IF(Tabla5[[#This Row],[Orden Cobrada]]="Cobrada",((Tabla5[[#This Row],[Ganancia Neta]]/Tabla5[[#This Row],[Ganancia Bruta]])*100)/100,-((Tabla5[[#This Row],[Ganancia Neta]]/Tabla5[[#This Row],[Ganancia Bruta]]*100)/100))</f>
        <v>0.4087591240875913</v>
      </c>
      <c r="N534" s="5" t="str">
        <f>sala!F533</f>
        <v>Mesero_3</v>
      </c>
      <c r="AY534" cm="1">
        <f t="array" ref="AY534">SUM(IF(Cocina!A:A=Tabla5[[#This Row],[Nº Orden]],Cocina!F:F*Cocina!G:G,0))</f>
        <v>137</v>
      </c>
      <c r="AZ534" cm="1">
        <f t="array" ref="AZ534">SUM(IF(Cocina!A:A=Tabla5[[#This Row],[Nº Orden]],Cocina!E:E*Cocina!G:G,0))</f>
        <v>81</v>
      </c>
      <c r="BB534" t="str">
        <f>MID(Tabla4[[#This Row],[Cliente]], SEARCH("_", Tabla4[[#This Row],[Cliente]]) + 1, LEN(Tabla4[[#This Row],[Cliente]]) - SEARCH("_",Tabla4[[#This Row],[Cliente]]))</f>
        <v>63</v>
      </c>
      <c r="BC534" t="str">
        <f>sala!B533</f>
        <v>Cliente_63</v>
      </c>
      <c r="BD534" s="1">
        <f>sala!D533</f>
        <v>45022.074999999997</v>
      </c>
      <c r="BE534" s="1">
        <f>sala!E533</f>
        <v>45022.226388888892</v>
      </c>
      <c r="BF534">
        <f>sala!K533</f>
        <v>532</v>
      </c>
      <c r="BG534">
        <f>sala!I533</f>
        <v>1795</v>
      </c>
      <c r="BH534" cm="1">
        <f t="array" ref="BH534">SUM(IF(Cocina!A:A=Tabla4[[#This Row],[Número de Orden]],Cocina!F:F*Cocina!G:G,0))</f>
        <v>137</v>
      </c>
      <c r="BI534" t="str">
        <f>sala!J533</f>
        <v>Reservada</v>
      </c>
      <c r="BJ534" s="4" t="str">
        <f>IF(Tabla4[[#This Row],[Estado mesa]]="Ocupada","00:15","00:00")</f>
        <v>00:00</v>
      </c>
      <c r="BK534" cm="1">
        <f t="array" ref="BK534">SUM(IF(Cocina!A:A=Tabla4[[#This Row],[Número de Orden]],Cocina!H:H,0))</f>
        <v>59</v>
      </c>
    </row>
    <row r="535" spans="1:63" x14ac:dyDescent="0.3">
      <c r="A535" s="8" t="str">
        <f>MID(Tabla4[[#This Row],[Cliente]], SEARCH("_", Tabla4[[#This Row],[Cliente]]) + 1, LEN(Tabla4[[#This Row],[Cliente]]) - SEARCH("_",Tabla4[[#This Row],[Cliente]]))</f>
        <v>336</v>
      </c>
      <c r="B535">
        <f>sala!K534</f>
        <v>533</v>
      </c>
      <c r="C535">
        <f>Tabla4[[#This Row],[Propina]]+Tabla4[[#This Row],[Precio Cena]]</f>
        <v>2050</v>
      </c>
      <c r="D535" s="3">
        <f>INT(sala!E534)</f>
        <v>45022</v>
      </c>
      <c r="E535" s="4">
        <f>MOD( sala!D534,1)</f>
        <v>0.13472222222480923</v>
      </c>
      <c r="F535" s="4">
        <f>MOD( sala!E534,1)</f>
        <v>0.22222222221898846</v>
      </c>
      <c r="G535" s="4">
        <f>Tabla5[[#This Row],[Hora de Salida]]-Tabla5[[#This Row],[Hora de Llegada]]+Tabla4[[#This Row],[Tiempo Extra]]</f>
        <v>8.7499999994179234E-2</v>
      </c>
      <c r="H535" s="5" t="str">
        <f>TEXT(Tabla4[[#This Row],[Preparación en horas]]/1440, "h:mm")</f>
        <v>0:48</v>
      </c>
      <c r="I535" s="4">
        <f>IF(Tabla5[[#This Row],[Tiempo Permanencia]]-Tabla5[[#This Row],[Tiempo de Preparación ]]&gt;=0,Tabla5[[#This Row],[Tiempo Permanencia]]-Tabla5[[#This Row],[Tiempo de Preparación ]],0)</f>
        <v>5.4166666660845901E-2</v>
      </c>
      <c r="J535" s="5" t="str">
        <f>IF(Tabla5[[#This Row],[Tiempo de Degustación]]=0,"No Cobrada","Cobrada")</f>
        <v>Cobrada</v>
      </c>
      <c r="K535" s="5" cm="1">
        <f t="array" ref="K535">SUM(IF(Tabla5[[#This Row],[Orden Cobrada]]="Cobrada",IF(Cocina!A:A=Tabla5[[#This Row],[Nº Orden]],Cocina!F:F*Cocina!G:G,0),-Tabla6[[#This Row],[Precio Cena]]))</f>
        <v>41</v>
      </c>
      <c r="L535" s="5">
        <f>IF(Tabla5[[#This Row],[Orden Cobrada]]="Cobrada",Tabla5[[#This Row],[Ganancia Bruta]]-Tabla6[[#This Row],[Coste Cena]],-Tabla6[[#This Row],[Precio Cena]]+Tabla6[[#This Row],[Coste Cena]])</f>
        <v>16</v>
      </c>
      <c r="M535" s="10">
        <f>IF(Tabla5[[#This Row],[Orden Cobrada]]="Cobrada",((Tabla5[[#This Row],[Ganancia Neta]]/Tabla5[[#This Row],[Ganancia Bruta]])*100)/100,-((Tabla5[[#This Row],[Ganancia Neta]]/Tabla5[[#This Row],[Ganancia Bruta]]*100)/100))</f>
        <v>0.3902439024390244</v>
      </c>
      <c r="N535" s="5" t="str">
        <f>sala!F534</f>
        <v>Mesero_5</v>
      </c>
      <c r="AY535" cm="1">
        <f t="array" ref="AY535">SUM(IF(Cocina!A:A=Tabla5[[#This Row],[Nº Orden]],Cocina!F:F*Cocina!G:G,0))</f>
        <v>41</v>
      </c>
      <c r="AZ535" cm="1">
        <f t="array" ref="AZ535">SUM(IF(Cocina!A:A=Tabla5[[#This Row],[Nº Orden]],Cocina!E:E*Cocina!G:G,0))</f>
        <v>25</v>
      </c>
      <c r="BB535" t="str">
        <f>MID(Tabla4[[#This Row],[Cliente]], SEARCH("_", Tabla4[[#This Row],[Cliente]]) + 1, LEN(Tabla4[[#This Row],[Cliente]]) - SEARCH("_",Tabla4[[#This Row],[Cliente]]))</f>
        <v>336</v>
      </c>
      <c r="BC535" t="str">
        <f>sala!B534</f>
        <v>Cliente_336</v>
      </c>
      <c r="BD535" s="1">
        <f>sala!D534</f>
        <v>45022.134722222225</v>
      </c>
      <c r="BE535" s="1">
        <f>sala!E534</f>
        <v>45022.222222222219</v>
      </c>
      <c r="BF535">
        <f>sala!K534</f>
        <v>533</v>
      </c>
      <c r="BG535">
        <f>sala!I534</f>
        <v>2009</v>
      </c>
      <c r="BH535" cm="1">
        <f t="array" ref="BH535">SUM(IF(Cocina!A:A=Tabla4[[#This Row],[Número de Orden]],Cocina!F:F*Cocina!G:G,0))</f>
        <v>41</v>
      </c>
      <c r="BI535" t="str">
        <f>sala!J534</f>
        <v>Libre</v>
      </c>
      <c r="BJ535" s="4" t="str">
        <f>IF(Tabla4[[#This Row],[Estado mesa]]="Ocupada","00:15","00:00")</f>
        <v>00:00</v>
      </c>
      <c r="BK535" cm="1">
        <f t="array" ref="BK535">SUM(IF(Cocina!A:A=Tabla4[[#This Row],[Número de Orden]],Cocina!H:H,0))</f>
        <v>48</v>
      </c>
    </row>
    <row r="536" spans="1:63" x14ac:dyDescent="0.3">
      <c r="A536" s="8" t="str">
        <f>MID(Tabla4[[#This Row],[Cliente]], SEARCH("_", Tabla4[[#This Row],[Cliente]]) + 1, LEN(Tabla4[[#This Row],[Cliente]]) - SEARCH("_",Tabla4[[#This Row],[Cliente]]))</f>
        <v>113</v>
      </c>
      <c r="B536">
        <f>sala!K535</f>
        <v>534</v>
      </c>
      <c r="C536">
        <f>Tabla4[[#This Row],[Propina]]+Tabla4[[#This Row],[Precio Cena]]</f>
        <v>2506</v>
      </c>
      <c r="D536" s="3">
        <f>INT(sala!E535)</f>
        <v>45022</v>
      </c>
      <c r="E536" s="4">
        <f>MOD( sala!D535,1)</f>
        <v>4.3055555557657499E-2</v>
      </c>
      <c r="F536" s="4">
        <f>MOD( sala!E535,1)</f>
        <v>0.18680555555329192</v>
      </c>
      <c r="G536" s="4">
        <f>Tabla5[[#This Row],[Hora de Salida]]-Tabla5[[#This Row],[Hora de Llegada]]+Tabla4[[#This Row],[Tiempo Extra]]</f>
        <v>0.14374999999563443</v>
      </c>
      <c r="H536" s="5" t="str">
        <f>TEXT(Tabla4[[#This Row],[Preparación en horas]]/1440, "h:mm")</f>
        <v>1:16</v>
      </c>
      <c r="I536" s="4">
        <f>IF(Tabla5[[#This Row],[Tiempo Permanencia]]-Tabla5[[#This Row],[Tiempo de Preparación ]]&gt;=0,Tabla5[[#This Row],[Tiempo Permanencia]]-Tabla5[[#This Row],[Tiempo de Preparación ]],0)</f>
        <v>9.0972222217856641E-2</v>
      </c>
      <c r="J536" s="5" t="str">
        <f>IF(Tabla5[[#This Row],[Tiempo de Degustación]]=0,"No Cobrada","Cobrada")</f>
        <v>Cobrada</v>
      </c>
      <c r="K536" s="5" cm="1">
        <f t="array" ref="K536">SUM(IF(Tabla5[[#This Row],[Orden Cobrada]]="Cobrada",IF(Cocina!A:A=Tabla5[[#This Row],[Nº Orden]],Cocina!F:F*Cocina!G:G,0),-Tabla6[[#This Row],[Precio Cena]]))</f>
        <v>147</v>
      </c>
      <c r="L536" s="5">
        <f>IF(Tabla5[[#This Row],[Orden Cobrada]]="Cobrada",Tabla5[[#This Row],[Ganancia Bruta]]-Tabla6[[#This Row],[Coste Cena]],-Tabla6[[#This Row],[Precio Cena]]+Tabla6[[#This Row],[Coste Cena]])</f>
        <v>60</v>
      </c>
      <c r="M536" s="10">
        <f>IF(Tabla5[[#This Row],[Orden Cobrada]]="Cobrada",((Tabla5[[#This Row],[Ganancia Neta]]/Tabla5[[#This Row],[Ganancia Bruta]])*100)/100,-((Tabla5[[#This Row],[Ganancia Neta]]/Tabla5[[#This Row],[Ganancia Bruta]]*100)/100))</f>
        <v>0.40816326530612246</v>
      </c>
      <c r="N536" s="5" t="str">
        <f>sala!F535</f>
        <v>Mesero_4</v>
      </c>
      <c r="AY536" cm="1">
        <f t="array" ref="AY536">SUM(IF(Cocina!A:A=Tabla5[[#This Row],[Nº Orden]],Cocina!F:F*Cocina!G:G,0))</f>
        <v>147</v>
      </c>
      <c r="AZ536" cm="1">
        <f t="array" ref="AZ536">SUM(IF(Cocina!A:A=Tabla5[[#This Row],[Nº Orden]],Cocina!E:E*Cocina!G:G,0))</f>
        <v>87</v>
      </c>
      <c r="BB536" t="str">
        <f>MID(Tabla4[[#This Row],[Cliente]], SEARCH("_", Tabla4[[#This Row],[Cliente]]) + 1, LEN(Tabla4[[#This Row],[Cliente]]) - SEARCH("_",Tabla4[[#This Row],[Cliente]]))</f>
        <v>113</v>
      </c>
      <c r="BC536" t="str">
        <f>sala!B535</f>
        <v>Cliente_113</v>
      </c>
      <c r="BD536" s="1">
        <f>sala!D535</f>
        <v>45022.043055555558</v>
      </c>
      <c r="BE536" s="1">
        <f>sala!E535</f>
        <v>45022.186805555553</v>
      </c>
      <c r="BF536">
        <f>sala!K535</f>
        <v>534</v>
      </c>
      <c r="BG536">
        <f>sala!I535</f>
        <v>2359</v>
      </c>
      <c r="BH536" cm="1">
        <f t="array" ref="BH536">SUM(IF(Cocina!A:A=Tabla4[[#This Row],[Número de Orden]],Cocina!F:F*Cocina!G:G,0))</f>
        <v>147</v>
      </c>
      <c r="BI536" t="str">
        <f>sala!J535</f>
        <v>Reservada</v>
      </c>
      <c r="BJ536" s="4" t="str">
        <f>IF(Tabla4[[#This Row],[Estado mesa]]="Ocupada","00:15","00:00")</f>
        <v>00:00</v>
      </c>
      <c r="BK536" cm="1">
        <f t="array" ref="BK536">SUM(IF(Cocina!A:A=Tabla4[[#This Row],[Número de Orden]],Cocina!H:H,0))</f>
        <v>76</v>
      </c>
    </row>
    <row r="537" spans="1:63" x14ac:dyDescent="0.3">
      <c r="A537" s="8" t="str">
        <f>MID(Tabla4[[#This Row],[Cliente]], SEARCH("_", Tabla4[[#This Row],[Cliente]]) + 1, LEN(Tabla4[[#This Row],[Cliente]]) - SEARCH("_",Tabla4[[#This Row],[Cliente]]))</f>
        <v>711</v>
      </c>
      <c r="B537">
        <f>sala!K536</f>
        <v>535</v>
      </c>
      <c r="C537">
        <f>Tabla4[[#This Row],[Propina]]+Tabla4[[#This Row],[Precio Cena]]</f>
        <v>4221</v>
      </c>
      <c r="D537" s="3">
        <f>INT(sala!E536)</f>
        <v>45022</v>
      </c>
      <c r="E537" s="4">
        <f>MOD( sala!D536,1)</f>
        <v>3.9583333331393078E-2</v>
      </c>
      <c r="F537" s="4">
        <f>MOD( sala!E536,1)</f>
        <v>0.14722222222189885</v>
      </c>
      <c r="G537" s="4">
        <f>Tabla5[[#This Row],[Hora de Salida]]-Tabla5[[#This Row],[Hora de Llegada]]+Tabla4[[#This Row],[Tiempo Extra]]</f>
        <v>0.10763888889050577</v>
      </c>
      <c r="H537" s="5" t="str">
        <f>TEXT(Tabla4[[#This Row],[Preparación en horas]]/1440, "h:mm")</f>
        <v>1:53</v>
      </c>
      <c r="I537" s="4">
        <f>IF(Tabla5[[#This Row],[Tiempo Permanencia]]-Tabla5[[#This Row],[Tiempo de Preparación ]]&gt;=0,Tabla5[[#This Row],[Tiempo Permanencia]]-Tabla5[[#This Row],[Tiempo de Preparación ]],0)</f>
        <v>2.9166666668283547E-2</v>
      </c>
      <c r="J537" s="5" t="str">
        <f>IF(Tabla5[[#This Row],[Tiempo de Degustación]]=0,"No Cobrada","Cobrada")</f>
        <v>Cobrada</v>
      </c>
      <c r="K537" s="5" cm="1">
        <f t="array" ref="K537">SUM(IF(Tabla5[[#This Row],[Orden Cobrada]]="Cobrada",IF(Cocina!A:A=Tabla5[[#This Row],[Nº Orden]],Cocina!F:F*Cocina!G:G,0),-Tabla6[[#This Row],[Precio Cena]]))</f>
        <v>276</v>
      </c>
      <c r="L537" s="5">
        <f>IF(Tabla5[[#This Row],[Orden Cobrada]]="Cobrada",Tabla5[[#This Row],[Ganancia Bruta]]-Tabla6[[#This Row],[Coste Cena]],-Tabla6[[#This Row],[Precio Cena]]+Tabla6[[#This Row],[Coste Cena]])</f>
        <v>109</v>
      </c>
      <c r="M537" s="10">
        <f>IF(Tabla5[[#This Row],[Orden Cobrada]]="Cobrada",((Tabla5[[#This Row],[Ganancia Neta]]/Tabla5[[#This Row],[Ganancia Bruta]])*100)/100,-((Tabla5[[#This Row],[Ganancia Neta]]/Tabla5[[#This Row],[Ganancia Bruta]]*100)/100))</f>
        <v>0.39492753623188404</v>
      </c>
      <c r="N537" s="5" t="str">
        <f>sala!F536</f>
        <v>Mesero_1</v>
      </c>
      <c r="AY537" cm="1">
        <f t="array" ref="AY537">SUM(IF(Cocina!A:A=Tabla5[[#This Row],[Nº Orden]],Cocina!F:F*Cocina!G:G,0))</f>
        <v>276</v>
      </c>
      <c r="AZ537" cm="1">
        <f t="array" ref="AZ537">SUM(IF(Cocina!A:A=Tabla5[[#This Row],[Nº Orden]],Cocina!E:E*Cocina!G:G,0))</f>
        <v>167</v>
      </c>
      <c r="BB537" t="str">
        <f>MID(Tabla4[[#This Row],[Cliente]], SEARCH("_", Tabla4[[#This Row],[Cliente]]) + 1, LEN(Tabla4[[#This Row],[Cliente]]) - SEARCH("_",Tabla4[[#This Row],[Cliente]]))</f>
        <v>711</v>
      </c>
      <c r="BC537" t="str">
        <f>sala!B536</f>
        <v>Cliente_711</v>
      </c>
      <c r="BD537" s="1">
        <f>sala!D536</f>
        <v>45022.039583333331</v>
      </c>
      <c r="BE537" s="1">
        <f>sala!E536</f>
        <v>45022.147222222222</v>
      </c>
      <c r="BF537">
        <f>sala!K536</f>
        <v>535</v>
      </c>
      <c r="BG537">
        <f>sala!I536</f>
        <v>3945</v>
      </c>
      <c r="BH537" cm="1">
        <f t="array" ref="BH537">SUM(IF(Cocina!A:A=Tabla4[[#This Row],[Número de Orden]],Cocina!F:F*Cocina!G:G,0))</f>
        <v>276</v>
      </c>
      <c r="BI537" t="str">
        <f>sala!J536</f>
        <v>Libre</v>
      </c>
      <c r="BJ537" s="4" t="str">
        <f>IF(Tabla4[[#This Row],[Estado mesa]]="Ocupada","00:15","00:00")</f>
        <v>00:00</v>
      </c>
      <c r="BK537" cm="1">
        <f t="array" ref="BK537">SUM(IF(Cocina!A:A=Tabla4[[#This Row],[Número de Orden]],Cocina!H:H,0))</f>
        <v>113</v>
      </c>
    </row>
    <row r="538" spans="1:63" x14ac:dyDescent="0.3">
      <c r="A538" s="8" t="str">
        <f>MID(Tabla4[[#This Row],[Cliente]], SEARCH("_", Tabla4[[#This Row],[Cliente]]) + 1, LEN(Tabla4[[#This Row],[Cliente]]) - SEARCH("_",Tabla4[[#This Row],[Cliente]]))</f>
        <v>785</v>
      </c>
      <c r="B538">
        <f>sala!K537</f>
        <v>536</v>
      </c>
      <c r="C538">
        <f>Tabla4[[#This Row],[Propina]]+Tabla4[[#This Row],[Precio Cena]]</f>
        <v>672</v>
      </c>
      <c r="D538" s="3">
        <f>INT(sala!E537)</f>
        <v>45022</v>
      </c>
      <c r="E538" s="4">
        <f>MOD( sala!D537,1)</f>
        <v>0.10486111111094942</v>
      </c>
      <c r="F538" s="4">
        <f>MOD( sala!E537,1)</f>
        <v>0.19374999999854481</v>
      </c>
      <c r="G538" s="4">
        <f>Tabla5[[#This Row],[Hora de Salida]]-Tabla5[[#This Row],[Hora de Llegada]]+Tabla4[[#This Row],[Tiempo Extra]]</f>
        <v>8.8888888887595385E-2</v>
      </c>
      <c r="H538" s="5" t="str">
        <f>TEXT(Tabla4[[#This Row],[Preparación en horas]]/1440, "h:mm")</f>
        <v>2:32</v>
      </c>
      <c r="I538" s="4">
        <f>IF(Tabla5[[#This Row],[Tiempo Permanencia]]-Tabla5[[#This Row],[Tiempo de Preparación ]]&gt;=0,Tabla5[[#This Row],[Tiempo Permanencia]]-Tabla5[[#This Row],[Tiempo de Preparación ]],0)</f>
        <v>0</v>
      </c>
      <c r="J538" s="5" t="str">
        <f>IF(Tabla5[[#This Row],[Tiempo de Degustación]]=0,"No Cobrada","Cobrada")</f>
        <v>No Cobrada</v>
      </c>
      <c r="K538" s="5" cm="1">
        <f t="array" ref="K538">SUM(IF(Tabla5[[#This Row],[Orden Cobrada]]="Cobrada",IF(Cocina!A:A=Tabla5[[#This Row],[Nº Orden]],Cocina!F:F*Cocina!G:G,0),-Tabla6[[#This Row],[Precio Cena]]))</f>
        <v>-212</v>
      </c>
      <c r="L538" s="5">
        <f>IF(Tabla5[[#This Row],[Orden Cobrada]]="Cobrada",Tabla5[[#This Row],[Ganancia Bruta]]-Tabla6[[#This Row],[Coste Cena]],-Tabla6[[#This Row],[Precio Cena]]+Tabla6[[#This Row],[Coste Cena]])</f>
        <v>-86</v>
      </c>
      <c r="M538" s="10">
        <f>IF(Tabla5[[#This Row],[Orden Cobrada]]="Cobrada",((Tabla5[[#This Row],[Ganancia Neta]]/Tabla5[[#This Row],[Ganancia Bruta]])*100)/100,-((Tabla5[[#This Row],[Ganancia Neta]]/Tabla5[[#This Row],[Ganancia Bruta]]*100)/100))</f>
        <v>-0.40566037735849059</v>
      </c>
      <c r="N538" s="5" t="str">
        <f>sala!F537</f>
        <v>Mesero_4</v>
      </c>
      <c r="AY538" cm="1">
        <f t="array" ref="AY538">SUM(IF(Cocina!A:A=Tabla5[[#This Row],[Nº Orden]],Cocina!F:F*Cocina!G:G,0))</f>
        <v>212</v>
      </c>
      <c r="AZ538" cm="1">
        <f t="array" ref="AZ538">SUM(IF(Cocina!A:A=Tabla5[[#This Row],[Nº Orden]],Cocina!E:E*Cocina!G:G,0))</f>
        <v>126</v>
      </c>
      <c r="BB538" t="str">
        <f>MID(Tabla4[[#This Row],[Cliente]], SEARCH("_", Tabla4[[#This Row],[Cliente]]) + 1, LEN(Tabla4[[#This Row],[Cliente]]) - SEARCH("_",Tabla4[[#This Row],[Cliente]]))</f>
        <v>785</v>
      </c>
      <c r="BC538" t="str">
        <f>sala!B537</f>
        <v>Cliente_785</v>
      </c>
      <c r="BD538" s="1">
        <f>sala!D537</f>
        <v>45022.104861111111</v>
      </c>
      <c r="BE538" s="1">
        <f>sala!E537</f>
        <v>45022.193749999999</v>
      </c>
      <c r="BF538">
        <f>sala!K537</f>
        <v>536</v>
      </c>
      <c r="BG538">
        <f>sala!I537</f>
        <v>460</v>
      </c>
      <c r="BH538" cm="1">
        <f t="array" ref="BH538">SUM(IF(Cocina!A:A=Tabla4[[#This Row],[Número de Orden]],Cocina!F:F*Cocina!G:G,0))</f>
        <v>212</v>
      </c>
      <c r="BI538" t="str">
        <f>sala!J537</f>
        <v>Reservada</v>
      </c>
      <c r="BJ538" s="4" t="str">
        <f>IF(Tabla4[[#This Row],[Estado mesa]]="Ocupada","00:15","00:00")</f>
        <v>00:00</v>
      </c>
      <c r="BK538" cm="1">
        <f t="array" ref="BK538">SUM(IF(Cocina!A:A=Tabla4[[#This Row],[Número de Orden]],Cocina!H:H,0))</f>
        <v>152</v>
      </c>
    </row>
    <row r="539" spans="1:63" x14ac:dyDescent="0.3">
      <c r="A539" s="8" t="str">
        <f>MID(Tabla4[[#This Row],[Cliente]], SEARCH("_", Tabla4[[#This Row],[Cliente]]) + 1, LEN(Tabla4[[#This Row],[Cliente]]) - SEARCH("_",Tabla4[[#This Row],[Cliente]]))</f>
        <v>486</v>
      </c>
      <c r="B539">
        <f>sala!K538</f>
        <v>537</v>
      </c>
      <c r="C539">
        <f>Tabla4[[#This Row],[Propina]]+Tabla4[[#This Row],[Precio Cena]]</f>
        <v>2931</v>
      </c>
      <c r="D539" s="3">
        <f>INT(sala!E538)</f>
        <v>45022</v>
      </c>
      <c r="E539" s="4">
        <f>MOD( sala!D538,1)</f>
        <v>1.6666666670062114E-2</v>
      </c>
      <c r="F539" s="4">
        <f>MOD( sala!E538,1)</f>
        <v>8.9583333334303461E-2</v>
      </c>
      <c r="G539" s="4">
        <f>Tabla5[[#This Row],[Hora de Salida]]-Tabla5[[#This Row],[Hora de Llegada]]+Tabla4[[#This Row],[Tiempo Extra]]</f>
        <v>8.3333333330908019E-2</v>
      </c>
      <c r="H539" s="5" t="str">
        <f>TEXT(Tabla4[[#This Row],[Preparación en horas]]/1440, "h:mm")</f>
        <v>0:21</v>
      </c>
      <c r="I539" s="4">
        <f>IF(Tabla5[[#This Row],[Tiempo Permanencia]]-Tabla5[[#This Row],[Tiempo de Preparación ]]&gt;=0,Tabla5[[#This Row],[Tiempo Permanencia]]-Tabla5[[#This Row],[Tiempo de Preparación ]],0)</f>
        <v>6.8749999997574682E-2</v>
      </c>
      <c r="J539" s="5" t="str">
        <f>IF(Tabla5[[#This Row],[Tiempo de Degustación]]=0,"No Cobrada","Cobrada")</f>
        <v>Cobrada</v>
      </c>
      <c r="K539" s="5" cm="1">
        <f t="array" ref="K539">SUM(IF(Tabla5[[#This Row],[Orden Cobrada]]="Cobrada",IF(Cocina!A:A=Tabla5[[#This Row],[Nº Orden]],Cocina!F:F*Cocina!G:G,0),-Tabla6[[#This Row],[Precio Cena]]))</f>
        <v>63</v>
      </c>
      <c r="L539" s="5">
        <f>IF(Tabla5[[#This Row],[Orden Cobrada]]="Cobrada",Tabla5[[#This Row],[Ganancia Bruta]]-Tabla6[[#This Row],[Coste Cena]],-Tabla6[[#This Row],[Precio Cena]]+Tabla6[[#This Row],[Coste Cena]])</f>
        <v>24</v>
      </c>
      <c r="M539" s="10">
        <f>IF(Tabla5[[#This Row],[Orden Cobrada]]="Cobrada",((Tabla5[[#This Row],[Ganancia Neta]]/Tabla5[[#This Row],[Ganancia Bruta]])*100)/100,-((Tabla5[[#This Row],[Ganancia Neta]]/Tabla5[[#This Row],[Ganancia Bruta]]*100)/100))</f>
        <v>0.38095238095238093</v>
      </c>
      <c r="N539" s="5" t="str">
        <f>sala!F538</f>
        <v>Mesero_3</v>
      </c>
      <c r="AY539" cm="1">
        <f t="array" ref="AY539">SUM(IF(Cocina!A:A=Tabla5[[#This Row],[Nº Orden]],Cocina!F:F*Cocina!G:G,0))</f>
        <v>63</v>
      </c>
      <c r="AZ539" cm="1">
        <f t="array" ref="AZ539">SUM(IF(Cocina!A:A=Tabla5[[#This Row],[Nº Orden]],Cocina!E:E*Cocina!G:G,0))</f>
        <v>39</v>
      </c>
      <c r="BB539" t="str">
        <f>MID(Tabla4[[#This Row],[Cliente]], SEARCH("_", Tabla4[[#This Row],[Cliente]]) + 1, LEN(Tabla4[[#This Row],[Cliente]]) - SEARCH("_",Tabla4[[#This Row],[Cliente]]))</f>
        <v>486</v>
      </c>
      <c r="BC539" t="str">
        <f>sala!B538</f>
        <v>Cliente_486</v>
      </c>
      <c r="BD539" s="1">
        <f>sala!D538</f>
        <v>45022.01666666667</v>
      </c>
      <c r="BE539" s="1">
        <f>sala!E538</f>
        <v>45022.089583333334</v>
      </c>
      <c r="BF539">
        <f>sala!K538</f>
        <v>537</v>
      </c>
      <c r="BG539">
        <f>sala!I538</f>
        <v>2868</v>
      </c>
      <c r="BH539" cm="1">
        <f t="array" ref="BH539">SUM(IF(Cocina!A:A=Tabla4[[#This Row],[Número de Orden]],Cocina!F:F*Cocina!G:G,0))</f>
        <v>63</v>
      </c>
      <c r="BI539" t="str">
        <f>sala!J538</f>
        <v>Ocupada</v>
      </c>
      <c r="BJ539" s="4" t="str">
        <f>IF(Tabla4[[#This Row],[Estado mesa]]="Ocupada","00:15","00:00")</f>
        <v>00:15</v>
      </c>
      <c r="BK539" cm="1">
        <f t="array" ref="BK539">SUM(IF(Cocina!A:A=Tabla4[[#This Row],[Número de Orden]],Cocina!H:H,0))</f>
        <v>21</v>
      </c>
    </row>
    <row r="540" spans="1:63" x14ac:dyDescent="0.3">
      <c r="A540" s="8" t="str">
        <f>MID(Tabla4[[#This Row],[Cliente]], SEARCH("_", Tabla4[[#This Row],[Cliente]]) + 1, LEN(Tabla4[[#This Row],[Cliente]]) - SEARCH("_",Tabla4[[#This Row],[Cliente]]))</f>
        <v>397</v>
      </c>
      <c r="B540">
        <f>sala!K539</f>
        <v>538</v>
      </c>
      <c r="C540">
        <f>Tabla4[[#This Row],[Propina]]+Tabla4[[#This Row],[Precio Cena]]</f>
        <v>4277</v>
      </c>
      <c r="D540" s="3">
        <f>INT(sala!E539)</f>
        <v>45022</v>
      </c>
      <c r="E540" s="4">
        <f>MOD( sala!D539,1)</f>
        <v>0.13819444444379769</v>
      </c>
      <c r="F540" s="4">
        <f>MOD( sala!E539,1)</f>
        <v>0.23124999999708962</v>
      </c>
      <c r="G540" s="4">
        <f>Tabla5[[#This Row],[Hora de Salida]]-Tabla5[[#This Row],[Hora de Llegada]]+Tabla4[[#This Row],[Tiempo Extra]]</f>
        <v>9.3055555553291924E-2</v>
      </c>
      <c r="H540" s="5" t="str">
        <f>TEXT(Tabla4[[#This Row],[Preparación en horas]]/1440, "h:mm")</f>
        <v>3:18</v>
      </c>
      <c r="I540" s="4">
        <f>IF(Tabla5[[#This Row],[Tiempo Permanencia]]-Tabla5[[#This Row],[Tiempo de Preparación ]]&gt;=0,Tabla5[[#This Row],[Tiempo Permanencia]]-Tabla5[[#This Row],[Tiempo de Preparación ]],0)</f>
        <v>0</v>
      </c>
      <c r="J540" s="5" t="str">
        <f>IF(Tabla5[[#This Row],[Tiempo de Degustación]]=0,"No Cobrada","Cobrada")</f>
        <v>No Cobrada</v>
      </c>
      <c r="K540" s="5" cm="1">
        <f t="array" ref="K540">SUM(IF(Tabla5[[#This Row],[Orden Cobrada]]="Cobrada",IF(Cocina!A:A=Tabla5[[#This Row],[Nº Orden]],Cocina!F:F*Cocina!G:G,0),-Tabla6[[#This Row],[Precio Cena]]))</f>
        <v>-142</v>
      </c>
      <c r="L540" s="5">
        <f>IF(Tabla5[[#This Row],[Orden Cobrada]]="Cobrada",Tabla5[[#This Row],[Ganancia Bruta]]-Tabla6[[#This Row],[Coste Cena]],-Tabla6[[#This Row],[Precio Cena]]+Tabla6[[#This Row],[Coste Cena]])</f>
        <v>-58</v>
      </c>
      <c r="M540" s="10">
        <f>IF(Tabla5[[#This Row],[Orden Cobrada]]="Cobrada",((Tabla5[[#This Row],[Ganancia Neta]]/Tabla5[[#This Row],[Ganancia Bruta]])*100)/100,-((Tabla5[[#This Row],[Ganancia Neta]]/Tabla5[[#This Row],[Ganancia Bruta]]*100)/100))</f>
        <v>-0.40845070422535218</v>
      </c>
      <c r="N540" s="5" t="str">
        <f>sala!F539</f>
        <v>Mesero_4</v>
      </c>
      <c r="AY540" cm="1">
        <f t="array" ref="AY540">SUM(IF(Cocina!A:A=Tabla5[[#This Row],[Nº Orden]],Cocina!F:F*Cocina!G:G,0))</f>
        <v>142</v>
      </c>
      <c r="AZ540" cm="1">
        <f t="array" ref="AZ540">SUM(IF(Cocina!A:A=Tabla5[[#This Row],[Nº Orden]],Cocina!E:E*Cocina!G:G,0))</f>
        <v>84</v>
      </c>
      <c r="BB540" t="str">
        <f>MID(Tabla4[[#This Row],[Cliente]], SEARCH("_", Tabla4[[#This Row],[Cliente]]) + 1, LEN(Tabla4[[#This Row],[Cliente]]) - SEARCH("_",Tabla4[[#This Row],[Cliente]]))</f>
        <v>397</v>
      </c>
      <c r="BC540" t="str">
        <f>sala!B539</f>
        <v>Cliente_397</v>
      </c>
      <c r="BD540" s="1">
        <f>sala!D539</f>
        <v>45022.138194444444</v>
      </c>
      <c r="BE540" s="1">
        <f>sala!E539</f>
        <v>45022.231249999997</v>
      </c>
      <c r="BF540">
        <f>sala!K539</f>
        <v>538</v>
      </c>
      <c r="BG540">
        <f>sala!I539</f>
        <v>4135</v>
      </c>
      <c r="BH540" cm="1">
        <f t="array" ref="BH540">SUM(IF(Cocina!A:A=Tabla4[[#This Row],[Número de Orden]],Cocina!F:F*Cocina!G:G,0))</f>
        <v>142</v>
      </c>
      <c r="BI540" t="str">
        <f>sala!J539</f>
        <v>Libre</v>
      </c>
      <c r="BJ540" s="4" t="str">
        <f>IF(Tabla4[[#This Row],[Estado mesa]]="Ocupada","00:15","00:00")</f>
        <v>00:00</v>
      </c>
      <c r="BK540" cm="1">
        <f t="array" ref="BK540">SUM(IF(Cocina!A:A=Tabla4[[#This Row],[Número de Orden]],Cocina!H:H,0))</f>
        <v>198</v>
      </c>
    </row>
    <row r="541" spans="1:63" x14ac:dyDescent="0.3">
      <c r="A541" s="8" t="str">
        <f>MID(Tabla4[[#This Row],[Cliente]], SEARCH("_", Tabla4[[#This Row],[Cliente]]) + 1, LEN(Tabla4[[#This Row],[Cliente]]) - SEARCH("_",Tabla4[[#This Row],[Cliente]]))</f>
        <v>554</v>
      </c>
      <c r="B541">
        <f>sala!K540</f>
        <v>539</v>
      </c>
      <c r="C541">
        <f>Tabla4[[#This Row],[Propina]]+Tabla4[[#This Row],[Precio Cena]]</f>
        <v>449</v>
      </c>
      <c r="D541" s="3">
        <f>INT(sala!E540)</f>
        <v>45022</v>
      </c>
      <c r="E541" s="4">
        <f>MOD( sala!D540,1)</f>
        <v>0.16041666666569654</v>
      </c>
      <c r="F541" s="4">
        <f>MOD( sala!E540,1)</f>
        <v>0.29166666666424135</v>
      </c>
      <c r="G541" s="4">
        <f>Tabla5[[#This Row],[Hora de Salida]]-Tabla5[[#This Row],[Hora de Llegada]]+Tabla4[[#This Row],[Tiempo Extra]]</f>
        <v>0.13124999999854481</v>
      </c>
      <c r="H541" s="5" t="str">
        <f>TEXT(Tabla4[[#This Row],[Preparación en horas]]/1440, "h:mm")</f>
        <v>2:09</v>
      </c>
      <c r="I541" s="4">
        <f>IF(Tabla5[[#This Row],[Tiempo Permanencia]]-Tabla5[[#This Row],[Tiempo de Preparación ]]&gt;=0,Tabla5[[#This Row],[Tiempo Permanencia]]-Tabla5[[#This Row],[Tiempo de Preparación ]],0)</f>
        <v>4.1666666665211474E-2</v>
      </c>
      <c r="J541" s="5" t="str">
        <f>IF(Tabla5[[#This Row],[Tiempo de Degustación]]=0,"No Cobrada","Cobrada")</f>
        <v>Cobrada</v>
      </c>
      <c r="K541" s="5" cm="1">
        <f t="array" ref="K541">SUM(IF(Tabla5[[#This Row],[Orden Cobrada]]="Cobrada",IF(Cocina!A:A=Tabla5[[#This Row],[Nº Orden]],Cocina!F:F*Cocina!G:G,0),-Tabla6[[#This Row],[Precio Cena]]))</f>
        <v>240</v>
      </c>
      <c r="L541" s="5">
        <f>IF(Tabla5[[#This Row],[Orden Cobrada]]="Cobrada",Tabla5[[#This Row],[Ganancia Bruta]]-Tabla6[[#This Row],[Coste Cena]],-Tabla6[[#This Row],[Precio Cena]]+Tabla6[[#This Row],[Coste Cena]])</f>
        <v>99</v>
      </c>
      <c r="M541" s="10">
        <f>IF(Tabla5[[#This Row],[Orden Cobrada]]="Cobrada",((Tabla5[[#This Row],[Ganancia Neta]]/Tabla5[[#This Row],[Ganancia Bruta]])*100)/100,-((Tabla5[[#This Row],[Ganancia Neta]]/Tabla5[[#This Row],[Ganancia Bruta]]*100)/100))</f>
        <v>0.41249999999999998</v>
      </c>
      <c r="N541" s="5" t="str">
        <f>sala!F540</f>
        <v>Mesero_2</v>
      </c>
      <c r="AY541" cm="1">
        <f t="array" ref="AY541">SUM(IF(Cocina!A:A=Tabla5[[#This Row],[Nº Orden]],Cocina!F:F*Cocina!G:G,0))</f>
        <v>240</v>
      </c>
      <c r="AZ541" cm="1">
        <f t="array" ref="AZ541">SUM(IF(Cocina!A:A=Tabla5[[#This Row],[Nº Orden]],Cocina!E:E*Cocina!G:G,0))</f>
        <v>141</v>
      </c>
      <c r="BB541" t="str">
        <f>MID(Tabla4[[#This Row],[Cliente]], SEARCH("_", Tabla4[[#This Row],[Cliente]]) + 1, LEN(Tabla4[[#This Row],[Cliente]]) - SEARCH("_",Tabla4[[#This Row],[Cliente]]))</f>
        <v>554</v>
      </c>
      <c r="BC541" t="str">
        <f>sala!B540</f>
        <v>Cliente_554</v>
      </c>
      <c r="BD541" s="1">
        <f>sala!D540</f>
        <v>45022.160416666666</v>
      </c>
      <c r="BE541" s="1">
        <f>sala!E540</f>
        <v>45022.291666666664</v>
      </c>
      <c r="BF541">
        <f>sala!K540</f>
        <v>539</v>
      </c>
      <c r="BG541">
        <f>sala!I540</f>
        <v>209</v>
      </c>
      <c r="BH541" cm="1">
        <f t="array" ref="BH541">SUM(IF(Cocina!A:A=Tabla4[[#This Row],[Número de Orden]],Cocina!F:F*Cocina!G:G,0))</f>
        <v>240</v>
      </c>
      <c r="BI541" t="str">
        <f>sala!J540</f>
        <v>Libre</v>
      </c>
      <c r="BJ541" s="4" t="str">
        <f>IF(Tabla4[[#This Row],[Estado mesa]]="Ocupada","00:15","00:00")</f>
        <v>00:00</v>
      </c>
      <c r="BK541" cm="1">
        <f t="array" ref="BK541">SUM(IF(Cocina!A:A=Tabla4[[#This Row],[Número de Orden]],Cocina!H:H,0))</f>
        <v>129</v>
      </c>
    </row>
    <row r="542" spans="1:63" x14ac:dyDescent="0.3">
      <c r="A542" s="8" t="str">
        <f>MID(Tabla4[[#This Row],[Cliente]], SEARCH("_", Tabla4[[#This Row],[Cliente]]) + 1, LEN(Tabla4[[#This Row],[Cliente]]) - SEARCH("_",Tabla4[[#This Row],[Cliente]]))</f>
        <v>320</v>
      </c>
      <c r="B542">
        <f>sala!K541</f>
        <v>540</v>
      </c>
      <c r="C542">
        <f>Tabla4[[#This Row],[Propina]]+Tabla4[[#This Row],[Precio Cena]]</f>
        <v>4909</v>
      </c>
      <c r="D542" s="3">
        <f>INT(sala!E541)</f>
        <v>45022</v>
      </c>
      <c r="E542" s="4">
        <f>MOD( sala!D541,1)</f>
        <v>0.15694444444670808</v>
      </c>
      <c r="F542" s="4">
        <f>MOD( sala!E541,1)</f>
        <v>0.28888888889196096</v>
      </c>
      <c r="G542" s="4">
        <f>Tabla5[[#This Row],[Hora de Salida]]-Tabla5[[#This Row],[Hora de Llegada]]+Tabla4[[#This Row],[Tiempo Extra]]</f>
        <v>0.13194444444525288</v>
      </c>
      <c r="H542" s="5" t="str">
        <f>TEXT(Tabla4[[#This Row],[Preparación en horas]]/1440, "h:mm")</f>
        <v>1:22</v>
      </c>
      <c r="I542" s="4">
        <f>IF(Tabla5[[#This Row],[Tiempo Permanencia]]-Tabla5[[#This Row],[Tiempo de Preparación ]]&gt;=0,Tabla5[[#This Row],[Tiempo Permanencia]]-Tabla5[[#This Row],[Tiempo de Preparación ]],0)</f>
        <v>7.5000000000808448E-2</v>
      </c>
      <c r="J542" s="5" t="str">
        <f>IF(Tabla5[[#This Row],[Tiempo de Degustación]]=0,"No Cobrada","Cobrada")</f>
        <v>Cobrada</v>
      </c>
      <c r="K542" s="5" cm="1">
        <f t="array" ref="K542">SUM(IF(Tabla5[[#This Row],[Orden Cobrada]]="Cobrada",IF(Cocina!A:A=Tabla5[[#This Row],[Nº Orden]],Cocina!F:F*Cocina!G:G,0),-Tabla6[[#This Row],[Precio Cena]]))</f>
        <v>124</v>
      </c>
      <c r="L542" s="5">
        <f>IF(Tabla5[[#This Row],[Orden Cobrada]]="Cobrada",Tabla5[[#This Row],[Ganancia Bruta]]-Tabla6[[#This Row],[Coste Cena]],-Tabla6[[#This Row],[Precio Cena]]+Tabla6[[#This Row],[Coste Cena]])</f>
        <v>52</v>
      </c>
      <c r="M542" s="10">
        <f>IF(Tabla5[[#This Row],[Orden Cobrada]]="Cobrada",((Tabla5[[#This Row],[Ganancia Neta]]/Tabla5[[#This Row],[Ganancia Bruta]])*100)/100,-((Tabla5[[#This Row],[Ganancia Neta]]/Tabla5[[#This Row],[Ganancia Bruta]]*100)/100))</f>
        <v>0.41935483870967744</v>
      </c>
      <c r="N542" s="5" t="str">
        <f>sala!F541</f>
        <v>Mesero_1</v>
      </c>
      <c r="AY542" cm="1">
        <f t="array" ref="AY542">SUM(IF(Cocina!A:A=Tabla5[[#This Row],[Nº Orden]],Cocina!F:F*Cocina!G:G,0))</f>
        <v>124</v>
      </c>
      <c r="AZ542" cm="1">
        <f t="array" ref="AZ542">SUM(IF(Cocina!A:A=Tabla5[[#This Row],[Nº Orden]],Cocina!E:E*Cocina!G:G,0))</f>
        <v>72</v>
      </c>
      <c r="BB542" t="str">
        <f>MID(Tabla4[[#This Row],[Cliente]], SEARCH("_", Tabla4[[#This Row],[Cliente]]) + 1, LEN(Tabla4[[#This Row],[Cliente]]) - SEARCH("_",Tabla4[[#This Row],[Cliente]]))</f>
        <v>320</v>
      </c>
      <c r="BC542" t="str">
        <f>sala!B541</f>
        <v>Cliente_320</v>
      </c>
      <c r="BD542" s="1">
        <f>sala!D541</f>
        <v>45022.156944444447</v>
      </c>
      <c r="BE542" s="1">
        <f>sala!E541</f>
        <v>45022.288888888892</v>
      </c>
      <c r="BF542">
        <f>sala!K541</f>
        <v>540</v>
      </c>
      <c r="BG542">
        <f>sala!I541</f>
        <v>4785</v>
      </c>
      <c r="BH542" cm="1">
        <f t="array" ref="BH542">SUM(IF(Cocina!A:A=Tabla4[[#This Row],[Número de Orden]],Cocina!F:F*Cocina!G:G,0))</f>
        <v>124</v>
      </c>
      <c r="BI542" t="str">
        <f>sala!J541</f>
        <v>Reservada</v>
      </c>
      <c r="BJ542" s="4" t="str">
        <f>IF(Tabla4[[#This Row],[Estado mesa]]="Ocupada","00:15","00:00")</f>
        <v>00:00</v>
      </c>
      <c r="BK542" cm="1">
        <f t="array" ref="BK542">SUM(IF(Cocina!A:A=Tabla4[[#This Row],[Número de Orden]],Cocina!H:H,0))</f>
        <v>82</v>
      </c>
    </row>
    <row r="543" spans="1:63" x14ac:dyDescent="0.3">
      <c r="A543" s="8" t="str">
        <f>MID(Tabla4[[#This Row],[Cliente]], SEARCH("_", Tabla4[[#This Row],[Cliente]]) + 1, LEN(Tabla4[[#This Row],[Cliente]]) - SEARCH("_",Tabla4[[#This Row],[Cliente]]))</f>
        <v>427</v>
      </c>
      <c r="B543">
        <f>sala!K542</f>
        <v>541</v>
      </c>
      <c r="C543">
        <f>Tabla4[[#This Row],[Propina]]+Tabla4[[#This Row],[Precio Cena]]</f>
        <v>539</v>
      </c>
      <c r="D543" s="3">
        <f>INT(sala!E542)</f>
        <v>45022</v>
      </c>
      <c r="E543" s="4">
        <f>MOD( sala!D542,1)</f>
        <v>2.2916666668606922E-2</v>
      </c>
      <c r="F543" s="4">
        <f>MOD( sala!E542,1)</f>
        <v>0.18888888888614019</v>
      </c>
      <c r="G543" s="4">
        <f>Tabla5[[#This Row],[Hora de Salida]]-Tabla5[[#This Row],[Hora de Llegada]]+Tabla4[[#This Row],[Tiempo Extra]]</f>
        <v>0.16597222221753327</v>
      </c>
      <c r="H543" s="5" t="str">
        <f>TEXT(Tabla4[[#This Row],[Preparación en horas]]/1440, "h:mm")</f>
        <v>2:04</v>
      </c>
      <c r="I543" s="4">
        <f>IF(Tabla5[[#This Row],[Tiempo Permanencia]]-Tabla5[[#This Row],[Tiempo de Preparación ]]&gt;=0,Tabla5[[#This Row],[Tiempo Permanencia]]-Tabla5[[#This Row],[Tiempo de Preparación ]],0)</f>
        <v>7.9861111106422161E-2</v>
      </c>
      <c r="J543" s="5" t="str">
        <f>IF(Tabla5[[#This Row],[Tiempo de Degustación]]=0,"No Cobrada","Cobrada")</f>
        <v>Cobrada</v>
      </c>
      <c r="K543" s="5" cm="1">
        <f t="array" ref="K543">SUM(IF(Tabla5[[#This Row],[Orden Cobrada]]="Cobrada",IF(Cocina!A:A=Tabla5[[#This Row],[Nº Orden]],Cocina!F:F*Cocina!G:G,0),-Tabla6[[#This Row],[Precio Cena]]))</f>
        <v>202</v>
      </c>
      <c r="L543" s="5">
        <f>IF(Tabla5[[#This Row],[Orden Cobrada]]="Cobrada",Tabla5[[#This Row],[Ganancia Bruta]]-Tabla6[[#This Row],[Coste Cena]],-Tabla6[[#This Row],[Precio Cena]]+Tabla6[[#This Row],[Coste Cena]])</f>
        <v>81</v>
      </c>
      <c r="M543" s="10">
        <f>IF(Tabla5[[#This Row],[Orden Cobrada]]="Cobrada",((Tabla5[[#This Row],[Ganancia Neta]]/Tabla5[[#This Row],[Ganancia Bruta]])*100)/100,-((Tabla5[[#This Row],[Ganancia Neta]]/Tabla5[[#This Row],[Ganancia Bruta]]*100)/100))</f>
        <v>0.40099009900990107</v>
      </c>
      <c r="N543" s="5" t="str">
        <f>sala!F542</f>
        <v>Mesero_1</v>
      </c>
      <c r="AY543" cm="1">
        <f t="array" ref="AY543">SUM(IF(Cocina!A:A=Tabla5[[#This Row],[Nº Orden]],Cocina!F:F*Cocina!G:G,0))</f>
        <v>202</v>
      </c>
      <c r="AZ543" cm="1">
        <f t="array" ref="AZ543">SUM(IF(Cocina!A:A=Tabla5[[#This Row],[Nº Orden]],Cocina!E:E*Cocina!G:G,0))</f>
        <v>121</v>
      </c>
      <c r="BB543" t="str">
        <f>MID(Tabla4[[#This Row],[Cliente]], SEARCH("_", Tabla4[[#This Row],[Cliente]]) + 1, LEN(Tabla4[[#This Row],[Cliente]]) - SEARCH("_",Tabla4[[#This Row],[Cliente]]))</f>
        <v>427</v>
      </c>
      <c r="BC543" t="str">
        <f>sala!B542</f>
        <v>Cliente_427</v>
      </c>
      <c r="BD543" s="1">
        <f>sala!D542</f>
        <v>45022.022916666669</v>
      </c>
      <c r="BE543" s="1">
        <f>sala!E542</f>
        <v>45022.188888888886</v>
      </c>
      <c r="BF543">
        <f>sala!K542</f>
        <v>541</v>
      </c>
      <c r="BG543">
        <f>sala!I542</f>
        <v>337</v>
      </c>
      <c r="BH543" cm="1">
        <f t="array" ref="BH543">SUM(IF(Cocina!A:A=Tabla4[[#This Row],[Número de Orden]],Cocina!F:F*Cocina!G:G,0))</f>
        <v>202</v>
      </c>
      <c r="BI543" t="str">
        <f>sala!J542</f>
        <v>Reservada</v>
      </c>
      <c r="BJ543" s="4" t="str">
        <f>IF(Tabla4[[#This Row],[Estado mesa]]="Ocupada","00:15","00:00")</f>
        <v>00:00</v>
      </c>
      <c r="BK543" cm="1">
        <f t="array" ref="BK543">SUM(IF(Cocina!A:A=Tabla4[[#This Row],[Número de Orden]],Cocina!H:H,0))</f>
        <v>124</v>
      </c>
    </row>
    <row r="544" spans="1:63" x14ac:dyDescent="0.3">
      <c r="A544" s="8" t="str">
        <f>MID(Tabla4[[#This Row],[Cliente]], SEARCH("_", Tabla4[[#This Row],[Cliente]]) + 1, LEN(Tabla4[[#This Row],[Cliente]]) - SEARCH("_",Tabla4[[#This Row],[Cliente]]))</f>
        <v>791</v>
      </c>
      <c r="B544">
        <f>sala!K543</f>
        <v>542</v>
      </c>
      <c r="C544">
        <f>Tabla4[[#This Row],[Propina]]+Tabla4[[#This Row],[Precio Cena]]</f>
        <v>5053</v>
      </c>
      <c r="D544" s="3">
        <f>INT(sala!E543)</f>
        <v>45022</v>
      </c>
      <c r="E544" s="4">
        <f>MOD( sala!D543,1)</f>
        <v>0.11597222222189885</v>
      </c>
      <c r="F544" s="4">
        <f>MOD( sala!E543,1)</f>
        <v>0.19652777777810115</v>
      </c>
      <c r="G544" s="4">
        <f>Tabla5[[#This Row],[Hora de Salida]]-Tabla5[[#This Row],[Hora de Llegada]]+Tabla4[[#This Row],[Tiempo Extra]]</f>
        <v>8.0555555556202307E-2</v>
      </c>
      <c r="H544" s="5" t="str">
        <f>TEXT(Tabla4[[#This Row],[Preparación en horas]]/1440, "h:mm")</f>
        <v>1:55</v>
      </c>
      <c r="I544" s="4">
        <f>IF(Tabla5[[#This Row],[Tiempo Permanencia]]-Tabla5[[#This Row],[Tiempo de Preparación ]]&gt;=0,Tabla5[[#This Row],[Tiempo Permanencia]]-Tabla5[[#This Row],[Tiempo de Preparación ]],0)</f>
        <v>6.944444450912024E-4</v>
      </c>
      <c r="J544" s="5" t="str">
        <f>IF(Tabla5[[#This Row],[Tiempo de Degustación]]=0,"No Cobrada","Cobrada")</f>
        <v>Cobrada</v>
      </c>
      <c r="K544" s="5" cm="1">
        <f t="array" ref="K544">SUM(IF(Tabla5[[#This Row],[Orden Cobrada]]="Cobrada",IF(Cocina!A:A=Tabla5[[#This Row],[Nº Orden]],Cocina!F:F*Cocina!G:G,0),-Tabla6[[#This Row],[Precio Cena]]))</f>
        <v>148</v>
      </c>
      <c r="L544" s="5">
        <f>IF(Tabla5[[#This Row],[Orden Cobrada]]="Cobrada",Tabla5[[#This Row],[Ganancia Bruta]]-Tabla6[[#This Row],[Coste Cena]],-Tabla6[[#This Row],[Precio Cena]]+Tabla6[[#This Row],[Coste Cena]])</f>
        <v>61</v>
      </c>
      <c r="M544" s="10">
        <f>IF(Tabla5[[#This Row],[Orden Cobrada]]="Cobrada",((Tabla5[[#This Row],[Ganancia Neta]]/Tabla5[[#This Row],[Ganancia Bruta]])*100)/100,-((Tabla5[[#This Row],[Ganancia Neta]]/Tabla5[[#This Row],[Ganancia Bruta]]*100)/100))</f>
        <v>0.41216216216216217</v>
      </c>
      <c r="N544" s="5" t="str">
        <f>sala!F543</f>
        <v>Mesero_3</v>
      </c>
      <c r="AY544" cm="1">
        <f t="array" ref="AY544">SUM(IF(Cocina!A:A=Tabla5[[#This Row],[Nº Orden]],Cocina!F:F*Cocina!G:G,0))</f>
        <v>148</v>
      </c>
      <c r="AZ544" cm="1">
        <f t="array" ref="AZ544">SUM(IF(Cocina!A:A=Tabla5[[#This Row],[Nº Orden]],Cocina!E:E*Cocina!G:G,0))</f>
        <v>87</v>
      </c>
      <c r="BB544" t="str">
        <f>MID(Tabla4[[#This Row],[Cliente]], SEARCH("_", Tabla4[[#This Row],[Cliente]]) + 1, LEN(Tabla4[[#This Row],[Cliente]]) - SEARCH("_",Tabla4[[#This Row],[Cliente]]))</f>
        <v>791</v>
      </c>
      <c r="BC544" t="str">
        <f>sala!B543</f>
        <v>Cliente_791</v>
      </c>
      <c r="BD544" s="1">
        <f>sala!D543</f>
        <v>45022.115972222222</v>
      </c>
      <c r="BE544" s="1">
        <f>sala!E543</f>
        <v>45022.196527777778</v>
      </c>
      <c r="BF544">
        <f>sala!K543</f>
        <v>542</v>
      </c>
      <c r="BG544">
        <f>sala!I543</f>
        <v>4905</v>
      </c>
      <c r="BH544" cm="1">
        <f t="array" ref="BH544">SUM(IF(Cocina!A:A=Tabla4[[#This Row],[Número de Orden]],Cocina!F:F*Cocina!G:G,0))</f>
        <v>148</v>
      </c>
      <c r="BI544" t="str">
        <f>sala!J543</f>
        <v>Reservada</v>
      </c>
      <c r="BJ544" s="4" t="str">
        <f>IF(Tabla4[[#This Row],[Estado mesa]]="Ocupada","00:15","00:00")</f>
        <v>00:00</v>
      </c>
      <c r="BK544" cm="1">
        <f t="array" ref="BK544">SUM(IF(Cocina!A:A=Tabla4[[#This Row],[Número de Orden]],Cocina!H:H,0))</f>
        <v>115</v>
      </c>
    </row>
    <row r="545" spans="1:63" x14ac:dyDescent="0.3">
      <c r="A545" s="8" t="str">
        <f>MID(Tabla4[[#This Row],[Cliente]], SEARCH("_", Tabla4[[#This Row],[Cliente]]) + 1, LEN(Tabla4[[#This Row],[Cliente]]) - SEARCH("_",Tabla4[[#This Row],[Cliente]]))</f>
        <v>996</v>
      </c>
      <c r="B545">
        <f>sala!K544</f>
        <v>543</v>
      </c>
      <c r="C545">
        <f>Tabla4[[#This Row],[Propina]]+Tabla4[[#This Row],[Precio Cena]]</f>
        <v>5143</v>
      </c>
      <c r="D545" s="3">
        <f>INT(sala!E544)</f>
        <v>45022</v>
      </c>
      <c r="E545" s="4">
        <f>MOD( sala!D544,1)</f>
        <v>3.2638888886140194E-2</v>
      </c>
      <c r="F545" s="4">
        <f>MOD( sala!E544,1)</f>
        <v>0.15069444444088731</v>
      </c>
      <c r="G545" s="4">
        <f>Tabla5[[#This Row],[Hora de Salida]]-Tabla5[[#This Row],[Hora de Llegada]]+Tabla4[[#This Row],[Tiempo Extra]]</f>
        <v>0.11805555555474712</v>
      </c>
      <c r="H545" s="5" t="str">
        <f>TEXT(Tabla4[[#This Row],[Preparación en horas]]/1440, "h:mm")</f>
        <v>1:14</v>
      </c>
      <c r="I545" s="4">
        <f>IF(Tabla5[[#This Row],[Tiempo Permanencia]]-Tabla5[[#This Row],[Tiempo de Preparación ]]&gt;=0,Tabla5[[#This Row],[Tiempo Permanencia]]-Tabla5[[#This Row],[Tiempo de Preparación ]],0)</f>
        <v>6.6666666665858229E-2</v>
      </c>
      <c r="J545" s="5" t="str">
        <f>IF(Tabla5[[#This Row],[Tiempo de Degustación]]=0,"No Cobrada","Cobrada")</f>
        <v>Cobrada</v>
      </c>
      <c r="K545" s="5" cm="1">
        <f t="array" ref="K545">SUM(IF(Tabla5[[#This Row],[Orden Cobrada]]="Cobrada",IF(Cocina!A:A=Tabla5[[#This Row],[Nº Orden]],Cocina!F:F*Cocina!G:G,0),-Tabla6[[#This Row],[Precio Cena]]))</f>
        <v>206</v>
      </c>
      <c r="L545" s="5">
        <f>IF(Tabla5[[#This Row],[Orden Cobrada]]="Cobrada",Tabla5[[#This Row],[Ganancia Bruta]]-Tabla6[[#This Row],[Coste Cena]],-Tabla6[[#This Row],[Precio Cena]]+Tabla6[[#This Row],[Coste Cena]])</f>
        <v>85</v>
      </c>
      <c r="M545" s="10">
        <f>IF(Tabla5[[#This Row],[Orden Cobrada]]="Cobrada",((Tabla5[[#This Row],[Ganancia Neta]]/Tabla5[[#This Row],[Ganancia Bruta]])*100)/100,-((Tabla5[[#This Row],[Ganancia Neta]]/Tabla5[[#This Row],[Ganancia Bruta]]*100)/100))</f>
        <v>0.41262135922330095</v>
      </c>
      <c r="N545" s="5" t="str">
        <f>sala!F544</f>
        <v>Mesero_4</v>
      </c>
      <c r="AY545" cm="1">
        <f t="array" ref="AY545">SUM(IF(Cocina!A:A=Tabla5[[#This Row],[Nº Orden]],Cocina!F:F*Cocina!G:G,0))</f>
        <v>206</v>
      </c>
      <c r="AZ545" cm="1">
        <f t="array" ref="AZ545">SUM(IF(Cocina!A:A=Tabla5[[#This Row],[Nº Orden]],Cocina!E:E*Cocina!G:G,0))</f>
        <v>121</v>
      </c>
      <c r="BB545" t="str">
        <f>MID(Tabla4[[#This Row],[Cliente]], SEARCH("_", Tabla4[[#This Row],[Cliente]]) + 1, LEN(Tabla4[[#This Row],[Cliente]]) - SEARCH("_",Tabla4[[#This Row],[Cliente]]))</f>
        <v>996</v>
      </c>
      <c r="BC545" t="str">
        <f>sala!B544</f>
        <v>Cliente_996</v>
      </c>
      <c r="BD545" s="1">
        <f>sala!D544</f>
        <v>45022.032638888886</v>
      </c>
      <c r="BE545" s="1">
        <f>sala!E544</f>
        <v>45022.150694444441</v>
      </c>
      <c r="BF545">
        <f>sala!K544</f>
        <v>543</v>
      </c>
      <c r="BG545">
        <f>sala!I544</f>
        <v>4937</v>
      </c>
      <c r="BH545" cm="1">
        <f t="array" ref="BH545">SUM(IF(Cocina!A:A=Tabla4[[#This Row],[Número de Orden]],Cocina!F:F*Cocina!G:G,0))</f>
        <v>206</v>
      </c>
      <c r="BI545" t="str">
        <f>sala!J544</f>
        <v>Reservada</v>
      </c>
      <c r="BJ545" s="4" t="str">
        <f>IF(Tabla4[[#This Row],[Estado mesa]]="Ocupada","00:15","00:00")</f>
        <v>00:00</v>
      </c>
      <c r="BK545" cm="1">
        <f t="array" ref="BK545">SUM(IF(Cocina!A:A=Tabla4[[#This Row],[Número de Orden]],Cocina!H:H,0))</f>
        <v>74</v>
      </c>
    </row>
    <row r="546" spans="1:63" x14ac:dyDescent="0.3">
      <c r="A546" s="8" t="str">
        <f>MID(Tabla4[[#This Row],[Cliente]], SEARCH("_", Tabla4[[#This Row],[Cliente]]) + 1, LEN(Tabla4[[#This Row],[Cliente]]) - SEARCH("_",Tabla4[[#This Row],[Cliente]]))</f>
        <v>392</v>
      </c>
      <c r="B546">
        <f>sala!K545</f>
        <v>544</v>
      </c>
      <c r="C546">
        <f>Tabla4[[#This Row],[Propina]]+Tabla4[[#This Row],[Precio Cena]]</f>
        <v>4561</v>
      </c>
      <c r="D546" s="3">
        <f>INT(sala!E545)</f>
        <v>45022</v>
      </c>
      <c r="E546" s="4">
        <f>MOD( sala!D545,1)</f>
        <v>0.1368055555576575</v>
      </c>
      <c r="F546" s="4">
        <f>MOD( sala!E545,1)</f>
        <v>0.19791666666424135</v>
      </c>
      <c r="G546" s="4">
        <f>Tabla5[[#This Row],[Hora de Salida]]-Tabla5[[#This Row],[Hora de Llegada]]+Tabla4[[#This Row],[Tiempo Extra]]</f>
        <v>7.152777777325052E-2</v>
      </c>
      <c r="H546" s="5" t="str">
        <f>TEXT(Tabla4[[#This Row],[Preparación en horas]]/1440, "h:mm")</f>
        <v>0:48</v>
      </c>
      <c r="I546" s="4">
        <f>IF(Tabla5[[#This Row],[Tiempo Permanencia]]-Tabla5[[#This Row],[Tiempo de Preparación ]]&gt;=0,Tabla5[[#This Row],[Tiempo Permanencia]]-Tabla5[[#This Row],[Tiempo de Preparación ]],0)</f>
        <v>3.8194444439917187E-2</v>
      </c>
      <c r="J546" s="5" t="str">
        <f>IF(Tabla5[[#This Row],[Tiempo de Degustación]]=0,"No Cobrada","Cobrada")</f>
        <v>Cobrada</v>
      </c>
      <c r="K546" s="5" cm="1">
        <f t="array" ref="K546">SUM(IF(Tabla5[[#This Row],[Orden Cobrada]]="Cobrada",IF(Cocina!A:A=Tabla5[[#This Row],[Nº Orden]],Cocina!F:F*Cocina!G:G,0),-Tabla6[[#This Row],[Precio Cena]]))</f>
        <v>70</v>
      </c>
      <c r="L546" s="5">
        <f>IF(Tabla5[[#This Row],[Orden Cobrada]]="Cobrada",Tabla5[[#This Row],[Ganancia Bruta]]-Tabla6[[#This Row],[Coste Cena]],-Tabla6[[#This Row],[Precio Cena]]+Tabla6[[#This Row],[Coste Cena]])</f>
        <v>28</v>
      </c>
      <c r="M546" s="10">
        <f>IF(Tabla5[[#This Row],[Orden Cobrada]]="Cobrada",((Tabla5[[#This Row],[Ganancia Neta]]/Tabla5[[#This Row],[Ganancia Bruta]])*100)/100,-((Tabla5[[#This Row],[Ganancia Neta]]/Tabla5[[#This Row],[Ganancia Bruta]]*100)/100))</f>
        <v>0.4</v>
      </c>
      <c r="N546" s="5" t="str">
        <f>sala!F545</f>
        <v>Mesero_5</v>
      </c>
      <c r="AY546" cm="1">
        <f t="array" ref="AY546">SUM(IF(Cocina!A:A=Tabla5[[#This Row],[Nº Orden]],Cocina!F:F*Cocina!G:G,0))</f>
        <v>70</v>
      </c>
      <c r="AZ546" cm="1">
        <f t="array" ref="AZ546">SUM(IF(Cocina!A:A=Tabla5[[#This Row],[Nº Orden]],Cocina!E:E*Cocina!G:G,0))</f>
        <v>42</v>
      </c>
      <c r="BB546" t="str">
        <f>MID(Tabla4[[#This Row],[Cliente]], SEARCH("_", Tabla4[[#This Row],[Cliente]]) + 1, LEN(Tabla4[[#This Row],[Cliente]]) - SEARCH("_",Tabla4[[#This Row],[Cliente]]))</f>
        <v>392</v>
      </c>
      <c r="BC546" t="str">
        <f>sala!B545</f>
        <v>Cliente_392</v>
      </c>
      <c r="BD546" s="1">
        <f>sala!D545</f>
        <v>45022.136805555558</v>
      </c>
      <c r="BE546" s="1">
        <f>sala!E545</f>
        <v>45022.197916666664</v>
      </c>
      <c r="BF546">
        <f>sala!K545</f>
        <v>544</v>
      </c>
      <c r="BG546">
        <f>sala!I545</f>
        <v>4491</v>
      </c>
      <c r="BH546" cm="1">
        <f t="array" ref="BH546">SUM(IF(Cocina!A:A=Tabla4[[#This Row],[Número de Orden]],Cocina!F:F*Cocina!G:G,0))</f>
        <v>70</v>
      </c>
      <c r="BI546" t="str">
        <f>sala!J545</f>
        <v>Ocupada</v>
      </c>
      <c r="BJ546" s="4" t="str">
        <f>IF(Tabla4[[#This Row],[Estado mesa]]="Ocupada","00:15","00:00")</f>
        <v>00:15</v>
      </c>
      <c r="BK546" cm="1">
        <f t="array" ref="BK546">SUM(IF(Cocina!A:A=Tabla4[[#This Row],[Número de Orden]],Cocina!H:H,0))</f>
        <v>48</v>
      </c>
    </row>
    <row r="547" spans="1:63" x14ac:dyDescent="0.3">
      <c r="A547" s="8" t="str">
        <f>MID(Tabla4[[#This Row],[Cliente]], SEARCH("_", Tabla4[[#This Row],[Cliente]]) + 1, LEN(Tabla4[[#This Row],[Cliente]]) - SEARCH("_",Tabla4[[#This Row],[Cliente]]))</f>
        <v>615</v>
      </c>
      <c r="B547">
        <f>sala!K546</f>
        <v>545</v>
      </c>
      <c r="C547">
        <f>Tabla4[[#This Row],[Propina]]+Tabla4[[#This Row],[Precio Cena]]</f>
        <v>1348</v>
      </c>
      <c r="D547" s="3">
        <f>INT(sala!E546)</f>
        <v>45022</v>
      </c>
      <c r="E547" s="4">
        <f>MOD( sala!D546,1)</f>
        <v>0.11041666667006211</v>
      </c>
      <c r="F547" s="4">
        <f>MOD( sala!E546,1)</f>
        <v>0.18472222222044365</v>
      </c>
      <c r="G547" s="4">
        <f>Tabla5[[#This Row],[Hora de Salida]]-Tabla5[[#This Row],[Hora de Llegada]]+Tabla4[[#This Row],[Tiempo Extra]]</f>
        <v>8.4722222217048213E-2</v>
      </c>
      <c r="H547" s="5" t="str">
        <f>TEXT(Tabla4[[#This Row],[Preparación en horas]]/1440, "h:mm")</f>
        <v>1:39</v>
      </c>
      <c r="I547" s="4">
        <f>IF(Tabla5[[#This Row],[Tiempo Permanencia]]-Tabla5[[#This Row],[Tiempo de Preparación ]]&gt;=0,Tabla5[[#This Row],[Tiempo Permanencia]]-Tabla5[[#This Row],[Tiempo de Preparación ]],0)</f>
        <v>1.5972222217048207E-2</v>
      </c>
      <c r="J547" s="5" t="str">
        <f>IF(Tabla5[[#This Row],[Tiempo de Degustación]]=0,"No Cobrada","Cobrada")</f>
        <v>Cobrada</v>
      </c>
      <c r="K547" s="5" cm="1">
        <f t="array" ref="K547">SUM(IF(Tabla5[[#This Row],[Orden Cobrada]]="Cobrada",IF(Cocina!A:A=Tabla5[[#This Row],[Nº Orden]],Cocina!F:F*Cocina!G:G,0),-Tabla6[[#This Row],[Precio Cena]]))</f>
        <v>130</v>
      </c>
      <c r="L547" s="5">
        <f>IF(Tabla5[[#This Row],[Orden Cobrada]]="Cobrada",Tabla5[[#This Row],[Ganancia Bruta]]-Tabla6[[#This Row],[Coste Cena]],-Tabla6[[#This Row],[Precio Cena]]+Tabla6[[#This Row],[Coste Cena]])</f>
        <v>51</v>
      </c>
      <c r="M547" s="10">
        <f>IF(Tabla5[[#This Row],[Orden Cobrada]]="Cobrada",((Tabla5[[#This Row],[Ganancia Neta]]/Tabla5[[#This Row],[Ganancia Bruta]])*100)/100,-((Tabla5[[#This Row],[Ganancia Neta]]/Tabla5[[#This Row],[Ganancia Bruta]]*100)/100))</f>
        <v>0.39230769230769236</v>
      </c>
      <c r="N547" s="5" t="str">
        <f>sala!F546</f>
        <v>Mesero_2</v>
      </c>
      <c r="AY547" cm="1">
        <f t="array" ref="AY547">SUM(IF(Cocina!A:A=Tabla5[[#This Row],[Nº Orden]],Cocina!F:F*Cocina!G:G,0))</f>
        <v>130</v>
      </c>
      <c r="AZ547" cm="1">
        <f t="array" ref="AZ547">SUM(IF(Cocina!A:A=Tabla5[[#This Row],[Nº Orden]],Cocina!E:E*Cocina!G:G,0))</f>
        <v>79</v>
      </c>
      <c r="BB547" t="str">
        <f>MID(Tabla4[[#This Row],[Cliente]], SEARCH("_", Tabla4[[#This Row],[Cliente]]) + 1, LEN(Tabla4[[#This Row],[Cliente]]) - SEARCH("_",Tabla4[[#This Row],[Cliente]]))</f>
        <v>615</v>
      </c>
      <c r="BC547" t="str">
        <f>sala!B546</f>
        <v>Cliente_615</v>
      </c>
      <c r="BD547" s="1">
        <f>sala!D546</f>
        <v>45022.11041666667</v>
      </c>
      <c r="BE547" s="1">
        <f>sala!E546</f>
        <v>45022.18472222222</v>
      </c>
      <c r="BF547">
        <f>sala!K546</f>
        <v>545</v>
      </c>
      <c r="BG547">
        <f>sala!I546</f>
        <v>1218</v>
      </c>
      <c r="BH547" cm="1">
        <f t="array" ref="BH547">SUM(IF(Cocina!A:A=Tabla4[[#This Row],[Número de Orden]],Cocina!F:F*Cocina!G:G,0))</f>
        <v>130</v>
      </c>
      <c r="BI547" t="str">
        <f>sala!J546</f>
        <v>Ocupada</v>
      </c>
      <c r="BJ547" s="4" t="str">
        <f>IF(Tabla4[[#This Row],[Estado mesa]]="Ocupada","00:15","00:00")</f>
        <v>00:15</v>
      </c>
      <c r="BK547" cm="1">
        <f t="array" ref="BK547">SUM(IF(Cocina!A:A=Tabla4[[#This Row],[Número de Orden]],Cocina!H:H,0))</f>
        <v>99</v>
      </c>
    </row>
    <row r="548" spans="1:63" x14ac:dyDescent="0.3">
      <c r="A548" s="8" t="str">
        <f>MID(Tabla4[[#This Row],[Cliente]], SEARCH("_", Tabla4[[#This Row],[Cliente]]) + 1, LEN(Tabla4[[#This Row],[Cliente]]) - SEARCH("_",Tabla4[[#This Row],[Cliente]]))</f>
        <v>968</v>
      </c>
      <c r="B548">
        <f>sala!K547</f>
        <v>546</v>
      </c>
      <c r="C548">
        <f>Tabla4[[#This Row],[Propina]]+Tabla4[[#This Row],[Precio Cena]]</f>
        <v>4873</v>
      </c>
      <c r="D548" s="3">
        <f>INT(sala!E547)</f>
        <v>45022</v>
      </c>
      <c r="E548" s="4">
        <f>MOD( sala!D547,1)</f>
        <v>0.13472222222480923</v>
      </c>
      <c r="F548" s="4">
        <f>MOD( sala!E547,1)</f>
        <v>0.22847222222480923</v>
      </c>
      <c r="G548" s="4">
        <f>Tabla5[[#This Row],[Hora de Salida]]-Tabla5[[#This Row],[Hora de Llegada]]+Tabla4[[#This Row],[Tiempo Extra]]</f>
        <v>9.375E-2</v>
      </c>
      <c r="H548" s="5" t="str">
        <f>TEXT(Tabla4[[#This Row],[Preparación en horas]]/1440, "h:mm")</f>
        <v>1:31</v>
      </c>
      <c r="I548" s="4">
        <f>IF(Tabla5[[#This Row],[Tiempo Permanencia]]-Tabla5[[#This Row],[Tiempo de Preparación ]]&gt;=0,Tabla5[[#This Row],[Tiempo Permanencia]]-Tabla5[[#This Row],[Tiempo de Preparación ]],0)</f>
        <v>3.0555555555555558E-2</v>
      </c>
      <c r="J548" s="5" t="str">
        <f>IF(Tabla5[[#This Row],[Tiempo de Degustación]]=0,"No Cobrada","Cobrada")</f>
        <v>Cobrada</v>
      </c>
      <c r="K548" s="5" cm="1">
        <f t="array" ref="K548">SUM(IF(Tabla5[[#This Row],[Orden Cobrada]]="Cobrada",IF(Cocina!A:A=Tabla5[[#This Row],[Nº Orden]],Cocina!F:F*Cocina!G:G,0),-Tabla6[[#This Row],[Precio Cena]]))</f>
        <v>92</v>
      </c>
      <c r="L548" s="5">
        <f>IF(Tabla5[[#This Row],[Orden Cobrada]]="Cobrada",Tabla5[[#This Row],[Ganancia Bruta]]-Tabla6[[#This Row],[Coste Cena]],-Tabla6[[#This Row],[Precio Cena]]+Tabla6[[#This Row],[Coste Cena]])</f>
        <v>38</v>
      </c>
      <c r="M548" s="10">
        <f>IF(Tabla5[[#This Row],[Orden Cobrada]]="Cobrada",((Tabla5[[#This Row],[Ganancia Neta]]/Tabla5[[#This Row],[Ganancia Bruta]])*100)/100,-((Tabla5[[#This Row],[Ganancia Neta]]/Tabla5[[#This Row],[Ganancia Bruta]]*100)/100))</f>
        <v>0.41304347826086951</v>
      </c>
      <c r="N548" s="5" t="str">
        <f>sala!F547</f>
        <v>Mesero_4</v>
      </c>
      <c r="AY548" cm="1">
        <f t="array" ref="AY548">SUM(IF(Cocina!A:A=Tabla5[[#This Row],[Nº Orden]],Cocina!F:F*Cocina!G:G,0))</f>
        <v>92</v>
      </c>
      <c r="AZ548" cm="1">
        <f t="array" ref="AZ548">SUM(IF(Cocina!A:A=Tabla5[[#This Row],[Nº Orden]],Cocina!E:E*Cocina!G:G,0))</f>
        <v>54</v>
      </c>
      <c r="BB548" t="str">
        <f>MID(Tabla4[[#This Row],[Cliente]], SEARCH("_", Tabla4[[#This Row],[Cliente]]) + 1, LEN(Tabla4[[#This Row],[Cliente]]) - SEARCH("_",Tabla4[[#This Row],[Cliente]]))</f>
        <v>968</v>
      </c>
      <c r="BC548" t="str">
        <f>sala!B547</f>
        <v>Cliente_968</v>
      </c>
      <c r="BD548" s="1">
        <f>sala!D547</f>
        <v>45022.134722222225</v>
      </c>
      <c r="BE548" s="1">
        <f>sala!E547</f>
        <v>45022.228472222225</v>
      </c>
      <c r="BF548">
        <f>sala!K547</f>
        <v>546</v>
      </c>
      <c r="BG548">
        <f>sala!I547</f>
        <v>4781</v>
      </c>
      <c r="BH548" cm="1">
        <f t="array" ref="BH548">SUM(IF(Cocina!A:A=Tabla4[[#This Row],[Número de Orden]],Cocina!F:F*Cocina!G:G,0))</f>
        <v>92</v>
      </c>
      <c r="BI548" t="str">
        <f>sala!J547</f>
        <v>Reservada</v>
      </c>
      <c r="BJ548" s="4" t="str">
        <f>IF(Tabla4[[#This Row],[Estado mesa]]="Ocupada","00:15","00:00")</f>
        <v>00:00</v>
      </c>
      <c r="BK548" cm="1">
        <f t="array" ref="BK548">SUM(IF(Cocina!A:A=Tabla4[[#This Row],[Número de Orden]],Cocina!H:H,0))</f>
        <v>91</v>
      </c>
    </row>
    <row r="549" spans="1:63" x14ac:dyDescent="0.3">
      <c r="A549" s="8" t="str">
        <f>MID(Tabla4[[#This Row],[Cliente]], SEARCH("_", Tabla4[[#This Row],[Cliente]]) + 1, LEN(Tabla4[[#This Row],[Cliente]]) - SEARCH("_",Tabla4[[#This Row],[Cliente]]))</f>
        <v>206</v>
      </c>
      <c r="B549">
        <f>sala!K548</f>
        <v>547</v>
      </c>
      <c r="C549">
        <f>Tabla4[[#This Row],[Propina]]+Tabla4[[#This Row],[Precio Cena]]</f>
        <v>2231</v>
      </c>
      <c r="D549" s="3">
        <f>INT(sala!E548)</f>
        <v>45022</v>
      </c>
      <c r="E549" s="4">
        <f>MOD( sala!D548,1)</f>
        <v>0.1131944444423425</v>
      </c>
      <c r="F549" s="4">
        <f>MOD( sala!E548,1)</f>
        <v>0.19166666666569654</v>
      </c>
      <c r="G549" s="4">
        <f>Tabla5[[#This Row],[Hora de Salida]]-Tabla5[[#This Row],[Hora de Llegada]]+Tabla4[[#This Row],[Tiempo Extra]]</f>
        <v>8.8888888890020709E-2</v>
      </c>
      <c r="H549" s="5" t="str">
        <f>TEXT(Tabla4[[#This Row],[Preparación en horas]]/1440, "h:mm")</f>
        <v>1:37</v>
      </c>
      <c r="I549" s="4">
        <f>IF(Tabla5[[#This Row],[Tiempo Permanencia]]-Tabla5[[#This Row],[Tiempo de Preparación ]]&gt;=0,Tabla5[[#This Row],[Tiempo Permanencia]]-Tabla5[[#This Row],[Tiempo de Preparación ]],0)</f>
        <v>2.1527777778909601E-2</v>
      </c>
      <c r="J549" s="5" t="str">
        <f>IF(Tabla5[[#This Row],[Tiempo de Degustación]]=0,"No Cobrada","Cobrada")</f>
        <v>Cobrada</v>
      </c>
      <c r="K549" s="5" cm="1">
        <f t="array" ref="K549">SUM(IF(Tabla5[[#This Row],[Orden Cobrada]]="Cobrada",IF(Cocina!A:A=Tabla5[[#This Row],[Nº Orden]],Cocina!F:F*Cocina!G:G,0),-Tabla6[[#This Row],[Precio Cena]]))</f>
        <v>227</v>
      </c>
      <c r="L549" s="5">
        <f>IF(Tabla5[[#This Row],[Orden Cobrada]]="Cobrada",Tabla5[[#This Row],[Ganancia Bruta]]-Tabla6[[#This Row],[Coste Cena]],-Tabla6[[#This Row],[Precio Cena]]+Tabla6[[#This Row],[Coste Cena]])</f>
        <v>89</v>
      </c>
      <c r="M549" s="10">
        <f>IF(Tabla5[[#This Row],[Orden Cobrada]]="Cobrada",((Tabla5[[#This Row],[Ganancia Neta]]/Tabla5[[#This Row],[Ganancia Bruta]])*100)/100,-((Tabla5[[#This Row],[Ganancia Neta]]/Tabla5[[#This Row],[Ganancia Bruta]]*100)/100))</f>
        <v>0.39207048458149779</v>
      </c>
      <c r="N549" s="5" t="str">
        <f>sala!F548</f>
        <v>Mesero_5</v>
      </c>
      <c r="AY549" cm="1">
        <f t="array" ref="AY549">SUM(IF(Cocina!A:A=Tabla5[[#This Row],[Nº Orden]],Cocina!F:F*Cocina!G:G,0))</f>
        <v>227</v>
      </c>
      <c r="AZ549" cm="1">
        <f t="array" ref="AZ549">SUM(IF(Cocina!A:A=Tabla5[[#This Row],[Nº Orden]],Cocina!E:E*Cocina!G:G,0))</f>
        <v>138</v>
      </c>
      <c r="BB549" t="str">
        <f>MID(Tabla4[[#This Row],[Cliente]], SEARCH("_", Tabla4[[#This Row],[Cliente]]) + 1, LEN(Tabla4[[#This Row],[Cliente]]) - SEARCH("_",Tabla4[[#This Row],[Cliente]]))</f>
        <v>206</v>
      </c>
      <c r="BC549" t="str">
        <f>sala!B548</f>
        <v>Cliente_206</v>
      </c>
      <c r="BD549" s="1">
        <f>sala!D548</f>
        <v>45022.113194444442</v>
      </c>
      <c r="BE549" s="1">
        <f>sala!E548</f>
        <v>45022.191666666666</v>
      </c>
      <c r="BF549">
        <f>sala!K548</f>
        <v>547</v>
      </c>
      <c r="BG549">
        <f>sala!I548</f>
        <v>2004</v>
      </c>
      <c r="BH549" cm="1">
        <f t="array" ref="BH549">SUM(IF(Cocina!A:A=Tabla4[[#This Row],[Número de Orden]],Cocina!F:F*Cocina!G:G,0))</f>
        <v>227</v>
      </c>
      <c r="BI549" t="str">
        <f>sala!J548</f>
        <v>Ocupada</v>
      </c>
      <c r="BJ549" s="4" t="str">
        <f>IF(Tabla4[[#This Row],[Estado mesa]]="Ocupada","00:15","00:00")</f>
        <v>00:15</v>
      </c>
      <c r="BK549" cm="1">
        <f t="array" ref="BK549">SUM(IF(Cocina!A:A=Tabla4[[#This Row],[Número de Orden]],Cocina!H:H,0))</f>
        <v>97</v>
      </c>
    </row>
    <row r="550" spans="1:63" x14ac:dyDescent="0.3">
      <c r="A550" s="8" t="str">
        <f>MID(Tabla4[[#This Row],[Cliente]], SEARCH("_", Tabla4[[#This Row],[Cliente]]) + 1, LEN(Tabla4[[#This Row],[Cliente]]) - SEARCH("_",Tabla4[[#This Row],[Cliente]]))</f>
        <v>669</v>
      </c>
      <c r="B550">
        <f>sala!K549</f>
        <v>548</v>
      </c>
      <c r="C550">
        <f>Tabla4[[#This Row],[Propina]]+Tabla4[[#This Row],[Precio Cena]]</f>
        <v>2984</v>
      </c>
      <c r="D550" s="3">
        <f>INT(sala!E549)</f>
        <v>45022</v>
      </c>
      <c r="E550" s="4">
        <f>MOD( sala!D549,1)</f>
        <v>3.8194444445252884E-2</v>
      </c>
      <c r="F550" s="4">
        <f>MOD( sala!E549,1)</f>
        <v>0.16874999999708962</v>
      </c>
      <c r="G550" s="4">
        <f>Tabla5[[#This Row],[Hora de Salida]]-Tabla5[[#This Row],[Hora de Llegada]]+Tabla4[[#This Row],[Tiempo Extra]]</f>
        <v>0.13055555555183673</v>
      </c>
      <c r="H550" s="5" t="str">
        <f>TEXT(Tabla4[[#This Row],[Preparación en horas]]/1440, "h:mm")</f>
        <v>1:46</v>
      </c>
      <c r="I550" s="4">
        <f>IF(Tabla5[[#This Row],[Tiempo Permanencia]]-Tabla5[[#This Row],[Tiempo de Preparación ]]&gt;=0,Tabla5[[#This Row],[Tiempo Permanencia]]-Tabla5[[#This Row],[Tiempo de Preparación ]],0)</f>
        <v>5.694444444072562E-2</v>
      </c>
      <c r="J550" s="5" t="str">
        <f>IF(Tabla5[[#This Row],[Tiempo de Degustación]]=0,"No Cobrada","Cobrada")</f>
        <v>Cobrada</v>
      </c>
      <c r="K550" s="5" cm="1">
        <f t="array" ref="K550">SUM(IF(Tabla5[[#This Row],[Orden Cobrada]]="Cobrada",IF(Cocina!A:A=Tabla5[[#This Row],[Nº Orden]],Cocina!F:F*Cocina!G:G,0),-Tabla6[[#This Row],[Precio Cena]]))</f>
        <v>96</v>
      </c>
      <c r="L550" s="5">
        <f>IF(Tabla5[[#This Row],[Orden Cobrada]]="Cobrada",Tabla5[[#This Row],[Ganancia Bruta]]-Tabla6[[#This Row],[Coste Cena]],-Tabla6[[#This Row],[Precio Cena]]+Tabla6[[#This Row],[Coste Cena]])</f>
        <v>38</v>
      </c>
      <c r="M550" s="10">
        <f>IF(Tabla5[[#This Row],[Orden Cobrada]]="Cobrada",((Tabla5[[#This Row],[Ganancia Neta]]/Tabla5[[#This Row],[Ganancia Bruta]])*100)/100,-((Tabla5[[#This Row],[Ganancia Neta]]/Tabla5[[#This Row],[Ganancia Bruta]]*100)/100))</f>
        <v>0.39583333333333326</v>
      </c>
      <c r="N550" s="5" t="str">
        <f>sala!F549</f>
        <v>Mesero_2</v>
      </c>
      <c r="AY550" cm="1">
        <f t="array" ref="AY550">SUM(IF(Cocina!A:A=Tabla5[[#This Row],[Nº Orden]],Cocina!F:F*Cocina!G:G,0))</f>
        <v>96</v>
      </c>
      <c r="AZ550" cm="1">
        <f t="array" ref="AZ550">SUM(IF(Cocina!A:A=Tabla5[[#This Row],[Nº Orden]],Cocina!E:E*Cocina!G:G,0))</f>
        <v>58</v>
      </c>
      <c r="BB550" t="str">
        <f>MID(Tabla4[[#This Row],[Cliente]], SEARCH("_", Tabla4[[#This Row],[Cliente]]) + 1, LEN(Tabla4[[#This Row],[Cliente]]) - SEARCH("_",Tabla4[[#This Row],[Cliente]]))</f>
        <v>669</v>
      </c>
      <c r="BC550" t="str">
        <f>sala!B549</f>
        <v>Cliente_669</v>
      </c>
      <c r="BD550" s="1">
        <f>sala!D549</f>
        <v>45022.038194444445</v>
      </c>
      <c r="BE550" s="1">
        <f>sala!E549</f>
        <v>45022.168749999997</v>
      </c>
      <c r="BF550">
        <f>sala!K549</f>
        <v>548</v>
      </c>
      <c r="BG550">
        <f>sala!I549</f>
        <v>2888</v>
      </c>
      <c r="BH550" cm="1">
        <f t="array" ref="BH550">SUM(IF(Cocina!A:A=Tabla4[[#This Row],[Número de Orden]],Cocina!F:F*Cocina!G:G,0))</f>
        <v>96</v>
      </c>
      <c r="BI550" t="str">
        <f>sala!J549</f>
        <v>Libre</v>
      </c>
      <c r="BJ550" s="4" t="str">
        <f>IF(Tabla4[[#This Row],[Estado mesa]]="Ocupada","00:15","00:00")</f>
        <v>00:00</v>
      </c>
      <c r="BK550" cm="1">
        <f t="array" ref="BK550">SUM(IF(Cocina!A:A=Tabla4[[#This Row],[Número de Orden]],Cocina!H:H,0))</f>
        <v>106</v>
      </c>
    </row>
    <row r="551" spans="1:63" x14ac:dyDescent="0.3">
      <c r="A551" s="8" t="str">
        <f>MID(Tabla4[[#This Row],[Cliente]], SEARCH("_", Tabla4[[#This Row],[Cliente]]) + 1, LEN(Tabla4[[#This Row],[Cliente]]) - SEARCH("_",Tabla4[[#This Row],[Cliente]]))</f>
        <v>195</v>
      </c>
      <c r="B551">
        <f>sala!K550</f>
        <v>549</v>
      </c>
      <c r="C551">
        <f>Tabla4[[#This Row],[Propina]]+Tabla4[[#This Row],[Precio Cena]]</f>
        <v>3696</v>
      </c>
      <c r="D551" s="3">
        <f>INT(sala!E550)</f>
        <v>45022</v>
      </c>
      <c r="E551" s="4">
        <f>MOD( sala!D550,1)</f>
        <v>6.4583333332848269E-2</v>
      </c>
      <c r="F551" s="4">
        <f>MOD( sala!E550,1)</f>
        <v>0.22638888889196096</v>
      </c>
      <c r="G551" s="4">
        <f>Tabla5[[#This Row],[Hora de Salida]]-Tabla5[[#This Row],[Hora de Llegada]]+Tabla4[[#This Row],[Tiempo Extra]]</f>
        <v>0.16180555555911269</v>
      </c>
      <c r="H551" s="5" t="str">
        <f>TEXT(Tabla4[[#This Row],[Preparación en horas]]/1440, "h:mm")</f>
        <v>1:38</v>
      </c>
      <c r="I551" s="4">
        <f>IF(Tabla5[[#This Row],[Tiempo Permanencia]]-Tabla5[[#This Row],[Tiempo de Preparación ]]&gt;=0,Tabla5[[#This Row],[Tiempo Permanencia]]-Tabla5[[#This Row],[Tiempo de Preparación ]],0)</f>
        <v>9.3750000003557141E-2</v>
      </c>
      <c r="J551" s="5" t="str">
        <f>IF(Tabla5[[#This Row],[Tiempo de Degustación]]=0,"No Cobrada","Cobrada")</f>
        <v>Cobrada</v>
      </c>
      <c r="K551" s="5" cm="1">
        <f t="array" ref="K551">SUM(IF(Tabla5[[#This Row],[Orden Cobrada]]="Cobrada",IF(Cocina!A:A=Tabla5[[#This Row],[Nº Orden]],Cocina!F:F*Cocina!G:G,0),-Tabla6[[#This Row],[Precio Cena]]))</f>
        <v>162</v>
      </c>
      <c r="L551" s="5">
        <f>IF(Tabla5[[#This Row],[Orden Cobrada]]="Cobrada",Tabla5[[#This Row],[Ganancia Bruta]]-Tabla6[[#This Row],[Coste Cena]],-Tabla6[[#This Row],[Precio Cena]]+Tabla6[[#This Row],[Coste Cena]])</f>
        <v>66</v>
      </c>
      <c r="M551" s="10">
        <f>IF(Tabla5[[#This Row],[Orden Cobrada]]="Cobrada",((Tabla5[[#This Row],[Ganancia Neta]]/Tabla5[[#This Row],[Ganancia Bruta]])*100)/100,-((Tabla5[[#This Row],[Ganancia Neta]]/Tabla5[[#This Row],[Ganancia Bruta]]*100)/100))</f>
        <v>0.40740740740740738</v>
      </c>
      <c r="N551" s="5" t="str">
        <f>sala!F550</f>
        <v>Mesero_1</v>
      </c>
      <c r="AY551" cm="1">
        <f t="array" ref="AY551">SUM(IF(Cocina!A:A=Tabla5[[#This Row],[Nº Orden]],Cocina!F:F*Cocina!G:G,0))</f>
        <v>162</v>
      </c>
      <c r="AZ551" cm="1">
        <f t="array" ref="AZ551">SUM(IF(Cocina!A:A=Tabla5[[#This Row],[Nº Orden]],Cocina!E:E*Cocina!G:G,0))</f>
        <v>96</v>
      </c>
      <c r="BB551" t="str">
        <f>MID(Tabla4[[#This Row],[Cliente]], SEARCH("_", Tabla4[[#This Row],[Cliente]]) + 1, LEN(Tabla4[[#This Row],[Cliente]]) - SEARCH("_",Tabla4[[#This Row],[Cliente]]))</f>
        <v>195</v>
      </c>
      <c r="BC551" t="str">
        <f>sala!B550</f>
        <v>Cliente_195</v>
      </c>
      <c r="BD551" s="1">
        <f>sala!D550</f>
        <v>45022.064583333333</v>
      </c>
      <c r="BE551" s="1">
        <f>sala!E550</f>
        <v>45022.226388888892</v>
      </c>
      <c r="BF551">
        <f>sala!K550</f>
        <v>549</v>
      </c>
      <c r="BG551">
        <f>sala!I550</f>
        <v>3534</v>
      </c>
      <c r="BH551" cm="1">
        <f t="array" ref="BH551">SUM(IF(Cocina!A:A=Tabla4[[#This Row],[Número de Orden]],Cocina!F:F*Cocina!G:G,0))</f>
        <v>162</v>
      </c>
      <c r="BI551" t="str">
        <f>sala!J550</f>
        <v>Libre</v>
      </c>
      <c r="BJ551" s="4" t="str">
        <f>IF(Tabla4[[#This Row],[Estado mesa]]="Ocupada","00:15","00:00")</f>
        <v>00:00</v>
      </c>
      <c r="BK551" cm="1">
        <f t="array" ref="BK551">SUM(IF(Cocina!A:A=Tabla4[[#This Row],[Número de Orden]],Cocina!H:H,0))</f>
        <v>98</v>
      </c>
    </row>
    <row r="552" spans="1:63" x14ac:dyDescent="0.3">
      <c r="A552" s="8" t="str">
        <f>MID(Tabla4[[#This Row],[Cliente]], SEARCH("_", Tabla4[[#This Row],[Cliente]]) + 1, LEN(Tabla4[[#This Row],[Cliente]]) - SEARCH("_",Tabla4[[#This Row],[Cliente]]))</f>
        <v>900</v>
      </c>
      <c r="B552">
        <f>sala!K551</f>
        <v>550</v>
      </c>
      <c r="C552">
        <f>Tabla4[[#This Row],[Propina]]+Tabla4[[#This Row],[Precio Cena]]</f>
        <v>2957</v>
      </c>
      <c r="D552" s="3">
        <f>INT(sala!E551)</f>
        <v>45022</v>
      </c>
      <c r="E552" s="4">
        <f>MOD( sala!D551,1)</f>
        <v>4.7222222223354038E-2</v>
      </c>
      <c r="F552" s="4">
        <f>MOD( sala!E551,1)</f>
        <v>0.11041666667006211</v>
      </c>
      <c r="G552" s="4">
        <f>Tabla5[[#This Row],[Hora de Salida]]-Tabla5[[#This Row],[Hora de Llegada]]+Tabla4[[#This Row],[Tiempo Extra]]</f>
        <v>7.3611111113374747E-2</v>
      </c>
      <c r="H552" s="5" t="str">
        <f>TEXT(Tabla4[[#This Row],[Preparación en horas]]/1440, "h:mm")</f>
        <v>0:57</v>
      </c>
      <c r="I552" s="4">
        <f>IF(Tabla5[[#This Row],[Tiempo Permanencia]]-Tabla5[[#This Row],[Tiempo de Preparación ]]&gt;=0,Tabla5[[#This Row],[Tiempo Permanencia]]-Tabla5[[#This Row],[Tiempo de Preparación ]],0)</f>
        <v>3.4027777780041416E-2</v>
      </c>
      <c r="J552" s="5" t="str">
        <f>IF(Tabla5[[#This Row],[Tiempo de Degustación]]=0,"No Cobrada","Cobrada")</f>
        <v>Cobrada</v>
      </c>
      <c r="K552" s="5" cm="1">
        <f t="array" ref="K552">SUM(IF(Tabla5[[#This Row],[Orden Cobrada]]="Cobrada",IF(Cocina!A:A=Tabla5[[#This Row],[Nº Orden]],Cocina!F:F*Cocina!G:G,0),-Tabla6[[#This Row],[Precio Cena]]))</f>
        <v>124</v>
      </c>
      <c r="L552" s="5">
        <f>IF(Tabla5[[#This Row],[Orden Cobrada]]="Cobrada",Tabla5[[#This Row],[Ganancia Bruta]]-Tabla6[[#This Row],[Coste Cena]],-Tabla6[[#This Row],[Precio Cena]]+Tabla6[[#This Row],[Coste Cena]])</f>
        <v>50</v>
      </c>
      <c r="M552" s="10">
        <f>IF(Tabla5[[#This Row],[Orden Cobrada]]="Cobrada",((Tabla5[[#This Row],[Ganancia Neta]]/Tabla5[[#This Row],[Ganancia Bruta]])*100)/100,-((Tabla5[[#This Row],[Ganancia Neta]]/Tabla5[[#This Row],[Ganancia Bruta]]*100)/100))</f>
        <v>0.40322580645161288</v>
      </c>
      <c r="N552" s="5" t="str">
        <f>sala!F551</f>
        <v>Mesero_3</v>
      </c>
      <c r="AY552" cm="1">
        <f t="array" ref="AY552">SUM(IF(Cocina!A:A=Tabla5[[#This Row],[Nº Orden]],Cocina!F:F*Cocina!G:G,0))</f>
        <v>124</v>
      </c>
      <c r="AZ552" cm="1">
        <f t="array" ref="AZ552">SUM(IF(Cocina!A:A=Tabla5[[#This Row],[Nº Orden]],Cocina!E:E*Cocina!G:G,0))</f>
        <v>74</v>
      </c>
      <c r="BB552" t="str">
        <f>MID(Tabla4[[#This Row],[Cliente]], SEARCH("_", Tabla4[[#This Row],[Cliente]]) + 1, LEN(Tabla4[[#This Row],[Cliente]]) - SEARCH("_",Tabla4[[#This Row],[Cliente]]))</f>
        <v>900</v>
      </c>
      <c r="BC552" t="str">
        <f>sala!B551</f>
        <v>Cliente_900</v>
      </c>
      <c r="BD552" s="1">
        <f>sala!D551</f>
        <v>45022.047222222223</v>
      </c>
      <c r="BE552" s="1">
        <f>sala!E551</f>
        <v>45022.11041666667</v>
      </c>
      <c r="BF552">
        <f>sala!K551</f>
        <v>550</v>
      </c>
      <c r="BG552">
        <f>sala!I551</f>
        <v>2833</v>
      </c>
      <c r="BH552" cm="1">
        <f t="array" ref="BH552">SUM(IF(Cocina!A:A=Tabla4[[#This Row],[Número de Orden]],Cocina!F:F*Cocina!G:G,0))</f>
        <v>124</v>
      </c>
      <c r="BI552" t="str">
        <f>sala!J551</f>
        <v>Ocupada</v>
      </c>
      <c r="BJ552" s="4" t="str">
        <f>IF(Tabla4[[#This Row],[Estado mesa]]="Ocupada","00:15","00:00")</f>
        <v>00:15</v>
      </c>
      <c r="BK552" cm="1">
        <f t="array" ref="BK552">SUM(IF(Cocina!A:A=Tabla4[[#This Row],[Número de Orden]],Cocina!H:H,0))</f>
        <v>57</v>
      </c>
    </row>
    <row r="553" spans="1:63" x14ac:dyDescent="0.3">
      <c r="A553" s="8" t="str">
        <f>MID(Tabla4[[#This Row],[Cliente]], SEARCH("_", Tabla4[[#This Row],[Cliente]]) + 1, LEN(Tabla4[[#This Row],[Cliente]]) - SEARCH("_",Tabla4[[#This Row],[Cliente]]))</f>
        <v>705</v>
      </c>
      <c r="B553">
        <f>sala!K552</f>
        <v>551</v>
      </c>
      <c r="C553">
        <f>Tabla4[[#This Row],[Propina]]+Tabla4[[#This Row],[Precio Cena]]</f>
        <v>1925</v>
      </c>
      <c r="D553" s="3">
        <f>INT(sala!E552)</f>
        <v>45022</v>
      </c>
      <c r="E553" s="4">
        <f>MOD( sala!D552,1)</f>
        <v>0.12361111111385981</v>
      </c>
      <c r="F553" s="4">
        <f>MOD( sala!E552,1)</f>
        <v>0.17361111110949423</v>
      </c>
      <c r="G553" s="4">
        <f>Tabla5[[#This Row],[Hora de Salida]]-Tabla5[[#This Row],[Hora de Llegada]]+Tabla4[[#This Row],[Tiempo Extra]]</f>
        <v>4.9999999995634425E-2</v>
      </c>
      <c r="H553" s="5" t="str">
        <f>TEXT(Tabla4[[#This Row],[Preparación en horas]]/1440, "h:mm")</f>
        <v>2:03</v>
      </c>
      <c r="I553" s="4">
        <f>IF(Tabla5[[#This Row],[Tiempo Permanencia]]-Tabla5[[#This Row],[Tiempo de Preparación ]]&gt;=0,Tabla5[[#This Row],[Tiempo Permanencia]]-Tabla5[[#This Row],[Tiempo de Preparación ]],0)</f>
        <v>0</v>
      </c>
      <c r="J553" s="5" t="str">
        <f>IF(Tabla5[[#This Row],[Tiempo de Degustación]]=0,"No Cobrada","Cobrada")</f>
        <v>No Cobrada</v>
      </c>
      <c r="K553" s="5" cm="1">
        <f t="array" ref="K553">SUM(IF(Tabla5[[#This Row],[Orden Cobrada]]="Cobrada",IF(Cocina!A:A=Tabla5[[#This Row],[Nº Orden]],Cocina!F:F*Cocina!G:G,0),-Tabla6[[#This Row],[Precio Cena]]))</f>
        <v>-171</v>
      </c>
      <c r="L553" s="5">
        <f>IF(Tabla5[[#This Row],[Orden Cobrada]]="Cobrada",Tabla5[[#This Row],[Ganancia Bruta]]-Tabla6[[#This Row],[Coste Cena]],-Tabla6[[#This Row],[Precio Cena]]+Tabla6[[#This Row],[Coste Cena]])</f>
        <v>-68</v>
      </c>
      <c r="M553" s="10">
        <f>IF(Tabla5[[#This Row],[Orden Cobrada]]="Cobrada",((Tabla5[[#This Row],[Ganancia Neta]]/Tabla5[[#This Row],[Ganancia Bruta]])*100)/100,-((Tabla5[[#This Row],[Ganancia Neta]]/Tabla5[[#This Row],[Ganancia Bruta]]*100)/100))</f>
        <v>-0.39766081871345027</v>
      </c>
      <c r="N553" s="5" t="str">
        <f>sala!F552</f>
        <v>Mesero_3</v>
      </c>
      <c r="AY553" cm="1">
        <f t="array" ref="AY553">SUM(IF(Cocina!A:A=Tabla5[[#This Row],[Nº Orden]],Cocina!F:F*Cocina!G:G,0))</f>
        <v>171</v>
      </c>
      <c r="AZ553" cm="1">
        <f t="array" ref="AZ553">SUM(IF(Cocina!A:A=Tabla5[[#This Row],[Nº Orden]],Cocina!E:E*Cocina!G:G,0))</f>
        <v>103</v>
      </c>
      <c r="BB553" t="str">
        <f>MID(Tabla4[[#This Row],[Cliente]], SEARCH("_", Tabla4[[#This Row],[Cliente]]) + 1, LEN(Tabla4[[#This Row],[Cliente]]) - SEARCH("_",Tabla4[[#This Row],[Cliente]]))</f>
        <v>705</v>
      </c>
      <c r="BC553" t="str">
        <f>sala!B552</f>
        <v>Cliente_705</v>
      </c>
      <c r="BD553" s="1">
        <f>sala!D552</f>
        <v>45022.123611111114</v>
      </c>
      <c r="BE553" s="1">
        <f>sala!E552</f>
        <v>45022.173611111109</v>
      </c>
      <c r="BF553">
        <f>sala!K552</f>
        <v>551</v>
      </c>
      <c r="BG553">
        <f>sala!I552</f>
        <v>1754</v>
      </c>
      <c r="BH553" cm="1">
        <f t="array" ref="BH553">SUM(IF(Cocina!A:A=Tabla4[[#This Row],[Número de Orden]],Cocina!F:F*Cocina!G:G,0))</f>
        <v>171</v>
      </c>
      <c r="BI553" t="str">
        <f>sala!J552</f>
        <v>Reservada</v>
      </c>
      <c r="BJ553" s="4" t="str">
        <f>IF(Tabla4[[#This Row],[Estado mesa]]="Ocupada","00:15","00:00")</f>
        <v>00:00</v>
      </c>
      <c r="BK553" cm="1">
        <f t="array" ref="BK553">SUM(IF(Cocina!A:A=Tabla4[[#This Row],[Número de Orden]],Cocina!H:H,0))</f>
        <v>123</v>
      </c>
    </row>
    <row r="554" spans="1:63" x14ac:dyDescent="0.3">
      <c r="A554" s="8" t="str">
        <f>MID(Tabla4[[#This Row],[Cliente]], SEARCH("_", Tabla4[[#This Row],[Cliente]]) + 1, LEN(Tabla4[[#This Row],[Cliente]]) - SEARCH("_",Tabla4[[#This Row],[Cliente]]))</f>
        <v>462</v>
      </c>
      <c r="B554">
        <f>sala!K553</f>
        <v>552</v>
      </c>
      <c r="C554">
        <f>Tabla4[[#This Row],[Propina]]+Tabla4[[#This Row],[Precio Cena]]</f>
        <v>1271</v>
      </c>
      <c r="D554" s="3">
        <f>INT(sala!E553)</f>
        <v>45022</v>
      </c>
      <c r="E554" s="4">
        <f>MOD( sala!D553,1)</f>
        <v>1.8055555556202307E-2</v>
      </c>
      <c r="F554" s="4">
        <f>MOD( sala!E553,1)</f>
        <v>0.16249999999854481</v>
      </c>
      <c r="G554" s="4">
        <f>Tabla5[[#This Row],[Hora de Salida]]-Tabla5[[#This Row],[Hora de Llegada]]+Tabla4[[#This Row],[Tiempo Extra]]</f>
        <v>0.1444444444423425</v>
      </c>
      <c r="H554" s="5" t="str">
        <f>TEXT(Tabla4[[#This Row],[Preparación en horas]]/1440, "h:mm")</f>
        <v>1:55</v>
      </c>
      <c r="I554" s="4">
        <f>IF(Tabla5[[#This Row],[Tiempo Permanencia]]-Tabla5[[#This Row],[Tiempo de Preparación ]]&gt;=0,Tabla5[[#This Row],[Tiempo Permanencia]]-Tabla5[[#This Row],[Tiempo de Preparación ]],0)</f>
        <v>6.4583333331231396E-2</v>
      </c>
      <c r="J554" s="5" t="str">
        <f>IF(Tabla5[[#This Row],[Tiempo de Degustación]]=0,"No Cobrada","Cobrada")</f>
        <v>Cobrada</v>
      </c>
      <c r="K554" s="5" cm="1">
        <f t="array" ref="K554">SUM(IF(Tabla5[[#This Row],[Orden Cobrada]]="Cobrada",IF(Cocina!A:A=Tabla5[[#This Row],[Nº Orden]],Cocina!F:F*Cocina!G:G,0),-Tabla6[[#This Row],[Precio Cena]]))</f>
        <v>243</v>
      </c>
      <c r="L554" s="5">
        <f>IF(Tabla5[[#This Row],[Orden Cobrada]]="Cobrada",Tabla5[[#This Row],[Ganancia Bruta]]-Tabla6[[#This Row],[Coste Cena]],-Tabla6[[#This Row],[Precio Cena]]+Tabla6[[#This Row],[Coste Cena]])</f>
        <v>93</v>
      </c>
      <c r="M554" s="10">
        <f>IF(Tabla5[[#This Row],[Orden Cobrada]]="Cobrada",((Tabla5[[#This Row],[Ganancia Neta]]/Tabla5[[#This Row],[Ganancia Bruta]])*100)/100,-((Tabla5[[#This Row],[Ganancia Neta]]/Tabla5[[#This Row],[Ganancia Bruta]]*100)/100))</f>
        <v>0.38271604938271603</v>
      </c>
      <c r="N554" s="5" t="str">
        <f>sala!F553</f>
        <v>Mesero_3</v>
      </c>
      <c r="AY554" cm="1">
        <f t="array" ref="AY554">SUM(IF(Cocina!A:A=Tabla5[[#This Row],[Nº Orden]],Cocina!F:F*Cocina!G:G,0))</f>
        <v>243</v>
      </c>
      <c r="AZ554" cm="1">
        <f t="array" ref="AZ554">SUM(IF(Cocina!A:A=Tabla5[[#This Row],[Nº Orden]],Cocina!E:E*Cocina!G:G,0))</f>
        <v>150</v>
      </c>
      <c r="BB554" t="str">
        <f>MID(Tabla4[[#This Row],[Cliente]], SEARCH("_", Tabla4[[#This Row],[Cliente]]) + 1, LEN(Tabla4[[#This Row],[Cliente]]) - SEARCH("_",Tabla4[[#This Row],[Cliente]]))</f>
        <v>462</v>
      </c>
      <c r="BC554" t="str">
        <f>sala!B553</f>
        <v>Cliente_462</v>
      </c>
      <c r="BD554" s="1">
        <f>sala!D553</f>
        <v>45022.018055555556</v>
      </c>
      <c r="BE554" s="1">
        <f>sala!E553</f>
        <v>45022.162499999999</v>
      </c>
      <c r="BF554">
        <f>sala!K553</f>
        <v>552</v>
      </c>
      <c r="BG554">
        <f>sala!I553</f>
        <v>1028</v>
      </c>
      <c r="BH554" cm="1">
        <f t="array" ref="BH554">SUM(IF(Cocina!A:A=Tabla4[[#This Row],[Número de Orden]],Cocina!F:F*Cocina!G:G,0))</f>
        <v>243</v>
      </c>
      <c r="BI554" t="str">
        <f>sala!J553</f>
        <v>Libre</v>
      </c>
      <c r="BJ554" s="4" t="str">
        <f>IF(Tabla4[[#This Row],[Estado mesa]]="Ocupada","00:15","00:00")</f>
        <v>00:00</v>
      </c>
      <c r="BK554" cm="1">
        <f t="array" ref="BK554">SUM(IF(Cocina!A:A=Tabla4[[#This Row],[Número de Orden]],Cocina!H:H,0))</f>
        <v>115</v>
      </c>
    </row>
    <row r="555" spans="1:63" x14ac:dyDescent="0.3">
      <c r="A555" s="8" t="str">
        <f>MID(Tabla4[[#This Row],[Cliente]], SEARCH("_", Tabla4[[#This Row],[Cliente]]) + 1, LEN(Tabla4[[#This Row],[Cliente]]) - SEARCH("_",Tabla4[[#This Row],[Cliente]]))</f>
        <v>809</v>
      </c>
      <c r="B555">
        <f>sala!K554</f>
        <v>553</v>
      </c>
      <c r="C555">
        <f>Tabla4[[#This Row],[Propina]]+Tabla4[[#This Row],[Precio Cena]]</f>
        <v>4641</v>
      </c>
      <c r="D555" s="3">
        <f>INT(sala!E554)</f>
        <v>45022</v>
      </c>
      <c r="E555" s="4">
        <f>MOD( sala!D554,1)</f>
        <v>0.11458333333575865</v>
      </c>
      <c r="F555" s="4">
        <f>MOD( sala!E554,1)</f>
        <v>0.22499999999854481</v>
      </c>
      <c r="G555" s="4">
        <f>Tabla5[[#This Row],[Hora de Salida]]-Tabla5[[#This Row],[Hora de Llegada]]+Tabla4[[#This Row],[Tiempo Extra]]</f>
        <v>0.11041666666278616</v>
      </c>
      <c r="H555" s="5" t="str">
        <f>TEXT(Tabla4[[#This Row],[Preparación en horas]]/1440, "h:mm")</f>
        <v>2:58</v>
      </c>
      <c r="I555" s="4">
        <f>IF(Tabla5[[#This Row],[Tiempo Permanencia]]-Tabla5[[#This Row],[Tiempo de Preparación ]]&gt;=0,Tabla5[[#This Row],[Tiempo Permanencia]]-Tabla5[[#This Row],[Tiempo de Preparación ]],0)</f>
        <v>0</v>
      </c>
      <c r="J555" s="5" t="str">
        <f>IF(Tabla5[[#This Row],[Tiempo de Degustación]]=0,"No Cobrada","Cobrada")</f>
        <v>No Cobrada</v>
      </c>
      <c r="K555" s="5" cm="1">
        <f t="array" ref="K555">SUM(IF(Tabla5[[#This Row],[Orden Cobrada]]="Cobrada",IF(Cocina!A:A=Tabla5[[#This Row],[Nº Orden]],Cocina!F:F*Cocina!G:G,0),-Tabla6[[#This Row],[Precio Cena]]))</f>
        <v>-203</v>
      </c>
      <c r="L555" s="5">
        <f>IF(Tabla5[[#This Row],[Orden Cobrada]]="Cobrada",Tabla5[[#This Row],[Ganancia Bruta]]-Tabla6[[#This Row],[Coste Cena]],-Tabla6[[#This Row],[Precio Cena]]+Tabla6[[#This Row],[Coste Cena]])</f>
        <v>-82</v>
      </c>
      <c r="M555" s="10">
        <f>IF(Tabla5[[#This Row],[Orden Cobrada]]="Cobrada",((Tabla5[[#This Row],[Ganancia Neta]]/Tabla5[[#This Row],[Ganancia Bruta]])*100)/100,-((Tabla5[[#This Row],[Ganancia Neta]]/Tabla5[[#This Row],[Ganancia Bruta]]*100)/100))</f>
        <v>-0.4039408866995074</v>
      </c>
      <c r="N555" s="5" t="str">
        <f>sala!F554</f>
        <v>Mesero_3</v>
      </c>
      <c r="AY555" cm="1">
        <f t="array" ref="AY555">SUM(IF(Cocina!A:A=Tabla5[[#This Row],[Nº Orden]],Cocina!F:F*Cocina!G:G,0))</f>
        <v>203</v>
      </c>
      <c r="AZ555" cm="1">
        <f t="array" ref="AZ555">SUM(IF(Cocina!A:A=Tabla5[[#This Row],[Nº Orden]],Cocina!E:E*Cocina!G:G,0))</f>
        <v>121</v>
      </c>
      <c r="BB555" t="str">
        <f>MID(Tabla4[[#This Row],[Cliente]], SEARCH("_", Tabla4[[#This Row],[Cliente]]) + 1, LEN(Tabla4[[#This Row],[Cliente]]) - SEARCH("_",Tabla4[[#This Row],[Cliente]]))</f>
        <v>809</v>
      </c>
      <c r="BC555" t="str">
        <f>sala!B554</f>
        <v>Cliente_809</v>
      </c>
      <c r="BD555" s="1">
        <f>sala!D554</f>
        <v>45022.114583333336</v>
      </c>
      <c r="BE555" s="1">
        <f>sala!E554</f>
        <v>45022.224999999999</v>
      </c>
      <c r="BF555">
        <f>sala!K554</f>
        <v>553</v>
      </c>
      <c r="BG555">
        <f>sala!I554</f>
        <v>4438</v>
      </c>
      <c r="BH555" cm="1">
        <f t="array" ref="BH555">SUM(IF(Cocina!A:A=Tabla4[[#This Row],[Número de Orden]],Cocina!F:F*Cocina!G:G,0))</f>
        <v>203</v>
      </c>
      <c r="BI555" t="str">
        <f>sala!J554</f>
        <v>Libre</v>
      </c>
      <c r="BJ555" s="4" t="str">
        <f>IF(Tabla4[[#This Row],[Estado mesa]]="Ocupada","00:15","00:00")</f>
        <v>00:00</v>
      </c>
      <c r="BK555" cm="1">
        <f t="array" ref="BK555">SUM(IF(Cocina!A:A=Tabla4[[#This Row],[Número de Orden]],Cocina!H:H,0))</f>
        <v>178</v>
      </c>
    </row>
    <row r="556" spans="1:63" x14ac:dyDescent="0.3">
      <c r="A556" s="8" t="str">
        <f>MID(Tabla4[[#This Row],[Cliente]], SEARCH("_", Tabla4[[#This Row],[Cliente]]) + 1, LEN(Tabla4[[#This Row],[Cliente]]) - SEARCH("_",Tabla4[[#This Row],[Cliente]]))</f>
        <v>21</v>
      </c>
      <c r="B556">
        <f>sala!K555</f>
        <v>554</v>
      </c>
      <c r="C556">
        <f>Tabla4[[#This Row],[Propina]]+Tabla4[[#This Row],[Precio Cena]]</f>
        <v>362</v>
      </c>
      <c r="D556" s="3">
        <f>INT(sala!E555)</f>
        <v>45022</v>
      </c>
      <c r="E556" s="4">
        <f>MOD( sala!D555,1)</f>
        <v>6.25E-2</v>
      </c>
      <c r="F556" s="4">
        <f>MOD( sala!E555,1)</f>
        <v>0.12152777778101154</v>
      </c>
      <c r="G556" s="4">
        <f>Tabla5[[#This Row],[Hora de Salida]]-Tabla5[[#This Row],[Hora de Llegada]]+Tabla4[[#This Row],[Tiempo Extra]]</f>
        <v>6.9444444447678208E-2</v>
      </c>
      <c r="H556" s="5" t="str">
        <f>TEXT(Tabla4[[#This Row],[Preparación en horas]]/1440, "h:mm")</f>
        <v>1:11</v>
      </c>
      <c r="I556" s="4">
        <f>IF(Tabla5[[#This Row],[Tiempo Permanencia]]-Tabla5[[#This Row],[Tiempo de Preparación ]]&gt;=0,Tabla5[[#This Row],[Tiempo Permanencia]]-Tabla5[[#This Row],[Tiempo de Preparación ]],0)</f>
        <v>2.0138888892122654E-2</v>
      </c>
      <c r="J556" s="5" t="str">
        <f>IF(Tabla5[[#This Row],[Tiempo de Degustación]]=0,"No Cobrada","Cobrada")</f>
        <v>Cobrada</v>
      </c>
      <c r="K556" s="5" cm="1">
        <f t="array" ref="K556">SUM(IF(Tabla5[[#This Row],[Orden Cobrada]]="Cobrada",IF(Cocina!A:A=Tabla5[[#This Row],[Nº Orden]],Cocina!F:F*Cocina!G:G,0),-Tabla6[[#This Row],[Precio Cena]]))</f>
        <v>166</v>
      </c>
      <c r="L556" s="5">
        <f>IF(Tabla5[[#This Row],[Orden Cobrada]]="Cobrada",Tabla5[[#This Row],[Ganancia Bruta]]-Tabla6[[#This Row],[Coste Cena]],-Tabla6[[#This Row],[Precio Cena]]+Tabla6[[#This Row],[Coste Cena]])</f>
        <v>63</v>
      </c>
      <c r="M556" s="10">
        <f>IF(Tabla5[[#This Row],[Orden Cobrada]]="Cobrada",((Tabla5[[#This Row],[Ganancia Neta]]/Tabla5[[#This Row],[Ganancia Bruta]])*100)/100,-((Tabla5[[#This Row],[Ganancia Neta]]/Tabla5[[#This Row],[Ganancia Bruta]]*100)/100))</f>
        <v>0.37951807228915663</v>
      </c>
      <c r="N556" s="5" t="str">
        <f>sala!F555</f>
        <v>Mesero_3</v>
      </c>
      <c r="AY556" cm="1">
        <f t="array" ref="AY556">SUM(IF(Cocina!A:A=Tabla5[[#This Row],[Nº Orden]],Cocina!F:F*Cocina!G:G,0))</f>
        <v>166</v>
      </c>
      <c r="AZ556" cm="1">
        <f t="array" ref="AZ556">SUM(IF(Cocina!A:A=Tabla5[[#This Row],[Nº Orden]],Cocina!E:E*Cocina!G:G,0))</f>
        <v>103</v>
      </c>
      <c r="BB556" t="str">
        <f>MID(Tabla4[[#This Row],[Cliente]], SEARCH("_", Tabla4[[#This Row],[Cliente]]) + 1, LEN(Tabla4[[#This Row],[Cliente]]) - SEARCH("_",Tabla4[[#This Row],[Cliente]]))</f>
        <v>21</v>
      </c>
      <c r="BC556" t="str">
        <f>sala!B555</f>
        <v>Cliente_21</v>
      </c>
      <c r="BD556" s="1">
        <f>sala!D555</f>
        <v>45022.0625</v>
      </c>
      <c r="BE556" s="1">
        <f>sala!E555</f>
        <v>45022.121527777781</v>
      </c>
      <c r="BF556">
        <f>sala!K555</f>
        <v>554</v>
      </c>
      <c r="BG556">
        <f>sala!I555</f>
        <v>196</v>
      </c>
      <c r="BH556" cm="1">
        <f t="array" ref="BH556">SUM(IF(Cocina!A:A=Tabla4[[#This Row],[Número de Orden]],Cocina!F:F*Cocina!G:G,0))</f>
        <v>166</v>
      </c>
      <c r="BI556" t="str">
        <f>sala!J555</f>
        <v>Ocupada</v>
      </c>
      <c r="BJ556" s="4" t="str">
        <f>IF(Tabla4[[#This Row],[Estado mesa]]="Ocupada","00:15","00:00")</f>
        <v>00:15</v>
      </c>
      <c r="BK556" cm="1">
        <f t="array" ref="BK556">SUM(IF(Cocina!A:A=Tabla4[[#This Row],[Número de Orden]],Cocina!H:H,0))</f>
        <v>71</v>
      </c>
    </row>
    <row r="557" spans="1:63" x14ac:dyDescent="0.3">
      <c r="A557" s="8" t="str">
        <f>MID(Tabla4[[#This Row],[Cliente]], SEARCH("_", Tabla4[[#This Row],[Cliente]]) + 1, LEN(Tabla4[[#This Row],[Cliente]]) - SEARCH("_",Tabla4[[#This Row],[Cliente]]))</f>
        <v>110</v>
      </c>
      <c r="B557">
        <f>sala!K556</f>
        <v>555</v>
      </c>
      <c r="C557">
        <f>Tabla4[[#This Row],[Propina]]+Tabla4[[#This Row],[Precio Cena]]</f>
        <v>4138</v>
      </c>
      <c r="D557" s="3">
        <f>INT(sala!E556)</f>
        <v>45022</v>
      </c>
      <c r="E557" s="4">
        <f>MOD( sala!D556,1)</f>
        <v>8.2638888889050577E-2</v>
      </c>
      <c r="F557" s="4">
        <f>MOD( sala!E556,1)</f>
        <v>0.20972222222189885</v>
      </c>
      <c r="G557" s="4">
        <f>Tabla5[[#This Row],[Hora de Salida]]-Tabla5[[#This Row],[Hora de Llegada]]+Tabla4[[#This Row],[Tiempo Extra]]</f>
        <v>0.12708333333284827</v>
      </c>
      <c r="H557" s="5" t="str">
        <f>TEXT(Tabla4[[#This Row],[Preparación en horas]]/1440, "h:mm")</f>
        <v>0:46</v>
      </c>
      <c r="I557" s="4">
        <f>IF(Tabla5[[#This Row],[Tiempo Permanencia]]-Tabla5[[#This Row],[Tiempo de Preparación ]]&gt;=0,Tabla5[[#This Row],[Tiempo Permanencia]]-Tabla5[[#This Row],[Tiempo de Preparación ]],0)</f>
        <v>9.5138888888403828E-2</v>
      </c>
      <c r="J557" s="5" t="str">
        <f>IF(Tabla5[[#This Row],[Tiempo de Degustación]]=0,"No Cobrada","Cobrada")</f>
        <v>Cobrada</v>
      </c>
      <c r="K557" s="5" cm="1">
        <f t="array" ref="K557">SUM(IF(Tabla5[[#This Row],[Orden Cobrada]]="Cobrada",IF(Cocina!A:A=Tabla5[[#This Row],[Nº Orden]],Cocina!F:F*Cocina!G:G,0),-Tabla6[[#This Row],[Precio Cena]]))</f>
        <v>30</v>
      </c>
      <c r="L557" s="5">
        <f>IF(Tabla5[[#This Row],[Orden Cobrada]]="Cobrada",Tabla5[[#This Row],[Ganancia Bruta]]-Tabla6[[#This Row],[Coste Cena]],-Tabla6[[#This Row],[Precio Cena]]+Tabla6[[#This Row],[Coste Cena]])</f>
        <v>12</v>
      </c>
      <c r="M557" s="10">
        <f>IF(Tabla5[[#This Row],[Orden Cobrada]]="Cobrada",((Tabla5[[#This Row],[Ganancia Neta]]/Tabla5[[#This Row],[Ganancia Bruta]])*100)/100,-((Tabla5[[#This Row],[Ganancia Neta]]/Tabla5[[#This Row],[Ganancia Bruta]]*100)/100))</f>
        <v>0.4</v>
      </c>
      <c r="N557" s="5" t="str">
        <f>sala!F556</f>
        <v>Mesero_2</v>
      </c>
      <c r="AY557" cm="1">
        <f t="array" ref="AY557">SUM(IF(Cocina!A:A=Tabla5[[#This Row],[Nº Orden]],Cocina!F:F*Cocina!G:G,0))</f>
        <v>30</v>
      </c>
      <c r="AZ557" cm="1">
        <f t="array" ref="AZ557">SUM(IF(Cocina!A:A=Tabla5[[#This Row],[Nº Orden]],Cocina!E:E*Cocina!G:G,0))</f>
        <v>18</v>
      </c>
      <c r="BB557" t="str">
        <f>MID(Tabla4[[#This Row],[Cliente]], SEARCH("_", Tabla4[[#This Row],[Cliente]]) + 1, LEN(Tabla4[[#This Row],[Cliente]]) - SEARCH("_",Tabla4[[#This Row],[Cliente]]))</f>
        <v>110</v>
      </c>
      <c r="BC557" t="str">
        <f>sala!B556</f>
        <v>Cliente_110</v>
      </c>
      <c r="BD557" s="1">
        <f>sala!D556</f>
        <v>45022.082638888889</v>
      </c>
      <c r="BE557" s="1">
        <f>sala!E556</f>
        <v>45022.209722222222</v>
      </c>
      <c r="BF557">
        <f>sala!K556</f>
        <v>555</v>
      </c>
      <c r="BG557">
        <f>sala!I556</f>
        <v>4108</v>
      </c>
      <c r="BH557" cm="1">
        <f t="array" ref="BH557">SUM(IF(Cocina!A:A=Tabla4[[#This Row],[Número de Orden]],Cocina!F:F*Cocina!G:G,0))</f>
        <v>30</v>
      </c>
      <c r="BI557" t="str">
        <f>sala!J556</f>
        <v>Libre</v>
      </c>
      <c r="BJ557" s="4" t="str">
        <f>IF(Tabla4[[#This Row],[Estado mesa]]="Ocupada","00:15","00:00")</f>
        <v>00:00</v>
      </c>
      <c r="BK557" cm="1">
        <f t="array" ref="BK557">SUM(IF(Cocina!A:A=Tabla4[[#This Row],[Número de Orden]],Cocina!H:H,0))</f>
        <v>46</v>
      </c>
    </row>
    <row r="558" spans="1:63" x14ac:dyDescent="0.3">
      <c r="A558" s="8" t="str">
        <f>MID(Tabla4[[#This Row],[Cliente]], SEARCH("_", Tabla4[[#This Row],[Cliente]]) + 1, LEN(Tabla4[[#This Row],[Cliente]]) - SEARCH("_",Tabla4[[#This Row],[Cliente]]))</f>
        <v>814</v>
      </c>
      <c r="B558">
        <f>sala!K557</f>
        <v>556</v>
      </c>
      <c r="C558">
        <f>Tabla4[[#This Row],[Propina]]+Tabla4[[#This Row],[Precio Cena]]</f>
        <v>1485</v>
      </c>
      <c r="D558" s="3">
        <f>INT(sala!E557)</f>
        <v>45022</v>
      </c>
      <c r="E558" s="4">
        <f>MOD( sala!D557,1)</f>
        <v>0.16458333333139308</v>
      </c>
      <c r="F558" s="4">
        <f>MOD( sala!E557,1)</f>
        <v>0.32013888889196096</v>
      </c>
      <c r="G558" s="4">
        <f>Tabla5[[#This Row],[Hora de Salida]]-Tabla5[[#This Row],[Hora de Llegada]]+Tabla4[[#This Row],[Tiempo Extra]]</f>
        <v>0.15555555556056788</v>
      </c>
      <c r="H558" s="5" t="str">
        <f>TEXT(Tabla4[[#This Row],[Preparación en horas]]/1440, "h:mm")</f>
        <v>1:06</v>
      </c>
      <c r="I558" s="4">
        <f>IF(Tabla5[[#This Row],[Tiempo Permanencia]]-Tabla5[[#This Row],[Tiempo de Preparación ]]&gt;=0,Tabla5[[#This Row],[Tiempo Permanencia]]-Tabla5[[#This Row],[Tiempo de Preparación ]],0)</f>
        <v>0.10972222222723454</v>
      </c>
      <c r="J558" s="5" t="str">
        <f>IF(Tabla5[[#This Row],[Tiempo de Degustación]]=0,"No Cobrada","Cobrada")</f>
        <v>Cobrada</v>
      </c>
      <c r="K558" s="5" cm="1">
        <f t="array" ref="K558">SUM(IF(Tabla5[[#This Row],[Orden Cobrada]]="Cobrada",IF(Cocina!A:A=Tabla5[[#This Row],[Nº Orden]],Cocina!F:F*Cocina!G:G,0),-Tabla6[[#This Row],[Precio Cena]]))</f>
        <v>76</v>
      </c>
      <c r="L558" s="5">
        <f>IF(Tabla5[[#This Row],[Orden Cobrada]]="Cobrada",Tabla5[[#This Row],[Ganancia Bruta]]-Tabla6[[#This Row],[Coste Cena]],-Tabla6[[#This Row],[Precio Cena]]+Tabla6[[#This Row],[Coste Cena]])</f>
        <v>33</v>
      </c>
      <c r="M558" s="10">
        <f>IF(Tabla5[[#This Row],[Orden Cobrada]]="Cobrada",((Tabla5[[#This Row],[Ganancia Neta]]/Tabla5[[#This Row],[Ganancia Bruta]])*100)/100,-((Tabla5[[#This Row],[Ganancia Neta]]/Tabla5[[#This Row],[Ganancia Bruta]]*100)/100))</f>
        <v>0.43421052631578955</v>
      </c>
      <c r="N558" s="5" t="str">
        <f>sala!F557</f>
        <v>Mesero_2</v>
      </c>
      <c r="AY558" cm="1">
        <f t="array" ref="AY558">SUM(IF(Cocina!A:A=Tabla5[[#This Row],[Nº Orden]],Cocina!F:F*Cocina!G:G,0))</f>
        <v>76</v>
      </c>
      <c r="AZ558" cm="1">
        <f t="array" ref="AZ558">SUM(IF(Cocina!A:A=Tabla5[[#This Row],[Nº Orden]],Cocina!E:E*Cocina!G:G,0))</f>
        <v>43</v>
      </c>
      <c r="BB558" t="str">
        <f>MID(Tabla4[[#This Row],[Cliente]], SEARCH("_", Tabla4[[#This Row],[Cliente]]) + 1, LEN(Tabla4[[#This Row],[Cliente]]) - SEARCH("_",Tabla4[[#This Row],[Cliente]]))</f>
        <v>814</v>
      </c>
      <c r="BC558" t="str">
        <f>sala!B557</f>
        <v>Cliente_814</v>
      </c>
      <c r="BD558" s="1">
        <f>sala!D557</f>
        <v>45022.164583333331</v>
      </c>
      <c r="BE558" s="1">
        <f>sala!E557</f>
        <v>45022.320138888892</v>
      </c>
      <c r="BF558">
        <f>sala!K557</f>
        <v>556</v>
      </c>
      <c r="BG558">
        <f>sala!I557</f>
        <v>1409</v>
      </c>
      <c r="BH558" cm="1">
        <f t="array" ref="BH558">SUM(IF(Cocina!A:A=Tabla4[[#This Row],[Número de Orden]],Cocina!F:F*Cocina!G:G,0))</f>
        <v>76</v>
      </c>
      <c r="BI558" t="str">
        <f>sala!J557</f>
        <v>Libre</v>
      </c>
      <c r="BJ558" s="4" t="str">
        <f>IF(Tabla4[[#This Row],[Estado mesa]]="Ocupada","00:15","00:00")</f>
        <v>00:00</v>
      </c>
      <c r="BK558" cm="1">
        <f t="array" ref="BK558">SUM(IF(Cocina!A:A=Tabla4[[#This Row],[Número de Orden]],Cocina!H:H,0))</f>
        <v>66</v>
      </c>
    </row>
    <row r="559" spans="1:63" x14ac:dyDescent="0.3">
      <c r="A559" s="8" t="str">
        <f>MID(Tabla4[[#This Row],[Cliente]], SEARCH("_", Tabla4[[#This Row],[Cliente]]) + 1, LEN(Tabla4[[#This Row],[Cliente]]) - SEARCH("_",Tabla4[[#This Row],[Cliente]]))</f>
        <v>381</v>
      </c>
      <c r="B559">
        <f>sala!K558</f>
        <v>557</v>
      </c>
      <c r="C559">
        <f>Tabla4[[#This Row],[Propina]]+Tabla4[[#This Row],[Precio Cena]]</f>
        <v>3765</v>
      </c>
      <c r="D559" s="3">
        <f>INT(sala!E558)</f>
        <v>45022</v>
      </c>
      <c r="E559" s="4">
        <f>MOD( sala!D558,1)</f>
        <v>0.16111111111240461</v>
      </c>
      <c r="F559" s="4">
        <f>MOD( sala!E558,1)</f>
        <v>0.31874999999854481</v>
      </c>
      <c r="G559" s="4">
        <f>Tabla5[[#This Row],[Hora de Salida]]-Tabla5[[#This Row],[Hora de Llegada]]+Tabla4[[#This Row],[Tiempo Extra]]</f>
        <v>0.16805555555280685</v>
      </c>
      <c r="H559" s="5" t="str">
        <f>TEXT(Tabla4[[#This Row],[Preparación en horas]]/1440, "h:mm")</f>
        <v>1:47</v>
      </c>
      <c r="I559" s="4">
        <f>IF(Tabla5[[#This Row],[Tiempo Permanencia]]-Tabla5[[#This Row],[Tiempo de Preparación ]]&gt;=0,Tabla5[[#This Row],[Tiempo Permanencia]]-Tabla5[[#This Row],[Tiempo de Preparación ]],0)</f>
        <v>9.3749999997251296E-2</v>
      </c>
      <c r="J559" s="5" t="str">
        <f>IF(Tabla5[[#This Row],[Tiempo de Degustación]]=0,"No Cobrada","Cobrada")</f>
        <v>Cobrada</v>
      </c>
      <c r="K559" s="5" cm="1">
        <f t="array" ref="K559">SUM(IF(Tabla5[[#This Row],[Orden Cobrada]]="Cobrada",IF(Cocina!A:A=Tabla5[[#This Row],[Nº Orden]],Cocina!F:F*Cocina!G:G,0),-Tabla6[[#This Row],[Precio Cena]]))</f>
        <v>177</v>
      </c>
      <c r="L559" s="5">
        <f>IF(Tabla5[[#This Row],[Orden Cobrada]]="Cobrada",Tabla5[[#This Row],[Ganancia Bruta]]-Tabla6[[#This Row],[Coste Cena]],-Tabla6[[#This Row],[Precio Cena]]+Tabla6[[#This Row],[Coste Cena]])</f>
        <v>70</v>
      </c>
      <c r="M559" s="10">
        <f>IF(Tabla5[[#This Row],[Orden Cobrada]]="Cobrada",((Tabla5[[#This Row],[Ganancia Neta]]/Tabla5[[#This Row],[Ganancia Bruta]])*100)/100,-((Tabla5[[#This Row],[Ganancia Neta]]/Tabla5[[#This Row],[Ganancia Bruta]]*100)/100))</f>
        <v>0.39548022598870053</v>
      </c>
      <c r="N559" s="5" t="str">
        <f>sala!F558</f>
        <v>Mesero_2</v>
      </c>
      <c r="AY559" cm="1">
        <f t="array" ref="AY559">SUM(IF(Cocina!A:A=Tabla5[[#This Row],[Nº Orden]],Cocina!F:F*Cocina!G:G,0))</f>
        <v>177</v>
      </c>
      <c r="AZ559" cm="1">
        <f t="array" ref="AZ559">SUM(IF(Cocina!A:A=Tabla5[[#This Row],[Nº Orden]],Cocina!E:E*Cocina!G:G,0))</f>
        <v>107</v>
      </c>
      <c r="BB559" t="str">
        <f>MID(Tabla4[[#This Row],[Cliente]], SEARCH("_", Tabla4[[#This Row],[Cliente]]) + 1, LEN(Tabla4[[#This Row],[Cliente]]) - SEARCH("_",Tabla4[[#This Row],[Cliente]]))</f>
        <v>381</v>
      </c>
      <c r="BC559" t="str">
        <f>sala!B558</f>
        <v>Cliente_381</v>
      </c>
      <c r="BD559" s="1">
        <f>sala!D558</f>
        <v>45022.161111111112</v>
      </c>
      <c r="BE559" s="1">
        <f>sala!E558</f>
        <v>45022.318749999999</v>
      </c>
      <c r="BF559">
        <f>sala!K558</f>
        <v>557</v>
      </c>
      <c r="BG559">
        <f>sala!I558</f>
        <v>3588</v>
      </c>
      <c r="BH559" cm="1">
        <f t="array" ref="BH559">SUM(IF(Cocina!A:A=Tabla4[[#This Row],[Número de Orden]],Cocina!F:F*Cocina!G:G,0))</f>
        <v>177</v>
      </c>
      <c r="BI559" t="str">
        <f>sala!J558</f>
        <v>Ocupada</v>
      </c>
      <c r="BJ559" s="4" t="str">
        <f>IF(Tabla4[[#This Row],[Estado mesa]]="Ocupada","00:15","00:00")</f>
        <v>00:15</v>
      </c>
      <c r="BK559" cm="1">
        <f t="array" ref="BK559">SUM(IF(Cocina!A:A=Tabla4[[#This Row],[Número de Orden]],Cocina!H:H,0))</f>
        <v>107</v>
      </c>
    </row>
    <row r="560" spans="1:63" x14ac:dyDescent="0.3">
      <c r="A560" s="8" t="str">
        <f>MID(Tabla4[[#This Row],[Cliente]], SEARCH("_", Tabla4[[#This Row],[Cliente]]) + 1, LEN(Tabla4[[#This Row],[Cliente]]) - SEARCH("_",Tabla4[[#This Row],[Cliente]]))</f>
        <v>284</v>
      </c>
      <c r="B560">
        <f>sala!K559</f>
        <v>558</v>
      </c>
      <c r="C560">
        <f>Tabla4[[#This Row],[Propina]]+Tabla4[[#This Row],[Precio Cena]]</f>
        <v>4705</v>
      </c>
      <c r="D560" s="3">
        <f>INT(sala!E559)</f>
        <v>45022</v>
      </c>
      <c r="E560" s="4">
        <f>MOD( sala!D559,1)</f>
        <v>1.2499999997089617E-2</v>
      </c>
      <c r="F560" s="4">
        <f>MOD( sala!E559,1)</f>
        <v>0.12916666666569654</v>
      </c>
      <c r="G560" s="4">
        <f>Tabla5[[#This Row],[Hora de Salida]]-Tabla5[[#This Row],[Hora de Llegada]]+Tabla4[[#This Row],[Tiempo Extra]]</f>
        <v>0.11666666666860692</v>
      </c>
      <c r="H560" s="5" t="str">
        <f>TEXT(Tabla4[[#This Row],[Preparación en horas]]/1440, "h:mm")</f>
        <v>2:47</v>
      </c>
      <c r="I560" s="4">
        <f>IF(Tabla5[[#This Row],[Tiempo Permanencia]]-Tabla5[[#This Row],[Tiempo de Preparación ]]&gt;=0,Tabla5[[#This Row],[Tiempo Permanencia]]-Tabla5[[#This Row],[Tiempo de Preparación ]],0)</f>
        <v>6.9444444638469549E-4</v>
      </c>
      <c r="J560" s="5" t="str">
        <f>IF(Tabla5[[#This Row],[Tiempo de Degustación]]=0,"No Cobrada","Cobrada")</f>
        <v>Cobrada</v>
      </c>
      <c r="K560" s="5" cm="1">
        <f t="array" ref="K560">SUM(IF(Tabla5[[#This Row],[Orden Cobrada]]="Cobrada",IF(Cocina!A:A=Tabla5[[#This Row],[Nº Orden]],Cocina!F:F*Cocina!G:G,0),-Tabla6[[#This Row],[Precio Cena]]))</f>
        <v>179</v>
      </c>
      <c r="L560" s="5">
        <f>IF(Tabla5[[#This Row],[Orden Cobrada]]="Cobrada",Tabla5[[#This Row],[Ganancia Bruta]]-Tabla6[[#This Row],[Coste Cena]],-Tabla6[[#This Row],[Precio Cena]]+Tabla6[[#This Row],[Coste Cena]])</f>
        <v>72</v>
      </c>
      <c r="M560" s="10">
        <f>IF(Tabla5[[#This Row],[Orden Cobrada]]="Cobrada",((Tabla5[[#This Row],[Ganancia Neta]]/Tabla5[[#This Row],[Ganancia Bruta]])*100)/100,-((Tabla5[[#This Row],[Ganancia Neta]]/Tabla5[[#This Row],[Ganancia Bruta]]*100)/100))</f>
        <v>0.4022346368715084</v>
      </c>
      <c r="N560" s="5" t="str">
        <f>sala!F559</f>
        <v>Mesero_1</v>
      </c>
      <c r="AY560" cm="1">
        <f t="array" ref="AY560">SUM(IF(Cocina!A:A=Tabla5[[#This Row],[Nº Orden]],Cocina!F:F*Cocina!G:G,0))</f>
        <v>179</v>
      </c>
      <c r="AZ560" cm="1">
        <f t="array" ref="AZ560">SUM(IF(Cocina!A:A=Tabla5[[#This Row],[Nº Orden]],Cocina!E:E*Cocina!G:G,0))</f>
        <v>107</v>
      </c>
      <c r="BB560" t="str">
        <f>MID(Tabla4[[#This Row],[Cliente]], SEARCH("_", Tabla4[[#This Row],[Cliente]]) + 1, LEN(Tabla4[[#This Row],[Cliente]]) - SEARCH("_",Tabla4[[#This Row],[Cliente]]))</f>
        <v>284</v>
      </c>
      <c r="BC560" t="str">
        <f>sala!B559</f>
        <v>Cliente_284</v>
      </c>
      <c r="BD560" s="1">
        <f>sala!D559</f>
        <v>45022.012499999997</v>
      </c>
      <c r="BE560" s="1">
        <f>sala!E559</f>
        <v>45022.129166666666</v>
      </c>
      <c r="BF560">
        <f>sala!K559</f>
        <v>558</v>
      </c>
      <c r="BG560">
        <f>sala!I559</f>
        <v>4526</v>
      </c>
      <c r="BH560" cm="1">
        <f t="array" ref="BH560">SUM(IF(Cocina!A:A=Tabla4[[#This Row],[Número de Orden]],Cocina!F:F*Cocina!G:G,0))</f>
        <v>179</v>
      </c>
      <c r="BI560" t="str">
        <f>sala!J559</f>
        <v>Reservada</v>
      </c>
      <c r="BJ560" s="4" t="str">
        <f>IF(Tabla4[[#This Row],[Estado mesa]]="Ocupada","00:15","00:00")</f>
        <v>00:00</v>
      </c>
      <c r="BK560" cm="1">
        <f t="array" ref="BK560">SUM(IF(Cocina!A:A=Tabla4[[#This Row],[Número de Orden]],Cocina!H:H,0))</f>
        <v>167</v>
      </c>
    </row>
    <row r="561" spans="1:63" x14ac:dyDescent="0.3">
      <c r="A561" s="8" t="str">
        <f>MID(Tabla4[[#This Row],[Cliente]], SEARCH("_", Tabla4[[#This Row],[Cliente]]) + 1, LEN(Tabla4[[#This Row],[Cliente]]) - SEARCH("_",Tabla4[[#This Row],[Cliente]]))</f>
        <v>728</v>
      </c>
      <c r="B561">
        <f>sala!K560</f>
        <v>559</v>
      </c>
      <c r="C561">
        <f>Tabla4[[#This Row],[Propina]]+Tabla4[[#This Row],[Precio Cena]]</f>
        <v>2535</v>
      </c>
      <c r="D561" s="3">
        <f>INT(sala!E560)</f>
        <v>45022</v>
      </c>
      <c r="E561" s="4">
        <f>MOD( sala!D560,1)</f>
        <v>9.7222222248092294E-3</v>
      </c>
      <c r="F561" s="4">
        <f>MOD( sala!E560,1)</f>
        <v>0.16597222222480923</v>
      </c>
      <c r="G561" s="4">
        <f>Tabla5[[#This Row],[Hora de Salida]]-Tabla5[[#This Row],[Hora de Llegada]]+Tabla4[[#This Row],[Tiempo Extra]]</f>
        <v>0.15625</v>
      </c>
      <c r="H561" s="5" t="str">
        <f>TEXT(Tabla4[[#This Row],[Preparación en horas]]/1440, "h:mm")</f>
        <v>0:41</v>
      </c>
      <c r="I561" s="4">
        <f>IF(Tabla5[[#This Row],[Tiempo Permanencia]]-Tabla5[[#This Row],[Tiempo de Preparación ]]&gt;=0,Tabla5[[#This Row],[Tiempo Permanencia]]-Tabla5[[#This Row],[Tiempo de Preparación ]],0)</f>
        <v>0.12777777777777777</v>
      </c>
      <c r="J561" s="5" t="str">
        <f>IF(Tabla5[[#This Row],[Tiempo de Degustación]]=0,"No Cobrada","Cobrada")</f>
        <v>Cobrada</v>
      </c>
      <c r="K561" s="5" cm="1">
        <f t="array" ref="K561">SUM(IF(Tabla5[[#This Row],[Orden Cobrada]]="Cobrada",IF(Cocina!A:A=Tabla5[[#This Row],[Nº Orden]],Cocina!F:F*Cocina!G:G,0),-Tabla6[[#This Row],[Precio Cena]]))</f>
        <v>99</v>
      </c>
      <c r="L561" s="5">
        <f>IF(Tabla5[[#This Row],[Orden Cobrada]]="Cobrada",Tabla5[[#This Row],[Ganancia Bruta]]-Tabla6[[#This Row],[Coste Cena]],-Tabla6[[#This Row],[Precio Cena]]+Tabla6[[#This Row],[Coste Cena]])</f>
        <v>39</v>
      </c>
      <c r="M561" s="10">
        <f>IF(Tabla5[[#This Row],[Orden Cobrada]]="Cobrada",((Tabla5[[#This Row],[Ganancia Neta]]/Tabla5[[#This Row],[Ganancia Bruta]])*100)/100,-((Tabla5[[#This Row],[Ganancia Neta]]/Tabla5[[#This Row],[Ganancia Bruta]]*100)/100))</f>
        <v>0.39393939393939392</v>
      </c>
      <c r="N561" s="5" t="str">
        <f>sala!F560</f>
        <v>Mesero_2</v>
      </c>
      <c r="AY561" cm="1">
        <f t="array" ref="AY561">SUM(IF(Cocina!A:A=Tabla5[[#This Row],[Nº Orden]],Cocina!F:F*Cocina!G:G,0))</f>
        <v>99</v>
      </c>
      <c r="AZ561" cm="1">
        <f t="array" ref="AZ561">SUM(IF(Cocina!A:A=Tabla5[[#This Row],[Nº Orden]],Cocina!E:E*Cocina!G:G,0))</f>
        <v>60</v>
      </c>
      <c r="BB561" t="str">
        <f>MID(Tabla4[[#This Row],[Cliente]], SEARCH("_", Tabla4[[#This Row],[Cliente]]) + 1, LEN(Tabla4[[#This Row],[Cliente]]) - SEARCH("_",Tabla4[[#This Row],[Cliente]]))</f>
        <v>728</v>
      </c>
      <c r="BC561" t="str">
        <f>sala!B560</f>
        <v>Cliente_728</v>
      </c>
      <c r="BD561" s="1">
        <f>sala!D560</f>
        <v>45022.009722222225</v>
      </c>
      <c r="BE561" s="1">
        <f>sala!E560</f>
        <v>45022.165972222225</v>
      </c>
      <c r="BF561">
        <f>sala!K560</f>
        <v>559</v>
      </c>
      <c r="BG561">
        <f>sala!I560</f>
        <v>2436</v>
      </c>
      <c r="BH561" cm="1">
        <f t="array" ref="BH561">SUM(IF(Cocina!A:A=Tabla4[[#This Row],[Número de Orden]],Cocina!F:F*Cocina!G:G,0))</f>
        <v>99</v>
      </c>
      <c r="BI561" t="str">
        <f>sala!J560</f>
        <v>Reservada</v>
      </c>
      <c r="BJ561" s="4" t="str">
        <f>IF(Tabla4[[#This Row],[Estado mesa]]="Ocupada","00:15","00:00")</f>
        <v>00:00</v>
      </c>
      <c r="BK561" cm="1">
        <f t="array" ref="BK561">SUM(IF(Cocina!A:A=Tabla4[[#This Row],[Número de Orden]],Cocina!H:H,0))</f>
        <v>41</v>
      </c>
    </row>
    <row r="562" spans="1:63" x14ac:dyDescent="0.3">
      <c r="A562" s="8" t="str">
        <f>MID(Tabla4[[#This Row],[Cliente]], SEARCH("_", Tabla4[[#This Row],[Cliente]]) + 1, LEN(Tabla4[[#This Row],[Cliente]]) - SEARCH("_",Tabla4[[#This Row],[Cliente]]))</f>
        <v>610</v>
      </c>
      <c r="B562">
        <f>sala!K561</f>
        <v>560</v>
      </c>
      <c r="C562">
        <f>Tabla4[[#This Row],[Propina]]+Tabla4[[#This Row],[Precio Cena]]</f>
        <v>3264</v>
      </c>
      <c r="D562" s="3">
        <f>INT(sala!E561)</f>
        <v>45022</v>
      </c>
      <c r="E562" s="4">
        <f>MOD( sala!D561,1)</f>
        <v>1.0416666664241347E-2</v>
      </c>
      <c r="F562" s="4">
        <f>MOD( sala!E561,1)</f>
        <v>0.1368055555576575</v>
      </c>
      <c r="G562" s="4">
        <f>Tabla5[[#This Row],[Hora de Salida]]-Tabla5[[#This Row],[Hora de Llegada]]+Tabla4[[#This Row],[Tiempo Extra]]</f>
        <v>0.12638888889341615</v>
      </c>
      <c r="H562" s="5" t="str">
        <f>TEXT(Tabla4[[#This Row],[Preparación en horas]]/1440, "h:mm")</f>
        <v>0:48</v>
      </c>
      <c r="I562" s="4">
        <f>IF(Tabla5[[#This Row],[Tiempo Permanencia]]-Tabla5[[#This Row],[Tiempo de Preparación ]]&gt;=0,Tabla5[[#This Row],[Tiempo Permanencia]]-Tabla5[[#This Row],[Tiempo de Preparación ]],0)</f>
        <v>9.3055555560082825E-2</v>
      </c>
      <c r="J562" s="5" t="str">
        <f>IF(Tabla5[[#This Row],[Tiempo de Degustación]]=0,"No Cobrada","Cobrada")</f>
        <v>Cobrada</v>
      </c>
      <c r="K562" s="5" cm="1">
        <f t="array" ref="K562">SUM(IF(Tabla5[[#This Row],[Orden Cobrada]]="Cobrada",IF(Cocina!A:A=Tabla5[[#This Row],[Nº Orden]],Cocina!F:F*Cocina!G:G,0),-Tabla6[[#This Row],[Precio Cena]]))</f>
        <v>111</v>
      </c>
      <c r="L562" s="5">
        <f>IF(Tabla5[[#This Row],[Orden Cobrada]]="Cobrada",Tabla5[[#This Row],[Ganancia Bruta]]-Tabla6[[#This Row],[Coste Cena]],-Tabla6[[#This Row],[Precio Cena]]+Tabla6[[#This Row],[Coste Cena]])</f>
        <v>46</v>
      </c>
      <c r="M562" s="10">
        <f>IF(Tabla5[[#This Row],[Orden Cobrada]]="Cobrada",((Tabla5[[#This Row],[Ganancia Neta]]/Tabla5[[#This Row],[Ganancia Bruta]])*100)/100,-((Tabla5[[#This Row],[Ganancia Neta]]/Tabla5[[#This Row],[Ganancia Bruta]]*100)/100))</f>
        <v>0.4144144144144144</v>
      </c>
      <c r="N562" s="5" t="str">
        <f>sala!F561</f>
        <v>Mesero_5</v>
      </c>
      <c r="AY562" cm="1">
        <f t="array" ref="AY562">SUM(IF(Cocina!A:A=Tabla5[[#This Row],[Nº Orden]],Cocina!F:F*Cocina!G:G,0))</f>
        <v>111</v>
      </c>
      <c r="AZ562" cm="1">
        <f t="array" ref="AZ562">SUM(IF(Cocina!A:A=Tabla5[[#This Row],[Nº Orden]],Cocina!E:E*Cocina!G:G,0))</f>
        <v>65</v>
      </c>
      <c r="BB562" t="str">
        <f>MID(Tabla4[[#This Row],[Cliente]], SEARCH("_", Tabla4[[#This Row],[Cliente]]) + 1, LEN(Tabla4[[#This Row],[Cliente]]) - SEARCH("_",Tabla4[[#This Row],[Cliente]]))</f>
        <v>610</v>
      </c>
      <c r="BC562" t="str">
        <f>sala!B561</f>
        <v>Cliente_610</v>
      </c>
      <c r="BD562" s="1">
        <f>sala!D561</f>
        <v>45022.010416666664</v>
      </c>
      <c r="BE562" s="1">
        <f>sala!E561</f>
        <v>45022.136805555558</v>
      </c>
      <c r="BF562">
        <f>sala!K561</f>
        <v>560</v>
      </c>
      <c r="BG562">
        <f>sala!I561</f>
        <v>3153</v>
      </c>
      <c r="BH562" cm="1">
        <f t="array" ref="BH562">SUM(IF(Cocina!A:A=Tabla4[[#This Row],[Número de Orden]],Cocina!F:F*Cocina!G:G,0))</f>
        <v>111</v>
      </c>
      <c r="BI562" t="str">
        <f>sala!J561</f>
        <v>Reservada</v>
      </c>
      <c r="BJ562" s="4" t="str">
        <f>IF(Tabla4[[#This Row],[Estado mesa]]="Ocupada","00:15","00:00")</f>
        <v>00:00</v>
      </c>
      <c r="BK562" cm="1">
        <f t="array" ref="BK562">SUM(IF(Cocina!A:A=Tabla4[[#This Row],[Número de Orden]],Cocina!H:H,0))</f>
        <v>48</v>
      </c>
    </row>
    <row r="563" spans="1:63" x14ac:dyDescent="0.3">
      <c r="A563" s="8" t="str">
        <f>MID(Tabla4[[#This Row],[Cliente]], SEARCH("_", Tabla4[[#This Row],[Cliente]]) + 1, LEN(Tabla4[[#This Row],[Cliente]]) - SEARCH("_",Tabla4[[#This Row],[Cliente]]))</f>
        <v>190</v>
      </c>
      <c r="B563">
        <f>sala!K562</f>
        <v>561</v>
      </c>
      <c r="C563">
        <f>Tabla4[[#This Row],[Propina]]+Tabla4[[#This Row],[Precio Cena]]</f>
        <v>4488</v>
      </c>
      <c r="D563" s="3">
        <f>INT(sala!E562)</f>
        <v>45022</v>
      </c>
      <c r="E563" s="4">
        <f>MOD( sala!D562,1)</f>
        <v>5.0694444442342501E-2</v>
      </c>
      <c r="F563" s="4">
        <f>MOD( sala!E562,1)</f>
        <v>0.15208333333430346</v>
      </c>
      <c r="G563" s="4">
        <f>Tabla5[[#This Row],[Hora de Salida]]-Tabla5[[#This Row],[Hora de Llegada]]+Tabla4[[#This Row],[Tiempo Extra]]</f>
        <v>0.10138888889196096</v>
      </c>
      <c r="H563" s="5" t="str">
        <f>TEXT(Tabla4[[#This Row],[Preparación en horas]]/1440, "h:mm")</f>
        <v>1:04</v>
      </c>
      <c r="I563" s="4">
        <f>IF(Tabla5[[#This Row],[Tiempo Permanencia]]-Tabla5[[#This Row],[Tiempo de Preparación ]]&gt;=0,Tabla5[[#This Row],[Tiempo Permanencia]]-Tabla5[[#This Row],[Tiempo de Preparación ]],0)</f>
        <v>5.6944444447516514E-2</v>
      </c>
      <c r="J563" s="5" t="str">
        <f>IF(Tabla5[[#This Row],[Tiempo de Degustación]]=0,"No Cobrada","Cobrada")</f>
        <v>Cobrada</v>
      </c>
      <c r="K563" s="5" cm="1">
        <f t="array" ref="K563">SUM(IF(Tabla5[[#This Row],[Orden Cobrada]]="Cobrada",IF(Cocina!A:A=Tabla5[[#This Row],[Nº Orden]],Cocina!F:F*Cocina!G:G,0),-Tabla6[[#This Row],[Precio Cena]]))</f>
        <v>64</v>
      </c>
      <c r="L563" s="5">
        <f>IF(Tabla5[[#This Row],[Orden Cobrada]]="Cobrada",Tabla5[[#This Row],[Ganancia Bruta]]-Tabla6[[#This Row],[Coste Cena]],-Tabla6[[#This Row],[Precio Cena]]+Tabla6[[#This Row],[Coste Cena]])</f>
        <v>26</v>
      </c>
      <c r="M563" s="10">
        <f>IF(Tabla5[[#This Row],[Orden Cobrada]]="Cobrada",((Tabla5[[#This Row],[Ganancia Neta]]/Tabla5[[#This Row],[Ganancia Bruta]])*100)/100,-((Tabla5[[#This Row],[Ganancia Neta]]/Tabla5[[#This Row],[Ganancia Bruta]]*100)/100))</f>
        <v>0.40625</v>
      </c>
      <c r="N563" s="5" t="str">
        <f>sala!F562</f>
        <v>Mesero_1</v>
      </c>
      <c r="AY563" cm="1">
        <f t="array" ref="AY563">SUM(IF(Cocina!A:A=Tabla5[[#This Row],[Nº Orden]],Cocina!F:F*Cocina!G:G,0))</f>
        <v>64</v>
      </c>
      <c r="AZ563" cm="1">
        <f t="array" ref="AZ563">SUM(IF(Cocina!A:A=Tabla5[[#This Row],[Nº Orden]],Cocina!E:E*Cocina!G:G,0))</f>
        <v>38</v>
      </c>
      <c r="BB563" t="str">
        <f>MID(Tabla4[[#This Row],[Cliente]], SEARCH("_", Tabla4[[#This Row],[Cliente]]) + 1, LEN(Tabla4[[#This Row],[Cliente]]) - SEARCH("_",Tabla4[[#This Row],[Cliente]]))</f>
        <v>190</v>
      </c>
      <c r="BC563" t="str">
        <f>sala!B562</f>
        <v>Cliente_190</v>
      </c>
      <c r="BD563" s="1">
        <f>sala!D562</f>
        <v>45022.050694444442</v>
      </c>
      <c r="BE563" s="1">
        <f>sala!E562</f>
        <v>45022.152083333334</v>
      </c>
      <c r="BF563">
        <f>sala!K562</f>
        <v>561</v>
      </c>
      <c r="BG563">
        <f>sala!I562</f>
        <v>4424</v>
      </c>
      <c r="BH563" cm="1">
        <f t="array" ref="BH563">SUM(IF(Cocina!A:A=Tabla4[[#This Row],[Número de Orden]],Cocina!F:F*Cocina!G:G,0))</f>
        <v>64</v>
      </c>
      <c r="BI563" t="str">
        <f>sala!J562</f>
        <v>Reservada</v>
      </c>
      <c r="BJ563" s="4" t="str">
        <f>IF(Tabla4[[#This Row],[Estado mesa]]="Ocupada","00:15","00:00")</f>
        <v>00:00</v>
      </c>
      <c r="BK563" cm="1">
        <f t="array" ref="BK563">SUM(IF(Cocina!A:A=Tabla4[[#This Row],[Número de Orden]],Cocina!H:H,0))</f>
        <v>64</v>
      </c>
    </row>
    <row r="564" spans="1:63" x14ac:dyDescent="0.3">
      <c r="A564" s="8" t="str">
        <f>MID(Tabla4[[#This Row],[Cliente]], SEARCH("_", Tabla4[[#This Row],[Cliente]]) + 1, LEN(Tabla4[[#This Row],[Cliente]]) - SEARCH("_",Tabla4[[#This Row],[Cliente]]))</f>
        <v>454</v>
      </c>
      <c r="B564">
        <f>sala!K563</f>
        <v>562</v>
      </c>
      <c r="C564">
        <f>Tabla4[[#This Row],[Propina]]+Tabla4[[#This Row],[Precio Cena]]</f>
        <v>2437</v>
      </c>
      <c r="D564" s="3">
        <f>INT(sala!E563)</f>
        <v>45022</v>
      </c>
      <c r="E564" s="4">
        <f>MOD( sala!D563,1)</f>
        <v>0.10833333332993789</v>
      </c>
      <c r="F564" s="4">
        <f>MOD( sala!E563,1)</f>
        <v>0.26388888889050577</v>
      </c>
      <c r="G564" s="4">
        <f>Tabla5[[#This Row],[Hora de Salida]]-Tabla5[[#This Row],[Hora de Llegada]]+Tabla4[[#This Row],[Tiempo Extra]]</f>
        <v>0.15555555556056788</v>
      </c>
      <c r="H564" s="5" t="str">
        <f>TEXT(Tabla4[[#This Row],[Preparación en horas]]/1440, "h:mm")</f>
        <v>1:52</v>
      </c>
      <c r="I564" s="4">
        <f>IF(Tabla5[[#This Row],[Tiempo Permanencia]]-Tabla5[[#This Row],[Tiempo de Preparación ]]&gt;=0,Tabla5[[#This Row],[Tiempo Permanencia]]-Tabla5[[#This Row],[Tiempo de Preparación ]],0)</f>
        <v>7.7777777782790103E-2</v>
      </c>
      <c r="J564" s="5" t="str">
        <f>IF(Tabla5[[#This Row],[Tiempo de Degustación]]=0,"No Cobrada","Cobrada")</f>
        <v>Cobrada</v>
      </c>
      <c r="K564" s="5" cm="1">
        <f t="array" ref="K564">SUM(IF(Tabla5[[#This Row],[Orden Cobrada]]="Cobrada",IF(Cocina!A:A=Tabla5[[#This Row],[Nº Orden]],Cocina!F:F*Cocina!G:G,0),-Tabla6[[#This Row],[Precio Cena]]))</f>
        <v>288</v>
      </c>
      <c r="L564" s="5">
        <f>IF(Tabla5[[#This Row],[Orden Cobrada]]="Cobrada",Tabla5[[#This Row],[Ganancia Bruta]]-Tabla6[[#This Row],[Coste Cena]],-Tabla6[[#This Row],[Precio Cena]]+Tabla6[[#This Row],[Coste Cena]])</f>
        <v>113</v>
      </c>
      <c r="M564" s="10">
        <f>IF(Tabla5[[#This Row],[Orden Cobrada]]="Cobrada",((Tabla5[[#This Row],[Ganancia Neta]]/Tabla5[[#This Row],[Ganancia Bruta]])*100)/100,-((Tabla5[[#This Row],[Ganancia Neta]]/Tabla5[[#This Row],[Ganancia Bruta]]*100)/100))</f>
        <v>0.39236111111111105</v>
      </c>
      <c r="N564" s="5" t="str">
        <f>sala!F563</f>
        <v>Mesero_1</v>
      </c>
      <c r="AY564" cm="1">
        <f t="array" ref="AY564">SUM(IF(Cocina!A:A=Tabla5[[#This Row],[Nº Orden]],Cocina!F:F*Cocina!G:G,0))</f>
        <v>288</v>
      </c>
      <c r="AZ564" cm="1">
        <f t="array" ref="AZ564">SUM(IF(Cocina!A:A=Tabla5[[#This Row],[Nº Orden]],Cocina!E:E*Cocina!G:G,0))</f>
        <v>175</v>
      </c>
      <c r="BB564" t="str">
        <f>MID(Tabla4[[#This Row],[Cliente]], SEARCH("_", Tabla4[[#This Row],[Cliente]]) + 1, LEN(Tabla4[[#This Row],[Cliente]]) - SEARCH("_",Tabla4[[#This Row],[Cliente]]))</f>
        <v>454</v>
      </c>
      <c r="BC564" t="str">
        <f>sala!B563</f>
        <v>Cliente_454</v>
      </c>
      <c r="BD564" s="1">
        <f>sala!D563</f>
        <v>45022.10833333333</v>
      </c>
      <c r="BE564" s="1">
        <f>sala!E563</f>
        <v>45022.263888888891</v>
      </c>
      <c r="BF564">
        <f>sala!K563</f>
        <v>562</v>
      </c>
      <c r="BG564">
        <f>sala!I563</f>
        <v>2149</v>
      </c>
      <c r="BH564" cm="1">
        <f t="array" ref="BH564">SUM(IF(Cocina!A:A=Tabla4[[#This Row],[Número de Orden]],Cocina!F:F*Cocina!G:G,0))</f>
        <v>288</v>
      </c>
      <c r="BI564" t="str">
        <f>sala!J563</f>
        <v>Libre</v>
      </c>
      <c r="BJ564" s="4" t="str">
        <f>IF(Tabla4[[#This Row],[Estado mesa]]="Ocupada","00:15","00:00")</f>
        <v>00:00</v>
      </c>
      <c r="BK564" cm="1">
        <f t="array" ref="BK564">SUM(IF(Cocina!A:A=Tabla4[[#This Row],[Número de Orden]],Cocina!H:H,0))</f>
        <v>112</v>
      </c>
    </row>
    <row r="565" spans="1:63" x14ac:dyDescent="0.3">
      <c r="A565" s="8" t="str">
        <f>MID(Tabla4[[#This Row],[Cliente]], SEARCH("_", Tabla4[[#This Row],[Cliente]]) + 1, LEN(Tabla4[[#This Row],[Cliente]]) - SEARCH("_",Tabla4[[#This Row],[Cliente]]))</f>
        <v>865</v>
      </c>
      <c r="B565">
        <f>sala!K564</f>
        <v>563</v>
      </c>
      <c r="C565">
        <f>Tabla4[[#This Row],[Propina]]+Tabla4[[#This Row],[Precio Cena]]</f>
        <v>2061</v>
      </c>
      <c r="D565" s="3">
        <f>INT(sala!E564)</f>
        <v>45022</v>
      </c>
      <c r="E565" s="4">
        <f>MOD( sala!D564,1)</f>
        <v>0.12777777777955635</v>
      </c>
      <c r="F565" s="4">
        <f>MOD( sala!E564,1)</f>
        <v>0.19652777777810115</v>
      </c>
      <c r="G565" s="4">
        <f>Tabla5[[#This Row],[Hora de Salida]]-Tabla5[[#This Row],[Hora de Llegada]]+Tabla4[[#This Row],[Tiempo Extra]]</f>
        <v>7.916666666521148E-2</v>
      </c>
      <c r="H565" s="5" t="str">
        <f>TEXT(Tabla4[[#This Row],[Preparación en horas]]/1440, "h:mm")</f>
        <v>0:37</v>
      </c>
      <c r="I565" s="4">
        <f>IF(Tabla5[[#This Row],[Tiempo Permanencia]]-Tabla5[[#This Row],[Tiempo de Preparación ]]&gt;=0,Tabla5[[#This Row],[Tiempo Permanencia]]-Tabla5[[#This Row],[Tiempo de Preparación ]],0)</f>
        <v>5.3472222220767036E-2</v>
      </c>
      <c r="J565" s="5" t="str">
        <f>IF(Tabla5[[#This Row],[Tiempo de Degustación]]=0,"No Cobrada","Cobrada")</f>
        <v>Cobrada</v>
      </c>
      <c r="K565" s="5" cm="1">
        <f t="array" ref="K565">SUM(IF(Tabla5[[#This Row],[Orden Cobrada]]="Cobrada",IF(Cocina!A:A=Tabla5[[#This Row],[Nº Orden]],Cocina!F:F*Cocina!G:G,0),-Tabla6[[#This Row],[Precio Cena]]))</f>
        <v>54</v>
      </c>
      <c r="L565" s="5">
        <f>IF(Tabla5[[#This Row],[Orden Cobrada]]="Cobrada",Tabla5[[#This Row],[Ganancia Bruta]]-Tabla6[[#This Row],[Coste Cena]],-Tabla6[[#This Row],[Precio Cena]]+Tabla6[[#This Row],[Coste Cena]])</f>
        <v>22</v>
      </c>
      <c r="M565" s="10">
        <f>IF(Tabla5[[#This Row],[Orden Cobrada]]="Cobrada",((Tabla5[[#This Row],[Ganancia Neta]]/Tabla5[[#This Row],[Ganancia Bruta]])*100)/100,-((Tabla5[[#This Row],[Ganancia Neta]]/Tabla5[[#This Row],[Ganancia Bruta]]*100)/100))</f>
        <v>0.40740740740740738</v>
      </c>
      <c r="N565" s="5" t="str">
        <f>sala!F564</f>
        <v>Mesero_5</v>
      </c>
      <c r="AY565" cm="1">
        <f t="array" ref="AY565">SUM(IF(Cocina!A:A=Tabla5[[#This Row],[Nº Orden]],Cocina!F:F*Cocina!G:G,0))</f>
        <v>54</v>
      </c>
      <c r="AZ565" cm="1">
        <f t="array" ref="AZ565">SUM(IF(Cocina!A:A=Tabla5[[#This Row],[Nº Orden]],Cocina!E:E*Cocina!G:G,0))</f>
        <v>32</v>
      </c>
      <c r="BB565" t="str">
        <f>MID(Tabla4[[#This Row],[Cliente]], SEARCH("_", Tabla4[[#This Row],[Cliente]]) + 1, LEN(Tabla4[[#This Row],[Cliente]]) - SEARCH("_",Tabla4[[#This Row],[Cliente]]))</f>
        <v>865</v>
      </c>
      <c r="BC565" t="str">
        <f>sala!B564</f>
        <v>Cliente_865</v>
      </c>
      <c r="BD565" s="1">
        <f>sala!D564</f>
        <v>45022.12777777778</v>
      </c>
      <c r="BE565" s="1">
        <f>sala!E564</f>
        <v>45022.196527777778</v>
      </c>
      <c r="BF565">
        <f>sala!K564</f>
        <v>563</v>
      </c>
      <c r="BG565">
        <f>sala!I564</f>
        <v>2007</v>
      </c>
      <c r="BH565" cm="1">
        <f t="array" ref="BH565">SUM(IF(Cocina!A:A=Tabla4[[#This Row],[Número de Orden]],Cocina!F:F*Cocina!G:G,0))</f>
        <v>54</v>
      </c>
      <c r="BI565" t="str">
        <f>sala!J564</f>
        <v>Ocupada</v>
      </c>
      <c r="BJ565" s="4" t="str">
        <f>IF(Tabla4[[#This Row],[Estado mesa]]="Ocupada","00:15","00:00")</f>
        <v>00:15</v>
      </c>
      <c r="BK565" cm="1">
        <f t="array" ref="BK565">SUM(IF(Cocina!A:A=Tabla4[[#This Row],[Número de Orden]],Cocina!H:H,0))</f>
        <v>37</v>
      </c>
    </row>
    <row r="566" spans="1:63" x14ac:dyDescent="0.3">
      <c r="A566" s="8" t="str">
        <f>MID(Tabla4[[#This Row],[Cliente]], SEARCH("_", Tabla4[[#This Row],[Cliente]]) + 1, LEN(Tabla4[[#This Row],[Cliente]]) - SEARCH("_",Tabla4[[#This Row],[Cliente]]))</f>
        <v>825</v>
      </c>
      <c r="B566">
        <f>sala!K565</f>
        <v>564</v>
      </c>
      <c r="C566">
        <f>Tabla4[[#This Row],[Propina]]+Tabla4[[#This Row],[Precio Cena]]</f>
        <v>3464</v>
      </c>
      <c r="D566" s="3">
        <f>INT(sala!E565)</f>
        <v>45022</v>
      </c>
      <c r="E566" s="4">
        <f>MOD( sala!D565,1)</f>
        <v>2.1527777775190771E-2</v>
      </c>
      <c r="F566" s="4">
        <f>MOD( sala!E565,1)</f>
        <v>9.930555555911269E-2</v>
      </c>
      <c r="G566" s="4">
        <f>Tabla5[[#This Row],[Hora de Salida]]-Tabla5[[#This Row],[Hora de Llegada]]+Tabla4[[#This Row],[Tiempo Extra]]</f>
        <v>7.777777778392192E-2</v>
      </c>
      <c r="H566" s="5" t="str">
        <f>TEXT(Tabla4[[#This Row],[Preparación en horas]]/1440, "h:mm")</f>
        <v>0:54</v>
      </c>
      <c r="I566" s="4">
        <f>IF(Tabla5[[#This Row],[Tiempo Permanencia]]-Tabla5[[#This Row],[Tiempo de Preparación ]]&gt;=0,Tabla5[[#This Row],[Tiempo Permanencia]]-Tabla5[[#This Row],[Tiempo de Preparación ]],0)</f>
        <v>4.0277777783921921E-2</v>
      </c>
      <c r="J566" s="5" t="str">
        <f>IF(Tabla5[[#This Row],[Tiempo de Degustación]]=0,"No Cobrada","Cobrada")</f>
        <v>Cobrada</v>
      </c>
      <c r="K566" s="5" cm="1">
        <f t="array" ref="K566">SUM(IF(Tabla5[[#This Row],[Orden Cobrada]]="Cobrada",IF(Cocina!A:A=Tabla5[[#This Row],[Nº Orden]],Cocina!F:F*Cocina!G:G,0),-Tabla6[[#This Row],[Precio Cena]]))</f>
        <v>156</v>
      </c>
      <c r="L566" s="5">
        <f>IF(Tabla5[[#This Row],[Orden Cobrada]]="Cobrada",Tabla5[[#This Row],[Ganancia Bruta]]-Tabla6[[#This Row],[Coste Cena]],-Tabla6[[#This Row],[Precio Cena]]+Tabla6[[#This Row],[Coste Cena]])</f>
        <v>60</v>
      </c>
      <c r="M566" s="10">
        <f>IF(Tabla5[[#This Row],[Orden Cobrada]]="Cobrada",((Tabla5[[#This Row],[Ganancia Neta]]/Tabla5[[#This Row],[Ganancia Bruta]])*100)/100,-((Tabla5[[#This Row],[Ganancia Neta]]/Tabla5[[#This Row],[Ganancia Bruta]]*100)/100))</f>
        <v>0.38461538461538469</v>
      </c>
      <c r="N566" s="5" t="str">
        <f>sala!F565</f>
        <v>Mesero_5</v>
      </c>
      <c r="AY566" cm="1">
        <f t="array" ref="AY566">SUM(IF(Cocina!A:A=Tabla5[[#This Row],[Nº Orden]],Cocina!F:F*Cocina!G:G,0))</f>
        <v>156</v>
      </c>
      <c r="AZ566" cm="1">
        <f t="array" ref="AZ566">SUM(IF(Cocina!A:A=Tabla5[[#This Row],[Nº Orden]],Cocina!E:E*Cocina!G:G,0))</f>
        <v>96</v>
      </c>
      <c r="BB566" t="str">
        <f>MID(Tabla4[[#This Row],[Cliente]], SEARCH("_", Tabla4[[#This Row],[Cliente]]) + 1, LEN(Tabla4[[#This Row],[Cliente]]) - SEARCH("_",Tabla4[[#This Row],[Cliente]]))</f>
        <v>825</v>
      </c>
      <c r="BC566" t="str">
        <f>sala!B565</f>
        <v>Cliente_825</v>
      </c>
      <c r="BD566" s="1">
        <f>sala!D565</f>
        <v>45022.021527777775</v>
      </c>
      <c r="BE566" s="1">
        <f>sala!E565</f>
        <v>45022.099305555559</v>
      </c>
      <c r="BF566">
        <f>sala!K565</f>
        <v>564</v>
      </c>
      <c r="BG566">
        <f>sala!I565</f>
        <v>3308</v>
      </c>
      <c r="BH566" cm="1">
        <f t="array" ref="BH566">SUM(IF(Cocina!A:A=Tabla4[[#This Row],[Número de Orden]],Cocina!F:F*Cocina!G:G,0))</f>
        <v>156</v>
      </c>
      <c r="BI566" t="str">
        <f>sala!J565</f>
        <v>Reservada</v>
      </c>
      <c r="BJ566" s="4" t="str">
        <f>IF(Tabla4[[#This Row],[Estado mesa]]="Ocupada","00:15","00:00")</f>
        <v>00:00</v>
      </c>
      <c r="BK566" cm="1">
        <f t="array" ref="BK566">SUM(IF(Cocina!A:A=Tabla4[[#This Row],[Número de Orden]],Cocina!H:H,0))</f>
        <v>54</v>
      </c>
    </row>
    <row r="567" spans="1:63" x14ac:dyDescent="0.3">
      <c r="A567" s="8" t="str">
        <f>MID(Tabla4[[#This Row],[Cliente]], SEARCH("_", Tabla4[[#This Row],[Cliente]]) + 1, LEN(Tabla4[[#This Row],[Cliente]]) - SEARCH("_",Tabla4[[#This Row],[Cliente]]))</f>
        <v>134</v>
      </c>
      <c r="B567">
        <f>sala!K566</f>
        <v>565</v>
      </c>
      <c r="C567">
        <f>Tabla4[[#This Row],[Propina]]+Tabla4[[#This Row],[Precio Cena]]</f>
        <v>1762</v>
      </c>
      <c r="D567" s="3">
        <f>INT(sala!E566)</f>
        <v>45022</v>
      </c>
      <c r="E567" s="4">
        <f>MOD( sala!D566,1)</f>
        <v>0.11041666667006211</v>
      </c>
      <c r="F567" s="4">
        <f>MOD( sala!E566,1)</f>
        <v>0.22847222222480923</v>
      </c>
      <c r="G567" s="4">
        <f>Tabla5[[#This Row],[Hora de Salida]]-Tabla5[[#This Row],[Hora de Llegada]]+Tabla4[[#This Row],[Tiempo Extra]]</f>
        <v>0.11805555555474712</v>
      </c>
      <c r="H567" s="5" t="str">
        <f>TEXT(Tabla4[[#This Row],[Preparación en horas]]/1440, "h:mm")</f>
        <v>1:38</v>
      </c>
      <c r="I567" s="4">
        <f>IF(Tabla5[[#This Row],[Tiempo Permanencia]]-Tabla5[[#This Row],[Tiempo de Preparación ]]&gt;=0,Tabla5[[#This Row],[Tiempo Permanencia]]-Tabla5[[#This Row],[Tiempo de Preparación ]],0)</f>
        <v>4.9999999999191566E-2</v>
      </c>
      <c r="J567" s="5" t="str">
        <f>IF(Tabla5[[#This Row],[Tiempo de Degustación]]=0,"No Cobrada","Cobrada")</f>
        <v>Cobrada</v>
      </c>
      <c r="K567" s="5" cm="1">
        <f t="array" ref="K567">SUM(IF(Tabla5[[#This Row],[Orden Cobrada]]="Cobrada",IF(Cocina!A:A=Tabla5[[#This Row],[Nº Orden]],Cocina!F:F*Cocina!G:G,0),-Tabla6[[#This Row],[Precio Cena]]))</f>
        <v>251</v>
      </c>
      <c r="L567" s="5">
        <f>IF(Tabla5[[#This Row],[Orden Cobrada]]="Cobrada",Tabla5[[#This Row],[Ganancia Bruta]]-Tabla6[[#This Row],[Coste Cena]],-Tabla6[[#This Row],[Precio Cena]]+Tabla6[[#This Row],[Coste Cena]])</f>
        <v>103</v>
      </c>
      <c r="M567" s="10">
        <f>IF(Tabla5[[#This Row],[Orden Cobrada]]="Cobrada",((Tabla5[[#This Row],[Ganancia Neta]]/Tabla5[[#This Row],[Ganancia Bruta]])*100)/100,-((Tabla5[[#This Row],[Ganancia Neta]]/Tabla5[[#This Row],[Ganancia Bruta]]*100)/100))</f>
        <v>0.41035856573705182</v>
      </c>
      <c r="N567" s="5" t="str">
        <f>sala!F566</f>
        <v>Mesero_1</v>
      </c>
      <c r="AY567" cm="1">
        <f t="array" ref="AY567">SUM(IF(Cocina!A:A=Tabla5[[#This Row],[Nº Orden]],Cocina!F:F*Cocina!G:G,0))</f>
        <v>251</v>
      </c>
      <c r="AZ567" cm="1">
        <f t="array" ref="AZ567">SUM(IF(Cocina!A:A=Tabla5[[#This Row],[Nº Orden]],Cocina!E:E*Cocina!G:G,0))</f>
        <v>148</v>
      </c>
      <c r="BB567" t="str">
        <f>MID(Tabla4[[#This Row],[Cliente]], SEARCH("_", Tabla4[[#This Row],[Cliente]]) + 1, LEN(Tabla4[[#This Row],[Cliente]]) - SEARCH("_",Tabla4[[#This Row],[Cliente]]))</f>
        <v>134</v>
      </c>
      <c r="BC567" t="str">
        <f>sala!B566</f>
        <v>Cliente_134</v>
      </c>
      <c r="BD567" s="1">
        <f>sala!D566</f>
        <v>45022.11041666667</v>
      </c>
      <c r="BE567" s="1">
        <f>sala!E566</f>
        <v>45022.228472222225</v>
      </c>
      <c r="BF567">
        <f>sala!K566</f>
        <v>565</v>
      </c>
      <c r="BG567">
        <f>sala!I566</f>
        <v>1511</v>
      </c>
      <c r="BH567" cm="1">
        <f t="array" ref="BH567">SUM(IF(Cocina!A:A=Tabla4[[#This Row],[Número de Orden]],Cocina!F:F*Cocina!G:G,0))</f>
        <v>251</v>
      </c>
      <c r="BI567" t="str">
        <f>sala!J566</f>
        <v>Libre</v>
      </c>
      <c r="BJ567" s="4" t="str">
        <f>IF(Tabla4[[#This Row],[Estado mesa]]="Ocupada","00:15","00:00")</f>
        <v>00:00</v>
      </c>
      <c r="BK567" cm="1">
        <f t="array" ref="BK567">SUM(IF(Cocina!A:A=Tabla4[[#This Row],[Número de Orden]],Cocina!H:H,0))</f>
        <v>98</v>
      </c>
    </row>
    <row r="568" spans="1:63" x14ac:dyDescent="0.3">
      <c r="A568" s="8" t="str">
        <f>MID(Tabla4[[#This Row],[Cliente]], SEARCH("_", Tabla4[[#This Row],[Cliente]]) + 1, LEN(Tabla4[[#This Row],[Cliente]]) - SEARCH("_",Tabla4[[#This Row],[Cliente]]))</f>
        <v>88</v>
      </c>
      <c r="B568">
        <f>sala!K567</f>
        <v>566</v>
      </c>
      <c r="C568">
        <f>Tabla4[[#This Row],[Propina]]+Tabla4[[#This Row],[Precio Cena]]</f>
        <v>4340</v>
      </c>
      <c r="D568" s="3">
        <f>INT(sala!E567)</f>
        <v>45022</v>
      </c>
      <c r="E568" s="4">
        <f>MOD( sala!D567,1)</f>
        <v>7.2916666664241347E-2</v>
      </c>
      <c r="F568" s="4">
        <f>MOD( sala!E567,1)</f>
        <v>0.20625000000291038</v>
      </c>
      <c r="G568" s="4">
        <f>Tabla5[[#This Row],[Hora de Salida]]-Tabla5[[#This Row],[Hora de Llegada]]+Tabla4[[#This Row],[Tiempo Extra]]</f>
        <v>0.13333333333866904</v>
      </c>
      <c r="H568" s="5" t="str">
        <f>TEXT(Tabla4[[#This Row],[Preparación en horas]]/1440, "h:mm")</f>
        <v>0:56</v>
      </c>
      <c r="I568" s="4">
        <f>IF(Tabla5[[#This Row],[Tiempo Permanencia]]-Tabla5[[#This Row],[Tiempo de Preparación ]]&gt;=0,Tabla5[[#This Row],[Tiempo Permanencia]]-Tabla5[[#This Row],[Tiempo de Preparación ]],0)</f>
        <v>9.4444444449780146E-2</v>
      </c>
      <c r="J568" s="5" t="str">
        <f>IF(Tabla5[[#This Row],[Tiempo de Degustación]]=0,"No Cobrada","Cobrada")</f>
        <v>Cobrada</v>
      </c>
      <c r="K568" s="5" cm="1">
        <f t="array" ref="K568">SUM(IF(Tabla5[[#This Row],[Orden Cobrada]]="Cobrada",IF(Cocina!A:A=Tabla5[[#This Row],[Nº Orden]],Cocina!F:F*Cocina!G:G,0),-Tabla6[[#This Row],[Precio Cena]]))</f>
        <v>78</v>
      </c>
      <c r="L568" s="5">
        <f>IF(Tabla5[[#This Row],[Orden Cobrada]]="Cobrada",Tabla5[[#This Row],[Ganancia Bruta]]-Tabla6[[#This Row],[Coste Cena]],-Tabla6[[#This Row],[Precio Cena]]+Tabla6[[#This Row],[Coste Cena]])</f>
        <v>33</v>
      </c>
      <c r="M568" s="10">
        <f>IF(Tabla5[[#This Row],[Orden Cobrada]]="Cobrada",((Tabla5[[#This Row],[Ganancia Neta]]/Tabla5[[#This Row],[Ganancia Bruta]])*100)/100,-((Tabla5[[#This Row],[Ganancia Neta]]/Tabla5[[#This Row],[Ganancia Bruta]]*100)/100))</f>
        <v>0.42307692307692307</v>
      </c>
      <c r="N568" s="5" t="str">
        <f>sala!F567</f>
        <v>Mesero_3</v>
      </c>
      <c r="AY568" cm="1">
        <f t="array" ref="AY568">SUM(IF(Cocina!A:A=Tabla5[[#This Row],[Nº Orden]],Cocina!F:F*Cocina!G:G,0))</f>
        <v>78</v>
      </c>
      <c r="AZ568" cm="1">
        <f t="array" ref="AZ568">SUM(IF(Cocina!A:A=Tabla5[[#This Row],[Nº Orden]],Cocina!E:E*Cocina!G:G,0))</f>
        <v>45</v>
      </c>
      <c r="BB568" t="str">
        <f>MID(Tabla4[[#This Row],[Cliente]], SEARCH("_", Tabla4[[#This Row],[Cliente]]) + 1, LEN(Tabla4[[#This Row],[Cliente]]) - SEARCH("_",Tabla4[[#This Row],[Cliente]]))</f>
        <v>88</v>
      </c>
      <c r="BC568" t="str">
        <f>sala!B567</f>
        <v>Cliente_88</v>
      </c>
      <c r="BD568" s="1">
        <f>sala!D567</f>
        <v>45022.072916666664</v>
      </c>
      <c r="BE568" s="1">
        <f>sala!E567</f>
        <v>45022.206250000003</v>
      </c>
      <c r="BF568">
        <f>sala!K567</f>
        <v>566</v>
      </c>
      <c r="BG568">
        <f>sala!I567</f>
        <v>4262</v>
      </c>
      <c r="BH568" cm="1">
        <f t="array" ref="BH568">SUM(IF(Cocina!A:A=Tabla4[[#This Row],[Número de Orden]],Cocina!F:F*Cocina!G:G,0))</f>
        <v>78</v>
      </c>
      <c r="BI568" t="str">
        <f>sala!J567</f>
        <v>Libre</v>
      </c>
      <c r="BJ568" s="4" t="str">
        <f>IF(Tabla4[[#This Row],[Estado mesa]]="Ocupada","00:15","00:00")</f>
        <v>00:00</v>
      </c>
      <c r="BK568" cm="1">
        <f t="array" ref="BK568">SUM(IF(Cocina!A:A=Tabla4[[#This Row],[Número de Orden]],Cocina!H:H,0))</f>
        <v>56</v>
      </c>
    </row>
    <row r="569" spans="1:63" x14ac:dyDescent="0.3">
      <c r="A569" s="8" t="str">
        <f>MID(Tabla4[[#This Row],[Cliente]], SEARCH("_", Tabla4[[#This Row],[Cliente]]) + 1, LEN(Tabla4[[#This Row],[Cliente]]) - SEARCH("_",Tabla4[[#This Row],[Cliente]]))</f>
        <v>789</v>
      </c>
      <c r="B569">
        <f>sala!K568</f>
        <v>567</v>
      </c>
      <c r="C569">
        <f>Tabla4[[#This Row],[Propina]]+Tabla4[[#This Row],[Precio Cena]]</f>
        <v>4536</v>
      </c>
      <c r="D569" s="3">
        <f>INT(sala!E568)</f>
        <v>45022</v>
      </c>
      <c r="E569" s="4">
        <f>MOD( sala!D568,1)</f>
        <v>8.2638888889050577E-2</v>
      </c>
      <c r="F569" s="4">
        <f>MOD( sala!E568,1)</f>
        <v>0.21944444444670808</v>
      </c>
      <c r="G569" s="4">
        <f>Tabla5[[#This Row],[Hora de Salida]]-Tabla5[[#This Row],[Hora de Llegada]]+Tabla4[[#This Row],[Tiempo Extra]]</f>
        <v>0.14722222222432416</v>
      </c>
      <c r="H569" s="5" t="str">
        <f>TEXT(Tabla4[[#This Row],[Preparación en horas]]/1440, "h:mm")</f>
        <v>1:42</v>
      </c>
      <c r="I569" s="4">
        <f>IF(Tabla5[[#This Row],[Tiempo Permanencia]]-Tabla5[[#This Row],[Tiempo de Preparación ]]&gt;=0,Tabla5[[#This Row],[Tiempo Permanencia]]-Tabla5[[#This Row],[Tiempo de Preparación ]],0)</f>
        <v>7.6388888890990825E-2</v>
      </c>
      <c r="J569" s="5" t="str">
        <f>IF(Tabla5[[#This Row],[Tiempo de Degustación]]=0,"No Cobrada","Cobrada")</f>
        <v>Cobrada</v>
      </c>
      <c r="K569" s="5" cm="1">
        <f t="array" ref="K569">SUM(IF(Tabla5[[#This Row],[Orden Cobrada]]="Cobrada",IF(Cocina!A:A=Tabla5[[#This Row],[Nº Orden]],Cocina!F:F*Cocina!G:G,0),-Tabla6[[#This Row],[Precio Cena]]))</f>
        <v>253</v>
      </c>
      <c r="L569" s="5">
        <f>IF(Tabla5[[#This Row],[Orden Cobrada]]="Cobrada",Tabla5[[#This Row],[Ganancia Bruta]]-Tabla6[[#This Row],[Coste Cena]],-Tabla6[[#This Row],[Precio Cena]]+Tabla6[[#This Row],[Coste Cena]])</f>
        <v>102</v>
      </c>
      <c r="M569" s="10">
        <f>IF(Tabla5[[#This Row],[Orden Cobrada]]="Cobrada",((Tabla5[[#This Row],[Ganancia Neta]]/Tabla5[[#This Row],[Ganancia Bruta]])*100)/100,-((Tabla5[[#This Row],[Ganancia Neta]]/Tabla5[[#This Row],[Ganancia Bruta]]*100)/100))</f>
        <v>0.40316205533596838</v>
      </c>
      <c r="N569" s="5" t="str">
        <f>sala!F568</f>
        <v>Mesero_4</v>
      </c>
      <c r="AY569" cm="1">
        <f t="array" ref="AY569">SUM(IF(Cocina!A:A=Tabla5[[#This Row],[Nº Orden]],Cocina!F:F*Cocina!G:G,0))</f>
        <v>253</v>
      </c>
      <c r="AZ569" cm="1">
        <f t="array" ref="AZ569">SUM(IF(Cocina!A:A=Tabla5[[#This Row],[Nº Orden]],Cocina!E:E*Cocina!G:G,0))</f>
        <v>151</v>
      </c>
      <c r="BB569" t="str">
        <f>MID(Tabla4[[#This Row],[Cliente]], SEARCH("_", Tabla4[[#This Row],[Cliente]]) + 1, LEN(Tabla4[[#This Row],[Cliente]]) - SEARCH("_",Tabla4[[#This Row],[Cliente]]))</f>
        <v>789</v>
      </c>
      <c r="BC569" t="str">
        <f>sala!B568</f>
        <v>Cliente_789</v>
      </c>
      <c r="BD569" s="1">
        <f>sala!D568</f>
        <v>45022.082638888889</v>
      </c>
      <c r="BE569" s="1">
        <f>sala!E568</f>
        <v>45022.219444444447</v>
      </c>
      <c r="BF569">
        <f>sala!K568</f>
        <v>567</v>
      </c>
      <c r="BG569">
        <f>sala!I568</f>
        <v>4283</v>
      </c>
      <c r="BH569" cm="1">
        <f t="array" ref="BH569">SUM(IF(Cocina!A:A=Tabla4[[#This Row],[Número de Orden]],Cocina!F:F*Cocina!G:G,0))</f>
        <v>253</v>
      </c>
      <c r="BI569" t="str">
        <f>sala!J568</f>
        <v>Ocupada</v>
      </c>
      <c r="BJ569" s="4" t="str">
        <f>IF(Tabla4[[#This Row],[Estado mesa]]="Ocupada","00:15","00:00")</f>
        <v>00:15</v>
      </c>
      <c r="BK569" cm="1">
        <f t="array" ref="BK569">SUM(IF(Cocina!A:A=Tabla4[[#This Row],[Número de Orden]],Cocina!H:H,0))</f>
        <v>102</v>
      </c>
    </row>
    <row r="570" spans="1:63" x14ac:dyDescent="0.3">
      <c r="A570" s="8" t="str">
        <f>MID(Tabla4[[#This Row],[Cliente]], SEARCH("_", Tabla4[[#This Row],[Cliente]]) + 1, LEN(Tabla4[[#This Row],[Cliente]]) - SEARCH("_",Tabla4[[#This Row],[Cliente]]))</f>
        <v>63</v>
      </c>
      <c r="B570">
        <f>sala!K569</f>
        <v>568</v>
      </c>
      <c r="C570">
        <f>Tabla4[[#This Row],[Propina]]+Tabla4[[#This Row],[Precio Cena]]</f>
        <v>2295</v>
      </c>
      <c r="D570" s="3">
        <f>INT(sala!E569)</f>
        <v>45022</v>
      </c>
      <c r="E570" s="4">
        <f>MOD( sala!D569,1)</f>
        <v>6.8749999998544808E-2</v>
      </c>
      <c r="F570" s="4">
        <f>MOD( sala!E569,1)</f>
        <v>0.1444444444423425</v>
      </c>
      <c r="G570" s="4">
        <f>Tabla5[[#This Row],[Hora de Salida]]-Tabla5[[#This Row],[Hora de Llegada]]+Tabla4[[#This Row],[Tiempo Extra]]</f>
        <v>8.6111111110464364E-2</v>
      </c>
      <c r="H570" s="5" t="str">
        <f>TEXT(Tabla4[[#This Row],[Preparación en horas]]/1440, "h:mm")</f>
        <v>1:24</v>
      </c>
      <c r="I570" s="4">
        <f>IF(Tabla5[[#This Row],[Tiempo Permanencia]]-Tabla5[[#This Row],[Tiempo de Preparación ]]&gt;=0,Tabla5[[#This Row],[Tiempo Permanencia]]-Tabla5[[#This Row],[Tiempo de Preparación ]],0)</f>
        <v>2.777777777713103E-2</v>
      </c>
      <c r="J570" s="5" t="str">
        <f>IF(Tabla5[[#This Row],[Tiempo de Degustación]]=0,"No Cobrada","Cobrada")</f>
        <v>Cobrada</v>
      </c>
      <c r="K570" s="5" cm="1">
        <f t="array" ref="K570">SUM(IF(Tabla5[[#This Row],[Orden Cobrada]]="Cobrada",IF(Cocina!A:A=Tabla5[[#This Row],[Nº Orden]],Cocina!F:F*Cocina!G:G,0),-Tabla6[[#This Row],[Precio Cena]]))</f>
        <v>182</v>
      </c>
      <c r="L570" s="5">
        <f>IF(Tabla5[[#This Row],[Orden Cobrada]]="Cobrada",Tabla5[[#This Row],[Ganancia Bruta]]-Tabla6[[#This Row],[Coste Cena]],-Tabla6[[#This Row],[Precio Cena]]+Tabla6[[#This Row],[Coste Cena]])</f>
        <v>72</v>
      </c>
      <c r="M570" s="10">
        <f>IF(Tabla5[[#This Row],[Orden Cobrada]]="Cobrada",((Tabla5[[#This Row],[Ganancia Neta]]/Tabla5[[#This Row],[Ganancia Bruta]])*100)/100,-((Tabla5[[#This Row],[Ganancia Neta]]/Tabla5[[#This Row],[Ganancia Bruta]]*100)/100))</f>
        <v>0.39560439560439564</v>
      </c>
      <c r="N570" s="5" t="str">
        <f>sala!F569</f>
        <v>Mesero_4</v>
      </c>
      <c r="AY570" cm="1">
        <f t="array" ref="AY570">SUM(IF(Cocina!A:A=Tabla5[[#This Row],[Nº Orden]],Cocina!F:F*Cocina!G:G,0))</f>
        <v>182</v>
      </c>
      <c r="AZ570" cm="1">
        <f t="array" ref="AZ570">SUM(IF(Cocina!A:A=Tabla5[[#This Row],[Nº Orden]],Cocina!E:E*Cocina!G:G,0))</f>
        <v>110</v>
      </c>
      <c r="BB570" t="str">
        <f>MID(Tabla4[[#This Row],[Cliente]], SEARCH("_", Tabla4[[#This Row],[Cliente]]) + 1, LEN(Tabla4[[#This Row],[Cliente]]) - SEARCH("_",Tabla4[[#This Row],[Cliente]]))</f>
        <v>63</v>
      </c>
      <c r="BC570" t="str">
        <f>sala!B569</f>
        <v>Cliente_63</v>
      </c>
      <c r="BD570" s="1">
        <f>sala!D569</f>
        <v>45022.068749999999</v>
      </c>
      <c r="BE570" s="1">
        <f>sala!E569</f>
        <v>45022.144444444442</v>
      </c>
      <c r="BF570">
        <f>sala!K569</f>
        <v>568</v>
      </c>
      <c r="BG570">
        <f>sala!I569</f>
        <v>2113</v>
      </c>
      <c r="BH570" cm="1">
        <f t="array" ref="BH570">SUM(IF(Cocina!A:A=Tabla4[[#This Row],[Número de Orden]],Cocina!F:F*Cocina!G:G,0))</f>
        <v>182</v>
      </c>
      <c r="BI570" t="str">
        <f>sala!J569</f>
        <v>Ocupada</v>
      </c>
      <c r="BJ570" s="4" t="str">
        <f>IF(Tabla4[[#This Row],[Estado mesa]]="Ocupada","00:15","00:00")</f>
        <v>00:15</v>
      </c>
      <c r="BK570" cm="1">
        <f t="array" ref="BK570">SUM(IF(Cocina!A:A=Tabla4[[#This Row],[Número de Orden]],Cocina!H:H,0))</f>
        <v>84</v>
      </c>
    </row>
    <row r="571" spans="1:63" x14ac:dyDescent="0.3">
      <c r="A571" s="8" t="str">
        <f>MID(Tabla4[[#This Row],[Cliente]], SEARCH("_", Tabla4[[#This Row],[Cliente]]) + 1, LEN(Tabla4[[#This Row],[Cliente]]) - SEARCH("_",Tabla4[[#This Row],[Cliente]]))</f>
        <v>555</v>
      </c>
      <c r="B571">
        <f>sala!K570</f>
        <v>569</v>
      </c>
      <c r="C571">
        <f>Tabla4[[#This Row],[Propina]]+Tabla4[[#This Row],[Precio Cena]]</f>
        <v>2983</v>
      </c>
      <c r="D571" s="3">
        <f>INT(sala!E570)</f>
        <v>45022</v>
      </c>
      <c r="E571" s="4">
        <f>MOD( sala!D570,1)</f>
        <v>6.1111111113859806E-2</v>
      </c>
      <c r="F571" s="4">
        <f>MOD( sala!E570,1)</f>
        <v>0.12847222221898846</v>
      </c>
      <c r="G571" s="4">
        <f>Tabla5[[#This Row],[Hora de Salida]]-Tabla5[[#This Row],[Hora de Llegada]]+Tabla4[[#This Row],[Tiempo Extra]]</f>
        <v>6.7361111105128657E-2</v>
      </c>
      <c r="H571" s="5" t="str">
        <f>TEXT(Tabla4[[#This Row],[Preparación en horas]]/1440, "h:mm")</f>
        <v>0:58</v>
      </c>
      <c r="I571" s="4">
        <f>IF(Tabla5[[#This Row],[Tiempo Permanencia]]-Tabla5[[#This Row],[Tiempo de Preparación ]]&gt;=0,Tabla5[[#This Row],[Tiempo Permanencia]]-Tabla5[[#This Row],[Tiempo de Preparación ]],0)</f>
        <v>2.7083333327350877E-2</v>
      </c>
      <c r="J571" s="5" t="str">
        <f>IF(Tabla5[[#This Row],[Tiempo de Degustación]]=0,"No Cobrada","Cobrada")</f>
        <v>Cobrada</v>
      </c>
      <c r="K571" s="5" cm="1">
        <f t="array" ref="K571">SUM(IF(Tabla5[[#This Row],[Orden Cobrada]]="Cobrada",IF(Cocina!A:A=Tabla5[[#This Row],[Nº Orden]],Cocina!F:F*Cocina!G:G,0),-Tabla6[[#This Row],[Precio Cena]]))</f>
        <v>131</v>
      </c>
      <c r="L571" s="5">
        <f>IF(Tabla5[[#This Row],[Orden Cobrada]]="Cobrada",Tabla5[[#This Row],[Ganancia Bruta]]-Tabla6[[#This Row],[Coste Cena]],-Tabla6[[#This Row],[Precio Cena]]+Tabla6[[#This Row],[Coste Cena]])</f>
        <v>52</v>
      </c>
      <c r="M571" s="10">
        <f>IF(Tabla5[[#This Row],[Orden Cobrada]]="Cobrada",((Tabla5[[#This Row],[Ganancia Neta]]/Tabla5[[#This Row],[Ganancia Bruta]])*100)/100,-((Tabla5[[#This Row],[Ganancia Neta]]/Tabla5[[#This Row],[Ganancia Bruta]]*100)/100))</f>
        <v>0.39694656488549618</v>
      </c>
      <c r="N571" s="5" t="str">
        <f>sala!F570</f>
        <v>Mesero_1</v>
      </c>
      <c r="AY571" cm="1">
        <f t="array" ref="AY571">SUM(IF(Cocina!A:A=Tabla5[[#This Row],[Nº Orden]],Cocina!F:F*Cocina!G:G,0))</f>
        <v>131</v>
      </c>
      <c r="AZ571" cm="1">
        <f t="array" ref="AZ571">SUM(IF(Cocina!A:A=Tabla5[[#This Row],[Nº Orden]],Cocina!E:E*Cocina!G:G,0))</f>
        <v>79</v>
      </c>
      <c r="BB571" t="str">
        <f>MID(Tabla4[[#This Row],[Cliente]], SEARCH("_", Tabla4[[#This Row],[Cliente]]) + 1, LEN(Tabla4[[#This Row],[Cliente]]) - SEARCH("_",Tabla4[[#This Row],[Cliente]]))</f>
        <v>555</v>
      </c>
      <c r="BC571" t="str">
        <f>sala!B570</f>
        <v>Cliente_555</v>
      </c>
      <c r="BD571" s="1">
        <f>sala!D570</f>
        <v>45022.061111111114</v>
      </c>
      <c r="BE571" s="1">
        <f>sala!E570</f>
        <v>45022.128472222219</v>
      </c>
      <c r="BF571">
        <f>sala!K570</f>
        <v>569</v>
      </c>
      <c r="BG571">
        <f>sala!I570</f>
        <v>2852</v>
      </c>
      <c r="BH571" cm="1">
        <f t="array" ref="BH571">SUM(IF(Cocina!A:A=Tabla4[[#This Row],[Número de Orden]],Cocina!F:F*Cocina!G:G,0))</f>
        <v>131</v>
      </c>
      <c r="BI571" t="str">
        <f>sala!J570</f>
        <v>Reservada</v>
      </c>
      <c r="BJ571" s="4" t="str">
        <f>IF(Tabla4[[#This Row],[Estado mesa]]="Ocupada","00:15","00:00")</f>
        <v>00:00</v>
      </c>
      <c r="BK571" cm="1">
        <f t="array" ref="BK571">SUM(IF(Cocina!A:A=Tabla4[[#This Row],[Número de Orden]],Cocina!H:H,0))</f>
        <v>58</v>
      </c>
    </row>
    <row r="572" spans="1:63" x14ac:dyDescent="0.3">
      <c r="A572" s="8" t="str">
        <f>MID(Tabla4[[#This Row],[Cliente]], SEARCH("_", Tabla4[[#This Row],[Cliente]]) + 1, LEN(Tabla4[[#This Row],[Cliente]]) - SEARCH("_",Tabla4[[#This Row],[Cliente]]))</f>
        <v>887</v>
      </c>
      <c r="B572">
        <f>sala!K571</f>
        <v>570</v>
      </c>
      <c r="C572">
        <f>Tabla4[[#This Row],[Propina]]+Tabla4[[#This Row],[Precio Cena]]</f>
        <v>469</v>
      </c>
      <c r="D572" s="3">
        <f>INT(sala!E571)</f>
        <v>45022</v>
      </c>
      <c r="E572" s="4">
        <f>MOD( sala!D571,1)</f>
        <v>0.11111111110949423</v>
      </c>
      <c r="F572" s="4">
        <f>MOD( sala!E571,1)</f>
        <v>0.18541666666715173</v>
      </c>
      <c r="G572" s="4">
        <f>Tabla5[[#This Row],[Hora de Salida]]-Tabla5[[#This Row],[Hora de Llegada]]+Tabla4[[#This Row],[Tiempo Extra]]</f>
        <v>7.4305555557657499E-2</v>
      </c>
      <c r="H572" s="5" t="str">
        <f>TEXT(Tabla4[[#This Row],[Preparación en horas]]/1440, "h:mm")</f>
        <v>0:46</v>
      </c>
      <c r="I572" s="4">
        <f>IF(Tabla5[[#This Row],[Tiempo Permanencia]]-Tabla5[[#This Row],[Tiempo de Preparación ]]&gt;=0,Tabla5[[#This Row],[Tiempo Permanencia]]-Tabla5[[#This Row],[Tiempo de Preparación ]],0)</f>
        <v>4.2361111113213057E-2</v>
      </c>
      <c r="J572" s="5" t="str">
        <f>IF(Tabla5[[#This Row],[Tiempo de Degustación]]=0,"No Cobrada","Cobrada")</f>
        <v>Cobrada</v>
      </c>
      <c r="K572" s="5" cm="1">
        <f t="array" ref="K572">SUM(IF(Tabla5[[#This Row],[Orden Cobrada]]="Cobrada",IF(Cocina!A:A=Tabla5[[#This Row],[Nº Orden]],Cocina!F:F*Cocina!G:G,0),-Tabla6[[#This Row],[Precio Cena]]))</f>
        <v>85</v>
      </c>
      <c r="L572" s="5">
        <f>IF(Tabla5[[#This Row],[Orden Cobrada]]="Cobrada",Tabla5[[#This Row],[Ganancia Bruta]]-Tabla6[[#This Row],[Coste Cena]],-Tabla6[[#This Row],[Precio Cena]]+Tabla6[[#This Row],[Coste Cena]])</f>
        <v>35</v>
      </c>
      <c r="M572" s="10">
        <f>IF(Tabla5[[#This Row],[Orden Cobrada]]="Cobrada",((Tabla5[[#This Row],[Ganancia Neta]]/Tabla5[[#This Row],[Ganancia Bruta]])*100)/100,-((Tabla5[[#This Row],[Ganancia Neta]]/Tabla5[[#This Row],[Ganancia Bruta]]*100)/100))</f>
        <v>0.41176470588235292</v>
      </c>
      <c r="N572" s="5" t="str">
        <f>sala!F571</f>
        <v>Mesero_5</v>
      </c>
      <c r="AY572" cm="1">
        <f t="array" ref="AY572">SUM(IF(Cocina!A:A=Tabla5[[#This Row],[Nº Orden]],Cocina!F:F*Cocina!G:G,0))</f>
        <v>85</v>
      </c>
      <c r="AZ572" cm="1">
        <f t="array" ref="AZ572">SUM(IF(Cocina!A:A=Tabla5[[#This Row],[Nº Orden]],Cocina!E:E*Cocina!G:G,0))</f>
        <v>50</v>
      </c>
      <c r="BB572" t="str">
        <f>MID(Tabla4[[#This Row],[Cliente]], SEARCH("_", Tabla4[[#This Row],[Cliente]]) + 1, LEN(Tabla4[[#This Row],[Cliente]]) - SEARCH("_",Tabla4[[#This Row],[Cliente]]))</f>
        <v>887</v>
      </c>
      <c r="BC572" t="str">
        <f>sala!B571</f>
        <v>Cliente_887</v>
      </c>
      <c r="BD572" s="1">
        <f>sala!D571</f>
        <v>45022.111111111109</v>
      </c>
      <c r="BE572" s="1">
        <f>sala!E571</f>
        <v>45022.185416666667</v>
      </c>
      <c r="BF572">
        <f>sala!K571</f>
        <v>570</v>
      </c>
      <c r="BG572">
        <f>sala!I571</f>
        <v>384</v>
      </c>
      <c r="BH572" cm="1">
        <f t="array" ref="BH572">SUM(IF(Cocina!A:A=Tabla4[[#This Row],[Número de Orden]],Cocina!F:F*Cocina!G:G,0))</f>
        <v>85</v>
      </c>
      <c r="BI572" t="str">
        <f>sala!J571</f>
        <v>Libre</v>
      </c>
      <c r="BJ572" s="4" t="str">
        <f>IF(Tabla4[[#This Row],[Estado mesa]]="Ocupada","00:15","00:00")</f>
        <v>00:00</v>
      </c>
      <c r="BK572" cm="1">
        <f t="array" ref="BK572">SUM(IF(Cocina!A:A=Tabla4[[#This Row],[Número de Orden]],Cocina!H:H,0))</f>
        <v>46</v>
      </c>
    </row>
    <row r="573" spans="1:63" x14ac:dyDescent="0.3">
      <c r="A573" s="8" t="str">
        <f>MID(Tabla4[[#This Row],[Cliente]], SEARCH("_", Tabla4[[#This Row],[Cliente]]) + 1, LEN(Tabla4[[#This Row],[Cliente]]) - SEARCH("_",Tabla4[[#This Row],[Cliente]]))</f>
        <v>710</v>
      </c>
      <c r="B573">
        <f>sala!K572</f>
        <v>571</v>
      </c>
      <c r="C573">
        <f>Tabla4[[#This Row],[Propina]]+Tabla4[[#This Row],[Precio Cena]]</f>
        <v>5008</v>
      </c>
      <c r="D573" s="3">
        <f>INT(sala!E572)</f>
        <v>45022</v>
      </c>
      <c r="E573" s="4">
        <f>MOD( sala!D572,1)</f>
        <v>5.6250000001455192E-2</v>
      </c>
      <c r="F573" s="4">
        <f>MOD( sala!E572,1)</f>
        <v>0.12083333333430346</v>
      </c>
      <c r="G573" s="4">
        <f>Tabla5[[#This Row],[Hora de Salida]]-Tabla5[[#This Row],[Hora de Llegada]]+Tabla4[[#This Row],[Tiempo Extra]]</f>
        <v>6.4583333332848269E-2</v>
      </c>
      <c r="H573" s="5" t="str">
        <f>TEXT(Tabla4[[#This Row],[Preparación en horas]]/1440, "h:mm")</f>
        <v>0:26</v>
      </c>
      <c r="I573" s="4">
        <f>IF(Tabla5[[#This Row],[Tiempo Permanencia]]-Tabla5[[#This Row],[Tiempo de Preparación ]]&gt;=0,Tabla5[[#This Row],[Tiempo Permanencia]]-Tabla5[[#This Row],[Tiempo de Preparación ]],0)</f>
        <v>4.6527777777292716E-2</v>
      </c>
      <c r="J573" s="5" t="str">
        <f>IF(Tabla5[[#This Row],[Tiempo de Degustación]]=0,"No Cobrada","Cobrada")</f>
        <v>Cobrada</v>
      </c>
      <c r="K573" s="5" cm="1">
        <f t="array" ref="K573">SUM(IF(Tabla5[[#This Row],[Orden Cobrada]]="Cobrada",IF(Cocina!A:A=Tabla5[[#This Row],[Nº Orden]],Cocina!F:F*Cocina!G:G,0),-Tabla6[[#This Row],[Precio Cena]]))</f>
        <v>54</v>
      </c>
      <c r="L573" s="5">
        <f>IF(Tabla5[[#This Row],[Orden Cobrada]]="Cobrada",Tabla5[[#This Row],[Ganancia Bruta]]-Tabla6[[#This Row],[Coste Cena]],-Tabla6[[#This Row],[Precio Cena]]+Tabla6[[#This Row],[Coste Cena]])</f>
        <v>22</v>
      </c>
      <c r="M573" s="10">
        <f>IF(Tabla5[[#This Row],[Orden Cobrada]]="Cobrada",((Tabla5[[#This Row],[Ganancia Neta]]/Tabla5[[#This Row],[Ganancia Bruta]])*100)/100,-((Tabla5[[#This Row],[Ganancia Neta]]/Tabla5[[#This Row],[Ganancia Bruta]]*100)/100))</f>
        <v>0.40740740740740738</v>
      </c>
      <c r="N573" s="5" t="str">
        <f>sala!F572</f>
        <v>Mesero_5</v>
      </c>
      <c r="AY573" cm="1">
        <f t="array" ref="AY573">SUM(IF(Cocina!A:A=Tabla5[[#This Row],[Nº Orden]],Cocina!F:F*Cocina!G:G,0))</f>
        <v>54</v>
      </c>
      <c r="AZ573" cm="1">
        <f t="array" ref="AZ573">SUM(IF(Cocina!A:A=Tabla5[[#This Row],[Nº Orden]],Cocina!E:E*Cocina!G:G,0))</f>
        <v>32</v>
      </c>
      <c r="BB573" t="str">
        <f>MID(Tabla4[[#This Row],[Cliente]], SEARCH("_", Tabla4[[#This Row],[Cliente]]) + 1, LEN(Tabla4[[#This Row],[Cliente]]) - SEARCH("_",Tabla4[[#This Row],[Cliente]]))</f>
        <v>710</v>
      </c>
      <c r="BC573" t="str">
        <f>sala!B572</f>
        <v>Cliente_710</v>
      </c>
      <c r="BD573" s="1">
        <f>sala!D572</f>
        <v>45022.056250000001</v>
      </c>
      <c r="BE573" s="1">
        <f>sala!E572</f>
        <v>45022.120833333334</v>
      </c>
      <c r="BF573">
        <f>sala!K572</f>
        <v>571</v>
      </c>
      <c r="BG573">
        <f>sala!I572</f>
        <v>4954</v>
      </c>
      <c r="BH573" cm="1">
        <f t="array" ref="BH573">SUM(IF(Cocina!A:A=Tabla4[[#This Row],[Número de Orden]],Cocina!F:F*Cocina!G:G,0))</f>
        <v>54</v>
      </c>
      <c r="BI573" t="str">
        <f>sala!J572</f>
        <v>Libre</v>
      </c>
      <c r="BJ573" s="4" t="str">
        <f>IF(Tabla4[[#This Row],[Estado mesa]]="Ocupada","00:15","00:00")</f>
        <v>00:00</v>
      </c>
      <c r="BK573" cm="1">
        <f t="array" ref="BK573">SUM(IF(Cocina!A:A=Tabla4[[#This Row],[Número de Orden]],Cocina!H:H,0))</f>
        <v>26</v>
      </c>
    </row>
    <row r="574" spans="1:63" x14ac:dyDescent="0.3">
      <c r="A574" s="8" t="str">
        <f>MID(Tabla4[[#This Row],[Cliente]], SEARCH("_", Tabla4[[#This Row],[Cliente]]) + 1, LEN(Tabla4[[#This Row],[Cliente]]) - SEARCH("_",Tabla4[[#This Row],[Cliente]]))</f>
        <v>913</v>
      </c>
      <c r="B574">
        <f>sala!K573</f>
        <v>572</v>
      </c>
      <c r="C574">
        <f>Tabla4[[#This Row],[Propina]]+Tabla4[[#This Row],[Precio Cena]]</f>
        <v>4695</v>
      </c>
      <c r="D574" s="3">
        <f>INT(sala!E573)</f>
        <v>45022</v>
      </c>
      <c r="E574" s="4">
        <f>MOD( sala!D573,1)</f>
        <v>0.12013888888759539</v>
      </c>
      <c r="F574" s="4">
        <f>MOD( sala!E573,1)</f>
        <v>0.26875000000291038</v>
      </c>
      <c r="G574" s="4">
        <f>Tabla5[[#This Row],[Hora de Salida]]-Tabla5[[#This Row],[Hora de Llegada]]+Tabla4[[#This Row],[Tiempo Extra]]</f>
        <v>0.15902777778198166</v>
      </c>
      <c r="H574" s="5" t="str">
        <f>TEXT(Tabla4[[#This Row],[Preparación en horas]]/1440, "h:mm")</f>
        <v>0:44</v>
      </c>
      <c r="I574" s="4">
        <f>IF(Tabla5[[#This Row],[Tiempo Permanencia]]-Tabla5[[#This Row],[Tiempo de Preparación ]]&gt;=0,Tabla5[[#This Row],[Tiempo Permanencia]]-Tabla5[[#This Row],[Tiempo de Preparación ]],0)</f>
        <v>0.1284722222264261</v>
      </c>
      <c r="J574" s="5" t="str">
        <f>IF(Tabla5[[#This Row],[Tiempo de Degustación]]=0,"No Cobrada","Cobrada")</f>
        <v>Cobrada</v>
      </c>
      <c r="K574" s="5" cm="1">
        <f t="array" ref="K574">SUM(IF(Tabla5[[#This Row],[Orden Cobrada]]="Cobrada",IF(Cocina!A:A=Tabla5[[#This Row],[Nº Orden]],Cocina!F:F*Cocina!G:G,0),-Tabla6[[#This Row],[Precio Cena]]))</f>
        <v>74</v>
      </c>
      <c r="L574" s="5">
        <f>IF(Tabla5[[#This Row],[Orden Cobrada]]="Cobrada",Tabla5[[#This Row],[Ganancia Bruta]]-Tabla6[[#This Row],[Coste Cena]],-Tabla6[[#This Row],[Precio Cena]]+Tabla6[[#This Row],[Coste Cena]])</f>
        <v>30</v>
      </c>
      <c r="M574" s="10">
        <f>IF(Tabla5[[#This Row],[Orden Cobrada]]="Cobrada",((Tabla5[[#This Row],[Ganancia Neta]]/Tabla5[[#This Row],[Ganancia Bruta]])*100)/100,-((Tabla5[[#This Row],[Ganancia Neta]]/Tabla5[[#This Row],[Ganancia Bruta]]*100)/100))</f>
        <v>0.40540540540540543</v>
      </c>
      <c r="N574" s="5" t="str">
        <f>sala!F573</f>
        <v>Mesero_4</v>
      </c>
      <c r="AY574" cm="1">
        <f t="array" ref="AY574">SUM(IF(Cocina!A:A=Tabla5[[#This Row],[Nº Orden]],Cocina!F:F*Cocina!G:G,0))</f>
        <v>74</v>
      </c>
      <c r="AZ574" cm="1">
        <f t="array" ref="AZ574">SUM(IF(Cocina!A:A=Tabla5[[#This Row],[Nº Orden]],Cocina!E:E*Cocina!G:G,0))</f>
        <v>44</v>
      </c>
      <c r="BB574" t="str">
        <f>MID(Tabla4[[#This Row],[Cliente]], SEARCH("_", Tabla4[[#This Row],[Cliente]]) + 1, LEN(Tabla4[[#This Row],[Cliente]]) - SEARCH("_",Tabla4[[#This Row],[Cliente]]))</f>
        <v>913</v>
      </c>
      <c r="BC574" t="str">
        <f>sala!B573</f>
        <v>Cliente_913</v>
      </c>
      <c r="BD574" s="1">
        <f>sala!D573</f>
        <v>45022.120138888888</v>
      </c>
      <c r="BE574" s="1">
        <f>sala!E573</f>
        <v>45022.268750000003</v>
      </c>
      <c r="BF574">
        <f>sala!K573</f>
        <v>572</v>
      </c>
      <c r="BG574">
        <f>sala!I573</f>
        <v>4621</v>
      </c>
      <c r="BH574" cm="1">
        <f t="array" ref="BH574">SUM(IF(Cocina!A:A=Tabla4[[#This Row],[Número de Orden]],Cocina!F:F*Cocina!G:G,0))</f>
        <v>74</v>
      </c>
      <c r="BI574" t="str">
        <f>sala!J573</f>
        <v>Ocupada</v>
      </c>
      <c r="BJ574" s="4" t="str">
        <f>IF(Tabla4[[#This Row],[Estado mesa]]="Ocupada","00:15","00:00")</f>
        <v>00:15</v>
      </c>
      <c r="BK574" cm="1">
        <f t="array" ref="BK574">SUM(IF(Cocina!A:A=Tabla4[[#This Row],[Número de Orden]],Cocina!H:H,0))</f>
        <v>44</v>
      </c>
    </row>
    <row r="575" spans="1:63" x14ac:dyDescent="0.3">
      <c r="A575" s="8" t="str">
        <f>MID(Tabla4[[#This Row],[Cliente]], SEARCH("_", Tabla4[[#This Row],[Cliente]]) + 1, LEN(Tabla4[[#This Row],[Cliente]]) - SEARCH("_",Tabla4[[#This Row],[Cliente]]))</f>
        <v>41</v>
      </c>
      <c r="B575">
        <f>sala!K574</f>
        <v>573</v>
      </c>
      <c r="C575">
        <f>Tabla4[[#This Row],[Propina]]+Tabla4[[#This Row],[Precio Cena]]</f>
        <v>4873</v>
      </c>
      <c r="D575" s="3">
        <f>INT(sala!E574)</f>
        <v>45022</v>
      </c>
      <c r="E575" s="4">
        <f>MOD( sala!D574,1)</f>
        <v>0.13333333333139308</v>
      </c>
      <c r="F575" s="4">
        <f>MOD( sala!E574,1)</f>
        <v>0.29791666667006211</v>
      </c>
      <c r="G575" s="4">
        <f>Tabla5[[#This Row],[Hora de Salida]]-Tabla5[[#This Row],[Hora de Llegada]]+Tabla4[[#This Row],[Tiempo Extra]]</f>
        <v>0.17500000000533569</v>
      </c>
      <c r="H575" s="5" t="str">
        <f>TEXT(Tabla4[[#This Row],[Preparación en horas]]/1440, "h:mm")</f>
        <v>1:09</v>
      </c>
      <c r="I575" s="4">
        <f>IF(Tabla5[[#This Row],[Tiempo Permanencia]]-Tabla5[[#This Row],[Tiempo de Preparación ]]&gt;=0,Tabla5[[#This Row],[Tiempo Permanencia]]-Tabla5[[#This Row],[Tiempo de Preparación ]],0)</f>
        <v>0.12708333333866903</v>
      </c>
      <c r="J575" s="5" t="str">
        <f>IF(Tabla5[[#This Row],[Tiempo de Degustación]]=0,"No Cobrada","Cobrada")</f>
        <v>Cobrada</v>
      </c>
      <c r="K575" s="5" cm="1">
        <f t="array" ref="K575">SUM(IF(Tabla5[[#This Row],[Orden Cobrada]]="Cobrada",IF(Cocina!A:A=Tabla5[[#This Row],[Nº Orden]],Cocina!F:F*Cocina!G:G,0),-Tabla6[[#This Row],[Precio Cena]]))</f>
        <v>165</v>
      </c>
      <c r="L575" s="5">
        <f>IF(Tabla5[[#This Row],[Orden Cobrada]]="Cobrada",Tabla5[[#This Row],[Ganancia Bruta]]-Tabla6[[#This Row],[Coste Cena]],-Tabla6[[#This Row],[Precio Cena]]+Tabla6[[#This Row],[Coste Cena]])</f>
        <v>66</v>
      </c>
      <c r="M575" s="10">
        <f>IF(Tabla5[[#This Row],[Orden Cobrada]]="Cobrada",((Tabla5[[#This Row],[Ganancia Neta]]/Tabla5[[#This Row],[Ganancia Bruta]])*100)/100,-((Tabla5[[#This Row],[Ganancia Neta]]/Tabla5[[#This Row],[Ganancia Bruta]]*100)/100))</f>
        <v>0.4</v>
      </c>
      <c r="N575" s="5" t="str">
        <f>sala!F574</f>
        <v>Mesero_3</v>
      </c>
      <c r="AY575" cm="1">
        <f t="array" ref="AY575">SUM(IF(Cocina!A:A=Tabla5[[#This Row],[Nº Orden]],Cocina!F:F*Cocina!G:G,0))</f>
        <v>165</v>
      </c>
      <c r="AZ575" cm="1">
        <f t="array" ref="AZ575">SUM(IF(Cocina!A:A=Tabla5[[#This Row],[Nº Orden]],Cocina!E:E*Cocina!G:G,0))</f>
        <v>99</v>
      </c>
      <c r="BB575" t="str">
        <f>MID(Tabla4[[#This Row],[Cliente]], SEARCH("_", Tabla4[[#This Row],[Cliente]]) + 1, LEN(Tabla4[[#This Row],[Cliente]]) - SEARCH("_",Tabla4[[#This Row],[Cliente]]))</f>
        <v>41</v>
      </c>
      <c r="BC575" t="str">
        <f>sala!B574</f>
        <v>Cliente_41</v>
      </c>
      <c r="BD575" s="1">
        <f>sala!D574</f>
        <v>45022.133333333331</v>
      </c>
      <c r="BE575" s="1">
        <f>sala!E574</f>
        <v>45022.29791666667</v>
      </c>
      <c r="BF575">
        <f>sala!K574</f>
        <v>573</v>
      </c>
      <c r="BG575">
        <f>sala!I574</f>
        <v>4708</v>
      </c>
      <c r="BH575" cm="1">
        <f t="array" ref="BH575">SUM(IF(Cocina!A:A=Tabla4[[#This Row],[Número de Orden]],Cocina!F:F*Cocina!G:G,0))</f>
        <v>165</v>
      </c>
      <c r="BI575" t="str">
        <f>sala!J574</f>
        <v>Ocupada</v>
      </c>
      <c r="BJ575" s="4" t="str">
        <f>IF(Tabla4[[#This Row],[Estado mesa]]="Ocupada","00:15","00:00")</f>
        <v>00:15</v>
      </c>
      <c r="BK575" cm="1">
        <f t="array" ref="BK575">SUM(IF(Cocina!A:A=Tabla4[[#This Row],[Número de Orden]],Cocina!H:H,0))</f>
        <v>69</v>
      </c>
    </row>
    <row r="576" spans="1:63" x14ac:dyDescent="0.3">
      <c r="A576" s="8" t="str">
        <f>MID(Tabla4[[#This Row],[Cliente]], SEARCH("_", Tabla4[[#This Row],[Cliente]]) + 1, LEN(Tabla4[[#This Row],[Cliente]]) - SEARCH("_",Tabla4[[#This Row],[Cliente]]))</f>
        <v>738</v>
      </c>
      <c r="B576">
        <f>sala!K575</f>
        <v>574</v>
      </c>
      <c r="C576">
        <f>Tabla4[[#This Row],[Propina]]+Tabla4[[#This Row],[Precio Cena]]</f>
        <v>4464</v>
      </c>
      <c r="D576" s="3">
        <f>INT(sala!E575)</f>
        <v>45022</v>
      </c>
      <c r="E576" s="4">
        <f>MOD( sala!D575,1)</f>
        <v>2.1527777775190771E-2</v>
      </c>
      <c r="F576" s="4">
        <f>MOD( sala!E575,1)</f>
        <v>0.13055555555911269</v>
      </c>
      <c r="G576" s="4">
        <f>Tabla5[[#This Row],[Hora de Salida]]-Tabla5[[#This Row],[Hora de Llegada]]+Tabla4[[#This Row],[Tiempo Extra]]</f>
        <v>0.10902777778392192</v>
      </c>
      <c r="H576" s="5" t="str">
        <f>TEXT(Tabla4[[#This Row],[Preparación en horas]]/1440, "h:mm")</f>
        <v>2:48</v>
      </c>
      <c r="I576" s="4">
        <f>IF(Tabla5[[#This Row],[Tiempo Permanencia]]-Tabla5[[#This Row],[Tiempo de Preparación ]]&gt;=0,Tabla5[[#This Row],[Tiempo Permanencia]]-Tabla5[[#This Row],[Tiempo de Preparación ]],0)</f>
        <v>0</v>
      </c>
      <c r="J576" s="5" t="str">
        <f>IF(Tabla5[[#This Row],[Tiempo de Degustación]]=0,"No Cobrada","Cobrada")</f>
        <v>No Cobrada</v>
      </c>
      <c r="K576" s="5" cm="1">
        <f t="array" ref="K576">SUM(IF(Tabla5[[#This Row],[Orden Cobrada]]="Cobrada",IF(Cocina!A:A=Tabla5[[#This Row],[Nº Orden]],Cocina!F:F*Cocina!G:G,0),-Tabla6[[#This Row],[Precio Cena]]))</f>
        <v>-207</v>
      </c>
      <c r="L576" s="5">
        <f>IF(Tabla5[[#This Row],[Orden Cobrada]]="Cobrada",Tabla5[[#This Row],[Ganancia Bruta]]-Tabla6[[#This Row],[Coste Cena]],-Tabla6[[#This Row],[Precio Cena]]+Tabla6[[#This Row],[Coste Cena]])</f>
        <v>-85</v>
      </c>
      <c r="M576" s="10">
        <f>IF(Tabla5[[#This Row],[Orden Cobrada]]="Cobrada",((Tabla5[[#This Row],[Ganancia Neta]]/Tabla5[[#This Row],[Ganancia Bruta]])*100)/100,-((Tabla5[[#This Row],[Ganancia Neta]]/Tabla5[[#This Row],[Ganancia Bruta]]*100)/100))</f>
        <v>-0.41062801932367149</v>
      </c>
      <c r="N576" s="5" t="str">
        <f>sala!F575</f>
        <v>Mesero_5</v>
      </c>
      <c r="AY576" cm="1">
        <f t="array" ref="AY576">SUM(IF(Cocina!A:A=Tabla5[[#This Row],[Nº Orden]],Cocina!F:F*Cocina!G:G,0))</f>
        <v>207</v>
      </c>
      <c r="AZ576" cm="1">
        <f t="array" ref="AZ576">SUM(IF(Cocina!A:A=Tabla5[[#This Row],[Nº Orden]],Cocina!E:E*Cocina!G:G,0))</f>
        <v>122</v>
      </c>
      <c r="BB576" t="str">
        <f>MID(Tabla4[[#This Row],[Cliente]], SEARCH("_", Tabla4[[#This Row],[Cliente]]) + 1, LEN(Tabla4[[#This Row],[Cliente]]) - SEARCH("_",Tabla4[[#This Row],[Cliente]]))</f>
        <v>738</v>
      </c>
      <c r="BC576" t="str">
        <f>sala!B575</f>
        <v>Cliente_738</v>
      </c>
      <c r="BD576" s="1">
        <f>sala!D575</f>
        <v>45022.021527777775</v>
      </c>
      <c r="BE576" s="1">
        <f>sala!E575</f>
        <v>45022.130555555559</v>
      </c>
      <c r="BF576">
        <f>sala!K575</f>
        <v>574</v>
      </c>
      <c r="BG576">
        <f>sala!I575</f>
        <v>4257</v>
      </c>
      <c r="BH576" cm="1">
        <f t="array" ref="BH576">SUM(IF(Cocina!A:A=Tabla4[[#This Row],[Número de Orden]],Cocina!F:F*Cocina!G:G,0))</f>
        <v>207</v>
      </c>
      <c r="BI576" t="str">
        <f>sala!J575</f>
        <v>Libre</v>
      </c>
      <c r="BJ576" s="4" t="str">
        <f>IF(Tabla4[[#This Row],[Estado mesa]]="Ocupada","00:15","00:00")</f>
        <v>00:00</v>
      </c>
      <c r="BK576" cm="1">
        <f t="array" ref="BK576">SUM(IF(Cocina!A:A=Tabla4[[#This Row],[Número de Orden]],Cocina!H:H,0))</f>
        <v>168</v>
      </c>
    </row>
    <row r="577" spans="1:63" x14ac:dyDescent="0.3">
      <c r="A577" s="8" t="str">
        <f>MID(Tabla4[[#This Row],[Cliente]], SEARCH("_", Tabla4[[#This Row],[Cliente]]) + 1, LEN(Tabla4[[#This Row],[Cliente]]) - SEARCH("_",Tabla4[[#This Row],[Cliente]]))</f>
        <v>268</v>
      </c>
      <c r="B577">
        <f>sala!K576</f>
        <v>575</v>
      </c>
      <c r="C577">
        <f>Tabla4[[#This Row],[Propina]]+Tabla4[[#This Row],[Precio Cena]]</f>
        <v>3370</v>
      </c>
      <c r="D577" s="3">
        <f>INT(sala!E576)</f>
        <v>45022</v>
      </c>
      <c r="E577" s="4">
        <f>MOD( sala!D576,1)</f>
        <v>6.6666666665696539E-2</v>
      </c>
      <c r="F577" s="4">
        <f>MOD( sala!E576,1)</f>
        <v>0.19722222222480923</v>
      </c>
      <c r="G577" s="4">
        <f>Tabla5[[#This Row],[Hora de Salida]]-Tabla5[[#This Row],[Hora de Llegada]]+Tabla4[[#This Row],[Tiempo Extra]]</f>
        <v>0.13055555555911269</v>
      </c>
      <c r="H577" s="5" t="str">
        <f>TEXT(Tabla4[[#This Row],[Preparación en horas]]/1440, "h:mm")</f>
        <v>0:44</v>
      </c>
      <c r="I577" s="4">
        <f>IF(Tabla5[[#This Row],[Tiempo Permanencia]]-Tabla5[[#This Row],[Tiempo de Preparación ]]&gt;=0,Tabla5[[#This Row],[Tiempo Permanencia]]-Tabla5[[#This Row],[Tiempo de Preparación ]],0)</f>
        <v>0.10000000000355713</v>
      </c>
      <c r="J577" s="5" t="str">
        <f>IF(Tabla5[[#This Row],[Tiempo de Degustación]]=0,"No Cobrada","Cobrada")</f>
        <v>Cobrada</v>
      </c>
      <c r="K577" s="5" cm="1">
        <f t="array" ref="K577">SUM(IF(Tabla5[[#This Row],[Orden Cobrada]]="Cobrada",IF(Cocina!A:A=Tabla5[[#This Row],[Nº Orden]],Cocina!F:F*Cocina!G:G,0),-Tabla6[[#This Row],[Precio Cena]]))</f>
        <v>18</v>
      </c>
      <c r="L577" s="5">
        <f>IF(Tabla5[[#This Row],[Orden Cobrada]]="Cobrada",Tabla5[[#This Row],[Ganancia Bruta]]-Tabla6[[#This Row],[Coste Cena]],-Tabla6[[#This Row],[Precio Cena]]+Tabla6[[#This Row],[Coste Cena]])</f>
        <v>8</v>
      </c>
      <c r="M577" s="10">
        <f>IF(Tabla5[[#This Row],[Orden Cobrada]]="Cobrada",((Tabla5[[#This Row],[Ganancia Neta]]/Tabla5[[#This Row],[Ganancia Bruta]])*100)/100,-((Tabla5[[#This Row],[Ganancia Neta]]/Tabla5[[#This Row],[Ganancia Bruta]]*100)/100))</f>
        <v>0.44444444444444442</v>
      </c>
      <c r="N577" s="5" t="str">
        <f>sala!F576</f>
        <v>Mesero_4</v>
      </c>
      <c r="AY577" cm="1">
        <f t="array" ref="AY577">SUM(IF(Cocina!A:A=Tabla5[[#This Row],[Nº Orden]],Cocina!F:F*Cocina!G:G,0))</f>
        <v>18</v>
      </c>
      <c r="AZ577" cm="1">
        <f t="array" ref="AZ577">SUM(IF(Cocina!A:A=Tabla5[[#This Row],[Nº Orden]],Cocina!E:E*Cocina!G:G,0))</f>
        <v>10</v>
      </c>
      <c r="BB577" t="str">
        <f>MID(Tabla4[[#This Row],[Cliente]], SEARCH("_", Tabla4[[#This Row],[Cliente]]) + 1, LEN(Tabla4[[#This Row],[Cliente]]) - SEARCH("_",Tabla4[[#This Row],[Cliente]]))</f>
        <v>268</v>
      </c>
      <c r="BC577" t="str">
        <f>sala!B576</f>
        <v>Cliente_268</v>
      </c>
      <c r="BD577" s="1">
        <f>sala!D576</f>
        <v>45022.066666666666</v>
      </c>
      <c r="BE577" s="1">
        <f>sala!E576</f>
        <v>45022.197222222225</v>
      </c>
      <c r="BF577">
        <f>sala!K576</f>
        <v>575</v>
      </c>
      <c r="BG577">
        <f>sala!I576</f>
        <v>3352</v>
      </c>
      <c r="BH577" cm="1">
        <f t="array" ref="BH577">SUM(IF(Cocina!A:A=Tabla4[[#This Row],[Número de Orden]],Cocina!F:F*Cocina!G:G,0))</f>
        <v>18</v>
      </c>
      <c r="BI577" t="str">
        <f>sala!J576</f>
        <v>Libre</v>
      </c>
      <c r="BJ577" s="4" t="str">
        <f>IF(Tabla4[[#This Row],[Estado mesa]]="Ocupada","00:15","00:00")</f>
        <v>00:00</v>
      </c>
      <c r="BK577" cm="1">
        <f t="array" ref="BK577">SUM(IF(Cocina!A:A=Tabla4[[#This Row],[Número de Orden]],Cocina!H:H,0))</f>
        <v>44</v>
      </c>
    </row>
    <row r="578" spans="1:63" x14ac:dyDescent="0.3">
      <c r="A578" s="8" t="str">
        <f>MID(Tabla4[[#This Row],[Cliente]], SEARCH("_", Tabla4[[#This Row],[Cliente]]) + 1, LEN(Tabla4[[#This Row],[Cliente]]) - SEARCH("_",Tabla4[[#This Row],[Cliente]]))</f>
        <v>280</v>
      </c>
      <c r="B578">
        <f>sala!K577</f>
        <v>576</v>
      </c>
      <c r="C578">
        <f>Tabla4[[#This Row],[Propina]]+Tabla4[[#This Row],[Precio Cena]]</f>
        <v>2405</v>
      </c>
      <c r="D578" s="3">
        <f>INT(sala!E577)</f>
        <v>45022</v>
      </c>
      <c r="E578" s="4">
        <f>MOD( sala!D577,1)</f>
        <v>0.16458333333139308</v>
      </c>
      <c r="F578" s="4">
        <f>MOD( sala!E577,1)</f>
        <v>0.29583333332993789</v>
      </c>
      <c r="G578" s="4">
        <f>Tabla5[[#This Row],[Hora de Salida]]-Tabla5[[#This Row],[Hora de Llegada]]+Tabla4[[#This Row],[Tiempo Extra]]</f>
        <v>0.13124999999854481</v>
      </c>
      <c r="H578" s="5" t="str">
        <f>TEXT(Tabla4[[#This Row],[Preparación en horas]]/1440, "h:mm")</f>
        <v>1:55</v>
      </c>
      <c r="I578" s="4">
        <f>IF(Tabla5[[#This Row],[Tiempo Permanencia]]-Tabla5[[#This Row],[Tiempo de Preparación ]]&gt;=0,Tabla5[[#This Row],[Tiempo Permanencia]]-Tabla5[[#This Row],[Tiempo de Preparación ]],0)</f>
        <v>5.1388888887433704E-2</v>
      </c>
      <c r="J578" s="5" t="str">
        <f>IF(Tabla5[[#This Row],[Tiempo de Degustación]]=0,"No Cobrada","Cobrada")</f>
        <v>Cobrada</v>
      </c>
      <c r="K578" s="5" cm="1">
        <f t="array" ref="K578">SUM(IF(Tabla5[[#This Row],[Orden Cobrada]]="Cobrada",IF(Cocina!A:A=Tabla5[[#This Row],[Nº Orden]],Cocina!F:F*Cocina!G:G,0),-Tabla6[[#This Row],[Precio Cena]]))</f>
        <v>234</v>
      </c>
      <c r="L578" s="5">
        <f>IF(Tabla5[[#This Row],[Orden Cobrada]]="Cobrada",Tabla5[[#This Row],[Ganancia Bruta]]-Tabla6[[#This Row],[Coste Cena]],-Tabla6[[#This Row],[Precio Cena]]+Tabla6[[#This Row],[Coste Cena]])</f>
        <v>91</v>
      </c>
      <c r="M578" s="10">
        <f>IF(Tabla5[[#This Row],[Orden Cobrada]]="Cobrada",((Tabla5[[#This Row],[Ganancia Neta]]/Tabla5[[#This Row],[Ganancia Bruta]])*100)/100,-((Tabla5[[#This Row],[Ganancia Neta]]/Tabla5[[#This Row],[Ganancia Bruta]]*100)/100))</f>
        <v>0.38888888888888895</v>
      </c>
      <c r="N578" s="5" t="str">
        <f>sala!F577</f>
        <v>Mesero_4</v>
      </c>
      <c r="AY578" cm="1">
        <f t="array" ref="AY578">SUM(IF(Cocina!A:A=Tabla5[[#This Row],[Nº Orden]],Cocina!F:F*Cocina!G:G,0))</f>
        <v>234</v>
      </c>
      <c r="AZ578" cm="1">
        <f t="array" ref="AZ578">SUM(IF(Cocina!A:A=Tabla5[[#This Row],[Nº Orden]],Cocina!E:E*Cocina!G:G,0))</f>
        <v>143</v>
      </c>
      <c r="BB578" t="str">
        <f>MID(Tabla4[[#This Row],[Cliente]], SEARCH("_", Tabla4[[#This Row],[Cliente]]) + 1, LEN(Tabla4[[#This Row],[Cliente]]) - SEARCH("_",Tabla4[[#This Row],[Cliente]]))</f>
        <v>280</v>
      </c>
      <c r="BC578" t="str">
        <f>sala!B577</f>
        <v>Cliente_280</v>
      </c>
      <c r="BD578" s="1">
        <f>sala!D577</f>
        <v>45022.164583333331</v>
      </c>
      <c r="BE578" s="1">
        <f>sala!E577</f>
        <v>45022.29583333333</v>
      </c>
      <c r="BF578">
        <f>sala!K577</f>
        <v>576</v>
      </c>
      <c r="BG578">
        <f>sala!I577</f>
        <v>2171</v>
      </c>
      <c r="BH578" cm="1">
        <f t="array" ref="BH578">SUM(IF(Cocina!A:A=Tabla4[[#This Row],[Número de Orden]],Cocina!F:F*Cocina!G:G,0))</f>
        <v>234</v>
      </c>
      <c r="BI578" t="str">
        <f>sala!J577</f>
        <v>Reservada</v>
      </c>
      <c r="BJ578" s="4" t="str">
        <f>IF(Tabla4[[#This Row],[Estado mesa]]="Ocupada","00:15","00:00")</f>
        <v>00:00</v>
      </c>
      <c r="BK578" cm="1">
        <f t="array" ref="BK578">SUM(IF(Cocina!A:A=Tabla4[[#This Row],[Número de Orden]],Cocina!H:H,0))</f>
        <v>115</v>
      </c>
    </row>
    <row r="579" spans="1:63" x14ac:dyDescent="0.3">
      <c r="A579" s="8" t="str">
        <f>MID(Tabla4[[#This Row],[Cliente]], SEARCH("_", Tabla4[[#This Row],[Cliente]]) + 1, LEN(Tabla4[[#This Row],[Cliente]]) - SEARCH("_",Tabla4[[#This Row],[Cliente]]))</f>
        <v>117</v>
      </c>
      <c r="B579">
        <f>sala!K578</f>
        <v>577</v>
      </c>
      <c r="C579">
        <f>Tabla4[[#This Row],[Propina]]+Tabla4[[#This Row],[Precio Cena]]</f>
        <v>3452</v>
      </c>
      <c r="D579" s="3">
        <f>INT(sala!E578)</f>
        <v>45022</v>
      </c>
      <c r="E579" s="4">
        <f>MOD( sala!D578,1)</f>
        <v>0.13402777777810115</v>
      </c>
      <c r="F579" s="4">
        <f>MOD( sala!E578,1)</f>
        <v>0.27777777778101154</v>
      </c>
      <c r="G579" s="4">
        <f>Tabla5[[#This Row],[Hora de Salida]]-Tabla5[[#This Row],[Hora de Llegada]]+Tabla4[[#This Row],[Tiempo Extra]]</f>
        <v>0.14375000000291038</v>
      </c>
      <c r="H579" s="5" t="str">
        <f>TEXT(Tabla4[[#This Row],[Preparación en horas]]/1440, "h:mm")</f>
        <v>0:25</v>
      </c>
      <c r="I579" s="4">
        <f>IF(Tabla5[[#This Row],[Tiempo Permanencia]]-Tabla5[[#This Row],[Tiempo de Preparación ]]&gt;=0,Tabla5[[#This Row],[Tiempo Permanencia]]-Tabla5[[#This Row],[Tiempo de Preparación ]],0)</f>
        <v>0.12638888889179928</v>
      </c>
      <c r="J579" s="5" t="str">
        <f>IF(Tabla5[[#This Row],[Tiempo de Degustación]]=0,"No Cobrada","Cobrada")</f>
        <v>Cobrada</v>
      </c>
      <c r="K579" s="5" cm="1">
        <f t="array" ref="K579">SUM(IF(Tabla5[[#This Row],[Orden Cobrada]]="Cobrada",IF(Cocina!A:A=Tabla5[[#This Row],[Nº Orden]],Cocina!F:F*Cocina!G:G,0),-Tabla6[[#This Row],[Precio Cena]]))</f>
        <v>40</v>
      </c>
      <c r="L579" s="5">
        <f>IF(Tabla5[[#This Row],[Orden Cobrada]]="Cobrada",Tabla5[[#This Row],[Ganancia Bruta]]-Tabla6[[#This Row],[Coste Cena]],-Tabla6[[#This Row],[Precio Cena]]+Tabla6[[#This Row],[Coste Cena]])</f>
        <v>17</v>
      </c>
      <c r="M579" s="10">
        <f>IF(Tabla5[[#This Row],[Orden Cobrada]]="Cobrada",((Tabla5[[#This Row],[Ganancia Neta]]/Tabla5[[#This Row],[Ganancia Bruta]])*100)/100,-((Tabla5[[#This Row],[Ganancia Neta]]/Tabla5[[#This Row],[Ganancia Bruta]]*100)/100))</f>
        <v>0.42499999999999999</v>
      </c>
      <c r="N579" s="5" t="str">
        <f>sala!F578</f>
        <v>Mesero_4</v>
      </c>
      <c r="AY579" cm="1">
        <f t="array" ref="AY579">SUM(IF(Cocina!A:A=Tabla5[[#This Row],[Nº Orden]],Cocina!F:F*Cocina!G:G,0))</f>
        <v>40</v>
      </c>
      <c r="AZ579" cm="1">
        <f t="array" ref="AZ579">SUM(IF(Cocina!A:A=Tabla5[[#This Row],[Nº Orden]],Cocina!E:E*Cocina!G:G,0))</f>
        <v>23</v>
      </c>
      <c r="BB579" t="str">
        <f>MID(Tabla4[[#This Row],[Cliente]], SEARCH("_", Tabla4[[#This Row],[Cliente]]) + 1, LEN(Tabla4[[#This Row],[Cliente]]) - SEARCH("_",Tabla4[[#This Row],[Cliente]]))</f>
        <v>117</v>
      </c>
      <c r="BC579" t="str">
        <f>sala!B578</f>
        <v>Cliente_117</v>
      </c>
      <c r="BD579" s="1">
        <f>sala!D578</f>
        <v>45022.134027777778</v>
      </c>
      <c r="BE579" s="1">
        <f>sala!E578</f>
        <v>45022.277777777781</v>
      </c>
      <c r="BF579">
        <f>sala!K578</f>
        <v>577</v>
      </c>
      <c r="BG579">
        <f>sala!I578</f>
        <v>3412</v>
      </c>
      <c r="BH579" cm="1">
        <f t="array" ref="BH579">SUM(IF(Cocina!A:A=Tabla4[[#This Row],[Número de Orden]],Cocina!F:F*Cocina!G:G,0))</f>
        <v>40</v>
      </c>
      <c r="BI579" t="str">
        <f>sala!J578</f>
        <v>Libre</v>
      </c>
      <c r="BJ579" s="4" t="str">
        <f>IF(Tabla4[[#This Row],[Estado mesa]]="Ocupada","00:15","00:00")</f>
        <v>00:00</v>
      </c>
      <c r="BK579" cm="1">
        <f t="array" ref="BK579">SUM(IF(Cocina!A:A=Tabla4[[#This Row],[Número de Orden]],Cocina!H:H,0))</f>
        <v>25</v>
      </c>
    </row>
    <row r="580" spans="1:63" x14ac:dyDescent="0.3">
      <c r="A580" s="8" t="str">
        <f>MID(Tabla4[[#This Row],[Cliente]], SEARCH("_", Tabla4[[#This Row],[Cliente]]) + 1, LEN(Tabla4[[#This Row],[Cliente]]) - SEARCH("_",Tabla4[[#This Row],[Cliente]]))</f>
        <v>83</v>
      </c>
      <c r="B580">
        <f>sala!K579</f>
        <v>578</v>
      </c>
      <c r="C580">
        <f>Tabla4[[#This Row],[Propina]]+Tabla4[[#This Row],[Precio Cena]]</f>
        <v>418</v>
      </c>
      <c r="D580" s="3">
        <f>INT(sala!E579)</f>
        <v>45022</v>
      </c>
      <c r="E580" s="4">
        <f>MOD( sala!D579,1)</f>
        <v>9.0972222220443655E-2</v>
      </c>
      <c r="F580" s="4">
        <f>MOD( sala!E579,1)</f>
        <v>0.18333333333430346</v>
      </c>
      <c r="G580" s="4">
        <f>Tabla5[[#This Row],[Hora de Salida]]-Tabla5[[#This Row],[Hora de Llegada]]+Tabla4[[#This Row],[Tiempo Extra]]</f>
        <v>0.10277777778052648</v>
      </c>
      <c r="H580" s="5" t="str">
        <f>TEXT(Tabla4[[#This Row],[Preparación en horas]]/1440, "h:mm")</f>
        <v>0:44</v>
      </c>
      <c r="I580" s="4">
        <f>IF(Tabla5[[#This Row],[Tiempo Permanencia]]-Tabla5[[#This Row],[Tiempo de Preparación ]]&gt;=0,Tabla5[[#This Row],[Tiempo Permanencia]]-Tabla5[[#This Row],[Tiempo de Preparación ]],0)</f>
        <v>7.2222222224970919E-2</v>
      </c>
      <c r="J580" s="5" t="str">
        <f>IF(Tabla5[[#This Row],[Tiempo de Degustación]]=0,"No Cobrada","Cobrada")</f>
        <v>Cobrada</v>
      </c>
      <c r="K580" s="5" cm="1">
        <f t="array" ref="K580">SUM(IF(Tabla5[[#This Row],[Orden Cobrada]]="Cobrada",IF(Cocina!A:A=Tabla5[[#This Row],[Nº Orden]],Cocina!F:F*Cocina!G:G,0),-Tabla6[[#This Row],[Precio Cena]]))</f>
        <v>90</v>
      </c>
      <c r="L580" s="5">
        <f>IF(Tabla5[[#This Row],[Orden Cobrada]]="Cobrada",Tabla5[[#This Row],[Ganancia Bruta]]-Tabla6[[#This Row],[Coste Cena]],-Tabla6[[#This Row],[Precio Cena]]+Tabla6[[#This Row],[Coste Cena]])</f>
        <v>36</v>
      </c>
      <c r="M580" s="10">
        <f>IF(Tabla5[[#This Row],[Orden Cobrada]]="Cobrada",((Tabla5[[#This Row],[Ganancia Neta]]/Tabla5[[#This Row],[Ganancia Bruta]])*100)/100,-((Tabla5[[#This Row],[Ganancia Neta]]/Tabla5[[#This Row],[Ganancia Bruta]]*100)/100))</f>
        <v>0.4</v>
      </c>
      <c r="N580" s="5" t="str">
        <f>sala!F579</f>
        <v>Mesero_3</v>
      </c>
      <c r="AY580" cm="1">
        <f t="array" ref="AY580">SUM(IF(Cocina!A:A=Tabla5[[#This Row],[Nº Orden]],Cocina!F:F*Cocina!G:G,0))</f>
        <v>90</v>
      </c>
      <c r="AZ580" cm="1">
        <f t="array" ref="AZ580">SUM(IF(Cocina!A:A=Tabla5[[#This Row],[Nº Orden]],Cocina!E:E*Cocina!G:G,0))</f>
        <v>54</v>
      </c>
      <c r="BB580" t="str">
        <f>MID(Tabla4[[#This Row],[Cliente]], SEARCH("_", Tabla4[[#This Row],[Cliente]]) + 1, LEN(Tabla4[[#This Row],[Cliente]]) - SEARCH("_",Tabla4[[#This Row],[Cliente]]))</f>
        <v>83</v>
      </c>
      <c r="BC580" t="str">
        <f>sala!B579</f>
        <v>Cliente_83</v>
      </c>
      <c r="BD580" s="1">
        <f>sala!D579</f>
        <v>45022.09097222222</v>
      </c>
      <c r="BE580" s="1">
        <f>sala!E579</f>
        <v>45022.183333333334</v>
      </c>
      <c r="BF580">
        <f>sala!K579</f>
        <v>578</v>
      </c>
      <c r="BG580">
        <f>sala!I579</f>
        <v>328</v>
      </c>
      <c r="BH580" cm="1">
        <f t="array" ref="BH580">SUM(IF(Cocina!A:A=Tabla4[[#This Row],[Número de Orden]],Cocina!F:F*Cocina!G:G,0))</f>
        <v>90</v>
      </c>
      <c r="BI580" t="str">
        <f>sala!J579</f>
        <v>Ocupada</v>
      </c>
      <c r="BJ580" s="4" t="str">
        <f>IF(Tabla4[[#This Row],[Estado mesa]]="Ocupada","00:15","00:00")</f>
        <v>00:15</v>
      </c>
      <c r="BK580" cm="1">
        <f t="array" ref="BK580">SUM(IF(Cocina!A:A=Tabla4[[#This Row],[Número de Orden]],Cocina!H:H,0))</f>
        <v>44</v>
      </c>
    </row>
    <row r="581" spans="1:63" x14ac:dyDescent="0.3">
      <c r="A581" s="8" t="str">
        <f>MID(Tabla4[[#This Row],[Cliente]], SEARCH("_", Tabla4[[#This Row],[Cliente]]) + 1, LEN(Tabla4[[#This Row],[Cliente]]) - SEARCH("_",Tabla4[[#This Row],[Cliente]]))</f>
        <v>988</v>
      </c>
      <c r="B581">
        <f>sala!K580</f>
        <v>579</v>
      </c>
      <c r="C581">
        <f>Tabla4[[#This Row],[Propina]]+Tabla4[[#This Row],[Precio Cena]]</f>
        <v>3646</v>
      </c>
      <c r="D581" s="3">
        <f>INT(sala!E580)</f>
        <v>45022</v>
      </c>
      <c r="E581" s="4">
        <f>MOD( sala!D580,1)</f>
        <v>6.9444444452528842E-3</v>
      </c>
      <c r="F581" s="4">
        <f>MOD( sala!E580,1)</f>
        <v>9.5138888886140194E-2</v>
      </c>
      <c r="G581" s="4">
        <f>Tabla5[[#This Row],[Hora de Salida]]-Tabla5[[#This Row],[Hora de Llegada]]+Tabla4[[#This Row],[Tiempo Extra]]</f>
        <v>8.819444444088731E-2</v>
      </c>
      <c r="H581" s="5" t="str">
        <f>TEXT(Tabla4[[#This Row],[Preparación en horas]]/1440, "h:mm")</f>
        <v>0:48</v>
      </c>
      <c r="I581" s="4">
        <f>IF(Tabla5[[#This Row],[Tiempo Permanencia]]-Tabla5[[#This Row],[Tiempo de Preparación ]]&gt;=0,Tabla5[[#This Row],[Tiempo Permanencia]]-Tabla5[[#This Row],[Tiempo de Preparación ]],0)</f>
        <v>5.4861111107553977E-2</v>
      </c>
      <c r="J581" s="5" t="str">
        <f>IF(Tabla5[[#This Row],[Tiempo de Degustación]]=0,"No Cobrada","Cobrada")</f>
        <v>Cobrada</v>
      </c>
      <c r="K581" s="5" cm="1">
        <f t="array" ref="K581">SUM(IF(Tabla5[[#This Row],[Orden Cobrada]]="Cobrada",IF(Cocina!A:A=Tabla5[[#This Row],[Nº Orden]],Cocina!F:F*Cocina!G:G,0),-Tabla6[[#This Row],[Precio Cena]]))</f>
        <v>50</v>
      </c>
      <c r="L581" s="5">
        <f>IF(Tabla5[[#This Row],[Orden Cobrada]]="Cobrada",Tabla5[[#This Row],[Ganancia Bruta]]-Tabla6[[#This Row],[Coste Cena]],-Tabla6[[#This Row],[Precio Cena]]+Tabla6[[#This Row],[Coste Cena]])</f>
        <v>20</v>
      </c>
      <c r="M581" s="10">
        <f>IF(Tabla5[[#This Row],[Orden Cobrada]]="Cobrada",((Tabla5[[#This Row],[Ganancia Neta]]/Tabla5[[#This Row],[Ganancia Bruta]])*100)/100,-((Tabla5[[#This Row],[Ganancia Neta]]/Tabla5[[#This Row],[Ganancia Bruta]]*100)/100))</f>
        <v>0.4</v>
      </c>
      <c r="N581" s="5" t="str">
        <f>sala!F580</f>
        <v>Mesero_3</v>
      </c>
      <c r="AY581" cm="1">
        <f t="array" ref="AY581">SUM(IF(Cocina!A:A=Tabla5[[#This Row],[Nº Orden]],Cocina!F:F*Cocina!G:G,0))</f>
        <v>50</v>
      </c>
      <c r="AZ581" cm="1">
        <f t="array" ref="AZ581">SUM(IF(Cocina!A:A=Tabla5[[#This Row],[Nº Orden]],Cocina!E:E*Cocina!G:G,0))</f>
        <v>30</v>
      </c>
      <c r="BB581" t="str">
        <f>MID(Tabla4[[#This Row],[Cliente]], SEARCH("_", Tabla4[[#This Row],[Cliente]]) + 1, LEN(Tabla4[[#This Row],[Cliente]]) - SEARCH("_",Tabla4[[#This Row],[Cliente]]))</f>
        <v>988</v>
      </c>
      <c r="BC581" t="str">
        <f>sala!B580</f>
        <v>Cliente_988</v>
      </c>
      <c r="BD581" s="1">
        <f>sala!D580</f>
        <v>45022.006944444445</v>
      </c>
      <c r="BE581" s="1">
        <f>sala!E580</f>
        <v>45022.095138888886</v>
      </c>
      <c r="BF581">
        <f>sala!K580</f>
        <v>579</v>
      </c>
      <c r="BG581">
        <f>sala!I580</f>
        <v>3596</v>
      </c>
      <c r="BH581" cm="1">
        <f t="array" ref="BH581">SUM(IF(Cocina!A:A=Tabla4[[#This Row],[Número de Orden]],Cocina!F:F*Cocina!G:G,0))</f>
        <v>50</v>
      </c>
      <c r="BI581" t="str">
        <f>sala!J580</f>
        <v>Libre</v>
      </c>
      <c r="BJ581" s="4" t="str">
        <f>IF(Tabla4[[#This Row],[Estado mesa]]="Ocupada","00:15","00:00")</f>
        <v>00:00</v>
      </c>
      <c r="BK581" cm="1">
        <f t="array" ref="BK581">SUM(IF(Cocina!A:A=Tabla4[[#This Row],[Número de Orden]],Cocina!H:H,0))</f>
        <v>48</v>
      </c>
    </row>
    <row r="582" spans="1:63" x14ac:dyDescent="0.3">
      <c r="A582" s="8" t="str">
        <f>MID(Tabla4[[#This Row],[Cliente]], SEARCH("_", Tabla4[[#This Row],[Cliente]]) + 1, LEN(Tabla4[[#This Row],[Cliente]]) - SEARCH("_",Tabla4[[#This Row],[Cliente]]))</f>
        <v>606</v>
      </c>
      <c r="B582">
        <f>sala!K581</f>
        <v>580</v>
      </c>
      <c r="C582">
        <f>Tabla4[[#This Row],[Propina]]+Tabla4[[#This Row],[Precio Cena]]</f>
        <v>4487</v>
      </c>
      <c r="D582" s="3">
        <f>INT(sala!E581)</f>
        <v>45022</v>
      </c>
      <c r="E582" s="4">
        <f>MOD( sala!D581,1)</f>
        <v>4.166666665696539E-3</v>
      </c>
      <c r="F582" s="4">
        <f>MOD( sala!E581,1)</f>
        <v>5.4166666668606922E-2</v>
      </c>
      <c r="G582" s="4">
        <f>Tabla5[[#This Row],[Hora de Salida]]-Tabla5[[#This Row],[Hora de Llegada]]+Tabla4[[#This Row],[Tiempo Extra]]</f>
        <v>5.0000000002910383E-2</v>
      </c>
      <c r="H582" s="5" t="str">
        <f>TEXT(Tabla4[[#This Row],[Preparación en horas]]/1440, "h:mm")</f>
        <v>0:30</v>
      </c>
      <c r="I582" s="4">
        <f>IF(Tabla5[[#This Row],[Tiempo Permanencia]]-Tabla5[[#This Row],[Tiempo de Preparación ]]&gt;=0,Tabla5[[#This Row],[Tiempo Permanencia]]-Tabla5[[#This Row],[Tiempo de Preparación ]],0)</f>
        <v>2.9166666669577051E-2</v>
      </c>
      <c r="J582" s="5" t="str">
        <f>IF(Tabla5[[#This Row],[Tiempo de Degustación]]=0,"No Cobrada","Cobrada")</f>
        <v>Cobrada</v>
      </c>
      <c r="K582" s="5" cm="1">
        <f t="array" ref="K582">SUM(IF(Tabla5[[#This Row],[Orden Cobrada]]="Cobrada",IF(Cocina!A:A=Tabla5[[#This Row],[Nº Orden]],Cocina!F:F*Cocina!G:G,0),-Tabla6[[#This Row],[Precio Cena]]))</f>
        <v>33</v>
      </c>
      <c r="L582" s="5">
        <f>IF(Tabla5[[#This Row],[Orden Cobrada]]="Cobrada",Tabla5[[#This Row],[Ganancia Bruta]]-Tabla6[[#This Row],[Coste Cena]],-Tabla6[[#This Row],[Precio Cena]]+Tabla6[[#This Row],[Coste Cena]])</f>
        <v>13</v>
      </c>
      <c r="M582" s="10">
        <f>IF(Tabla5[[#This Row],[Orden Cobrada]]="Cobrada",((Tabla5[[#This Row],[Ganancia Neta]]/Tabla5[[#This Row],[Ganancia Bruta]])*100)/100,-((Tabla5[[#This Row],[Ganancia Neta]]/Tabla5[[#This Row],[Ganancia Bruta]]*100)/100))</f>
        <v>0.39393939393939392</v>
      </c>
      <c r="N582" s="5" t="str">
        <f>sala!F581</f>
        <v>Mesero_4</v>
      </c>
      <c r="AY582" cm="1">
        <f t="array" ref="AY582">SUM(IF(Cocina!A:A=Tabla5[[#This Row],[Nº Orden]],Cocina!F:F*Cocina!G:G,0))</f>
        <v>33</v>
      </c>
      <c r="AZ582" cm="1">
        <f t="array" ref="AZ582">SUM(IF(Cocina!A:A=Tabla5[[#This Row],[Nº Orden]],Cocina!E:E*Cocina!G:G,0))</f>
        <v>20</v>
      </c>
      <c r="BB582" t="str">
        <f>MID(Tabla4[[#This Row],[Cliente]], SEARCH("_", Tabla4[[#This Row],[Cliente]]) + 1, LEN(Tabla4[[#This Row],[Cliente]]) - SEARCH("_",Tabla4[[#This Row],[Cliente]]))</f>
        <v>606</v>
      </c>
      <c r="BC582" t="str">
        <f>sala!B581</f>
        <v>Cliente_606</v>
      </c>
      <c r="BD582" s="1">
        <f>sala!D581</f>
        <v>45022.004166666666</v>
      </c>
      <c r="BE582" s="1">
        <f>sala!E581</f>
        <v>45022.054166666669</v>
      </c>
      <c r="BF582">
        <f>sala!K581</f>
        <v>580</v>
      </c>
      <c r="BG582">
        <f>sala!I581</f>
        <v>4454</v>
      </c>
      <c r="BH582" cm="1">
        <f t="array" ref="BH582">SUM(IF(Cocina!A:A=Tabla4[[#This Row],[Número de Orden]],Cocina!F:F*Cocina!G:G,0))</f>
        <v>33</v>
      </c>
      <c r="BI582" t="str">
        <f>sala!J581</f>
        <v>Libre</v>
      </c>
      <c r="BJ582" s="4" t="str">
        <f>IF(Tabla4[[#This Row],[Estado mesa]]="Ocupada","00:15","00:00")</f>
        <v>00:00</v>
      </c>
      <c r="BK582" cm="1">
        <f t="array" ref="BK582">SUM(IF(Cocina!A:A=Tabla4[[#This Row],[Número de Orden]],Cocina!H:H,0))</f>
        <v>30</v>
      </c>
    </row>
    <row r="583" spans="1:63" x14ac:dyDescent="0.3">
      <c r="A583" s="8" t="str">
        <f>MID(Tabla4[[#This Row],[Cliente]], SEARCH("_", Tabla4[[#This Row],[Cliente]]) + 1, LEN(Tabla4[[#This Row],[Cliente]]) - SEARCH("_",Tabla4[[#This Row],[Cliente]]))</f>
        <v>384</v>
      </c>
      <c r="B583">
        <f>sala!K582</f>
        <v>581</v>
      </c>
      <c r="C583">
        <f>Tabla4[[#This Row],[Propina]]+Tabla4[[#This Row],[Precio Cena]]</f>
        <v>1450</v>
      </c>
      <c r="D583" s="3">
        <f>INT(sala!E582)</f>
        <v>45022</v>
      </c>
      <c r="E583" s="4">
        <f>MOD( sala!D582,1)</f>
        <v>0.14791666666860692</v>
      </c>
      <c r="F583" s="4">
        <f>MOD( sala!E582,1)</f>
        <v>0.21388888888759539</v>
      </c>
      <c r="G583" s="4">
        <f>Tabla5[[#This Row],[Hora de Salida]]-Tabla5[[#This Row],[Hora de Llegada]]+Tabla4[[#This Row],[Tiempo Extra]]</f>
        <v>7.6388888885655135E-2</v>
      </c>
      <c r="H583" s="5" t="str">
        <f>TEXT(Tabla4[[#This Row],[Preparación en horas]]/1440, "h:mm")</f>
        <v>0:55</v>
      </c>
      <c r="I583" s="4">
        <f>IF(Tabla5[[#This Row],[Tiempo Permanencia]]-Tabla5[[#This Row],[Tiempo de Preparación ]]&gt;=0,Tabla5[[#This Row],[Tiempo Permanencia]]-Tabla5[[#This Row],[Tiempo de Preparación ]],0)</f>
        <v>3.8194444441210687E-2</v>
      </c>
      <c r="J583" s="5" t="str">
        <f>IF(Tabla5[[#This Row],[Tiempo de Degustación]]=0,"No Cobrada","Cobrada")</f>
        <v>Cobrada</v>
      </c>
      <c r="K583" s="5" cm="1">
        <f t="array" ref="K583">SUM(IF(Tabla5[[#This Row],[Orden Cobrada]]="Cobrada",IF(Cocina!A:A=Tabla5[[#This Row],[Nº Orden]],Cocina!F:F*Cocina!G:G,0),-Tabla6[[#This Row],[Precio Cena]]))</f>
        <v>123</v>
      </c>
      <c r="L583" s="5">
        <f>IF(Tabla5[[#This Row],[Orden Cobrada]]="Cobrada",Tabla5[[#This Row],[Ganancia Bruta]]-Tabla6[[#This Row],[Coste Cena]],-Tabla6[[#This Row],[Precio Cena]]+Tabla6[[#This Row],[Coste Cena]])</f>
        <v>49</v>
      </c>
      <c r="M583" s="10">
        <f>IF(Tabla5[[#This Row],[Orden Cobrada]]="Cobrada",((Tabla5[[#This Row],[Ganancia Neta]]/Tabla5[[#This Row],[Ganancia Bruta]])*100)/100,-((Tabla5[[#This Row],[Ganancia Neta]]/Tabla5[[#This Row],[Ganancia Bruta]]*100)/100))</f>
        <v>0.3983739837398374</v>
      </c>
      <c r="N583" s="5" t="str">
        <f>sala!F582</f>
        <v>Mesero_4</v>
      </c>
      <c r="AY583" cm="1">
        <f t="array" ref="AY583">SUM(IF(Cocina!A:A=Tabla5[[#This Row],[Nº Orden]],Cocina!F:F*Cocina!G:G,0))</f>
        <v>123</v>
      </c>
      <c r="AZ583" cm="1">
        <f t="array" ref="AZ583">SUM(IF(Cocina!A:A=Tabla5[[#This Row],[Nº Orden]],Cocina!E:E*Cocina!G:G,0))</f>
        <v>74</v>
      </c>
      <c r="BB583" t="str">
        <f>MID(Tabla4[[#This Row],[Cliente]], SEARCH("_", Tabla4[[#This Row],[Cliente]]) + 1, LEN(Tabla4[[#This Row],[Cliente]]) - SEARCH("_",Tabla4[[#This Row],[Cliente]]))</f>
        <v>384</v>
      </c>
      <c r="BC583" t="str">
        <f>sala!B582</f>
        <v>Cliente_384</v>
      </c>
      <c r="BD583" s="1">
        <f>sala!D582</f>
        <v>45022.147916666669</v>
      </c>
      <c r="BE583" s="1">
        <f>sala!E582</f>
        <v>45022.213888888888</v>
      </c>
      <c r="BF583">
        <f>sala!K582</f>
        <v>581</v>
      </c>
      <c r="BG583">
        <f>sala!I582</f>
        <v>1327</v>
      </c>
      <c r="BH583" cm="1">
        <f t="array" ref="BH583">SUM(IF(Cocina!A:A=Tabla4[[#This Row],[Número de Orden]],Cocina!F:F*Cocina!G:G,0))</f>
        <v>123</v>
      </c>
      <c r="BI583" t="str">
        <f>sala!J582</f>
        <v>Ocupada</v>
      </c>
      <c r="BJ583" s="4" t="str">
        <f>IF(Tabla4[[#This Row],[Estado mesa]]="Ocupada","00:15","00:00")</f>
        <v>00:15</v>
      </c>
      <c r="BK583" cm="1">
        <f t="array" ref="BK583">SUM(IF(Cocina!A:A=Tabla4[[#This Row],[Número de Orden]],Cocina!H:H,0))</f>
        <v>55</v>
      </c>
    </row>
    <row r="584" spans="1:63" x14ac:dyDescent="0.3">
      <c r="A584" s="8" t="str">
        <f>MID(Tabla4[[#This Row],[Cliente]], SEARCH("_", Tabla4[[#This Row],[Cliente]]) + 1, LEN(Tabla4[[#This Row],[Cliente]]) - SEARCH("_",Tabla4[[#This Row],[Cliente]]))</f>
        <v>372</v>
      </c>
      <c r="B584">
        <f>sala!K583</f>
        <v>582</v>
      </c>
      <c r="C584">
        <f>Tabla4[[#This Row],[Propina]]+Tabla4[[#This Row],[Precio Cena]]</f>
        <v>2077</v>
      </c>
      <c r="D584" s="3">
        <f>INT(sala!E583)</f>
        <v>45022</v>
      </c>
      <c r="E584" s="4">
        <f>MOD( sala!D583,1)</f>
        <v>0.15833333333284827</v>
      </c>
      <c r="F584" s="4">
        <f>MOD( sala!E583,1)</f>
        <v>0.21458333333430346</v>
      </c>
      <c r="G584" s="4">
        <f>Tabla5[[#This Row],[Hora de Salida]]-Tabla5[[#This Row],[Hora de Llegada]]+Tabla4[[#This Row],[Tiempo Extra]]</f>
        <v>5.6250000001455192E-2</v>
      </c>
      <c r="H584" s="5" t="str">
        <f>TEXT(Tabla4[[#This Row],[Preparación en horas]]/1440, "h:mm")</f>
        <v>0:42</v>
      </c>
      <c r="I584" s="4">
        <f>IF(Tabla5[[#This Row],[Tiempo Permanencia]]-Tabla5[[#This Row],[Tiempo de Preparación ]]&gt;=0,Tabla5[[#This Row],[Tiempo Permanencia]]-Tabla5[[#This Row],[Tiempo de Preparación ]],0)</f>
        <v>2.7083333334788524E-2</v>
      </c>
      <c r="J584" s="5" t="str">
        <f>IF(Tabla5[[#This Row],[Tiempo de Degustación]]=0,"No Cobrada","Cobrada")</f>
        <v>Cobrada</v>
      </c>
      <c r="K584" s="5" cm="1">
        <f t="array" ref="K584">SUM(IF(Tabla5[[#This Row],[Orden Cobrada]]="Cobrada",IF(Cocina!A:A=Tabla5[[#This Row],[Nº Orden]],Cocina!F:F*Cocina!G:G,0),-Tabla6[[#This Row],[Precio Cena]]))</f>
        <v>54</v>
      </c>
      <c r="L584" s="5">
        <f>IF(Tabla5[[#This Row],[Orden Cobrada]]="Cobrada",Tabla5[[#This Row],[Ganancia Bruta]]-Tabla6[[#This Row],[Coste Cena]],-Tabla6[[#This Row],[Precio Cena]]+Tabla6[[#This Row],[Coste Cena]])</f>
        <v>22</v>
      </c>
      <c r="M584" s="10">
        <f>IF(Tabla5[[#This Row],[Orden Cobrada]]="Cobrada",((Tabla5[[#This Row],[Ganancia Neta]]/Tabla5[[#This Row],[Ganancia Bruta]])*100)/100,-((Tabla5[[#This Row],[Ganancia Neta]]/Tabla5[[#This Row],[Ganancia Bruta]]*100)/100))</f>
        <v>0.40740740740740738</v>
      </c>
      <c r="N584" s="5" t="str">
        <f>sala!F583</f>
        <v>Mesero_2</v>
      </c>
      <c r="AY584" cm="1">
        <f t="array" ref="AY584">SUM(IF(Cocina!A:A=Tabla5[[#This Row],[Nº Orden]],Cocina!F:F*Cocina!G:G,0))</f>
        <v>54</v>
      </c>
      <c r="AZ584" cm="1">
        <f t="array" ref="AZ584">SUM(IF(Cocina!A:A=Tabla5[[#This Row],[Nº Orden]],Cocina!E:E*Cocina!G:G,0))</f>
        <v>32</v>
      </c>
      <c r="BB584" t="str">
        <f>MID(Tabla4[[#This Row],[Cliente]], SEARCH("_", Tabla4[[#This Row],[Cliente]]) + 1, LEN(Tabla4[[#This Row],[Cliente]]) - SEARCH("_",Tabla4[[#This Row],[Cliente]]))</f>
        <v>372</v>
      </c>
      <c r="BC584" t="str">
        <f>sala!B583</f>
        <v>Cliente_372</v>
      </c>
      <c r="BD584" s="1">
        <f>sala!D583</f>
        <v>45022.158333333333</v>
      </c>
      <c r="BE584" s="1">
        <f>sala!E583</f>
        <v>45022.214583333334</v>
      </c>
      <c r="BF584">
        <f>sala!K583</f>
        <v>582</v>
      </c>
      <c r="BG584">
        <f>sala!I583</f>
        <v>2023</v>
      </c>
      <c r="BH584" cm="1">
        <f t="array" ref="BH584">SUM(IF(Cocina!A:A=Tabla4[[#This Row],[Número de Orden]],Cocina!F:F*Cocina!G:G,0))</f>
        <v>54</v>
      </c>
      <c r="BI584" t="str">
        <f>sala!J583</f>
        <v>Reservada</v>
      </c>
      <c r="BJ584" s="4" t="str">
        <f>IF(Tabla4[[#This Row],[Estado mesa]]="Ocupada","00:15","00:00")</f>
        <v>00:00</v>
      </c>
      <c r="BK584" cm="1">
        <f t="array" ref="BK584">SUM(IF(Cocina!A:A=Tabla4[[#This Row],[Número de Orden]],Cocina!H:H,0))</f>
        <v>42</v>
      </c>
    </row>
    <row r="585" spans="1:63" x14ac:dyDescent="0.3">
      <c r="A585" s="8" t="str">
        <f>MID(Tabla4[[#This Row],[Cliente]], SEARCH("_", Tabla4[[#This Row],[Cliente]]) + 1, LEN(Tabla4[[#This Row],[Cliente]]) - SEARCH("_",Tabla4[[#This Row],[Cliente]]))</f>
        <v>429</v>
      </c>
      <c r="B585">
        <f>sala!K584</f>
        <v>583</v>
      </c>
      <c r="C585">
        <f>Tabla4[[#This Row],[Propina]]+Tabla4[[#This Row],[Precio Cena]]</f>
        <v>3842</v>
      </c>
      <c r="D585" s="3">
        <f>INT(sala!E584)</f>
        <v>45022</v>
      </c>
      <c r="E585" s="4">
        <f>MOD( sala!D584,1)</f>
        <v>7.013888889196096E-2</v>
      </c>
      <c r="F585" s="4">
        <f>MOD( sala!E584,1)</f>
        <v>0.14861111110803904</v>
      </c>
      <c r="G585" s="4">
        <f>Tabla5[[#This Row],[Hora de Salida]]-Tabla5[[#This Row],[Hora de Llegada]]+Tabla4[[#This Row],[Tiempo Extra]]</f>
        <v>7.847222221607808E-2</v>
      </c>
      <c r="H585" s="5" t="str">
        <f>TEXT(Tabla4[[#This Row],[Preparación en horas]]/1440, "h:mm")</f>
        <v>1:45</v>
      </c>
      <c r="I585" s="4">
        <f>IF(Tabla5[[#This Row],[Tiempo Permanencia]]-Tabla5[[#This Row],[Tiempo de Preparación ]]&gt;=0,Tabla5[[#This Row],[Tiempo Permanencia]]-Tabla5[[#This Row],[Tiempo de Preparación ]],0)</f>
        <v>5.5555555494114089E-3</v>
      </c>
      <c r="J585" s="5" t="str">
        <f>IF(Tabla5[[#This Row],[Tiempo de Degustación]]=0,"No Cobrada","Cobrada")</f>
        <v>Cobrada</v>
      </c>
      <c r="K585" s="5" cm="1">
        <f t="array" ref="K585">SUM(IF(Tabla5[[#This Row],[Orden Cobrada]]="Cobrada",IF(Cocina!A:A=Tabla5[[#This Row],[Nº Orden]],Cocina!F:F*Cocina!G:G,0),-Tabla6[[#This Row],[Precio Cena]]))</f>
        <v>243</v>
      </c>
      <c r="L585" s="5">
        <f>IF(Tabla5[[#This Row],[Orden Cobrada]]="Cobrada",Tabla5[[#This Row],[Ganancia Bruta]]-Tabla6[[#This Row],[Coste Cena]],-Tabla6[[#This Row],[Precio Cena]]+Tabla6[[#This Row],[Coste Cena]])</f>
        <v>97</v>
      </c>
      <c r="M585" s="10">
        <f>IF(Tabla5[[#This Row],[Orden Cobrada]]="Cobrada",((Tabla5[[#This Row],[Ganancia Neta]]/Tabla5[[#This Row],[Ganancia Bruta]])*100)/100,-((Tabla5[[#This Row],[Ganancia Neta]]/Tabla5[[#This Row],[Ganancia Bruta]]*100)/100))</f>
        <v>0.3991769547325103</v>
      </c>
      <c r="N585" s="5" t="str">
        <f>sala!F584</f>
        <v>Mesero_2</v>
      </c>
      <c r="AY585" cm="1">
        <f t="array" ref="AY585">SUM(IF(Cocina!A:A=Tabla5[[#This Row],[Nº Orden]],Cocina!F:F*Cocina!G:G,0))</f>
        <v>243</v>
      </c>
      <c r="AZ585" cm="1">
        <f t="array" ref="AZ585">SUM(IF(Cocina!A:A=Tabla5[[#This Row],[Nº Orden]],Cocina!E:E*Cocina!G:G,0))</f>
        <v>146</v>
      </c>
      <c r="BB585" t="str">
        <f>MID(Tabla4[[#This Row],[Cliente]], SEARCH("_", Tabla4[[#This Row],[Cliente]]) + 1, LEN(Tabla4[[#This Row],[Cliente]]) - SEARCH("_",Tabla4[[#This Row],[Cliente]]))</f>
        <v>429</v>
      </c>
      <c r="BC585" t="str">
        <f>sala!B584</f>
        <v>Cliente_429</v>
      </c>
      <c r="BD585" s="1">
        <f>sala!D584</f>
        <v>45022.070138888892</v>
      </c>
      <c r="BE585" s="1">
        <f>sala!E584</f>
        <v>45022.148611111108</v>
      </c>
      <c r="BF585">
        <f>sala!K584</f>
        <v>583</v>
      </c>
      <c r="BG585">
        <f>sala!I584</f>
        <v>3599</v>
      </c>
      <c r="BH585" cm="1">
        <f t="array" ref="BH585">SUM(IF(Cocina!A:A=Tabla4[[#This Row],[Número de Orden]],Cocina!F:F*Cocina!G:G,0))</f>
        <v>243</v>
      </c>
      <c r="BI585" t="str">
        <f>sala!J584</f>
        <v>Libre</v>
      </c>
      <c r="BJ585" s="4" t="str">
        <f>IF(Tabla4[[#This Row],[Estado mesa]]="Ocupada","00:15","00:00")</f>
        <v>00:00</v>
      </c>
      <c r="BK585" cm="1">
        <f t="array" ref="BK585">SUM(IF(Cocina!A:A=Tabla4[[#This Row],[Número de Orden]],Cocina!H:H,0))</f>
        <v>105</v>
      </c>
    </row>
    <row r="586" spans="1:63" x14ac:dyDescent="0.3">
      <c r="A586" s="8" t="str">
        <f>MID(Tabla4[[#This Row],[Cliente]], SEARCH("_", Tabla4[[#This Row],[Cliente]]) + 1, LEN(Tabla4[[#This Row],[Cliente]]) - SEARCH("_",Tabla4[[#This Row],[Cliente]]))</f>
        <v>283</v>
      </c>
      <c r="B586">
        <f>sala!K585</f>
        <v>584</v>
      </c>
      <c r="C586">
        <f>Tabla4[[#This Row],[Propina]]+Tabla4[[#This Row],[Precio Cena]]</f>
        <v>3837</v>
      </c>
      <c r="D586" s="3">
        <f>INT(sala!E585)</f>
        <v>45022</v>
      </c>
      <c r="E586" s="4">
        <f>MOD( sala!D585,1)</f>
        <v>0.14930555555474712</v>
      </c>
      <c r="F586" s="4">
        <f>MOD( sala!E585,1)</f>
        <v>0.29097222222480923</v>
      </c>
      <c r="G586" s="4">
        <f>Tabla5[[#This Row],[Hora de Salida]]-Tabla5[[#This Row],[Hora de Llegada]]+Tabla4[[#This Row],[Tiempo Extra]]</f>
        <v>0.14166666667006211</v>
      </c>
      <c r="H586" s="5" t="str">
        <f>TEXT(Tabla4[[#This Row],[Preparación en horas]]/1440, "h:mm")</f>
        <v>1:54</v>
      </c>
      <c r="I586" s="4">
        <f>IF(Tabla5[[#This Row],[Tiempo Permanencia]]-Tabla5[[#This Row],[Tiempo de Preparación ]]&gt;=0,Tabla5[[#This Row],[Tiempo Permanencia]]-Tabla5[[#This Row],[Tiempo de Preparación ]],0)</f>
        <v>6.2500000003395451E-2</v>
      </c>
      <c r="J586" s="5" t="str">
        <f>IF(Tabla5[[#This Row],[Tiempo de Degustación]]=0,"No Cobrada","Cobrada")</f>
        <v>Cobrada</v>
      </c>
      <c r="K586" s="5" cm="1">
        <f t="array" ref="K586">SUM(IF(Tabla5[[#This Row],[Orden Cobrada]]="Cobrada",IF(Cocina!A:A=Tabla5[[#This Row],[Nº Orden]],Cocina!F:F*Cocina!G:G,0),-Tabla6[[#This Row],[Precio Cena]]))</f>
        <v>139</v>
      </c>
      <c r="L586" s="5">
        <f>IF(Tabla5[[#This Row],[Orden Cobrada]]="Cobrada",Tabla5[[#This Row],[Ganancia Bruta]]-Tabla6[[#This Row],[Coste Cena]],-Tabla6[[#This Row],[Precio Cena]]+Tabla6[[#This Row],[Coste Cena]])</f>
        <v>56</v>
      </c>
      <c r="M586" s="10">
        <f>IF(Tabla5[[#This Row],[Orden Cobrada]]="Cobrada",((Tabla5[[#This Row],[Ganancia Neta]]/Tabla5[[#This Row],[Ganancia Bruta]])*100)/100,-((Tabla5[[#This Row],[Ganancia Neta]]/Tabla5[[#This Row],[Ganancia Bruta]]*100)/100))</f>
        <v>0.40287769784172661</v>
      </c>
      <c r="N586" s="5" t="str">
        <f>sala!F585</f>
        <v>Mesero_3</v>
      </c>
      <c r="AY586" cm="1">
        <f t="array" ref="AY586">SUM(IF(Cocina!A:A=Tabla5[[#This Row],[Nº Orden]],Cocina!F:F*Cocina!G:G,0))</f>
        <v>139</v>
      </c>
      <c r="AZ586" cm="1">
        <f t="array" ref="AZ586">SUM(IF(Cocina!A:A=Tabla5[[#This Row],[Nº Orden]],Cocina!E:E*Cocina!G:G,0))</f>
        <v>83</v>
      </c>
      <c r="BB586" t="str">
        <f>MID(Tabla4[[#This Row],[Cliente]], SEARCH("_", Tabla4[[#This Row],[Cliente]]) + 1, LEN(Tabla4[[#This Row],[Cliente]]) - SEARCH("_",Tabla4[[#This Row],[Cliente]]))</f>
        <v>283</v>
      </c>
      <c r="BC586" t="str">
        <f>sala!B585</f>
        <v>Cliente_283</v>
      </c>
      <c r="BD586" s="1">
        <f>sala!D585</f>
        <v>45022.149305555555</v>
      </c>
      <c r="BE586" s="1">
        <f>sala!E585</f>
        <v>45022.290972222225</v>
      </c>
      <c r="BF586">
        <f>sala!K585</f>
        <v>584</v>
      </c>
      <c r="BG586">
        <f>sala!I585</f>
        <v>3698</v>
      </c>
      <c r="BH586" cm="1">
        <f t="array" ref="BH586">SUM(IF(Cocina!A:A=Tabla4[[#This Row],[Número de Orden]],Cocina!F:F*Cocina!G:G,0))</f>
        <v>139</v>
      </c>
      <c r="BI586" t="str">
        <f>sala!J585</f>
        <v>Reservada</v>
      </c>
      <c r="BJ586" s="4" t="str">
        <f>IF(Tabla4[[#This Row],[Estado mesa]]="Ocupada","00:15","00:00")</f>
        <v>00:00</v>
      </c>
      <c r="BK586" cm="1">
        <f t="array" ref="BK586">SUM(IF(Cocina!A:A=Tabla4[[#This Row],[Número de Orden]],Cocina!H:H,0))</f>
        <v>114</v>
      </c>
    </row>
    <row r="587" spans="1:63" x14ac:dyDescent="0.3">
      <c r="A587" s="8" t="str">
        <f>MID(Tabla4[[#This Row],[Cliente]], SEARCH("_", Tabla4[[#This Row],[Cliente]]) + 1, LEN(Tabla4[[#This Row],[Cliente]]) - SEARCH("_",Tabla4[[#This Row],[Cliente]]))</f>
        <v>876</v>
      </c>
      <c r="B587">
        <f>sala!K586</f>
        <v>585</v>
      </c>
      <c r="C587">
        <f>Tabla4[[#This Row],[Propina]]+Tabla4[[#This Row],[Precio Cena]]</f>
        <v>1135</v>
      </c>
      <c r="D587" s="3">
        <f>INT(sala!E586)</f>
        <v>45022</v>
      </c>
      <c r="E587" s="4">
        <f>MOD( sala!D586,1)</f>
        <v>5.7638888887595385E-2</v>
      </c>
      <c r="F587" s="4">
        <f>MOD( sala!E586,1)</f>
        <v>0.10902777777664596</v>
      </c>
      <c r="G587" s="4">
        <f>Tabla5[[#This Row],[Hora de Salida]]-Tabla5[[#This Row],[Hora de Llegada]]+Tabla4[[#This Row],[Tiempo Extra]]</f>
        <v>5.1388888889050577E-2</v>
      </c>
      <c r="H587" s="5" t="str">
        <f>TEXT(Tabla4[[#This Row],[Preparación en horas]]/1440, "h:mm")</f>
        <v>1:35</v>
      </c>
      <c r="I587" s="4">
        <f>IF(Tabla5[[#This Row],[Tiempo Permanencia]]-Tabla5[[#This Row],[Tiempo de Preparación ]]&gt;=0,Tabla5[[#This Row],[Tiempo Permanencia]]-Tabla5[[#This Row],[Tiempo de Preparación ]],0)</f>
        <v>0</v>
      </c>
      <c r="J587" s="5" t="str">
        <f>IF(Tabla5[[#This Row],[Tiempo de Degustación]]=0,"No Cobrada","Cobrada")</f>
        <v>No Cobrada</v>
      </c>
      <c r="K587" s="5" cm="1">
        <f t="array" ref="K587">SUM(IF(Tabla5[[#This Row],[Orden Cobrada]]="Cobrada",IF(Cocina!A:A=Tabla5[[#This Row],[Nº Orden]],Cocina!F:F*Cocina!G:G,0),-Tabla6[[#This Row],[Precio Cena]]))</f>
        <v>-128</v>
      </c>
      <c r="L587" s="5">
        <f>IF(Tabla5[[#This Row],[Orden Cobrada]]="Cobrada",Tabla5[[#This Row],[Ganancia Bruta]]-Tabla6[[#This Row],[Coste Cena]],-Tabla6[[#This Row],[Precio Cena]]+Tabla6[[#This Row],[Coste Cena]])</f>
        <v>-53</v>
      </c>
      <c r="M587" s="10">
        <f>IF(Tabla5[[#This Row],[Orden Cobrada]]="Cobrada",((Tabla5[[#This Row],[Ganancia Neta]]/Tabla5[[#This Row],[Ganancia Bruta]])*100)/100,-((Tabla5[[#This Row],[Ganancia Neta]]/Tabla5[[#This Row],[Ganancia Bruta]]*100)/100))</f>
        <v>-0.4140625</v>
      </c>
      <c r="N587" s="5" t="str">
        <f>sala!F586</f>
        <v>Mesero_3</v>
      </c>
      <c r="AY587" cm="1">
        <f t="array" ref="AY587">SUM(IF(Cocina!A:A=Tabla5[[#This Row],[Nº Orden]],Cocina!F:F*Cocina!G:G,0))</f>
        <v>128</v>
      </c>
      <c r="AZ587" cm="1">
        <f t="array" ref="AZ587">SUM(IF(Cocina!A:A=Tabla5[[#This Row],[Nº Orden]],Cocina!E:E*Cocina!G:G,0))</f>
        <v>75</v>
      </c>
      <c r="BB587" t="str">
        <f>MID(Tabla4[[#This Row],[Cliente]], SEARCH("_", Tabla4[[#This Row],[Cliente]]) + 1, LEN(Tabla4[[#This Row],[Cliente]]) - SEARCH("_",Tabla4[[#This Row],[Cliente]]))</f>
        <v>876</v>
      </c>
      <c r="BC587" t="str">
        <f>sala!B586</f>
        <v>Cliente_876</v>
      </c>
      <c r="BD587" s="1">
        <f>sala!D586</f>
        <v>45022.057638888888</v>
      </c>
      <c r="BE587" s="1">
        <f>sala!E586</f>
        <v>45022.109027777777</v>
      </c>
      <c r="BF587">
        <f>sala!K586</f>
        <v>585</v>
      </c>
      <c r="BG587">
        <f>sala!I586</f>
        <v>1007</v>
      </c>
      <c r="BH587" cm="1">
        <f t="array" ref="BH587">SUM(IF(Cocina!A:A=Tabla4[[#This Row],[Número de Orden]],Cocina!F:F*Cocina!G:G,0))</f>
        <v>128</v>
      </c>
      <c r="BI587" t="str">
        <f>sala!J586</f>
        <v>Libre</v>
      </c>
      <c r="BJ587" s="4" t="str">
        <f>IF(Tabla4[[#This Row],[Estado mesa]]="Ocupada","00:15","00:00")</f>
        <v>00:00</v>
      </c>
      <c r="BK587" cm="1">
        <f t="array" ref="BK587">SUM(IF(Cocina!A:A=Tabla4[[#This Row],[Número de Orden]],Cocina!H:H,0))</f>
        <v>95</v>
      </c>
    </row>
    <row r="588" spans="1:63" x14ac:dyDescent="0.3">
      <c r="A588" s="8" t="str">
        <f>MID(Tabla4[[#This Row],[Cliente]], SEARCH("_", Tabla4[[#This Row],[Cliente]]) + 1, LEN(Tabla4[[#This Row],[Cliente]]) - SEARCH("_",Tabla4[[#This Row],[Cliente]]))</f>
        <v>857</v>
      </c>
      <c r="B588">
        <f>sala!K587</f>
        <v>586</v>
      </c>
      <c r="C588">
        <f>Tabla4[[#This Row],[Propina]]+Tabla4[[#This Row],[Precio Cena]]</f>
        <v>3450</v>
      </c>
      <c r="D588" s="3">
        <f>INT(sala!E587)</f>
        <v>45022</v>
      </c>
      <c r="E588" s="4">
        <f>MOD( sala!D587,1)</f>
        <v>3.0555555553291924E-2</v>
      </c>
      <c r="F588" s="4">
        <f>MOD( sala!E587,1)</f>
        <v>0.16319444444525288</v>
      </c>
      <c r="G588" s="4">
        <f>Tabla5[[#This Row],[Hora de Salida]]-Tabla5[[#This Row],[Hora de Llegada]]+Tabla4[[#This Row],[Tiempo Extra]]</f>
        <v>0.14305555555862762</v>
      </c>
      <c r="H588" s="5" t="str">
        <f>TEXT(Tabla4[[#This Row],[Preparación en horas]]/1440, "h:mm")</f>
        <v>1:32</v>
      </c>
      <c r="I588" s="4">
        <f>IF(Tabla5[[#This Row],[Tiempo Permanencia]]-Tabla5[[#This Row],[Tiempo de Preparación ]]&gt;=0,Tabla5[[#This Row],[Tiempo Permanencia]]-Tabla5[[#This Row],[Tiempo de Preparación ]],0)</f>
        <v>7.9166666669738733E-2</v>
      </c>
      <c r="J588" s="5" t="str">
        <f>IF(Tabla5[[#This Row],[Tiempo de Degustación]]=0,"No Cobrada","Cobrada")</f>
        <v>Cobrada</v>
      </c>
      <c r="K588" s="5" cm="1">
        <f t="array" ref="K588">SUM(IF(Tabla5[[#This Row],[Orden Cobrada]]="Cobrada",IF(Cocina!A:A=Tabla5[[#This Row],[Nº Orden]],Cocina!F:F*Cocina!G:G,0),-Tabla6[[#This Row],[Precio Cena]]))</f>
        <v>171</v>
      </c>
      <c r="L588" s="5">
        <f>IF(Tabla5[[#This Row],[Orden Cobrada]]="Cobrada",Tabla5[[#This Row],[Ganancia Bruta]]-Tabla6[[#This Row],[Coste Cena]],-Tabla6[[#This Row],[Precio Cena]]+Tabla6[[#This Row],[Coste Cena]])</f>
        <v>69</v>
      </c>
      <c r="M588" s="10">
        <f>IF(Tabla5[[#This Row],[Orden Cobrada]]="Cobrada",((Tabla5[[#This Row],[Ganancia Neta]]/Tabla5[[#This Row],[Ganancia Bruta]])*100)/100,-((Tabla5[[#This Row],[Ganancia Neta]]/Tabla5[[#This Row],[Ganancia Bruta]]*100)/100))</f>
        <v>0.40350877192982454</v>
      </c>
      <c r="N588" s="5" t="str">
        <f>sala!F587</f>
        <v>Mesero_3</v>
      </c>
      <c r="AY588" cm="1">
        <f t="array" ref="AY588">SUM(IF(Cocina!A:A=Tabla5[[#This Row],[Nº Orden]],Cocina!F:F*Cocina!G:G,0))</f>
        <v>171</v>
      </c>
      <c r="AZ588" cm="1">
        <f t="array" ref="AZ588">SUM(IF(Cocina!A:A=Tabla5[[#This Row],[Nº Orden]],Cocina!E:E*Cocina!G:G,0))</f>
        <v>102</v>
      </c>
      <c r="BB588" t="str">
        <f>MID(Tabla4[[#This Row],[Cliente]], SEARCH("_", Tabla4[[#This Row],[Cliente]]) + 1, LEN(Tabla4[[#This Row],[Cliente]]) - SEARCH("_",Tabla4[[#This Row],[Cliente]]))</f>
        <v>857</v>
      </c>
      <c r="BC588" t="str">
        <f>sala!B587</f>
        <v>Cliente_857</v>
      </c>
      <c r="BD588" s="1">
        <f>sala!D587</f>
        <v>45022.030555555553</v>
      </c>
      <c r="BE588" s="1">
        <f>sala!E587</f>
        <v>45022.163194444445</v>
      </c>
      <c r="BF588">
        <f>sala!K587</f>
        <v>586</v>
      </c>
      <c r="BG588">
        <f>sala!I587</f>
        <v>3279</v>
      </c>
      <c r="BH588" cm="1">
        <f t="array" ref="BH588">SUM(IF(Cocina!A:A=Tabla4[[#This Row],[Número de Orden]],Cocina!F:F*Cocina!G:G,0))</f>
        <v>171</v>
      </c>
      <c r="BI588" t="str">
        <f>sala!J587</f>
        <v>Ocupada</v>
      </c>
      <c r="BJ588" s="4" t="str">
        <f>IF(Tabla4[[#This Row],[Estado mesa]]="Ocupada","00:15","00:00")</f>
        <v>00:15</v>
      </c>
      <c r="BK588" cm="1">
        <f t="array" ref="BK588">SUM(IF(Cocina!A:A=Tabla4[[#This Row],[Número de Orden]],Cocina!H:H,0))</f>
        <v>92</v>
      </c>
    </row>
    <row r="589" spans="1:63" x14ac:dyDescent="0.3">
      <c r="A589" s="8" t="str">
        <f>MID(Tabla4[[#This Row],[Cliente]], SEARCH("_", Tabla4[[#This Row],[Cliente]]) + 1, LEN(Tabla4[[#This Row],[Cliente]]) - SEARCH("_",Tabla4[[#This Row],[Cliente]]))</f>
        <v>208</v>
      </c>
      <c r="B589">
        <f>sala!K588</f>
        <v>587</v>
      </c>
      <c r="C589">
        <f>Tabla4[[#This Row],[Propina]]+Tabla4[[#This Row],[Precio Cena]]</f>
        <v>3551</v>
      </c>
      <c r="D589" s="3">
        <f>INT(sala!E588)</f>
        <v>45022</v>
      </c>
      <c r="E589" s="4">
        <f>MOD( sala!D588,1)</f>
        <v>0.15138888888759539</v>
      </c>
      <c r="F589" s="4">
        <f>MOD( sala!E588,1)</f>
        <v>0.19583333333139308</v>
      </c>
      <c r="G589" s="4">
        <f>Tabla5[[#This Row],[Hora de Salida]]-Tabla5[[#This Row],[Hora de Llegada]]+Tabla4[[#This Row],[Tiempo Extra]]</f>
        <v>5.4861111110464357E-2</v>
      </c>
      <c r="H589" s="5" t="str">
        <f>TEXT(Tabla4[[#This Row],[Preparación en horas]]/1440, "h:mm")</f>
        <v>0:43</v>
      </c>
      <c r="I589" s="4">
        <f>IF(Tabla5[[#This Row],[Tiempo Permanencia]]-Tabla5[[#This Row],[Tiempo de Preparación ]]&gt;=0,Tabla5[[#This Row],[Tiempo Permanencia]]-Tabla5[[#This Row],[Tiempo de Preparación ]],0)</f>
        <v>2.4999999999353244E-2</v>
      </c>
      <c r="J589" s="5" t="str">
        <f>IF(Tabla5[[#This Row],[Tiempo de Degustación]]=0,"No Cobrada","Cobrada")</f>
        <v>Cobrada</v>
      </c>
      <c r="K589" s="5" cm="1">
        <f t="array" ref="K589">SUM(IF(Tabla5[[#This Row],[Orden Cobrada]]="Cobrada",IF(Cocina!A:A=Tabla5[[#This Row],[Nº Orden]],Cocina!F:F*Cocina!G:G,0),-Tabla6[[#This Row],[Precio Cena]]))</f>
        <v>48</v>
      </c>
      <c r="L589" s="5">
        <f>IF(Tabla5[[#This Row],[Orden Cobrada]]="Cobrada",Tabla5[[#This Row],[Ganancia Bruta]]-Tabla6[[#This Row],[Coste Cena]],-Tabla6[[#This Row],[Precio Cena]]+Tabla6[[#This Row],[Coste Cena]])</f>
        <v>20</v>
      </c>
      <c r="M589" s="10">
        <f>IF(Tabla5[[#This Row],[Orden Cobrada]]="Cobrada",((Tabla5[[#This Row],[Ganancia Neta]]/Tabla5[[#This Row],[Ganancia Bruta]])*100)/100,-((Tabla5[[#This Row],[Ganancia Neta]]/Tabla5[[#This Row],[Ganancia Bruta]]*100)/100))</f>
        <v>0.41666666666666674</v>
      </c>
      <c r="N589" s="5" t="str">
        <f>sala!F588</f>
        <v>Mesero_3</v>
      </c>
      <c r="AY589" cm="1">
        <f t="array" ref="AY589">SUM(IF(Cocina!A:A=Tabla5[[#This Row],[Nº Orden]],Cocina!F:F*Cocina!G:G,0))</f>
        <v>48</v>
      </c>
      <c r="AZ589" cm="1">
        <f t="array" ref="AZ589">SUM(IF(Cocina!A:A=Tabla5[[#This Row],[Nº Orden]],Cocina!E:E*Cocina!G:G,0))</f>
        <v>28</v>
      </c>
      <c r="BB589" t="str">
        <f>MID(Tabla4[[#This Row],[Cliente]], SEARCH("_", Tabla4[[#This Row],[Cliente]]) + 1, LEN(Tabla4[[#This Row],[Cliente]]) - SEARCH("_",Tabla4[[#This Row],[Cliente]]))</f>
        <v>208</v>
      </c>
      <c r="BC589" t="str">
        <f>sala!B588</f>
        <v>Cliente_208</v>
      </c>
      <c r="BD589" s="1">
        <f>sala!D588</f>
        <v>45022.151388888888</v>
      </c>
      <c r="BE589" s="1">
        <f>sala!E588</f>
        <v>45022.195833333331</v>
      </c>
      <c r="BF589">
        <f>sala!K588</f>
        <v>587</v>
      </c>
      <c r="BG589">
        <f>sala!I588</f>
        <v>3503</v>
      </c>
      <c r="BH589" cm="1">
        <f t="array" ref="BH589">SUM(IF(Cocina!A:A=Tabla4[[#This Row],[Número de Orden]],Cocina!F:F*Cocina!G:G,0))</f>
        <v>48</v>
      </c>
      <c r="BI589" t="str">
        <f>sala!J588</f>
        <v>Ocupada</v>
      </c>
      <c r="BJ589" s="4" t="str">
        <f>IF(Tabla4[[#This Row],[Estado mesa]]="Ocupada","00:15","00:00")</f>
        <v>00:15</v>
      </c>
      <c r="BK589" cm="1">
        <f t="array" ref="BK589">SUM(IF(Cocina!A:A=Tabla4[[#This Row],[Número de Orden]],Cocina!H:H,0))</f>
        <v>43</v>
      </c>
    </row>
    <row r="590" spans="1:63" x14ac:dyDescent="0.3">
      <c r="A590" s="8" t="str">
        <f>MID(Tabla4[[#This Row],[Cliente]], SEARCH("_", Tabla4[[#This Row],[Cliente]]) + 1, LEN(Tabla4[[#This Row],[Cliente]]) - SEARCH("_",Tabla4[[#This Row],[Cliente]]))</f>
        <v>21</v>
      </c>
      <c r="B590">
        <f>sala!K589</f>
        <v>588</v>
      </c>
      <c r="C590">
        <f>Tabla4[[#This Row],[Propina]]+Tabla4[[#This Row],[Precio Cena]]</f>
        <v>3494</v>
      </c>
      <c r="D590" s="3">
        <f>INT(sala!E589)</f>
        <v>45022</v>
      </c>
      <c r="E590" s="4">
        <f>MOD( sala!D589,1)</f>
        <v>9.7222222218988463E-2</v>
      </c>
      <c r="F590" s="4">
        <f>MOD( sala!E589,1)</f>
        <v>0.24861111111385981</v>
      </c>
      <c r="G590" s="4">
        <f>Tabla5[[#This Row],[Hora de Salida]]-Tabla5[[#This Row],[Hora de Llegada]]+Tabla4[[#This Row],[Tiempo Extra]]</f>
        <v>0.15138888889487134</v>
      </c>
      <c r="H590" s="5" t="str">
        <f>TEXT(Tabla4[[#This Row],[Preparación en horas]]/1440, "h:mm")</f>
        <v>0:37</v>
      </c>
      <c r="I590" s="4">
        <f>IF(Tabla5[[#This Row],[Tiempo Permanencia]]-Tabla5[[#This Row],[Tiempo de Preparación ]]&gt;=0,Tabla5[[#This Row],[Tiempo Permanencia]]-Tabla5[[#This Row],[Tiempo de Preparación ]],0)</f>
        <v>0.12569444445042691</v>
      </c>
      <c r="J590" s="5" t="str">
        <f>IF(Tabla5[[#This Row],[Tiempo de Degustación]]=0,"No Cobrada","Cobrada")</f>
        <v>Cobrada</v>
      </c>
      <c r="K590" s="5" cm="1">
        <f t="array" ref="K590">SUM(IF(Tabla5[[#This Row],[Orden Cobrada]]="Cobrada",IF(Cocina!A:A=Tabla5[[#This Row],[Nº Orden]],Cocina!F:F*Cocina!G:G,0),-Tabla6[[#This Row],[Precio Cena]]))</f>
        <v>101</v>
      </c>
      <c r="L590" s="5">
        <f>IF(Tabla5[[#This Row],[Orden Cobrada]]="Cobrada",Tabla5[[#This Row],[Ganancia Bruta]]-Tabla6[[#This Row],[Coste Cena]],-Tabla6[[#This Row],[Precio Cena]]+Tabla6[[#This Row],[Coste Cena]])</f>
        <v>41</v>
      </c>
      <c r="M590" s="10">
        <f>IF(Tabla5[[#This Row],[Orden Cobrada]]="Cobrada",((Tabla5[[#This Row],[Ganancia Neta]]/Tabla5[[#This Row],[Ganancia Bruta]])*100)/100,-((Tabla5[[#This Row],[Ganancia Neta]]/Tabla5[[#This Row],[Ganancia Bruta]]*100)/100))</f>
        <v>0.40594059405940597</v>
      </c>
      <c r="N590" s="5" t="str">
        <f>sala!F589</f>
        <v>Mesero_3</v>
      </c>
      <c r="AY590" cm="1">
        <f t="array" ref="AY590">SUM(IF(Cocina!A:A=Tabla5[[#This Row],[Nº Orden]],Cocina!F:F*Cocina!G:G,0))</f>
        <v>101</v>
      </c>
      <c r="AZ590" cm="1">
        <f t="array" ref="AZ590">SUM(IF(Cocina!A:A=Tabla5[[#This Row],[Nº Orden]],Cocina!E:E*Cocina!G:G,0))</f>
        <v>60</v>
      </c>
      <c r="BB590" t="str">
        <f>MID(Tabla4[[#This Row],[Cliente]], SEARCH("_", Tabla4[[#This Row],[Cliente]]) + 1, LEN(Tabla4[[#This Row],[Cliente]]) - SEARCH("_",Tabla4[[#This Row],[Cliente]]))</f>
        <v>21</v>
      </c>
      <c r="BC590" t="str">
        <f>sala!B589</f>
        <v>Cliente_21</v>
      </c>
      <c r="BD590" s="1">
        <f>sala!D589</f>
        <v>45022.097222222219</v>
      </c>
      <c r="BE590" s="1">
        <f>sala!E589</f>
        <v>45022.248611111114</v>
      </c>
      <c r="BF590">
        <f>sala!K589</f>
        <v>588</v>
      </c>
      <c r="BG590">
        <f>sala!I589</f>
        <v>3393</v>
      </c>
      <c r="BH590" cm="1">
        <f t="array" ref="BH590">SUM(IF(Cocina!A:A=Tabla4[[#This Row],[Número de Orden]],Cocina!F:F*Cocina!G:G,0))</f>
        <v>101</v>
      </c>
      <c r="BI590" t="str">
        <f>sala!J589</f>
        <v>Libre</v>
      </c>
      <c r="BJ590" s="4" t="str">
        <f>IF(Tabla4[[#This Row],[Estado mesa]]="Ocupada","00:15","00:00")</f>
        <v>00:00</v>
      </c>
      <c r="BK590" cm="1">
        <f t="array" ref="BK590">SUM(IF(Cocina!A:A=Tabla4[[#This Row],[Número de Orden]],Cocina!H:H,0))</f>
        <v>37</v>
      </c>
    </row>
    <row r="591" spans="1:63" x14ac:dyDescent="0.3">
      <c r="A591" s="8" t="str">
        <f>MID(Tabla4[[#This Row],[Cliente]], SEARCH("_", Tabla4[[#This Row],[Cliente]]) + 1, LEN(Tabla4[[#This Row],[Cliente]]) - SEARCH("_",Tabla4[[#This Row],[Cliente]]))</f>
        <v>443</v>
      </c>
      <c r="B591">
        <f>sala!K590</f>
        <v>589</v>
      </c>
      <c r="C591">
        <f>Tabla4[[#This Row],[Propina]]+Tabla4[[#This Row],[Precio Cena]]</f>
        <v>3180</v>
      </c>
      <c r="D591" s="3">
        <f>INT(sala!E590)</f>
        <v>45022</v>
      </c>
      <c r="E591" s="4">
        <f>MOD( sala!D590,1)</f>
        <v>0.13472222222480923</v>
      </c>
      <c r="F591" s="4">
        <f>MOD( sala!E590,1)</f>
        <v>0.24791666666715173</v>
      </c>
      <c r="G591" s="4">
        <f>Tabla5[[#This Row],[Hora de Salida]]-Tabla5[[#This Row],[Hora de Llegada]]+Tabla4[[#This Row],[Tiempo Extra]]</f>
        <v>0.1131944444423425</v>
      </c>
      <c r="H591" s="5" t="str">
        <f>TEXT(Tabla4[[#This Row],[Preparación en horas]]/1440, "h:mm")</f>
        <v>2:00</v>
      </c>
      <c r="I591" s="4">
        <f>IF(Tabla5[[#This Row],[Tiempo Permanencia]]-Tabla5[[#This Row],[Tiempo de Preparación ]]&gt;=0,Tabla5[[#This Row],[Tiempo Permanencia]]-Tabla5[[#This Row],[Tiempo de Preparación ]],0)</f>
        <v>2.9861111109009172E-2</v>
      </c>
      <c r="J591" s="5" t="str">
        <f>IF(Tabla5[[#This Row],[Tiempo de Degustación]]=0,"No Cobrada","Cobrada")</f>
        <v>Cobrada</v>
      </c>
      <c r="K591" s="5" cm="1">
        <f t="array" ref="K591">SUM(IF(Tabla5[[#This Row],[Orden Cobrada]]="Cobrada",IF(Cocina!A:A=Tabla5[[#This Row],[Nº Orden]],Cocina!F:F*Cocina!G:G,0),-Tabla6[[#This Row],[Precio Cena]]))</f>
        <v>284</v>
      </c>
      <c r="L591" s="5">
        <f>IF(Tabla5[[#This Row],[Orden Cobrada]]="Cobrada",Tabla5[[#This Row],[Ganancia Bruta]]-Tabla6[[#This Row],[Coste Cena]],-Tabla6[[#This Row],[Precio Cena]]+Tabla6[[#This Row],[Coste Cena]])</f>
        <v>114</v>
      </c>
      <c r="M591" s="10">
        <f>IF(Tabla5[[#This Row],[Orden Cobrada]]="Cobrada",((Tabla5[[#This Row],[Ganancia Neta]]/Tabla5[[#This Row],[Ganancia Bruta]])*100)/100,-((Tabla5[[#This Row],[Ganancia Neta]]/Tabla5[[#This Row],[Ganancia Bruta]]*100)/100))</f>
        <v>0.40140845070422537</v>
      </c>
      <c r="N591" s="5" t="str">
        <f>sala!F590</f>
        <v>Mesero_4</v>
      </c>
      <c r="AY591" cm="1">
        <f t="array" ref="AY591">SUM(IF(Cocina!A:A=Tabla5[[#This Row],[Nº Orden]],Cocina!F:F*Cocina!G:G,0))</f>
        <v>284</v>
      </c>
      <c r="AZ591" cm="1">
        <f t="array" ref="AZ591">SUM(IF(Cocina!A:A=Tabla5[[#This Row],[Nº Orden]],Cocina!E:E*Cocina!G:G,0))</f>
        <v>170</v>
      </c>
      <c r="BB591" t="str">
        <f>MID(Tabla4[[#This Row],[Cliente]], SEARCH("_", Tabla4[[#This Row],[Cliente]]) + 1, LEN(Tabla4[[#This Row],[Cliente]]) - SEARCH("_",Tabla4[[#This Row],[Cliente]]))</f>
        <v>443</v>
      </c>
      <c r="BC591" t="str">
        <f>sala!B590</f>
        <v>Cliente_443</v>
      </c>
      <c r="BD591" s="1">
        <f>sala!D590</f>
        <v>45022.134722222225</v>
      </c>
      <c r="BE591" s="1">
        <f>sala!E590</f>
        <v>45022.247916666667</v>
      </c>
      <c r="BF591">
        <f>sala!K590</f>
        <v>589</v>
      </c>
      <c r="BG591">
        <f>sala!I590</f>
        <v>2896</v>
      </c>
      <c r="BH591" cm="1">
        <f t="array" ref="BH591">SUM(IF(Cocina!A:A=Tabla4[[#This Row],[Número de Orden]],Cocina!F:F*Cocina!G:G,0))</f>
        <v>284</v>
      </c>
      <c r="BI591" t="str">
        <f>sala!J590</f>
        <v>Libre</v>
      </c>
      <c r="BJ591" s="4" t="str">
        <f>IF(Tabla4[[#This Row],[Estado mesa]]="Ocupada","00:15","00:00")</f>
        <v>00:00</v>
      </c>
      <c r="BK591" cm="1">
        <f t="array" ref="BK591">SUM(IF(Cocina!A:A=Tabla4[[#This Row],[Número de Orden]],Cocina!H:H,0))</f>
        <v>120</v>
      </c>
    </row>
    <row r="592" spans="1:63" x14ac:dyDescent="0.3">
      <c r="A592" s="8" t="str">
        <f>MID(Tabla4[[#This Row],[Cliente]], SEARCH("_", Tabla4[[#This Row],[Cliente]]) + 1, LEN(Tabla4[[#This Row],[Cliente]]) - SEARCH("_",Tabla4[[#This Row],[Cliente]]))</f>
        <v>240</v>
      </c>
      <c r="B592">
        <f>sala!K591</f>
        <v>590</v>
      </c>
      <c r="C592">
        <f>Tabla4[[#This Row],[Propina]]+Tabla4[[#This Row],[Precio Cena]]</f>
        <v>4216</v>
      </c>
      <c r="D592" s="3">
        <f>INT(sala!E591)</f>
        <v>45022</v>
      </c>
      <c r="E592" s="4">
        <f>MOD( sala!D591,1)</f>
        <v>0.11458333333575865</v>
      </c>
      <c r="F592" s="4">
        <f>MOD( sala!E591,1)</f>
        <v>0.18541666666715173</v>
      </c>
      <c r="G592" s="4">
        <f>Tabla5[[#This Row],[Hora de Salida]]-Tabla5[[#This Row],[Hora de Llegada]]+Tabla4[[#This Row],[Tiempo Extra]]</f>
        <v>8.1249999998059749E-2</v>
      </c>
      <c r="H592" s="5" t="str">
        <f>TEXT(Tabla4[[#This Row],[Preparación en horas]]/1440, "h:mm")</f>
        <v>1:04</v>
      </c>
      <c r="I592" s="4">
        <f>IF(Tabla5[[#This Row],[Tiempo Permanencia]]-Tabla5[[#This Row],[Tiempo de Preparación ]]&gt;=0,Tabla5[[#This Row],[Tiempo Permanencia]]-Tabla5[[#This Row],[Tiempo de Preparación ]],0)</f>
        <v>3.6805555553615303E-2</v>
      </c>
      <c r="J592" s="5" t="str">
        <f>IF(Tabla5[[#This Row],[Tiempo de Degustación]]=0,"No Cobrada","Cobrada")</f>
        <v>Cobrada</v>
      </c>
      <c r="K592" s="5" cm="1">
        <f t="array" ref="K592">SUM(IF(Tabla5[[#This Row],[Orden Cobrada]]="Cobrada",IF(Cocina!A:A=Tabla5[[#This Row],[Nº Orden]],Cocina!F:F*Cocina!G:G,0),-Tabla6[[#This Row],[Precio Cena]]))</f>
        <v>122</v>
      </c>
      <c r="L592" s="5">
        <f>IF(Tabla5[[#This Row],[Orden Cobrada]]="Cobrada",Tabla5[[#This Row],[Ganancia Bruta]]-Tabla6[[#This Row],[Coste Cena]],-Tabla6[[#This Row],[Precio Cena]]+Tabla6[[#This Row],[Coste Cena]])</f>
        <v>50</v>
      </c>
      <c r="M592" s="10">
        <f>IF(Tabla5[[#This Row],[Orden Cobrada]]="Cobrada",((Tabla5[[#This Row],[Ganancia Neta]]/Tabla5[[#This Row],[Ganancia Bruta]])*100)/100,-((Tabla5[[#This Row],[Ganancia Neta]]/Tabla5[[#This Row],[Ganancia Bruta]]*100)/100))</f>
        <v>0.4098360655737705</v>
      </c>
      <c r="N592" s="5" t="str">
        <f>sala!F591</f>
        <v>Mesero_2</v>
      </c>
      <c r="AY592" cm="1">
        <f t="array" ref="AY592">SUM(IF(Cocina!A:A=Tabla5[[#This Row],[Nº Orden]],Cocina!F:F*Cocina!G:G,0))</f>
        <v>122</v>
      </c>
      <c r="AZ592" cm="1">
        <f t="array" ref="AZ592">SUM(IF(Cocina!A:A=Tabla5[[#This Row],[Nº Orden]],Cocina!E:E*Cocina!G:G,0))</f>
        <v>72</v>
      </c>
      <c r="BB592" t="str">
        <f>MID(Tabla4[[#This Row],[Cliente]], SEARCH("_", Tabla4[[#This Row],[Cliente]]) + 1, LEN(Tabla4[[#This Row],[Cliente]]) - SEARCH("_",Tabla4[[#This Row],[Cliente]]))</f>
        <v>240</v>
      </c>
      <c r="BC592" t="str">
        <f>sala!B591</f>
        <v>Cliente_240</v>
      </c>
      <c r="BD592" s="1">
        <f>sala!D591</f>
        <v>45022.114583333336</v>
      </c>
      <c r="BE592" s="1">
        <f>sala!E591</f>
        <v>45022.185416666667</v>
      </c>
      <c r="BF592">
        <f>sala!K591</f>
        <v>590</v>
      </c>
      <c r="BG592">
        <f>sala!I591</f>
        <v>4094</v>
      </c>
      <c r="BH592" cm="1">
        <f t="array" ref="BH592">SUM(IF(Cocina!A:A=Tabla4[[#This Row],[Número de Orden]],Cocina!F:F*Cocina!G:G,0))</f>
        <v>122</v>
      </c>
      <c r="BI592" t="str">
        <f>sala!J591</f>
        <v>Ocupada</v>
      </c>
      <c r="BJ592" s="4" t="str">
        <f>IF(Tabla4[[#This Row],[Estado mesa]]="Ocupada","00:15","00:00")</f>
        <v>00:15</v>
      </c>
      <c r="BK592" cm="1">
        <f t="array" ref="BK592">SUM(IF(Cocina!A:A=Tabla4[[#This Row],[Número de Orden]],Cocina!H:H,0))</f>
        <v>64</v>
      </c>
    </row>
    <row r="593" spans="1:63" x14ac:dyDescent="0.3">
      <c r="A593" s="8" t="str">
        <f>MID(Tabla4[[#This Row],[Cliente]], SEARCH("_", Tabla4[[#This Row],[Cliente]]) + 1, LEN(Tabla4[[#This Row],[Cliente]]) - SEARCH("_",Tabla4[[#This Row],[Cliente]]))</f>
        <v>138</v>
      </c>
      <c r="B593">
        <f>sala!K592</f>
        <v>591</v>
      </c>
      <c r="C593">
        <f>Tabla4[[#This Row],[Propina]]+Tabla4[[#This Row],[Precio Cena]]</f>
        <v>4553</v>
      </c>
      <c r="D593" s="3">
        <f>INT(sala!E592)</f>
        <v>45022</v>
      </c>
      <c r="E593" s="4">
        <f>MOD( sala!D592,1)</f>
        <v>0.15555555555329192</v>
      </c>
      <c r="F593" s="4">
        <f>MOD( sala!E592,1)</f>
        <v>0.26319444444379769</v>
      </c>
      <c r="G593" s="4">
        <f>Tabla5[[#This Row],[Hora de Salida]]-Tabla5[[#This Row],[Hora de Llegada]]+Tabla4[[#This Row],[Tiempo Extra]]</f>
        <v>0.10763888889050577</v>
      </c>
      <c r="H593" s="5" t="str">
        <f>TEXT(Tabla4[[#This Row],[Preparación en horas]]/1440, "h:mm")</f>
        <v>0:51</v>
      </c>
      <c r="I593" s="4">
        <f>IF(Tabla5[[#This Row],[Tiempo Permanencia]]-Tabla5[[#This Row],[Tiempo de Preparación ]]&gt;=0,Tabla5[[#This Row],[Tiempo Permanencia]]-Tabla5[[#This Row],[Tiempo de Preparación ]],0)</f>
        <v>7.2222222223839103E-2</v>
      </c>
      <c r="J593" s="5" t="str">
        <f>IF(Tabla5[[#This Row],[Tiempo de Degustación]]=0,"No Cobrada","Cobrada")</f>
        <v>Cobrada</v>
      </c>
      <c r="K593" s="5" cm="1">
        <f t="array" ref="K593">SUM(IF(Tabla5[[#This Row],[Orden Cobrada]]="Cobrada",IF(Cocina!A:A=Tabla5[[#This Row],[Nº Orden]],Cocina!F:F*Cocina!G:G,0),-Tabla6[[#This Row],[Precio Cena]]))</f>
        <v>120</v>
      </c>
      <c r="L593" s="5">
        <f>IF(Tabla5[[#This Row],[Orden Cobrada]]="Cobrada",Tabla5[[#This Row],[Ganancia Bruta]]-Tabla6[[#This Row],[Coste Cena]],-Tabla6[[#This Row],[Precio Cena]]+Tabla6[[#This Row],[Coste Cena]])</f>
        <v>45</v>
      </c>
      <c r="M593" s="10">
        <f>IF(Tabla5[[#This Row],[Orden Cobrada]]="Cobrada",((Tabla5[[#This Row],[Ganancia Neta]]/Tabla5[[#This Row],[Ganancia Bruta]])*100)/100,-((Tabla5[[#This Row],[Ganancia Neta]]/Tabla5[[#This Row],[Ganancia Bruta]]*100)/100))</f>
        <v>0.375</v>
      </c>
      <c r="N593" s="5" t="str">
        <f>sala!F592</f>
        <v>Mesero_3</v>
      </c>
      <c r="AY593" cm="1">
        <f t="array" ref="AY593">SUM(IF(Cocina!A:A=Tabla5[[#This Row],[Nº Orden]],Cocina!F:F*Cocina!G:G,0))</f>
        <v>120</v>
      </c>
      <c r="AZ593" cm="1">
        <f t="array" ref="AZ593">SUM(IF(Cocina!A:A=Tabla5[[#This Row],[Nº Orden]],Cocina!E:E*Cocina!G:G,0))</f>
        <v>75</v>
      </c>
      <c r="BB593" t="str">
        <f>MID(Tabla4[[#This Row],[Cliente]], SEARCH("_", Tabla4[[#This Row],[Cliente]]) + 1, LEN(Tabla4[[#This Row],[Cliente]]) - SEARCH("_",Tabla4[[#This Row],[Cliente]]))</f>
        <v>138</v>
      </c>
      <c r="BC593" t="str">
        <f>sala!B592</f>
        <v>Cliente_138</v>
      </c>
      <c r="BD593" s="1">
        <f>sala!D592</f>
        <v>45022.155555555553</v>
      </c>
      <c r="BE593" s="1">
        <f>sala!E592</f>
        <v>45022.263194444444</v>
      </c>
      <c r="BF593">
        <f>sala!K592</f>
        <v>591</v>
      </c>
      <c r="BG593">
        <f>sala!I592</f>
        <v>4433</v>
      </c>
      <c r="BH593" cm="1">
        <f t="array" ref="BH593">SUM(IF(Cocina!A:A=Tabla4[[#This Row],[Número de Orden]],Cocina!F:F*Cocina!G:G,0))</f>
        <v>120</v>
      </c>
      <c r="BI593" t="str">
        <f>sala!J592</f>
        <v>Libre</v>
      </c>
      <c r="BJ593" s="4" t="str">
        <f>IF(Tabla4[[#This Row],[Estado mesa]]="Ocupada","00:15","00:00")</f>
        <v>00:00</v>
      </c>
      <c r="BK593" cm="1">
        <f t="array" ref="BK593">SUM(IF(Cocina!A:A=Tabla4[[#This Row],[Número de Orden]],Cocina!H:H,0))</f>
        <v>51</v>
      </c>
    </row>
    <row r="594" spans="1:63" x14ac:dyDescent="0.3">
      <c r="A594" s="8" t="str">
        <f>MID(Tabla4[[#This Row],[Cliente]], SEARCH("_", Tabla4[[#This Row],[Cliente]]) + 1, LEN(Tabla4[[#This Row],[Cliente]]) - SEARCH("_",Tabla4[[#This Row],[Cliente]]))</f>
        <v>177</v>
      </c>
      <c r="B594">
        <f>sala!K593</f>
        <v>592</v>
      </c>
      <c r="C594">
        <f>Tabla4[[#This Row],[Propina]]+Tabla4[[#This Row],[Precio Cena]]</f>
        <v>3661</v>
      </c>
      <c r="D594" s="3">
        <f>INT(sala!E593)</f>
        <v>45022</v>
      </c>
      <c r="E594" s="4">
        <f>MOD( sala!D593,1)</f>
        <v>3.3333333332848269E-2</v>
      </c>
      <c r="F594" s="4">
        <f>MOD( sala!E593,1)</f>
        <v>0.11111111110949423</v>
      </c>
      <c r="G594" s="4">
        <f>Tabla5[[#This Row],[Hora de Salida]]-Tabla5[[#This Row],[Hora de Llegada]]+Tabla4[[#This Row],[Tiempo Extra]]</f>
        <v>7.7777777776645962E-2</v>
      </c>
      <c r="H594" s="5" t="str">
        <f>TEXT(Tabla4[[#This Row],[Preparación en horas]]/1440, "h:mm")</f>
        <v>1:41</v>
      </c>
      <c r="I594" s="4">
        <f>IF(Tabla5[[#This Row],[Tiempo Permanencia]]-Tabla5[[#This Row],[Tiempo de Preparación ]]&gt;=0,Tabla5[[#This Row],[Tiempo Permanencia]]-Tabla5[[#This Row],[Tiempo de Preparación ]],0)</f>
        <v>7.6388888877570726E-3</v>
      </c>
      <c r="J594" s="5" t="str">
        <f>IF(Tabla5[[#This Row],[Tiempo de Degustación]]=0,"No Cobrada","Cobrada")</f>
        <v>Cobrada</v>
      </c>
      <c r="K594" s="5" cm="1">
        <f t="array" ref="K594">SUM(IF(Tabla5[[#This Row],[Orden Cobrada]]="Cobrada",IF(Cocina!A:A=Tabla5[[#This Row],[Nº Orden]],Cocina!F:F*Cocina!G:G,0),-Tabla6[[#This Row],[Precio Cena]]))</f>
        <v>94</v>
      </c>
      <c r="L594" s="5">
        <f>IF(Tabla5[[#This Row],[Orden Cobrada]]="Cobrada",Tabla5[[#This Row],[Ganancia Bruta]]-Tabla6[[#This Row],[Coste Cena]],-Tabla6[[#This Row],[Precio Cena]]+Tabla6[[#This Row],[Coste Cena]])</f>
        <v>38</v>
      </c>
      <c r="M594" s="10">
        <f>IF(Tabla5[[#This Row],[Orden Cobrada]]="Cobrada",((Tabla5[[#This Row],[Ganancia Neta]]/Tabla5[[#This Row],[Ganancia Bruta]])*100)/100,-((Tabla5[[#This Row],[Ganancia Neta]]/Tabla5[[#This Row],[Ganancia Bruta]]*100)/100))</f>
        <v>0.40425531914893609</v>
      </c>
      <c r="N594" s="5" t="str">
        <f>sala!F593</f>
        <v>Mesero_2</v>
      </c>
      <c r="AY594" cm="1">
        <f t="array" ref="AY594">SUM(IF(Cocina!A:A=Tabla5[[#This Row],[Nº Orden]],Cocina!F:F*Cocina!G:G,0))</f>
        <v>94</v>
      </c>
      <c r="AZ594" cm="1">
        <f t="array" ref="AZ594">SUM(IF(Cocina!A:A=Tabla5[[#This Row],[Nº Orden]],Cocina!E:E*Cocina!G:G,0))</f>
        <v>56</v>
      </c>
      <c r="BB594" t="str">
        <f>MID(Tabla4[[#This Row],[Cliente]], SEARCH("_", Tabla4[[#This Row],[Cliente]]) + 1, LEN(Tabla4[[#This Row],[Cliente]]) - SEARCH("_",Tabla4[[#This Row],[Cliente]]))</f>
        <v>177</v>
      </c>
      <c r="BC594" t="str">
        <f>sala!B593</f>
        <v>Cliente_177</v>
      </c>
      <c r="BD594" s="1">
        <f>sala!D593</f>
        <v>45022.033333333333</v>
      </c>
      <c r="BE594" s="1">
        <f>sala!E593</f>
        <v>45022.111111111109</v>
      </c>
      <c r="BF594">
        <f>sala!K593</f>
        <v>592</v>
      </c>
      <c r="BG594">
        <f>sala!I593</f>
        <v>3567</v>
      </c>
      <c r="BH594" cm="1">
        <f t="array" ref="BH594">SUM(IF(Cocina!A:A=Tabla4[[#This Row],[Número de Orden]],Cocina!F:F*Cocina!G:G,0))</f>
        <v>94</v>
      </c>
      <c r="BI594" t="str">
        <f>sala!J593</f>
        <v>Reservada</v>
      </c>
      <c r="BJ594" s="4" t="str">
        <f>IF(Tabla4[[#This Row],[Estado mesa]]="Ocupada","00:15","00:00")</f>
        <v>00:00</v>
      </c>
      <c r="BK594" cm="1">
        <f t="array" ref="BK594">SUM(IF(Cocina!A:A=Tabla4[[#This Row],[Número de Orden]],Cocina!H:H,0))</f>
        <v>101</v>
      </c>
    </row>
    <row r="595" spans="1:63" x14ac:dyDescent="0.3">
      <c r="A595" s="8" t="str">
        <f>MID(Tabla4[[#This Row],[Cliente]], SEARCH("_", Tabla4[[#This Row],[Cliente]]) + 1, LEN(Tabla4[[#This Row],[Cliente]]) - SEARCH("_",Tabla4[[#This Row],[Cliente]]))</f>
        <v>832</v>
      </c>
      <c r="B595">
        <f>sala!K594</f>
        <v>593</v>
      </c>
      <c r="C595">
        <f>Tabla4[[#This Row],[Propina]]+Tabla4[[#This Row],[Precio Cena]]</f>
        <v>697</v>
      </c>
      <c r="D595" s="3">
        <f>INT(sala!E594)</f>
        <v>45022</v>
      </c>
      <c r="E595" s="4">
        <f>MOD( sala!D594,1)</f>
        <v>1.7361111109494232E-2</v>
      </c>
      <c r="F595" s="4">
        <f>MOD( sala!E594,1)</f>
        <v>9.5138888886140194E-2</v>
      </c>
      <c r="G595" s="4">
        <f>Tabla5[[#This Row],[Hora de Salida]]-Tabla5[[#This Row],[Hora de Llegada]]+Tabla4[[#This Row],[Tiempo Extra]]</f>
        <v>7.7777777776645962E-2</v>
      </c>
      <c r="H595" s="5" t="str">
        <f>TEXT(Tabla4[[#This Row],[Preparación en horas]]/1440, "h:mm")</f>
        <v>0:48</v>
      </c>
      <c r="I595" s="4">
        <f>IF(Tabla5[[#This Row],[Tiempo Permanencia]]-Tabla5[[#This Row],[Tiempo de Preparación ]]&gt;=0,Tabla5[[#This Row],[Tiempo Permanencia]]-Tabla5[[#This Row],[Tiempo de Preparación ]],0)</f>
        <v>4.4444444443312629E-2</v>
      </c>
      <c r="J595" s="5" t="str">
        <f>IF(Tabla5[[#This Row],[Tiempo de Degustación]]=0,"No Cobrada","Cobrada")</f>
        <v>Cobrada</v>
      </c>
      <c r="K595" s="5" cm="1">
        <f t="array" ref="K595">SUM(IF(Tabla5[[#This Row],[Orden Cobrada]]="Cobrada",IF(Cocina!A:A=Tabla5[[#This Row],[Nº Orden]],Cocina!F:F*Cocina!G:G,0),-Tabla6[[#This Row],[Precio Cena]]))</f>
        <v>209</v>
      </c>
      <c r="L595" s="5">
        <f>IF(Tabla5[[#This Row],[Orden Cobrada]]="Cobrada",Tabla5[[#This Row],[Ganancia Bruta]]-Tabla6[[#This Row],[Coste Cena]],-Tabla6[[#This Row],[Precio Cena]]+Tabla6[[#This Row],[Coste Cena]])</f>
        <v>81</v>
      </c>
      <c r="M595" s="10">
        <f>IF(Tabla5[[#This Row],[Orden Cobrada]]="Cobrada",((Tabla5[[#This Row],[Ganancia Neta]]/Tabla5[[#This Row],[Ganancia Bruta]])*100)/100,-((Tabla5[[#This Row],[Ganancia Neta]]/Tabla5[[#This Row],[Ganancia Bruta]]*100)/100))</f>
        <v>0.38755980861244022</v>
      </c>
      <c r="N595" s="5" t="str">
        <f>sala!F594</f>
        <v>Mesero_4</v>
      </c>
      <c r="AY595" cm="1">
        <f t="array" ref="AY595">SUM(IF(Cocina!A:A=Tabla5[[#This Row],[Nº Orden]],Cocina!F:F*Cocina!G:G,0))</f>
        <v>209</v>
      </c>
      <c r="AZ595" cm="1">
        <f t="array" ref="AZ595">SUM(IF(Cocina!A:A=Tabla5[[#This Row],[Nº Orden]],Cocina!E:E*Cocina!G:G,0))</f>
        <v>128</v>
      </c>
      <c r="BB595" t="str">
        <f>MID(Tabla4[[#This Row],[Cliente]], SEARCH("_", Tabla4[[#This Row],[Cliente]]) + 1, LEN(Tabla4[[#This Row],[Cliente]]) - SEARCH("_",Tabla4[[#This Row],[Cliente]]))</f>
        <v>832</v>
      </c>
      <c r="BC595" t="str">
        <f>sala!B594</f>
        <v>Cliente_832</v>
      </c>
      <c r="BD595" s="1">
        <f>sala!D594</f>
        <v>45022.017361111109</v>
      </c>
      <c r="BE595" s="1">
        <f>sala!E594</f>
        <v>45022.095138888886</v>
      </c>
      <c r="BF595">
        <f>sala!K594</f>
        <v>593</v>
      </c>
      <c r="BG595">
        <f>sala!I594</f>
        <v>488</v>
      </c>
      <c r="BH595" cm="1">
        <f t="array" ref="BH595">SUM(IF(Cocina!A:A=Tabla4[[#This Row],[Número de Orden]],Cocina!F:F*Cocina!G:G,0))</f>
        <v>209</v>
      </c>
      <c r="BI595" t="str">
        <f>sala!J594</f>
        <v>Reservada</v>
      </c>
      <c r="BJ595" s="4" t="str">
        <f>IF(Tabla4[[#This Row],[Estado mesa]]="Ocupada","00:15","00:00")</f>
        <v>00:00</v>
      </c>
      <c r="BK595" cm="1">
        <f t="array" ref="BK595">SUM(IF(Cocina!A:A=Tabla4[[#This Row],[Número de Orden]],Cocina!H:H,0))</f>
        <v>48</v>
      </c>
    </row>
    <row r="596" spans="1:63" x14ac:dyDescent="0.3">
      <c r="A596" s="8" t="str">
        <f>MID(Tabla4[[#This Row],[Cliente]], SEARCH("_", Tabla4[[#This Row],[Cliente]]) + 1, LEN(Tabla4[[#This Row],[Cliente]]) - SEARCH("_",Tabla4[[#This Row],[Cliente]]))</f>
        <v>480</v>
      </c>
      <c r="B596">
        <f>sala!K595</f>
        <v>594</v>
      </c>
      <c r="C596">
        <f>Tabla4[[#This Row],[Propina]]+Tabla4[[#This Row],[Precio Cena]]</f>
        <v>4740</v>
      </c>
      <c r="D596" s="3">
        <f>INT(sala!E595)</f>
        <v>45022</v>
      </c>
      <c r="E596" s="4">
        <f>MOD( sala!D595,1)</f>
        <v>0.13888888889050577</v>
      </c>
      <c r="F596" s="4">
        <f>MOD( sala!E595,1)</f>
        <v>0.20069444444379769</v>
      </c>
      <c r="G596" s="4">
        <f>Tabla5[[#This Row],[Hora de Salida]]-Tabla5[[#This Row],[Hora de Llegada]]+Tabla4[[#This Row],[Tiempo Extra]]</f>
        <v>6.1805555553291924E-2</v>
      </c>
      <c r="H596" s="5" t="str">
        <f>TEXT(Tabla4[[#This Row],[Preparación en horas]]/1440, "h:mm")</f>
        <v>1:38</v>
      </c>
      <c r="I596" s="4">
        <f>IF(Tabla5[[#This Row],[Tiempo Permanencia]]-Tabla5[[#This Row],[Tiempo de Preparación ]]&gt;=0,Tabla5[[#This Row],[Tiempo Permanencia]]-Tabla5[[#This Row],[Tiempo de Preparación ]],0)</f>
        <v>0</v>
      </c>
      <c r="J596" s="5" t="str">
        <f>IF(Tabla5[[#This Row],[Tiempo de Degustación]]=0,"No Cobrada","Cobrada")</f>
        <v>No Cobrada</v>
      </c>
      <c r="K596" s="5" cm="1">
        <f t="array" ref="K596">SUM(IF(Tabla5[[#This Row],[Orden Cobrada]]="Cobrada",IF(Cocina!A:A=Tabla5[[#This Row],[Nº Orden]],Cocina!F:F*Cocina!G:G,0),-Tabla6[[#This Row],[Precio Cena]]))</f>
        <v>-139</v>
      </c>
      <c r="L596" s="5">
        <f>IF(Tabla5[[#This Row],[Orden Cobrada]]="Cobrada",Tabla5[[#This Row],[Ganancia Bruta]]-Tabla6[[#This Row],[Coste Cena]],-Tabla6[[#This Row],[Precio Cena]]+Tabla6[[#This Row],[Coste Cena]])</f>
        <v>-56</v>
      </c>
      <c r="M596" s="10">
        <f>IF(Tabla5[[#This Row],[Orden Cobrada]]="Cobrada",((Tabla5[[#This Row],[Ganancia Neta]]/Tabla5[[#This Row],[Ganancia Bruta]])*100)/100,-((Tabla5[[#This Row],[Ganancia Neta]]/Tabla5[[#This Row],[Ganancia Bruta]]*100)/100))</f>
        <v>-0.40287769784172661</v>
      </c>
      <c r="N596" s="5" t="str">
        <f>sala!F595</f>
        <v>Mesero_3</v>
      </c>
      <c r="AY596" cm="1">
        <f t="array" ref="AY596">SUM(IF(Cocina!A:A=Tabla5[[#This Row],[Nº Orden]],Cocina!F:F*Cocina!G:G,0))</f>
        <v>139</v>
      </c>
      <c r="AZ596" cm="1">
        <f t="array" ref="AZ596">SUM(IF(Cocina!A:A=Tabla5[[#This Row],[Nº Orden]],Cocina!E:E*Cocina!G:G,0))</f>
        <v>83</v>
      </c>
      <c r="BB596" t="str">
        <f>MID(Tabla4[[#This Row],[Cliente]], SEARCH("_", Tabla4[[#This Row],[Cliente]]) + 1, LEN(Tabla4[[#This Row],[Cliente]]) - SEARCH("_",Tabla4[[#This Row],[Cliente]]))</f>
        <v>480</v>
      </c>
      <c r="BC596" t="str">
        <f>sala!B595</f>
        <v>Cliente_480</v>
      </c>
      <c r="BD596" s="1">
        <f>sala!D595</f>
        <v>45022.138888888891</v>
      </c>
      <c r="BE596" s="1">
        <f>sala!E595</f>
        <v>45022.200694444444</v>
      </c>
      <c r="BF596">
        <f>sala!K595</f>
        <v>594</v>
      </c>
      <c r="BG596">
        <f>sala!I595</f>
        <v>4601</v>
      </c>
      <c r="BH596" cm="1">
        <f t="array" ref="BH596">SUM(IF(Cocina!A:A=Tabla4[[#This Row],[Número de Orden]],Cocina!F:F*Cocina!G:G,0))</f>
        <v>139</v>
      </c>
      <c r="BI596" t="str">
        <f>sala!J595</f>
        <v>Libre</v>
      </c>
      <c r="BJ596" s="4" t="str">
        <f>IF(Tabla4[[#This Row],[Estado mesa]]="Ocupada","00:15","00:00")</f>
        <v>00:00</v>
      </c>
      <c r="BK596" cm="1">
        <f t="array" ref="BK596">SUM(IF(Cocina!A:A=Tabla4[[#This Row],[Número de Orden]],Cocina!H:H,0))</f>
        <v>98</v>
      </c>
    </row>
    <row r="597" spans="1:63" x14ac:dyDescent="0.3">
      <c r="A597" s="8" t="str">
        <f>MID(Tabla4[[#This Row],[Cliente]], SEARCH("_", Tabla4[[#This Row],[Cliente]]) + 1, LEN(Tabla4[[#This Row],[Cliente]]) - SEARCH("_",Tabla4[[#This Row],[Cliente]]))</f>
        <v>290</v>
      </c>
      <c r="B597">
        <f>sala!K596</f>
        <v>595</v>
      </c>
      <c r="C597">
        <f>Tabla4[[#This Row],[Propina]]+Tabla4[[#This Row],[Precio Cena]]</f>
        <v>4105</v>
      </c>
      <c r="D597" s="3">
        <f>INT(sala!E596)</f>
        <v>45022</v>
      </c>
      <c r="E597" s="4">
        <f>MOD( sala!D596,1)</f>
        <v>0.12708333333284827</v>
      </c>
      <c r="F597" s="4">
        <f>MOD( sala!E596,1)</f>
        <v>0.22708333333139308</v>
      </c>
      <c r="G597" s="4">
        <f>Tabla5[[#This Row],[Hora de Salida]]-Tabla5[[#This Row],[Hora de Llegada]]+Tabla4[[#This Row],[Tiempo Extra]]</f>
        <v>0.11041666666521148</v>
      </c>
      <c r="H597" s="5" t="str">
        <f>TEXT(Tabla4[[#This Row],[Preparación en horas]]/1440, "h:mm")</f>
        <v>0:49</v>
      </c>
      <c r="I597" s="4">
        <f>IF(Tabla5[[#This Row],[Tiempo Permanencia]]-Tabla5[[#This Row],[Tiempo de Preparación ]]&gt;=0,Tabla5[[#This Row],[Tiempo Permanencia]]-Tabla5[[#This Row],[Tiempo de Preparación ]],0)</f>
        <v>7.6388888887433698E-2</v>
      </c>
      <c r="J597" s="5" t="str">
        <f>IF(Tabla5[[#This Row],[Tiempo de Degustación]]=0,"No Cobrada","Cobrada")</f>
        <v>Cobrada</v>
      </c>
      <c r="K597" s="5" cm="1">
        <f t="array" ref="K597">SUM(IF(Tabla5[[#This Row],[Orden Cobrada]]="Cobrada",IF(Cocina!A:A=Tabla5[[#This Row],[Nº Orden]],Cocina!F:F*Cocina!G:G,0),-Tabla6[[#This Row],[Precio Cena]]))</f>
        <v>72</v>
      </c>
      <c r="L597" s="5">
        <f>IF(Tabla5[[#This Row],[Orden Cobrada]]="Cobrada",Tabla5[[#This Row],[Ganancia Bruta]]-Tabla6[[#This Row],[Coste Cena]],-Tabla6[[#This Row],[Precio Cena]]+Tabla6[[#This Row],[Coste Cena]])</f>
        <v>28</v>
      </c>
      <c r="M597" s="10">
        <f>IF(Tabla5[[#This Row],[Orden Cobrada]]="Cobrada",((Tabla5[[#This Row],[Ganancia Neta]]/Tabla5[[#This Row],[Ganancia Bruta]])*100)/100,-((Tabla5[[#This Row],[Ganancia Neta]]/Tabla5[[#This Row],[Ganancia Bruta]]*100)/100))</f>
        <v>0.38888888888888895</v>
      </c>
      <c r="N597" s="5" t="str">
        <f>sala!F596</f>
        <v>Mesero_2</v>
      </c>
      <c r="AY597" cm="1">
        <f t="array" ref="AY597">SUM(IF(Cocina!A:A=Tabla5[[#This Row],[Nº Orden]],Cocina!F:F*Cocina!G:G,0))</f>
        <v>72</v>
      </c>
      <c r="AZ597" cm="1">
        <f t="array" ref="AZ597">SUM(IF(Cocina!A:A=Tabla5[[#This Row],[Nº Orden]],Cocina!E:E*Cocina!G:G,0))</f>
        <v>44</v>
      </c>
      <c r="BB597" t="str">
        <f>MID(Tabla4[[#This Row],[Cliente]], SEARCH("_", Tabla4[[#This Row],[Cliente]]) + 1, LEN(Tabla4[[#This Row],[Cliente]]) - SEARCH("_",Tabla4[[#This Row],[Cliente]]))</f>
        <v>290</v>
      </c>
      <c r="BC597" t="str">
        <f>sala!B596</f>
        <v>Cliente_290</v>
      </c>
      <c r="BD597" s="1">
        <f>sala!D596</f>
        <v>45022.127083333333</v>
      </c>
      <c r="BE597" s="1">
        <f>sala!E596</f>
        <v>45022.227083333331</v>
      </c>
      <c r="BF597">
        <f>sala!K596</f>
        <v>595</v>
      </c>
      <c r="BG597">
        <f>sala!I596</f>
        <v>4033</v>
      </c>
      <c r="BH597" cm="1">
        <f t="array" ref="BH597">SUM(IF(Cocina!A:A=Tabla4[[#This Row],[Número de Orden]],Cocina!F:F*Cocina!G:G,0))</f>
        <v>72</v>
      </c>
      <c r="BI597" t="str">
        <f>sala!J596</f>
        <v>Ocupada</v>
      </c>
      <c r="BJ597" s="4" t="str">
        <f>IF(Tabla4[[#This Row],[Estado mesa]]="Ocupada","00:15","00:00")</f>
        <v>00:15</v>
      </c>
      <c r="BK597" cm="1">
        <f t="array" ref="BK597">SUM(IF(Cocina!A:A=Tabla4[[#This Row],[Número de Orden]],Cocina!H:H,0))</f>
        <v>49</v>
      </c>
    </row>
    <row r="598" spans="1:63" x14ac:dyDescent="0.3">
      <c r="A598" s="8" t="str">
        <f>MID(Tabla4[[#This Row],[Cliente]], SEARCH("_", Tabla4[[#This Row],[Cliente]]) + 1, LEN(Tabla4[[#This Row],[Cliente]]) - SEARCH("_",Tabla4[[#This Row],[Cliente]]))</f>
        <v>351</v>
      </c>
      <c r="B598">
        <f>sala!K597</f>
        <v>596</v>
      </c>
      <c r="C598">
        <f>Tabla4[[#This Row],[Propina]]+Tabla4[[#This Row],[Precio Cena]]</f>
        <v>477</v>
      </c>
      <c r="D598" s="3">
        <f>INT(sala!E597)</f>
        <v>45022</v>
      </c>
      <c r="E598" s="4">
        <f>MOD( sala!D597,1)</f>
        <v>5.6250000001455192E-2</v>
      </c>
      <c r="F598" s="4">
        <f>MOD( sala!E597,1)</f>
        <v>0.15208333333430346</v>
      </c>
      <c r="G598" s="4">
        <f>Tabla5[[#This Row],[Hora de Salida]]-Tabla5[[#This Row],[Hora de Llegada]]+Tabla4[[#This Row],[Tiempo Extra]]</f>
        <v>0.10624999999951494</v>
      </c>
      <c r="H598" s="5" t="str">
        <f>TEXT(Tabla4[[#This Row],[Preparación en horas]]/1440, "h:mm")</f>
        <v>2:38</v>
      </c>
      <c r="I598" s="4">
        <f>IF(Tabla5[[#This Row],[Tiempo Permanencia]]-Tabla5[[#This Row],[Tiempo de Preparación ]]&gt;=0,Tabla5[[#This Row],[Tiempo Permanencia]]-Tabla5[[#This Row],[Tiempo de Preparación ]],0)</f>
        <v>0</v>
      </c>
      <c r="J598" s="5" t="str">
        <f>IF(Tabla5[[#This Row],[Tiempo de Degustación]]=0,"No Cobrada","Cobrada")</f>
        <v>No Cobrada</v>
      </c>
      <c r="K598" s="5" cm="1">
        <f t="array" ref="K598">SUM(IF(Tabla5[[#This Row],[Orden Cobrada]]="Cobrada",IF(Cocina!A:A=Tabla5[[#This Row],[Nº Orden]],Cocina!F:F*Cocina!G:G,0),-Tabla6[[#This Row],[Precio Cena]]))</f>
        <v>-240</v>
      </c>
      <c r="L598" s="5">
        <f>IF(Tabla5[[#This Row],[Orden Cobrada]]="Cobrada",Tabla5[[#This Row],[Ganancia Bruta]]-Tabla6[[#This Row],[Coste Cena]],-Tabla6[[#This Row],[Precio Cena]]+Tabla6[[#This Row],[Coste Cena]])</f>
        <v>-97</v>
      </c>
      <c r="M598" s="10">
        <f>IF(Tabla5[[#This Row],[Orden Cobrada]]="Cobrada",((Tabla5[[#This Row],[Ganancia Neta]]/Tabla5[[#This Row],[Ganancia Bruta]])*100)/100,-((Tabla5[[#This Row],[Ganancia Neta]]/Tabla5[[#This Row],[Ganancia Bruta]]*100)/100))</f>
        <v>-0.40416666666666662</v>
      </c>
      <c r="N598" s="5" t="str">
        <f>sala!F597</f>
        <v>Mesero_2</v>
      </c>
      <c r="AY598" cm="1">
        <f t="array" ref="AY598">SUM(IF(Cocina!A:A=Tabla5[[#This Row],[Nº Orden]],Cocina!F:F*Cocina!G:G,0))</f>
        <v>240</v>
      </c>
      <c r="AZ598" cm="1">
        <f t="array" ref="AZ598">SUM(IF(Cocina!A:A=Tabla5[[#This Row],[Nº Orden]],Cocina!E:E*Cocina!G:G,0))</f>
        <v>143</v>
      </c>
      <c r="BB598" t="str">
        <f>MID(Tabla4[[#This Row],[Cliente]], SEARCH("_", Tabla4[[#This Row],[Cliente]]) + 1, LEN(Tabla4[[#This Row],[Cliente]]) - SEARCH("_",Tabla4[[#This Row],[Cliente]]))</f>
        <v>351</v>
      </c>
      <c r="BC598" t="str">
        <f>sala!B597</f>
        <v>Cliente_351</v>
      </c>
      <c r="BD598" s="1">
        <f>sala!D597</f>
        <v>45022.056250000001</v>
      </c>
      <c r="BE598" s="1">
        <f>sala!E597</f>
        <v>45022.152083333334</v>
      </c>
      <c r="BF598">
        <f>sala!K597</f>
        <v>596</v>
      </c>
      <c r="BG598">
        <f>sala!I597</f>
        <v>237</v>
      </c>
      <c r="BH598" cm="1">
        <f t="array" ref="BH598">SUM(IF(Cocina!A:A=Tabla4[[#This Row],[Número de Orden]],Cocina!F:F*Cocina!G:G,0))</f>
        <v>240</v>
      </c>
      <c r="BI598" t="str">
        <f>sala!J597</f>
        <v>Ocupada</v>
      </c>
      <c r="BJ598" s="4" t="str">
        <f>IF(Tabla4[[#This Row],[Estado mesa]]="Ocupada","00:15","00:00")</f>
        <v>00:15</v>
      </c>
      <c r="BK598" cm="1">
        <f t="array" ref="BK598">SUM(IF(Cocina!A:A=Tabla4[[#This Row],[Número de Orden]],Cocina!H:H,0))</f>
        <v>158</v>
      </c>
    </row>
    <row r="599" spans="1:63" x14ac:dyDescent="0.3">
      <c r="A599" s="8" t="str">
        <f>MID(Tabla4[[#This Row],[Cliente]], SEARCH("_", Tabla4[[#This Row],[Cliente]]) + 1, LEN(Tabla4[[#This Row],[Cliente]]) - SEARCH("_",Tabla4[[#This Row],[Cliente]]))</f>
        <v>354</v>
      </c>
      <c r="B599">
        <f>sala!K598</f>
        <v>597</v>
      </c>
      <c r="C599">
        <f>Tabla4[[#This Row],[Propina]]+Tabla4[[#This Row],[Precio Cena]]</f>
        <v>4696</v>
      </c>
      <c r="D599" s="3">
        <f>INT(sala!E598)</f>
        <v>45022</v>
      </c>
      <c r="E599" s="4">
        <f>MOD( sala!D598,1)</f>
        <v>3.5416666665696539E-2</v>
      </c>
      <c r="F599" s="4">
        <f>MOD( sala!E598,1)</f>
        <v>0.16041666666569654</v>
      </c>
      <c r="G599" s="4">
        <f>Tabla5[[#This Row],[Hora de Salida]]-Tabla5[[#This Row],[Hora de Llegada]]+Tabla4[[#This Row],[Tiempo Extra]]</f>
        <v>0.13541666666666666</v>
      </c>
      <c r="H599" s="5" t="str">
        <f>TEXT(Tabla4[[#This Row],[Preparación en horas]]/1440, "h:mm")</f>
        <v>2:21</v>
      </c>
      <c r="I599" s="4">
        <f>IF(Tabla5[[#This Row],[Tiempo Permanencia]]-Tabla5[[#This Row],[Tiempo de Preparación ]]&gt;=0,Tabla5[[#This Row],[Tiempo Permanencia]]-Tabla5[[#This Row],[Tiempo de Preparación ]],0)</f>
        <v>3.7499999999999992E-2</v>
      </c>
      <c r="J599" s="5" t="str">
        <f>IF(Tabla5[[#This Row],[Tiempo de Degustación]]=0,"No Cobrada","Cobrada")</f>
        <v>Cobrada</v>
      </c>
      <c r="K599" s="5" cm="1">
        <f t="array" ref="K599">SUM(IF(Tabla5[[#This Row],[Orden Cobrada]]="Cobrada",IF(Cocina!A:A=Tabla5[[#This Row],[Nº Orden]],Cocina!F:F*Cocina!G:G,0),-Tabla6[[#This Row],[Precio Cena]]))</f>
        <v>150</v>
      </c>
      <c r="L599" s="5">
        <f>IF(Tabla5[[#This Row],[Orden Cobrada]]="Cobrada",Tabla5[[#This Row],[Ganancia Bruta]]-Tabla6[[#This Row],[Coste Cena]],-Tabla6[[#This Row],[Precio Cena]]+Tabla6[[#This Row],[Coste Cena]])</f>
        <v>60</v>
      </c>
      <c r="M599" s="10">
        <f>IF(Tabla5[[#This Row],[Orden Cobrada]]="Cobrada",((Tabla5[[#This Row],[Ganancia Neta]]/Tabla5[[#This Row],[Ganancia Bruta]])*100)/100,-((Tabla5[[#This Row],[Ganancia Neta]]/Tabla5[[#This Row],[Ganancia Bruta]]*100)/100))</f>
        <v>0.4</v>
      </c>
      <c r="N599" s="5" t="str">
        <f>sala!F598</f>
        <v>Mesero_1</v>
      </c>
      <c r="AY599" cm="1">
        <f t="array" ref="AY599">SUM(IF(Cocina!A:A=Tabla5[[#This Row],[Nº Orden]],Cocina!F:F*Cocina!G:G,0))</f>
        <v>150</v>
      </c>
      <c r="AZ599" cm="1">
        <f t="array" ref="AZ599">SUM(IF(Cocina!A:A=Tabla5[[#This Row],[Nº Orden]],Cocina!E:E*Cocina!G:G,0))</f>
        <v>90</v>
      </c>
      <c r="BB599" t="str">
        <f>MID(Tabla4[[#This Row],[Cliente]], SEARCH("_", Tabla4[[#This Row],[Cliente]]) + 1, LEN(Tabla4[[#This Row],[Cliente]]) - SEARCH("_",Tabla4[[#This Row],[Cliente]]))</f>
        <v>354</v>
      </c>
      <c r="BC599" t="str">
        <f>sala!B598</f>
        <v>Cliente_354</v>
      </c>
      <c r="BD599" s="1">
        <f>sala!D598</f>
        <v>45022.035416666666</v>
      </c>
      <c r="BE599" s="1">
        <f>sala!E598</f>
        <v>45022.160416666666</v>
      </c>
      <c r="BF599">
        <f>sala!K598</f>
        <v>597</v>
      </c>
      <c r="BG599">
        <f>sala!I598</f>
        <v>4546</v>
      </c>
      <c r="BH599" cm="1">
        <f t="array" ref="BH599">SUM(IF(Cocina!A:A=Tabla4[[#This Row],[Número de Orden]],Cocina!F:F*Cocina!G:G,0))</f>
        <v>150</v>
      </c>
      <c r="BI599" t="str">
        <f>sala!J598</f>
        <v>Ocupada</v>
      </c>
      <c r="BJ599" s="4" t="str">
        <f>IF(Tabla4[[#This Row],[Estado mesa]]="Ocupada","00:15","00:00")</f>
        <v>00:15</v>
      </c>
      <c r="BK599" cm="1">
        <f t="array" ref="BK599">SUM(IF(Cocina!A:A=Tabla4[[#This Row],[Número de Orden]],Cocina!H:H,0))</f>
        <v>141</v>
      </c>
    </row>
    <row r="600" spans="1:63" x14ac:dyDescent="0.3">
      <c r="A600" s="8" t="str">
        <f>MID(Tabla4[[#This Row],[Cliente]], SEARCH("_", Tabla4[[#This Row],[Cliente]]) + 1, LEN(Tabla4[[#This Row],[Cliente]]) - SEARCH("_",Tabla4[[#This Row],[Cliente]]))</f>
        <v>344</v>
      </c>
      <c r="B600">
        <f>sala!K599</f>
        <v>598</v>
      </c>
      <c r="C600">
        <f>Tabla4[[#This Row],[Propina]]+Tabla4[[#This Row],[Precio Cena]]</f>
        <v>1340</v>
      </c>
      <c r="D600" s="3">
        <f>INT(sala!E599)</f>
        <v>45022</v>
      </c>
      <c r="E600" s="4">
        <f>MOD( sala!D599,1)</f>
        <v>0.13611111111094942</v>
      </c>
      <c r="F600" s="4">
        <f>MOD( sala!E599,1)</f>
        <v>0.29097222222480923</v>
      </c>
      <c r="G600" s="4">
        <f>Tabla5[[#This Row],[Hora de Salida]]-Tabla5[[#This Row],[Hora de Llegada]]+Tabla4[[#This Row],[Tiempo Extra]]</f>
        <v>0.15486111111385981</v>
      </c>
      <c r="H600" s="5" t="str">
        <f>TEXT(Tabla4[[#This Row],[Preparación en horas]]/1440, "h:mm")</f>
        <v>1:21</v>
      </c>
      <c r="I600" s="4">
        <f>IF(Tabla5[[#This Row],[Tiempo Permanencia]]-Tabla5[[#This Row],[Tiempo de Preparación ]]&gt;=0,Tabla5[[#This Row],[Tiempo Permanencia]]-Tabla5[[#This Row],[Tiempo de Preparación ]],0)</f>
        <v>9.8611111113859812E-2</v>
      </c>
      <c r="J600" s="5" t="str">
        <f>IF(Tabla5[[#This Row],[Tiempo de Degustación]]=0,"No Cobrada","Cobrada")</f>
        <v>Cobrada</v>
      </c>
      <c r="K600" s="5" cm="1">
        <f t="array" ref="K600">SUM(IF(Tabla5[[#This Row],[Orden Cobrada]]="Cobrada",IF(Cocina!A:A=Tabla5[[#This Row],[Nº Orden]],Cocina!F:F*Cocina!G:G,0),-Tabla6[[#This Row],[Precio Cena]]))</f>
        <v>209</v>
      </c>
      <c r="L600" s="5">
        <f>IF(Tabla5[[#This Row],[Orden Cobrada]]="Cobrada",Tabla5[[#This Row],[Ganancia Bruta]]-Tabla6[[#This Row],[Coste Cena]],-Tabla6[[#This Row],[Precio Cena]]+Tabla6[[#This Row],[Coste Cena]])</f>
        <v>84</v>
      </c>
      <c r="M600" s="10">
        <f>IF(Tabla5[[#This Row],[Orden Cobrada]]="Cobrada",((Tabla5[[#This Row],[Ganancia Neta]]/Tabla5[[#This Row],[Ganancia Bruta]])*100)/100,-((Tabla5[[#This Row],[Ganancia Neta]]/Tabla5[[#This Row],[Ganancia Bruta]]*100)/100))</f>
        <v>0.40191387559808611</v>
      </c>
      <c r="N600" s="5" t="str">
        <f>sala!F599</f>
        <v>Mesero_5</v>
      </c>
      <c r="AY600" cm="1">
        <f t="array" ref="AY600">SUM(IF(Cocina!A:A=Tabla5[[#This Row],[Nº Orden]],Cocina!F:F*Cocina!G:G,0))</f>
        <v>209</v>
      </c>
      <c r="AZ600" cm="1">
        <f t="array" ref="AZ600">SUM(IF(Cocina!A:A=Tabla5[[#This Row],[Nº Orden]],Cocina!E:E*Cocina!G:G,0))</f>
        <v>125</v>
      </c>
      <c r="BB600" t="str">
        <f>MID(Tabla4[[#This Row],[Cliente]], SEARCH("_", Tabla4[[#This Row],[Cliente]]) + 1, LEN(Tabla4[[#This Row],[Cliente]]) - SEARCH("_",Tabla4[[#This Row],[Cliente]]))</f>
        <v>344</v>
      </c>
      <c r="BC600" t="str">
        <f>sala!B599</f>
        <v>Cliente_344</v>
      </c>
      <c r="BD600" s="1">
        <f>sala!D599</f>
        <v>45022.136111111111</v>
      </c>
      <c r="BE600" s="1">
        <f>sala!E599</f>
        <v>45022.290972222225</v>
      </c>
      <c r="BF600">
        <f>sala!K599</f>
        <v>598</v>
      </c>
      <c r="BG600">
        <f>sala!I599</f>
        <v>1131</v>
      </c>
      <c r="BH600" cm="1">
        <f t="array" ref="BH600">SUM(IF(Cocina!A:A=Tabla4[[#This Row],[Número de Orden]],Cocina!F:F*Cocina!G:G,0))</f>
        <v>209</v>
      </c>
      <c r="BI600" t="str">
        <f>sala!J599</f>
        <v>Reservada</v>
      </c>
      <c r="BJ600" s="4" t="str">
        <f>IF(Tabla4[[#This Row],[Estado mesa]]="Ocupada","00:15","00:00")</f>
        <v>00:00</v>
      </c>
      <c r="BK600" cm="1">
        <f t="array" ref="BK600">SUM(IF(Cocina!A:A=Tabla4[[#This Row],[Número de Orden]],Cocina!H:H,0))</f>
        <v>81</v>
      </c>
    </row>
    <row r="601" spans="1:63" x14ac:dyDescent="0.3">
      <c r="A601" s="8" t="str">
        <f>MID(Tabla4[[#This Row],[Cliente]], SEARCH("_", Tabla4[[#This Row],[Cliente]]) + 1, LEN(Tabla4[[#This Row],[Cliente]]) - SEARCH("_",Tabla4[[#This Row],[Cliente]]))</f>
        <v>564</v>
      </c>
      <c r="B601">
        <f>sala!K600</f>
        <v>599</v>
      </c>
      <c r="C601">
        <f>Tabla4[[#This Row],[Propina]]+Tabla4[[#This Row],[Precio Cena]]</f>
        <v>3266</v>
      </c>
      <c r="D601" s="3">
        <f>INT(sala!E600)</f>
        <v>45022</v>
      </c>
      <c r="E601" s="4">
        <f>MOD( sala!D600,1)</f>
        <v>2.361111110803904E-2</v>
      </c>
      <c r="F601" s="4">
        <f>MOD( sala!E600,1)</f>
        <v>0.18125000000145519</v>
      </c>
      <c r="G601" s="4">
        <f>Tabla5[[#This Row],[Hora de Salida]]-Tabla5[[#This Row],[Hora de Llegada]]+Tabla4[[#This Row],[Tiempo Extra]]</f>
        <v>0.15763888889341615</v>
      </c>
      <c r="H601" s="5" t="str">
        <f>TEXT(Tabla4[[#This Row],[Preparación en horas]]/1440, "h:mm")</f>
        <v>1:48</v>
      </c>
      <c r="I601" s="4">
        <f>IF(Tabla5[[#This Row],[Tiempo Permanencia]]-Tabla5[[#This Row],[Tiempo de Preparación ]]&gt;=0,Tabla5[[#This Row],[Tiempo Permanencia]]-Tabla5[[#This Row],[Tiempo de Preparación ]],0)</f>
        <v>8.2638888893416154E-2</v>
      </c>
      <c r="J601" s="5" t="str">
        <f>IF(Tabla5[[#This Row],[Tiempo de Degustación]]=0,"No Cobrada","Cobrada")</f>
        <v>Cobrada</v>
      </c>
      <c r="K601" s="5" cm="1">
        <f t="array" ref="K601">SUM(IF(Tabla5[[#This Row],[Orden Cobrada]]="Cobrada",IF(Cocina!A:A=Tabla5[[#This Row],[Nº Orden]],Cocina!F:F*Cocina!G:G,0),-Tabla6[[#This Row],[Precio Cena]]))</f>
        <v>169</v>
      </c>
      <c r="L601" s="5">
        <f>IF(Tabla5[[#This Row],[Orden Cobrada]]="Cobrada",Tabla5[[#This Row],[Ganancia Bruta]]-Tabla6[[#This Row],[Coste Cena]],-Tabla6[[#This Row],[Precio Cena]]+Tabla6[[#This Row],[Coste Cena]])</f>
        <v>68</v>
      </c>
      <c r="M601" s="10">
        <f>IF(Tabla5[[#This Row],[Orden Cobrada]]="Cobrada",((Tabla5[[#This Row],[Ganancia Neta]]/Tabla5[[#This Row],[Ganancia Bruta]])*100)/100,-((Tabla5[[#This Row],[Ganancia Neta]]/Tabla5[[#This Row],[Ganancia Bruta]]*100)/100))</f>
        <v>0.4023668639053255</v>
      </c>
      <c r="N601" s="5" t="str">
        <f>sala!F600</f>
        <v>Mesero_2</v>
      </c>
      <c r="AY601" cm="1">
        <f t="array" ref="AY601">SUM(IF(Cocina!A:A=Tabla5[[#This Row],[Nº Orden]],Cocina!F:F*Cocina!G:G,0))</f>
        <v>169</v>
      </c>
      <c r="AZ601" cm="1">
        <f t="array" ref="AZ601">SUM(IF(Cocina!A:A=Tabla5[[#This Row],[Nº Orden]],Cocina!E:E*Cocina!G:G,0))</f>
        <v>101</v>
      </c>
      <c r="BB601" t="str">
        <f>MID(Tabla4[[#This Row],[Cliente]], SEARCH("_", Tabla4[[#This Row],[Cliente]]) + 1, LEN(Tabla4[[#This Row],[Cliente]]) - SEARCH("_",Tabla4[[#This Row],[Cliente]]))</f>
        <v>564</v>
      </c>
      <c r="BC601" t="str">
        <f>sala!B600</f>
        <v>Cliente_564</v>
      </c>
      <c r="BD601" s="1">
        <f>sala!D600</f>
        <v>45022.023611111108</v>
      </c>
      <c r="BE601" s="1">
        <f>sala!E600</f>
        <v>45022.181250000001</v>
      </c>
      <c r="BF601">
        <f>sala!K600</f>
        <v>599</v>
      </c>
      <c r="BG601">
        <f>sala!I600</f>
        <v>3097</v>
      </c>
      <c r="BH601" cm="1">
        <f t="array" ref="BH601">SUM(IF(Cocina!A:A=Tabla4[[#This Row],[Número de Orden]],Cocina!F:F*Cocina!G:G,0))</f>
        <v>169</v>
      </c>
      <c r="BI601" t="str">
        <f>sala!J600</f>
        <v>Libre</v>
      </c>
      <c r="BJ601" s="4" t="str">
        <f>IF(Tabla4[[#This Row],[Estado mesa]]="Ocupada","00:15","00:00")</f>
        <v>00:00</v>
      </c>
      <c r="BK601" cm="1">
        <f t="array" ref="BK601">SUM(IF(Cocina!A:A=Tabla4[[#This Row],[Número de Orden]],Cocina!H:H,0))</f>
        <v>108</v>
      </c>
    </row>
    <row r="602" spans="1:63" x14ac:dyDescent="0.3">
      <c r="A602" s="8" t="str">
        <f>MID(Tabla4[[#This Row],[Cliente]], SEARCH("_", Tabla4[[#This Row],[Cliente]]) + 1, LEN(Tabla4[[#This Row],[Cliente]]) - SEARCH("_",Tabla4[[#This Row],[Cliente]]))</f>
        <v>782</v>
      </c>
      <c r="B602">
        <f>sala!K601</f>
        <v>600</v>
      </c>
      <c r="C602">
        <f>Tabla4[[#This Row],[Propina]]+Tabla4[[#This Row],[Precio Cena]]</f>
        <v>4279</v>
      </c>
      <c r="D602" s="3">
        <f>INT(sala!E601)</f>
        <v>45022</v>
      </c>
      <c r="E602" s="4">
        <f>MOD( sala!D601,1)</f>
        <v>0.16527777777810115</v>
      </c>
      <c r="F602" s="4">
        <f>MOD( sala!E601,1)</f>
        <v>0.20902777777519077</v>
      </c>
      <c r="G602" s="4">
        <f>Tabla5[[#This Row],[Hora de Salida]]-Tabla5[[#This Row],[Hora de Llegada]]+Tabla4[[#This Row],[Tiempo Extra]]</f>
        <v>5.4166666663756281E-2</v>
      </c>
      <c r="H602" s="5" t="str">
        <f>TEXT(Tabla4[[#This Row],[Preparación en horas]]/1440, "h:mm")</f>
        <v>1:05</v>
      </c>
      <c r="I602" s="4">
        <f>IF(Tabla5[[#This Row],[Tiempo Permanencia]]-Tabla5[[#This Row],[Tiempo de Preparación ]]&gt;=0,Tabla5[[#This Row],[Tiempo Permanencia]]-Tabla5[[#This Row],[Tiempo de Preparación ]],0)</f>
        <v>9.0277777748673932E-3</v>
      </c>
      <c r="J602" s="5" t="str">
        <f>IF(Tabla5[[#This Row],[Tiempo de Degustación]]=0,"No Cobrada","Cobrada")</f>
        <v>Cobrada</v>
      </c>
      <c r="K602" s="5" cm="1">
        <f t="array" ref="K602">SUM(IF(Tabla5[[#This Row],[Orden Cobrada]]="Cobrada",IF(Cocina!A:A=Tabla5[[#This Row],[Nº Orden]],Cocina!F:F*Cocina!G:G,0),-Tabla6[[#This Row],[Precio Cena]]))</f>
        <v>144</v>
      </c>
      <c r="L602" s="5">
        <f>IF(Tabla5[[#This Row],[Orden Cobrada]]="Cobrada",Tabla5[[#This Row],[Ganancia Bruta]]-Tabla6[[#This Row],[Coste Cena]],-Tabla6[[#This Row],[Precio Cena]]+Tabla6[[#This Row],[Coste Cena]])</f>
        <v>60</v>
      </c>
      <c r="M602" s="10">
        <f>IF(Tabla5[[#This Row],[Orden Cobrada]]="Cobrada",((Tabla5[[#This Row],[Ganancia Neta]]/Tabla5[[#This Row],[Ganancia Bruta]])*100)/100,-((Tabla5[[#This Row],[Ganancia Neta]]/Tabla5[[#This Row],[Ganancia Bruta]]*100)/100))</f>
        <v>0.41666666666666674</v>
      </c>
      <c r="N602" s="5" t="str">
        <f>sala!F601</f>
        <v>Mesero_3</v>
      </c>
      <c r="AY602" cm="1">
        <f t="array" ref="AY602">SUM(IF(Cocina!A:A=Tabla5[[#This Row],[Nº Orden]],Cocina!F:F*Cocina!G:G,0))</f>
        <v>144</v>
      </c>
      <c r="AZ602" cm="1">
        <f t="array" ref="AZ602">SUM(IF(Cocina!A:A=Tabla5[[#This Row],[Nº Orden]],Cocina!E:E*Cocina!G:G,0))</f>
        <v>84</v>
      </c>
      <c r="BB602" t="str">
        <f>MID(Tabla4[[#This Row],[Cliente]], SEARCH("_", Tabla4[[#This Row],[Cliente]]) + 1, LEN(Tabla4[[#This Row],[Cliente]]) - SEARCH("_",Tabla4[[#This Row],[Cliente]]))</f>
        <v>782</v>
      </c>
      <c r="BC602" t="str">
        <f>sala!B601</f>
        <v>Cliente_782</v>
      </c>
      <c r="BD602" s="1">
        <f>sala!D601</f>
        <v>45022.165277777778</v>
      </c>
      <c r="BE602" s="1">
        <f>sala!E601</f>
        <v>45022.209027777775</v>
      </c>
      <c r="BF602">
        <f>sala!K601</f>
        <v>600</v>
      </c>
      <c r="BG602">
        <f>sala!I601</f>
        <v>4135</v>
      </c>
      <c r="BH602" cm="1">
        <f t="array" ref="BH602">SUM(IF(Cocina!A:A=Tabla4[[#This Row],[Número de Orden]],Cocina!F:F*Cocina!G:G,0))</f>
        <v>144</v>
      </c>
      <c r="BI602" t="str">
        <f>sala!J601</f>
        <v>Ocupada</v>
      </c>
      <c r="BJ602" s="4" t="str">
        <f>IF(Tabla4[[#This Row],[Estado mesa]]="Ocupada","00:15","00:00")</f>
        <v>00:15</v>
      </c>
      <c r="BK602" cm="1">
        <f t="array" ref="BK602">SUM(IF(Cocina!A:A=Tabla4[[#This Row],[Número de Orden]],Cocina!H:H,0))</f>
        <v>65</v>
      </c>
    </row>
    <row r="603" spans="1:63" x14ac:dyDescent="0.3">
      <c r="A603" s="8" t="str">
        <f>MID(Tabla4[[#This Row],[Cliente]], SEARCH("_", Tabla4[[#This Row],[Cliente]]) + 1, LEN(Tabla4[[#This Row],[Cliente]]) - SEARCH("_",Tabla4[[#This Row],[Cliente]]))</f>
        <v>88</v>
      </c>
      <c r="B603">
        <f>sala!K602</f>
        <v>601</v>
      </c>
      <c r="C603">
        <f>Tabla4[[#This Row],[Propina]]+Tabla4[[#This Row],[Precio Cena]]</f>
        <v>1973</v>
      </c>
      <c r="D603" s="3">
        <f>INT(sala!E602)</f>
        <v>45022</v>
      </c>
      <c r="E603" s="4">
        <f>MOD( sala!D602,1)</f>
        <v>0.1131944444423425</v>
      </c>
      <c r="F603" s="4">
        <f>MOD( sala!E602,1)</f>
        <v>0.26041666666424135</v>
      </c>
      <c r="G603" s="4">
        <f>Tabla5[[#This Row],[Hora de Salida]]-Tabla5[[#This Row],[Hora de Llegada]]+Tabla4[[#This Row],[Tiempo Extra]]</f>
        <v>0.14722222222189885</v>
      </c>
      <c r="H603" s="5" t="str">
        <f>TEXT(Tabla4[[#This Row],[Preparación en horas]]/1440, "h:mm")</f>
        <v>1:55</v>
      </c>
      <c r="I603" s="4">
        <f>IF(Tabla5[[#This Row],[Tiempo Permanencia]]-Tabla5[[#This Row],[Tiempo de Preparación ]]&gt;=0,Tabla5[[#This Row],[Tiempo Permanencia]]-Tabla5[[#This Row],[Tiempo de Preparación ]],0)</f>
        <v>6.7361111110787741E-2</v>
      </c>
      <c r="J603" s="5" t="str">
        <f>IF(Tabla5[[#This Row],[Tiempo de Degustación]]=0,"No Cobrada","Cobrada")</f>
        <v>Cobrada</v>
      </c>
      <c r="K603" s="5" cm="1">
        <f t="array" ref="K603">SUM(IF(Tabla5[[#This Row],[Orden Cobrada]]="Cobrada",IF(Cocina!A:A=Tabla5[[#This Row],[Nº Orden]],Cocina!F:F*Cocina!G:G,0),-Tabla6[[#This Row],[Precio Cena]]))</f>
        <v>292</v>
      </c>
      <c r="L603" s="5">
        <f>IF(Tabla5[[#This Row],[Orden Cobrada]]="Cobrada",Tabla5[[#This Row],[Ganancia Bruta]]-Tabla6[[#This Row],[Coste Cena]],-Tabla6[[#This Row],[Precio Cena]]+Tabla6[[#This Row],[Coste Cena]])</f>
        <v>117</v>
      </c>
      <c r="M603" s="10">
        <f>IF(Tabla5[[#This Row],[Orden Cobrada]]="Cobrada",((Tabla5[[#This Row],[Ganancia Neta]]/Tabla5[[#This Row],[Ganancia Bruta]])*100)/100,-((Tabla5[[#This Row],[Ganancia Neta]]/Tabla5[[#This Row],[Ganancia Bruta]]*100)/100))</f>
        <v>0.40068493150684931</v>
      </c>
      <c r="N603" s="5" t="str">
        <f>sala!F602</f>
        <v>Mesero_4</v>
      </c>
      <c r="AY603" cm="1">
        <f t="array" ref="AY603">SUM(IF(Cocina!A:A=Tabla5[[#This Row],[Nº Orden]],Cocina!F:F*Cocina!G:G,0))</f>
        <v>292</v>
      </c>
      <c r="AZ603" cm="1">
        <f t="array" ref="AZ603">SUM(IF(Cocina!A:A=Tabla5[[#This Row],[Nº Orden]],Cocina!E:E*Cocina!G:G,0))</f>
        <v>175</v>
      </c>
      <c r="BB603" t="str">
        <f>MID(Tabla4[[#This Row],[Cliente]], SEARCH("_", Tabla4[[#This Row],[Cliente]]) + 1, LEN(Tabla4[[#This Row],[Cliente]]) - SEARCH("_",Tabla4[[#This Row],[Cliente]]))</f>
        <v>88</v>
      </c>
      <c r="BC603" t="str">
        <f>sala!B602</f>
        <v>Cliente_88</v>
      </c>
      <c r="BD603" s="1">
        <f>sala!D602</f>
        <v>45022.113194444442</v>
      </c>
      <c r="BE603" s="1">
        <f>sala!E602</f>
        <v>45022.260416666664</v>
      </c>
      <c r="BF603">
        <f>sala!K602</f>
        <v>601</v>
      </c>
      <c r="BG603">
        <f>sala!I602</f>
        <v>1681</v>
      </c>
      <c r="BH603" cm="1">
        <f t="array" ref="BH603">SUM(IF(Cocina!A:A=Tabla4[[#This Row],[Número de Orden]],Cocina!F:F*Cocina!G:G,0))</f>
        <v>292</v>
      </c>
      <c r="BI603" t="str">
        <f>sala!J602</f>
        <v>Libre</v>
      </c>
      <c r="BJ603" s="4" t="str">
        <f>IF(Tabla4[[#This Row],[Estado mesa]]="Ocupada","00:15","00:00")</f>
        <v>00:00</v>
      </c>
      <c r="BK603" cm="1">
        <f t="array" ref="BK603">SUM(IF(Cocina!A:A=Tabla4[[#This Row],[Número de Orden]],Cocina!H:H,0))</f>
        <v>115</v>
      </c>
    </row>
    <row r="604" spans="1:63" x14ac:dyDescent="0.3">
      <c r="A604" s="8" t="str">
        <f>MID(Tabla4[[#This Row],[Cliente]], SEARCH("_", Tabla4[[#This Row],[Cliente]]) + 1, LEN(Tabla4[[#This Row],[Cliente]]) - SEARCH("_",Tabla4[[#This Row],[Cliente]]))</f>
        <v>165</v>
      </c>
      <c r="B604">
        <f>sala!K603</f>
        <v>602</v>
      </c>
      <c r="C604">
        <f>Tabla4[[#This Row],[Propina]]+Tabla4[[#This Row],[Precio Cena]]</f>
        <v>431</v>
      </c>
      <c r="D604" s="3">
        <f>INT(sala!E603)</f>
        <v>45022</v>
      </c>
      <c r="E604" s="4">
        <f>MOD( sala!D603,1)</f>
        <v>0.16111111111240461</v>
      </c>
      <c r="F604" s="4">
        <f>MOD( sala!E603,1)</f>
        <v>0.29166666666424135</v>
      </c>
      <c r="G604" s="4">
        <f>Tabla5[[#This Row],[Hora de Salida]]-Tabla5[[#This Row],[Hora de Llegada]]+Tabla4[[#This Row],[Tiempo Extra]]</f>
        <v>0.13055555555183673</v>
      </c>
      <c r="H604" s="5" t="str">
        <f>TEXT(Tabla4[[#This Row],[Preparación en horas]]/1440, "h:mm")</f>
        <v>2:42</v>
      </c>
      <c r="I604" s="4">
        <f>IF(Tabla5[[#This Row],[Tiempo Permanencia]]-Tabla5[[#This Row],[Tiempo de Preparación ]]&gt;=0,Tabla5[[#This Row],[Tiempo Permanencia]]-Tabla5[[#This Row],[Tiempo de Preparación ]],0)</f>
        <v>1.805555555183673E-2</v>
      </c>
      <c r="J604" s="5" t="str">
        <f>IF(Tabla5[[#This Row],[Tiempo de Degustación]]=0,"No Cobrada","Cobrada")</f>
        <v>Cobrada</v>
      </c>
      <c r="K604" s="5" cm="1">
        <f t="array" ref="K604">SUM(IF(Tabla5[[#This Row],[Orden Cobrada]]="Cobrada",IF(Cocina!A:A=Tabla5[[#This Row],[Nº Orden]],Cocina!F:F*Cocina!G:G,0),-Tabla6[[#This Row],[Precio Cena]]))</f>
        <v>266</v>
      </c>
      <c r="L604" s="5">
        <f>IF(Tabla5[[#This Row],[Orden Cobrada]]="Cobrada",Tabla5[[#This Row],[Ganancia Bruta]]-Tabla6[[#This Row],[Coste Cena]],-Tabla6[[#This Row],[Precio Cena]]+Tabla6[[#This Row],[Coste Cena]])</f>
        <v>106</v>
      </c>
      <c r="M604" s="10">
        <f>IF(Tabla5[[#This Row],[Orden Cobrada]]="Cobrada",((Tabla5[[#This Row],[Ganancia Neta]]/Tabla5[[#This Row],[Ganancia Bruta]])*100)/100,-((Tabla5[[#This Row],[Ganancia Neta]]/Tabla5[[#This Row],[Ganancia Bruta]]*100)/100))</f>
        <v>0.39849624060150374</v>
      </c>
      <c r="N604" s="5" t="str">
        <f>sala!F603</f>
        <v>Mesero_2</v>
      </c>
      <c r="AY604" cm="1">
        <f t="array" ref="AY604">SUM(IF(Cocina!A:A=Tabla5[[#This Row],[Nº Orden]],Cocina!F:F*Cocina!G:G,0))</f>
        <v>266</v>
      </c>
      <c r="AZ604" cm="1">
        <f t="array" ref="AZ604">SUM(IF(Cocina!A:A=Tabla5[[#This Row],[Nº Orden]],Cocina!E:E*Cocina!G:G,0))</f>
        <v>160</v>
      </c>
      <c r="BB604" t="str">
        <f>MID(Tabla4[[#This Row],[Cliente]], SEARCH("_", Tabla4[[#This Row],[Cliente]]) + 1, LEN(Tabla4[[#This Row],[Cliente]]) - SEARCH("_",Tabla4[[#This Row],[Cliente]]))</f>
        <v>165</v>
      </c>
      <c r="BC604" t="str">
        <f>sala!B603</f>
        <v>Cliente_165</v>
      </c>
      <c r="BD604" s="1">
        <f>sala!D603</f>
        <v>45022.161111111112</v>
      </c>
      <c r="BE604" s="1">
        <f>sala!E603</f>
        <v>45022.291666666664</v>
      </c>
      <c r="BF604">
        <f>sala!K603</f>
        <v>602</v>
      </c>
      <c r="BG604">
        <f>sala!I603</f>
        <v>165</v>
      </c>
      <c r="BH604" cm="1">
        <f t="array" ref="BH604">SUM(IF(Cocina!A:A=Tabla4[[#This Row],[Número de Orden]],Cocina!F:F*Cocina!G:G,0))</f>
        <v>266</v>
      </c>
      <c r="BI604" t="str">
        <f>sala!J603</f>
        <v>Reservada</v>
      </c>
      <c r="BJ604" s="4" t="str">
        <f>IF(Tabla4[[#This Row],[Estado mesa]]="Ocupada","00:15","00:00")</f>
        <v>00:00</v>
      </c>
      <c r="BK604" cm="1">
        <f t="array" ref="BK604">SUM(IF(Cocina!A:A=Tabla4[[#This Row],[Número de Orden]],Cocina!H:H,0))</f>
        <v>162</v>
      </c>
    </row>
    <row r="605" spans="1:63" x14ac:dyDescent="0.3">
      <c r="A605" s="8" t="str">
        <f>MID(Tabla4[[#This Row],[Cliente]], SEARCH("_", Tabla4[[#This Row],[Cliente]]) + 1, LEN(Tabla4[[#This Row],[Cliente]]) - SEARCH("_",Tabla4[[#This Row],[Cliente]]))</f>
        <v>798</v>
      </c>
      <c r="B605">
        <f>sala!K604</f>
        <v>603</v>
      </c>
      <c r="C605">
        <f>Tabla4[[#This Row],[Propina]]+Tabla4[[#This Row],[Precio Cena]]</f>
        <v>304</v>
      </c>
      <c r="D605" s="3">
        <f>INT(sala!E604)</f>
        <v>45022</v>
      </c>
      <c r="E605" s="4">
        <f>MOD( sala!D604,1)</f>
        <v>3.5416666665696539E-2</v>
      </c>
      <c r="F605" s="4">
        <f>MOD( sala!E604,1)</f>
        <v>0.18125000000145519</v>
      </c>
      <c r="G605" s="4">
        <f>Tabla5[[#This Row],[Hora de Salida]]-Tabla5[[#This Row],[Hora de Llegada]]+Tabla4[[#This Row],[Tiempo Extra]]</f>
        <v>0.14583333333575865</v>
      </c>
      <c r="H605" s="5" t="str">
        <f>TEXT(Tabla4[[#This Row],[Preparación en horas]]/1440, "h:mm")</f>
        <v>0:17</v>
      </c>
      <c r="I605" s="4">
        <f>IF(Tabla5[[#This Row],[Tiempo Permanencia]]-Tabla5[[#This Row],[Tiempo de Preparación ]]&gt;=0,Tabla5[[#This Row],[Tiempo Permanencia]]-Tabla5[[#This Row],[Tiempo de Preparación ]],0)</f>
        <v>0.13402777778020308</v>
      </c>
      <c r="J605" s="5" t="str">
        <f>IF(Tabla5[[#This Row],[Tiempo de Degustación]]=0,"No Cobrada","Cobrada")</f>
        <v>Cobrada</v>
      </c>
      <c r="K605" s="5" cm="1">
        <f t="array" ref="K605">SUM(IF(Tabla5[[#This Row],[Orden Cobrada]]="Cobrada",IF(Cocina!A:A=Tabla5[[#This Row],[Nº Orden]],Cocina!F:F*Cocina!G:G,0),-Tabla6[[#This Row],[Precio Cena]]))</f>
        <v>62</v>
      </c>
      <c r="L605" s="5">
        <f>IF(Tabla5[[#This Row],[Orden Cobrada]]="Cobrada",Tabla5[[#This Row],[Ganancia Bruta]]-Tabla6[[#This Row],[Coste Cena]],-Tabla6[[#This Row],[Precio Cena]]+Tabla6[[#This Row],[Coste Cena]])</f>
        <v>24</v>
      </c>
      <c r="M605" s="10">
        <f>IF(Tabla5[[#This Row],[Orden Cobrada]]="Cobrada",((Tabla5[[#This Row],[Ganancia Neta]]/Tabla5[[#This Row],[Ganancia Bruta]])*100)/100,-((Tabla5[[#This Row],[Ganancia Neta]]/Tabla5[[#This Row],[Ganancia Bruta]]*100)/100))</f>
        <v>0.38709677419354838</v>
      </c>
      <c r="N605" s="5" t="str">
        <f>sala!F604</f>
        <v>Mesero_1</v>
      </c>
      <c r="AY605" cm="1">
        <f t="array" ref="AY605">SUM(IF(Cocina!A:A=Tabla5[[#This Row],[Nº Orden]],Cocina!F:F*Cocina!G:G,0))</f>
        <v>62</v>
      </c>
      <c r="AZ605" cm="1">
        <f t="array" ref="AZ605">SUM(IF(Cocina!A:A=Tabla5[[#This Row],[Nº Orden]],Cocina!E:E*Cocina!G:G,0))</f>
        <v>38</v>
      </c>
      <c r="BB605" t="str">
        <f>MID(Tabla4[[#This Row],[Cliente]], SEARCH("_", Tabla4[[#This Row],[Cliente]]) + 1, LEN(Tabla4[[#This Row],[Cliente]]) - SEARCH("_",Tabla4[[#This Row],[Cliente]]))</f>
        <v>798</v>
      </c>
      <c r="BC605" t="str">
        <f>sala!B604</f>
        <v>Cliente_798</v>
      </c>
      <c r="BD605" s="1">
        <f>sala!D604</f>
        <v>45022.035416666666</v>
      </c>
      <c r="BE605" s="1">
        <f>sala!E604</f>
        <v>45022.181250000001</v>
      </c>
      <c r="BF605">
        <f>sala!K604</f>
        <v>603</v>
      </c>
      <c r="BG605">
        <f>sala!I604</f>
        <v>242</v>
      </c>
      <c r="BH605" cm="1">
        <f t="array" ref="BH605">SUM(IF(Cocina!A:A=Tabla4[[#This Row],[Número de Orden]],Cocina!F:F*Cocina!G:G,0))</f>
        <v>62</v>
      </c>
      <c r="BI605" t="str">
        <f>sala!J604</f>
        <v>Libre</v>
      </c>
      <c r="BJ605" s="4" t="str">
        <f>IF(Tabla4[[#This Row],[Estado mesa]]="Ocupada","00:15","00:00")</f>
        <v>00:00</v>
      </c>
      <c r="BK605" cm="1">
        <f t="array" ref="BK605">SUM(IF(Cocina!A:A=Tabla4[[#This Row],[Número de Orden]],Cocina!H:H,0))</f>
        <v>17</v>
      </c>
    </row>
    <row r="606" spans="1:63" x14ac:dyDescent="0.3">
      <c r="A606" s="8" t="str">
        <f>MID(Tabla4[[#This Row],[Cliente]], SEARCH("_", Tabla4[[#This Row],[Cliente]]) + 1, LEN(Tabla4[[#This Row],[Cliente]]) - SEARCH("_",Tabla4[[#This Row],[Cliente]]))</f>
        <v>959</v>
      </c>
      <c r="B606">
        <f>sala!K605</f>
        <v>604</v>
      </c>
      <c r="C606">
        <f>Tabla4[[#This Row],[Propina]]+Tabla4[[#This Row],[Precio Cena]]</f>
        <v>531</v>
      </c>
      <c r="D606" s="3">
        <f>INT(sala!E605)</f>
        <v>45022</v>
      </c>
      <c r="E606" s="4">
        <f>MOD( sala!D605,1)</f>
        <v>5.4166666668606922E-2</v>
      </c>
      <c r="F606" s="4">
        <f>MOD( sala!E605,1)</f>
        <v>0.21944444444670808</v>
      </c>
      <c r="G606" s="4">
        <f>Tabla5[[#This Row],[Hora de Salida]]-Tabla5[[#This Row],[Hora de Llegada]]+Tabla4[[#This Row],[Tiempo Extra]]</f>
        <v>0.17569444444476781</v>
      </c>
      <c r="H606" s="5" t="str">
        <f>TEXT(Tabla4[[#This Row],[Preparación en horas]]/1440, "h:mm")</f>
        <v>0:42</v>
      </c>
      <c r="I606" s="4">
        <f>IF(Tabla5[[#This Row],[Tiempo Permanencia]]-Tabla5[[#This Row],[Tiempo de Preparación ]]&gt;=0,Tabla5[[#This Row],[Tiempo Permanencia]]-Tabla5[[#This Row],[Tiempo de Preparación ]],0)</f>
        <v>0.14652777777810114</v>
      </c>
      <c r="J606" s="5" t="str">
        <f>IF(Tabla5[[#This Row],[Tiempo de Degustación]]=0,"No Cobrada","Cobrada")</f>
        <v>Cobrada</v>
      </c>
      <c r="K606" s="5" cm="1">
        <f t="array" ref="K606">SUM(IF(Tabla5[[#This Row],[Orden Cobrada]]="Cobrada",IF(Cocina!A:A=Tabla5[[#This Row],[Nº Orden]],Cocina!F:F*Cocina!G:G,0),-Tabla6[[#This Row],[Precio Cena]]))</f>
        <v>105</v>
      </c>
      <c r="L606" s="5">
        <f>IF(Tabla5[[#This Row],[Orden Cobrada]]="Cobrada",Tabla5[[#This Row],[Ganancia Bruta]]-Tabla6[[#This Row],[Coste Cena]],-Tabla6[[#This Row],[Precio Cena]]+Tabla6[[#This Row],[Coste Cena]])</f>
        <v>42</v>
      </c>
      <c r="M606" s="10">
        <f>IF(Tabla5[[#This Row],[Orden Cobrada]]="Cobrada",((Tabla5[[#This Row],[Ganancia Neta]]/Tabla5[[#This Row],[Ganancia Bruta]])*100)/100,-((Tabla5[[#This Row],[Ganancia Neta]]/Tabla5[[#This Row],[Ganancia Bruta]]*100)/100))</f>
        <v>0.4</v>
      </c>
      <c r="N606" s="5" t="str">
        <f>sala!F605</f>
        <v>Mesero_2</v>
      </c>
      <c r="AY606" cm="1">
        <f t="array" ref="AY606">SUM(IF(Cocina!A:A=Tabla5[[#This Row],[Nº Orden]],Cocina!F:F*Cocina!G:G,0))</f>
        <v>105</v>
      </c>
      <c r="AZ606" cm="1">
        <f t="array" ref="AZ606">SUM(IF(Cocina!A:A=Tabla5[[#This Row],[Nº Orden]],Cocina!E:E*Cocina!G:G,0))</f>
        <v>63</v>
      </c>
      <c r="BB606" t="str">
        <f>MID(Tabla4[[#This Row],[Cliente]], SEARCH("_", Tabla4[[#This Row],[Cliente]]) + 1, LEN(Tabla4[[#This Row],[Cliente]]) - SEARCH("_",Tabla4[[#This Row],[Cliente]]))</f>
        <v>959</v>
      </c>
      <c r="BC606" t="str">
        <f>sala!B605</f>
        <v>Cliente_959</v>
      </c>
      <c r="BD606" s="1">
        <f>sala!D605</f>
        <v>45022.054166666669</v>
      </c>
      <c r="BE606" s="1">
        <f>sala!E605</f>
        <v>45022.219444444447</v>
      </c>
      <c r="BF606">
        <f>sala!K605</f>
        <v>604</v>
      </c>
      <c r="BG606">
        <f>sala!I605</f>
        <v>426</v>
      </c>
      <c r="BH606" cm="1">
        <f t="array" ref="BH606">SUM(IF(Cocina!A:A=Tabla4[[#This Row],[Número de Orden]],Cocina!F:F*Cocina!G:G,0))</f>
        <v>105</v>
      </c>
      <c r="BI606" t="str">
        <f>sala!J605</f>
        <v>Ocupada</v>
      </c>
      <c r="BJ606" s="4" t="str">
        <f>IF(Tabla4[[#This Row],[Estado mesa]]="Ocupada","00:15","00:00")</f>
        <v>00:15</v>
      </c>
      <c r="BK606" cm="1">
        <f t="array" ref="BK606">SUM(IF(Cocina!A:A=Tabla4[[#This Row],[Número de Orden]],Cocina!H:H,0))</f>
        <v>42</v>
      </c>
    </row>
    <row r="607" spans="1:63" x14ac:dyDescent="0.3">
      <c r="A607" s="8" t="str">
        <f>MID(Tabla4[[#This Row],[Cliente]], SEARCH("_", Tabla4[[#This Row],[Cliente]]) + 1, LEN(Tabla4[[#This Row],[Cliente]]) - SEARCH("_",Tabla4[[#This Row],[Cliente]]))</f>
        <v>608</v>
      </c>
      <c r="B607">
        <f>sala!K606</f>
        <v>605</v>
      </c>
      <c r="C607">
        <f>Tabla4[[#This Row],[Propina]]+Tabla4[[#This Row],[Precio Cena]]</f>
        <v>2658</v>
      </c>
      <c r="D607" s="3">
        <f>INT(sala!E606)</f>
        <v>45022</v>
      </c>
      <c r="E607" s="4">
        <f>MOD( sala!D606,1)</f>
        <v>0.11736111110803904</v>
      </c>
      <c r="F607" s="4">
        <f>MOD( sala!E606,1)</f>
        <v>0.26666666667006211</v>
      </c>
      <c r="G607" s="4">
        <f>Tabla5[[#This Row],[Hora de Salida]]-Tabla5[[#This Row],[Hora de Llegada]]+Tabla4[[#This Row],[Tiempo Extra]]</f>
        <v>0.15972222222868973</v>
      </c>
      <c r="H607" s="5" t="str">
        <f>TEXT(Tabla4[[#This Row],[Preparación en horas]]/1440, "h:mm")</f>
        <v>2:56</v>
      </c>
      <c r="I607" s="4">
        <f>IF(Tabla5[[#This Row],[Tiempo Permanencia]]-Tabla5[[#This Row],[Tiempo de Preparación ]]&gt;=0,Tabla5[[#This Row],[Tiempo Permanencia]]-Tabla5[[#This Row],[Tiempo de Preparación ]],0)</f>
        <v>3.7500000006467513E-2</v>
      </c>
      <c r="J607" s="5" t="str">
        <f>IF(Tabla5[[#This Row],[Tiempo de Degustación]]=0,"No Cobrada","Cobrada")</f>
        <v>Cobrada</v>
      </c>
      <c r="K607" s="5" cm="1">
        <f t="array" ref="K607">SUM(IF(Tabla5[[#This Row],[Orden Cobrada]]="Cobrada",IF(Cocina!A:A=Tabla5[[#This Row],[Nº Orden]],Cocina!F:F*Cocina!G:G,0),-Tabla6[[#This Row],[Precio Cena]]))</f>
        <v>220</v>
      </c>
      <c r="L607" s="5">
        <f>IF(Tabla5[[#This Row],[Orden Cobrada]]="Cobrada",Tabla5[[#This Row],[Ganancia Bruta]]-Tabla6[[#This Row],[Coste Cena]],-Tabla6[[#This Row],[Precio Cena]]+Tabla6[[#This Row],[Coste Cena]])</f>
        <v>87</v>
      </c>
      <c r="M607" s="10">
        <f>IF(Tabla5[[#This Row],[Orden Cobrada]]="Cobrada",((Tabla5[[#This Row],[Ganancia Neta]]/Tabla5[[#This Row],[Ganancia Bruta]])*100)/100,-((Tabla5[[#This Row],[Ganancia Neta]]/Tabla5[[#This Row],[Ganancia Bruta]]*100)/100))</f>
        <v>0.39545454545454545</v>
      </c>
      <c r="N607" s="5" t="str">
        <f>sala!F606</f>
        <v>Mesero_3</v>
      </c>
      <c r="AY607" cm="1">
        <f t="array" ref="AY607">SUM(IF(Cocina!A:A=Tabla5[[#This Row],[Nº Orden]],Cocina!F:F*Cocina!G:G,0))</f>
        <v>220</v>
      </c>
      <c r="AZ607" cm="1">
        <f t="array" ref="AZ607">SUM(IF(Cocina!A:A=Tabla5[[#This Row],[Nº Orden]],Cocina!E:E*Cocina!G:G,0))</f>
        <v>133</v>
      </c>
      <c r="BB607" t="str">
        <f>MID(Tabla4[[#This Row],[Cliente]], SEARCH("_", Tabla4[[#This Row],[Cliente]]) + 1, LEN(Tabla4[[#This Row],[Cliente]]) - SEARCH("_",Tabla4[[#This Row],[Cliente]]))</f>
        <v>608</v>
      </c>
      <c r="BC607" t="str">
        <f>sala!B606</f>
        <v>Cliente_608</v>
      </c>
      <c r="BD607" s="1">
        <f>sala!D606</f>
        <v>45022.117361111108</v>
      </c>
      <c r="BE607" s="1">
        <f>sala!E606</f>
        <v>45022.26666666667</v>
      </c>
      <c r="BF607">
        <f>sala!K606</f>
        <v>605</v>
      </c>
      <c r="BG607">
        <f>sala!I606</f>
        <v>2438</v>
      </c>
      <c r="BH607" cm="1">
        <f t="array" ref="BH607">SUM(IF(Cocina!A:A=Tabla4[[#This Row],[Número de Orden]],Cocina!F:F*Cocina!G:G,0))</f>
        <v>220</v>
      </c>
      <c r="BI607" t="str">
        <f>sala!J606</f>
        <v>Ocupada</v>
      </c>
      <c r="BJ607" s="4" t="str">
        <f>IF(Tabla4[[#This Row],[Estado mesa]]="Ocupada","00:15","00:00")</f>
        <v>00:15</v>
      </c>
      <c r="BK607" cm="1">
        <f t="array" ref="BK607">SUM(IF(Cocina!A:A=Tabla4[[#This Row],[Número de Orden]],Cocina!H:H,0))</f>
        <v>176</v>
      </c>
    </row>
    <row r="608" spans="1:63" x14ac:dyDescent="0.3">
      <c r="A608" s="8" t="str">
        <f>MID(Tabla4[[#This Row],[Cliente]], SEARCH("_", Tabla4[[#This Row],[Cliente]]) + 1, LEN(Tabla4[[#This Row],[Cliente]]) - SEARCH("_",Tabla4[[#This Row],[Cliente]]))</f>
        <v>434</v>
      </c>
      <c r="B608">
        <f>sala!K607</f>
        <v>606</v>
      </c>
      <c r="C608">
        <f>Tabla4[[#This Row],[Propina]]+Tabla4[[#This Row],[Precio Cena]]</f>
        <v>3341</v>
      </c>
      <c r="D608" s="3">
        <f>INT(sala!E607)</f>
        <v>45022</v>
      </c>
      <c r="E608" s="4">
        <f>MOD( sala!D607,1)</f>
        <v>0.13472222222480923</v>
      </c>
      <c r="F608" s="4">
        <f>MOD( sala!E607,1)</f>
        <v>0.25416666666569654</v>
      </c>
      <c r="G608" s="4">
        <f>Tabla5[[#This Row],[Hora de Salida]]-Tabla5[[#This Row],[Hora de Llegada]]+Tabla4[[#This Row],[Tiempo Extra]]</f>
        <v>0.12986111110755397</v>
      </c>
      <c r="H608" s="5" t="str">
        <f>TEXT(Tabla4[[#This Row],[Preparación en horas]]/1440, "h:mm")</f>
        <v>2:25</v>
      </c>
      <c r="I608" s="4">
        <f>IF(Tabla5[[#This Row],[Tiempo Permanencia]]-Tabla5[[#This Row],[Tiempo de Preparación ]]&gt;=0,Tabla5[[#This Row],[Tiempo Permanencia]]-Tabla5[[#This Row],[Tiempo de Preparación ]],0)</f>
        <v>2.9166666663109519E-2</v>
      </c>
      <c r="J608" s="5" t="str">
        <f>IF(Tabla5[[#This Row],[Tiempo de Degustación]]=0,"No Cobrada","Cobrada")</f>
        <v>Cobrada</v>
      </c>
      <c r="K608" s="5" cm="1">
        <f t="array" ref="K608">SUM(IF(Tabla5[[#This Row],[Orden Cobrada]]="Cobrada",IF(Cocina!A:A=Tabla5[[#This Row],[Nº Orden]],Cocina!F:F*Cocina!G:G,0),-Tabla6[[#This Row],[Precio Cena]]))</f>
        <v>183</v>
      </c>
      <c r="L608" s="5">
        <f>IF(Tabla5[[#This Row],[Orden Cobrada]]="Cobrada",Tabla5[[#This Row],[Ganancia Bruta]]-Tabla6[[#This Row],[Coste Cena]],-Tabla6[[#This Row],[Precio Cena]]+Tabla6[[#This Row],[Coste Cena]])</f>
        <v>75</v>
      </c>
      <c r="M608" s="10">
        <f>IF(Tabla5[[#This Row],[Orden Cobrada]]="Cobrada",((Tabla5[[#This Row],[Ganancia Neta]]/Tabla5[[#This Row],[Ganancia Bruta]])*100)/100,-((Tabla5[[#This Row],[Ganancia Neta]]/Tabla5[[#This Row],[Ganancia Bruta]]*100)/100))</f>
        <v>0.4098360655737705</v>
      </c>
      <c r="N608" s="5" t="str">
        <f>sala!F607</f>
        <v>Mesero_5</v>
      </c>
      <c r="AY608" cm="1">
        <f t="array" ref="AY608">SUM(IF(Cocina!A:A=Tabla5[[#This Row],[Nº Orden]],Cocina!F:F*Cocina!G:G,0))</f>
        <v>183</v>
      </c>
      <c r="AZ608" cm="1">
        <f t="array" ref="AZ608">SUM(IF(Cocina!A:A=Tabla5[[#This Row],[Nº Orden]],Cocina!E:E*Cocina!G:G,0))</f>
        <v>108</v>
      </c>
      <c r="BB608" t="str">
        <f>MID(Tabla4[[#This Row],[Cliente]], SEARCH("_", Tabla4[[#This Row],[Cliente]]) + 1, LEN(Tabla4[[#This Row],[Cliente]]) - SEARCH("_",Tabla4[[#This Row],[Cliente]]))</f>
        <v>434</v>
      </c>
      <c r="BC608" t="str">
        <f>sala!B607</f>
        <v>Cliente_434</v>
      </c>
      <c r="BD608" s="1">
        <f>sala!D607</f>
        <v>45022.134722222225</v>
      </c>
      <c r="BE608" s="1">
        <f>sala!E607</f>
        <v>45022.254166666666</v>
      </c>
      <c r="BF608">
        <f>sala!K607</f>
        <v>606</v>
      </c>
      <c r="BG608">
        <f>sala!I607</f>
        <v>3158</v>
      </c>
      <c r="BH608" cm="1">
        <f t="array" ref="BH608">SUM(IF(Cocina!A:A=Tabla4[[#This Row],[Número de Orden]],Cocina!F:F*Cocina!G:G,0))</f>
        <v>183</v>
      </c>
      <c r="BI608" t="str">
        <f>sala!J607</f>
        <v>Ocupada</v>
      </c>
      <c r="BJ608" s="4" t="str">
        <f>IF(Tabla4[[#This Row],[Estado mesa]]="Ocupada","00:15","00:00")</f>
        <v>00:15</v>
      </c>
      <c r="BK608" cm="1">
        <f t="array" ref="BK608">SUM(IF(Cocina!A:A=Tabla4[[#This Row],[Número de Orden]],Cocina!H:H,0))</f>
        <v>145</v>
      </c>
    </row>
    <row r="609" spans="1:63" x14ac:dyDescent="0.3">
      <c r="A609" s="8" t="str">
        <f>MID(Tabla4[[#This Row],[Cliente]], SEARCH("_", Tabla4[[#This Row],[Cliente]]) + 1, LEN(Tabla4[[#This Row],[Cliente]]) - SEARCH("_",Tabla4[[#This Row],[Cliente]]))</f>
        <v>377</v>
      </c>
      <c r="B609">
        <f>sala!K608</f>
        <v>607</v>
      </c>
      <c r="C609">
        <f>Tabla4[[#This Row],[Propina]]+Tabla4[[#This Row],[Precio Cena]]</f>
        <v>357</v>
      </c>
      <c r="D609" s="3">
        <f>INT(sala!E608)</f>
        <v>45022</v>
      </c>
      <c r="E609" s="4">
        <f>MOD( sala!D608,1)</f>
        <v>5.8333333334303461E-2</v>
      </c>
      <c r="F609" s="4">
        <f>MOD( sala!E608,1)</f>
        <v>0.14513888888905058</v>
      </c>
      <c r="G609" s="4">
        <f>Tabla5[[#This Row],[Hora de Salida]]-Tabla5[[#This Row],[Hora de Llegada]]+Tabla4[[#This Row],[Tiempo Extra]]</f>
        <v>9.7222222221413787E-2</v>
      </c>
      <c r="H609" s="5" t="str">
        <f>TEXT(Tabla4[[#This Row],[Preparación en horas]]/1440, "h:mm")</f>
        <v>1:09</v>
      </c>
      <c r="I609" s="4">
        <f>IF(Tabla5[[#This Row],[Tiempo Permanencia]]-Tabla5[[#This Row],[Tiempo de Preparación ]]&gt;=0,Tabla5[[#This Row],[Tiempo Permanencia]]-Tabla5[[#This Row],[Tiempo de Preparación ]],0)</f>
        <v>4.9305555554747117E-2</v>
      </c>
      <c r="J609" s="5" t="str">
        <f>IF(Tabla5[[#This Row],[Tiempo de Degustación]]=0,"No Cobrada","Cobrada")</f>
        <v>Cobrada</v>
      </c>
      <c r="K609" s="5" cm="1">
        <f t="array" ref="K609">SUM(IF(Tabla5[[#This Row],[Orden Cobrada]]="Cobrada",IF(Cocina!A:A=Tabla5[[#This Row],[Nº Orden]],Cocina!F:F*Cocina!G:G,0),-Tabla6[[#This Row],[Precio Cena]]))</f>
        <v>68</v>
      </c>
      <c r="L609" s="5">
        <f>IF(Tabla5[[#This Row],[Orden Cobrada]]="Cobrada",Tabla5[[#This Row],[Ganancia Bruta]]-Tabla6[[#This Row],[Coste Cena]],-Tabla6[[#This Row],[Precio Cena]]+Tabla6[[#This Row],[Coste Cena]])</f>
        <v>27</v>
      </c>
      <c r="M609" s="10">
        <f>IF(Tabla5[[#This Row],[Orden Cobrada]]="Cobrada",((Tabla5[[#This Row],[Ganancia Neta]]/Tabla5[[#This Row],[Ganancia Bruta]])*100)/100,-((Tabla5[[#This Row],[Ganancia Neta]]/Tabla5[[#This Row],[Ganancia Bruta]]*100)/100))</f>
        <v>0.39705882352941174</v>
      </c>
      <c r="N609" s="5" t="str">
        <f>sala!F608</f>
        <v>Mesero_5</v>
      </c>
      <c r="AY609" cm="1">
        <f t="array" ref="AY609">SUM(IF(Cocina!A:A=Tabla5[[#This Row],[Nº Orden]],Cocina!F:F*Cocina!G:G,0))</f>
        <v>68</v>
      </c>
      <c r="AZ609" cm="1">
        <f t="array" ref="AZ609">SUM(IF(Cocina!A:A=Tabla5[[#This Row],[Nº Orden]],Cocina!E:E*Cocina!G:G,0))</f>
        <v>41</v>
      </c>
      <c r="BB609" t="str">
        <f>MID(Tabla4[[#This Row],[Cliente]], SEARCH("_", Tabla4[[#This Row],[Cliente]]) + 1, LEN(Tabla4[[#This Row],[Cliente]]) - SEARCH("_",Tabla4[[#This Row],[Cliente]]))</f>
        <v>377</v>
      </c>
      <c r="BC609" t="str">
        <f>sala!B608</f>
        <v>Cliente_377</v>
      </c>
      <c r="BD609" s="1">
        <f>sala!D608</f>
        <v>45022.058333333334</v>
      </c>
      <c r="BE609" s="1">
        <f>sala!E608</f>
        <v>45022.145138888889</v>
      </c>
      <c r="BF609">
        <f>sala!K608</f>
        <v>607</v>
      </c>
      <c r="BG609">
        <f>sala!I608</f>
        <v>289</v>
      </c>
      <c r="BH609" cm="1">
        <f t="array" ref="BH609">SUM(IF(Cocina!A:A=Tabla4[[#This Row],[Número de Orden]],Cocina!F:F*Cocina!G:G,0))</f>
        <v>68</v>
      </c>
      <c r="BI609" t="str">
        <f>sala!J608</f>
        <v>Ocupada</v>
      </c>
      <c r="BJ609" s="4" t="str">
        <f>IF(Tabla4[[#This Row],[Estado mesa]]="Ocupada","00:15","00:00")</f>
        <v>00:15</v>
      </c>
      <c r="BK609" cm="1">
        <f t="array" ref="BK609">SUM(IF(Cocina!A:A=Tabla4[[#This Row],[Número de Orden]],Cocina!H:H,0))</f>
        <v>69</v>
      </c>
    </row>
    <row r="610" spans="1:63" x14ac:dyDescent="0.3">
      <c r="A610" s="8" t="str">
        <f>MID(Tabla4[[#This Row],[Cliente]], SEARCH("_", Tabla4[[#This Row],[Cliente]]) + 1, LEN(Tabla4[[#This Row],[Cliente]]) - SEARCH("_",Tabla4[[#This Row],[Cliente]]))</f>
        <v>657</v>
      </c>
      <c r="B610">
        <f>sala!K609</f>
        <v>608</v>
      </c>
      <c r="C610">
        <f>Tabla4[[#This Row],[Propina]]+Tabla4[[#This Row],[Precio Cena]]</f>
        <v>3684</v>
      </c>
      <c r="D610" s="3">
        <f>INT(sala!E609)</f>
        <v>45022</v>
      </c>
      <c r="E610" s="4">
        <f>MOD( sala!D609,1)</f>
        <v>0.16527777777810115</v>
      </c>
      <c r="F610" s="4">
        <f>MOD( sala!E609,1)</f>
        <v>0.30555555555474712</v>
      </c>
      <c r="G610" s="4">
        <f>Tabla5[[#This Row],[Hora de Salida]]-Tabla5[[#This Row],[Hora de Llegada]]+Tabla4[[#This Row],[Tiempo Extra]]</f>
        <v>0.14027777777664596</v>
      </c>
      <c r="H610" s="5" t="str">
        <f>TEXT(Tabla4[[#This Row],[Preparación en horas]]/1440, "h:mm")</f>
        <v>0:45</v>
      </c>
      <c r="I610" s="4">
        <f>IF(Tabla5[[#This Row],[Tiempo Permanencia]]-Tabla5[[#This Row],[Tiempo de Preparación ]]&gt;=0,Tabla5[[#This Row],[Tiempo Permanencia]]-Tabla5[[#This Row],[Tiempo de Preparación ]],0)</f>
        <v>0.10902777777664596</v>
      </c>
      <c r="J610" s="5" t="str">
        <f>IF(Tabla5[[#This Row],[Tiempo de Degustación]]=0,"No Cobrada","Cobrada")</f>
        <v>Cobrada</v>
      </c>
      <c r="K610" s="5" cm="1">
        <f t="array" ref="K610">SUM(IF(Tabla5[[#This Row],[Orden Cobrada]]="Cobrada",IF(Cocina!A:A=Tabla5[[#This Row],[Nº Orden]],Cocina!F:F*Cocina!G:G,0),-Tabla6[[#This Row],[Precio Cena]]))</f>
        <v>29</v>
      </c>
      <c r="L610" s="5">
        <f>IF(Tabla5[[#This Row],[Orden Cobrada]]="Cobrada",Tabla5[[#This Row],[Ganancia Bruta]]-Tabla6[[#This Row],[Coste Cena]],-Tabla6[[#This Row],[Precio Cena]]+Tabla6[[#This Row],[Coste Cena]])</f>
        <v>12</v>
      </c>
      <c r="M610" s="10">
        <f>IF(Tabla5[[#This Row],[Orden Cobrada]]="Cobrada",((Tabla5[[#This Row],[Ganancia Neta]]/Tabla5[[#This Row],[Ganancia Bruta]])*100)/100,-((Tabla5[[#This Row],[Ganancia Neta]]/Tabla5[[#This Row],[Ganancia Bruta]]*100)/100))</f>
        <v>0.41379310344827586</v>
      </c>
      <c r="N610" s="5" t="str">
        <f>sala!F609</f>
        <v>Mesero_3</v>
      </c>
      <c r="AY610" cm="1">
        <f t="array" ref="AY610">SUM(IF(Cocina!A:A=Tabla5[[#This Row],[Nº Orden]],Cocina!F:F*Cocina!G:G,0))</f>
        <v>29</v>
      </c>
      <c r="AZ610" cm="1">
        <f t="array" ref="AZ610">SUM(IF(Cocina!A:A=Tabla5[[#This Row],[Nº Orden]],Cocina!E:E*Cocina!G:G,0))</f>
        <v>17</v>
      </c>
      <c r="BB610" t="str">
        <f>MID(Tabla4[[#This Row],[Cliente]], SEARCH("_", Tabla4[[#This Row],[Cliente]]) + 1, LEN(Tabla4[[#This Row],[Cliente]]) - SEARCH("_",Tabla4[[#This Row],[Cliente]]))</f>
        <v>657</v>
      </c>
      <c r="BC610" t="str">
        <f>sala!B609</f>
        <v>Cliente_657</v>
      </c>
      <c r="BD610" s="1">
        <f>sala!D609</f>
        <v>45022.165277777778</v>
      </c>
      <c r="BE610" s="1">
        <f>sala!E609</f>
        <v>45022.305555555555</v>
      </c>
      <c r="BF610">
        <f>sala!K609</f>
        <v>608</v>
      </c>
      <c r="BG610">
        <f>sala!I609</f>
        <v>3655</v>
      </c>
      <c r="BH610" cm="1">
        <f t="array" ref="BH610">SUM(IF(Cocina!A:A=Tabla4[[#This Row],[Número de Orden]],Cocina!F:F*Cocina!G:G,0))</f>
        <v>29</v>
      </c>
      <c r="BI610" t="str">
        <f>sala!J609</f>
        <v>Reservada</v>
      </c>
      <c r="BJ610" s="4" t="str">
        <f>IF(Tabla4[[#This Row],[Estado mesa]]="Ocupada","00:15","00:00")</f>
        <v>00:00</v>
      </c>
      <c r="BK610" cm="1">
        <f t="array" ref="BK610">SUM(IF(Cocina!A:A=Tabla4[[#This Row],[Número de Orden]],Cocina!H:H,0))</f>
        <v>45</v>
      </c>
    </row>
    <row r="611" spans="1:63" x14ac:dyDescent="0.3">
      <c r="A611" s="8" t="str">
        <f>MID(Tabla4[[#This Row],[Cliente]], SEARCH("_", Tabla4[[#This Row],[Cliente]]) + 1, LEN(Tabla4[[#This Row],[Cliente]]) - SEARCH("_",Tabla4[[#This Row],[Cliente]]))</f>
        <v>331</v>
      </c>
      <c r="B611">
        <f>sala!K610</f>
        <v>609</v>
      </c>
      <c r="C611">
        <f>Tabla4[[#This Row],[Propina]]+Tabla4[[#This Row],[Precio Cena]]</f>
        <v>2361</v>
      </c>
      <c r="D611" s="3">
        <f>INT(sala!E610)</f>
        <v>45022</v>
      </c>
      <c r="E611" s="4">
        <f>MOD( sala!D610,1)</f>
        <v>0.14097222222335404</v>
      </c>
      <c r="F611" s="4">
        <f>MOD( sala!E610,1)</f>
        <v>0.2930555555576575</v>
      </c>
      <c r="G611" s="4">
        <f>Tabla5[[#This Row],[Hora de Salida]]-Tabla5[[#This Row],[Hora de Llegada]]+Tabla4[[#This Row],[Tiempo Extra]]</f>
        <v>0.15208333333430346</v>
      </c>
      <c r="H611" s="5" t="str">
        <f>TEXT(Tabla4[[#This Row],[Preparación en horas]]/1440, "h:mm")</f>
        <v>0:27</v>
      </c>
      <c r="I611" s="4">
        <f>IF(Tabla5[[#This Row],[Tiempo Permanencia]]-Tabla5[[#This Row],[Tiempo de Preparación ]]&gt;=0,Tabla5[[#This Row],[Tiempo Permanencia]]-Tabla5[[#This Row],[Tiempo de Preparación ]],0)</f>
        <v>0.13333333333430347</v>
      </c>
      <c r="J611" s="5" t="str">
        <f>IF(Tabla5[[#This Row],[Tiempo de Degustación]]=0,"No Cobrada","Cobrada")</f>
        <v>Cobrada</v>
      </c>
      <c r="K611" s="5" cm="1">
        <f t="array" ref="K611">SUM(IF(Tabla5[[#This Row],[Orden Cobrada]]="Cobrada",IF(Cocina!A:A=Tabla5[[#This Row],[Nº Orden]],Cocina!F:F*Cocina!G:G,0),-Tabla6[[#This Row],[Precio Cena]]))</f>
        <v>32</v>
      </c>
      <c r="L611" s="5">
        <f>IF(Tabla5[[#This Row],[Orden Cobrada]]="Cobrada",Tabla5[[#This Row],[Ganancia Bruta]]-Tabla6[[#This Row],[Coste Cena]],-Tabla6[[#This Row],[Precio Cena]]+Tabla6[[#This Row],[Coste Cena]])</f>
        <v>13</v>
      </c>
      <c r="M611" s="10">
        <f>IF(Tabla5[[#This Row],[Orden Cobrada]]="Cobrada",((Tabla5[[#This Row],[Ganancia Neta]]/Tabla5[[#This Row],[Ganancia Bruta]])*100)/100,-((Tabla5[[#This Row],[Ganancia Neta]]/Tabla5[[#This Row],[Ganancia Bruta]]*100)/100))</f>
        <v>0.40625</v>
      </c>
      <c r="N611" s="5" t="str">
        <f>sala!F610</f>
        <v>Mesero_1</v>
      </c>
      <c r="AY611" cm="1">
        <f t="array" ref="AY611">SUM(IF(Cocina!A:A=Tabla5[[#This Row],[Nº Orden]],Cocina!F:F*Cocina!G:G,0))</f>
        <v>32</v>
      </c>
      <c r="AZ611" cm="1">
        <f t="array" ref="AZ611">SUM(IF(Cocina!A:A=Tabla5[[#This Row],[Nº Orden]],Cocina!E:E*Cocina!G:G,0))</f>
        <v>19</v>
      </c>
      <c r="BB611" t="str">
        <f>MID(Tabla4[[#This Row],[Cliente]], SEARCH("_", Tabla4[[#This Row],[Cliente]]) + 1, LEN(Tabla4[[#This Row],[Cliente]]) - SEARCH("_",Tabla4[[#This Row],[Cliente]]))</f>
        <v>331</v>
      </c>
      <c r="BC611" t="str">
        <f>sala!B610</f>
        <v>Cliente_331</v>
      </c>
      <c r="BD611" s="1">
        <f>sala!D610</f>
        <v>45022.140972222223</v>
      </c>
      <c r="BE611" s="1">
        <f>sala!E610</f>
        <v>45022.293055555558</v>
      </c>
      <c r="BF611">
        <f>sala!K610</f>
        <v>609</v>
      </c>
      <c r="BG611">
        <f>sala!I610</f>
        <v>2329</v>
      </c>
      <c r="BH611" cm="1">
        <f t="array" ref="BH611">SUM(IF(Cocina!A:A=Tabla4[[#This Row],[Número de Orden]],Cocina!F:F*Cocina!G:G,0))</f>
        <v>32</v>
      </c>
      <c r="BI611" t="str">
        <f>sala!J610</f>
        <v>Reservada</v>
      </c>
      <c r="BJ611" s="4" t="str">
        <f>IF(Tabla4[[#This Row],[Estado mesa]]="Ocupada","00:15","00:00")</f>
        <v>00:00</v>
      </c>
      <c r="BK611" cm="1">
        <f t="array" ref="BK611">SUM(IF(Cocina!A:A=Tabla4[[#This Row],[Número de Orden]],Cocina!H:H,0))</f>
        <v>27</v>
      </c>
    </row>
    <row r="612" spans="1:63" x14ac:dyDescent="0.3">
      <c r="A612" s="8" t="str">
        <f>MID(Tabla4[[#This Row],[Cliente]], SEARCH("_", Tabla4[[#This Row],[Cliente]]) + 1, LEN(Tabla4[[#This Row],[Cliente]]) - SEARCH("_",Tabla4[[#This Row],[Cliente]]))</f>
        <v>728</v>
      </c>
      <c r="B612">
        <f>sala!K611</f>
        <v>610</v>
      </c>
      <c r="C612">
        <f>Tabla4[[#This Row],[Propina]]+Tabla4[[#This Row],[Precio Cena]]</f>
        <v>423</v>
      </c>
      <c r="D612" s="3">
        <f>INT(sala!E611)</f>
        <v>45022</v>
      </c>
      <c r="E612" s="4">
        <f>MOD( sala!D611,1)</f>
        <v>9.1666666667151731E-2</v>
      </c>
      <c r="F612" s="4">
        <f>MOD( sala!E611,1)</f>
        <v>0.17430555555620231</v>
      </c>
      <c r="G612" s="4">
        <f>Tabla5[[#This Row],[Hora de Salida]]-Tabla5[[#This Row],[Hora de Llegada]]+Tabla4[[#This Row],[Tiempo Extra]]</f>
        <v>9.3055555555717248E-2</v>
      </c>
      <c r="H612" s="5" t="str">
        <f>TEXT(Tabla4[[#This Row],[Preparación en horas]]/1440, "h:mm")</f>
        <v>0:47</v>
      </c>
      <c r="I612" s="4">
        <f>IF(Tabla5[[#This Row],[Tiempo Permanencia]]-Tabla5[[#This Row],[Tiempo de Preparación ]]&gt;=0,Tabla5[[#This Row],[Tiempo Permanencia]]-Tabla5[[#This Row],[Tiempo de Preparación ]],0)</f>
        <v>6.0416666666828357E-2</v>
      </c>
      <c r="J612" s="5" t="str">
        <f>IF(Tabla5[[#This Row],[Tiempo de Degustación]]=0,"No Cobrada","Cobrada")</f>
        <v>Cobrada</v>
      </c>
      <c r="K612" s="5" cm="1">
        <f t="array" ref="K612">SUM(IF(Tabla5[[#This Row],[Orden Cobrada]]="Cobrada",IF(Cocina!A:A=Tabla5[[#This Row],[Nº Orden]],Cocina!F:F*Cocina!G:G,0),-Tabla6[[#This Row],[Precio Cena]]))</f>
        <v>44</v>
      </c>
      <c r="L612" s="5">
        <f>IF(Tabla5[[#This Row],[Orden Cobrada]]="Cobrada",Tabla5[[#This Row],[Ganancia Bruta]]-Tabla6[[#This Row],[Coste Cena]],-Tabla6[[#This Row],[Precio Cena]]+Tabla6[[#This Row],[Coste Cena]])</f>
        <v>19</v>
      </c>
      <c r="M612" s="10">
        <f>IF(Tabla5[[#This Row],[Orden Cobrada]]="Cobrada",((Tabla5[[#This Row],[Ganancia Neta]]/Tabla5[[#This Row],[Ganancia Bruta]])*100)/100,-((Tabla5[[#This Row],[Ganancia Neta]]/Tabla5[[#This Row],[Ganancia Bruta]]*100)/100))</f>
        <v>0.43181818181818182</v>
      </c>
      <c r="N612" s="5" t="str">
        <f>sala!F611</f>
        <v>Mesero_5</v>
      </c>
      <c r="AY612" cm="1">
        <f t="array" ref="AY612">SUM(IF(Cocina!A:A=Tabla5[[#This Row],[Nº Orden]],Cocina!F:F*Cocina!G:G,0))</f>
        <v>44</v>
      </c>
      <c r="AZ612" cm="1">
        <f t="array" ref="AZ612">SUM(IF(Cocina!A:A=Tabla5[[#This Row],[Nº Orden]],Cocina!E:E*Cocina!G:G,0))</f>
        <v>25</v>
      </c>
      <c r="BB612" t="str">
        <f>MID(Tabla4[[#This Row],[Cliente]], SEARCH("_", Tabla4[[#This Row],[Cliente]]) + 1, LEN(Tabla4[[#This Row],[Cliente]]) - SEARCH("_",Tabla4[[#This Row],[Cliente]]))</f>
        <v>728</v>
      </c>
      <c r="BC612" t="str">
        <f>sala!B611</f>
        <v>Cliente_728</v>
      </c>
      <c r="BD612" s="1">
        <f>sala!D611</f>
        <v>45022.091666666667</v>
      </c>
      <c r="BE612" s="1">
        <f>sala!E611</f>
        <v>45022.174305555556</v>
      </c>
      <c r="BF612">
        <f>sala!K611</f>
        <v>610</v>
      </c>
      <c r="BG612">
        <f>sala!I611</f>
        <v>379</v>
      </c>
      <c r="BH612" cm="1">
        <f t="array" ref="BH612">SUM(IF(Cocina!A:A=Tabla4[[#This Row],[Número de Orden]],Cocina!F:F*Cocina!G:G,0))</f>
        <v>44</v>
      </c>
      <c r="BI612" t="str">
        <f>sala!J611</f>
        <v>Ocupada</v>
      </c>
      <c r="BJ612" s="4" t="str">
        <f>IF(Tabla4[[#This Row],[Estado mesa]]="Ocupada","00:15","00:00")</f>
        <v>00:15</v>
      </c>
      <c r="BK612" cm="1">
        <f t="array" ref="BK612">SUM(IF(Cocina!A:A=Tabla4[[#This Row],[Número de Orden]],Cocina!H:H,0))</f>
        <v>47</v>
      </c>
    </row>
    <row r="613" spans="1:63" x14ac:dyDescent="0.3">
      <c r="A613" s="8" t="str">
        <f>MID(Tabla4[[#This Row],[Cliente]], SEARCH("_", Tabla4[[#This Row],[Cliente]]) + 1, LEN(Tabla4[[#This Row],[Cliente]]) - SEARCH("_",Tabla4[[#This Row],[Cliente]]))</f>
        <v>224</v>
      </c>
      <c r="B613">
        <f>sala!K612</f>
        <v>611</v>
      </c>
      <c r="C613">
        <f>Tabla4[[#This Row],[Propina]]+Tabla4[[#This Row],[Precio Cena]]</f>
        <v>4506</v>
      </c>
      <c r="D613" s="3">
        <f>INT(sala!E612)</f>
        <v>45022</v>
      </c>
      <c r="E613" s="4">
        <f>MOD( sala!D612,1)</f>
        <v>0.16319444444525288</v>
      </c>
      <c r="F613" s="4">
        <f>MOD( sala!E612,1)</f>
        <v>0.32152777777810115</v>
      </c>
      <c r="G613" s="4">
        <f>Tabla5[[#This Row],[Hora de Salida]]-Tabla5[[#This Row],[Hora de Llegada]]+Tabla4[[#This Row],[Tiempo Extra]]</f>
        <v>0.16874999999951493</v>
      </c>
      <c r="H613" s="5" t="str">
        <f>TEXT(Tabla4[[#This Row],[Preparación en horas]]/1440, "h:mm")</f>
        <v>1:23</v>
      </c>
      <c r="I613" s="4">
        <f>IF(Tabla5[[#This Row],[Tiempo Permanencia]]-Tabla5[[#This Row],[Tiempo de Preparación ]]&gt;=0,Tabla5[[#This Row],[Tiempo Permanencia]]-Tabla5[[#This Row],[Tiempo de Preparación ]],0)</f>
        <v>0.11111111111062603</v>
      </c>
      <c r="J613" s="5" t="str">
        <f>IF(Tabla5[[#This Row],[Tiempo de Degustación]]=0,"No Cobrada","Cobrada")</f>
        <v>Cobrada</v>
      </c>
      <c r="K613" s="5" cm="1">
        <f t="array" ref="K613">SUM(IF(Tabla5[[#This Row],[Orden Cobrada]]="Cobrada",IF(Cocina!A:A=Tabla5[[#This Row],[Nº Orden]],Cocina!F:F*Cocina!G:G,0),-Tabla6[[#This Row],[Precio Cena]]))</f>
        <v>78</v>
      </c>
      <c r="L613" s="5">
        <f>IF(Tabla5[[#This Row],[Orden Cobrada]]="Cobrada",Tabla5[[#This Row],[Ganancia Bruta]]-Tabla6[[#This Row],[Coste Cena]],-Tabla6[[#This Row],[Precio Cena]]+Tabla6[[#This Row],[Coste Cena]])</f>
        <v>30</v>
      </c>
      <c r="M613" s="10">
        <f>IF(Tabla5[[#This Row],[Orden Cobrada]]="Cobrada",((Tabla5[[#This Row],[Ganancia Neta]]/Tabla5[[#This Row],[Ganancia Bruta]])*100)/100,-((Tabla5[[#This Row],[Ganancia Neta]]/Tabla5[[#This Row],[Ganancia Bruta]]*100)/100))</f>
        <v>0.38461538461538469</v>
      </c>
      <c r="N613" s="5" t="str">
        <f>sala!F612</f>
        <v>Mesero_1</v>
      </c>
      <c r="AY613" cm="1">
        <f t="array" ref="AY613">SUM(IF(Cocina!A:A=Tabla5[[#This Row],[Nº Orden]],Cocina!F:F*Cocina!G:G,0))</f>
        <v>78</v>
      </c>
      <c r="AZ613" cm="1">
        <f t="array" ref="AZ613">SUM(IF(Cocina!A:A=Tabla5[[#This Row],[Nº Orden]],Cocina!E:E*Cocina!G:G,0))</f>
        <v>48</v>
      </c>
      <c r="BB613" t="str">
        <f>MID(Tabla4[[#This Row],[Cliente]], SEARCH("_", Tabla4[[#This Row],[Cliente]]) + 1, LEN(Tabla4[[#This Row],[Cliente]]) - SEARCH("_",Tabla4[[#This Row],[Cliente]]))</f>
        <v>224</v>
      </c>
      <c r="BC613" t="str">
        <f>sala!B612</f>
        <v>Cliente_224</v>
      </c>
      <c r="BD613" s="1">
        <f>sala!D612</f>
        <v>45022.163194444445</v>
      </c>
      <c r="BE613" s="1">
        <f>sala!E612</f>
        <v>45022.321527777778</v>
      </c>
      <c r="BF613">
        <f>sala!K612</f>
        <v>611</v>
      </c>
      <c r="BG613">
        <f>sala!I612</f>
        <v>4428</v>
      </c>
      <c r="BH613" cm="1">
        <f t="array" ref="BH613">SUM(IF(Cocina!A:A=Tabla4[[#This Row],[Número de Orden]],Cocina!F:F*Cocina!G:G,0))</f>
        <v>78</v>
      </c>
      <c r="BI613" t="str">
        <f>sala!J612</f>
        <v>Ocupada</v>
      </c>
      <c r="BJ613" s="4" t="str">
        <f>IF(Tabla4[[#This Row],[Estado mesa]]="Ocupada","00:15","00:00")</f>
        <v>00:15</v>
      </c>
      <c r="BK613" cm="1">
        <f t="array" ref="BK613">SUM(IF(Cocina!A:A=Tabla4[[#This Row],[Número de Orden]],Cocina!H:H,0))</f>
        <v>83</v>
      </c>
    </row>
    <row r="614" spans="1:63" x14ac:dyDescent="0.3">
      <c r="A614" s="8" t="str">
        <f>MID(Tabla4[[#This Row],[Cliente]], SEARCH("_", Tabla4[[#This Row],[Cliente]]) + 1, LEN(Tabla4[[#This Row],[Cliente]]) - SEARCH("_",Tabla4[[#This Row],[Cliente]]))</f>
        <v>680</v>
      </c>
      <c r="B614">
        <f>sala!K613</f>
        <v>612</v>
      </c>
      <c r="C614">
        <f>Tabla4[[#This Row],[Propina]]+Tabla4[[#This Row],[Precio Cena]]</f>
        <v>2585</v>
      </c>
      <c r="D614" s="3">
        <f>INT(sala!E613)</f>
        <v>45022</v>
      </c>
      <c r="E614" s="4">
        <f>MOD( sala!D613,1)</f>
        <v>5.0000000002910383E-2</v>
      </c>
      <c r="F614" s="4">
        <f>MOD( sala!E613,1)</f>
        <v>0.20833333333575865</v>
      </c>
      <c r="G614" s="4">
        <f>Tabla5[[#This Row],[Hora de Salida]]-Tabla5[[#This Row],[Hora de Llegada]]+Tabla4[[#This Row],[Tiempo Extra]]</f>
        <v>0.15833333333284827</v>
      </c>
      <c r="H614" s="5" t="str">
        <f>TEXT(Tabla4[[#This Row],[Preparación en horas]]/1440, "h:mm")</f>
        <v>2:09</v>
      </c>
      <c r="I614" s="4">
        <f>IF(Tabla5[[#This Row],[Tiempo Permanencia]]-Tabla5[[#This Row],[Tiempo de Preparación ]]&gt;=0,Tabla5[[#This Row],[Tiempo Permanencia]]-Tabla5[[#This Row],[Tiempo de Preparación ]],0)</f>
        <v>6.8749999999514935E-2</v>
      </c>
      <c r="J614" s="5" t="str">
        <f>IF(Tabla5[[#This Row],[Tiempo de Degustación]]=0,"No Cobrada","Cobrada")</f>
        <v>Cobrada</v>
      </c>
      <c r="K614" s="5" cm="1">
        <f t="array" ref="K614">SUM(IF(Tabla5[[#This Row],[Orden Cobrada]]="Cobrada",IF(Cocina!A:A=Tabla5[[#This Row],[Nº Orden]],Cocina!F:F*Cocina!G:G,0),-Tabla6[[#This Row],[Precio Cena]]))</f>
        <v>231</v>
      </c>
      <c r="L614" s="5">
        <f>IF(Tabla5[[#This Row],[Orden Cobrada]]="Cobrada",Tabla5[[#This Row],[Ganancia Bruta]]-Tabla6[[#This Row],[Coste Cena]],-Tabla6[[#This Row],[Precio Cena]]+Tabla6[[#This Row],[Coste Cena]])</f>
        <v>93</v>
      </c>
      <c r="M614" s="10">
        <f>IF(Tabla5[[#This Row],[Orden Cobrada]]="Cobrada",((Tabla5[[#This Row],[Ganancia Neta]]/Tabla5[[#This Row],[Ganancia Bruta]])*100)/100,-((Tabla5[[#This Row],[Ganancia Neta]]/Tabla5[[#This Row],[Ganancia Bruta]]*100)/100))</f>
        <v>0.40259740259740262</v>
      </c>
      <c r="N614" s="5" t="str">
        <f>sala!F613</f>
        <v>Mesero_5</v>
      </c>
      <c r="AY614" cm="1">
        <f t="array" ref="AY614">SUM(IF(Cocina!A:A=Tabla5[[#This Row],[Nº Orden]],Cocina!F:F*Cocina!G:G,0))</f>
        <v>231</v>
      </c>
      <c r="AZ614" cm="1">
        <f t="array" ref="AZ614">SUM(IF(Cocina!A:A=Tabla5[[#This Row],[Nº Orden]],Cocina!E:E*Cocina!G:G,0))</f>
        <v>138</v>
      </c>
      <c r="BB614" t="str">
        <f>MID(Tabla4[[#This Row],[Cliente]], SEARCH("_", Tabla4[[#This Row],[Cliente]]) + 1, LEN(Tabla4[[#This Row],[Cliente]]) - SEARCH("_",Tabla4[[#This Row],[Cliente]]))</f>
        <v>680</v>
      </c>
      <c r="BC614" t="str">
        <f>sala!B613</f>
        <v>Cliente_680</v>
      </c>
      <c r="BD614" s="1">
        <f>sala!D613</f>
        <v>45022.05</v>
      </c>
      <c r="BE614" s="1">
        <f>sala!E613</f>
        <v>45022.208333333336</v>
      </c>
      <c r="BF614">
        <f>sala!K613</f>
        <v>612</v>
      </c>
      <c r="BG614">
        <f>sala!I613</f>
        <v>2354</v>
      </c>
      <c r="BH614" cm="1">
        <f t="array" ref="BH614">SUM(IF(Cocina!A:A=Tabla4[[#This Row],[Número de Orden]],Cocina!F:F*Cocina!G:G,0))</f>
        <v>231</v>
      </c>
      <c r="BI614" t="str">
        <f>sala!J613</f>
        <v>Reservada</v>
      </c>
      <c r="BJ614" s="4" t="str">
        <f>IF(Tabla4[[#This Row],[Estado mesa]]="Ocupada","00:15","00:00")</f>
        <v>00:00</v>
      </c>
      <c r="BK614" cm="1">
        <f t="array" ref="BK614">SUM(IF(Cocina!A:A=Tabla4[[#This Row],[Número de Orden]],Cocina!H:H,0))</f>
        <v>129</v>
      </c>
    </row>
    <row r="615" spans="1:63" x14ac:dyDescent="0.3">
      <c r="A615" s="8" t="str">
        <f>MID(Tabla4[[#This Row],[Cliente]], SEARCH("_", Tabla4[[#This Row],[Cliente]]) + 1, LEN(Tabla4[[#This Row],[Cliente]]) - SEARCH("_",Tabla4[[#This Row],[Cliente]]))</f>
        <v>230</v>
      </c>
      <c r="B615">
        <f>sala!K614</f>
        <v>613</v>
      </c>
      <c r="C615">
        <f>Tabla4[[#This Row],[Propina]]+Tabla4[[#This Row],[Precio Cena]]</f>
        <v>2641</v>
      </c>
      <c r="D615" s="3">
        <f>INT(sala!E614)</f>
        <v>45022</v>
      </c>
      <c r="E615" s="4">
        <f>MOD( sala!D614,1)</f>
        <v>8.1250000002910383E-2</v>
      </c>
      <c r="F615" s="4">
        <f>MOD( sala!E614,1)</f>
        <v>0.14930555555474712</v>
      </c>
      <c r="G615" s="4">
        <f>Tabla5[[#This Row],[Hora de Salida]]-Tabla5[[#This Row],[Hora de Llegada]]+Tabla4[[#This Row],[Tiempo Extra]]</f>
        <v>6.8055555551836733E-2</v>
      </c>
      <c r="H615" s="5" t="str">
        <f>TEXT(Tabla4[[#This Row],[Preparación en horas]]/1440, "h:mm")</f>
        <v>2:32</v>
      </c>
      <c r="I615" s="4">
        <f>IF(Tabla5[[#This Row],[Tiempo Permanencia]]-Tabla5[[#This Row],[Tiempo de Preparación ]]&gt;=0,Tabla5[[#This Row],[Tiempo Permanencia]]-Tabla5[[#This Row],[Tiempo de Preparación ]],0)</f>
        <v>0</v>
      </c>
      <c r="J615" s="5" t="str">
        <f>IF(Tabla5[[#This Row],[Tiempo de Degustación]]=0,"No Cobrada","Cobrada")</f>
        <v>No Cobrada</v>
      </c>
      <c r="K615" s="5" cm="1">
        <f t="array" ref="K615">SUM(IF(Tabla5[[#This Row],[Orden Cobrada]]="Cobrada",IF(Cocina!A:A=Tabla5[[#This Row],[Nº Orden]],Cocina!F:F*Cocina!G:G,0),-Tabla6[[#This Row],[Precio Cena]]))</f>
        <v>-285</v>
      </c>
      <c r="L615" s="5">
        <f>IF(Tabla5[[#This Row],[Orden Cobrada]]="Cobrada",Tabla5[[#This Row],[Ganancia Bruta]]-Tabla6[[#This Row],[Coste Cena]],-Tabla6[[#This Row],[Precio Cena]]+Tabla6[[#This Row],[Coste Cena]])</f>
        <v>-117</v>
      </c>
      <c r="M615" s="10">
        <f>IF(Tabla5[[#This Row],[Orden Cobrada]]="Cobrada",((Tabla5[[#This Row],[Ganancia Neta]]/Tabla5[[#This Row],[Ganancia Bruta]])*100)/100,-((Tabla5[[#This Row],[Ganancia Neta]]/Tabla5[[#This Row],[Ganancia Bruta]]*100)/100))</f>
        <v>-0.41052631578947368</v>
      </c>
      <c r="N615" s="5" t="str">
        <f>sala!F614</f>
        <v>Mesero_2</v>
      </c>
      <c r="AY615" cm="1">
        <f t="array" ref="AY615">SUM(IF(Cocina!A:A=Tabla5[[#This Row],[Nº Orden]],Cocina!F:F*Cocina!G:G,0))</f>
        <v>285</v>
      </c>
      <c r="AZ615" cm="1">
        <f t="array" ref="AZ615">SUM(IF(Cocina!A:A=Tabla5[[#This Row],[Nº Orden]],Cocina!E:E*Cocina!G:G,0))</f>
        <v>168</v>
      </c>
      <c r="BB615" t="str">
        <f>MID(Tabla4[[#This Row],[Cliente]], SEARCH("_", Tabla4[[#This Row],[Cliente]]) + 1, LEN(Tabla4[[#This Row],[Cliente]]) - SEARCH("_",Tabla4[[#This Row],[Cliente]]))</f>
        <v>230</v>
      </c>
      <c r="BC615" t="str">
        <f>sala!B614</f>
        <v>Cliente_230</v>
      </c>
      <c r="BD615" s="1">
        <f>sala!D614</f>
        <v>45022.081250000003</v>
      </c>
      <c r="BE615" s="1">
        <f>sala!E614</f>
        <v>45022.149305555555</v>
      </c>
      <c r="BF615">
        <f>sala!K614</f>
        <v>613</v>
      </c>
      <c r="BG615">
        <f>sala!I614</f>
        <v>2356</v>
      </c>
      <c r="BH615" cm="1">
        <f t="array" ref="BH615">SUM(IF(Cocina!A:A=Tabla4[[#This Row],[Número de Orden]],Cocina!F:F*Cocina!G:G,0))</f>
        <v>285</v>
      </c>
      <c r="BI615" t="str">
        <f>sala!J614</f>
        <v>Reservada</v>
      </c>
      <c r="BJ615" s="4" t="str">
        <f>IF(Tabla4[[#This Row],[Estado mesa]]="Ocupada","00:15","00:00")</f>
        <v>00:00</v>
      </c>
      <c r="BK615" cm="1">
        <f t="array" ref="BK615">SUM(IF(Cocina!A:A=Tabla4[[#This Row],[Número de Orden]],Cocina!H:H,0))</f>
        <v>152</v>
      </c>
    </row>
    <row r="616" spans="1:63" x14ac:dyDescent="0.3">
      <c r="A616" s="8" t="str">
        <f>MID(Tabla4[[#This Row],[Cliente]], SEARCH("_", Tabla4[[#This Row],[Cliente]]) + 1, LEN(Tabla4[[#This Row],[Cliente]]) - SEARCH("_",Tabla4[[#This Row],[Cliente]]))</f>
        <v>823</v>
      </c>
      <c r="B616">
        <f>sala!K615</f>
        <v>614</v>
      </c>
      <c r="C616">
        <f>Tabla4[[#This Row],[Propina]]+Tabla4[[#This Row],[Precio Cena]]</f>
        <v>2720</v>
      </c>
      <c r="D616" s="3">
        <f>INT(sala!E615)</f>
        <v>45022</v>
      </c>
      <c r="E616" s="4">
        <f>MOD( sala!D615,1)</f>
        <v>0.1055555555576575</v>
      </c>
      <c r="F616" s="4">
        <f>MOD( sala!E615,1)</f>
        <v>0.19236111111240461</v>
      </c>
      <c r="G616" s="4">
        <f>Tabla5[[#This Row],[Hora de Salida]]-Tabla5[[#This Row],[Hora de Llegada]]+Tabla4[[#This Row],[Tiempo Extra]]</f>
        <v>8.6805555554747116E-2</v>
      </c>
      <c r="H616" s="5" t="str">
        <f>TEXT(Tabla4[[#This Row],[Preparación en horas]]/1440, "h:mm")</f>
        <v>0:50</v>
      </c>
      <c r="I616" s="4">
        <f>IF(Tabla5[[#This Row],[Tiempo Permanencia]]-Tabla5[[#This Row],[Tiempo de Preparación ]]&gt;=0,Tabla5[[#This Row],[Tiempo Permanencia]]-Tabla5[[#This Row],[Tiempo de Preparación ]],0)</f>
        <v>5.2083333332524892E-2</v>
      </c>
      <c r="J616" s="5" t="str">
        <f>IF(Tabla5[[#This Row],[Tiempo de Degustación]]=0,"No Cobrada","Cobrada")</f>
        <v>Cobrada</v>
      </c>
      <c r="K616" s="5" cm="1">
        <f t="array" ref="K616">SUM(IF(Tabla5[[#This Row],[Orden Cobrada]]="Cobrada",IF(Cocina!A:A=Tabla5[[#This Row],[Nº Orden]],Cocina!F:F*Cocina!G:G,0),-Tabla6[[#This Row],[Precio Cena]]))</f>
        <v>72</v>
      </c>
      <c r="L616" s="5">
        <f>IF(Tabla5[[#This Row],[Orden Cobrada]]="Cobrada",Tabla5[[#This Row],[Ganancia Bruta]]-Tabla6[[#This Row],[Coste Cena]],-Tabla6[[#This Row],[Precio Cena]]+Tabla6[[#This Row],[Coste Cena]])</f>
        <v>30</v>
      </c>
      <c r="M616" s="10">
        <f>IF(Tabla5[[#This Row],[Orden Cobrada]]="Cobrada",((Tabla5[[#This Row],[Ganancia Neta]]/Tabla5[[#This Row],[Ganancia Bruta]])*100)/100,-((Tabla5[[#This Row],[Ganancia Neta]]/Tabla5[[#This Row],[Ganancia Bruta]]*100)/100))</f>
        <v>0.41666666666666674</v>
      </c>
      <c r="N616" s="5" t="str">
        <f>sala!F615</f>
        <v>Mesero_1</v>
      </c>
      <c r="AY616" cm="1">
        <f t="array" ref="AY616">SUM(IF(Cocina!A:A=Tabla5[[#This Row],[Nº Orden]],Cocina!F:F*Cocina!G:G,0))</f>
        <v>72</v>
      </c>
      <c r="AZ616" cm="1">
        <f t="array" ref="AZ616">SUM(IF(Cocina!A:A=Tabla5[[#This Row],[Nº Orden]],Cocina!E:E*Cocina!G:G,0))</f>
        <v>42</v>
      </c>
      <c r="BB616" t="str">
        <f>MID(Tabla4[[#This Row],[Cliente]], SEARCH("_", Tabla4[[#This Row],[Cliente]]) + 1, LEN(Tabla4[[#This Row],[Cliente]]) - SEARCH("_",Tabla4[[#This Row],[Cliente]]))</f>
        <v>823</v>
      </c>
      <c r="BC616" t="str">
        <f>sala!B615</f>
        <v>Cliente_823</v>
      </c>
      <c r="BD616" s="1">
        <f>sala!D615</f>
        <v>45022.105555555558</v>
      </c>
      <c r="BE616" s="1">
        <f>sala!E615</f>
        <v>45022.192361111112</v>
      </c>
      <c r="BF616">
        <f>sala!K615</f>
        <v>614</v>
      </c>
      <c r="BG616">
        <f>sala!I615</f>
        <v>2648</v>
      </c>
      <c r="BH616" cm="1">
        <f t="array" ref="BH616">SUM(IF(Cocina!A:A=Tabla4[[#This Row],[Número de Orden]],Cocina!F:F*Cocina!G:G,0))</f>
        <v>72</v>
      </c>
      <c r="BI616" t="str">
        <f>sala!J615</f>
        <v>Reservada</v>
      </c>
      <c r="BJ616" s="4" t="str">
        <f>IF(Tabla4[[#This Row],[Estado mesa]]="Ocupada","00:15","00:00")</f>
        <v>00:00</v>
      </c>
      <c r="BK616" cm="1">
        <f t="array" ref="BK616">SUM(IF(Cocina!A:A=Tabla4[[#This Row],[Número de Orden]],Cocina!H:H,0))</f>
        <v>50</v>
      </c>
    </row>
    <row r="617" spans="1:63" x14ac:dyDescent="0.3">
      <c r="A617" s="8" t="str">
        <f>MID(Tabla4[[#This Row],[Cliente]], SEARCH("_", Tabla4[[#This Row],[Cliente]]) + 1, LEN(Tabla4[[#This Row],[Cliente]]) - SEARCH("_",Tabla4[[#This Row],[Cliente]]))</f>
        <v>513</v>
      </c>
      <c r="B617">
        <f>sala!K616</f>
        <v>615</v>
      </c>
      <c r="C617">
        <f>Tabla4[[#This Row],[Propina]]+Tabla4[[#This Row],[Precio Cena]]</f>
        <v>2175</v>
      </c>
      <c r="D617" s="3">
        <f>INT(sala!E616)</f>
        <v>45022</v>
      </c>
      <c r="E617" s="4">
        <f>MOD( sala!D616,1)</f>
        <v>3.1944444446708076E-2</v>
      </c>
      <c r="F617" s="4">
        <f>MOD( sala!E616,1)</f>
        <v>7.8472222223354038E-2</v>
      </c>
      <c r="G617" s="4">
        <f>Tabla5[[#This Row],[Hora de Salida]]-Tabla5[[#This Row],[Hora de Llegada]]+Tabla4[[#This Row],[Tiempo Extra]]</f>
        <v>5.6944444443312627E-2</v>
      </c>
      <c r="H617" s="5" t="str">
        <f>TEXT(Tabla4[[#This Row],[Preparación en horas]]/1440, "h:mm")</f>
        <v>2:36</v>
      </c>
      <c r="I617" s="4">
        <f>IF(Tabla5[[#This Row],[Tiempo Permanencia]]-Tabla5[[#This Row],[Tiempo de Preparación ]]&gt;=0,Tabla5[[#This Row],[Tiempo Permanencia]]-Tabla5[[#This Row],[Tiempo de Preparación ]],0)</f>
        <v>0</v>
      </c>
      <c r="J617" s="5" t="str">
        <f>IF(Tabla5[[#This Row],[Tiempo de Degustación]]=0,"No Cobrada","Cobrada")</f>
        <v>No Cobrada</v>
      </c>
      <c r="K617" s="5" cm="1">
        <f t="array" ref="K617">SUM(IF(Tabla5[[#This Row],[Orden Cobrada]]="Cobrada",IF(Cocina!A:A=Tabla5[[#This Row],[Nº Orden]],Cocina!F:F*Cocina!G:G,0),-Tabla6[[#This Row],[Precio Cena]]))</f>
        <v>-333</v>
      </c>
      <c r="L617" s="5">
        <f>IF(Tabla5[[#This Row],[Orden Cobrada]]="Cobrada",Tabla5[[#This Row],[Ganancia Bruta]]-Tabla6[[#This Row],[Coste Cena]],-Tabla6[[#This Row],[Precio Cena]]+Tabla6[[#This Row],[Coste Cena]])</f>
        <v>-132</v>
      </c>
      <c r="M617" s="10">
        <f>IF(Tabla5[[#This Row],[Orden Cobrada]]="Cobrada",((Tabla5[[#This Row],[Ganancia Neta]]/Tabla5[[#This Row],[Ganancia Bruta]])*100)/100,-((Tabla5[[#This Row],[Ganancia Neta]]/Tabla5[[#This Row],[Ganancia Bruta]]*100)/100))</f>
        <v>-0.3963963963963964</v>
      </c>
      <c r="N617" s="5" t="str">
        <f>sala!F616</f>
        <v>Mesero_5</v>
      </c>
      <c r="AY617" cm="1">
        <f t="array" ref="AY617">SUM(IF(Cocina!A:A=Tabla5[[#This Row],[Nº Orden]],Cocina!F:F*Cocina!G:G,0))</f>
        <v>333</v>
      </c>
      <c r="AZ617" cm="1">
        <f t="array" ref="AZ617">SUM(IF(Cocina!A:A=Tabla5[[#This Row],[Nº Orden]],Cocina!E:E*Cocina!G:G,0))</f>
        <v>201</v>
      </c>
      <c r="BB617" t="str">
        <f>MID(Tabla4[[#This Row],[Cliente]], SEARCH("_", Tabla4[[#This Row],[Cliente]]) + 1, LEN(Tabla4[[#This Row],[Cliente]]) - SEARCH("_",Tabla4[[#This Row],[Cliente]]))</f>
        <v>513</v>
      </c>
      <c r="BC617" t="str">
        <f>sala!B616</f>
        <v>Cliente_513</v>
      </c>
      <c r="BD617" s="1">
        <f>sala!D616</f>
        <v>45022.031944444447</v>
      </c>
      <c r="BE617" s="1">
        <f>sala!E616</f>
        <v>45022.078472222223</v>
      </c>
      <c r="BF617">
        <f>sala!K616</f>
        <v>615</v>
      </c>
      <c r="BG617">
        <f>sala!I616</f>
        <v>1842</v>
      </c>
      <c r="BH617" cm="1">
        <f t="array" ref="BH617">SUM(IF(Cocina!A:A=Tabla4[[#This Row],[Número de Orden]],Cocina!F:F*Cocina!G:G,0))</f>
        <v>333</v>
      </c>
      <c r="BI617" t="str">
        <f>sala!J616</f>
        <v>Ocupada</v>
      </c>
      <c r="BJ617" s="4" t="str">
        <f>IF(Tabla4[[#This Row],[Estado mesa]]="Ocupada","00:15","00:00")</f>
        <v>00:15</v>
      </c>
      <c r="BK617" cm="1">
        <f t="array" ref="BK617">SUM(IF(Cocina!A:A=Tabla4[[#This Row],[Número de Orden]],Cocina!H:H,0))</f>
        <v>156</v>
      </c>
    </row>
    <row r="618" spans="1:63" x14ac:dyDescent="0.3">
      <c r="A618" s="8" t="str">
        <f>MID(Tabla4[[#This Row],[Cliente]], SEARCH("_", Tabla4[[#This Row],[Cliente]]) + 1, LEN(Tabla4[[#This Row],[Cliente]]) - SEARCH("_",Tabla4[[#This Row],[Cliente]]))</f>
        <v>608</v>
      </c>
      <c r="B618">
        <f>sala!K617</f>
        <v>616</v>
      </c>
      <c r="C618">
        <f>Tabla4[[#This Row],[Propina]]+Tabla4[[#This Row],[Precio Cena]]</f>
        <v>2521</v>
      </c>
      <c r="D618" s="3">
        <f>INT(sala!E617)</f>
        <v>45022</v>
      </c>
      <c r="E618" s="4">
        <f>MOD( sala!D617,1)</f>
        <v>9.7222222248092294E-3</v>
      </c>
      <c r="F618" s="4">
        <f>MOD( sala!E617,1)</f>
        <v>0.15000000000145519</v>
      </c>
      <c r="G618" s="4">
        <f>Tabla5[[#This Row],[Hora de Salida]]-Tabla5[[#This Row],[Hora de Llegada]]+Tabla4[[#This Row],[Tiempo Extra]]</f>
        <v>0.15069444444331262</v>
      </c>
      <c r="H618" s="5" t="str">
        <f>TEXT(Tabla4[[#This Row],[Preparación en horas]]/1440, "h:mm")</f>
        <v>0:47</v>
      </c>
      <c r="I618" s="4">
        <f>IF(Tabla5[[#This Row],[Tiempo Permanencia]]-Tabla5[[#This Row],[Tiempo de Preparación ]]&gt;=0,Tabla5[[#This Row],[Tiempo Permanencia]]-Tabla5[[#This Row],[Tiempo de Preparación ]],0)</f>
        <v>0.11805555555442374</v>
      </c>
      <c r="J618" s="5" t="str">
        <f>IF(Tabla5[[#This Row],[Tiempo de Degustación]]=0,"No Cobrada","Cobrada")</f>
        <v>Cobrada</v>
      </c>
      <c r="K618" s="5" cm="1">
        <f t="array" ref="K618">SUM(IF(Tabla5[[#This Row],[Orden Cobrada]]="Cobrada",IF(Cocina!A:A=Tabla5[[#This Row],[Nº Orden]],Cocina!F:F*Cocina!G:G,0),-Tabla6[[#This Row],[Precio Cena]]))</f>
        <v>132</v>
      </c>
      <c r="L618" s="5">
        <f>IF(Tabla5[[#This Row],[Orden Cobrada]]="Cobrada",Tabla5[[#This Row],[Ganancia Bruta]]-Tabla6[[#This Row],[Coste Cena]],-Tabla6[[#This Row],[Precio Cena]]+Tabla6[[#This Row],[Coste Cena]])</f>
        <v>54</v>
      </c>
      <c r="M618" s="10">
        <f>IF(Tabla5[[#This Row],[Orden Cobrada]]="Cobrada",((Tabla5[[#This Row],[Ganancia Neta]]/Tabla5[[#This Row],[Ganancia Bruta]])*100)/100,-((Tabla5[[#This Row],[Ganancia Neta]]/Tabla5[[#This Row],[Ganancia Bruta]]*100)/100))</f>
        <v>0.40909090909090912</v>
      </c>
      <c r="N618" s="5" t="str">
        <f>sala!F617</f>
        <v>Mesero_5</v>
      </c>
      <c r="AY618" cm="1">
        <f t="array" ref="AY618">SUM(IF(Cocina!A:A=Tabla5[[#This Row],[Nº Orden]],Cocina!F:F*Cocina!G:G,0))</f>
        <v>132</v>
      </c>
      <c r="AZ618" cm="1">
        <f t="array" ref="AZ618">SUM(IF(Cocina!A:A=Tabla5[[#This Row],[Nº Orden]],Cocina!E:E*Cocina!G:G,0))</f>
        <v>78</v>
      </c>
      <c r="BB618" t="str">
        <f>MID(Tabla4[[#This Row],[Cliente]], SEARCH("_", Tabla4[[#This Row],[Cliente]]) + 1, LEN(Tabla4[[#This Row],[Cliente]]) - SEARCH("_",Tabla4[[#This Row],[Cliente]]))</f>
        <v>608</v>
      </c>
      <c r="BC618" t="str">
        <f>sala!B617</f>
        <v>Cliente_608</v>
      </c>
      <c r="BD618" s="1">
        <f>sala!D617</f>
        <v>45022.009722222225</v>
      </c>
      <c r="BE618" s="1">
        <f>sala!E617</f>
        <v>45022.15</v>
      </c>
      <c r="BF618">
        <f>sala!K617</f>
        <v>616</v>
      </c>
      <c r="BG618">
        <f>sala!I617</f>
        <v>2389</v>
      </c>
      <c r="BH618" cm="1">
        <f t="array" ref="BH618">SUM(IF(Cocina!A:A=Tabla4[[#This Row],[Número de Orden]],Cocina!F:F*Cocina!G:G,0))</f>
        <v>132</v>
      </c>
      <c r="BI618" t="str">
        <f>sala!J617</f>
        <v>Ocupada</v>
      </c>
      <c r="BJ618" s="4" t="str">
        <f>IF(Tabla4[[#This Row],[Estado mesa]]="Ocupada","00:15","00:00")</f>
        <v>00:15</v>
      </c>
      <c r="BK618" cm="1">
        <f t="array" ref="BK618">SUM(IF(Cocina!A:A=Tabla4[[#This Row],[Número de Orden]],Cocina!H:H,0))</f>
        <v>47</v>
      </c>
    </row>
    <row r="619" spans="1:63" x14ac:dyDescent="0.3">
      <c r="A619" s="8" t="str">
        <f>MID(Tabla4[[#This Row],[Cliente]], SEARCH("_", Tabla4[[#This Row],[Cliente]]) + 1, LEN(Tabla4[[#This Row],[Cliente]]) - SEARCH("_",Tabla4[[#This Row],[Cliente]]))</f>
        <v>27</v>
      </c>
      <c r="B619">
        <f>sala!K618</f>
        <v>617</v>
      </c>
      <c r="C619">
        <f>Tabla4[[#This Row],[Propina]]+Tabla4[[#This Row],[Precio Cena]]</f>
        <v>3960</v>
      </c>
      <c r="D619" s="3">
        <f>INT(sala!E618)</f>
        <v>45022</v>
      </c>
      <c r="E619" s="4">
        <f>MOD( sala!D618,1)</f>
        <v>5.5555555554747116E-2</v>
      </c>
      <c r="F619" s="4">
        <f>MOD( sala!E618,1)</f>
        <v>0.22013888888614019</v>
      </c>
      <c r="G619" s="4">
        <f>Tabla5[[#This Row],[Hora de Salida]]-Tabla5[[#This Row],[Hora de Llegada]]+Tabla4[[#This Row],[Tiempo Extra]]</f>
        <v>0.16458333333139308</v>
      </c>
      <c r="H619" s="5" t="str">
        <f>TEXT(Tabla4[[#This Row],[Preparación en horas]]/1440, "h:mm")</f>
        <v>0:51</v>
      </c>
      <c r="I619" s="4">
        <f>IF(Tabla5[[#This Row],[Tiempo Permanencia]]-Tabla5[[#This Row],[Tiempo de Preparación ]]&gt;=0,Tabla5[[#This Row],[Tiempo Permanencia]]-Tabla5[[#This Row],[Tiempo de Preparación ]],0)</f>
        <v>0.12916666666472643</v>
      </c>
      <c r="J619" s="5" t="str">
        <f>IF(Tabla5[[#This Row],[Tiempo de Degustación]]=0,"No Cobrada","Cobrada")</f>
        <v>Cobrada</v>
      </c>
      <c r="K619" s="5" cm="1">
        <f t="array" ref="K619">SUM(IF(Tabla5[[#This Row],[Orden Cobrada]]="Cobrada",IF(Cocina!A:A=Tabla5[[#This Row],[Nº Orden]],Cocina!F:F*Cocina!G:G,0),-Tabla6[[#This Row],[Precio Cena]]))</f>
        <v>142</v>
      </c>
      <c r="L619" s="5">
        <f>IF(Tabla5[[#This Row],[Orden Cobrada]]="Cobrada",Tabla5[[#This Row],[Ganancia Bruta]]-Tabla6[[#This Row],[Coste Cena]],-Tabla6[[#This Row],[Precio Cena]]+Tabla6[[#This Row],[Coste Cena]])</f>
        <v>58</v>
      </c>
      <c r="M619" s="10">
        <f>IF(Tabla5[[#This Row],[Orden Cobrada]]="Cobrada",((Tabla5[[#This Row],[Ganancia Neta]]/Tabla5[[#This Row],[Ganancia Bruta]])*100)/100,-((Tabla5[[#This Row],[Ganancia Neta]]/Tabla5[[#This Row],[Ganancia Bruta]]*100)/100))</f>
        <v>0.40845070422535218</v>
      </c>
      <c r="N619" s="5" t="str">
        <f>sala!F618</f>
        <v>Mesero_2</v>
      </c>
      <c r="AY619" cm="1">
        <f t="array" ref="AY619">SUM(IF(Cocina!A:A=Tabla5[[#This Row],[Nº Orden]],Cocina!F:F*Cocina!G:G,0))</f>
        <v>142</v>
      </c>
      <c r="AZ619" cm="1">
        <f t="array" ref="AZ619">SUM(IF(Cocina!A:A=Tabla5[[#This Row],[Nº Orden]],Cocina!E:E*Cocina!G:G,0))</f>
        <v>84</v>
      </c>
      <c r="BB619" t="str">
        <f>MID(Tabla4[[#This Row],[Cliente]], SEARCH("_", Tabla4[[#This Row],[Cliente]]) + 1, LEN(Tabla4[[#This Row],[Cliente]]) - SEARCH("_",Tabla4[[#This Row],[Cliente]]))</f>
        <v>27</v>
      </c>
      <c r="BC619" t="str">
        <f>sala!B618</f>
        <v>Cliente_27</v>
      </c>
      <c r="BD619" s="1">
        <f>sala!D618</f>
        <v>45022.055555555555</v>
      </c>
      <c r="BE619" s="1">
        <f>sala!E618</f>
        <v>45022.220138888886</v>
      </c>
      <c r="BF619">
        <f>sala!K618</f>
        <v>617</v>
      </c>
      <c r="BG619">
        <f>sala!I618</f>
        <v>3818</v>
      </c>
      <c r="BH619" cm="1">
        <f t="array" ref="BH619">SUM(IF(Cocina!A:A=Tabla4[[#This Row],[Número de Orden]],Cocina!F:F*Cocina!G:G,0))</f>
        <v>142</v>
      </c>
      <c r="BI619" t="str">
        <f>sala!J618</f>
        <v>Libre</v>
      </c>
      <c r="BJ619" s="4" t="str">
        <f>IF(Tabla4[[#This Row],[Estado mesa]]="Ocupada","00:15","00:00")</f>
        <v>00:00</v>
      </c>
      <c r="BK619" cm="1">
        <f t="array" ref="BK619">SUM(IF(Cocina!A:A=Tabla4[[#This Row],[Número de Orden]],Cocina!H:H,0))</f>
        <v>51</v>
      </c>
    </row>
    <row r="620" spans="1:63" x14ac:dyDescent="0.3">
      <c r="A620" s="8" t="str">
        <f>MID(Tabla4[[#This Row],[Cliente]], SEARCH("_", Tabla4[[#This Row],[Cliente]]) + 1, LEN(Tabla4[[#This Row],[Cliente]]) - SEARCH("_",Tabla4[[#This Row],[Cliente]]))</f>
        <v>973</v>
      </c>
      <c r="B620">
        <f>sala!K619</f>
        <v>618</v>
      </c>
      <c r="C620">
        <f>Tabla4[[#This Row],[Propina]]+Tabla4[[#This Row],[Precio Cena]]</f>
        <v>2912</v>
      </c>
      <c r="D620" s="3">
        <f>INT(sala!E619)</f>
        <v>45022</v>
      </c>
      <c r="E620" s="4">
        <f>MOD( sala!D619,1)</f>
        <v>3.888888889196096E-2</v>
      </c>
      <c r="F620" s="4">
        <f>MOD( sala!E619,1)</f>
        <v>0.13333333333139308</v>
      </c>
      <c r="G620" s="4">
        <f>Tabla5[[#This Row],[Hora de Salida]]-Tabla5[[#This Row],[Hora de Llegada]]+Tabla4[[#This Row],[Tiempo Extra]]</f>
        <v>9.4444444439432118E-2</v>
      </c>
      <c r="H620" s="5" t="str">
        <f>TEXT(Tabla4[[#This Row],[Preparación en horas]]/1440, "h:mm")</f>
        <v>1:58</v>
      </c>
      <c r="I620" s="4">
        <f>IF(Tabla5[[#This Row],[Tiempo Permanencia]]-Tabla5[[#This Row],[Tiempo de Preparación ]]&gt;=0,Tabla5[[#This Row],[Tiempo Permanencia]]-Tabla5[[#This Row],[Tiempo de Preparación ]],0)</f>
        <v>1.2499999994987673E-2</v>
      </c>
      <c r="J620" s="5" t="str">
        <f>IF(Tabla5[[#This Row],[Tiempo de Degustación]]=0,"No Cobrada","Cobrada")</f>
        <v>Cobrada</v>
      </c>
      <c r="K620" s="5" cm="1">
        <f t="array" ref="K620">SUM(IF(Tabla5[[#This Row],[Orden Cobrada]]="Cobrada",IF(Cocina!A:A=Tabla5[[#This Row],[Nº Orden]],Cocina!F:F*Cocina!G:G,0),-Tabla6[[#This Row],[Precio Cena]]))</f>
        <v>319</v>
      </c>
      <c r="L620" s="5">
        <f>IF(Tabla5[[#This Row],[Orden Cobrada]]="Cobrada",Tabla5[[#This Row],[Ganancia Bruta]]-Tabla6[[#This Row],[Coste Cena]],-Tabla6[[#This Row],[Precio Cena]]+Tabla6[[#This Row],[Coste Cena]])</f>
        <v>128</v>
      </c>
      <c r="M620" s="10">
        <f>IF(Tabla5[[#This Row],[Orden Cobrada]]="Cobrada",((Tabla5[[#This Row],[Ganancia Neta]]/Tabla5[[#This Row],[Ganancia Bruta]])*100)/100,-((Tabla5[[#This Row],[Ganancia Neta]]/Tabla5[[#This Row],[Ganancia Bruta]]*100)/100))</f>
        <v>0.40125391849529779</v>
      </c>
      <c r="N620" s="5" t="str">
        <f>sala!F619</f>
        <v>Mesero_4</v>
      </c>
      <c r="AY620" cm="1">
        <f t="array" ref="AY620">SUM(IF(Cocina!A:A=Tabla5[[#This Row],[Nº Orden]],Cocina!F:F*Cocina!G:G,0))</f>
        <v>319</v>
      </c>
      <c r="AZ620" cm="1">
        <f t="array" ref="AZ620">SUM(IF(Cocina!A:A=Tabla5[[#This Row],[Nº Orden]],Cocina!E:E*Cocina!G:G,0))</f>
        <v>191</v>
      </c>
      <c r="BB620" t="str">
        <f>MID(Tabla4[[#This Row],[Cliente]], SEARCH("_", Tabla4[[#This Row],[Cliente]]) + 1, LEN(Tabla4[[#This Row],[Cliente]]) - SEARCH("_",Tabla4[[#This Row],[Cliente]]))</f>
        <v>973</v>
      </c>
      <c r="BC620" t="str">
        <f>sala!B619</f>
        <v>Cliente_973</v>
      </c>
      <c r="BD620" s="1">
        <f>sala!D619</f>
        <v>45022.038888888892</v>
      </c>
      <c r="BE620" s="1">
        <f>sala!E619</f>
        <v>45022.133333333331</v>
      </c>
      <c r="BF620">
        <f>sala!K619</f>
        <v>618</v>
      </c>
      <c r="BG620">
        <f>sala!I619</f>
        <v>2593</v>
      </c>
      <c r="BH620" cm="1">
        <f t="array" ref="BH620">SUM(IF(Cocina!A:A=Tabla4[[#This Row],[Número de Orden]],Cocina!F:F*Cocina!G:G,0))</f>
        <v>319</v>
      </c>
      <c r="BI620" t="str">
        <f>sala!J619</f>
        <v>Libre</v>
      </c>
      <c r="BJ620" s="4" t="str">
        <f>IF(Tabla4[[#This Row],[Estado mesa]]="Ocupada","00:15","00:00")</f>
        <v>00:00</v>
      </c>
      <c r="BK620" cm="1">
        <f t="array" ref="BK620">SUM(IF(Cocina!A:A=Tabla4[[#This Row],[Número de Orden]],Cocina!H:H,0))</f>
        <v>118</v>
      </c>
    </row>
    <row r="621" spans="1:63" x14ac:dyDescent="0.3">
      <c r="A621" s="8" t="str">
        <f>MID(Tabla4[[#This Row],[Cliente]], SEARCH("_", Tabla4[[#This Row],[Cliente]]) + 1, LEN(Tabla4[[#This Row],[Cliente]]) - SEARCH("_",Tabla4[[#This Row],[Cliente]]))</f>
        <v>619</v>
      </c>
      <c r="B621">
        <f>sala!K620</f>
        <v>619</v>
      </c>
      <c r="C621">
        <f>Tabla4[[#This Row],[Propina]]+Tabla4[[#This Row],[Precio Cena]]</f>
        <v>1776</v>
      </c>
      <c r="D621" s="3">
        <f>INT(sala!E620)</f>
        <v>45022</v>
      </c>
      <c r="E621" s="4">
        <f>MOD( sala!D620,1)</f>
        <v>1.1111111110949423E-2</v>
      </c>
      <c r="F621" s="4">
        <f>MOD( sala!E620,1)</f>
        <v>0.11180555555620231</v>
      </c>
      <c r="G621" s="4">
        <f>Tabla5[[#This Row],[Hora de Salida]]-Tabla5[[#This Row],[Hora de Llegada]]+Tabla4[[#This Row],[Tiempo Extra]]</f>
        <v>0.10069444444525288</v>
      </c>
      <c r="H621" s="5" t="str">
        <f>TEXT(Tabla4[[#This Row],[Preparación en horas]]/1440, "h:mm")</f>
        <v>1:36</v>
      </c>
      <c r="I621" s="4">
        <f>IF(Tabla5[[#This Row],[Tiempo Permanencia]]-Tabla5[[#This Row],[Tiempo de Preparación ]]&gt;=0,Tabla5[[#This Row],[Tiempo Permanencia]]-Tabla5[[#This Row],[Tiempo de Preparación ]],0)</f>
        <v>3.4027777778586218E-2</v>
      </c>
      <c r="J621" s="5" t="str">
        <f>IF(Tabla5[[#This Row],[Tiempo de Degustación]]=0,"No Cobrada","Cobrada")</f>
        <v>Cobrada</v>
      </c>
      <c r="K621" s="5" cm="1">
        <f t="array" ref="K621">SUM(IF(Tabla5[[#This Row],[Orden Cobrada]]="Cobrada",IF(Cocina!A:A=Tabla5[[#This Row],[Nº Orden]],Cocina!F:F*Cocina!G:G,0),-Tabla6[[#This Row],[Precio Cena]]))</f>
        <v>132</v>
      </c>
      <c r="L621" s="5">
        <f>IF(Tabla5[[#This Row],[Orden Cobrada]]="Cobrada",Tabla5[[#This Row],[Ganancia Bruta]]-Tabla6[[#This Row],[Coste Cena]],-Tabla6[[#This Row],[Precio Cena]]+Tabla6[[#This Row],[Coste Cena]])</f>
        <v>55</v>
      </c>
      <c r="M621" s="10">
        <f>IF(Tabla5[[#This Row],[Orden Cobrada]]="Cobrada",((Tabla5[[#This Row],[Ganancia Neta]]/Tabla5[[#This Row],[Ganancia Bruta]])*100)/100,-((Tabla5[[#This Row],[Ganancia Neta]]/Tabla5[[#This Row],[Ganancia Bruta]]*100)/100))</f>
        <v>0.41666666666666674</v>
      </c>
      <c r="N621" s="5" t="str">
        <f>sala!F620</f>
        <v>Mesero_5</v>
      </c>
      <c r="AY621" cm="1">
        <f t="array" ref="AY621">SUM(IF(Cocina!A:A=Tabla5[[#This Row],[Nº Orden]],Cocina!F:F*Cocina!G:G,0))</f>
        <v>132</v>
      </c>
      <c r="AZ621" cm="1">
        <f t="array" ref="AZ621">SUM(IF(Cocina!A:A=Tabla5[[#This Row],[Nº Orden]],Cocina!E:E*Cocina!G:G,0))</f>
        <v>77</v>
      </c>
      <c r="BB621" t="str">
        <f>MID(Tabla4[[#This Row],[Cliente]], SEARCH("_", Tabla4[[#This Row],[Cliente]]) + 1, LEN(Tabla4[[#This Row],[Cliente]]) - SEARCH("_",Tabla4[[#This Row],[Cliente]]))</f>
        <v>619</v>
      </c>
      <c r="BC621" t="str">
        <f>sala!B620</f>
        <v>Cliente_619</v>
      </c>
      <c r="BD621" s="1">
        <f>sala!D620</f>
        <v>45022.011111111111</v>
      </c>
      <c r="BE621" s="1">
        <f>sala!E620</f>
        <v>45022.111805555556</v>
      </c>
      <c r="BF621">
        <f>sala!K620</f>
        <v>619</v>
      </c>
      <c r="BG621">
        <f>sala!I620</f>
        <v>1644</v>
      </c>
      <c r="BH621" cm="1">
        <f t="array" ref="BH621">SUM(IF(Cocina!A:A=Tabla4[[#This Row],[Número de Orden]],Cocina!F:F*Cocina!G:G,0))</f>
        <v>132</v>
      </c>
      <c r="BI621" t="str">
        <f>sala!J620</f>
        <v>Reservada</v>
      </c>
      <c r="BJ621" s="4" t="str">
        <f>IF(Tabla4[[#This Row],[Estado mesa]]="Ocupada","00:15","00:00")</f>
        <v>00:00</v>
      </c>
      <c r="BK621" cm="1">
        <f t="array" ref="BK621">SUM(IF(Cocina!A:A=Tabla4[[#This Row],[Número de Orden]],Cocina!H:H,0))</f>
        <v>96</v>
      </c>
    </row>
    <row r="622" spans="1:63" x14ac:dyDescent="0.3">
      <c r="A622" s="8" t="str">
        <f>MID(Tabla4[[#This Row],[Cliente]], SEARCH("_", Tabla4[[#This Row],[Cliente]]) + 1, LEN(Tabla4[[#This Row],[Cliente]]) - SEARCH("_",Tabla4[[#This Row],[Cliente]]))</f>
        <v>592</v>
      </c>
      <c r="B622">
        <f>sala!K621</f>
        <v>620</v>
      </c>
      <c r="C622">
        <f>Tabla4[[#This Row],[Propina]]+Tabla4[[#This Row],[Precio Cena]]</f>
        <v>2721</v>
      </c>
      <c r="D622" s="3">
        <f>INT(sala!E621)</f>
        <v>45022</v>
      </c>
      <c r="E622" s="4">
        <f>MOD( sala!D621,1)</f>
        <v>0.11736111110803904</v>
      </c>
      <c r="F622" s="4">
        <f>MOD( sala!E621,1)</f>
        <v>0.25486111111240461</v>
      </c>
      <c r="G622" s="4">
        <f>Tabla5[[#This Row],[Hora de Salida]]-Tabla5[[#This Row],[Hora de Llegada]]+Tabla4[[#This Row],[Tiempo Extra]]</f>
        <v>0.13750000000436557</v>
      </c>
      <c r="H622" s="5" t="str">
        <f>TEXT(Tabla4[[#This Row],[Preparación en horas]]/1440, "h:mm")</f>
        <v>0:40</v>
      </c>
      <c r="I622" s="4">
        <f>IF(Tabla5[[#This Row],[Tiempo Permanencia]]-Tabla5[[#This Row],[Tiempo de Preparación ]]&gt;=0,Tabla5[[#This Row],[Tiempo Permanencia]]-Tabla5[[#This Row],[Tiempo de Preparación ]],0)</f>
        <v>0.1097222222265878</v>
      </c>
      <c r="J622" s="5" t="str">
        <f>IF(Tabla5[[#This Row],[Tiempo de Degustación]]=0,"No Cobrada","Cobrada")</f>
        <v>Cobrada</v>
      </c>
      <c r="K622" s="5" cm="1">
        <f t="array" ref="K622">SUM(IF(Tabla5[[#This Row],[Orden Cobrada]]="Cobrada",IF(Cocina!A:A=Tabla5[[#This Row],[Nº Orden]],Cocina!F:F*Cocina!G:G,0),-Tabla6[[#This Row],[Precio Cena]]))</f>
        <v>57</v>
      </c>
      <c r="L622" s="5">
        <f>IF(Tabla5[[#This Row],[Orden Cobrada]]="Cobrada",Tabla5[[#This Row],[Ganancia Bruta]]-Tabla6[[#This Row],[Coste Cena]],-Tabla6[[#This Row],[Precio Cena]]+Tabla6[[#This Row],[Coste Cena]])</f>
        <v>24</v>
      </c>
      <c r="M622" s="10">
        <f>IF(Tabla5[[#This Row],[Orden Cobrada]]="Cobrada",((Tabla5[[#This Row],[Ganancia Neta]]/Tabla5[[#This Row],[Ganancia Bruta]])*100)/100,-((Tabla5[[#This Row],[Ganancia Neta]]/Tabla5[[#This Row],[Ganancia Bruta]]*100)/100))</f>
        <v>0.42105263157894735</v>
      </c>
      <c r="N622" s="5" t="str">
        <f>sala!F621</f>
        <v>Mesero_4</v>
      </c>
      <c r="AY622" cm="1">
        <f t="array" ref="AY622">SUM(IF(Cocina!A:A=Tabla5[[#This Row],[Nº Orden]],Cocina!F:F*Cocina!G:G,0))</f>
        <v>57</v>
      </c>
      <c r="AZ622" cm="1">
        <f t="array" ref="AZ622">SUM(IF(Cocina!A:A=Tabla5[[#This Row],[Nº Orden]],Cocina!E:E*Cocina!G:G,0))</f>
        <v>33</v>
      </c>
      <c r="BB622" t="str">
        <f>MID(Tabla4[[#This Row],[Cliente]], SEARCH("_", Tabla4[[#This Row],[Cliente]]) + 1, LEN(Tabla4[[#This Row],[Cliente]]) - SEARCH("_",Tabla4[[#This Row],[Cliente]]))</f>
        <v>592</v>
      </c>
      <c r="BC622" t="str">
        <f>sala!B621</f>
        <v>Cliente_592</v>
      </c>
      <c r="BD622" s="1">
        <f>sala!D621</f>
        <v>45022.117361111108</v>
      </c>
      <c r="BE622" s="1">
        <f>sala!E621</f>
        <v>45022.254861111112</v>
      </c>
      <c r="BF622">
        <f>sala!K621</f>
        <v>620</v>
      </c>
      <c r="BG622">
        <f>sala!I621</f>
        <v>2664</v>
      </c>
      <c r="BH622" cm="1">
        <f t="array" ref="BH622">SUM(IF(Cocina!A:A=Tabla4[[#This Row],[Número de Orden]],Cocina!F:F*Cocina!G:G,0))</f>
        <v>57</v>
      </c>
      <c r="BI622" t="str">
        <f>sala!J621</f>
        <v>Reservada</v>
      </c>
      <c r="BJ622" s="4" t="str">
        <f>IF(Tabla4[[#This Row],[Estado mesa]]="Ocupada","00:15","00:00")</f>
        <v>00:00</v>
      </c>
      <c r="BK622" cm="1">
        <f t="array" ref="BK622">SUM(IF(Cocina!A:A=Tabla4[[#This Row],[Número de Orden]],Cocina!H:H,0))</f>
        <v>40</v>
      </c>
    </row>
    <row r="623" spans="1:63" x14ac:dyDescent="0.3">
      <c r="A623" s="8" t="str">
        <f>MID(Tabla4[[#This Row],[Cliente]], SEARCH("_", Tabla4[[#This Row],[Cliente]]) + 1, LEN(Tabla4[[#This Row],[Cliente]]) - SEARCH("_",Tabla4[[#This Row],[Cliente]]))</f>
        <v>575</v>
      </c>
      <c r="B623">
        <f>sala!K622</f>
        <v>621</v>
      </c>
      <c r="C623">
        <f>Tabla4[[#This Row],[Propina]]+Tabla4[[#This Row],[Precio Cena]]</f>
        <v>4332</v>
      </c>
      <c r="D623" s="3">
        <f>INT(sala!E622)</f>
        <v>45022</v>
      </c>
      <c r="E623" s="4">
        <f>MOD( sala!D622,1)</f>
        <v>4.7222222223354038E-2</v>
      </c>
      <c r="F623" s="4">
        <f>MOD( sala!E622,1)</f>
        <v>0.10208333333139308</v>
      </c>
      <c r="G623" s="4">
        <f>Tabla5[[#This Row],[Hora de Salida]]-Tabla5[[#This Row],[Hora de Llegada]]+Tabla4[[#This Row],[Tiempo Extra]]</f>
        <v>6.5277777774705711E-2</v>
      </c>
      <c r="H623" s="5" t="str">
        <f>TEXT(Tabla4[[#This Row],[Preparación en horas]]/1440, "h:mm")</f>
        <v>0:08</v>
      </c>
      <c r="I623" s="4">
        <f>IF(Tabla5[[#This Row],[Tiempo Permanencia]]-Tabla5[[#This Row],[Tiempo de Preparación ]]&gt;=0,Tabla5[[#This Row],[Tiempo Permanencia]]-Tabla5[[#This Row],[Tiempo de Preparación ]],0)</f>
        <v>5.9722222219150155E-2</v>
      </c>
      <c r="J623" s="5" t="str">
        <f>IF(Tabla5[[#This Row],[Tiempo de Degustación]]=0,"No Cobrada","Cobrada")</f>
        <v>Cobrada</v>
      </c>
      <c r="K623" s="5" cm="1">
        <f t="array" ref="K623">SUM(IF(Tabla5[[#This Row],[Orden Cobrada]]="Cobrada",IF(Cocina!A:A=Tabla5[[#This Row],[Nº Orden]],Cocina!F:F*Cocina!G:G,0),-Tabla6[[#This Row],[Precio Cena]]))</f>
        <v>105</v>
      </c>
      <c r="L623" s="5">
        <f>IF(Tabla5[[#This Row],[Orden Cobrada]]="Cobrada",Tabla5[[#This Row],[Ganancia Bruta]]-Tabla6[[#This Row],[Coste Cena]],-Tabla6[[#This Row],[Precio Cena]]+Tabla6[[#This Row],[Coste Cena]])</f>
        <v>42</v>
      </c>
      <c r="M623" s="10">
        <f>IF(Tabla5[[#This Row],[Orden Cobrada]]="Cobrada",((Tabla5[[#This Row],[Ganancia Neta]]/Tabla5[[#This Row],[Ganancia Bruta]])*100)/100,-((Tabla5[[#This Row],[Ganancia Neta]]/Tabla5[[#This Row],[Ganancia Bruta]]*100)/100))</f>
        <v>0.4</v>
      </c>
      <c r="N623" s="5" t="str">
        <f>sala!F622</f>
        <v>Mesero_2</v>
      </c>
      <c r="AY623" cm="1">
        <f t="array" ref="AY623">SUM(IF(Cocina!A:A=Tabla5[[#This Row],[Nº Orden]],Cocina!F:F*Cocina!G:G,0))</f>
        <v>105</v>
      </c>
      <c r="AZ623" cm="1">
        <f t="array" ref="AZ623">SUM(IF(Cocina!A:A=Tabla5[[#This Row],[Nº Orden]],Cocina!E:E*Cocina!G:G,0))</f>
        <v>63</v>
      </c>
      <c r="BB623" t="str">
        <f>MID(Tabla4[[#This Row],[Cliente]], SEARCH("_", Tabla4[[#This Row],[Cliente]]) + 1, LEN(Tabla4[[#This Row],[Cliente]]) - SEARCH("_",Tabla4[[#This Row],[Cliente]]))</f>
        <v>575</v>
      </c>
      <c r="BC623" t="str">
        <f>sala!B622</f>
        <v>Cliente_575</v>
      </c>
      <c r="BD623" s="1">
        <f>sala!D622</f>
        <v>45022.047222222223</v>
      </c>
      <c r="BE623" s="1">
        <f>sala!E622</f>
        <v>45022.102083333331</v>
      </c>
      <c r="BF623">
        <f>sala!K622</f>
        <v>621</v>
      </c>
      <c r="BG623">
        <f>sala!I622</f>
        <v>4227</v>
      </c>
      <c r="BH623" cm="1">
        <f t="array" ref="BH623">SUM(IF(Cocina!A:A=Tabla4[[#This Row],[Número de Orden]],Cocina!F:F*Cocina!G:G,0))</f>
        <v>105</v>
      </c>
      <c r="BI623" t="str">
        <f>sala!J622</f>
        <v>Ocupada</v>
      </c>
      <c r="BJ623" s="4" t="str">
        <f>IF(Tabla4[[#This Row],[Estado mesa]]="Ocupada","00:15","00:00")</f>
        <v>00:15</v>
      </c>
      <c r="BK623" cm="1">
        <f t="array" ref="BK623">SUM(IF(Cocina!A:A=Tabla4[[#This Row],[Número de Orden]],Cocina!H:H,0))</f>
        <v>8</v>
      </c>
    </row>
    <row r="624" spans="1:63" x14ac:dyDescent="0.3">
      <c r="A624" s="8" t="str">
        <f>MID(Tabla4[[#This Row],[Cliente]], SEARCH("_", Tabla4[[#This Row],[Cliente]]) + 1, LEN(Tabla4[[#This Row],[Cliente]]) - SEARCH("_",Tabla4[[#This Row],[Cliente]]))</f>
        <v>117</v>
      </c>
      <c r="B624">
        <f>sala!K623</f>
        <v>622</v>
      </c>
      <c r="C624">
        <f>Tabla4[[#This Row],[Propina]]+Tabla4[[#This Row],[Precio Cena]]</f>
        <v>1268</v>
      </c>
      <c r="D624" s="3">
        <f>INT(sala!E623)</f>
        <v>45022</v>
      </c>
      <c r="E624" s="4">
        <f>MOD( sala!D623,1)</f>
        <v>8.819444444088731E-2</v>
      </c>
      <c r="F624" s="4">
        <f>MOD( sala!E623,1)</f>
        <v>0.22986111111094942</v>
      </c>
      <c r="G624" s="4">
        <f>Tabla5[[#This Row],[Hora de Salida]]-Tabla5[[#This Row],[Hora de Llegada]]+Tabla4[[#This Row],[Tiempo Extra]]</f>
        <v>0.14166666667006211</v>
      </c>
      <c r="H624" s="5" t="str">
        <f>TEXT(Tabla4[[#This Row],[Preparación en horas]]/1440, "h:mm")</f>
        <v>1:18</v>
      </c>
      <c r="I624" s="4">
        <f>IF(Tabla5[[#This Row],[Tiempo Permanencia]]-Tabla5[[#This Row],[Tiempo de Preparación ]]&gt;=0,Tabla5[[#This Row],[Tiempo Permanencia]]-Tabla5[[#This Row],[Tiempo de Preparación ]],0)</f>
        <v>8.7500000003395445E-2</v>
      </c>
      <c r="J624" s="5" t="str">
        <f>IF(Tabla5[[#This Row],[Tiempo de Degustación]]=0,"No Cobrada","Cobrada")</f>
        <v>Cobrada</v>
      </c>
      <c r="K624" s="5" cm="1">
        <f t="array" ref="K624">SUM(IF(Tabla5[[#This Row],[Orden Cobrada]]="Cobrada",IF(Cocina!A:A=Tabla5[[#This Row],[Nº Orden]],Cocina!F:F*Cocina!G:G,0),-Tabla6[[#This Row],[Precio Cena]]))</f>
        <v>121</v>
      </c>
      <c r="L624" s="5">
        <f>IF(Tabla5[[#This Row],[Orden Cobrada]]="Cobrada",Tabla5[[#This Row],[Ganancia Bruta]]-Tabla6[[#This Row],[Coste Cena]],-Tabla6[[#This Row],[Precio Cena]]+Tabla6[[#This Row],[Coste Cena]])</f>
        <v>48</v>
      </c>
      <c r="M624" s="10">
        <f>IF(Tabla5[[#This Row],[Orden Cobrada]]="Cobrada",((Tabla5[[#This Row],[Ganancia Neta]]/Tabla5[[#This Row],[Ganancia Bruta]])*100)/100,-((Tabla5[[#This Row],[Ganancia Neta]]/Tabla5[[#This Row],[Ganancia Bruta]]*100)/100))</f>
        <v>0.39669421487603307</v>
      </c>
      <c r="N624" s="5" t="str">
        <f>sala!F623</f>
        <v>Mesero_3</v>
      </c>
      <c r="AY624" cm="1">
        <f t="array" ref="AY624">SUM(IF(Cocina!A:A=Tabla5[[#This Row],[Nº Orden]],Cocina!F:F*Cocina!G:G,0))</f>
        <v>121</v>
      </c>
      <c r="AZ624" cm="1">
        <f t="array" ref="AZ624">SUM(IF(Cocina!A:A=Tabla5[[#This Row],[Nº Orden]],Cocina!E:E*Cocina!G:G,0))</f>
        <v>73</v>
      </c>
      <c r="BB624" t="str">
        <f>MID(Tabla4[[#This Row],[Cliente]], SEARCH("_", Tabla4[[#This Row],[Cliente]]) + 1, LEN(Tabla4[[#This Row],[Cliente]]) - SEARCH("_",Tabla4[[#This Row],[Cliente]]))</f>
        <v>117</v>
      </c>
      <c r="BC624" t="str">
        <f>sala!B623</f>
        <v>Cliente_117</v>
      </c>
      <c r="BD624" s="1">
        <f>sala!D623</f>
        <v>45022.088194444441</v>
      </c>
      <c r="BE624" s="1">
        <f>sala!E623</f>
        <v>45022.229861111111</v>
      </c>
      <c r="BF624">
        <f>sala!K623</f>
        <v>622</v>
      </c>
      <c r="BG624">
        <f>sala!I623</f>
        <v>1147</v>
      </c>
      <c r="BH624" cm="1">
        <f t="array" ref="BH624">SUM(IF(Cocina!A:A=Tabla4[[#This Row],[Número de Orden]],Cocina!F:F*Cocina!G:G,0))</f>
        <v>121</v>
      </c>
      <c r="BI624" t="str">
        <f>sala!J623</f>
        <v>Reservada</v>
      </c>
      <c r="BJ624" s="4" t="str">
        <f>IF(Tabla4[[#This Row],[Estado mesa]]="Ocupada","00:15","00:00")</f>
        <v>00:00</v>
      </c>
      <c r="BK624" cm="1">
        <f t="array" ref="BK624">SUM(IF(Cocina!A:A=Tabla4[[#This Row],[Número de Orden]],Cocina!H:H,0))</f>
        <v>78</v>
      </c>
    </row>
    <row r="625" spans="1:63" x14ac:dyDescent="0.3">
      <c r="A625" s="8" t="str">
        <f>MID(Tabla4[[#This Row],[Cliente]], SEARCH("_", Tabla4[[#This Row],[Cliente]]) + 1, LEN(Tabla4[[#This Row],[Cliente]]) - SEARCH("_",Tabla4[[#This Row],[Cliente]]))</f>
        <v>395</v>
      </c>
      <c r="B625">
        <f>sala!K624</f>
        <v>623</v>
      </c>
      <c r="C625">
        <f>Tabla4[[#This Row],[Propina]]+Tabla4[[#This Row],[Precio Cena]]</f>
        <v>2440</v>
      </c>
      <c r="D625" s="3">
        <f>INT(sala!E624)</f>
        <v>45022</v>
      </c>
      <c r="E625" s="4">
        <f>MOD( sala!D624,1)</f>
        <v>3.125E-2</v>
      </c>
      <c r="F625" s="4">
        <f>MOD( sala!E624,1)</f>
        <v>0.13194444444525288</v>
      </c>
      <c r="G625" s="4">
        <f>Tabla5[[#This Row],[Hora de Salida]]-Tabla5[[#This Row],[Hora de Llegada]]+Tabla4[[#This Row],[Tiempo Extra]]</f>
        <v>0.10069444444525288</v>
      </c>
      <c r="H625" s="5" t="str">
        <f>TEXT(Tabla4[[#This Row],[Preparación en horas]]/1440, "h:mm")</f>
        <v>2:25</v>
      </c>
      <c r="I625" s="4">
        <f>IF(Tabla5[[#This Row],[Tiempo Permanencia]]-Tabla5[[#This Row],[Tiempo de Preparación ]]&gt;=0,Tabla5[[#This Row],[Tiempo Permanencia]]-Tabla5[[#This Row],[Tiempo de Preparación ]],0)</f>
        <v>8.0843665095642336E-13</v>
      </c>
      <c r="J625" s="5" t="str">
        <f>IF(Tabla5[[#This Row],[Tiempo de Degustación]]=0,"No Cobrada","Cobrada")</f>
        <v>Cobrada</v>
      </c>
      <c r="K625" s="5" cm="1">
        <f t="array" ref="K625">SUM(IF(Tabla5[[#This Row],[Orden Cobrada]]="Cobrada",IF(Cocina!A:A=Tabla5[[#This Row],[Nº Orden]],Cocina!F:F*Cocina!G:G,0),-Tabla6[[#This Row],[Precio Cena]]))</f>
        <v>235</v>
      </c>
      <c r="L625" s="5">
        <f>IF(Tabla5[[#This Row],[Orden Cobrada]]="Cobrada",Tabla5[[#This Row],[Ganancia Bruta]]-Tabla6[[#This Row],[Coste Cena]],-Tabla6[[#This Row],[Precio Cena]]+Tabla6[[#This Row],[Coste Cena]])</f>
        <v>95</v>
      </c>
      <c r="M625" s="10">
        <f>IF(Tabla5[[#This Row],[Orden Cobrada]]="Cobrada",((Tabla5[[#This Row],[Ganancia Neta]]/Tabla5[[#This Row],[Ganancia Bruta]])*100)/100,-((Tabla5[[#This Row],[Ganancia Neta]]/Tabla5[[#This Row],[Ganancia Bruta]]*100)/100))</f>
        <v>0.40425531914893609</v>
      </c>
      <c r="N625" s="5" t="str">
        <f>sala!F624</f>
        <v>Mesero_3</v>
      </c>
      <c r="AY625" cm="1">
        <f t="array" ref="AY625">SUM(IF(Cocina!A:A=Tabla5[[#This Row],[Nº Orden]],Cocina!F:F*Cocina!G:G,0))</f>
        <v>235</v>
      </c>
      <c r="AZ625" cm="1">
        <f t="array" ref="AZ625">SUM(IF(Cocina!A:A=Tabla5[[#This Row],[Nº Orden]],Cocina!E:E*Cocina!G:G,0))</f>
        <v>140</v>
      </c>
      <c r="BB625" t="str">
        <f>MID(Tabla4[[#This Row],[Cliente]], SEARCH("_", Tabla4[[#This Row],[Cliente]]) + 1, LEN(Tabla4[[#This Row],[Cliente]]) - SEARCH("_",Tabla4[[#This Row],[Cliente]]))</f>
        <v>395</v>
      </c>
      <c r="BC625" t="str">
        <f>sala!B624</f>
        <v>Cliente_395</v>
      </c>
      <c r="BD625" s="1">
        <f>sala!D624</f>
        <v>45022.03125</v>
      </c>
      <c r="BE625" s="1">
        <f>sala!E624</f>
        <v>45022.131944444445</v>
      </c>
      <c r="BF625">
        <f>sala!K624</f>
        <v>623</v>
      </c>
      <c r="BG625">
        <f>sala!I624</f>
        <v>2205</v>
      </c>
      <c r="BH625" cm="1">
        <f t="array" ref="BH625">SUM(IF(Cocina!A:A=Tabla4[[#This Row],[Número de Orden]],Cocina!F:F*Cocina!G:G,0))</f>
        <v>235</v>
      </c>
      <c r="BI625" t="str">
        <f>sala!J624</f>
        <v>Libre</v>
      </c>
      <c r="BJ625" s="4" t="str">
        <f>IF(Tabla4[[#This Row],[Estado mesa]]="Ocupada","00:15","00:00")</f>
        <v>00:00</v>
      </c>
      <c r="BK625" cm="1">
        <f t="array" ref="BK625">SUM(IF(Cocina!A:A=Tabla4[[#This Row],[Número de Orden]],Cocina!H:H,0))</f>
        <v>145</v>
      </c>
    </row>
    <row r="626" spans="1:63" x14ac:dyDescent="0.3">
      <c r="A626" s="8" t="str">
        <f>MID(Tabla4[[#This Row],[Cliente]], SEARCH("_", Tabla4[[#This Row],[Cliente]]) + 1, LEN(Tabla4[[#This Row],[Cliente]]) - SEARCH("_",Tabla4[[#This Row],[Cliente]]))</f>
        <v>833</v>
      </c>
      <c r="B626">
        <f>sala!K625</f>
        <v>624</v>
      </c>
      <c r="C626">
        <f>Tabla4[[#This Row],[Propina]]+Tabla4[[#This Row],[Precio Cena]]</f>
        <v>482</v>
      </c>
      <c r="D626" s="3">
        <f>INT(sala!E625)</f>
        <v>45022</v>
      </c>
      <c r="E626" s="4">
        <f>MOD( sala!D625,1)</f>
        <v>8.0555555556202307E-2</v>
      </c>
      <c r="F626" s="4">
        <f>MOD( sala!E625,1)</f>
        <v>0.14305555555620231</v>
      </c>
      <c r="G626" s="4">
        <f>Tabla5[[#This Row],[Hora de Salida]]-Tabla5[[#This Row],[Hora de Llegada]]+Tabla4[[#This Row],[Tiempo Extra]]</f>
        <v>6.25E-2</v>
      </c>
      <c r="H626" s="5" t="str">
        <f>TEXT(Tabla4[[#This Row],[Preparación en horas]]/1440, "h:mm")</f>
        <v>1:19</v>
      </c>
      <c r="I626" s="4">
        <f>IF(Tabla5[[#This Row],[Tiempo Permanencia]]-Tabla5[[#This Row],[Tiempo de Preparación ]]&gt;=0,Tabla5[[#This Row],[Tiempo Permanencia]]-Tabla5[[#This Row],[Tiempo de Preparación ]],0)</f>
        <v>7.6388888888888895E-3</v>
      </c>
      <c r="J626" s="5" t="str">
        <f>IF(Tabla5[[#This Row],[Tiempo de Degustación]]=0,"No Cobrada","Cobrada")</f>
        <v>Cobrada</v>
      </c>
      <c r="K626" s="5" cm="1">
        <f t="array" ref="K626">SUM(IF(Tabla5[[#This Row],[Orden Cobrada]]="Cobrada",IF(Cocina!A:A=Tabla5[[#This Row],[Nº Orden]],Cocina!F:F*Cocina!G:G,0),-Tabla6[[#This Row],[Precio Cena]]))</f>
        <v>102</v>
      </c>
      <c r="L626" s="5">
        <f>IF(Tabla5[[#This Row],[Orden Cobrada]]="Cobrada",Tabla5[[#This Row],[Ganancia Bruta]]-Tabla6[[#This Row],[Coste Cena]],-Tabla6[[#This Row],[Precio Cena]]+Tabla6[[#This Row],[Coste Cena]])</f>
        <v>40</v>
      </c>
      <c r="M626" s="10">
        <f>IF(Tabla5[[#This Row],[Orden Cobrada]]="Cobrada",((Tabla5[[#This Row],[Ganancia Neta]]/Tabla5[[#This Row],[Ganancia Bruta]])*100)/100,-((Tabla5[[#This Row],[Ganancia Neta]]/Tabla5[[#This Row],[Ganancia Bruta]]*100)/100))</f>
        <v>0.39215686274509809</v>
      </c>
      <c r="N626" s="5" t="str">
        <f>sala!F625</f>
        <v>Mesero_1</v>
      </c>
      <c r="AY626" cm="1">
        <f t="array" ref="AY626">SUM(IF(Cocina!A:A=Tabla5[[#This Row],[Nº Orden]],Cocina!F:F*Cocina!G:G,0))</f>
        <v>102</v>
      </c>
      <c r="AZ626" cm="1">
        <f t="array" ref="AZ626">SUM(IF(Cocina!A:A=Tabla5[[#This Row],[Nº Orden]],Cocina!E:E*Cocina!G:G,0))</f>
        <v>62</v>
      </c>
      <c r="BB626" t="str">
        <f>MID(Tabla4[[#This Row],[Cliente]], SEARCH("_", Tabla4[[#This Row],[Cliente]]) + 1, LEN(Tabla4[[#This Row],[Cliente]]) - SEARCH("_",Tabla4[[#This Row],[Cliente]]))</f>
        <v>833</v>
      </c>
      <c r="BC626" t="str">
        <f>sala!B625</f>
        <v>Cliente_833</v>
      </c>
      <c r="BD626" s="1">
        <f>sala!D625</f>
        <v>45022.080555555556</v>
      </c>
      <c r="BE626" s="1">
        <f>sala!E625</f>
        <v>45022.143055555556</v>
      </c>
      <c r="BF626">
        <f>sala!K625</f>
        <v>624</v>
      </c>
      <c r="BG626">
        <f>sala!I625</f>
        <v>380</v>
      </c>
      <c r="BH626" cm="1">
        <f t="array" ref="BH626">SUM(IF(Cocina!A:A=Tabla4[[#This Row],[Número de Orden]],Cocina!F:F*Cocina!G:G,0))</f>
        <v>102</v>
      </c>
      <c r="BI626" t="str">
        <f>sala!J625</f>
        <v>Reservada</v>
      </c>
      <c r="BJ626" s="4" t="str">
        <f>IF(Tabla4[[#This Row],[Estado mesa]]="Ocupada","00:15","00:00")</f>
        <v>00:00</v>
      </c>
      <c r="BK626" cm="1">
        <f t="array" ref="BK626">SUM(IF(Cocina!A:A=Tabla4[[#This Row],[Número de Orden]],Cocina!H:H,0))</f>
        <v>79</v>
      </c>
    </row>
    <row r="627" spans="1:63" x14ac:dyDescent="0.3">
      <c r="A627" s="8" t="str">
        <f>MID(Tabla4[[#This Row],[Cliente]], SEARCH("_", Tabla4[[#This Row],[Cliente]]) + 1, LEN(Tabla4[[#This Row],[Cliente]]) - SEARCH("_",Tabla4[[#This Row],[Cliente]]))</f>
        <v>511</v>
      </c>
      <c r="B627">
        <f>sala!K626</f>
        <v>625</v>
      </c>
      <c r="C627">
        <f>Tabla4[[#This Row],[Propina]]+Tabla4[[#This Row],[Precio Cena]]</f>
        <v>4312</v>
      </c>
      <c r="D627" s="3">
        <f>INT(sala!E626)</f>
        <v>45022</v>
      </c>
      <c r="E627" s="4">
        <f>MOD( sala!D626,1)</f>
        <v>6.2499999985448085E-3</v>
      </c>
      <c r="F627" s="4">
        <f>MOD( sala!E626,1)</f>
        <v>0.14027777777664596</v>
      </c>
      <c r="G627" s="4">
        <f>Tabla5[[#This Row],[Hora de Salida]]-Tabla5[[#This Row],[Hora de Llegada]]+Tabla4[[#This Row],[Tiempo Extra]]</f>
        <v>0.14444444444476781</v>
      </c>
      <c r="H627" s="5" t="str">
        <f>TEXT(Tabla4[[#This Row],[Preparación en horas]]/1440, "h:mm")</f>
        <v>1:37</v>
      </c>
      <c r="I627" s="4">
        <f>IF(Tabla5[[#This Row],[Tiempo Permanencia]]-Tabla5[[#This Row],[Tiempo de Preparación ]]&gt;=0,Tabla5[[#This Row],[Tiempo Permanencia]]-Tabla5[[#This Row],[Tiempo de Preparación ]],0)</f>
        <v>7.7083333333656703E-2</v>
      </c>
      <c r="J627" s="5" t="str">
        <f>IF(Tabla5[[#This Row],[Tiempo de Degustación]]=0,"No Cobrada","Cobrada")</f>
        <v>Cobrada</v>
      </c>
      <c r="K627" s="5" cm="1">
        <f t="array" ref="K627">SUM(IF(Tabla5[[#This Row],[Orden Cobrada]]="Cobrada",IF(Cocina!A:A=Tabla5[[#This Row],[Nº Orden]],Cocina!F:F*Cocina!G:G,0),-Tabla6[[#This Row],[Precio Cena]]))</f>
        <v>139</v>
      </c>
      <c r="L627" s="5">
        <f>IF(Tabla5[[#This Row],[Orden Cobrada]]="Cobrada",Tabla5[[#This Row],[Ganancia Bruta]]-Tabla6[[#This Row],[Coste Cena]],-Tabla6[[#This Row],[Precio Cena]]+Tabla6[[#This Row],[Coste Cena]])</f>
        <v>55</v>
      </c>
      <c r="M627" s="10">
        <f>IF(Tabla5[[#This Row],[Orden Cobrada]]="Cobrada",((Tabla5[[#This Row],[Ganancia Neta]]/Tabla5[[#This Row],[Ganancia Bruta]])*100)/100,-((Tabla5[[#This Row],[Ganancia Neta]]/Tabla5[[#This Row],[Ganancia Bruta]]*100)/100))</f>
        <v>0.39568345323741005</v>
      </c>
      <c r="N627" s="5" t="str">
        <f>sala!F626</f>
        <v>Mesero_4</v>
      </c>
      <c r="AY627" cm="1">
        <f t="array" ref="AY627">SUM(IF(Cocina!A:A=Tabla5[[#This Row],[Nº Orden]],Cocina!F:F*Cocina!G:G,0))</f>
        <v>139</v>
      </c>
      <c r="AZ627" cm="1">
        <f t="array" ref="AZ627">SUM(IF(Cocina!A:A=Tabla5[[#This Row],[Nº Orden]],Cocina!E:E*Cocina!G:G,0))</f>
        <v>84</v>
      </c>
      <c r="BB627" t="str">
        <f>MID(Tabla4[[#This Row],[Cliente]], SEARCH("_", Tabla4[[#This Row],[Cliente]]) + 1, LEN(Tabla4[[#This Row],[Cliente]]) - SEARCH("_",Tabla4[[#This Row],[Cliente]]))</f>
        <v>511</v>
      </c>
      <c r="BC627" t="str">
        <f>sala!B626</f>
        <v>Cliente_511</v>
      </c>
      <c r="BD627" s="1">
        <f>sala!D626</f>
        <v>45022.006249999999</v>
      </c>
      <c r="BE627" s="1">
        <f>sala!E626</f>
        <v>45022.140277777777</v>
      </c>
      <c r="BF627">
        <f>sala!K626</f>
        <v>625</v>
      </c>
      <c r="BG627">
        <f>sala!I626</f>
        <v>4173</v>
      </c>
      <c r="BH627" cm="1">
        <f t="array" ref="BH627">SUM(IF(Cocina!A:A=Tabla4[[#This Row],[Número de Orden]],Cocina!F:F*Cocina!G:G,0))</f>
        <v>139</v>
      </c>
      <c r="BI627" t="str">
        <f>sala!J626</f>
        <v>Ocupada</v>
      </c>
      <c r="BJ627" s="4" t="str">
        <f>IF(Tabla4[[#This Row],[Estado mesa]]="Ocupada","00:15","00:00")</f>
        <v>00:15</v>
      </c>
      <c r="BK627" cm="1">
        <f t="array" ref="BK627">SUM(IF(Cocina!A:A=Tabla4[[#This Row],[Número de Orden]],Cocina!H:H,0))</f>
        <v>97</v>
      </c>
    </row>
    <row r="628" spans="1:63" x14ac:dyDescent="0.3">
      <c r="A628" s="8" t="str">
        <f>MID(Tabla4[[#This Row],[Cliente]], SEARCH("_", Tabla4[[#This Row],[Cliente]]) + 1, LEN(Tabla4[[#This Row],[Cliente]]) - SEARCH("_",Tabla4[[#This Row],[Cliente]]))</f>
        <v>772</v>
      </c>
      <c r="B628">
        <f>sala!K627</f>
        <v>626</v>
      </c>
      <c r="C628">
        <f>Tabla4[[#This Row],[Propina]]+Tabla4[[#This Row],[Precio Cena]]</f>
        <v>2061</v>
      </c>
      <c r="D628" s="3">
        <f>INT(sala!E627)</f>
        <v>45022</v>
      </c>
      <c r="E628" s="4">
        <f>MOD( sala!D627,1)</f>
        <v>0.11458333333575865</v>
      </c>
      <c r="F628" s="4">
        <f>MOD( sala!E627,1)</f>
        <v>0.17361111110949423</v>
      </c>
      <c r="G628" s="4">
        <f>Tabla5[[#This Row],[Hora de Salida]]-Tabla5[[#This Row],[Hora de Llegada]]+Tabla4[[#This Row],[Tiempo Extra]]</f>
        <v>5.9027777773735579E-2</v>
      </c>
      <c r="H628" s="5" t="str">
        <f>TEXT(Tabla4[[#This Row],[Preparación en horas]]/1440, "h:mm")</f>
        <v>0:58</v>
      </c>
      <c r="I628" s="4">
        <f>IF(Tabla5[[#This Row],[Tiempo Permanencia]]-Tabla5[[#This Row],[Tiempo de Preparación ]]&gt;=0,Tabla5[[#This Row],[Tiempo Permanencia]]-Tabla5[[#This Row],[Tiempo de Preparación ]],0)</f>
        <v>1.8749999995957799E-2</v>
      </c>
      <c r="J628" s="5" t="str">
        <f>IF(Tabla5[[#This Row],[Tiempo de Degustación]]=0,"No Cobrada","Cobrada")</f>
        <v>Cobrada</v>
      </c>
      <c r="K628" s="5" cm="1">
        <f t="array" ref="K628">SUM(IF(Tabla5[[#This Row],[Orden Cobrada]]="Cobrada",IF(Cocina!A:A=Tabla5[[#This Row],[Nº Orden]],Cocina!F:F*Cocina!G:G,0),-Tabla6[[#This Row],[Precio Cena]]))</f>
        <v>137</v>
      </c>
      <c r="L628" s="5">
        <f>IF(Tabla5[[#This Row],[Orden Cobrada]]="Cobrada",Tabla5[[#This Row],[Ganancia Bruta]]-Tabla6[[#This Row],[Coste Cena]],-Tabla6[[#This Row],[Precio Cena]]+Tabla6[[#This Row],[Coste Cena]])</f>
        <v>56</v>
      </c>
      <c r="M628" s="10">
        <f>IF(Tabla5[[#This Row],[Orden Cobrada]]="Cobrada",((Tabla5[[#This Row],[Ganancia Neta]]/Tabla5[[#This Row],[Ganancia Bruta]])*100)/100,-((Tabla5[[#This Row],[Ganancia Neta]]/Tabla5[[#This Row],[Ganancia Bruta]]*100)/100))</f>
        <v>0.4087591240875913</v>
      </c>
      <c r="N628" s="5" t="str">
        <f>sala!F627</f>
        <v>Mesero_4</v>
      </c>
      <c r="AY628" cm="1">
        <f t="array" ref="AY628">SUM(IF(Cocina!A:A=Tabla5[[#This Row],[Nº Orden]],Cocina!F:F*Cocina!G:G,0))</f>
        <v>137</v>
      </c>
      <c r="AZ628" cm="1">
        <f t="array" ref="AZ628">SUM(IF(Cocina!A:A=Tabla5[[#This Row],[Nº Orden]],Cocina!E:E*Cocina!G:G,0))</f>
        <v>81</v>
      </c>
      <c r="BB628" t="str">
        <f>MID(Tabla4[[#This Row],[Cliente]], SEARCH("_", Tabla4[[#This Row],[Cliente]]) + 1, LEN(Tabla4[[#This Row],[Cliente]]) - SEARCH("_",Tabla4[[#This Row],[Cliente]]))</f>
        <v>772</v>
      </c>
      <c r="BC628" t="str">
        <f>sala!B627</f>
        <v>Cliente_772</v>
      </c>
      <c r="BD628" s="1">
        <f>sala!D627</f>
        <v>45022.114583333336</v>
      </c>
      <c r="BE628" s="1">
        <f>sala!E627</f>
        <v>45022.173611111109</v>
      </c>
      <c r="BF628">
        <f>sala!K627</f>
        <v>626</v>
      </c>
      <c r="BG628">
        <f>sala!I627</f>
        <v>1924</v>
      </c>
      <c r="BH628" cm="1">
        <f t="array" ref="BH628">SUM(IF(Cocina!A:A=Tabla4[[#This Row],[Número de Orden]],Cocina!F:F*Cocina!G:G,0))</f>
        <v>137</v>
      </c>
      <c r="BI628" t="str">
        <f>sala!J627</f>
        <v>Libre</v>
      </c>
      <c r="BJ628" s="4" t="str">
        <f>IF(Tabla4[[#This Row],[Estado mesa]]="Ocupada","00:15","00:00")</f>
        <v>00:00</v>
      </c>
      <c r="BK628" cm="1">
        <f t="array" ref="BK628">SUM(IF(Cocina!A:A=Tabla4[[#This Row],[Número de Orden]],Cocina!H:H,0))</f>
        <v>58</v>
      </c>
    </row>
    <row r="629" spans="1:63" x14ac:dyDescent="0.3">
      <c r="A629" s="8" t="str">
        <f>MID(Tabla4[[#This Row],[Cliente]], SEARCH("_", Tabla4[[#This Row],[Cliente]]) + 1, LEN(Tabla4[[#This Row],[Cliente]]) - SEARCH("_",Tabla4[[#This Row],[Cliente]]))</f>
        <v>336</v>
      </c>
      <c r="B629">
        <f>sala!K628</f>
        <v>627</v>
      </c>
      <c r="C629">
        <f>Tabla4[[#This Row],[Propina]]+Tabla4[[#This Row],[Precio Cena]]</f>
        <v>4445</v>
      </c>
      <c r="D629" s="3">
        <f>INT(sala!E628)</f>
        <v>45022</v>
      </c>
      <c r="E629" s="4">
        <f>MOD( sala!D628,1)</f>
        <v>9.930555555911269E-2</v>
      </c>
      <c r="F629" s="4">
        <f>MOD( sala!E628,1)</f>
        <v>0.1756944444423425</v>
      </c>
      <c r="G629" s="4">
        <f>Tabla5[[#This Row],[Hora de Salida]]-Tabla5[[#This Row],[Hora de Llegada]]+Tabla4[[#This Row],[Tiempo Extra]]</f>
        <v>8.6805555549896482E-2</v>
      </c>
      <c r="H629" s="5" t="str">
        <f>TEXT(Tabla4[[#This Row],[Preparación en horas]]/1440, "h:mm")</f>
        <v>0:37</v>
      </c>
      <c r="I629" s="4">
        <f>IF(Tabla5[[#This Row],[Tiempo Permanencia]]-Tabla5[[#This Row],[Tiempo de Preparación ]]&gt;=0,Tabla5[[#This Row],[Tiempo Permanencia]]-Tabla5[[#This Row],[Tiempo de Preparación ]],0)</f>
        <v>6.1111111105452039E-2</v>
      </c>
      <c r="J629" s="5" t="str">
        <f>IF(Tabla5[[#This Row],[Tiempo de Degustación]]=0,"No Cobrada","Cobrada")</f>
        <v>Cobrada</v>
      </c>
      <c r="K629" s="5" cm="1">
        <f t="array" ref="K629">SUM(IF(Tabla5[[#This Row],[Orden Cobrada]]="Cobrada",IF(Cocina!A:A=Tabla5[[#This Row],[Nº Orden]],Cocina!F:F*Cocina!G:G,0),-Tabla6[[#This Row],[Precio Cena]]))</f>
        <v>21</v>
      </c>
      <c r="L629" s="5">
        <f>IF(Tabla5[[#This Row],[Orden Cobrada]]="Cobrada",Tabla5[[#This Row],[Ganancia Bruta]]-Tabla6[[#This Row],[Coste Cena]],-Tabla6[[#This Row],[Precio Cena]]+Tabla6[[#This Row],[Coste Cena]])</f>
        <v>8</v>
      </c>
      <c r="M629" s="10">
        <f>IF(Tabla5[[#This Row],[Orden Cobrada]]="Cobrada",((Tabla5[[#This Row],[Ganancia Neta]]/Tabla5[[#This Row],[Ganancia Bruta]])*100)/100,-((Tabla5[[#This Row],[Ganancia Neta]]/Tabla5[[#This Row],[Ganancia Bruta]]*100)/100))</f>
        <v>0.38095238095238093</v>
      </c>
      <c r="N629" s="5" t="str">
        <f>sala!F628</f>
        <v>Mesero_3</v>
      </c>
      <c r="AY629" cm="1">
        <f t="array" ref="AY629">SUM(IF(Cocina!A:A=Tabla5[[#This Row],[Nº Orden]],Cocina!F:F*Cocina!G:G,0))</f>
        <v>21</v>
      </c>
      <c r="AZ629" cm="1">
        <f t="array" ref="AZ629">SUM(IF(Cocina!A:A=Tabla5[[#This Row],[Nº Orden]],Cocina!E:E*Cocina!G:G,0))</f>
        <v>13</v>
      </c>
      <c r="BB629" t="str">
        <f>MID(Tabla4[[#This Row],[Cliente]], SEARCH("_", Tabla4[[#This Row],[Cliente]]) + 1, LEN(Tabla4[[#This Row],[Cliente]]) - SEARCH("_",Tabla4[[#This Row],[Cliente]]))</f>
        <v>336</v>
      </c>
      <c r="BC629" t="str">
        <f>sala!B628</f>
        <v>Cliente_336</v>
      </c>
      <c r="BD629" s="1">
        <f>sala!D628</f>
        <v>45022.099305555559</v>
      </c>
      <c r="BE629" s="1">
        <f>sala!E628</f>
        <v>45022.175694444442</v>
      </c>
      <c r="BF629">
        <f>sala!K628</f>
        <v>627</v>
      </c>
      <c r="BG629">
        <f>sala!I628</f>
        <v>4424</v>
      </c>
      <c r="BH629" cm="1">
        <f t="array" ref="BH629">SUM(IF(Cocina!A:A=Tabla4[[#This Row],[Número de Orden]],Cocina!F:F*Cocina!G:G,0))</f>
        <v>21</v>
      </c>
      <c r="BI629" t="str">
        <f>sala!J628</f>
        <v>Ocupada</v>
      </c>
      <c r="BJ629" s="4" t="str">
        <f>IF(Tabla4[[#This Row],[Estado mesa]]="Ocupada","00:15","00:00")</f>
        <v>00:15</v>
      </c>
      <c r="BK629" cm="1">
        <f t="array" ref="BK629">SUM(IF(Cocina!A:A=Tabla4[[#This Row],[Número de Orden]],Cocina!H:H,0))</f>
        <v>37</v>
      </c>
    </row>
    <row r="630" spans="1:63" x14ac:dyDescent="0.3">
      <c r="A630" s="8" t="str">
        <f>MID(Tabla4[[#This Row],[Cliente]], SEARCH("_", Tabla4[[#This Row],[Cliente]]) + 1, LEN(Tabla4[[#This Row],[Cliente]]) - SEARCH("_",Tabla4[[#This Row],[Cliente]]))</f>
        <v>124</v>
      </c>
      <c r="B630">
        <f>sala!K629</f>
        <v>628</v>
      </c>
      <c r="C630">
        <f>Tabla4[[#This Row],[Propina]]+Tabla4[[#This Row],[Precio Cena]]</f>
        <v>1671</v>
      </c>
      <c r="D630" s="3">
        <f>INT(sala!E629)</f>
        <v>45022</v>
      </c>
      <c r="E630" s="4">
        <f>MOD( sala!D629,1)</f>
        <v>6.2499999985448085E-3</v>
      </c>
      <c r="F630" s="4">
        <f>MOD( sala!E629,1)</f>
        <v>6.7361111112404615E-2</v>
      </c>
      <c r="G630" s="4">
        <f>Tabla5[[#This Row],[Hora de Salida]]-Tabla5[[#This Row],[Hora de Llegada]]+Tabla4[[#This Row],[Tiempo Extra]]</f>
        <v>6.1111111113859806E-2</v>
      </c>
      <c r="H630" s="5" t="str">
        <f>TEXT(Tabla4[[#This Row],[Preparación en horas]]/1440, "h:mm")</f>
        <v>0:43</v>
      </c>
      <c r="I630" s="4">
        <f>IF(Tabla5[[#This Row],[Tiempo Permanencia]]-Tabla5[[#This Row],[Tiempo de Preparación ]]&gt;=0,Tabla5[[#This Row],[Tiempo Permanencia]]-Tabla5[[#This Row],[Tiempo de Preparación ]],0)</f>
        <v>3.125000000274869E-2</v>
      </c>
      <c r="J630" s="5" t="str">
        <f>IF(Tabla5[[#This Row],[Tiempo de Degustación]]=0,"No Cobrada","Cobrada")</f>
        <v>Cobrada</v>
      </c>
      <c r="K630" s="5" cm="1">
        <f t="array" ref="K630">SUM(IF(Tabla5[[#This Row],[Orden Cobrada]]="Cobrada",IF(Cocina!A:A=Tabla5[[#This Row],[Nº Orden]],Cocina!F:F*Cocina!G:G,0),-Tabla6[[#This Row],[Precio Cena]]))</f>
        <v>168</v>
      </c>
      <c r="L630" s="5">
        <f>IF(Tabla5[[#This Row],[Orden Cobrada]]="Cobrada",Tabla5[[#This Row],[Ganancia Bruta]]-Tabla6[[#This Row],[Coste Cena]],-Tabla6[[#This Row],[Precio Cena]]+Tabla6[[#This Row],[Coste Cena]])</f>
        <v>65</v>
      </c>
      <c r="M630" s="10">
        <f>IF(Tabla5[[#This Row],[Orden Cobrada]]="Cobrada",((Tabla5[[#This Row],[Ganancia Neta]]/Tabla5[[#This Row],[Ganancia Bruta]])*100)/100,-((Tabla5[[#This Row],[Ganancia Neta]]/Tabla5[[#This Row],[Ganancia Bruta]]*100)/100))</f>
        <v>0.38690476190476192</v>
      </c>
      <c r="N630" s="5" t="str">
        <f>sala!F629</f>
        <v>Mesero_3</v>
      </c>
      <c r="AY630" cm="1">
        <f t="array" ref="AY630">SUM(IF(Cocina!A:A=Tabla5[[#This Row],[Nº Orden]],Cocina!F:F*Cocina!G:G,0))</f>
        <v>168</v>
      </c>
      <c r="AZ630" cm="1">
        <f t="array" ref="AZ630">SUM(IF(Cocina!A:A=Tabla5[[#This Row],[Nº Orden]],Cocina!E:E*Cocina!G:G,0))</f>
        <v>103</v>
      </c>
      <c r="BB630" t="str">
        <f>MID(Tabla4[[#This Row],[Cliente]], SEARCH("_", Tabla4[[#This Row],[Cliente]]) + 1, LEN(Tabla4[[#This Row],[Cliente]]) - SEARCH("_",Tabla4[[#This Row],[Cliente]]))</f>
        <v>124</v>
      </c>
      <c r="BC630" t="str">
        <f>sala!B629</f>
        <v>Cliente_124</v>
      </c>
      <c r="BD630" s="1">
        <f>sala!D629</f>
        <v>45022.006249999999</v>
      </c>
      <c r="BE630" s="1">
        <f>sala!E629</f>
        <v>45022.067361111112</v>
      </c>
      <c r="BF630">
        <f>sala!K629</f>
        <v>628</v>
      </c>
      <c r="BG630">
        <f>sala!I629</f>
        <v>1503</v>
      </c>
      <c r="BH630" cm="1">
        <f t="array" ref="BH630">SUM(IF(Cocina!A:A=Tabla4[[#This Row],[Número de Orden]],Cocina!F:F*Cocina!G:G,0))</f>
        <v>168</v>
      </c>
      <c r="BI630" t="str">
        <f>sala!J629</f>
        <v>Reservada</v>
      </c>
      <c r="BJ630" s="4" t="str">
        <f>IF(Tabla4[[#This Row],[Estado mesa]]="Ocupada","00:15","00:00")</f>
        <v>00:00</v>
      </c>
      <c r="BK630" cm="1">
        <f t="array" ref="BK630">SUM(IF(Cocina!A:A=Tabla4[[#This Row],[Número de Orden]],Cocina!H:H,0))</f>
        <v>43</v>
      </c>
    </row>
    <row r="631" spans="1:63" x14ac:dyDescent="0.3">
      <c r="A631" s="8" t="str">
        <f>MID(Tabla4[[#This Row],[Cliente]], SEARCH("_", Tabla4[[#This Row],[Cliente]]) + 1, LEN(Tabla4[[#This Row],[Cliente]]) - SEARCH("_",Tabla4[[#This Row],[Cliente]]))</f>
        <v>828</v>
      </c>
      <c r="B631">
        <f>sala!K630</f>
        <v>629</v>
      </c>
      <c r="C631">
        <f>Tabla4[[#This Row],[Propina]]+Tabla4[[#This Row],[Precio Cena]]</f>
        <v>2737</v>
      </c>
      <c r="D631" s="3">
        <f>INT(sala!E630)</f>
        <v>45022</v>
      </c>
      <c r="E631" s="4">
        <f>MOD( sala!D630,1)</f>
        <v>8.819444444088731E-2</v>
      </c>
      <c r="F631" s="4">
        <f>MOD( sala!E630,1)</f>
        <v>0.24652777778101154</v>
      </c>
      <c r="G631" s="4">
        <f>Tabla5[[#This Row],[Hora de Salida]]-Tabla5[[#This Row],[Hora de Llegada]]+Tabla4[[#This Row],[Tiempo Extra]]</f>
        <v>0.16875000000679088</v>
      </c>
      <c r="H631" s="5" t="str">
        <f>TEXT(Tabla4[[#This Row],[Preparación en horas]]/1440, "h:mm")</f>
        <v>1:24</v>
      </c>
      <c r="I631" s="4">
        <f>IF(Tabla5[[#This Row],[Tiempo Permanencia]]-Tabla5[[#This Row],[Tiempo de Preparación ]]&gt;=0,Tabla5[[#This Row],[Tiempo Permanencia]]-Tabla5[[#This Row],[Tiempo de Preparación ]],0)</f>
        <v>0.11041666667345755</v>
      </c>
      <c r="J631" s="5" t="str">
        <f>IF(Tabla5[[#This Row],[Tiempo de Degustación]]=0,"No Cobrada","Cobrada")</f>
        <v>Cobrada</v>
      </c>
      <c r="K631" s="5" cm="1">
        <f t="array" ref="K631">SUM(IF(Tabla5[[#This Row],[Orden Cobrada]]="Cobrada",IF(Cocina!A:A=Tabla5[[#This Row],[Nº Orden]],Cocina!F:F*Cocina!G:G,0),-Tabla6[[#This Row],[Precio Cena]]))</f>
        <v>130</v>
      </c>
      <c r="L631" s="5">
        <f>IF(Tabla5[[#This Row],[Orden Cobrada]]="Cobrada",Tabla5[[#This Row],[Ganancia Bruta]]-Tabla6[[#This Row],[Coste Cena]],-Tabla6[[#This Row],[Precio Cena]]+Tabla6[[#This Row],[Coste Cena]])</f>
        <v>54</v>
      </c>
      <c r="M631" s="10">
        <f>IF(Tabla5[[#This Row],[Orden Cobrada]]="Cobrada",((Tabla5[[#This Row],[Ganancia Neta]]/Tabla5[[#This Row],[Ganancia Bruta]])*100)/100,-((Tabla5[[#This Row],[Ganancia Neta]]/Tabla5[[#This Row],[Ganancia Bruta]]*100)/100))</f>
        <v>0.41538461538461541</v>
      </c>
      <c r="N631" s="5" t="str">
        <f>sala!F630</f>
        <v>Mesero_4</v>
      </c>
      <c r="AY631" cm="1">
        <f t="array" ref="AY631">SUM(IF(Cocina!A:A=Tabla5[[#This Row],[Nº Orden]],Cocina!F:F*Cocina!G:G,0))</f>
        <v>130</v>
      </c>
      <c r="AZ631" cm="1">
        <f t="array" ref="AZ631">SUM(IF(Cocina!A:A=Tabla5[[#This Row],[Nº Orden]],Cocina!E:E*Cocina!G:G,0))</f>
        <v>76</v>
      </c>
      <c r="BB631" t="str">
        <f>MID(Tabla4[[#This Row],[Cliente]], SEARCH("_", Tabla4[[#This Row],[Cliente]]) + 1, LEN(Tabla4[[#This Row],[Cliente]]) - SEARCH("_",Tabla4[[#This Row],[Cliente]]))</f>
        <v>828</v>
      </c>
      <c r="BC631" t="str">
        <f>sala!B630</f>
        <v>Cliente_828</v>
      </c>
      <c r="BD631" s="1">
        <f>sala!D630</f>
        <v>45022.088194444441</v>
      </c>
      <c r="BE631" s="1">
        <f>sala!E630</f>
        <v>45022.246527777781</v>
      </c>
      <c r="BF631">
        <f>sala!K630</f>
        <v>629</v>
      </c>
      <c r="BG631">
        <f>sala!I630</f>
        <v>2607</v>
      </c>
      <c r="BH631" cm="1">
        <f t="array" ref="BH631">SUM(IF(Cocina!A:A=Tabla4[[#This Row],[Número de Orden]],Cocina!F:F*Cocina!G:G,0))</f>
        <v>130</v>
      </c>
      <c r="BI631" t="str">
        <f>sala!J630</f>
        <v>Ocupada</v>
      </c>
      <c r="BJ631" s="4" t="str">
        <f>IF(Tabla4[[#This Row],[Estado mesa]]="Ocupada","00:15","00:00")</f>
        <v>00:15</v>
      </c>
      <c r="BK631" cm="1">
        <f t="array" ref="BK631">SUM(IF(Cocina!A:A=Tabla4[[#This Row],[Número de Orden]],Cocina!H:H,0))</f>
        <v>84</v>
      </c>
    </row>
    <row r="632" spans="1:63" x14ac:dyDescent="0.3">
      <c r="A632" s="8" t="str">
        <f>MID(Tabla4[[#This Row],[Cliente]], SEARCH("_", Tabla4[[#This Row],[Cliente]]) + 1, LEN(Tabla4[[#This Row],[Cliente]]) - SEARCH("_",Tabla4[[#This Row],[Cliente]]))</f>
        <v>385</v>
      </c>
      <c r="B632">
        <f>sala!K631</f>
        <v>630</v>
      </c>
      <c r="C632">
        <f>Tabla4[[#This Row],[Propina]]+Tabla4[[#This Row],[Precio Cena]]</f>
        <v>3844</v>
      </c>
      <c r="D632" s="3">
        <f>INT(sala!E631)</f>
        <v>45022</v>
      </c>
      <c r="E632" s="4">
        <f>MOD( sala!D631,1)</f>
        <v>1.3888888861401938E-3</v>
      </c>
      <c r="F632" s="4">
        <f>MOD( sala!E631,1)</f>
        <v>0.11736111110803904</v>
      </c>
      <c r="G632" s="4">
        <f>Tabla5[[#This Row],[Hora de Salida]]-Tabla5[[#This Row],[Hora de Llegada]]+Tabla4[[#This Row],[Tiempo Extra]]</f>
        <v>0.11597222222189885</v>
      </c>
      <c r="H632" s="5" t="str">
        <f>TEXT(Tabla4[[#This Row],[Preparación en horas]]/1440, "h:mm")</f>
        <v>1:15</v>
      </c>
      <c r="I632" s="4">
        <f>IF(Tabla5[[#This Row],[Tiempo Permanencia]]-Tabla5[[#This Row],[Tiempo de Preparación ]]&gt;=0,Tabla5[[#This Row],[Tiempo Permanencia]]-Tabla5[[#This Row],[Tiempo de Preparación ]],0)</f>
        <v>6.3888888888565504E-2</v>
      </c>
      <c r="J632" s="5" t="str">
        <f>IF(Tabla5[[#This Row],[Tiempo de Degustación]]=0,"No Cobrada","Cobrada")</f>
        <v>Cobrada</v>
      </c>
      <c r="K632" s="5" cm="1">
        <f t="array" ref="K632">SUM(IF(Tabla5[[#This Row],[Orden Cobrada]]="Cobrada",IF(Cocina!A:A=Tabla5[[#This Row],[Nº Orden]],Cocina!F:F*Cocina!G:G,0),-Tabla6[[#This Row],[Precio Cena]]))</f>
        <v>182</v>
      </c>
      <c r="L632" s="5">
        <f>IF(Tabla5[[#This Row],[Orden Cobrada]]="Cobrada",Tabla5[[#This Row],[Ganancia Bruta]]-Tabla6[[#This Row],[Coste Cena]],-Tabla6[[#This Row],[Precio Cena]]+Tabla6[[#This Row],[Coste Cena]])</f>
        <v>69</v>
      </c>
      <c r="M632" s="10">
        <f>IF(Tabla5[[#This Row],[Orden Cobrada]]="Cobrada",((Tabla5[[#This Row],[Ganancia Neta]]/Tabla5[[#This Row],[Ganancia Bruta]])*100)/100,-((Tabla5[[#This Row],[Ganancia Neta]]/Tabla5[[#This Row],[Ganancia Bruta]]*100)/100))</f>
        <v>0.37912087912087911</v>
      </c>
      <c r="N632" s="5" t="str">
        <f>sala!F631</f>
        <v>Mesero_5</v>
      </c>
      <c r="AY632" cm="1">
        <f t="array" ref="AY632">SUM(IF(Cocina!A:A=Tabla5[[#This Row],[Nº Orden]],Cocina!F:F*Cocina!G:G,0))</f>
        <v>182</v>
      </c>
      <c r="AZ632" cm="1">
        <f t="array" ref="AZ632">SUM(IF(Cocina!A:A=Tabla5[[#This Row],[Nº Orden]],Cocina!E:E*Cocina!G:G,0))</f>
        <v>113</v>
      </c>
      <c r="BB632" t="str">
        <f>MID(Tabla4[[#This Row],[Cliente]], SEARCH("_", Tabla4[[#This Row],[Cliente]]) + 1, LEN(Tabla4[[#This Row],[Cliente]]) - SEARCH("_",Tabla4[[#This Row],[Cliente]]))</f>
        <v>385</v>
      </c>
      <c r="BC632" t="str">
        <f>sala!B631</f>
        <v>Cliente_385</v>
      </c>
      <c r="BD632" s="1">
        <f>sala!D631</f>
        <v>45022.001388888886</v>
      </c>
      <c r="BE632" s="1">
        <f>sala!E631</f>
        <v>45022.117361111108</v>
      </c>
      <c r="BF632">
        <f>sala!K631</f>
        <v>630</v>
      </c>
      <c r="BG632">
        <f>sala!I631</f>
        <v>3662</v>
      </c>
      <c r="BH632" cm="1">
        <f t="array" ref="BH632">SUM(IF(Cocina!A:A=Tabla4[[#This Row],[Número de Orden]],Cocina!F:F*Cocina!G:G,0))</f>
        <v>182</v>
      </c>
      <c r="BI632" t="str">
        <f>sala!J631</f>
        <v>Libre</v>
      </c>
      <c r="BJ632" s="4" t="str">
        <f>IF(Tabla4[[#This Row],[Estado mesa]]="Ocupada","00:15","00:00")</f>
        <v>00:00</v>
      </c>
      <c r="BK632" cm="1">
        <f t="array" ref="BK632">SUM(IF(Cocina!A:A=Tabla4[[#This Row],[Número de Orden]],Cocina!H:H,0))</f>
        <v>75</v>
      </c>
    </row>
    <row r="633" spans="1:63" x14ac:dyDescent="0.3">
      <c r="A633" s="8" t="str">
        <f>MID(Tabla4[[#This Row],[Cliente]], SEARCH("_", Tabla4[[#This Row],[Cliente]]) + 1, LEN(Tabla4[[#This Row],[Cliente]]) - SEARCH("_",Tabla4[[#This Row],[Cliente]]))</f>
        <v>841</v>
      </c>
      <c r="B633">
        <f>sala!K632</f>
        <v>631</v>
      </c>
      <c r="C633">
        <f>Tabla4[[#This Row],[Propina]]+Tabla4[[#This Row],[Precio Cena]]</f>
        <v>4037</v>
      </c>
      <c r="D633" s="3">
        <f>INT(sala!E632)</f>
        <v>45022</v>
      </c>
      <c r="E633" s="4">
        <f>MOD( sala!D632,1)</f>
        <v>1.4583333329937886E-2</v>
      </c>
      <c r="F633" s="4">
        <f>MOD( sala!E632,1)</f>
        <v>0.11875000000145519</v>
      </c>
      <c r="G633" s="4">
        <f>Tabla5[[#This Row],[Hora de Salida]]-Tabla5[[#This Row],[Hora de Llegada]]+Tabla4[[#This Row],[Tiempo Extra]]</f>
        <v>0.10416666667151731</v>
      </c>
      <c r="H633" s="5" t="str">
        <f>TEXT(Tabla4[[#This Row],[Preparación en horas]]/1440, "h:mm")</f>
        <v>0:46</v>
      </c>
      <c r="I633" s="4">
        <f>IF(Tabla5[[#This Row],[Tiempo Permanencia]]-Tabla5[[#This Row],[Tiempo de Preparación ]]&gt;=0,Tabla5[[#This Row],[Tiempo Permanencia]]-Tabla5[[#This Row],[Tiempo de Preparación ]],0)</f>
        <v>7.2222222227072863E-2</v>
      </c>
      <c r="J633" s="5" t="str">
        <f>IF(Tabla5[[#This Row],[Tiempo de Degustación]]=0,"No Cobrada","Cobrada")</f>
        <v>Cobrada</v>
      </c>
      <c r="K633" s="5" cm="1">
        <f t="array" ref="K633">SUM(IF(Tabla5[[#This Row],[Orden Cobrada]]="Cobrada",IF(Cocina!A:A=Tabla5[[#This Row],[Nº Orden]],Cocina!F:F*Cocina!G:G,0),-Tabla6[[#This Row],[Precio Cena]]))</f>
        <v>66</v>
      </c>
      <c r="L633" s="5">
        <f>IF(Tabla5[[#This Row],[Orden Cobrada]]="Cobrada",Tabla5[[#This Row],[Ganancia Bruta]]-Tabla6[[#This Row],[Coste Cena]],-Tabla6[[#This Row],[Precio Cena]]+Tabla6[[#This Row],[Coste Cena]])</f>
        <v>27</v>
      </c>
      <c r="M633" s="10">
        <f>IF(Tabla5[[#This Row],[Orden Cobrada]]="Cobrada",((Tabla5[[#This Row],[Ganancia Neta]]/Tabla5[[#This Row],[Ganancia Bruta]])*100)/100,-((Tabla5[[#This Row],[Ganancia Neta]]/Tabla5[[#This Row],[Ganancia Bruta]]*100)/100))</f>
        <v>0.40909090909090912</v>
      </c>
      <c r="N633" s="5" t="str">
        <f>sala!F632</f>
        <v>Mesero_5</v>
      </c>
      <c r="AY633" cm="1">
        <f t="array" ref="AY633">SUM(IF(Cocina!A:A=Tabla5[[#This Row],[Nº Orden]],Cocina!F:F*Cocina!G:G,0))</f>
        <v>66</v>
      </c>
      <c r="AZ633" cm="1">
        <f t="array" ref="AZ633">SUM(IF(Cocina!A:A=Tabla5[[#This Row],[Nº Orden]],Cocina!E:E*Cocina!G:G,0))</f>
        <v>39</v>
      </c>
      <c r="BB633" t="str">
        <f>MID(Tabla4[[#This Row],[Cliente]], SEARCH("_", Tabla4[[#This Row],[Cliente]]) + 1, LEN(Tabla4[[#This Row],[Cliente]]) - SEARCH("_",Tabla4[[#This Row],[Cliente]]))</f>
        <v>841</v>
      </c>
      <c r="BC633" t="str">
        <f>sala!B632</f>
        <v>Cliente_841</v>
      </c>
      <c r="BD633" s="1">
        <f>sala!D632</f>
        <v>45022.01458333333</v>
      </c>
      <c r="BE633" s="1">
        <f>sala!E632</f>
        <v>45022.118750000001</v>
      </c>
      <c r="BF633">
        <f>sala!K632</f>
        <v>631</v>
      </c>
      <c r="BG633">
        <f>sala!I632</f>
        <v>3971</v>
      </c>
      <c r="BH633" cm="1">
        <f t="array" ref="BH633">SUM(IF(Cocina!A:A=Tabla4[[#This Row],[Número de Orden]],Cocina!F:F*Cocina!G:G,0))</f>
        <v>66</v>
      </c>
      <c r="BI633" t="str">
        <f>sala!J632</f>
        <v>Reservada</v>
      </c>
      <c r="BJ633" s="4" t="str">
        <f>IF(Tabla4[[#This Row],[Estado mesa]]="Ocupada","00:15","00:00")</f>
        <v>00:00</v>
      </c>
      <c r="BK633" cm="1">
        <f t="array" ref="BK633">SUM(IF(Cocina!A:A=Tabla4[[#This Row],[Número de Orden]],Cocina!H:H,0))</f>
        <v>46</v>
      </c>
    </row>
    <row r="634" spans="1:63" x14ac:dyDescent="0.3">
      <c r="A634" s="8" t="str">
        <f>MID(Tabla4[[#This Row],[Cliente]], SEARCH("_", Tabla4[[#This Row],[Cliente]]) + 1, LEN(Tabla4[[#This Row],[Cliente]]) - SEARCH("_",Tabla4[[#This Row],[Cliente]]))</f>
        <v>605</v>
      </c>
      <c r="B634">
        <f>sala!K633</f>
        <v>632</v>
      </c>
      <c r="C634">
        <f>Tabla4[[#This Row],[Propina]]+Tabla4[[#This Row],[Precio Cena]]</f>
        <v>2370</v>
      </c>
      <c r="D634" s="3">
        <f>INT(sala!E633)</f>
        <v>45022</v>
      </c>
      <c r="E634" s="4">
        <f>MOD( sala!D633,1)</f>
        <v>1.0416666664241347E-2</v>
      </c>
      <c r="F634" s="4">
        <f>MOD( sala!E633,1)</f>
        <v>0.12152777778101154</v>
      </c>
      <c r="G634" s="4">
        <f>Tabla5[[#This Row],[Hora de Salida]]-Tabla5[[#This Row],[Hora de Llegada]]+Tabla4[[#This Row],[Tiempo Extra]]</f>
        <v>0.11111111111677019</v>
      </c>
      <c r="H634" s="5" t="str">
        <f>TEXT(Tabla4[[#This Row],[Preparación en horas]]/1440, "h:mm")</f>
        <v>1:28</v>
      </c>
      <c r="I634" s="4">
        <f>IF(Tabla5[[#This Row],[Tiempo Permanencia]]-Tabla5[[#This Row],[Tiempo de Preparación ]]&gt;=0,Tabla5[[#This Row],[Tiempo Permanencia]]-Tabla5[[#This Row],[Tiempo de Preparación ]],0)</f>
        <v>5.000000000565908E-2</v>
      </c>
      <c r="J634" s="5" t="str">
        <f>IF(Tabla5[[#This Row],[Tiempo de Degustación]]=0,"No Cobrada","Cobrada")</f>
        <v>Cobrada</v>
      </c>
      <c r="K634" s="5" cm="1">
        <f t="array" ref="K634">SUM(IF(Tabla5[[#This Row],[Orden Cobrada]]="Cobrada",IF(Cocina!A:A=Tabla5[[#This Row],[Nº Orden]],Cocina!F:F*Cocina!G:G,0),-Tabla6[[#This Row],[Precio Cena]]))</f>
        <v>129</v>
      </c>
      <c r="L634" s="5">
        <f>IF(Tabla5[[#This Row],[Orden Cobrada]]="Cobrada",Tabla5[[#This Row],[Ganancia Bruta]]-Tabla6[[#This Row],[Coste Cena]],-Tabla6[[#This Row],[Precio Cena]]+Tabla6[[#This Row],[Coste Cena]])</f>
        <v>52</v>
      </c>
      <c r="M634" s="10">
        <f>IF(Tabla5[[#This Row],[Orden Cobrada]]="Cobrada",((Tabla5[[#This Row],[Ganancia Neta]]/Tabla5[[#This Row],[Ganancia Bruta]])*100)/100,-((Tabla5[[#This Row],[Ganancia Neta]]/Tabla5[[#This Row],[Ganancia Bruta]]*100)/100))</f>
        <v>0.40310077519379844</v>
      </c>
      <c r="N634" s="5" t="str">
        <f>sala!F633</f>
        <v>Mesero_3</v>
      </c>
      <c r="AY634" cm="1">
        <f t="array" ref="AY634">SUM(IF(Cocina!A:A=Tabla5[[#This Row],[Nº Orden]],Cocina!F:F*Cocina!G:G,0))</f>
        <v>129</v>
      </c>
      <c r="AZ634" cm="1">
        <f t="array" ref="AZ634">SUM(IF(Cocina!A:A=Tabla5[[#This Row],[Nº Orden]],Cocina!E:E*Cocina!G:G,0))</f>
        <v>77</v>
      </c>
      <c r="BB634" t="str">
        <f>MID(Tabla4[[#This Row],[Cliente]], SEARCH("_", Tabla4[[#This Row],[Cliente]]) + 1, LEN(Tabla4[[#This Row],[Cliente]]) - SEARCH("_",Tabla4[[#This Row],[Cliente]]))</f>
        <v>605</v>
      </c>
      <c r="BC634" t="str">
        <f>sala!B633</f>
        <v>Cliente_605</v>
      </c>
      <c r="BD634" s="1">
        <f>sala!D633</f>
        <v>45022.010416666664</v>
      </c>
      <c r="BE634" s="1">
        <f>sala!E633</f>
        <v>45022.121527777781</v>
      </c>
      <c r="BF634">
        <f>sala!K633</f>
        <v>632</v>
      </c>
      <c r="BG634">
        <f>sala!I633</f>
        <v>2241</v>
      </c>
      <c r="BH634" cm="1">
        <f t="array" ref="BH634">SUM(IF(Cocina!A:A=Tabla4[[#This Row],[Número de Orden]],Cocina!F:F*Cocina!G:G,0))</f>
        <v>129</v>
      </c>
      <c r="BI634" t="str">
        <f>sala!J633</f>
        <v>Libre</v>
      </c>
      <c r="BJ634" s="4" t="str">
        <f>IF(Tabla4[[#This Row],[Estado mesa]]="Ocupada","00:15","00:00")</f>
        <v>00:00</v>
      </c>
      <c r="BK634" cm="1">
        <f t="array" ref="BK634">SUM(IF(Cocina!A:A=Tabla4[[#This Row],[Número de Orden]],Cocina!H:H,0))</f>
        <v>88</v>
      </c>
    </row>
    <row r="635" spans="1:63" x14ac:dyDescent="0.3">
      <c r="A635" s="8" t="str">
        <f>MID(Tabla4[[#This Row],[Cliente]], SEARCH("_", Tabla4[[#This Row],[Cliente]]) + 1, LEN(Tabla4[[#This Row],[Cliente]]) - SEARCH("_",Tabla4[[#This Row],[Cliente]]))</f>
        <v>197</v>
      </c>
      <c r="B635">
        <f>sala!K634</f>
        <v>633</v>
      </c>
      <c r="C635">
        <f>Tabla4[[#This Row],[Propina]]+Tabla4[[#This Row],[Precio Cena]]</f>
        <v>1355</v>
      </c>
      <c r="D635" s="3">
        <f>INT(sala!E634)</f>
        <v>45022</v>
      </c>
      <c r="E635" s="4">
        <f>MOD( sala!D634,1)</f>
        <v>0.15486111111385981</v>
      </c>
      <c r="F635" s="4">
        <f>MOD( sala!E634,1)</f>
        <v>0.22777777777810115</v>
      </c>
      <c r="G635" s="4">
        <f>Tabla5[[#This Row],[Hora de Salida]]-Tabla5[[#This Row],[Hora de Llegada]]+Tabla4[[#This Row],[Tiempo Extra]]</f>
        <v>7.2916666664241347E-2</v>
      </c>
      <c r="H635" s="5" t="str">
        <f>TEXT(Tabla4[[#This Row],[Preparación en horas]]/1440, "h:mm")</f>
        <v>2:29</v>
      </c>
      <c r="I635" s="4">
        <f>IF(Tabla5[[#This Row],[Tiempo Permanencia]]-Tabla5[[#This Row],[Tiempo de Preparación ]]&gt;=0,Tabla5[[#This Row],[Tiempo Permanencia]]-Tabla5[[#This Row],[Tiempo de Preparación ]],0)</f>
        <v>0</v>
      </c>
      <c r="J635" s="5" t="str">
        <f>IF(Tabla5[[#This Row],[Tiempo de Degustación]]=0,"No Cobrada","Cobrada")</f>
        <v>No Cobrada</v>
      </c>
      <c r="K635" s="5" cm="1">
        <f t="array" ref="K635">SUM(IF(Tabla5[[#This Row],[Orden Cobrada]]="Cobrada",IF(Cocina!A:A=Tabla5[[#This Row],[Nº Orden]],Cocina!F:F*Cocina!G:G,0),-Tabla6[[#This Row],[Precio Cena]]))</f>
        <v>-236</v>
      </c>
      <c r="L635" s="5">
        <f>IF(Tabla5[[#This Row],[Orden Cobrada]]="Cobrada",Tabla5[[#This Row],[Ganancia Bruta]]-Tabla6[[#This Row],[Coste Cena]],-Tabla6[[#This Row],[Precio Cena]]+Tabla6[[#This Row],[Coste Cena]])</f>
        <v>-98</v>
      </c>
      <c r="M635" s="10">
        <f>IF(Tabla5[[#This Row],[Orden Cobrada]]="Cobrada",((Tabla5[[#This Row],[Ganancia Neta]]/Tabla5[[#This Row],[Ganancia Bruta]])*100)/100,-((Tabla5[[#This Row],[Ganancia Neta]]/Tabla5[[#This Row],[Ganancia Bruta]]*100)/100))</f>
        <v>-0.4152542372881356</v>
      </c>
      <c r="N635" s="5" t="str">
        <f>sala!F634</f>
        <v>Mesero_3</v>
      </c>
      <c r="AY635" cm="1">
        <f t="array" ref="AY635">SUM(IF(Cocina!A:A=Tabla5[[#This Row],[Nº Orden]],Cocina!F:F*Cocina!G:G,0))</f>
        <v>236</v>
      </c>
      <c r="AZ635" cm="1">
        <f t="array" ref="AZ635">SUM(IF(Cocina!A:A=Tabla5[[#This Row],[Nº Orden]],Cocina!E:E*Cocina!G:G,0))</f>
        <v>138</v>
      </c>
      <c r="BB635" t="str">
        <f>MID(Tabla4[[#This Row],[Cliente]], SEARCH("_", Tabla4[[#This Row],[Cliente]]) + 1, LEN(Tabla4[[#This Row],[Cliente]]) - SEARCH("_",Tabla4[[#This Row],[Cliente]]))</f>
        <v>197</v>
      </c>
      <c r="BC635" t="str">
        <f>sala!B634</f>
        <v>Cliente_197</v>
      </c>
      <c r="BD635" s="1">
        <f>sala!D634</f>
        <v>45022.154861111114</v>
      </c>
      <c r="BE635" s="1">
        <f>sala!E634</f>
        <v>45022.227777777778</v>
      </c>
      <c r="BF635">
        <f>sala!K634</f>
        <v>633</v>
      </c>
      <c r="BG635">
        <f>sala!I634</f>
        <v>1119</v>
      </c>
      <c r="BH635" cm="1">
        <f t="array" ref="BH635">SUM(IF(Cocina!A:A=Tabla4[[#This Row],[Número de Orden]],Cocina!F:F*Cocina!G:G,0))</f>
        <v>236</v>
      </c>
      <c r="BI635" t="str">
        <f>sala!J634</f>
        <v>Reservada</v>
      </c>
      <c r="BJ635" s="4" t="str">
        <f>IF(Tabla4[[#This Row],[Estado mesa]]="Ocupada","00:15","00:00")</f>
        <v>00:00</v>
      </c>
      <c r="BK635" cm="1">
        <f t="array" ref="BK635">SUM(IF(Cocina!A:A=Tabla4[[#This Row],[Número de Orden]],Cocina!H:H,0))</f>
        <v>149</v>
      </c>
    </row>
    <row r="636" spans="1:63" x14ac:dyDescent="0.3">
      <c r="A636" s="8" t="str">
        <f>MID(Tabla4[[#This Row],[Cliente]], SEARCH("_", Tabla4[[#This Row],[Cliente]]) + 1, LEN(Tabla4[[#This Row],[Cliente]]) - SEARCH("_",Tabla4[[#This Row],[Cliente]]))</f>
        <v>285</v>
      </c>
      <c r="B636">
        <f>sala!K635</f>
        <v>634</v>
      </c>
      <c r="C636">
        <f>Tabla4[[#This Row],[Propina]]+Tabla4[[#This Row],[Precio Cena]]</f>
        <v>3269</v>
      </c>
      <c r="D636" s="3">
        <f>INT(sala!E635)</f>
        <v>45022</v>
      </c>
      <c r="E636" s="4">
        <f>MOD( sala!D635,1)</f>
        <v>2.0833333328482695E-3</v>
      </c>
      <c r="F636" s="4">
        <f>MOD( sala!E635,1)</f>
        <v>0.15000000000145519</v>
      </c>
      <c r="G636" s="4">
        <f>Tabla5[[#This Row],[Hora de Salida]]-Tabla5[[#This Row],[Hora de Llegada]]+Tabla4[[#This Row],[Tiempo Extra]]</f>
        <v>0.14791666666860692</v>
      </c>
      <c r="H636" s="5" t="str">
        <f>TEXT(Tabla4[[#This Row],[Preparación en horas]]/1440, "h:mm")</f>
        <v>2:37</v>
      </c>
      <c r="I636" s="4">
        <f>IF(Tabla5[[#This Row],[Tiempo Permanencia]]-Tabla5[[#This Row],[Tiempo de Preparación ]]&gt;=0,Tabla5[[#This Row],[Tiempo Permanencia]]-Tabla5[[#This Row],[Tiempo de Preparación ]],0)</f>
        <v>3.8888888890829143E-2</v>
      </c>
      <c r="J636" s="5" t="str">
        <f>IF(Tabla5[[#This Row],[Tiempo de Degustación]]=0,"No Cobrada","Cobrada")</f>
        <v>Cobrada</v>
      </c>
      <c r="K636" s="5" cm="1">
        <f t="array" ref="K636">SUM(IF(Tabla5[[#This Row],[Orden Cobrada]]="Cobrada",IF(Cocina!A:A=Tabla5[[#This Row],[Nº Orden]],Cocina!F:F*Cocina!G:G,0),-Tabla6[[#This Row],[Precio Cena]]))</f>
        <v>344</v>
      </c>
      <c r="L636" s="5">
        <f>IF(Tabla5[[#This Row],[Orden Cobrada]]="Cobrada",Tabla5[[#This Row],[Ganancia Bruta]]-Tabla6[[#This Row],[Coste Cena]],-Tabla6[[#This Row],[Precio Cena]]+Tabla6[[#This Row],[Coste Cena]])</f>
        <v>135</v>
      </c>
      <c r="M636" s="10">
        <f>IF(Tabla5[[#This Row],[Orden Cobrada]]="Cobrada",((Tabla5[[#This Row],[Ganancia Neta]]/Tabla5[[#This Row],[Ganancia Bruta]])*100)/100,-((Tabla5[[#This Row],[Ganancia Neta]]/Tabla5[[#This Row],[Ganancia Bruta]]*100)/100))</f>
        <v>0.3924418604651162</v>
      </c>
      <c r="N636" s="5" t="str">
        <f>sala!F635</f>
        <v>Mesero_1</v>
      </c>
      <c r="AY636" cm="1">
        <f t="array" ref="AY636">SUM(IF(Cocina!A:A=Tabla5[[#This Row],[Nº Orden]],Cocina!F:F*Cocina!G:G,0))</f>
        <v>344</v>
      </c>
      <c r="AZ636" cm="1">
        <f t="array" ref="AZ636">SUM(IF(Cocina!A:A=Tabla5[[#This Row],[Nº Orden]],Cocina!E:E*Cocina!G:G,0))</f>
        <v>209</v>
      </c>
      <c r="BB636" t="str">
        <f>MID(Tabla4[[#This Row],[Cliente]], SEARCH("_", Tabla4[[#This Row],[Cliente]]) + 1, LEN(Tabla4[[#This Row],[Cliente]]) - SEARCH("_",Tabla4[[#This Row],[Cliente]]))</f>
        <v>285</v>
      </c>
      <c r="BC636" t="str">
        <f>sala!B635</f>
        <v>Cliente_285</v>
      </c>
      <c r="BD636" s="1">
        <f>sala!D635</f>
        <v>45022.002083333333</v>
      </c>
      <c r="BE636" s="1">
        <f>sala!E635</f>
        <v>45022.15</v>
      </c>
      <c r="BF636">
        <f>sala!K635</f>
        <v>634</v>
      </c>
      <c r="BG636">
        <f>sala!I635</f>
        <v>2925</v>
      </c>
      <c r="BH636" cm="1">
        <f t="array" ref="BH636">SUM(IF(Cocina!A:A=Tabla4[[#This Row],[Número de Orden]],Cocina!F:F*Cocina!G:G,0))</f>
        <v>344</v>
      </c>
      <c r="BI636" t="str">
        <f>sala!J635</f>
        <v>Reservada</v>
      </c>
      <c r="BJ636" s="4" t="str">
        <f>IF(Tabla4[[#This Row],[Estado mesa]]="Ocupada","00:15","00:00")</f>
        <v>00:00</v>
      </c>
      <c r="BK636" cm="1">
        <f t="array" ref="BK636">SUM(IF(Cocina!A:A=Tabla4[[#This Row],[Número de Orden]],Cocina!H:H,0))</f>
        <v>157</v>
      </c>
    </row>
    <row r="637" spans="1:63" x14ac:dyDescent="0.3">
      <c r="A637" s="8" t="str">
        <f>MID(Tabla4[[#This Row],[Cliente]], SEARCH("_", Tabla4[[#This Row],[Cliente]]) + 1, LEN(Tabla4[[#This Row],[Cliente]]) - SEARCH("_",Tabla4[[#This Row],[Cliente]]))</f>
        <v>19</v>
      </c>
      <c r="B637">
        <f>sala!K636</f>
        <v>635</v>
      </c>
      <c r="C637">
        <f>Tabla4[[#This Row],[Propina]]+Tabla4[[#This Row],[Precio Cena]]</f>
        <v>2273</v>
      </c>
      <c r="D637" s="3">
        <f>INT(sala!E636)</f>
        <v>45022</v>
      </c>
      <c r="E637" s="4">
        <f>MOD( sala!D636,1)</f>
        <v>1.1805555557657499E-2</v>
      </c>
      <c r="F637" s="4">
        <f>MOD( sala!E636,1)</f>
        <v>0.12777777777955635</v>
      </c>
      <c r="G637" s="4">
        <f>Tabla5[[#This Row],[Hora de Salida]]-Tabla5[[#This Row],[Hora de Llegada]]+Tabla4[[#This Row],[Tiempo Extra]]</f>
        <v>0.11597222222189885</v>
      </c>
      <c r="H637" s="5" t="str">
        <f>TEXT(Tabla4[[#This Row],[Preparación en horas]]/1440, "h:mm")</f>
        <v>0:25</v>
      </c>
      <c r="I637" s="4">
        <f>IF(Tabla5[[#This Row],[Tiempo Permanencia]]-Tabla5[[#This Row],[Tiempo de Preparación ]]&gt;=0,Tabla5[[#This Row],[Tiempo Permanencia]]-Tabla5[[#This Row],[Tiempo de Preparación ]],0)</f>
        <v>9.8611111110787741E-2</v>
      </c>
      <c r="J637" s="5" t="str">
        <f>IF(Tabla5[[#This Row],[Tiempo de Degustación]]=0,"No Cobrada","Cobrada")</f>
        <v>Cobrada</v>
      </c>
      <c r="K637" s="5" cm="1">
        <f t="array" ref="K637">SUM(IF(Tabla5[[#This Row],[Orden Cobrada]]="Cobrada",IF(Cocina!A:A=Tabla5[[#This Row],[Nº Orden]],Cocina!F:F*Cocina!G:G,0),-Tabla6[[#This Row],[Precio Cena]]))</f>
        <v>58</v>
      </c>
      <c r="L637" s="5">
        <f>IF(Tabla5[[#This Row],[Orden Cobrada]]="Cobrada",Tabla5[[#This Row],[Ganancia Bruta]]-Tabla6[[#This Row],[Coste Cena]],-Tabla6[[#This Row],[Precio Cena]]+Tabla6[[#This Row],[Coste Cena]])</f>
        <v>24</v>
      </c>
      <c r="M637" s="10">
        <f>IF(Tabla5[[#This Row],[Orden Cobrada]]="Cobrada",((Tabla5[[#This Row],[Ganancia Neta]]/Tabla5[[#This Row],[Ganancia Bruta]])*100)/100,-((Tabla5[[#This Row],[Ganancia Neta]]/Tabla5[[#This Row],[Ganancia Bruta]]*100)/100))</f>
        <v>0.41379310344827586</v>
      </c>
      <c r="N637" s="5" t="str">
        <f>sala!F636</f>
        <v>Mesero_2</v>
      </c>
      <c r="AY637" cm="1">
        <f t="array" ref="AY637">SUM(IF(Cocina!A:A=Tabla5[[#This Row],[Nº Orden]],Cocina!F:F*Cocina!G:G,0))</f>
        <v>58</v>
      </c>
      <c r="AZ637" cm="1">
        <f t="array" ref="AZ637">SUM(IF(Cocina!A:A=Tabla5[[#This Row],[Nº Orden]],Cocina!E:E*Cocina!G:G,0))</f>
        <v>34</v>
      </c>
      <c r="BB637" t="str">
        <f>MID(Tabla4[[#This Row],[Cliente]], SEARCH("_", Tabla4[[#This Row],[Cliente]]) + 1, LEN(Tabla4[[#This Row],[Cliente]]) - SEARCH("_",Tabla4[[#This Row],[Cliente]]))</f>
        <v>19</v>
      </c>
      <c r="BC637" t="str">
        <f>sala!B636</f>
        <v>Cliente_19</v>
      </c>
      <c r="BD637" s="1">
        <f>sala!D636</f>
        <v>45022.011805555558</v>
      </c>
      <c r="BE637" s="1">
        <f>sala!E636</f>
        <v>45022.12777777778</v>
      </c>
      <c r="BF637">
        <f>sala!K636</f>
        <v>635</v>
      </c>
      <c r="BG637">
        <f>sala!I636</f>
        <v>2215</v>
      </c>
      <c r="BH637" cm="1">
        <f t="array" ref="BH637">SUM(IF(Cocina!A:A=Tabla4[[#This Row],[Número de Orden]],Cocina!F:F*Cocina!G:G,0))</f>
        <v>58</v>
      </c>
      <c r="BI637" t="str">
        <f>sala!J636</f>
        <v>Libre</v>
      </c>
      <c r="BJ637" s="4" t="str">
        <f>IF(Tabla4[[#This Row],[Estado mesa]]="Ocupada","00:15","00:00")</f>
        <v>00:00</v>
      </c>
      <c r="BK637" cm="1">
        <f t="array" ref="BK637">SUM(IF(Cocina!A:A=Tabla4[[#This Row],[Número de Orden]],Cocina!H:H,0))</f>
        <v>25</v>
      </c>
    </row>
    <row r="638" spans="1:63" x14ac:dyDescent="0.3">
      <c r="A638" s="8" t="str">
        <f>MID(Tabla4[[#This Row],[Cliente]], SEARCH("_", Tabla4[[#This Row],[Cliente]]) + 1, LEN(Tabla4[[#This Row],[Cliente]]) - SEARCH("_",Tabla4[[#This Row],[Cliente]]))</f>
        <v>586</v>
      </c>
      <c r="B638">
        <f>sala!K637</f>
        <v>636</v>
      </c>
      <c r="C638">
        <f>Tabla4[[#This Row],[Propina]]+Tabla4[[#This Row],[Precio Cena]]</f>
        <v>3412</v>
      </c>
      <c r="D638" s="3">
        <f>INT(sala!E637)</f>
        <v>45022</v>
      </c>
      <c r="E638" s="4">
        <f>MOD( sala!D637,1)</f>
        <v>0.14930555555474712</v>
      </c>
      <c r="F638" s="4">
        <f>MOD( sala!E637,1)</f>
        <v>0.24166666666860692</v>
      </c>
      <c r="G638" s="4">
        <f>Tabla5[[#This Row],[Hora de Salida]]-Tabla5[[#This Row],[Hora de Llegada]]+Tabla4[[#This Row],[Tiempo Extra]]</f>
        <v>9.2361111113859806E-2</v>
      </c>
      <c r="H638" s="5" t="str">
        <f>TEXT(Tabla4[[#This Row],[Preparación en horas]]/1440, "h:mm")</f>
        <v>2:31</v>
      </c>
      <c r="I638" s="4">
        <f>IF(Tabla5[[#This Row],[Tiempo Permanencia]]-Tabla5[[#This Row],[Tiempo de Preparación ]]&gt;=0,Tabla5[[#This Row],[Tiempo Permanencia]]-Tabla5[[#This Row],[Tiempo de Preparación ]],0)</f>
        <v>0</v>
      </c>
      <c r="J638" s="5" t="str">
        <f>IF(Tabla5[[#This Row],[Tiempo de Degustación]]=0,"No Cobrada","Cobrada")</f>
        <v>No Cobrada</v>
      </c>
      <c r="K638" s="5" cm="1">
        <f t="array" ref="K638">SUM(IF(Tabla5[[#This Row],[Orden Cobrada]]="Cobrada",IF(Cocina!A:A=Tabla5[[#This Row],[Nº Orden]],Cocina!F:F*Cocina!G:G,0),-Tabla6[[#This Row],[Precio Cena]]))</f>
        <v>-126</v>
      </c>
      <c r="L638" s="5">
        <f>IF(Tabla5[[#This Row],[Orden Cobrada]]="Cobrada",Tabla5[[#This Row],[Ganancia Bruta]]-Tabla6[[#This Row],[Coste Cena]],-Tabla6[[#This Row],[Precio Cena]]+Tabla6[[#This Row],[Coste Cena]])</f>
        <v>-52</v>
      </c>
      <c r="M638" s="10">
        <f>IF(Tabla5[[#This Row],[Orden Cobrada]]="Cobrada",((Tabla5[[#This Row],[Ganancia Neta]]/Tabla5[[#This Row],[Ganancia Bruta]])*100)/100,-((Tabla5[[#This Row],[Ganancia Neta]]/Tabla5[[#This Row],[Ganancia Bruta]]*100)/100))</f>
        <v>-0.41269841269841268</v>
      </c>
      <c r="N638" s="5" t="str">
        <f>sala!F637</f>
        <v>Mesero_5</v>
      </c>
      <c r="AY638" cm="1">
        <f t="array" ref="AY638">SUM(IF(Cocina!A:A=Tabla5[[#This Row],[Nº Orden]],Cocina!F:F*Cocina!G:G,0))</f>
        <v>126</v>
      </c>
      <c r="AZ638" cm="1">
        <f t="array" ref="AZ638">SUM(IF(Cocina!A:A=Tabla5[[#This Row],[Nº Orden]],Cocina!E:E*Cocina!G:G,0))</f>
        <v>74</v>
      </c>
      <c r="BB638" t="str">
        <f>MID(Tabla4[[#This Row],[Cliente]], SEARCH("_", Tabla4[[#This Row],[Cliente]]) + 1, LEN(Tabla4[[#This Row],[Cliente]]) - SEARCH("_",Tabla4[[#This Row],[Cliente]]))</f>
        <v>586</v>
      </c>
      <c r="BC638" t="str">
        <f>sala!B637</f>
        <v>Cliente_586</v>
      </c>
      <c r="BD638" s="1">
        <f>sala!D637</f>
        <v>45022.149305555555</v>
      </c>
      <c r="BE638" s="1">
        <f>sala!E637</f>
        <v>45022.241666666669</v>
      </c>
      <c r="BF638">
        <f>sala!K637</f>
        <v>636</v>
      </c>
      <c r="BG638">
        <f>sala!I637</f>
        <v>3286</v>
      </c>
      <c r="BH638" cm="1">
        <f t="array" ref="BH638">SUM(IF(Cocina!A:A=Tabla4[[#This Row],[Número de Orden]],Cocina!F:F*Cocina!G:G,0))</f>
        <v>126</v>
      </c>
      <c r="BI638" t="str">
        <f>sala!J637</f>
        <v>Libre</v>
      </c>
      <c r="BJ638" s="4" t="str">
        <f>IF(Tabla4[[#This Row],[Estado mesa]]="Ocupada","00:15","00:00")</f>
        <v>00:00</v>
      </c>
      <c r="BK638" cm="1">
        <f t="array" ref="BK638">SUM(IF(Cocina!A:A=Tabla4[[#This Row],[Número de Orden]],Cocina!H:H,0))</f>
        <v>151</v>
      </c>
    </row>
    <row r="639" spans="1:63" x14ac:dyDescent="0.3">
      <c r="A639" s="8" t="str">
        <f>MID(Tabla4[[#This Row],[Cliente]], SEARCH("_", Tabla4[[#This Row],[Cliente]]) + 1, LEN(Tabla4[[#This Row],[Cliente]]) - SEARCH("_",Tabla4[[#This Row],[Cliente]]))</f>
        <v>687</v>
      </c>
      <c r="B639">
        <f>sala!K638</f>
        <v>637</v>
      </c>
      <c r="C639">
        <f>Tabla4[[#This Row],[Propina]]+Tabla4[[#This Row],[Precio Cena]]</f>
        <v>3775</v>
      </c>
      <c r="D639" s="3">
        <f>INT(sala!E638)</f>
        <v>45022</v>
      </c>
      <c r="E639" s="4">
        <f>MOD( sala!D638,1)</f>
        <v>7.9861111109494232E-2</v>
      </c>
      <c r="F639" s="4">
        <f>MOD( sala!E638,1)</f>
        <v>0.18888888888614019</v>
      </c>
      <c r="G639" s="4">
        <f>Tabla5[[#This Row],[Hora de Salida]]-Tabla5[[#This Row],[Hora de Llegada]]+Tabla4[[#This Row],[Tiempo Extra]]</f>
        <v>0.10902777777664596</v>
      </c>
      <c r="H639" s="5" t="str">
        <f>TEXT(Tabla4[[#This Row],[Preparación en horas]]/1440, "h:mm")</f>
        <v>1:01</v>
      </c>
      <c r="I639" s="4">
        <f>IF(Tabla5[[#This Row],[Tiempo Permanencia]]-Tabla5[[#This Row],[Tiempo de Preparación ]]&gt;=0,Tabla5[[#This Row],[Tiempo Permanencia]]-Tabla5[[#This Row],[Tiempo de Preparación ]],0)</f>
        <v>6.6666666665534849E-2</v>
      </c>
      <c r="J639" s="5" t="str">
        <f>IF(Tabla5[[#This Row],[Tiempo de Degustación]]=0,"No Cobrada","Cobrada")</f>
        <v>Cobrada</v>
      </c>
      <c r="K639" s="5" cm="1">
        <f t="array" ref="K639">SUM(IF(Tabla5[[#This Row],[Orden Cobrada]]="Cobrada",IF(Cocina!A:A=Tabla5[[#This Row],[Nº Orden]],Cocina!F:F*Cocina!G:G,0),-Tabla6[[#This Row],[Precio Cena]]))</f>
        <v>117</v>
      </c>
      <c r="L639" s="5">
        <f>IF(Tabla5[[#This Row],[Orden Cobrada]]="Cobrada",Tabla5[[#This Row],[Ganancia Bruta]]-Tabla6[[#This Row],[Coste Cena]],-Tabla6[[#This Row],[Precio Cena]]+Tabla6[[#This Row],[Coste Cena]])</f>
        <v>47</v>
      </c>
      <c r="M639" s="10">
        <f>IF(Tabla5[[#This Row],[Orden Cobrada]]="Cobrada",((Tabla5[[#This Row],[Ganancia Neta]]/Tabla5[[#This Row],[Ganancia Bruta]])*100)/100,-((Tabla5[[#This Row],[Ganancia Neta]]/Tabla5[[#This Row],[Ganancia Bruta]]*100)/100))</f>
        <v>0.40170940170940173</v>
      </c>
      <c r="N639" s="5" t="str">
        <f>sala!F638</f>
        <v>Mesero_4</v>
      </c>
      <c r="AY639" cm="1">
        <f t="array" ref="AY639">SUM(IF(Cocina!A:A=Tabla5[[#This Row],[Nº Orden]],Cocina!F:F*Cocina!G:G,0))</f>
        <v>117</v>
      </c>
      <c r="AZ639" cm="1">
        <f t="array" ref="AZ639">SUM(IF(Cocina!A:A=Tabla5[[#This Row],[Nº Orden]],Cocina!E:E*Cocina!G:G,0))</f>
        <v>70</v>
      </c>
      <c r="BB639" t="str">
        <f>MID(Tabla4[[#This Row],[Cliente]], SEARCH("_", Tabla4[[#This Row],[Cliente]]) + 1, LEN(Tabla4[[#This Row],[Cliente]]) - SEARCH("_",Tabla4[[#This Row],[Cliente]]))</f>
        <v>687</v>
      </c>
      <c r="BC639" t="str">
        <f>sala!B638</f>
        <v>Cliente_687</v>
      </c>
      <c r="BD639" s="1">
        <f>sala!D638</f>
        <v>45022.079861111109</v>
      </c>
      <c r="BE639" s="1">
        <f>sala!E638</f>
        <v>45022.188888888886</v>
      </c>
      <c r="BF639">
        <f>sala!K638</f>
        <v>637</v>
      </c>
      <c r="BG639">
        <f>sala!I638</f>
        <v>3658</v>
      </c>
      <c r="BH639" cm="1">
        <f t="array" ref="BH639">SUM(IF(Cocina!A:A=Tabla4[[#This Row],[Número de Orden]],Cocina!F:F*Cocina!G:G,0))</f>
        <v>117</v>
      </c>
      <c r="BI639" t="str">
        <f>sala!J638</f>
        <v>Reservada</v>
      </c>
      <c r="BJ639" s="4" t="str">
        <f>IF(Tabla4[[#This Row],[Estado mesa]]="Ocupada","00:15","00:00")</f>
        <v>00:00</v>
      </c>
      <c r="BK639" cm="1">
        <f t="array" ref="BK639">SUM(IF(Cocina!A:A=Tabla4[[#This Row],[Número de Orden]],Cocina!H:H,0))</f>
        <v>61</v>
      </c>
    </row>
    <row r="640" spans="1:63" x14ac:dyDescent="0.3">
      <c r="A640" s="8" t="str">
        <f>MID(Tabla4[[#This Row],[Cliente]], SEARCH("_", Tabla4[[#This Row],[Cliente]]) + 1, LEN(Tabla4[[#This Row],[Cliente]]) - SEARCH("_",Tabla4[[#This Row],[Cliente]]))</f>
        <v>406</v>
      </c>
      <c r="B640">
        <f>sala!K639</f>
        <v>638</v>
      </c>
      <c r="C640">
        <f>Tabla4[[#This Row],[Propina]]+Tabla4[[#This Row],[Precio Cena]]</f>
        <v>3161</v>
      </c>
      <c r="D640" s="3">
        <f>INT(sala!E639)</f>
        <v>45022</v>
      </c>
      <c r="E640" s="4">
        <f>MOD( sala!D639,1)</f>
        <v>3.7499999998544808E-2</v>
      </c>
      <c r="F640" s="4">
        <f>MOD( sala!E639,1)</f>
        <v>9.4444444446708076E-2</v>
      </c>
      <c r="G640" s="4">
        <f>Tabla5[[#This Row],[Hora de Salida]]-Tabla5[[#This Row],[Hora de Llegada]]+Tabla4[[#This Row],[Tiempo Extra]]</f>
        <v>6.7361111114829939E-2</v>
      </c>
      <c r="H640" s="5" t="str">
        <f>TEXT(Tabla4[[#This Row],[Preparación en horas]]/1440, "h:mm")</f>
        <v>0:44</v>
      </c>
      <c r="I640" s="4">
        <f>IF(Tabla5[[#This Row],[Tiempo Permanencia]]-Tabla5[[#This Row],[Tiempo de Preparación ]]&gt;=0,Tabla5[[#This Row],[Tiempo Permanencia]]-Tabla5[[#This Row],[Tiempo de Preparación ]],0)</f>
        <v>3.680555555927438E-2</v>
      </c>
      <c r="J640" s="5" t="str">
        <f>IF(Tabla5[[#This Row],[Tiempo de Degustación]]=0,"No Cobrada","Cobrada")</f>
        <v>Cobrada</v>
      </c>
      <c r="K640" s="5" cm="1">
        <f t="array" ref="K640">SUM(IF(Tabla5[[#This Row],[Orden Cobrada]]="Cobrada",IF(Cocina!A:A=Tabla5[[#This Row],[Nº Orden]],Cocina!F:F*Cocina!G:G,0),-Tabla6[[#This Row],[Precio Cena]]))</f>
        <v>90</v>
      </c>
      <c r="L640" s="5">
        <f>IF(Tabla5[[#This Row],[Orden Cobrada]]="Cobrada",Tabla5[[#This Row],[Ganancia Bruta]]-Tabla6[[#This Row],[Coste Cena]],-Tabla6[[#This Row],[Precio Cena]]+Tabla6[[#This Row],[Coste Cena]])</f>
        <v>36</v>
      </c>
      <c r="M640" s="10">
        <f>IF(Tabla5[[#This Row],[Orden Cobrada]]="Cobrada",((Tabla5[[#This Row],[Ganancia Neta]]/Tabla5[[#This Row],[Ganancia Bruta]])*100)/100,-((Tabla5[[#This Row],[Ganancia Neta]]/Tabla5[[#This Row],[Ganancia Bruta]]*100)/100))</f>
        <v>0.4</v>
      </c>
      <c r="N640" s="5" t="str">
        <f>sala!F639</f>
        <v>Mesero_3</v>
      </c>
      <c r="AY640" cm="1">
        <f t="array" ref="AY640">SUM(IF(Cocina!A:A=Tabla5[[#This Row],[Nº Orden]],Cocina!F:F*Cocina!G:G,0))</f>
        <v>90</v>
      </c>
      <c r="AZ640" cm="1">
        <f t="array" ref="AZ640">SUM(IF(Cocina!A:A=Tabla5[[#This Row],[Nº Orden]],Cocina!E:E*Cocina!G:G,0))</f>
        <v>54</v>
      </c>
      <c r="BB640" t="str">
        <f>MID(Tabla4[[#This Row],[Cliente]], SEARCH("_", Tabla4[[#This Row],[Cliente]]) + 1, LEN(Tabla4[[#This Row],[Cliente]]) - SEARCH("_",Tabla4[[#This Row],[Cliente]]))</f>
        <v>406</v>
      </c>
      <c r="BC640" t="str">
        <f>sala!B639</f>
        <v>Cliente_406</v>
      </c>
      <c r="BD640" s="1">
        <f>sala!D639</f>
        <v>45022.037499999999</v>
      </c>
      <c r="BE640" s="1">
        <f>sala!E639</f>
        <v>45022.094444444447</v>
      </c>
      <c r="BF640">
        <f>sala!K639</f>
        <v>638</v>
      </c>
      <c r="BG640">
        <f>sala!I639</f>
        <v>3071</v>
      </c>
      <c r="BH640" cm="1">
        <f t="array" ref="BH640">SUM(IF(Cocina!A:A=Tabla4[[#This Row],[Número de Orden]],Cocina!F:F*Cocina!G:G,0))</f>
        <v>90</v>
      </c>
      <c r="BI640" t="str">
        <f>sala!J639</f>
        <v>Ocupada</v>
      </c>
      <c r="BJ640" s="4" t="str">
        <f>IF(Tabla4[[#This Row],[Estado mesa]]="Ocupada","00:15","00:00")</f>
        <v>00:15</v>
      </c>
      <c r="BK640" cm="1">
        <f t="array" ref="BK640">SUM(IF(Cocina!A:A=Tabla4[[#This Row],[Número de Orden]],Cocina!H:H,0))</f>
        <v>44</v>
      </c>
    </row>
    <row r="641" spans="1:63" x14ac:dyDescent="0.3">
      <c r="A641" s="8" t="str">
        <f>MID(Tabla4[[#This Row],[Cliente]], SEARCH("_", Tabla4[[#This Row],[Cliente]]) + 1, LEN(Tabla4[[#This Row],[Cliente]]) - SEARCH("_",Tabla4[[#This Row],[Cliente]]))</f>
        <v>415</v>
      </c>
      <c r="B641">
        <f>sala!K640</f>
        <v>639</v>
      </c>
      <c r="C641">
        <f>Tabla4[[#This Row],[Propina]]+Tabla4[[#This Row],[Precio Cena]]</f>
        <v>2049</v>
      </c>
      <c r="D641" s="3">
        <f>INT(sala!E640)</f>
        <v>45022</v>
      </c>
      <c r="E641" s="4">
        <f>MOD( sala!D640,1)</f>
        <v>9.5138888886140194E-2</v>
      </c>
      <c r="F641" s="4">
        <f>MOD( sala!E640,1)</f>
        <v>0.22152777777955635</v>
      </c>
      <c r="G641" s="4">
        <f>Tabla5[[#This Row],[Hora de Salida]]-Tabla5[[#This Row],[Hora de Llegada]]+Tabla4[[#This Row],[Tiempo Extra]]</f>
        <v>0.12638888889341615</v>
      </c>
      <c r="H641" s="5" t="str">
        <f>TEXT(Tabla4[[#This Row],[Preparación en horas]]/1440, "h:mm")</f>
        <v>2:16</v>
      </c>
      <c r="I641" s="4">
        <f>IF(Tabla5[[#This Row],[Tiempo Permanencia]]-Tabla5[[#This Row],[Tiempo de Preparación ]]&gt;=0,Tabla5[[#This Row],[Tiempo Permanencia]]-Tabla5[[#This Row],[Tiempo de Preparación ]],0)</f>
        <v>3.1944444448971709E-2</v>
      </c>
      <c r="J641" s="5" t="str">
        <f>IF(Tabla5[[#This Row],[Tiempo de Degustación]]=0,"No Cobrada","Cobrada")</f>
        <v>Cobrada</v>
      </c>
      <c r="K641" s="5" cm="1">
        <f t="array" ref="K641">SUM(IF(Tabla5[[#This Row],[Orden Cobrada]]="Cobrada",IF(Cocina!A:A=Tabla5[[#This Row],[Nº Orden]],Cocina!F:F*Cocina!G:G,0),-Tabla6[[#This Row],[Precio Cena]]))</f>
        <v>152</v>
      </c>
      <c r="L641" s="5">
        <f>IF(Tabla5[[#This Row],[Orden Cobrada]]="Cobrada",Tabla5[[#This Row],[Ganancia Bruta]]-Tabla6[[#This Row],[Coste Cena]],-Tabla6[[#This Row],[Precio Cena]]+Tabla6[[#This Row],[Coste Cena]])</f>
        <v>62</v>
      </c>
      <c r="M641" s="10">
        <f>IF(Tabla5[[#This Row],[Orden Cobrada]]="Cobrada",((Tabla5[[#This Row],[Ganancia Neta]]/Tabla5[[#This Row],[Ganancia Bruta]])*100)/100,-((Tabla5[[#This Row],[Ganancia Neta]]/Tabla5[[#This Row],[Ganancia Bruta]]*100)/100))</f>
        <v>0.40789473684210525</v>
      </c>
      <c r="N641" s="5" t="str">
        <f>sala!F640</f>
        <v>Mesero_2</v>
      </c>
      <c r="AY641" cm="1">
        <f t="array" ref="AY641">SUM(IF(Cocina!A:A=Tabla5[[#This Row],[Nº Orden]],Cocina!F:F*Cocina!G:G,0))</f>
        <v>152</v>
      </c>
      <c r="AZ641" cm="1">
        <f t="array" ref="AZ641">SUM(IF(Cocina!A:A=Tabla5[[#This Row],[Nº Orden]],Cocina!E:E*Cocina!G:G,0))</f>
        <v>90</v>
      </c>
      <c r="BB641" t="str">
        <f>MID(Tabla4[[#This Row],[Cliente]], SEARCH("_", Tabla4[[#This Row],[Cliente]]) + 1, LEN(Tabla4[[#This Row],[Cliente]]) - SEARCH("_",Tabla4[[#This Row],[Cliente]]))</f>
        <v>415</v>
      </c>
      <c r="BC641" t="str">
        <f>sala!B640</f>
        <v>Cliente_415</v>
      </c>
      <c r="BD641" s="1">
        <f>sala!D640</f>
        <v>45022.095138888886</v>
      </c>
      <c r="BE641" s="1">
        <f>sala!E640</f>
        <v>45022.22152777778</v>
      </c>
      <c r="BF641">
        <f>sala!K640</f>
        <v>639</v>
      </c>
      <c r="BG641">
        <f>sala!I640</f>
        <v>1897</v>
      </c>
      <c r="BH641" cm="1">
        <f t="array" ref="BH641">SUM(IF(Cocina!A:A=Tabla4[[#This Row],[Número de Orden]],Cocina!F:F*Cocina!G:G,0))</f>
        <v>152</v>
      </c>
      <c r="BI641" t="str">
        <f>sala!J640</f>
        <v>Reservada</v>
      </c>
      <c r="BJ641" s="4" t="str">
        <f>IF(Tabla4[[#This Row],[Estado mesa]]="Ocupada","00:15","00:00")</f>
        <v>00:00</v>
      </c>
      <c r="BK641" cm="1">
        <f t="array" ref="BK641">SUM(IF(Cocina!A:A=Tabla4[[#This Row],[Número de Orden]],Cocina!H:H,0))</f>
        <v>136</v>
      </c>
    </row>
    <row r="642" spans="1:63" x14ac:dyDescent="0.3">
      <c r="A642" s="8" t="str">
        <f>MID(Tabla4[[#This Row],[Cliente]], SEARCH("_", Tabla4[[#This Row],[Cliente]]) + 1, LEN(Tabla4[[#This Row],[Cliente]]) - SEARCH("_",Tabla4[[#This Row],[Cliente]]))</f>
        <v>456</v>
      </c>
      <c r="B642">
        <f>sala!K641</f>
        <v>640</v>
      </c>
      <c r="C642">
        <f>Tabla4[[#This Row],[Propina]]+Tabla4[[#This Row],[Precio Cena]]</f>
        <v>5148</v>
      </c>
      <c r="D642" s="3">
        <f>INT(sala!E641)</f>
        <v>45022</v>
      </c>
      <c r="E642" s="4">
        <f>MOD( sala!D641,1)</f>
        <v>2.8472222220443655E-2</v>
      </c>
      <c r="F642" s="4">
        <f>MOD( sala!E641,1)</f>
        <v>7.6388888890505768E-2</v>
      </c>
      <c r="G642" s="4">
        <f>Tabla5[[#This Row],[Hora de Salida]]-Tabla5[[#This Row],[Hora de Llegada]]+Tabla4[[#This Row],[Tiempo Extra]]</f>
        <v>4.7916666670062114E-2</v>
      </c>
      <c r="H642" s="5" t="str">
        <f>TEXT(Tabla4[[#This Row],[Preparación en horas]]/1440, "h:mm")</f>
        <v>1:15</v>
      </c>
      <c r="I642" s="4">
        <f>IF(Tabla5[[#This Row],[Tiempo Permanencia]]-Tabla5[[#This Row],[Tiempo de Preparación ]]&gt;=0,Tabla5[[#This Row],[Tiempo Permanencia]]-Tabla5[[#This Row],[Tiempo de Preparación ]],0)</f>
        <v>0</v>
      </c>
      <c r="J642" s="5" t="str">
        <f>IF(Tabla5[[#This Row],[Tiempo de Degustación]]=0,"No Cobrada","Cobrada")</f>
        <v>No Cobrada</v>
      </c>
      <c r="K642" s="5" cm="1">
        <f t="array" ref="K642">SUM(IF(Tabla5[[#This Row],[Orden Cobrada]]="Cobrada",IF(Cocina!A:A=Tabla5[[#This Row],[Nº Orden]],Cocina!F:F*Cocina!G:G,0),-Tabla6[[#This Row],[Precio Cena]]))</f>
        <v>-219</v>
      </c>
      <c r="L642" s="5">
        <f>IF(Tabla5[[#This Row],[Orden Cobrada]]="Cobrada",Tabla5[[#This Row],[Ganancia Bruta]]-Tabla6[[#This Row],[Coste Cena]],-Tabla6[[#This Row],[Precio Cena]]+Tabla6[[#This Row],[Coste Cena]])</f>
        <v>-88</v>
      </c>
      <c r="M642" s="10">
        <f>IF(Tabla5[[#This Row],[Orden Cobrada]]="Cobrada",((Tabla5[[#This Row],[Ganancia Neta]]/Tabla5[[#This Row],[Ganancia Bruta]])*100)/100,-((Tabla5[[#This Row],[Ganancia Neta]]/Tabla5[[#This Row],[Ganancia Bruta]]*100)/100))</f>
        <v>-0.40182648401826482</v>
      </c>
      <c r="N642" s="5" t="str">
        <f>sala!F641</f>
        <v>Mesero_3</v>
      </c>
      <c r="AY642" cm="1">
        <f t="array" ref="AY642">SUM(IF(Cocina!A:A=Tabla5[[#This Row],[Nº Orden]],Cocina!F:F*Cocina!G:G,0))</f>
        <v>219</v>
      </c>
      <c r="AZ642" cm="1">
        <f t="array" ref="AZ642">SUM(IF(Cocina!A:A=Tabla5[[#This Row],[Nº Orden]],Cocina!E:E*Cocina!G:G,0))</f>
        <v>131</v>
      </c>
      <c r="BB642" t="str">
        <f>MID(Tabla4[[#This Row],[Cliente]], SEARCH("_", Tabla4[[#This Row],[Cliente]]) + 1, LEN(Tabla4[[#This Row],[Cliente]]) - SEARCH("_",Tabla4[[#This Row],[Cliente]]))</f>
        <v>456</v>
      </c>
      <c r="BC642" t="str">
        <f>sala!B641</f>
        <v>Cliente_456</v>
      </c>
      <c r="BD642" s="1">
        <f>sala!D641</f>
        <v>45022.02847222222</v>
      </c>
      <c r="BE642" s="1">
        <f>sala!E641</f>
        <v>45022.076388888891</v>
      </c>
      <c r="BF642">
        <f>sala!K641</f>
        <v>640</v>
      </c>
      <c r="BG642">
        <f>sala!I641</f>
        <v>4929</v>
      </c>
      <c r="BH642" cm="1">
        <f t="array" ref="BH642">SUM(IF(Cocina!A:A=Tabla4[[#This Row],[Número de Orden]],Cocina!F:F*Cocina!G:G,0))</f>
        <v>219</v>
      </c>
      <c r="BI642" t="str">
        <f>sala!J641</f>
        <v>Libre</v>
      </c>
      <c r="BJ642" s="4" t="str">
        <f>IF(Tabla4[[#This Row],[Estado mesa]]="Ocupada","00:15","00:00")</f>
        <v>00:00</v>
      </c>
      <c r="BK642" cm="1">
        <f t="array" ref="BK642">SUM(IF(Cocina!A:A=Tabla4[[#This Row],[Número de Orden]],Cocina!H:H,0))</f>
        <v>75</v>
      </c>
    </row>
    <row r="643" spans="1:63" x14ac:dyDescent="0.3">
      <c r="A643" s="8" t="str">
        <f>MID(Tabla4[[#This Row],[Cliente]], SEARCH("_", Tabla4[[#This Row],[Cliente]]) + 1, LEN(Tabla4[[#This Row],[Cliente]]) - SEARCH("_",Tabla4[[#This Row],[Cliente]]))</f>
        <v>820</v>
      </c>
      <c r="B643">
        <f>sala!K642</f>
        <v>641</v>
      </c>
      <c r="C643">
        <f>Tabla4[[#This Row],[Propina]]+Tabla4[[#This Row],[Precio Cena]]</f>
        <v>4176</v>
      </c>
      <c r="D643" s="3">
        <f>INT(sala!E642)</f>
        <v>45022</v>
      </c>
      <c r="E643" s="4">
        <f>MOD( sala!D642,1)</f>
        <v>4.7222222223354038E-2</v>
      </c>
      <c r="F643" s="4">
        <f>MOD( sala!E642,1)</f>
        <v>0.16111111111240461</v>
      </c>
      <c r="G643" s="4">
        <f>Tabla5[[#This Row],[Hora de Salida]]-Tabla5[[#This Row],[Hora de Llegada]]+Tabla4[[#This Row],[Tiempo Extra]]</f>
        <v>0.11388888888905058</v>
      </c>
      <c r="H643" s="5" t="str">
        <f>TEXT(Tabla4[[#This Row],[Preparación en horas]]/1440, "h:mm")</f>
        <v>1:14</v>
      </c>
      <c r="I643" s="4">
        <f>IF(Tabla5[[#This Row],[Tiempo Permanencia]]-Tabla5[[#This Row],[Tiempo de Preparación ]]&gt;=0,Tabla5[[#This Row],[Tiempo Permanencia]]-Tabla5[[#This Row],[Tiempo de Preparación ]],0)</f>
        <v>6.250000000016169E-2</v>
      </c>
      <c r="J643" s="5" t="str">
        <f>IF(Tabla5[[#This Row],[Tiempo de Degustación]]=0,"No Cobrada","Cobrada")</f>
        <v>Cobrada</v>
      </c>
      <c r="K643" s="5" cm="1">
        <f t="array" ref="K643">SUM(IF(Tabla5[[#This Row],[Orden Cobrada]]="Cobrada",IF(Cocina!A:A=Tabla5[[#This Row],[Nº Orden]],Cocina!F:F*Cocina!G:G,0),-Tabla6[[#This Row],[Precio Cena]]))</f>
        <v>208</v>
      </c>
      <c r="L643" s="5">
        <f>IF(Tabla5[[#This Row],[Orden Cobrada]]="Cobrada",Tabla5[[#This Row],[Ganancia Bruta]]-Tabla6[[#This Row],[Coste Cena]],-Tabla6[[#This Row],[Precio Cena]]+Tabla6[[#This Row],[Coste Cena]])</f>
        <v>84</v>
      </c>
      <c r="M643" s="10">
        <f>IF(Tabla5[[#This Row],[Orden Cobrada]]="Cobrada",((Tabla5[[#This Row],[Ganancia Neta]]/Tabla5[[#This Row],[Ganancia Bruta]])*100)/100,-((Tabla5[[#This Row],[Ganancia Neta]]/Tabla5[[#This Row],[Ganancia Bruta]]*100)/100))</f>
        <v>0.40384615384615385</v>
      </c>
      <c r="N643" s="5" t="str">
        <f>sala!F642</f>
        <v>Mesero_1</v>
      </c>
      <c r="AY643" cm="1">
        <f t="array" ref="AY643">SUM(IF(Cocina!A:A=Tabla5[[#This Row],[Nº Orden]],Cocina!F:F*Cocina!G:G,0))</f>
        <v>208</v>
      </c>
      <c r="AZ643" cm="1">
        <f t="array" ref="AZ643">SUM(IF(Cocina!A:A=Tabla5[[#This Row],[Nº Orden]],Cocina!E:E*Cocina!G:G,0))</f>
        <v>124</v>
      </c>
      <c r="BB643" t="str">
        <f>MID(Tabla4[[#This Row],[Cliente]], SEARCH("_", Tabla4[[#This Row],[Cliente]]) + 1, LEN(Tabla4[[#This Row],[Cliente]]) - SEARCH("_",Tabla4[[#This Row],[Cliente]]))</f>
        <v>820</v>
      </c>
      <c r="BC643" t="str">
        <f>sala!B642</f>
        <v>Cliente_820</v>
      </c>
      <c r="BD643" s="1">
        <f>sala!D642</f>
        <v>45022.047222222223</v>
      </c>
      <c r="BE643" s="1">
        <f>sala!E642</f>
        <v>45022.161111111112</v>
      </c>
      <c r="BF643">
        <f>sala!K642</f>
        <v>641</v>
      </c>
      <c r="BG643">
        <f>sala!I642</f>
        <v>3968</v>
      </c>
      <c r="BH643" cm="1">
        <f t="array" ref="BH643">SUM(IF(Cocina!A:A=Tabla4[[#This Row],[Número de Orden]],Cocina!F:F*Cocina!G:G,0))</f>
        <v>208</v>
      </c>
      <c r="BI643" t="str">
        <f>sala!J642</f>
        <v>Reservada</v>
      </c>
      <c r="BJ643" s="4" t="str">
        <f>IF(Tabla4[[#This Row],[Estado mesa]]="Ocupada","00:15","00:00")</f>
        <v>00:00</v>
      </c>
      <c r="BK643" cm="1">
        <f t="array" ref="BK643">SUM(IF(Cocina!A:A=Tabla4[[#This Row],[Número de Orden]],Cocina!H:H,0))</f>
        <v>74</v>
      </c>
    </row>
    <row r="644" spans="1:63" x14ac:dyDescent="0.3">
      <c r="A644" s="8" t="str">
        <f>MID(Tabla4[[#This Row],[Cliente]], SEARCH("_", Tabla4[[#This Row],[Cliente]]) + 1, LEN(Tabla4[[#This Row],[Cliente]]) - SEARCH("_",Tabla4[[#This Row],[Cliente]]))</f>
        <v>698</v>
      </c>
      <c r="B644">
        <f>sala!K643</f>
        <v>642</v>
      </c>
      <c r="C644">
        <f>Tabla4[[#This Row],[Propina]]+Tabla4[[#This Row],[Precio Cena]]</f>
        <v>1287</v>
      </c>
      <c r="D644" s="3">
        <f>INT(sala!E643)</f>
        <v>45022</v>
      </c>
      <c r="E644" s="4">
        <f>MOD( sala!D643,1)</f>
        <v>0.10833333332993789</v>
      </c>
      <c r="F644" s="4">
        <f>MOD( sala!E643,1)</f>
        <v>0.22499999999854481</v>
      </c>
      <c r="G644" s="4">
        <f>Tabla5[[#This Row],[Hora de Salida]]-Tabla5[[#This Row],[Hora de Llegada]]+Tabla4[[#This Row],[Tiempo Extra]]</f>
        <v>0.12708333333527358</v>
      </c>
      <c r="H644" s="5" t="str">
        <f>TEXT(Tabla4[[#This Row],[Preparación en horas]]/1440, "h:mm")</f>
        <v>1:21</v>
      </c>
      <c r="I644" s="4">
        <f>IF(Tabla5[[#This Row],[Tiempo Permanencia]]-Tabla5[[#This Row],[Tiempo de Preparación ]]&gt;=0,Tabla5[[#This Row],[Tiempo Permanencia]]-Tabla5[[#This Row],[Tiempo de Preparación ]],0)</f>
        <v>7.0833333335273585E-2</v>
      </c>
      <c r="J644" s="5" t="str">
        <f>IF(Tabla5[[#This Row],[Tiempo de Degustación]]=0,"No Cobrada","Cobrada")</f>
        <v>Cobrada</v>
      </c>
      <c r="K644" s="5" cm="1">
        <f t="array" ref="K644">SUM(IF(Tabla5[[#This Row],[Orden Cobrada]]="Cobrada",IF(Cocina!A:A=Tabla5[[#This Row],[Nº Orden]],Cocina!F:F*Cocina!G:G,0),-Tabla6[[#This Row],[Precio Cena]]))</f>
        <v>176</v>
      </c>
      <c r="L644" s="5">
        <f>IF(Tabla5[[#This Row],[Orden Cobrada]]="Cobrada",Tabla5[[#This Row],[Ganancia Bruta]]-Tabla6[[#This Row],[Coste Cena]],-Tabla6[[#This Row],[Precio Cena]]+Tabla6[[#This Row],[Coste Cena]])</f>
        <v>71</v>
      </c>
      <c r="M644" s="10">
        <f>IF(Tabla5[[#This Row],[Orden Cobrada]]="Cobrada",((Tabla5[[#This Row],[Ganancia Neta]]/Tabla5[[#This Row],[Ganancia Bruta]])*100)/100,-((Tabla5[[#This Row],[Ganancia Neta]]/Tabla5[[#This Row],[Ganancia Bruta]]*100)/100))</f>
        <v>0.40340909090909088</v>
      </c>
      <c r="N644" s="5" t="str">
        <f>sala!F643</f>
        <v>Mesero_2</v>
      </c>
      <c r="AY644" cm="1">
        <f t="array" ref="AY644">SUM(IF(Cocina!A:A=Tabla5[[#This Row],[Nº Orden]],Cocina!F:F*Cocina!G:G,0))</f>
        <v>176</v>
      </c>
      <c r="AZ644" cm="1">
        <f t="array" ref="AZ644">SUM(IF(Cocina!A:A=Tabla5[[#This Row],[Nº Orden]],Cocina!E:E*Cocina!G:G,0))</f>
        <v>105</v>
      </c>
      <c r="BB644" t="str">
        <f>MID(Tabla4[[#This Row],[Cliente]], SEARCH("_", Tabla4[[#This Row],[Cliente]]) + 1, LEN(Tabla4[[#This Row],[Cliente]]) - SEARCH("_",Tabla4[[#This Row],[Cliente]]))</f>
        <v>698</v>
      </c>
      <c r="BC644" t="str">
        <f>sala!B643</f>
        <v>Cliente_698</v>
      </c>
      <c r="BD644" s="1">
        <f>sala!D643</f>
        <v>45022.10833333333</v>
      </c>
      <c r="BE644" s="1">
        <f>sala!E643</f>
        <v>45022.224999999999</v>
      </c>
      <c r="BF644">
        <f>sala!K643</f>
        <v>642</v>
      </c>
      <c r="BG644">
        <f>sala!I643</f>
        <v>1111</v>
      </c>
      <c r="BH644" cm="1">
        <f t="array" ref="BH644">SUM(IF(Cocina!A:A=Tabla4[[#This Row],[Número de Orden]],Cocina!F:F*Cocina!G:G,0))</f>
        <v>176</v>
      </c>
      <c r="BI644" t="str">
        <f>sala!J643</f>
        <v>Ocupada</v>
      </c>
      <c r="BJ644" s="4" t="str">
        <f>IF(Tabla4[[#This Row],[Estado mesa]]="Ocupada","00:15","00:00")</f>
        <v>00:15</v>
      </c>
      <c r="BK644" cm="1">
        <f t="array" ref="BK644">SUM(IF(Cocina!A:A=Tabla4[[#This Row],[Número de Orden]],Cocina!H:H,0))</f>
        <v>81</v>
      </c>
    </row>
    <row r="645" spans="1:63" x14ac:dyDescent="0.3">
      <c r="A645" s="8" t="str">
        <f>MID(Tabla4[[#This Row],[Cliente]], SEARCH("_", Tabla4[[#This Row],[Cliente]]) + 1, LEN(Tabla4[[#This Row],[Cliente]]) - SEARCH("_",Tabla4[[#This Row],[Cliente]]))</f>
        <v>59</v>
      </c>
      <c r="B645">
        <f>sala!K644</f>
        <v>643</v>
      </c>
      <c r="C645">
        <f>Tabla4[[#This Row],[Propina]]+Tabla4[[#This Row],[Precio Cena]]</f>
        <v>2914</v>
      </c>
      <c r="D645" s="3">
        <f>INT(sala!E644)</f>
        <v>45022</v>
      </c>
      <c r="E645" s="4">
        <f>MOD( sala!D644,1)</f>
        <v>1.1805555557657499E-2</v>
      </c>
      <c r="F645" s="4">
        <f>MOD( sala!E644,1)</f>
        <v>8.0555555556202307E-2</v>
      </c>
      <c r="G645" s="4">
        <f>Tabla5[[#This Row],[Hora de Salida]]-Tabla5[[#This Row],[Hora de Llegada]]+Tabla4[[#This Row],[Tiempo Extra]]</f>
        <v>7.916666666521148E-2</v>
      </c>
      <c r="H645" s="5" t="str">
        <f>TEXT(Tabla4[[#This Row],[Preparación en horas]]/1440, "h:mm")</f>
        <v>0:18</v>
      </c>
      <c r="I645" s="4">
        <f>IF(Tabla5[[#This Row],[Tiempo Permanencia]]-Tabla5[[#This Row],[Tiempo de Preparación ]]&gt;=0,Tabla5[[#This Row],[Tiempo Permanencia]]-Tabla5[[#This Row],[Tiempo de Preparación ]],0)</f>
        <v>6.6666666665211483E-2</v>
      </c>
      <c r="J645" s="5" t="str">
        <f>IF(Tabla5[[#This Row],[Tiempo de Degustación]]=0,"No Cobrada","Cobrada")</f>
        <v>Cobrada</v>
      </c>
      <c r="K645" s="5" cm="1">
        <f t="array" ref="K645">SUM(IF(Tabla5[[#This Row],[Orden Cobrada]]="Cobrada",IF(Cocina!A:A=Tabla5[[#This Row],[Nº Orden]],Cocina!F:F*Cocina!G:G,0),-Tabla6[[#This Row],[Precio Cena]]))</f>
        <v>33</v>
      </c>
      <c r="L645" s="5">
        <f>IF(Tabla5[[#This Row],[Orden Cobrada]]="Cobrada",Tabla5[[#This Row],[Ganancia Bruta]]-Tabla6[[#This Row],[Coste Cena]],-Tabla6[[#This Row],[Precio Cena]]+Tabla6[[#This Row],[Coste Cena]])</f>
        <v>13</v>
      </c>
      <c r="M645" s="10">
        <f>IF(Tabla5[[#This Row],[Orden Cobrada]]="Cobrada",((Tabla5[[#This Row],[Ganancia Neta]]/Tabla5[[#This Row],[Ganancia Bruta]])*100)/100,-((Tabla5[[#This Row],[Ganancia Neta]]/Tabla5[[#This Row],[Ganancia Bruta]]*100)/100))</f>
        <v>0.39393939393939392</v>
      </c>
      <c r="N645" s="5" t="str">
        <f>sala!F644</f>
        <v>Mesero_2</v>
      </c>
      <c r="AY645" cm="1">
        <f t="array" ref="AY645">SUM(IF(Cocina!A:A=Tabla5[[#This Row],[Nº Orden]],Cocina!F:F*Cocina!G:G,0))</f>
        <v>33</v>
      </c>
      <c r="AZ645" cm="1">
        <f t="array" ref="AZ645">SUM(IF(Cocina!A:A=Tabla5[[#This Row],[Nº Orden]],Cocina!E:E*Cocina!G:G,0))</f>
        <v>20</v>
      </c>
      <c r="BB645" t="str">
        <f>MID(Tabla4[[#This Row],[Cliente]], SEARCH("_", Tabla4[[#This Row],[Cliente]]) + 1, LEN(Tabla4[[#This Row],[Cliente]]) - SEARCH("_",Tabla4[[#This Row],[Cliente]]))</f>
        <v>59</v>
      </c>
      <c r="BC645" t="str">
        <f>sala!B644</f>
        <v>Cliente_59</v>
      </c>
      <c r="BD645" s="1">
        <f>sala!D644</f>
        <v>45022.011805555558</v>
      </c>
      <c r="BE645" s="1">
        <f>sala!E644</f>
        <v>45022.080555555556</v>
      </c>
      <c r="BF645">
        <f>sala!K644</f>
        <v>643</v>
      </c>
      <c r="BG645">
        <f>sala!I644</f>
        <v>2881</v>
      </c>
      <c r="BH645" cm="1">
        <f t="array" ref="BH645">SUM(IF(Cocina!A:A=Tabla4[[#This Row],[Número de Orden]],Cocina!F:F*Cocina!G:G,0))</f>
        <v>33</v>
      </c>
      <c r="BI645" t="str">
        <f>sala!J644</f>
        <v>Ocupada</v>
      </c>
      <c r="BJ645" s="4" t="str">
        <f>IF(Tabla4[[#This Row],[Estado mesa]]="Ocupada","00:15","00:00")</f>
        <v>00:15</v>
      </c>
      <c r="BK645" cm="1">
        <f t="array" ref="BK645">SUM(IF(Cocina!A:A=Tabla4[[#This Row],[Número de Orden]],Cocina!H:H,0))</f>
        <v>18</v>
      </c>
    </row>
    <row r="646" spans="1:63" x14ac:dyDescent="0.3">
      <c r="A646" s="8" t="str">
        <f>MID(Tabla4[[#This Row],[Cliente]], SEARCH("_", Tabla4[[#This Row],[Cliente]]) + 1, LEN(Tabla4[[#This Row],[Cliente]]) - SEARCH("_",Tabla4[[#This Row],[Cliente]]))</f>
        <v>799</v>
      </c>
      <c r="B646">
        <f>sala!K645</f>
        <v>644</v>
      </c>
      <c r="C646">
        <f>Tabla4[[#This Row],[Propina]]+Tabla4[[#This Row],[Precio Cena]]</f>
        <v>1479</v>
      </c>
      <c r="D646" s="3">
        <f>INT(sala!E645)</f>
        <v>45022</v>
      </c>
      <c r="E646" s="4">
        <f>MOD( sala!D645,1)</f>
        <v>0.15555555555329192</v>
      </c>
      <c r="F646" s="4">
        <f>MOD( sala!E645,1)</f>
        <v>0.29861111110949423</v>
      </c>
      <c r="G646" s="4">
        <f>Tabla5[[#This Row],[Hora de Salida]]-Tabla5[[#This Row],[Hora de Llegada]]+Tabla4[[#This Row],[Tiempo Extra]]</f>
        <v>0.14305555555620231</v>
      </c>
      <c r="H646" s="5" t="str">
        <f>TEXT(Tabla4[[#This Row],[Preparación en horas]]/1440, "h:mm")</f>
        <v>0:51</v>
      </c>
      <c r="I646" s="4">
        <f>IF(Tabla5[[#This Row],[Tiempo Permanencia]]-Tabla5[[#This Row],[Tiempo de Preparación ]]&gt;=0,Tabla5[[#This Row],[Tiempo Permanencia]]-Tabla5[[#This Row],[Tiempo de Preparación ]],0)</f>
        <v>0.10763888888953564</v>
      </c>
      <c r="J646" s="5" t="str">
        <f>IF(Tabla5[[#This Row],[Tiempo de Degustación]]=0,"No Cobrada","Cobrada")</f>
        <v>Cobrada</v>
      </c>
      <c r="K646" s="5" cm="1">
        <f t="array" ref="K646">SUM(IF(Tabla5[[#This Row],[Orden Cobrada]]="Cobrada",IF(Cocina!A:A=Tabla5[[#This Row],[Nº Orden]],Cocina!F:F*Cocina!G:G,0),-Tabla6[[#This Row],[Precio Cena]]))</f>
        <v>93</v>
      </c>
      <c r="L646" s="5">
        <f>IF(Tabla5[[#This Row],[Orden Cobrada]]="Cobrada",Tabla5[[#This Row],[Ganancia Bruta]]-Tabla6[[#This Row],[Coste Cena]],-Tabla6[[#This Row],[Precio Cena]]+Tabla6[[#This Row],[Coste Cena]])</f>
        <v>36</v>
      </c>
      <c r="M646" s="10">
        <f>IF(Tabla5[[#This Row],[Orden Cobrada]]="Cobrada",((Tabla5[[#This Row],[Ganancia Neta]]/Tabla5[[#This Row],[Ganancia Bruta]])*100)/100,-((Tabla5[[#This Row],[Ganancia Neta]]/Tabla5[[#This Row],[Ganancia Bruta]]*100)/100))</f>
        <v>0.38709677419354838</v>
      </c>
      <c r="N646" s="5" t="str">
        <f>sala!F645</f>
        <v>Mesero_1</v>
      </c>
      <c r="AY646" cm="1">
        <f t="array" ref="AY646">SUM(IF(Cocina!A:A=Tabla5[[#This Row],[Nº Orden]],Cocina!F:F*Cocina!G:G,0))</f>
        <v>93</v>
      </c>
      <c r="AZ646" cm="1">
        <f t="array" ref="AZ646">SUM(IF(Cocina!A:A=Tabla5[[#This Row],[Nº Orden]],Cocina!E:E*Cocina!G:G,0))</f>
        <v>57</v>
      </c>
      <c r="BB646" t="str">
        <f>MID(Tabla4[[#This Row],[Cliente]], SEARCH("_", Tabla4[[#This Row],[Cliente]]) + 1, LEN(Tabla4[[#This Row],[Cliente]]) - SEARCH("_",Tabla4[[#This Row],[Cliente]]))</f>
        <v>799</v>
      </c>
      <c r="BC646" t="str">
        <f>sala!B645</f>
        <v>Cliente_799</v>
      </c>
      <c r="BD646" s="1">
        <f>sala!D645</f>
        <v>45022.155555555553</v>
      </c>
      <c r="BE646" s="1">
        <f>sala!E645</f>
        <v>45022.298611111109</v>
      </c>
      <c r="BF646">
        <f>sala!K645</f>
        <v>644</v>
      </c>
      <c r="BG646">
        <f>sala!I645</f>
        <v>1386</v>
      </c>
      <c r="BH646" cm="1">
        <f t="array" ref="BH646">SUM(IF(Cocina!A:A=Tabla4[[#This Row],[Número de Orden]],Cocina!F:F*Cocina!G:G,0))</f>
        <v>93</v>
      </c>
      <c r="BI646" t="str">
        <f>sala!J645</f>
        <v>Reservada</v>
      </c>
      <c r="BJ646" s="4" t="str">
        <f>IF(Tabla4[[#This Row],[Estado mesa]]="Ocupada","00:15","00:00")</f>
        <v>00:00</v>
      </c>
      <c r="BK646" cm="1">
        <f t="array" ref="BK646">SUM(IF(Cocina!A:A=Tabla4[[#This Row],[Número de Orden]],Cocina!H:H,0))</f>
        <v>51</v>
      </c>
    </row>
    <row r="647" spans="1:63" x14ac:dyDescent="0.3">
      <c r="A647" s="8" t="str">
        <f>MID(Tabla4[[#This Row],[Cliente]], SEARCH("_", Tabla4[[#This Row],[Cliente]]) + 1, LEN(Tabla4[[#This Row],[Cliente]]) - SEARCH("_",Tabla4[[#This Row],[Cliente]]))</f>
        <v>196</v>
      </c>
      <c r="B647">
        <f>sala!K646</f>
        <v>645</v>
      </c>
      <c r="C647">
        <f>Tabla4[[#This Row],[Propina]]+Tabla4[[#This Row],[Precio Cena]]</f>
        <v>4183</v>
      </c>
      <c r="D647" s="3">
        <f>INT(sala!E646)</f>
        <v>45022</v>
      </c>
      <c r="E647" s="4">
        <f>MOD( sala!D646,1)</f>
        <v>0.11805555555474712</v>
      </c>
      <c r="F647" s="4">
        <f>MOD( sala!E646,1)</f>
        <v>0.26736111110949423</v>
      </c>
      <c r="G647" s="4">
        <f>Tabla5[[#This Row],[Hora de Salida]]-Tabla5[[#This Row],[Hora de Llegada]]+Tabla4[[#This Row],[Tiempo Extra]]</f>
        <v>0.14930555555474712</v>
      </c>
      <c r="H647" s="5" t="str">
        <f>TEXT(Tabla4[[#This Row],[Preparación en horas]]/1440, "h:mm")</f>
        <v>1:37</v>
      </c>
      <c r="I647" s="4">
        <f>IF(Tabla5[[#This Row],[Tiempo Permanencia]]-Tabla5[[#This Row],[Tiempo de Preparación ]]&gt;=0,Tabla5[[#This Row],[Tiempo Permanencia]]-Tabla5[[#This Row],[Tiempo de Preparación ]],0)</f>
        <v>8.1944444443636008E-2</v>
      </c>
      <c r="J647" s="5" t="str">
        <f>IF(Tabla5[[#This Row],[Tiempo de Degustación]]=0,"No Cobrada","Cobrada")</f>
        <v>Cobrada</v>
      </c>
      <c r="K647" s="5" cm="1">
        <f t="array" ref="K647">SUM(IF(Tabla5[[#This Row],[Orden Cobrada]]="Cobrada",IF(Cocina!A:A=Tabla5[[#This Row],[Nº Orden]],Cocina!F:F*Cocina!G:G,0),-Tabla6[[#This Row],[Precio Cena]]))</f>
        <v>180</v>
      </c>
      <c r="L647" s="5">
        <f>IF(Tabla5[[#This Row],[Orden Cobrada]]="Cobrada",Tabla5[[#This Row],[Ganancia Bruta]]-Tabla6[[#This Row],[Coste Cena]],-Tabla6[[#This Row],[Precio Cena]]+Tabla6[[#This Row],[Coste Cena]])</f>
        <v>72</v>
      </c>
      <c r="M647" s="10">
        <f>IF(Tabla5[[#This Row],[Orden Cobrada]]="Cobrada",((Tabla5[[#This Row],[Ganancia Neta]]/Tabla5[[#This Row],[Ganancia Bruta]])*100)/100,-((Tabla5[[#This Row],[Ganancia Neta]]/Tabla5[[#This Row],[Ganancia Bruta]]*100)/100))</f>
        <v>0.4</v>
      </c>
      <c r="N647" s="5" t="str">
        <f>sala!F646</f>
        <v>Mesero_3</v>
      </c>
      <c r="AY647" cm="1">
        <f t="array" ref="AY647">SUM(IF(Cocina!A:A=Tabla5[[#This Row],[Nº Orden]],Cocina!F:F*Cocina!G:G,0))</f>
        <v>180</v>
      </c>
      <c r="AZ647" cm="1">
        <f t="array" ref="AZ647">SUM(IF(Cocina!A:A=Tabla5[[#This Row],[Nº Orden]],Cocina!E:E*Cocina!G:G,0))</f>
        <v>108</v>
      </c>
      <c r="BB647" t="str">
        <f>MID(Tabla4[[#This Row],[Cliente]], SEARCH("_", Tabla4[[#This Row],[Cliente]]) + 1, LEN(Tabla4[[#This Row],[Cliente]]) - SEARCH("_",Tabla4[[#This Row],[Cliente]]))</f>
        <v>196</v>
      </c>
      <c r="BC647" t="str">
        <f>sala!B646</f>
        <v>Cliente_196</v>
      </c>
      <c r="BD647" s="1">
        <f>sala!D646</f>
        <v>45022.118055555555</v>
      </c>
      <c r="BE647" s="1">
        <f>sala!E646</f>
        <v>45022.267361111109</v>
      </c>
      <c r="BF647">
        <f>sala!K646</f>
        <v>645</v>
      </c>
      <c r="BG647">
        <f>sala!I646</f>
        <v>4003</v>
      </c>
      <c r="BH647" cm="1">
        <f t="array" ref="BH647">SUM(IF(Cocina!A:A=Tabla4[[#This Row],[Número de Orden]],Cocina!F:F*Cocina!G:G,0))</f>
        <v>180</v>
      </c>
      <c r="BI647" t="str">
        <f>sala!J646</f>
        <v>Libre</v>
      </c>
      <c r="BJ647" s="4" t="str">
        <f>IF(Tabla4[[#This Row],[Estado mesa]]="Ocupada","00:15","00:00")</f>
        <v>00:00</v>
      </c>
      <c r="BK647" cm="1">
        <f t="array" ref="BK647">SUM(IF(Cocina!A:A=Tabla4[[#This Row],[Número de Orden]],Cocina!H:H,0))</f>
        <v>97</v>
      </c>
    </row>
    <row r="648" spans="1:63" x14ac:dyDescent="0.3">
      <c r="A648" s="8" t="str">
        <f>MID(Tabla4[[#This Row],[Cliente]], SEARCH("_", Tabla4[[#This Row],[Cliente]]) + 1, LEN(Tabla4[[#This Row],[Cliente]]) - SEARCH("_",Tabla4[[#This Row],[Cliente]]))</f>
        <v>623</v>
      </c>
      <c r="B648">
        <f>sala!K647</f>
        <v>646</v>
      </c>
      <c r="C648">
        <f>Tabla4[[#This Row],[Propina]]+Tabla4[[#This Row],[Precio Cena]]</f>
        <v>1329</v>
      </c>
      <c r="D648" s="3">
        <f>INT(sala!E647)</f>
        <v>45022</v>
      </c>
      <c r="E648" s="4">
        <f>MOD( sala!D647,1)</f>
        <v>0.16597222222480923</v>
      </c>
      <c r="F648" s="4">
        <f>MOD( sala!E647,1)</f>
        <v>0.27638888888759539</v>
      </c>
      <c r="G648" s="4">
        <f>Tabla5[[#This Row],[Hora de Salida]]-Tabla5[[#This Row],[Hora de Llegada]]+Tabla4[[#This Row],[Tiempo Extra]]</f>
        <v>0.11041666666278616</v>
      </c>
      <c r="H648" s="5" t="str">
        <f>TEXT(Tabla4[[#This Row],[Preparación en horas]]/1440, "h:mm")</f>
        <v>0:36</v>
      </c>
      <c r="I648" s="4">
        <f>IF(Tabla5[[#This Row],[Tiempo Permanencia]]-Tabla5[[#This Row],[Tiempo de Preparación ]]&gt;=0,Tabla5[[#This Row],[Tiempo Permanencia]]-Tabla5[[#This Row],[Tiempo de Preparación ]],0)</f>
        <v>8.5416666662786161E-2</v>
      </c>
      <c r="J648" s="5" t="str">
        <f>IF(Tabla5[[#This Row],[Tiempo de Degustación]]=0,"No Cobrada","Cobrada")</f>
        <v>Cobrada</v>
      </c>
      <c r="K648" s="5" cm="1">
        <f t="array" ref="K648">SUM(IF(Tabla5[[#This Row],[Orden Cobrada]]="Cobrada",IF(Cocina!A:A=Tabla5[[#This Row],[Nº Orden]],Cocina!F:F*Cocina!G:G,0),-Tabla6[[#This Row],[Precio Cena]]))</f>
        <v>70</v>
      </c>
      <c r="L648" s="5">
        <f>IF(Tabla5[[#This Row],[Orden Cobrada]]="Cobrada",Tabla5[[#This Row],[Ganancia Bruta]]-Tabla6[[#This Row],[Coste Cena]],-Tabla6[[#This Row],[Precio Cena]]+Tabla6[[#This Row],[Coste Cena]])</f>
        <v>28</v>
      </c>
      <c r="M648" s="10">
        <f>IF(Tabla5[[#This Row],[Orden Cobrada]]="Cobrada",((Tabla5[[#This Row],[Ganancia Neta]]/Tabla5[[#This Row],[Ganancia Bruta]])*100)/100,-((Tabla5[[#This Row],[Ganancia Neta]]/Tabla5[[#This Row],[Ganancia Bruta]]*100)/100))</f>
        <v>0.4</v>
      </c>
      <c r="N648" s="5" t="str">
        <f>sala!F647</f>
        <v>Mesero_2</v>
      </c>
      <c r="AY648" cm="1">
        <f t="array" ref="AY648">SUM(IF(Cocina!A:A=Tabla5[[#This Row],[Nº Orden]],Cocina!F:F*Cocina!G:G,0))</f>
        <v>70</v>
      </c>
      <c r="AZ648" cm="1">
        <f t="array" ref="AZ648">SUM(IF(Cocina!A:A=Tabla5[[#This Row],[Nº Orden]],Cocina!E:E*Cocina!G:G,0))</f>
        <v>42</v>
      </c>
      <c r="BB648" t="str">
        <f>MID(Tabla4[[#This Row],[Cliente]], SEARCH("_", Tabla4[[#This Row],[Cliente]]) + 1, LEN(Tabla4[[#This Row],[Cliente]]) - SEARCH("_",Tabla4[[#This Row],[Cliente]]))</f>
        <v>623</v>
      </c>
      <c r="BC648" t="str">
        <f>sala!B647</f>
        <v>Cliente_623</v>
      </c>
      <c r="BD648" s="1">
        <f>sala!D647</f>
        <v>45022.165972222225</v>
      </c>
      <c r="BE648" s="1">
        <f>sala!E647</f>
        <v>45022.276388888888</v>
      </c>
      <c r="BF648">
        <f>sala!K647</f>
        <v>646</v>
      </c>
      <c r="BG648">
        <f>sala!I647</f>
        <v>1259</v>
      </c>
      <c r="BH648" cm="1">
        <f t="array" ref="BH648">SUM(IF(Cocina!A:A=Tabla4[[#This Row],[Número de Orden]],Cocina!F:F*Cocina!G:G,0))</f>
        <v>70</v>
      </c>
      <c r="BI648" t="str">
        <f>sala!J647</f>
        <v>Libre</v>
      </c>
      <c r="BJ648" s="4" t="str">
        <f>IF(Tabla4[[#This Row],[Estado mesa]]="Ocupada","00:15","00:00")</f>
        <v>00:00</v>
      </c>
      <c r="BK648" cm="1">
        <f t="array" ref="BK648">SUM(IF(Cocina!A:A=Tabla4[[#This Row],[Número de Orden]],Cocina!H:H,0))</f>
        <v>36</v>
      </c>
    </row>
    <row r="649" spans="1:63" x14ac:dyDescent="0.3">
      <c r="A649" s="8" t="str">
        <f>MID(Tabla4[[#This Row],[Cliente]], SEARCH("_", Tabla4[[#This Row],[Cliente]]) + 1, LEN(Tabla4[[#This Row],[Cliente]]) - SEARCH("_",Tabla4[[#This Row],[Cliente]]))</f>
        <v>52</v>
      </c>
      <c r="B649">
        <f>sala!K648</f>
        <v>647</v>
      </c>
      <c r="C649">
        <f>Tabla4[[#This Row],[Propina]]+Tabla4[[#This Row],[Precio Cena]]</f>
        <v>4377</v>
      </c>
      <c r="D649" s="3">
        <f>INT(sala!E648)</f>
        <v>45022</v>
      </c>
      <c r="E649" s="4">
        <f>MOD( sala!D648,1)</f>
        <v>0.12152777778101154</v>
      </c>
      <c r="F649" s="4">
        <f>MOD( sala!E648,1)</f>
        <v>0.26736111110949423</v>
      </c>
      <c r="G649" s="4">
        <f>Tabla5[[#This Row],[Hora de Salida]]-Tabla5[[#This Row],[Hora de Llegada]]+Tabla4[[#This Row],[Tiempo Extra]]</f>
        <v>0.14583333332848269</v>
      </c>
      <c r="H649" s="5" t="str">
        <f>TEXT(Tabla4[[#This Row],[Preparación en horas]]/1440, "h:mm")</f>
        <v>0:39</v>
      </c>
      <c r="I649" s="4">
        <f>IF(Tabla5[[#This Row],[Tiempo Permanencia]]-Tabla5[[#This Row],[Tiempo de Preparación ]]&gt;=0,Tabla5[[#This Row],[Tiempo Permanencia]]-Tabla5[[#This Row],[Tiempo de Preparación ]],0)</f>
        <v>0.11874999999514936</v>
      </c>
      <c r="J649" s="5" t="str">
        <f>IF(Tabla5[[#This Row],[Tiempo de Degustación]]=0,"No Cobrada","Cobrada")</f>
        <v>Cobrada</v>
      </c>
      <c r="K649" s="5" cm="1">
        <f t="array" ref="K649">SUM(IF(Tabla5[[#This Row],[Orden Cobrada]]="Cobrada",IF(Cocina!A:A=Tabla5[[#This Row],[Nº Orden]],Cocina!F:F*Cocina!G:G,0),-Tabla6[[#This Row],[Precio Cena]]))</f>
        <v>98</v>
      </c>
      <c r="L649" s="5">
        <f>IF(Tabla5[[#This Row],[Orden Cobrada]]="Cobrada",Tabla5[[#This Row],[Ganancia Bruta]]-Tabla6[[#This Row],[Coste Cena]],-Tabla6[[#This Row],[Precio Cena]]+Tabla6[[#This Row],[Coste Cena]])</f>
        <v>40</v>
      </c>
      <c r="M649" s="10">
        <f>IF(Tabla5[[#This Row],[Orden Cobrada]]="Cobrada",((Tabla5[[#This Row],[Ganancia Neta]]/Tabla5[[#This Row],[Ganancia Bruta]])*100)/100,-((Tabla5[[#This Row],[Ganancia Neta]]/Tabla5[[#This Row],[Ganancia Bruta]]*100)/100))</f>
        <v>0.40816326530612246</v>
      </c>
      <c r="N649" s="5" t="str">
        <f>sala!F648</f>
        <v>Mesero_2</v>
      </c>
      <c r="AY649" cm="1">
        <f t="array" ref="AY649">SUM(IF(Cocina!A:A=Tabla5[[#This Row],[Nº Orden]],Cocina!F:F*Cocina!G:G,0))</f>
        <v>98</v>
      </c>
      <c r="AZ649" cm="1">
        <f t="array" ref="AZ649">SUM(IF(Cocina!A:A=Tabla5[[#This Row],[Nº Orden]],Cocina!E:E*Cocina!G:G,0))</f>
        <v>58</v>
      </c>
      <c r="BB649" t="str">
        <f>MID(Tabla4[[#This Row],[Cliente]], SEARCH("_", Tabla4[[#This Row],[Cliente]]) + 1, LEN(Tabla4[[#This Row],[Cliente]]) - SEARCH("_",Tabla4[[#This Row],[Cliente]]))</f>
        <v>52</v>
      </c>
      <c r="BC649" t="str">
        <f>sala!B648</f>
        <v>Cliente_52</v>
      </c>
      <c r="BD649" s="1">
        <f>sala!D648</f>
        <v>45022.121527777781</v>
      </c>
      <c r="BE649" s="1">
        <f>sala!E648</f>
        <v>45022.267361111109</v>
      </c>
      <c r="BF649">
        <f>sala!K648</f>
        <v>647</v>
      </c>
      <c r="BG649">
        <f>sala!I648</f>
        <v>4279</v>
      </c>
      <c r="BH649" cm="1">
        <f t="array" ref="BH649">SUM(IF(Cocina!A:A=Tabla4[[#This Row],[Número de Orden]],Cocina!F:F*Cocina!G:G,0))</f>
        <v>98</v>
      </c>
      <c r="BI649" t="str">
        <f>sala!J648</f>
        <v>Reservada</v>
      </c>
      <c r="BJ649" s="4" t="str">
        <f>IF(Tabla4[[#This Row],[Estado mesa]]="Ocupada","00:15","00:00")</f>
        <v>00:00</v>
      </c>
      <c r="BK649" cm="1">
        <f t="array" ref="BK649">SUM(IF(Cocina!A:A=Tabla4[[#This Row],[Número de Orden]],Cocina!H:H,0))</f>
        <v>39</v>
      </c>
    </row>
    <row r="650" spans="1:63" x14ac:dyDescent="0.3">
      <c r="A650" s="8" t="str">
        <f>MID(Tabla4[[#This Row],[Cliente]], SEARCH("_", Tabla4[[#This Row],[Cliente]]) + 1, LEN(Tabla4[[#This Row],[Cliente]]) - SEARCH("_",Tabla4[[#This Row],[Cliente]]))</f>
        <v>946</v>
      </c>
      <c r="B650">
        <f>sala!K649</f>
        <v>648</v>
      </c>
      <c r="C650">
        <f>Tabla4[[#This Row],[Propina]]+Tabla4[[#This Row],[Precio Cena]]</f>
        <v>1799</v>
      </c>
      <c r="D650" s="3">
        <f>INT(sala!E649)</f>
        <v>45022</v>
      </c>
      <c r="E650" s="4">
        <f>MOD( sala!D649,1)</f>
        <v>0.12430555555329192</v>
      </c>
      <c r="F650" s="4">
        <f>MOD( sala!E649,1)</f>
        <v>0.20486111110949423</v>
      </c>
      <c r="G650" s="4">
        <f>Tabla5[[#This Row],[Hora de Salida]]-Tabla5[[#This Row],[Hora de Llegada]]+Tabla4[[#This Row],[Tiempo Extra]]</f>
        <v>8.0555555556202307E-2</v>
      </c>
      <c r="H650" s="5" t="str">
        <f>TEXT(Tabla4[[#This Row],[Preparación en horas]]/1440, "h:mm")</f>
        <v>0:47</v>
      </c>
      <c r="I650" s="4">
        <f>IF(Tabla5[[#This Row],[Tiempo Permanencia]]-Tabla5[[#This Row],[Tiempo de Preparación ]]&gt;=0,Tabla5[[#This Row],[Tiempo Permanencia]]-Tabla5[[#This Row],[Tiempo de Preparación ]],0)</f>
        <v>4.7916666667313416E-2</v>
      </c>
      <c r="J650" s="5" t="str">
        <f>IF(Tabla5[[#This Row],[Tiempo de Degustación]]=0,"No Cobrada","Cobrada")</f>
        <v>Cobrada</v>
      </c>
      <c r="K650" s="5" cm="1">
        <f t="array" ref="K650">SUM(IF(Tabla5[[#This Row],[Orden Cobrada]]="Cobrada",IF(Cocina!A:A=Tabla5[[#This Row],[Nº Orden]],Cocina!F:F*Cocina!G:G,0),-Tabla6[[#This Row],[Precio Cena]]))</f>
        <v>56</v>
      </c>
      <c r="L650" s="5">
        <f>IF(Tabla5[[#This Row],[Orden Cobrada]]="Cobrada",Tabla5[[#This Row],[Ganancia Bruta]]-Tabla6[[#This Row],[Coste Cena]],-Tabla6[[#This Row],[Precio Cena]]+Tabla6[[#This Row],[Coste Cena]])</f>
        <v>24</v>
      </c>
      <c r="M650" s="10">
        <f>IF(Tabla5[[#This Row],[Orden Cobrada]]="Cobrada",((Tabla5[[#This Row],[Ganancia Neta]]/Tabla5[[#This Row],[Ganancia Bruta]])*100)/100,-((Tabla5[[#This Row],[Ganancia Neta]]/Tabla5[[#This Row],[Ganancia Bruta]]*100)/100))</f>
        <v>0.42857142857142855</v>
      </c>
      <c r="N650" s="5" t="str">
        <f>sala!F649</f>
        <v>Mesero_2</v>
      </c>
      <c r="AY650" cm="1">
        <f t="array" ref="AY650">SUM(IF(Cocina!A:A=Tabla5[[#This Row],[Nº Orden]],Cocina!F:F*Cocina!G:G,0))</f>
        <v>56</v>
      </c>
      <c r="AZ650" cm="1">
        <f t="array" ref="AZ650">SUM(IF(Cocina!A:A=Tabla5[[#This Row],[Nº Orden]],Cocina!E:E*Cocina!G:G,0))</f>
        <v>32</v>
      </c>
      <c r="BB650" t="str">
        <f>MID(Tabla4[[#This Row],[Cliente]], SEARCH("_", Tabla4[[#This Row],[Cliente]]) + 1, LEN(Tabla4[[#This Row],[Cliente]]) - SEARCH("_",Tabla4[[#This Row],[Cliente]]))</f>
        <v>946</v>
      </c>
      <c r="BC650" t="str">
        <f>sala!B649</f>
        <v>Cliente_946</v>
      </c>
      <c r="BD650" s="1">
        <f>sala!D649</f>
        <v>45022.124305555553</v>
      </c>
      <c r="BE650" s="1">
        <f>sala!E649</f>
        <v>45022.204861111109</v>
      </c>
      <c r="BF650">
        <f>sala!K649</f>
        <v>648</v>
      </c>
      <c r="BG650">
        <f>sala!I649</f>
        <v>1743</v>
      </c>
      <c r="BH650" cm="1">
        <f t="array" ref="BH650">SUM(IF(Cocina!A:A=Tabla4[[#This Row],[Número de Orden]],Cocina!F:F*Cocina!G:G,0))</f>
        <v>56</v>
      </c>
      <c r="BI650" t="str">
        <f>sala!J649</f>
        <v>Libre</v>
      </c>
      <c r="BJ650" s="4" t="str">
        <f>IF(Tabla4[[#This Row],[Estado mesa]]="Ocupada","00:15","00:00")</f>
        <v>00:00</v>
      </c>
      <c r="BK650" cm="1">
        <f t="array" ref="BK650">SUM(IF(Cocina!A:A=Tabla4[[#This Row],[Número de Orden]],Cocina!H:H,0))</f>
        <v>47</v>
      </c>
    </row>
    <row r="651" spans="1:63" x14ac:dyDescent="0.3">
      <c r="A651" s="8" t="str">
        <f>MID(Tabla4[[#This Row],[Cliente]], SEARCH("_", Tabla4[[#This Row],[Cliente]]) + 1, LEN(Tabla4[[#This Row],[Cliente]]) - SEARCH("_",Tabla4[[#This Row],[Cliente]]))</f>
        <v>278</v>
      </c>
      <c r="B651">
        <f>sala!K650</f>
        <v>649</v>
      </c>
      <c r="C651">
        <f>Tabla4[[#This Row],[Propina]]+Tabla4[[#This Row],[Precio Cena]]</f>
        <v>1854</v>
      </c>
      <c r="D651" s="3">
        <f>INT(sala!E650)</f>
        <v>45022</v>
      </c>
      <c r="E651" s="4">
        <f>MOD( sala!D650,1)</f>
        <v>3.8194444445252884E-2</v>
      </c>
      <c r="F651" s="4">
        <f>MOD( sala!E650,1)</f>
        <v>0.15625</v>
      </c>
      <c r="G651" s="4">
        <f>Tabla5[[#This Row],[Hora de Salida]]-Tabla5[[#This Row],[Hora de Llegada]]+Tabla4[[#This Row],[Tiempo Extra]]</f>
        <v>0.12847222222141377</v>
      </c>
      <c r="H651" s="5" t="str">
        <f>TEXT(Tabla4[[#This Row],[Preparación en horas]]/1440, "h:mm")</f>
        <v>1:49</v>
      </c>
      <c r="I651" s="4">
        <f>IF(Tabla5[[#This Row],[Tiempo Permanencia]]-Tabla5[[#This Row],[Tiempo de Preparación ]]&gt;=0,Tabla5[[#This Row],[Tiempo Permanencia]]-Tabla5[[#This Row],[Tiempo de Preparación ]],0)</f>
        <v>5.2777777776969334E-2</v>
      </c>
      <c r="J651" s="5" t="str">
        <f>IF(Tabla5[[#This Row],[Tiempo de Degustación]]=0,"No Cobrada","Cobrada")</f>
        <v>Cobrada</v>
      </c>
      <c r="K651" s="5" cm="1">
        <f t="array" ref="K651">SUM(IF(Tabla5[[#This Row],[Orden Cobrada]]="Cobrada",IF(Cocina!A:A=Tabla5[[#This Row],[Nº Orden]],Cocina!F:F*Cocina!G:G,0),-Tabla6[[#This Row],[Precio Cena]]))</f>
        <v>256</v>
      </c>
      <c r="L651" s="5">
        <f>IF(Tabla5[[#This Row],[Orden Cobrada]]="Cobrada",Tabla5[[#This Row],[Ganancia Bruta]]-Tabla6[[#This Row],[Coste Cena]],-Tabla6[[#This Row],[Precio Cena]]+Tabla6[[#This Row],[Coste Cena]])</f>
        <v>106</v>
      </c>
      <c r="M651" s="10">
        <f>IF(Tabla5[[#This Row],[Orden Cobrada]]="Cobrada",((Tabla5[[#This Row],[Ganancia Neta]]/Tabla5[[#This Row],[Ganancia Bruta]])*100)/100,-((Tabla5[[#This Row],[Ganancia Neta]]/Tabla5[[#This Row],[Ganancia Bruta]]*100)/100))</f>
        <v>0.4140625</v>
      </c>
      <c r="N651" s="5" t="str">
        <f>sala!F650</f>
        <v>Mesero_5</v>
      </c>
      <c r="AY651" cm="1">
        <f t="array" ref="AY651">SUM(IF(Cocina!A:A=Tabla5[[#This Row],[Nº Orden]],Cocina!F:F*Cocina!G:G,0))</f>
        <v>256</v>
      </c>
      <c r="AZ651" cm="1">
        <f t="array" ref="AZ651">SUM(IF(Cocina!A:A=Tabla5[[#This Row],[Nº Orden]],Cocina!E:E*Cocina!G:G,0))</f>
        <v>150</v>
      </c>
      <c r="BB651" t="str">
        <f>MID(Tabla4[[#This Row],[Cliente]], SEARCH("_", Tabla4[[#This Row],[Cliente]]) + 1, LEN(Tabla4[[#This Row],[Cliente]]) - SEARCH("_",Tabla4[[#This Row],[Cliente]]))</f>
        <v>278</v>
      </c>
      <c r="BC651" t="str">
        <f>sala!B650</f>
        <v>Cliente_278</v>
      </c>
      <c r="BD651" s="1">
        <f>sala!D650</f>
        <v>45022.038194444445</v>
      </c>
      <c r="BE651" s="1">
        <f>sala!E650</f>
        <v>45022.15625</v>
      </c>
      <c r="BF651">
        <f>sala!K650</f>
        <v>649</v>
      </c>
      <c r="BG651">
        <f>sala!I650</f>
        <v>1598</v>
      </c>
      <c r="BH651" cm="1">
        <f t="array" ref="BH651">SUM(IF(Cocina!A:A=Tabla4[[#This Row],[Número de Orden]],Cocina!F:F*Cocina!G:G,0))</f>
        <v>256</v>
      </c>
      <c r="BI651" t="str">
        <f>sala!J650</f>
        <v>Ocupada</v>
      </c>
      <c r="BJ651" s="4" t="str">
        <f>IF(Tabla4[[#This Row],[Estado mesa]]="Ocupada","00:15","00:00")</f>
        <v>00:15</v>
      </c>
      <c r="BK651" cm="1">
        <f t="array" ref="BK651">SUM(IF(Cocina!A:A=Tabla4[[#This Row],[Número de Orden]],Cocina!H:H,0))</f>
        <v>109</v>
      </c>
    </row>
    <row r="652" spans="1:63" x14ac:dyDescent="0.3">
      <c r="A652" s="8" t="str">
        <f>MID(Tabla4[[#This Row],[Cliente]], SEARCH("_", Tabla4[[#This Row],[Cliente]]) + 1, LEN(Tabla4[[#This Row],[Cliente]]) - SEARCH("_",Tabla4[[#This Row],[Cliente]]))</f>
        <v>232</v>
      </c>
      <c r="B652">
        <f>sala!K651</f>
        <v>650</v>
      </c>
      <c r="C652">
        <f>Tabla4[[#This Row],[Propina]]+Tabla4[[#This Row],[Precio Cena]]</f>
        <v>4058</v>
      </c>
      <c r="D652" s="3">
        <f>INT(sala!E651)</f>
        <v>45023</v>
      </c>
      <c r="E652" s="4">
        <f>MOD( sala!D651,1)</f>
        <v>0.14791666666860692</v>
      </c>
      <c r="F652" s="4">
        <f>MOD( sala!E651,1)</f>
        <v>0.20972222222189885</v>
      </c>
      <c r="G652" s="4">
        <f>Tabla5[[#This Row],[Hora de Salida]]-Tabla5[[#This Row],[Hora de Llegada]]+Tabla4[[#This Row],[Tiempo Extra]]</f>
        <v>6.1805555553291924E-2</v>
      </c>
      <c r="H652" s="5" t="str">
        <f>TEXT(Tabla4[[#This Row],[Preparación en horas]]/1440, "h:mm")</f>
        <v>1:16</v>
      </c>
      <c r="I652" s="4">
        <f>IF(Tabla5[[#This Row],[Tiempo Permanencia]]-Tabla5[[#This Row],[Tiempo de Preparación ]]&gt;=0,Tabla5[[#This Row],[Tiempo Permanencia]]-Tabla5[[#This Row],[Tiempo de Preparación ]],0)</f>
        <v>9.0277777755141467E-3</v>
      </c>
      <c r="J652" s="5" t="str">
        <f>IF(Tabla5[[#This Row],[Tiempo de Degustación]]=0,"No Cobrada","Cobrada")</f>
        <v>Cobrada</v>
      </c>
      <c r="K652" s="5" cm="1">
        <f t="array" ref="K652">SUM(IF(Tabla5[[#This Row],[Orden Cobrada]]="Cobrada",IF(Cocina!A:A=Tabla5[[#This Row],[Nº Orden]],Cocina!F:F*Cocina!G:G,0),-Tabla6[[#This Row],[Precio Cena]]))</f>
        <v>237</v>
      </c>
      <c r="L652" s="5">
        <f>IF(Tabla5[[#This Row],[Orden Cobrada]]="Cobrada",Tabla5[[#This Row],[Ganancia Bruta]]-Tabla6[[#This Row],[Coste Cena]],-Tabla6[[#This Row],[Precio Cena]]+Tabla6[[#This Row],[Coste Cena]])</f>
        <v>95</v>
      </c>
      <c r="M652" s="10">
        <f>IF(Tabla5[[#This Row],[Orden Cobrada]]="Cobrada",((Tabla5[[#This Row],[Ganancia Neta]]/Tabla5[[#This Row],[Ganancia Bruta]])*100)/100,-((Tabla5[[#This Row],[Ganancia Neta]]/Tabla5[[#This Row],[Ganancia Bruta]]*100)/100))</f>
        <v>0.40084388185654007</v>
      </c>
      <c r="N652" s="5" t="str">
        <f>sala!F651</f>
        <v>Mesero_3</v>
      </c>
      <c r="AY652" cm="1">
        <f t="array" ref="AY652">SUM(IF(Cocina!A:A=Tabla5[[#This Row],[Nº Orden]],Cocina!F:F*Cocina!G:G,0))</f>
        <v>237</v>
      </c>
      <c r="AZ652" cm="1">
        <f t="array" ref="AZ652">SUM(IF(Cocina!A:A=Tabla5[[#This Row],[Nº Orden]],Cocina!E:E*Cocina!G:G,0))</f>
        <v>142</v>
      </c>
      <c r="BB652" t="str">
        <f>MID(Tabla4[[#This Row],[Cliente]], SEARCH("_", Tabla4[[#This Row],[Cliente]]) + 1, LEN(Tabla4[[#This Row],[Cliente]]) - SEARCH("_",Tabla4[[#This Row],[Cliente]]))</f>
        <v>232</v>
      </c>
      <c r="BC652" t="str">
        <f>sala!B651</f>
        <v>Cliente_232</v>
      </c>
      <c r="BD652" s="1">
        <f>sala!D651</f>
        <v>45023.147916666669</v>
      </c>
      <c r="BE652" s="1">
        <f>sala!E651</f>
        <v>45023.209722222222</v>
      </c>
      <c r="BF652">
        <f>sala!K651</f>
        <v>650</v>
      </c>
      <c r="BG652">
        <f>sala!I651</f>
        <v>3821</v>
      </c>
      <c r="BH652" cm="1">
        <f t="array" ref="BH652">SUM(IF(Cocina!A:A=Tabla4[[#This Row],[Número de Orden]],Cocina!F:F*Cocina!G:G,0))</f>
        <v>237</v>
      </c>
      <c r="BI652" t="str">
        <f>sala!J651</f>
        <v>Libre</v>
      </c>
      <c r="BJ652" s="4" t="str">
        <f>IF(Tabla4[[#This Row],[Estado mesa]]="Ocupada","00:15","00:00")</f>
        <v>00:00</v>
      </c>
      <c r="BK652" cm="1">
        <f t="array" ref="BK652">SUM(IF(Cocina!A:A=Tabla4[[#This Row],[Número de Orden]],Cocina!H:H,0))</f>
        <v>76</v>
      </c>
    </row>
    <row r="653" spans="1:63" x14ac:dyDescent="0.3">
      <c r="A653" s="8" t="str">
        <f>MID(Tabla4[[#This Row],[Cliente]], SEARCH("_", Tabla4[[#This Row],[Cliente]]) + 1, LEN(Tabla4[[#This Row],[Cliente]]) - SEARCH("_",Tabla4[[#This Row],[Cliente]]))</f>
        <v>595</v>
      </c>
      <c r="B653">
        <f>sala!K652</f>
        <v>651</v>
      </c>
      <c r="C653">
        <f>Tabla4[[#This Row],[Propina]]+Tabla4[[#This Row],[Precio Cena]]</f>
        <v>2236</v>
      </c>
      <c r="D653" s="3">
        <f>INT(sala!E652)</f>
        <v>45023</v>
      </c>
      <c r="E653" s="4">
        <f>MOD( sala!D652,1)</f>
        <v>8.611111110803904E-2</v>
      </c>
      <c r="F653" s="4">
        <f>MOD( sala!E652,1)</f>
        <v>0.23888888888905058</v>
      </c>
      <c r="G653" s="4">
        <f>Tabla5[[#This Row],[Hora de Salida]]-Tabla5[[#This Row],[Hora de Llegada]]+Tabla4[[#This Row],[Tiempo Extra]]</f>
        <v>0.15277777778101154</v>
      </c>
      <c r="H653" s="5" t="str">
        <f>TEXT(Tabla4[[#This Row],[Preparación en horas]]/1440, "h:mm")</f>
        <v>1:28</v>
      </c>
      <c r="I653" s="4">
        <f>IF(Tabla5[[#This Row],[Tiempo Permanencia]]-Tabla5[[#This Row],[Tiempo de Preparación ]]&gt;=0,Tabla5[[#This Row],[Tiempo Permanencia]]-Tabla5[[#This Row],[Tiempo de Preparación ]],0)</f>
        <v>9.1666666669900421E-2</v>
      </c>
      <c r="J653" s="5" t="str">
        <f>IF(Tabla5[[#This Row],[Tiempo de Degustación]]=0,"No Cobrada","Cobrada")</f>
        <v>Cobrada</v>
      </c>
      <c r="K653" s="5" cm="1">
        <f t="array" ref="K653">SUM(IF(Tabla5[[#This Row],[Orden Cobrada]]="Cobrada",IF(Cocina!A:A=Tabla5[[#This Row],[Nº Orden]],Cocina!F:F*Cocina!G:G,0),-Tabla6[[#This Row],[Precio Cena]]))</f>
        <v>209</v>
      </c>
      <c r="L653" s="5">
        <f>IF(Tabla5[[#This Row],[Orden Cobrada]]="Cobrada",Tabla5[[#This Row],[Ganancia Bruta]]-Tabla6[[#This Row],[Coste Cena]],-Tabla6[[#This Row],[Precio Cena]]+Tabla6[[#This Row],[Coste Cena]])</f>
        <v>80</v>
      </c>
      <c r="M653" s="10">
        <f>IF(Tabla5[[#This Row],[Orden Cobrada]]="Cobrada",((Tabla5[[#This Row],[Ganancia Neta]]/Tabla5[[#This Row],[Ganancia Bruta]])*100)/100,-((Tabla5[[#This Row],[Ganancia Neta]]/Tabla5[[#This Row],[Ganancia Bruta]]*100)/100))</f>
        <v>0.38277511961722488</v>
      </c>
      <c r="N653" s="5" t="str">
        <f>sala!F652</f>
        <v>Mesero_4</v>
      </c>
      <c r="AY653" cm="1">
        <f t="array" ref="AY653">SUM(IF(Cocina!A:A=Tabla5[[#This Row],[Nº Orden]],Cocina!F:F*Cocina!G:G,0))</f>
        <v>209</v>
      </c>
      <c r="AZ653" cm="1">
        <f t="array" ref="AZ653">SUM(IF(Cocina!A:A=Tabla5[[#This Row],[Nº Orden]],Cocina!E:E*Cocina!G:G,0))</f>
        <v>129</v>
      </c>
      <c r="BB653" t="str">
        <f>MID(Tabla4[[#This Row],[Cliente]], SEARCH("_", Tabla4[[#This Row],[Cliente]]) + 1, LEN(Tabla4[[#This Row],[Cliente]]) - SEARCH("_",Tabla4[[#This Row],[Cliente]]))</f>
        <v>595</v>
      </c>
      <c r="BC653" t="str">
        <f>sala!B652</f>
        <v>Cliente_595</v>
      </c>
      <c r="BD653" s="1">
        <f>sala!D652</f>
        <v>45023.086111111108</v>
      </c>
      <c r="BE653" s="1">
        <f>sala!E652</f>
        <v>45023.238888888889</v>
      </c>
      <c r="BF653">
        <f>sala!K652</f>
        <v>651</v>
      </c>
      <c r="BG653">
        <f>sala!I652</f>
        <v>2027</v>
      </c>
      <c r="BH653" cm="1">
        <f t="array" ref="BH653">SUM(IF(Cocina!A:A=Tabla4[[#This Row],[Número de Orden]],Cocina!F:F*Cocina!G:G,0))</f>
        <v>209</v>
      </c>
      <c r="BI653" t="str">
        <f>sala!J652</f>
        <v>Libre</v>
      </c>
      <c r="BJ653" s="4" t="str">
        <f>IF(Tabla4[[#This Row],[Estado mesa]]="Ocupada","00:15","00:00")</f>
        <v>00:00</v>
      </c>
      <c r="BK653" cm="1">
        <f t="array" ref="BK653">SUM(IF(Cocina!A:A=Tabla4[[#This Row],[Número de Orden]],Cocina!H:H,0))</f>
        <v>88</v>
      </c>
    </row>
    <row r="654" spans="1:63" x14ac:dyDescent="0.3">
      <c r="A654" s="8" t="str">
        <f>MID(Tabla4[[#This Row],[Cliente]], SEARCH("_", Tabla4[[#This Row],[Cliente]]) + 1, LEN(Tabla4[[#This Row],[Cliente]]) - SEARCH("_",Tabla4[[#This Row],[Cliente]]))</f>
        <v>968</v>
      </c>
      <c r="B654">
        <f>sala!K653</f>
        <v>652</v>
      </c>
      <c r="C654">
        <f>Tabla4[[#This Row],[Propina]]+Tabla4[[#This Row],[Precio Cena]]</f>
        <v>2496</v>
      </c>
      <c r="D654" s="3">
        <f>INT(sala!E653)</f>
        <v>45023</v>
      </c>
      <c r="E654" s="4">
        <f>MOD( sala!D653,1)</f>
        <v>4.166666665696539E-3</v>
      </c>
      <c r="F654" s="4">
        <f>MOD( sala!E653,1)</f>
        <v>0.10138888889196096</v>
      </c>
      <c r="G654" s="4">
        <f>Tabla5[[#This Row],[Hora de Salida]]-Tabla5[[#This Row],[Hora de Llegada]]+Tabla4[[#This Row],[Tiempo Extra]]</f>
        <v>0.10763888889293109</v>
      </c>
      <c r="H654" s="5" t="str">
        <f>TEXT(Tabla4[[#This Row],[Preparación en horas]]/1440, "h:mm")</f>
        <v>0:50</v>
      </c>
      <c r="I654" s="4">
        <f>IF(Tabla5[[#This Row],[Tiempo Permanencia]]-Tabla5[[#This Row],[Tiempo de Preparación ]]&gt;=0,Tabla5[[#This Row],[Tiempo Permanencia]]-Tabla5[[#This Row],[Tiempo de Preparación ]],0)</f>
        <v>7.2916666670708868E-2</v>
      </c>
      <c r="J654" s="5" t="str">
        <f>IF(Tabla5[[#This Row],[Tiempo de Degustación]]=0,"No Cobrada","Cobrada")</f>
        <v>Cobrada</v>
      </c>
      <c r="K654" s="5" cm="1">
        <f t="array" ref="K654">SUM(IF(Tabla5[[#This Row],[Orden Cobrada]]="Cobrada",IF(Cocina!A:A=Tabla5[[#This Row],[Nº Orden]],Cocina!F:F*Cocina!G:G,0),-Tabla6[[#This Row],[Precio Cena]]))</f>
        <v>170</v>
      </c>
      <c r="L654" s="5">
        <f>IF(Tabla5[[#This Row],[Orden Cobrada]]="Cobrada",Tabla5[[#This Row],[Ganancia Bruta]]-Tabla6[[#This Row],[Coste Cena]],-Tabla6[[#This Row],[Precio Cena]]+Tabla6[[#This Row],[Coste Cena]])</f>
        <v>66</v>
      </c>
      <c r="M654" s="10">
        <f>IF(Tabla5[[#This Row],[Orden Cobrada]]="Cobrada",((Tabla5[[#This Row],[Ganancia Neta]]/Tabla5[[#This Row],[Ganancia Bruta]])*100)/100,-((Tabla5[[#This Row],[Ganancia Neta]]/Tabla5[[#This Row],[Ganancia Bruta]]*100)/100))</f>
        <v>0.38823529411764712</v>
      </c>
      <c r="N654" s="5" t="str">
        <f>sala!F653</f>
        <v>Mesero_2</v>
      </c>
      <c r="AY654" cm="1">
        <f t="array" ref="AY654">SUM(IF(Cocina!A:A=Tabla5[[#This Row],[Nº Orden]],Cocina!F:F*Cocina!G:G,0))</f>
        <v>170</v>
      </c>
      <c r="AZ654" cm="1">
        <f t="array" ref="AZ654">SUM(IF(Cocina!A:A=Tabla5[[#This Row],[Nº Orden]],Cocina!E:E*Cocina!G:G,0))</f>
        <v>104</v>
      </c>
      <c r="BB654" t="str">
        <f>MID(Tabla4[[#This Row],[Cliente]], SEARCH("_", Tabla4[[#This Row],[Cliente]]) + 1, LEN(Tabla4[[#This Row],[Cliente]]) - SEARCH("_",Tabla4[[#This Row],[Cliente]]))</f>
        <v>968</v>
      </c>
      <c r="BC654" t="str">
        <f>sala!B653</f>
        <v>Cliente_968</v>
      </c>
      <c r="BD654" s="1">
        <f>sala!D653</f>
        <v>45023.004166666666</v>
      </c>
      <c r="BE654" s="1">
        <f>sala!E653</f>
        <v>45023.101388888892</v>
      </c>
      <c r="BF654">
        <f>sala!K653</f>
        <v>652</v>
      </c>
      <c r="BG654">
        <f>sala!I653</f>
        <v>2326</v>
      </c>
      <c r="BH654" cm="1">
        <f t="array" ref="BH654">SUM(IF(Cocina!A:A=Tabla4[[#This Row],[Número de Orden]],Cocina!F:F*Cocina!G:G,0))</f>
        <v>170</v>
      </c>
      <c r="BI654" t="str">
        <f>sala!J653</f>
        <v>Ocupada</v>
      </c>
      <c r="BJ654" s="4" t="str">
        <f>IF(Tabla4[[#This Row],[Estado mesa]]="Ocupada","00:15","00:00")</f>
        <v>00:15</v>
      </c>
      <c r="BK654" cm="1">
        <f t="array" ref="BK654">SUM(IF(Cocina!A:A=Tabla4[[#This Row],[Número de Orden]],Cocina!H:H,0))</f>
        <v>50</v>
      </c>
    </row>
    <row r="655" spans="1:63" x14ac:dyDescent="0.3">
      <c r="A655" s="8" t="str">
        <f>MID(Tabla4[[#This Row],[Cliente]], SEARCH("_", Tabla4[[#This Row],[Cliente]]) + 1, LEN(Tabla4[[#This Row],[Cliente]]) - SEARCH("_",Tabla4[[#This Row],[Cliente]]))</f>
        <v>2</v>
      </c>
      <c r="B655">
        <f>sala!K654</f>
        <v>653</v>
      </c>
      <c r="C655">
        <f>Tabla4[[#This Row],[Propina]]+Tabla4[[#This Row],[Precio Cena]]</f>
        <v>3677</v>
      </c>
      <c r="D655" s="3">
        <f>INT(sala!E654)</f>
        <v>45023</v>
      </c>
      <c r="E655" s="4">
        <f>MOD( sala!D654,1)</f>
        <v>0.10486111111094942</v>
      </c>
      <c r="F655" s="4">
        <f>MOD( sala!E654,1)</f>
        <v>0.18055555555474712</v>
      </c>
      <c r="G655" s="4">
        <f>Tabla5[[#This Row],[Hora de Salida]]-Tabla5[[#This Row],[Hora de Llegada]]+Tabla4[[#This Row],[Tiempo Extra]]</f>
        <v>7.5694444443797693E-2</v>
      </c>
      <c r="H655" s="5" t="str">
        <f>TEXT(Tabla4[[#This Row],[Preparación en horas]]/1440, "h:mm")</f>
        <v>2:30</v>
      </c>
      <c r="I655" s="4">
        <f>IF(Tabla5[[#This Row],[Tiempo Permanencia]]-Tabla5[[#This Row],[Tiempo de Preparación ]]&gt;=0,Tabla5[[#This Row],[Tiempo Permanencia]]-Tabla5[[#This Row],[Tiempo de Preparación ]],0)</f>
        <v>0</v>
      </c>
      <c r="J655" s="5" t="str">
        <f>IF(Tabla5[[#This Row],[Tiempo de Degustación]]=0,"No Cobrada","Cobrada")</f>
        <v>No Cobrada</v>
      </c>
      <c r="K655" s="5" cm="1">
        <f t="array" ref="K655">SUM(IF(Tabla5[[#This Row],[Orden Cobrada]]="Cobrada",IF(Cocina!A:A=Tabla5[[#This Row],[Nº Orden]],Cocina!F:F*Cocina!G:G,0),-Tabla6[[#This Row],[Precio Cena]]))</f>
        <v>-244</v>
      </c>
      <c r="L655" s="5">
        <f>IF(Tabla5[[#This Row],[Orden Cobrada]]="Cobrada",Tabla5[[#This Row],[Ganancia Bruta]]-Tabla6[[#This Row],[Coste Cena]],-Tabla6[[#This Row],[Precio Cena]]+Tabla6[[#This Row],[Coste Cena]])</f>
        <v>-100</v>
      </c>
      <c r="M655" s="10">
        <f>IF(Tabla5[[#This Row],[Orden Cobrada]]="Cobrada",((Tabla5[[#This Row],[Ganancia Neta]]/Tabla5[[#This Row],[Ganancia Bruta]])*100)/100,-((Tabla5[[#This Row],[Ganancia Neta]]/Tabla5[[#This Row],[Ganancia Bruta]]*100)/100))</f>
        <v>-0.4098360655737705</v>
      </c>
      <c r="N655" s="5" t="str">
        <f>sala!F654</f>
        <v>Mesero_1</v>
      </c>
      <c r="AY655" cm="1">
        <f t="array" ref="AY655">SUM(IF(Cocina!A:A=Tabla5[[#This Row],[Nº Orden]],Cocina!F:F*Cocina!G:G,0))</f>
        <v>244</v>
      </c>
      <c r="AZ655" cm="1">
        <f t="array" ref="AZ655">SUM(IF(Cocina!A:A=Tabla5[[#This Row],[Nº Orden]],Cocina!E:E*Cocina!G:G,0))</f>
        <v>144</v>
      </c>
      <c r="BB655" t="str">
        <f>MID(Tabla4[[#This Row],[Cliente]], SEARCH("_", Tabla4[[#This Row],[Cliente]]) + 1, LEN(Tabla4[[#This Row],[Cliente]]) - SEARCH("_",Tabla4[[#This Row],[Cliente]]))</f>
        <v>2</v>
      </c>
      <c r="BC655" t="str">
        <f>sala!B654</f>
        <v>Cliente_2</v>
      </c>
      <c r="BD655" s="1">
        <f>sala!D654</f>
        <v>45023.104861111111</v>
      </c>
      <c r="BE655" s="1">
        <f>sala!E654</f>
        <v>45023.180555555555</v>
      </c>
      <c r="BF655">
        <f>sala!K654</f>
        <v>653</v>
      </c>
      <c r="BG655">
        <f>sala!I654</f>
        <v>3433</v>
      </c>
      <c r="BH655" cm="1">
        <f t="array" ref="BH655">SUM(IF(Cocina!A:A=Tabla4[[#This Row],[Número de Orden]],Cocina!F:F*Cocina!G:G,0))</f>
        <v>244</v>
      </c>
      <c r="BI655" t="str">
        <f>sala!J654</f>
        <v>Libre</v>
      </c>
      <c r="BJ655" s="4" t="str">
        <f>IF(Tabla4[[#This Row],[Estado mesa]]="Ocupada","00:15","00:00")</f>
        <v>00:00</v>
      </c>
      <c r="BK655" cm="1">
        <f t="array" ref="BK655">SUM(IF(Cocina!A:A=Tabla4[[#This Row],[Número de Orden]],Cocina!H:H,0))</f>
        <v>150</v>
      </c>
    </row>
    <row r="656" spans="1:63" x14ac:dyDescent="0.3">
      <c r="A656" s="8" t="str">
        <f>MID(Tabla4[[#This Row],[Cliente]], SEARCH("_", Tabla4[[#This Row],[Cliente]]) + 1, LEN(Tabla4[[#This Row],[Cliente]]) - SEARCH("_",Tabla4[[#This Row],[Cliente]]))</f>
        <v>880</v>
      </c>
      <c r="B656">
        <f>sala!K655</f>
        <v>654</v>
      </c>
      <c r="C656">
        <f>Tabla4[[#This Row],[Propina]]+Tabla4[[#This Row],[Precio Cena]]</f>
        <v>2440</v>
      </c>
      <c r="D656" s="3">
        <f>INT(sala!E655)</f>
        <v>45023</v>
      </c>
      <c r="E656" s="4">
        <f>MOD( sala!D655,1)</f>
        <v>1.3888888861401938E-3</v>
      </c>
      <c r="F656" s="4">
        <f>MOD( sala!E655,1)</f>
        <v>7.2222222224809229E-2</v>
      </c>
      <c r="G656" s="4">
        <f>Tabla5[[#This Row],[Hora de Salida]]-Tabla5[[#This Row],[Hora de Llegada]]+Tabla4[[#This Row],[Tiempo Extra]]</f>
        <v>8.1250000005335707E-2</v>
      </c>
      <c r="H656" s="5" t="str">
        <f>TEXT(Tabla4[[#This Row],[Preparación en horas]]/1440, "h:mm")</f>
        <v>0:44</v>
      </c>
      <c r="I656" s="4">
        <f>IF(Tabla5[[#This Row],[Tiempo Permanencia]]-Tabla5[[#This Row],[Tiempo de Preparación ]]&gt;=0,Tabla5[[#This Row],[Tiempo Permanencia]]-Tabla5[[#This Row],[Tiempo de Preparación ]],0)</f>
        <v>5.0694444449780149E-2</v>
      </c>
      <c r="J656" s="5" t="str">
        <f>IF(Tabla5[[#This Row],[Tiempo de Degustación]]=0,"No Cobrada","Cobrada")</f>
        <v>Cobrada</v>
      </c>
      <c r="K656" s="5" cm="1">
        <f t="array" ref="K656">SUM(IF(Tabla5[[#This Row],[Orden Cobrada]]="Cobrada",IF(Cocina!A:A=Tabla5[[#This Row],[Nº Orden]],Cocina!F:F*Cocina!G:G,0),-Tabla6[[#This Row],[Precio Cena]]))</f>
        <v>42</v>
      </c>
      <c r="L656" s="5">
        <f>IF(Tabla5[[#This Row],[Orden Cobrada]]="Cobrada",Tabla5[[#This Row],[Ganancia Bruta]]-Tabla6[[#This Row],[Coste Cena]],-Tabla6[[#This Row],[Precio Cena]]+Tabla6[[#This Row],[Coste Cena]])</f>
        <v>17</v>
      </c>
      <c r="M656" s="10">
        <f>IF(Tabla5[[#This Row],[Orden Cobrada]]="Cobrada",((Tabla5[[#This Row],[Ganancia Neta]]/Tabla5[[#This Row],[Ganancia Bruta]])*100)/100,-((Tabla5[[#This Row],[Ganancia Neta]]/Tabla5[[#This Row],[Ganancia Bruta]]*100)/100))</f>
        <v>0.40476190476190477</v>
      </c>
      <c r="N656" s="5" t="str">
        <f>sala!F655</f>
        <v>Mesero_5</v>
      </c>
      <c r="AY656" cm="1">
        <f t="array" ref="AY656">SUM(IF(Cocina!A:A=Tabla5[[#This Row],[Nº Orden]],Cocina!F:F*Cocina!G:G,0))</f>
        <v>42</v>
      </c>
      <c r="AZ656" cm="1">
        <f t="array" ref="AZ656">SUM(IF(Cocina!A:A=Tabla5[[#This Row],[Nº Orden]],Cocina!E:E*Cocina!G:G,0))</f>
        <v>25</v>
      </c>
      <c r="BB656" t="str">
        <f>MID(Tabla4[[#This Row],[Cliente]], SEARCH("_", Tabla4[[#This Row],[Cliente]]) + 1, LEN(Tabla4[[#This Row],[Cliente]]) - SEARCH("_",Tabla4[[#This Row],[Cliente]]))</f>
        <v>880</v>
      </c>
      <c r="BC656" t="str">
        <f>sala!B655</f>
        <v>Cliente_880</v>
      </c>
      <c r="BD656" s="1">
        <f>sala!D655</f>
        <v>45023.001388888886</v>
      </c>
      <c r="BE656" s="1">
        <f>sala!E655</f>
        <v>45023.072222222225</v>
      </c>
      <c r="BF656">
        <f>sala!K655</f>
        <v>654</v>
      </c>
      <c r="BG656">
        <f>sala!I655</f>
        <v>2398</v>
      </c>
      <c r="BH656" cm="1">
        <f t="array" ref="BH656">SUM(IF(Cocina!A:A=Tabla4[[#This Row],[Número de Orden]],Cocina!F:F*Cocina!G:G,0))</f>
        <v>42</v>
      </c>
      <c r="BI656" t="str">
        <f>sala!J655</f>
        <v>Ocupada</v>
      </c>
      <c r="BJ656" s="4" t="str">
        <f>IF(Tabla4[[#This Row],[Estado mesa]]="Ocupada","00:15","00:00")</f>
        <v>00:15</v>
      </c>
      <c r="BK656" cm="1">
        <f t="array" ref="BK656">SUM(IF(Cocina!A:A=Tabla4[[#This Row],[Número de Orden]],Cocina!H:H,0))</f>
        <v>44</v>
      </c>
    </row>
    <row r="657" spans="1:63" x14ac:dyDescent="0.3">
      <c r="A657" s="8" t="str">
        <f>MID(Tabla4[[#This Row],[Cliente]], SEARCH("_", Tabla4[[#This Row],[Cliente]]) + 1, LEN(Tabla4[[#This Row],[Cliente]]) - SEARCH("_",Tabla4[[#This Row],[Cliente]]))</f>
        <v>626</v>
      </c>
      <c r="B657">
        <f>sala!K656</f>
        <v>655</v>
      </c>
      <c r="C657">
        <f>Tabla4[[#This Row],[Propina]]+Tabla4[[#This Row],[Precio Cena]]</f>
        <v>310</v>
      </c>
      <c r="D657" s="3">
        <f>INT(sala!E656)</f>
        <v>45023</v>
      </c>
      <c r="E657" s="4">
        <f>MOD( sala!D656,1)</f>
        <v>5.2083333335758653E-2</v>
      </c>
      <c r="F657" s="4">
        <f>MOD( sala!E656,1)</f>
        <v>0.20069444444379769</v>
      </c>
      <c r="G657" s="4">
        <f>Tabla5[[#This Row],[Hora de Salida]]-Tabla5[[#This Row],[Hora de Llegada]]+Tabla4[[#This Row],[Tiempo Extra]]</f>
        <v>0.14861111110803904</v>
      </c>
      <c r="H657" s="5" t="str">
        <f>TEXT(Tabla4[[#This Row],[Preparación en horas]]/1440, "h:mm")</f>
        <v>0:36</v>
      </c>
      <c r="I657" s="4">
        <f>IF(Tabla5[[#This Row],[Tiempo Permanencia]]-Tabla5[[#This Row],[Tiempo de Preparación ]]&gt;=0,Tabla5[[#This Row],[Tiempo Permanencia]]-Tabla5[[#This Row],[Tiempo de Preparación ]],0)</f>
        <v>0.12361111110803905</v>
      </c>
      <c r="J657" s="5" t="str">
        <f>IF(Tabla5[[#This Row],[Tiempo de Degustación]]=0,"No Cobrada","Cobrada")</f>
        <v>Cobrada</v>
      </c>
      <c r="K657" s="5" cm="1">
        <f t="array" ref="K657">SUM(IF(Tabla5[[#This Row],[Orden Cobrada]]="Cobrada",IF(Cocina!A:A=Tabla5[[#This Row],[Nº Orden]],Cocina!F:F*Cocina!G:G,0),-Tabla6[[#This Row],[Precio Cena]]))</f>
        <v>93</v>
      </c>
      <c r="L657" s="5">
        <f>IF(Tabla5[[#This Row],[Orden Cobrada]]="Cobrada",Tabla5[[#This Row],[Ganancia Bruta]]-Tabla6[[#This Row],[Coste Cena]],-Tabla6[[#This Row],[Precio Cena]]+Tabla6[[#This Row],[Coste Cena]])</f>
        <v>36</v>
      </c>
      <c r="M657" s="10">
        <f>IF(Tabla5[[#This Row],[Orden Cobrada]]="Cobrada",((Tabla5[[#This Row],[Ganancia Neta]]/Tabla5[[#This Row],[Ganancia Bruta]])*100)/100,-((Tabla5[[#This Row],[Ganancia Neta]]/Tabla5[[#This Row],[Ganancia Bruta]]*100)/100))</f>
        <v>0.38709677419354838</v>
      </c>
      <c r="N657" s="5" t="str">
        <f>sala!F656</f>
        <v>Mesero_5</v>
      </c>
      <c r="AY657" cm="1">
        <f t="array" ref="AY657">SUM(IF(Cocina!A:A=Tabla5[[#This Row],[Nº Orden]],Cocina!F:F*Cocina!G:G,0))</f>
        <v>93</v>
      </c>
      <c r="AZ657" cm="1">
        <f t="array" ref="AZ657">SUM(IF(Cocina!A:A=Tabla5[[#This Row],[Nº Orden]],Cocina!E:E*Cocina!G:G,0))</f>
        <v>57</v>
      </c>
      <c r="BB657" t="str">
        <f>MID(Tabla4[[#This Row],[Cliente]], SEARCH("_", Tabla4[[#This Row],[Cliente]]) + 1, LEN(Tabla4[[#This Row],[Cliente]]) - SEARCH("_",Tabla4[[#This Row],[Cliente]]))</f>
        <v>626</v>
      </c>
      <c r="BC657" t="str">
        <f>sala!B656</f>
        <v>Cliente_626</v>
      </c>
      <c r="BD657" s="1">
        <f>sala!D656</f>
        <v>45023.052083333336</v>
      </c>
      <c r="BE657" s="1">
        <f>sala!E656</f>
        <v>45023.200694444444</v>
      </c>
      <c r="BF657">
        <f>sala!K656</f>
        <v>655</v>
      </c>
      <c r="BG657">
        <f>sala!I656</f>
        <v>217</v>
      </c>
      <c r="BH657" cm="1">
        <f t="array" ref="BH657">SUM(IF(Cocina!A:A=Tabla4[[#This Row],[Número de Orden]],Cocina!F:F*Cocina!G:G,0))</f>
        <v>93</v>
      </c>
      <c r="BI657" t="str">
        <f>sala!J656</f>
        <v>Reservada</v>
      </c>
      <c r="BJ657" s="4" t="str">
        <f>IF(Tabla4[[#This Row],[Estado mesa]]="Ocupada","00:15","00:00")</f>
        <v>00:00</v>
      </c>
      <c r="BK657" cm="1">
        <f t="array" ref="BK657">SUM(IF(Cocina!A:A=Tabla4[[#This Row],[Número de Orden]],Cocina!H:H,0))</f>
        <v>36</v>
      </c>
    </row>
    <row r="658" spans="1:63" x14ac:dyDescent="0.3">
      <c r="A658" s="8" t="str">
        <f>MID(Tabla4[[#This Row],[Cliente]], SEARCH("_", Tabla4[[#This Row],[Cliente]]) + 1, LEN(Tabla4[[#This Row],[Cliente]]) - SEARCH("_",Tabla4[[#This Row],[Cliente]]))</f>
        <v>411</v>
      </c>
      <c r="B658">
        <f>sala!K657</f>
        <v>656</v>
      </c>
      <c r="C658">
        <f>Tabla4[[#This Row],[Propina]]+Tabla4[[#This Row],[Precio Cena]]</f>
        <v>3280</v>
      </c>
      <c r="D658" s="3">
        <f>INT(sala!E657)</f>
        <v>45023</v>
      </c>
      <c r="E658" s="4">
        <f>MOD( sala!D657,1)</f>
        <v>0.15000000000145519</v>
      </c>
      <c r="F658" s="4">
        <f>MOD( sala!E657,1)</f>
        <v>0.27777777778101154</v>
      </c>
      <c r="G658" s="4">
        <f>Tabla5[[#This Row],[Hora de Salida]]-Tabla5[[#This Row],[Hora de Llegada]]+Tabla4[[#This Row],[Tiempo Extra]]</f>
        <v>0.12777777777955635</v>
      </c>
      <c r="H658" s="5" t="str">
        <f>TEXT(Tabla4[[#This Row],[Preparación en horas]]/1440, "h:mm")</f>
        <v>1:50</v>
      </c>
      <c r="I658" s="4">
        <f>IF(Tabla5[[#This Row],[Tiempo Permanencia]]-Tabla5[[#This Row],[Tiempo de Preparación ]]&gt;=0,Tabla5[[#This Row],[Tiempo Permanencia]]-Tabla5[[#This Row],[Tiempo de Preparación ]],0)</f>
        <v>5.138888889066745E-2</v>
      </c>
      <c r="J658" s="5" t="str">
        <f>IF(Tabla5[[#This Row],[Tiempo de Degustación]]=0,"No Cobrada","Cobrada")</f>
        <v>Cobrada</v>
      </c>
      <c r="K658" s="5" cm="1">
        <f t="array" ref="K658">SUM(IF(Tabla5[[#This Row],[Orden Cobrada]]="Cobrada",IF(Cocina!A:A=Tabla5[[#This Row],[Nº Orden]],Cocina!F:F*Cocina!G:G,0),-Tabla6[[#This Row],[Precio Cena]]))</f>
        <v>157</v>
      </c>
      <c r="L658" s="5">
        <f>IF(Tabla5[[#This Row],[Orden Cobrada]]="Cobrada",Tabla5[[#This Row],[Ganancia Bruta]]-Tabla6[[#This Row],[Coste Cena]],-Tabla6[[#This Row],[Precio Cena]]+Tabla6[[#This Row],[Coste Cena]])</f>
        <v>63</v>
      </c>
      <c r="M658" s="10">
        <f>IF(Tabla5[[#This Row],[Orden Cobrada]]="Cobrada",((Tabla5[[#This Row],[Ganancia Neta]]/Tabla5[[#This Row],[Ganancia Bruta]])*100)/100,-((Tabla5[[#This Row],[Ganancia Neta]]/Tabla5[[#This Row],[Ganancia Bruta]]*100)/100))</f>
        <v>0.40127388535031849</v>
      </c>
      <c r="N658" s="5" t="str">
        <f>sala!F657</f>
        <v>Mesero_1</v>
      </c>
      <c r="AY658" cm="1">
        <f t="array" ref="AY658">SUM(IF(Cocina!A:A=Tabla5[[#This Row],[Nº Orden]],Cocina!F:F*Cocina!G:G,0))</f>
        <v>157</v>
      </c>
      <c r="AZ658" cm="1">
        <f t="array" ref="AZ658">SUM(IF(Cocina!A:A=Tabla5[[#This Row],[Nº Orden]],Cocina!E:E*Cocina!G:G,0))</f>
        <v>94</v>
      </c>
      <c r="BB658" t="str">
        <f>MID(Tabla4[[#This Row],[Cliente]], SEARCH("_", Tabla4[[#This Row],[Cliente]]) + 1, LEN(Tabla4[[#This Row],[Cliente]]) - SEARCH("_",Tabla4[[#This Row],[Cliente]]))</f>
        <v>411</v>
      </c>
      <c r="BC658" t="str">
        <f>sala!B657</f>
        <v>Cliente_411</v>
      </c>
      <c r="BD658" s="1">
        <f>sala!D657</f>
        <v>45023.15</v>
      </c>
      <c r="BE658" s="1">
        <f>sala!E657</f>
        <v>45023.277777777781</v>
      </c>
      <c r="BF658">
        <f>sala!K657</f>
        <v>656</v>
      </c>
      <c r="BG658">
        <f>sala!I657</f>
        <v>3123</v>
      </c>
      <c r="BH658" cm="1">
        <f t="array" ref="BH658">SUM(IF(Cocina!A:A=Tabla4[[#This Row],[Número de Orden]],Cocina!F:F*Cocina!G:G,0))</f>
        <v>157</v>
      </c>
      <c r="BI658" t="str">
        <f>sala!J657</f>
        <v>Reservada</v>
      </c>
      <c r="BJ658" s="4" t="str">
        <f>IF(Tabla4[[#This Row],[Estado mesa]]="Ocupada","00:15","00:00")</f>
        <v>00:00</v>
      </c>
      <c r="BK658" cm="1">
        <f t="array" ref="BK658">SUM(IF(Cocina!A:A=Tabla4[[#This Row],[Número de Orden]],Cocina!H:H,0))</f>
        <v>110</v>
      </c>
    </row>
    <row r="659" spans="1:63" x14ac:dyDescent="0.3">
      <c r="A659" s="8" t="str">
        <f>MID(Tabla4[[#This Row],[Cliente]], SEARCH("_", Tabla4[[#This Row],[Cliente]]) + 1, LEN(Tabla4[[#This Row],[Cliente]]) - SEARCH("_",Tabla4[[#This Row],[Cliente]]))</f>
        <v>123</v>
      </c>
      <c r="B659">
        <f>sala!K658</f>
        <v>657</v>
      </c>
      <c r="C659">
        <f>Tabla4[[#This Row],[Propina]]+Tabla4[[#This Row],[Precio Cena]]</f>
        <v>638</v>
      </c>
      <c r="D659" s="3">
        <f>INT(sala!E658)</f>
        <v>45023</v>
      </c>
      <c r="E659" s="4">
        <f>MOD( sala!D658,1)</f>
        <v>3.5416666665696539E-2</v>
      </c>
      <c r="F659" s="4">
        <f>MOD( sala!E658,1)</f>
        <v>0.17152777777664596</v>
      </c>
      <c r="G659" s="4">
        <f>Tabla5[[#This Row],[Hora de Salida]]-Tabla5[[#This Row],[Hora de Llegada]]+Tabla4[[#This Row],[Tiempo Extra]]</f>
        <v>0.13611111111094942</v>
      </c>
      <c r="H659" s="5" t="str">
        <f>TEXT(Tabla4[[#This Row],[Preparación en horas]]/1440, "h:mm")</f>
        <v>2:14</v>
      </c>
      <c r="I659" s="4">
        <f>IF(Tabla5[[#This Row],[Tiempo Permanencia]]-Tabla5[[#This Row],[Tiempo de Preparación ]]&gt;=0,Tabla5[[#This Row],[Tiempo Permanencia]]-Tabla5[[#This Row],[Tiempo de Preparación ]],0)</f>
        <v>4.3055555555393865E-2</v>
      </c>
      <c r="J659" s="5" t="str">
        <f>IF(Tabla5[[#This Row],[Tiempo de Degustación]]=0,"No Cobrada","Cobrada")</f>
        <v>Cobrada</v>
      </c>
      <c r="K659" s="5" cm="1">
        <f t="array" ref="K659">SUM(IF(Tabla5[[#This Row],[Orden Cobrada]]="Cobrada",IF(Cocina!A:A=Tabla5[[#This Row],[Nº Orden]],Cocina!F:F*Cocina!G:G,0),-Tabla6[[#This Row],[Precio Cena]]))</f>
        <v>196</v>
      </c>
      <c r="L659" s="5">
        <f>IF(Tabla5[[#This Row],[Orden Cobrada]]="Cobrada",Tabla5[[#This Row],[Ganancia Bruta]]-Tabla6[[#This Row],[Coste Cena]],-Tabla6[[#This Row],[Precio Cena]]+Tabla6[[#This Row],[Coste Cena]])</f>
        <v>76</v>
      </c>
      <c r="M659" s="10">
        <f>IF(Tabla5[[#This Row],[Orden Cobrada]]="Cobrada",((Tabla5[[#This Row],[Ganancia Neta]]/Tabla5[[#This Row],[Ganancia Bruta]])*100)/100,-((Tabla5[[#This Row],[Ganancia Neta]]/Tabla5[[#This Row],[Ganancia Bruta]]*100)/100))</f>
        <v>0.38775510204081631</v>
      </c>
      <c r="N659" s="5" t="str">
        <f>sala!F658</f>
        <v>Mesero_1</v>
      </c>
      <c r="AY659" cm="1">
        <f t="array" ref="AY659">SUM(IF(Cocina!A:A=Tabla5[[#This Row],[Nº Orden]],Cocina!F:F*Cocina!G:G,0))</f>
        <v>196</v>
      </c>
      <c r="AZ659" cm="1">
        <f t="array" ref="AZ659">SUM(IF(Cocina!A:A=Tabla5[[#This Row],[Nº Orden]],Cocina!E:E*Cocina!G:G,0))</f>
        <v>120</v>
      </c>
      <c r="BB659" t="str">
        <f>MID(Tabla4[[#This Row],[Cliente]], SEARCH("_", Tabla4[[#This Row],[Cliente]]) + 1, LEN(Tabla4[[#This Row],[Cliente]]) - SEARCH("_",Tabla4[[#This Row],[Cliente]]))</f>
        <v>123</v>
      </c>
      <c r="BC659" t="str">
        <f>sala!B658</f>
        <v>Cliente_123</v>
      </c>
      <c r="BD659" s="1">
        <f>sala!D658</f>
        <v>45023.035416666666</v>
      </c>
      <c r="BE659" s="1">
        <f>sala!E658</f>
        <v>45023.171527777777</v>
      </c>
      <c r="BF659">
        <f>sala!K658</f>
        <v>657</v>
      </c>
      <c r="BG659">
        <f>sala!I658</f>
        <v>442</v>
      </c>
      <c r="BH659" cm="1">
        <f t="array" ref="BH659">SUM(IF(Cocina!A:A=Tabla4[[#This Row],[Número de Orden]],Cocina!F:F*Cocina!G:G,0))</f>
        <v>196</v>
      </c>
      <c r="BI659" t="str">
        <f>sala!J658</f>
        <v>Reservada</v>
      </c>
      <c r="BJ659" s="4" t="str">
        <f>IF(Tabla4[[#This Row],[Estado mesa]]="Ocupada","00:15","00:00")</f>
        <v>00:00</v>
      </c>
      <c r="BK659" cm="1">
        <f t="array" ref="BK659">SUM(IF(Cocina!A:A=Tabla4[[#This Row],[Número de Orden]],Cocina!H:H,0))</f>
        <v>134</v>
      </c>
    </row>
    <row r="660" spans="1:63" x14ac:dyDescent="0.3">
      <c r="A660" s="8" t="str">
        <f>MID(Tabla4[[#This Row],[Cliente]], SEARCH("_", Tabla4[[#This Row],[Cliente]]) + 1, LEN(Tabla4[[#This Row],[Cliente]]) - SEARCH("_",Tabla4[[#This Row],[Cliente]]))</f>
        <v>910</v>
      </c>
      <c r="B660">
        <f>sala!K659</f>
        <v>658</v>
      </c>
      <c r="C660">
        <f>Tabla4[[#This Row],[Propina]]+Tabla4[[#This Row],[Precio Cena]]</f>
        <v>3213</v>
      </c>
      <c r="D660" s="3">
        <f>INT(sala!E659)</f>
        <v>45023</v>
      </c>
      <c r="E660" s="4">
        <f>MOD( sala!D659,1)</f>
        <v>7.1527777778101154E-2</v>
      </c>
      <c r="F660" s="4">
        <f>MOD( sala!E659,1)</f>
        <v>0.20972222222189885</v>
      </c>
      <c r="G660" s="4">
        <f>Tabla5[[#This Row],[Hora de Salida]]-Tabla5[[#This Row],[Hora de Llegada]]+Tabla4[[#This Row],[Tiempo Extra]]</f>
        <v>0.13819444444379769</v>
      </c>
      <c r="H660" s="5" t="str">
        <f>TEXT(Tabla4[[#This Row],[Preparación en horas]]/1440, "h:mm")</f>
        <v>0:48</v>
      </c>
      <c r="I660" s="4">
        <f>IF(Tabla5[[#This Row],[Tiempo Permanencia]]-Tabla5[[#This Row],[Tiempo de Preparación ]]&gt;=0,Tabla5[[#This Row],[Tiempo Permanencia]]-Tabla5[[#This Row],[Tiempo de Preparación ]],0)</f>
        <v>0.10486111111046437</v>
      </c>
      <c r="J660" s="5" t="str">
        <f>IF(Tabla5[[#This Row],[Tiempo de Degustación]]=0,"No Cobrada","Cobrada")</f>
        <v>Cobrada</v>
      </c>
      <c r="K660" s="5" cm="1">
        <f t="array" ref="K660">SUM(IF(Tabla5[[#This Row],[Orden Cobrada]]="Cobrada",IF(Cocina!A:A=Tabla5[[#This Row],[Nº Orden]],Cocina!F:F*Cocina!G:G,0),-Tabla6[[#This Row],[Precio Cena]]))</f>
        <v>86</v>
      </c>
      <c r="L660" s="5">
        <f>IF(Tabla5[[#This Row],[Orden Cobrada]]="Cobrada",Tabla5[[#This Row],[Ganancia Bruta]]-Tabla6[[#This Row],[Coste Cena]],-Tabla6[[#This Row],[Precio Cena]]+Tabla6[[#This Row],[Coste Cena]])</f>
        <v>35</v>
      </c>
      <c r="M660" s="10">
        <f>IF(Tabla5[[#This Row],[Orden Cobrada]]="Cobrada",((Tabla5[[#This Row],[Ganancia Neta]]/Tabla5[[#This Row],[Ganancia Bruta]])*100)/100,-((Tabla5[[#This Row],[Ganancia Neta]]/Tabla5[[#This Row],[Ganancia Bruta]]*100)/100))</f>
        <v>0.40697674418604651</v>
      </c>
      <c r="N660" s="5" t="str">
        <f>sala!F659</f>
        <v>Mesero_5</v>
      </c>
      <c r="AY660" cm="1">
        <f t="array" ref="AY660">SUM(IF(Cocina!A:A=Tabla5[[#This Row],[Nº Orden]],Cocina!F:F*Cocina!G:G,0))</f>
        <v>86</v>
      </c>
      <c r="AZ660" cm="1">
        <f t="array" ref="AZ660">SUM(IF(Cocina!A:A=Tabla5[[#This Row],[Nº Orden]],Cocina!E:E*Cocina!G:G,0))</f>
        <v>51</v>
      </c>
      <c r="BB660" t="str">
        <f>MID(Tabla4[[#This Row],[Cliente]], SEARCH("_", Tabla4[[#This Row],[Cliente]]) + 1, LEN(Tabla4[[#This Row],[Cliente]]) - SEARCH("_",Tabla4[[#This Row],[Cliente]]))</f>
        <v>910</v>
      </c>
      <c r="BC660" t="str">
        <f>sala!B659</f>
        <v>Cliente_910</v>
      </c>
      <c r="BD660" s="1">
        <f>sala!D659</f>
        <v>45023.071527777778</v>
      </c>
      <c r="BE660" s="1">
        <f>sala!E659</f>
        <v>45023.209722222222</v>
      </c>
      <c r="BF660">
        <f>sala!K659</f>
        <v>658</v>
      </c>
      <c r="BG660">
        <f>sala!I659</f>
        <v>3127</v>
      </c>
      <c r="BH660" cm="1">
        <f t="array" ref="BH660">SUM(IF(Cocina!A:A=Tabla4[[#This Row],[Número de Orden]],Cocina!F:F*Cocina!G:G,0))</f>
        <v>86</v>
      </c>
      <c r="BI660" t="str">
        <f>sala!J659</f>
        <v>Reservada</v>
      </c>
      <c r="BJ660" s="4" t="str">
        <f>IF(Tabla4[[#This Row],[Estado mesa]]="Ocupada","00:15","00:00")</f>
        <v>00:00</v>
      </c>
      <c r="BK660" cm="1">
        <f t="array" ref="BK660">SUM(IF(Cocina!A:A=Tabla4[[#This Row],[Número de Orden]],Cocina!H:H,0))</f>
        <v>48</v>
      </c>
    </row>
    <row r="661" spans="1:63" x14ac:dyDescent="0.3">
      <c r="A661" s="8" t="str">
        <f>MID(Tabla4[[#This Row],[Cliente]], SEARCH("_", Tabla4[[#This Row],[Cliente]]) + 1, LEN(Tabla4[[#This Row],[Cliente]]) - SEARCH("_",Tabla4[[#This Row],[Cliente]]))</f>
        <v>539</v>
      </c>
      <c r="B661">
        <f>sala!K660</f>
        <v>659</v>
      </c>
      <c r="C661">
        <f>Tabla4[[#This Row],[Propina]]+Tabla4[[#This Row],[Precio Cena]]</f>
        <v>3611</v>
      </c>
      <c r="D661" s="3">
        <f>INT(sala!E660)</f>
        <v>45023</v>
      </c>
      <c r="E661" s="4">
        <f>MOD( sala!D660,1)</f>
        <v>0.11805555555474712</v>
      </c>
      <c r="F661" s="4">
        <f>MOD( sala!E660,1)</f>
        <v>0.16874999999708962</v>
      </c>
      <c r="G661" s="4">
        <f>Tabla5[[#This Row],[Hora de Salida]]-Tabla5[[#This Row],[Hora de Llegada]]+Tabla4[[#This Row],[Tiempo Extra]]</f>
        <v>6.1111111109009165E-2</v>
      </c>
      <c r="H661" s="5" t="str">
        <f>TEXT(Tabla4[[#This Row],[Preparación en horas]]/1440, "h:mm")</f>
        <v>0:31</v>
      </c>
      <c r="I661" s="4">
        <f>IF(Tabla5[[#This Row],[Tiempo Permanencia]]-Tabla5[[#This Row],[Tiempo de Preparación ]]&gt;=0,Tabla5[[#This Row],[Tiempo Permanencia]]-Tabla5[[#This Row],[Tiempo de Preparación ]],0)</f>
        <v>3.9583333331231388E-2</v>
      </c>
      <c r="J661" s="5" t="str">
        <f>IF(Tabla5[[#This Row],[Tiempo de Degustación]]=0,"No Cobrada","Cobrada")</f>
        <v>Cobrada</v>
      </c>
      <c r="K661" s="5" cm="1">
        <f t="array" ref="K661">SUM(IF(Tabla5[[#This Row],[Orden Cobrada]]="Cobrada",IF(Cocina!A:A=Tabla5[[#This Row],[Nº Orden]],Cocina!F:F*Cocina!G:G,0),-Tabla6[[#This Row],[Precio Cena]]))</f>
        <v>87</v>
      </c>
      <c r="L661" s="5">
        <f>IF(Tabla5[[#This Row],[Orden Cobrada]]="Cobrada",Tabla5[[#This Row],[Ganancia Bruta]]-Tabla6[[#This Row],[Coste Cena]],-Tabla6[[#This Row],[Precio Cena]]+Tabla6[[#This Row],[Coste Cena]])</f>
        <v>36</v>
      </c>
      <c r="M661" s="10">
        <f>IF(Tabla5[[#This Row],[Orden Cobrada]]="Cobrada",((Tabla5[[#This Row],[Ganancia Neta]]/Tabla5[[#This Row],[Ganancia Bruta]])*100)/100,-((Tabla5[[#This Row],[Ganancia Neta]]/Tabla5[[#This Row],[Ganancia Bruta]]*100)/100))</f>
        <v>0.41379310344827586</v>
      </c>
      <c r="N661" s="5" t="str">
        <f>sala!F660</f>
        <v>Mesero_4</v>
      </c>
      <c r="AY661" cm="1">
        <f t="array" ref="AY661">SUM(IF(Cocina!A:A=Tabla5[[#This Row],[Nº Orden]],Cocina!F:F*Cocina!G:G,0))</f>
        <v>87</v>
      </c>
      <c r="AZ661" cm="1">
        <f t="array" ref="AZ661">SUM(IF(Cocina!A:A=Tabla5[[#This Row],[Nº Orden]],Cocina!E:E*Cocina!G:G,0))</f>
        <v>51</v>
      </c>
      <c r="BB661" t="str">
        <f>MID(Tabla4[[#This Row],[Cliente]], SEARCH("_", Tabla4[[#This Row],[Cliente]]) + 1, LEN(Tabla4[[#This Row],[Cliente]]) - SEARCH("_",Tabla4[[#This Row],[Cliente]]))</f>
        <v>539</v>
      </c>
      <c r="BC661" t="str">
        <f>sala!B660</f>
        <v>Cliente_539</v>
      </c>
      <c r="BD661" s="1">
        <f>sala!D660</f>
        <v>45023.118055555555</v>
      </c>
      <c r="BE661" s="1">
        <f>sala!E660</f>
        <v>45023.168749999997</v>
      </c>
      <c r="BF661">
        <f>sala!K660</f>
        <v>659</v>
      </c>
      <c r="BG661">
        <f>sala!I660</f>
        <v>3524</v>
      </c>
      <c r="BH661" cm="1">
        <f t="array" ref="BH661">SUM(IF(Cocina!A:A=Tabla4[[#This Row],[Número de Orden]],Cocina!F:F*Cocina!G:G,0))</f>
        <v>87</v>
      </c>
      <c r="BI661" t="str">
        <f>sala!J660</f>
        <v>Ocupada</v>
      </c>
      <c r="BJ661" s="4" t="str">
        <f>IF(Tabla4[[#This Row],[Estado mesa]]="Ocupada","00:15","00:00")</f>
        <v>00:15</v>
      </c>
      <c r="BK661" cm="1">
        <f t="array" ref="BK661">SUM(IF(Cocina!A:A=Tabla4[[#This Row],[Número de Orden]],Cocina!H:H,0))</f>
        <v>31</v>
      </c>
    </row>
    <row r="662" spans="1:63" x14ac:dyDescent="0.3">
      <c r="A662" s="8" t="str">
        <f>MID(Tabla4[[#This Row],[Cliente]], SEARCH("_", Tabla4[[#This Row],[Cliente]]) + 1, LEN(Tabla4[[#This Row],[Cliente]]) - SEARCH("_",Tabla4[[#This Row],[Cliente]]))</f>
        <v>483</v>
      </c>
      <c r="B662">
        <f>sala!K661</f>
        <v>660</v>
      </c>
      <c r="C662">
        <f>Tabla4[[#This Row],[Propina]]+Tabla4[[#This Row],[Precio Cena]]</f>
        <v>1799</v>
      </c>
      <c r="D662" s="3">
        <f>INT(sala!E661)</f>
        <v>45023</v>
      </c>
      <c r="E662" s="4">
        <f>MOD( sala!D661,1)</f>
        <v>8.0555555556202307E-2</v>
      </c>
      <c r="F662" s="4">
        <f>MOD( sala!E661,1)</f>
        <v>0.24375000000145519</v>
      </c>
      <c r="G662" s="4">
        <f>Tabla5[[#This Row],[Hora de Salida]]-Tabla5[[#This Row],[Hora de Llegada]]+Tabla4[[#This Row],[Tiempo Extra]]</f>
        <v>0.16319444444525288</v>
      </c>
      <c r="H662" s="5" t="str">
        <f>TEXT(Tabla4[[#This Row],[Preparación en horas]]/1440, "h:mm")</f>
        <v>0:45</v>
      </c>
      <c r="I662" s="4">
        <f>IF(Tabla5[[#This Row],[Tiempo Permanencia]]-Tabla5[[#This Row],[Tiempo de Preparación ]]&gt;=0,Tabla5[[#This Row],[Tiempo Permanencia]]-Tabla5[[#This Row],[Tiempo de Preparación ]],0)</f>
        <v>0.13194444444525288</v>
      </c>
      <c r="J662" s="5" t="str">
        <f>IF(Tabla5[[#This Row],[Tiempo de Degustación]]=0,"No Cobrada","Cobrada")</f>
        <v>Cobrada</v>
      </c>
      <c r="K662" s="5" cm="1">
        <f t="array" ref="K662">SUM(IF(Tabla5[[#This Row],[Orden Cobrada]]="Cobrada",IF(Cocina!A:A=Tabla5[[#This Row],[Nº Orden]],Cocina!F:F*Cocina!G:G,0),-Tabla6[[#This Row],[Precio Cena]]))</f>
        <v>208</v>
      </c>
      <c r="L662" s="5">
        <f>IF(Tabla5[[#This Row],[Orden Cobrada]]="Cobrada",Tabla5[[#This Row],[Ganancia Bruta]]-Tabla6[[#This Row],[Coste Cena]],-Tabla6[[#This Row],[Precio Cena]]+Tabla6[[#This Row],[Coste Cena]])</f>
        <v>82</v>
      </c>
      <c r="M662" s="10">
        <f>IF(Tabla5[[#This Row],[Orden Cobrada]]="Cobrada",((Tabla5[[#This Row],[Ganancia Neta]]/Tabla5[[#This Row],[Ganancia Bruta]])*100)/100,-((Tabla5[[#This Row],[Ganancia Neta]]/Tabla5[[#This Row],[Ganancia Bruta]]*100)/100))</f>
        <v>0.39423076923076922</v>
      </c>
      <c r="N662" s="5" t="str">
        <f>sala!F661</f>
        <v>Mesero_2</v>
      </c>
      <c r="AY662" cm="1">
        <f t="array" ref="AY662">SUM(IF(Cocina!A:A=Tabla5[[#This Row],[Nº Orden]],Cocina!F:F*Cocina!G:G,0))</f>
        <v>208</v>
      </c>
      <c r="AZ662" cm="1">
        <f t="array" ref="AZ662">SUM(IF(Cocina!A:A=Tabla5[[#This Row],[Nº Orden]],Cocina!E:E*Cocina!G:G,0))</f>
        <v>126</v>
      </c>
      <c r="BB662" t="str">
        <f>MID(Tabla4[[#This Row],[Cliente]], SEARCH("_", Tabla4[[#This Row],[Cliente]]) + 1, LEN(Tabla4[[#This Row],[Cliente]]) - SEARCH("_",Tabla4[[#This Row],[Cliente]]))</f>
        <v>483</v>
      </c>
      <c r="BC662" t="str">
        <f>sala!B661</f>
        <v>Cliente_483</v>
      </c>
      <c r="BD662" s="1">
        <f>sala!D661</f>
        <v>45023.080555555556</v>
      </c>
      <c r="BE662" s="1">
        <f>sala!E661</f>
        <v>45023.243750000001</v>
      </c>
      <c r="BF662">
        <f>sala!K661</f>
        <v>660</v>
      </c>
      <c r="BG662">
        <f>sala!I661</f>
        <v>1591</v>
      </c>
      <c r="BH662" cm="1">
        <f t="array" ref="BH662">SUM(IF(Cocina!A:A=Tabla4[[#This Row],[Número de Orden]],Cocina!F:F*Cocina!G:G,0))</f>
        <v>208</v>
      </c>
      <c r="BI662" t="str">
        <f>sala!J661</f>
        <v>Reservada</v>
      </c>
      <c r="BJ662" s="4" t="str">
        <f>IF(Tabla4[[#This Row],[Estado mesa]]="Ocupada","00:15","00:00")</f>
        <v>00:00</v>
      </c>
      <c r="BK662" cm="1">
        <f t="array" ref="BK662">SUM(IF(Cocina!A:A=Tabla4[[#This Row],[Número de Orden]],Cocina!H:H,0))</f>
        <v>45</v>
      </c>
    </row>
    <row r="663" spans="1:63" x14ac:dyDescent="0.3">
      <c r="A663" s="8" t="str">
        <f>MID(Tabla4[[#This Row],[Cliente]], SEARCH("_", Tabla4[[#This Row],[Cliente]]) + 1, LEN(Tabla4[[#This Row],[Cliente]]) - SEARCH("_",Tabla4[[#This Row],[Cliente]]))</f>
        <v>949</v>
      </c>
      <c r="B663">
        <f>sala!K662</f>
        <v>661</v>
      </c>
      <c r="C663">
        <f>Tabla4[[#This Row],[Propina]]+Tabla4[[#This Row],[Precio Cena]]</f>
        <v>3460</v>
      </c>
      <c r="D663" s="3">
        <f>INT(sala!E662)</f>
        <v>45023</v>
      </c>
      <c r="E663" s="4">
        <f>MOD( sala!D662,1)</f>
        <v>0.14027777777664596</v>
      </c>
      <c r="F663" s="4">
        <f>MOD( sala!E662,1)</f>
        <v>0.28611111111240461</v>
      </c>
      <c r="G663" s="4">
        <f>Tabla5[[#This Row],[Hora de Salida]]-Tabla5[[#This Row],[Hora de Llegada]]+Tabla4[[#This Row],[Tiempo Extra]]</f>
        <v>0.15625000000242531</v>
      </c>
      <c r="H663" s="5" t="str">
        <f>TEXT(Tabla4[[#This Row],[Preparación en horas]]/1440, "h:mm")</f>
        <v>2:15</v>
      </c>
      <c r="I663" s="4">
        <f>IF(Tabla5[[#This Row],[Tiempo Permanencia]]-Tabla5[[#This Row],[Tiempo de Preparación ]]&gt;=0,Tabla5[[#This Row],[Tiempo Permanencia]]-Tabla5[[#This Row],[Tiempo de Preparación ]],0)</f>
        <v>6.250000000242531E-2</v>
      </c>
      <c r="J663" s="5" t="str">
        <f>IF(Tabla5[[#This Row],[Tiempo de Degustación]]=0,"No Cobrada","Cobrada")</f>
        <v>Cobrada</v>
      </c>
      <c r="K663" s="5" cm="1">
        <f t="array" ref="K663">SUM(IF(Tabla5[[#This Row],[Orden Cobrada]]="Cobrada",IF(Cocina!A:A=Tabla5[[#This Row],[Nº Orden]],Cocina!F:F*Cocina!G:G,0),-Tabla6[[#This Row],[Precio Cena]]))</f>
        <v>206</v>
      </c>
      <c r="L663" s="5">
        <f>IF(Tabla5[[#This Row],[Orden Cobrada]]="Cobrada",Tabla5[[#This Row],[Ganancia Bruta]]-Tabla6[[#This Row],[Coste Cena]],-Tabla6[[#This Row],[Precio Cena]]+Tabla6[[#This Row],[Coste Cena]])</f>
        <v>83</v>
      </c>
      <c r="M663" s="10">
        <f>IF(Tabla5[[#This Row],[Orden Cobrada]]="Cobrada",((Tabla5[[#This Row],[Ganancia Neta]]/Tabla5[[#This Row],[Ganancia Bruta]])*100)/100,-((Tabla5[[#This Row],[Ganancia Neta]]/Tabla5[[#This Row],[Ganancia Bruta]]*100)/100))</f>
        <v>0.40291262135922329</v>
      </c>
      <c r="N663" s="5" t="str">
        <f>sala!F662</f>
        <v>Mesero_4</v>
      </c>
      <c r="AY663" cm="1">
        <f t="array" ref="AY663">SUM(IF(Cocina!A:A=Tabla5[[#This Row],[Nº Orden]],Cocina!F:F*Cocina!G:G,0))</f>
        <v>206</v>
      </c>
      <c r="AZ663" cm="1">
        <f t="array" ref="AZ663">SUM(IF(Cocina!A:A=Tabla5[[#This Row],[Nº Orden]],Cocina!E:E*Cocina!G:G,0))</f>
        <v>123</v>
      </c>
      <c r="BB663" t="str">
        <f>MID(Tabla4[[#This Row],[Cliente]], SEARCH("_", Tabla4[[#This Row],[Cliente]]) + 1, LEN(Tabla4[[#This Row],[Cliente]]) - SEARCH("_",Tabla4[[#This Row],[Cliente]]))</f>
        <v>949</v>
      </c>
      <c r="BC663" t="str">
        <f>sala!B662</f>
        <v>Cliente_949</v>
      </c>
      <c r="BD663" s="1">
        <f>sala!D662</f>
        <v>45023.140277777777</v>
      </c>
      <c r="BE663" s="1">
        <f>sala!E662</f>
        <v>45023.286111111112</v>
      </c>
      <c r="BF663">
        <f>sala!K662</f>
        <v>661</v>
      </c>
      <c r="BG663">
        <f>sala!I662</f>
        <v>3254</v>
      </c>
      <c r="BH663" cm="1">
        <f t="array" ref="BH663">SUM(IF(Cocina!A:A=Tabla4[[#This Row],[Número de Orden]],Cocina!F:F*Cocina!G:G,0))</f>
        <v>206</v>
      </c>
      <c r="BI663" t="str">
        <f>sala!J662</f>
        <v>Ocupada</v>
      </c>
      <c r="BJ663" s="4" t="str">
        <f>IF(Tabla4[[#This Row],[Estado mesa]]="Ocupada","00:15","00:00")</f>
        <v>00:15</v>
      </c>
      <c r="BK663" cm="1">
        <f t="array" ref="BK663">SUM(IF(Cocina!A:A=Tabla4[[#This Row],[Número de Orden]],Cocina!H:H,0))</f>
        <v>135</v>
      </c>
    </row>
    <row r="664" spans="1:63" x14ac:dyDescent="0.3">
      <c r="A664" s="8" t="str">
        <f>MID(Tabla4[[#This Row],[Cliente]], SEARCH("_", Tabla4[[#This Row],[Cliente]]) + 1, LEN(Tabla4[[#This Row],[Cliente]]) - SEARCH("_",Tabla4[[#This Row],[Cliente]]))</f>
        <v>642</v>
      </c>
      <c r="B664">
        <f>sala!K663</f>
        <v>662</v>
      </c>
      <c r="C664">
        <f>Tabla4[[#This Row],[Propina]]+Tabla4[[#This Row],[Precio Cena]]</f>
        <v>1297</v>
      </c>
      <c r="D664" s="3">
        <f>INT(sala!E663)</f>
        <v>45023</v>
      </c>
      <c r="E664" s="4">
        <f>MOD( sala!D663,1)</f>
        <v>8.4027777775190771E-2</v>
      </c>
      <c r="F664" s="4">
        <f>MOD( sala!E663,1)</f>
        <v>0.20972222222189885</v>
      </c>
      <c r="G664" s="4">
        <f>Tabla5[[#This Row],[Hora de Salida]]-Tabla5[[#This Row],[Hora de Llegada]]+Tabla4[[#This Row],[Tiempo Extra]]</f>
        <v>0.12569444444670808</v>
      </c>
      <c r="H664" s="5" t="str">
        <f>TEXT(Tabla4[[#This Row],[Preparación en horas]]/1440, "h:mm")</f>
        <v>1:25</v>
      </c>
      <c r="I664" s="4">
        <f>IF(Tabla5[[#This Row],[Tiempo Permanencia]]-Tabla5[[#This Row],[Tiempo de Preparación ]]&gt;=0,Tabla5[[#This Row],[Tiempo Permanencia]]-Tabla5[[#This Row],[Tiempo de Preparación ]],0)</f>
        <v>6.6666666668930299E-2</v>
      </c>
      <c r="J664" s="5" t="str">
        <f>IF(Tabla5[[#This Row],[Tiempo de Degustación]]=0,"No Cobrada","Cobrada")</f>
        <v>Cobrada</v>
      </c>
      <c r="K664" s="5" cm="1">
        <f t="array" ref="K664">SUM(IF(Tabla5[[#This Row],[Orden Cobrada]]="Cobrada",IF(Cocina!A:A=Tabla5[[#This Row],[Nº Orden]],Cocina!F:F*Cocina!G:G,0),-Tabla6[[#This Row],[Precio Cena]]))</f>
        <v>133</v>
      </c>
      <c r="L664" s="5">
        <f>IF(Tabla5[[#This Row],[Orden Cobrada]]="Cobrada",Tabla5[[#This Row],[Ganancia Bruta]]-Tabla6[[#This Row],[Coste Cena]],-Tabla6[[#This Row],[Precio Cena]]+Tabla6[[#This Row],[Coste Cena]])</f>
        <v>54</v>
      </c>
      <c r="M664" s="10">
        <f>IF(Tabla5[[#This Row],[Orden Cobrada]]="Cobrada",((Tabla5[[#This Row],[Ganancia Neta]]/Tabla5[[#This Row],[Ganancia Bruta]])*100)/100,-((Tabla5[[#This Row],[Ganancia Neta]]/Tabla5[[#This Row],[Ganancia Bruta]]*100)/100))</f>
        <v>0.406015037593985</v>
      </c>
      <c r="N664" s="5" t="str">
        <f>sala!F663</f>
        <v>Mesero_1</v>
      </c>
      <c r="AY664" cm="1">
        <f t="array" ref="AY664">SUM(IF(Cocina!A:A=Tabla5[[#This Row],[Nº Orden]],Cocina!F:F*Cocina!G:G,0))</f>
        <v>133</v>
      </c>
      <c r="AZ664" cm="1">
        <f t="array" ref="AZ664">SUM(IF(Cocina!A:A=Tabla5[[#This Row],[Nº Orden]],Cocina!E:E*Cocina!G:G,0))</f>
        <v>79</v>
      </c>
      <c r="BB664" t="str">
        <f>MID(Tabla4[[#This Row],[Cliente]], SEARCH("_", Tabla4[[#This Row],[Cliente]]) + 1, LEN(Tabla4[[#This Row],[Cliente]]) - SEARCH("_",Tabla4[[#This Row],[Cliente]]))</f>
        <v>642</v>
      </c>
      <c r="BC664" t="str">
        <f>sala!B663</f>
        <v>Cliente_642</v>
      </c>
      <c r="BD664" s="1">
        <f>sala!D663</f>
        <v>45023.084027777775</v>
      </c>
      <c r="BE664" s="1">
        <f>sala!E663</f>
        <v>45023.209722222222</v>
      </c>
      <c r="BF664">
        <f>sala!K663</f>
        <v>662</v>
      </c>
      <c r="BG664">
        <f>sala!I663</f>
        <v>1164</v>
      </c>
      <c r="BH664" cm="1">
        <f t="array" ref="BH664">SUM(IF(Cocina!A:A=Tabla4[[#This Row],[Número de Orden]],Cocina!F:F*Cocina!G:G,0))</f>
        <v>133</v>
      </c>
      <c r="BI664" t="str">
        <f>sala!J663</f>
        <v>Libre</v>
      </c>
      <c r="BJ664" s="4" t="str">
        <f>IF(Tabla4[[#This Row],[Estado mesa]]="Ocupada","00:15","00:00")</f>
        <v>00:00</v>
      </c>
      <c r="BK664" cm="1">
        <f t="array" ref="BK664">SUM(IF(Cocina!A:A=Tabla4[[#This Row],[Número de Orden]],Cocina!H:H,0))</f>
        <v>85</v>
      </c>
    </row>
    <row r="665" spans="1:63" x14ac:dyDescent="0.3">
      <c r="A665" s="8" t="str">
        <f>MID(Tabla4[[#This Row],[Cliente]], SEARCH("_", Tabla4[[#This Row],[Cliente]]) + 1, LEN(Tabla4[[#This Row],[Cliente]]) - SEARCH("_",Tabla4[[#This Row],[Cliente]]))</f>
        <v>962</v>
      </c>
      <c r="B665">
        <f>sala!K664</f>
        <v>663</v>
      </c>
      <c r="C665">
        <f>Tabla4[[#This Row],[Propina]]+Tabla4[[#This Row],[Precio Cena]]</f>
        <v>532</v>
      </c>
      <c r="D665" s="3">
        <f>INT(sala!E664)</f>
        <v>45023</v>
      </c>
      <c r="E665" s="4">
        <f>MOD( sala!D664,1)</f>
        <v>4.7916666670062114E-2</v>
      </c>
      <c r="F665" s="4">
        <f>MOD( sala!E664,1)</f>
        <v>0.15763888888614019</v>
      </c>
      <c r="G665" s="4">
        <f>Tabla5[[#This Row],[Hora de Salida]]-Tabla5[[#This Row],[Hora de Llegada]]+Tabla4[[#This Row],[Tiempo Extra]]</f>
        <v>0.12013888888274475</v>
      </c>
      <c r="H665" s="5" t="str">
        <f>TEXT(Tabla4[[#This Row],[Preparación en horas]]/1440, "h:mm")</f>
        <v>1:27</v>
      </c>
      <c r="I665" s="4">
        <f>IF(Tabla5[[#This Row],[Tiempo Permanencia]]-Tabla5[[#This Row],[Tiempo de Preparación ]]&gt;=0,Tabla5[[#This Row],[Tiempo Permanencia]]-Tabla5[[#This Row],[Tiempo de Preparación ]],0)</f>
        <v>5.9722222216078084E-2</v>
      </c>
      <c r="J665" s="5" t="str">
        <f>IF(Tabla5[[#This Row],[Tiempo de Degustación]]=0,"No Cobrada","Cobrada")</f>
        <v>Cobrada</v>
      </c>
      <c r="K665" s="5" cm="1">
        <f t="array" ref="K665">SUM(IF(Tabla5[[#This Row],[Orden Cobrada]]="Cobrada",IF(Cocina!A:A=Tabla5[[#This Row],[Nº Orden]],Cocina!F:F*Cocina!G:G,0),-Tabla6[[#This Row],[Precio Cena]]))</f>
        <v>114</v>
      </c>
      <c r="L665" s="5">
        <f>IF(Tabla5[[#This Row],[Orden Cobrada]]="Cobrada",Tabla5[[#This Row],[Ganancia Bruta]]-Tabla6[[#This Row],[Coste Cena]],-Tabla6[[#This Row],[Precio Cena]]+Tabla6[[#This Row],[Coste Cena]])</f>
        <v>48</v>
      </c>
      <c r="M665" s="10">
        <f>IF(Tabla5[[#This Row],[Orden Cobrada]]="Cobrada",((Tabla5[[#This Row],[Ganancia Neta]]/Tabla5[[#This Row],[Ganancia Bruta]])*100)/100,-((Tabla5[[#This Row],[Ganancia Neta]]/Tabla5[[#This Row],[Ganancia Bruta]]*100)/100))</f>
        <v>0.42105263157894735</v>
      </c>
      <c r="N665" s="5" t="str">
        <f>sala!F664</f>
        <v>Mesero_1</v>
      </c>
      <c r="AY665" cm="1">
        <f t="array" ref="AY665">SUM(IF(Cocina!A:A=Tabla5[[#This Row],[Nº Orden]],Cocina!F:F*Cocina!G:G,0))</f>
        <v>114</v>
      </c>
      <c r="AZ665" cm="1">
        <f t="array" ref="AZ665">SUM(IF(Cocina!A:A=Tabla5[[#This Row],[Nº Orden]],Cocina!E:E*Cocina!G:G,0))</f>
        <v>66</v>
      </c>
      <c r="BB665" t="str">
        <f>MID(Tabla4[[#This Row],[Cliente]], SEARCH("_", Tabla4[[#This Row],[Cliente]]) + 1, LEN(Tabla4[[#This Row],[Cliente]]) - SEARCH("_",Tabla4[[#This Row],[Cliente]]))</f>
        <v>962</v>
      </c>
      <c r="BC665" t="str">
        <f>sala!B664</f>
        <v>Cliente_962</v>
      </c>
      <c r="BD665" s="1">
        <f>sala!D664</f>
        <v>45023.04791666667</v>
      </c>
      <c r="BE665" s="1">
        <f>sala!E664</f>
        <v>45023.157638888886</v>
      </c>
      <c r="BF665">
        <f>sala!K664</f>
        <v>663</v>
      </c>
      <c r="BG665">
        <f>sala!I664</f>
        <v>418</v>
      </c>
      <c r="BH665" cm="1">
        <f t="array" ref="BH665">SUM(IF(Cocina!A:A=Tabla4[[#This Row],[Número de Orden]],Cocina!F:F*Cocina!G:G,0))</f>
        <v>114</v>
      </c>
      <c r="BI665" t="str">
        <f>sala!J664</f>
        <v>Ocupada</v>
      </c>
      <c r="BJ665" s="4" t="str">
        <f>IF(Tabla4[[#This Row],[Estado mesa]]="Ocupada","00:15","00:00")</f>
        <v>00:15</v>
      </c>
      <c r="BK665" cm="1">
        <f t="array" ref="BK665">SUM(IF(Cocina!A:A=Tabla4[[#This Row],[Número de Orden]],Cocina!H:H,0))</f>
        <v>87</v>
      </c>
    </row>
    <row r="666" spans="1:63" x14ac:dyDescent="0.3">
      <c r="A666" s="8" t="str">
        <f>MID(Tabla4[[#This Row],[Cliente]], SEARCH("_", Tabla4[[#This Row],[Cliente]]) + 1, LEN(Tabla4[[#This Row],[Cliente]]) - SEARCH("_",Tabla4[[#This Row],[Cliente]]))</f>
        <v>883</v>
      </c>
      <c r="B666">
        <f>sala!K665</f>
        <v>664</v>
      </c>
      <c r="C666">
        <f>Tabla4[[#This Row],[Propina]]+Tabla4[[#This Row],[Precio Cena]]</f>
        <v>3249</v>
      </c>
      <c r="D666" s="3">
        <f>INT(sala!E665)</f>
        <v>45023</v>
      </c>
      <c r="E666" s="4">
        <f>MOD( sala!D665,1)</f>
        <v>6.5972222218988463E-2</v>
      </c>
      <c r="F666" s="4">
        <f>MOD( sala!E665,1)</f>
        <v>0.16180555555911269</v>
      </c>
      <c r="G666" s="4">
        <f>Tabla5[[#This Row],[Hora de Salida]]-Tabla5[[#This Row],[Hora de Llegada]]+Tabla4[[#This Row],[Tiempo Extra]]</f>
        <v>9.5833333340124227E-2</v>
      </c>
      <c r="H666" s="5" t="str">
        <f>TEXT(Tabla4[[#This Row],[Preparación en horas]]/1440, "h:mm")</f>
        <v>1:39</v>
      </c>
      <c r="I666" s="4">
        <f>IF(Tabla5[[#This Row],[Tiempo Permanencia]]-Tabla5[[#This Row],[Tiempo de Preparación ]]&gt;=0,Tabla5[[#This Row],[Tiempo Permanencia]]-Tabla5[[#This Row],[Tiempo de Preparación ]],0)</f>
        <v>2.7083333340124222E-2</v>
      </c>
      <c r="J666" s="5" t="str">
        <f>IF(Tabla5[[#This Row],[Tiempo de Degustación]]=0,"No Cobrada","Cobrada")</f>
        <v>Cobrada</v>
      </c>
      <c r="K666" s="5" cm="1">
        <f t="array" ref="K666">SUM(IF(Tabla5[[#This Row],[Orden Cobrada]]="Cobrada",IF(Cocina!A:A=Tabla5[[#This Row],[Nº Orden]],Cocina!F:F*Cocina!G:G,0),-Tabla6[[#This Row],[Precio Cena]]))</f>
        <v>122</v>
      </c>
      <c r="L666" s="5">
        <f>IF(Tabla5[[#This Row],[Orden Cobrada]]="Cobrada",Tabla5[[#This Row],[Ganancia Bruta]]-Tabla6[[#This Row],[Coste Cena]],-Tabla6[[#This Row],[Precio Cena]]+Tabla6[[#This Row],[Coste Cena]])</f>
        <v>51</v>
      </c>
      <c r="M666" s="10">
        <f>IF(Tabla5[[#This Row],[Orden Cobrada]]="Cobrada",((Tabla5[[#This Row],[Ganancia Neta]]/Tabla5[[#This Row],[Ganancia Bruta]])*100)/100,-((Tabla5[[#This Row],[Ganancia Neta]]/Tabla5[[#This Row],[Ganancia Bruta]]*100)/100))</f>
        <v>0.41803278688524592</v>
      </c>
      <c r="N666" s="5" t="str">
        <f>sala!F665</f>
        <v>Mesero_4</v>
      </c>
      <c r="AY666" cm="1">
        <f t="array" ref="AY666">SUM(IF(Cocina!A:A=Tabla5[[#This Row],[Nº Orden]],Cocina!F:F*Cocina!G:G,0))</f>
        <v>122</v>
      </c>
      <c r="AZ666" cm="1">
        <f t="array" ref="AZ666">SUM(IF(Cocina!A:A=Tabla5[[#This Row],[Nº Orden]],Cocina!E:E*Cocina!G:G,0))</f>
        <v>71</v>
      </c>
      <c r="BB666" t="str">
        <f>MID(Tabla4[[#This Row],[Cliente]], SEARCH("_", Tabla4[[#This Row],[Cliente]]) + 1, LEN(Tabla4[[#This Row],[Cliente]]) - SEARCH("_",Tabla4[[#This Row],[Cliente]]))</f>
        <v>883</v>
      </c>
      <c r="BC666" t="str">
        <f>sala!B665</f>
        <v>Cliente_883</v>
      </c>
      <c r="BD666" s="1">
        <f>sala!D665</f>
        <v>45023.065972222219</v>
      </c>
      <c r="BE666" s="1">
        <f>sala!E665</f>
        <v>45023.161805555559</v>
      </c>
      <c r="BF666">
        <f>sala!K665</f>
        <v>664</v>
      </c>
      <c r="BG666">
        <f>sala!I665</f>
        <v>3127</v>
      </c>
      <c r="BH666" cm="1">
        <f t="array" ref="BH666">SUM(IF(Cocina!A:A=Tabla4[[#This Row],[Número de Orden]],Cocina!F:F*Cocina!G:G,0))</f>
        <v>122</v>
      </c>
      <c r="BI666" t="str">
        <f>sala!J665</f>
        <v>Reservada</v>
      </c>
      <c r="BJ666" s="4" t="str">
        <f>IF(Tabla4[[#This Row],[Estado mesa]]="Ocupada","00:15","00:00")</f>
        <v>00:00</v>
      </c>
      <c r="BK666" cm="1">
        <f t="array" ref="BK666">SUM(IF(Cocina!A:A=Tabla4[[#This Row],[Número de Orden]],Cocina!H:H,0))</f>
        <v>99</v>
      </c>
    </row>
    <row r="667" spans="1:63" x14ac:dyDescent="0.3">
      <c r="A667" s="8" t="str">
        <f>MID(Tabla4[[#This Row],[Cliente]], SEARCH("_", Tabla4[[#This Row],[Cliente]]) + 1, LEN(Tabla4[[#This Row],[Cliente]]) - SEARCH("_",Tabla4[[#This Row],[Cliente]]))</f>
        <v>425</v>
      </c>
      <c r="B667">
        <f>sala!K666</f>
        <v>665</v>
      </c>
      <c r="C667">
        <f>Tabla4[[#This Row],[Propina]]+Tabla4[[#This Row],[Precio Cena]]</f>
        <v>2661</v>
      </c>
      <c r="D667" s="3">
        <f>INT(sala!E666)</f>
        <v>45023</v>
      </c>
      <c r="E667" s="4">
        <f>MOD( sala!D666,1)</f>
        <v>8.6805555554747116E-2</v>
      </c>
      <c r="F667" s="4">
        <f>MOD( sala!E666,1)</f>
        <v>0.24722222222044365</v>
      </c>
      <c r="G667" s="4">
        <f>Tabla5[[#This Row],[Hora de Salida]]-Tabla5[[#This Row],[Hora de Llegada]]+Tabla4[[#This Row],[Tiempo Extra]]</f>
        <v>0.1708333333323632</v>
      </c>
      <c r="H667" s="5" t="str">
        <f>TEXT(Tabla4[[#This Row],[Preparación en horas]]/1440, "h:mm")</f>
        <v>0:40</v>
      </c>
      <c r="I667" s="4">
        <f>IF(Tabla5[[#This Row],[Tiempo Permanencia]]-Tabla5[[#This Row],[Tiempo de Preparación ]]&gt;=0,Tabla5[[#This Row],[Tiempo Permanencia]]-Tabla5[[#This Row],[Tiempo de Preparación ]],0)</f>
        <v>0.14305555555458543</v>
      </c>
      <c r="J667" s="5" t="str">
        <f>IF(Tabla5[[#This Row],[Tiempo de Degustación]]=0,"No Cobrada","Cobrada")</f>
        <v>Cobrada</v>
      </c>
      <c r="K667" s="5" cm="1">
        <f t="array" ref="K667">SUM(IF(Tabla5[[#This Row],[Orden Cobrada]]="Cobrada",IF(Cocina!A:A=Tabla5[[#This Row],[Nº Orden]],Cocina!F:F*Cocina!G:G,0),-Tabla6[[#This Row],[Precio Cena]]))</f>
        <v>129</v>
      </c>
      <c r="L667" s="5">
        <f>IF(Tabla5[[#This Row],[Orden Cobrada]]="Cobrada",Tabla5[[#This Row],[Ganancia Bruta]]-Tabla6[[#This Row],[Coste Cena]],-Tabla6[[#This Row],[Precio Cena]]+Tabla6[[#This Row],[Coste Cena]])</f>
        <v>52</v>
      </c>
      <c r="M667" s="10">
        <f>IF(Tabla5[[#This Row],[Orden Cobrada]]="Cobrada",((Tabla5[[#This Row],[Ganancia Neta]]/Tabla5[[#This Row],[Ganancia Bruta]])*100)/100,-((Tabla5[[#This Row],[Ganancia Neta]]/Tabla5[[#This Row],[Ganancia Bruta]]*100)/100))</f>
        <v>0.40310077519379844</v>
      </c>
      <c r="N667" s="5" t="str">
        <f>sala!F666</f>
        <v>Mesero_5</v>
      </c>
      <c r="AY667" cm="1">
        <f t="array" ref="AY667">SUM(IF(Cocina!A:A=Tabla5[[#This Row],[Nº Orden]],Cocina!F:F*Cocina!G:G,0))</f>
        <v>129</v>
      </c>
      <c r="AZ667" cm="1">
        <f t="array" ref="AZ667">SUM(IF(Cocina!A:A=Tabla5[[#This Row],[Nº Orden]],Cocina!E:E*Cocina!G:G,0))</f>
        <v>77</v>
      </c>
      <c r="BB667" t="str">
        <f>MID(Tabla4[[#This Row],[Cliente]], SEARCH("_", Tabla4[[#This Row],[Cliente]]) + 1, LEN(Tabla4[[#This Row],[Cliente]]) - SEARCH("_",Tabla4[[#This Row],[Cliente]]))</f>
        <v>425</v>
      </c>
      <c r="BC667" t="str">
        <f>sala!B666</f>
        <v>Cliente_425</v>
      </c>
      <c r="BD667" s="1">
        <f>sala!D666</f>
        <v>45023.086805555555</v>
      </c>
      <c r="BE667" s="1">
        <f>sala!E666</f>
        <v>45023.24722222222</v>
      </c>
      <c r="BF667">
        <f>sala!K666</f>
        <v>665</v>
      </c>
      <c r="BG667">
        <f>sala!I666</f>
        <v>2532</v>
      </c>
      <c r="BH667" cm="1">
        <f t="array" ref="BH667">SUM(IF(Cocina!A:A=Tabla4[[#This Row],[Número de Orden]],Cocina!F:F*Cocina!G:G,0))</f>
        <v>129</v>
      </c>
      <c r="BI667" t="str">
        <f>sala!J666</f>
        <v>Ocupada</v>
      </c>
      <c r="BJ667" s="4" t="str">
        <f>IF(Tabla4[[#This Row],[Estado mesa]]="Ocupada","00:15","00:00")</f>
        <v>00:15</v>
      </c>
      <c r="BK667" cm="1">
        <f t="array" ref="BK667">SUM(IF(Cocina!A:A=Tabla4[[#This Row],[Número de Orden]],Cocina!H:H,0))</f>
        <v>40</v>
      </c>
    </row>
    <row r="668" spans="1:63" x14ac:dyDescent="0.3">
      <c r="A668" s="8" t="str">
        <f>MID(Tabla4[[#This Row],[Cliente]], SEARCH("_", Tabla4[[#This Row],[Cliente]]) + 1, LEN(Tabla4[[#This Row],[Cliente]]) - SEARCH("_",Tabla4[[#This Row],[Cliente]]))</f>
        <v>593</v>
      </c>
      <c r="B668">
        <f>sala!K667</f>
        <v>666</v>
      </c>
      <c r="C668">
        <f>Tabla4[[#This Row],[Propina]]+Tabla4[[#This Row],[Precio Cena]]</f>
        <v>1226</v>
      </c>
      <c r="D668" s="3">
        <f>INT(sala!E667)</f>
        <v>45023</v>
      </c>
      <c r="E668" s="4">
        <f>MOD( sala!D667,1)</f>
        <v>4.4444444443797693E-2</v>
      </c>
      <c r="F668" s="4">
        <f>MOD( sala!E667,1)</f>
        <v>0.20625000000291038</v>
      </c>
      <c r="G668" s="4">
        <f>Tabla5[[#This Row],[Hora de Salida]]-Tabla5[[#This Row],[Hora de Llegada]]+Tabla4[[#This Row],[Tiempo Extra]]</f>
        <v>0.16180555555911269</v>
      </c>
      <c r="H668" s="5" t="str">
        <f>TEXT(Tabla4[[#This Row],[Preparación en horas]]/1440, "h:mm")</f>
        <v>0:27</v>
      </c>
      <c r="I668" s="4">
        <f>IF(Tabla5[[#This Row],[Tiempo Permanencia]]-Tabla5[[#This Row],[Tiempo de Preparación ]]&gt;=0,Tabla5[[#This Row],[Tiempo Permanencia]]-Tabla5[[#This Row],[Tiempo de Preparación ]],0)</f>
        <v>0.1430555555591127</v>
      </c>
      <c r="J668" s="5" t="str">
        <f>IF(Tabla5[[#This Row],[Tiempo de Degustación]]=0,"No Cobrada","Cobrada")</f>
        <v>Cobrada</v>
      </c>
      <c r="K668" s="5" cm="1">
        <f t="array" ref="K668">SUM(IF(Tabla5[[#This Row],[Orden Cobrada]]="Cobrada",IF(Cocina!A:A=Tabla5[[#This Row],[Nº Orden]],Cocina!F:F*Cocina!G:G,0),-Tabla6[[#This Row],[Precio Cena]]))</f>
        <v>40</v>
      </c>
      <c r="L668" s="5">
        <f>IF(Tabla5[[#This Row],[Orden Cobrada]]="Cobrada",Tabla5[[#This Row],[Ganancia Bruta]]-Tabla6[[#This Row],[Coste Cena]],-Tabla6[[#This Row],[Precio Cena]]+Tabla6[[#This Row],[Coste Cena]])</f>
        <v>16</v>
      </c>
      <c r="M668" s="10">
        <f>IF(Tabla5[[#This Row],[Orden Cobrada]]="Cobrada",((Tabla5[[#This Row],[Ganancia Neta]]/Tabla5[[#This Row],[Ganancia Bruta]])*100)/100,-((Tabla5[[#This Row],[Ganancia Neta]]/Tabla5[[#This Row],[Ganancia Bruta]]*100)/100))</f>
        <v>0.4</v>
      </c>
      <c r="N668" s="5" t="str">
        <f>sala!F667</f>
        <v>Mesero_2</v>
      </c>
      <c r="AY668" cm="1">
        <f t="array" ref="AY668">SUM(IF(Cocina!A:A=Tabla5[[#This Row],[Nº Orden]],Cocina!F:F*Cocina!G:G,0))</f>
        <v>40</v>
      </c>
      <c r="AZ668" cm="1">
        <f t="array" ref="AZ668">SUM(IF(Cocina!A:A=Tabla5[[#This Row],[Nº Orden]],Cocina!E:E*Cocina!G:G,0))</f>
        <v>24</v>
      </c>
      <c r="BB668" t="str">
        <f>MID(Tabla4[[#This Row],[Cliente]], SEARCH("_", Tabla4[[#This Row],[Cliente]]) + 1, LEN(Tabla4[[#This Row],[Cliente]]) - SEARCH("_",Tabla4[[#This Row],[Cliente]]))</f>
        <v>593</v>
      </c>
      <c r="BC668" t="str">
        <f>sala!B667</f>
        <v>Cliente_593</v>
      </c>
      <c r="BD668" s="1">
        <f>sala!D667</f>
        <v>45023.044444444444</v>
      </c>
      <c r="BE668" s="1">
        <f>sala!E667</f>
        <v>45023.206250000003</v>
      </c>
      <c r="BF668">
        <f>sala!K667</f>
        <v>666</v>
      </c>
      <c r="BG668">
        <f>sala!I667</f>
        <v>1186</v>
      </c>
      <c r="BH668" cm="1">
        <f t="array" ref="BH668">SUM(IF(Cocina!A:A=Tabla4[[#This Row],[Número de Orden]],Cocina!F:F*Cocina!G:G,0))</f>
        <v>40</v>
      </c>
      <c r="BI668" t="str">
        <f>sala!J667</f>
        <v>Libre</v>
      </c>
      <c r="BJ668" s="4" t="str">
        <f>IF(Tabla4[[#This Row],[Estado mesa]]="Ocupada","00:15","00:00")</f>
        <v>00:00</v>
      </c>
      <c r="BK668" cm="1">
        <f t="array" ref="BK668">SUM(IF(Cocina!A:A=Tabla4[[#This Row],[Número de Orden]],Cocina!H:H,0))</f>
        <v>27</v>
      </c>
    </row>
    <row r="669" spans="1:63" x14ac:dyDescent="0.3">
      <c r="A669" s="8" t="str">
        <f>MID(Tabla4[[#This Row],[Cliente]], SEARCH("_", Tabla4[[#This Row],[Cliente]]) + 1, LEN(Tabla4[[#This Row],[Cliente]]) - SEARCH("_",Tabla4[[#This Row],[Cliente]]))</f>
        <v>368</v>
      </c>
      <c r="B669">
        <f>sala!K668</f>
        <v>667</v>
      </c>
      <c r="C669">
        <f>Tabla4[[#This Row],[Propina]]+Tabla4[[#This Row],[Precio Cena]]</f>
        <v>2085</v>
      </c>
      <c r="D669" s="3">
        <f>INT(sala!E668)</f>
        <v>45023</v>
      </c>
      <c r="E669" s="4">
        <f>MOD( sala!D668,1)</f>
        <v>0.15208333333430346</v>
      </c>
      <c r="F669" s="4">
        <f>MOD( sala!E668,1)</f>
        <v>0.29652777777664596</v>
      </c>
      <c r="G669" s="4">
        <f>Tabla5[[#This Row],[Hora de Salida]]-Tabla5[[#This Row],[Hora de Llegada]]+Tabla4[[#This Row],[Tiempo Extra]]</f>
        <v>0.1444444444423425</v>
      </c>
      <c r="H669" s="5" t="str">
        <f>TEXT(Tabla4[[#This Row],[Preparación en horas]]/1440, "h:mm")</f>
        <v>0:12</v>
      </c>
      <c r="I669" s="4">
        <f>IF(Tabla5[[#This Row],[Tiempo Permanencia]]-Tabla5[[#This Row],[Tiempo de Preparación ]]&gt;=0,Tabla5[[#This Row],[Tiempo Permanencia]]-Tabla5[[#This Row],[Tiempo de Preparación ]],0)</f>
        <v>0.13611111110900917</v>
      </c>
      <c r="J669" s="5" t="str">
        <f>IF(Tabla5[[#This Row],[Tiempo de Degustación]]=0,"No Cobrada","Cobrada")</f>
        <v>Cobrada</v>
      </c>
      <c r="K669" s="5" cm="1">
        <f t="array" ref="K669">SUM(IF(Tabla5[[#This Row],[Orden Cobrada]]="Cobrada",IF(Cocina!A:A=Tabla5[[#This Row],[Nº Orden]],Cocina!F:F*Cocina!G:G,0),-Tabla6[[#This Row],[Precio Cena]]))</f>
        <v>36</v>
      </c>
      <c r="L669" s="5">
        <f>IF(Tabla5[[#This Row],[Orden Cobrada]]="Cobrada",Tabla5[[#This Row],[Ganancia Bruta]]-Tabla6[[#This Row],[Coste Cena]],-Tabla6[[#This Row],[Precio Cena]]+Tabla6[[#This Row],[Coste Cena]])</f>
        <v>14</v>
      </c>
      <c r="M669" s="10">
        <f>IF(Tabla5[[#This Row],[Orden Cobrada]]="Cobrada",((Tabla5[[#This Row],[Ganancia Neta]]/Tabla5[[#This Row],[Ganancia Bruta]])*100)/100,-((Tabla5[[#This Row],[Ganancia Neta]]/Tabla5[[#This Row],[Ganancia Bruta]]*100)/100))</f>
        <v>0.38888888888888895</v>
      </c>
      <c r="N669" s="5" t="str">
        <f>sala!F668</f>
        <v>Mesero_3</v>
      </c>
      <c r="AY669" cm="1">
        <f t="array" ref="AY669">SUM(IF(Cocina!A:A=Tabla5[[#This Row],[Nº Orden]],Cocina!F:F*Cocina!G:G,0))</f>
        <v>36</v>
      </c>
      <c r="AZ669" cm="1">
        <f t="array" ref="AZ669">SUM(IF(Cocina!A:A=Tabla5[[#This Row],[Nº Orden]],Cocina!E:E*Cocina!G:G,0))</f>
        <v>22</v>
      </c>
      <c r="BB669" t="str">
        <f>MID(Tabla4[[#This Row],[Cliente]], SEARCH("_", Tabla4[[#This Row],[Cliente]]) + 1, LEN(Tabla4[[#This Row],[Cliente]]) - SEARCH("_",Tabla4[[#This Row],[Cliente]]))</f>
        <v>368</v>
      </c>
      <c r="BC669" t="str">
        <f>sala!B668</f>
        <v>Cliente_368</v>
      </c>
      <c r="BD669" s="1">
        <f>sala!D668</f>
        <v>45023.152083333334</v>
      </c>
      <c r="BE669" s="1">
        <f>sala!E668</f>
        <v>45023.296527777777</v>
      </c>
      <c r="BF669">
        <f>sala!K668</f>
        <v>667</v>
      </c>
      <c r="BG669">
        <f>sala!I668</f>
        <v>2049</v>
      </c>
      <c r="BH669" cm="1">
        <f t="array" ref="BH669">SUM(IF(Cocina!A:A=Tabla4[[#This Row],[Número de Orden]],Cocina!F:F*Cocina!G:G,0))</f>
        <v>36</v>
      </c>
      <c r="BI669" t="str">
        <f>sala!J668</f>
        <v>Reservada</v>
      </c>
      <c r="BJ669" s="4" t="str">
        <f>IF(Tabla4[[#This Row],[Estado mesa]]="Ocupada","00:15","00:00")</f>
        <v>00:00</v>
      </c>
      <c r="BK669" cm="1">
        <f t="array" ref="BK669">SUM(IF(Cocina!A:A=Tabla4[[#This Row],[Número de Orden]],Cocina!H:H,0))</f>
        <v>12</v>
      </c>
    </row>
    <row r="670" spans="1:63" x14ac:dyDescent="0.3">
      <c r="A670" s="8" t="str">
        <f>MID(Tabla4[[#This Row],[Cliente]], SEARCH("_", Tabla4[[#This Row],[Cliente]]) + 1, LEN(Tabla4[[#This Row],[Cliente]]) - SEARCH("_",Tabla4[[#This Row],[Cliente]]))</f>
        <v>418</v>
      </c>
      <c r="B670">
        <f>sala!K669</f>
        <v>668</v>
      </c>
      <c r="C670">
        <f>Tabla4[[#This Row],[Propina]]+Tabla4[[#This Row],[Precio Cena]]</f>
        <v>2062</v>
      </c>
      <c r="D670" s="3">
        <f>INT(sala!E669)</f>
        <v>45023</v>
      </c>
      <c r="E670" s="4">
        <f>MOD( sala!D669,1)</f>
        <v>7.1527777778101154E-2</v>
      </c>
      <c r="F670" s="4">
        <f>MOD( sala!E669,1)</f>
        <v>0.19513888889196096</v>
      </c>
      <c r="G670" s="4">
        <f>Tabla5[[#This Row],[Hora de Salida]]-Tabla5[[#This Row],[Hora de Llegada]]+Tabla4[[#This Row],[Tiempo Extra]]</f>
        <v>0.12361111111385981</v>
      </c>
      <c r="H670" s="5" t="str">
        <f>TEXT(Tabla4[[#This Row],[Preparación en horas]]/1440, "h:mm")</f>
        <v>1:55</v>
      </c>
      <c r="I670" s="4">
        <f>IF(Tabla5[[#This Row],[Tiempo Permanencia]]-Tabla5[[#This Row],[Tiempo de Preparación ]]&gt;=0,Tabla5[[#This Row],[Tiempo Permanencia]]-Tabla5[[#This Row],[Tiempo de Preparación ]],0)</f>
        <v>4.3750000002748701E-2</v>
      </c>
      <c r="J670" s="5" t="str">
        <f>IF(Tabla5[[#This Row],[Tiempo de Degustación]]=0,"No Cobrada","Cobrada")</f>
        <v>Cobrada</v>
      </c>
      <c r="K670" s="5" cm="1">
        <f t="array" ref="K670">SUM(IF(Tabla5[[#This Row],[Orden Cobrada]]="Cobrada",IF(Cocina!A:A=Tabla5[[#This Row],[Nº Orden]],Cocina!F:F*Cocina!G:G,0),-Tabla6[[#This Row],[Precio Cena]]))</f>
        <v>201</v>
      </c>
      <c r="L670" s="5">
        <f>IF(Tabla5[[#This Row],[Orden Cobrada]]="Cobrada",Tabla5[[#This Row],[Ganancia Bruta]]-Tabla6[[#This Row],[Coste Cena]],-Tabla6[[#This Row],[Precio Cena]]+Tabla6[[#This Row],[Coste Cena]])</f>
        <v>83</v>
      </c>
      <c r="M670" s="10">
        <f>IF(Tabla5[[#This Row],[Orden Cobrada]]="Cobrada",((Tabla5[[#This Row],[Ganancia Neta]]/Tabla5[[#This Row],[Ganancia Bruta]])*100)/100,-((Tabla5[[#This Row],[Ganancia Neta]]/Tabla5[[#This Row],[Ganancia Bruta]]*100)/100))</f>
        <v>0.41293532338308458</v>
      </c>
      <c r="N670" s="5" t="str">
        <f>sala!F669</f>
        <v>Mesero_1</v>
      </c>
      <c r="AY670" cm="1">
        <f t="array" ref="AY670">SUM(IF(Cocina!A:A=Tabla5[[#This Row],[Nº Orden]],Cocina!F:F*Cocina!G:G,0))</f>
        <v>201</v>
      </c>
      <c r="AZ670" cm="1">
        <f t="array" ref="AZ670">SUM(IF(Cocina!A:A=Tabla5[[#This Row],[Nº Orden]],Cocina!E:E*Cocina!G:G,0))</f>
        <v>118</v>
      </c>
      <c r="BB670" t="str">
        <f>MID(Tabla4[[#This Row],[Cliente]], SEARCH("_", Tabla4[[#This Row],[Cliente]]) + 1, LEN(Tabla4[[#This Row],[Cliente]]) - SEARCH("_",Tabla4[[#This Row],[Cliente]]))</f>
        <v>418</v>
      </c>
      <c r="BC670" t="str">
        <f>sala!B669</f>
        <v>Cliente_418</v>
      </c>
      <c r="BD670" s="1">
        <f>sala!D669</f>
        <v>45023.071527777778</v>
      </c>
      <c r="BE670" s="1">
        <f>sala!E669</f>
        <v>45023.195138888892</v>
      </c>
      <c r="BF670">
        <f>sala!K669</f>
        <v>668</v>
      </c>
      <c r="BG670">
        <f>sala!I669</f>
        <v>1861</v>
      </c>
      <c r="BH670" cm="1">
        <f t="array" ref="BH670">SUM(IF(Cocina!A:A=Tabla4[[#This Row],[Número de Orden]],Cocina!F:F*Cocina!G:G,0))</f>
        <v>201</v>
      </c>
      <c r="BI670" t="str">
        <f>sala!J669</f>
        <v>Reservada</v>
      </c>
      <c r="BJ670" s="4" t="str">
        <f>IF(Tabla4[[#This Row],[Estado mesa]]="Ocupada","00:15","00:00")</f>
        <v>00:00</v>
      </c>
      <c r="BK670" cm="1">
        <f t="array" ref="BK670">SUM(IF(Cocina!A:A=Tabla4[[#This Row],[Número de Orden]],Cocina!H:H,0))</f>
        <v>115</v>
      </c>
    </row>
    <row r="671" spans="1:63" x14ac:dyDescent="0.3">
      <c r="A671" s="8" t="str">
        <f>MID(Tabla4[[#This Row],[Cliente]], SEARCH("_", Tabla4[[#This Row],[Cliente]]) + 1, LEN(Tabla4[[#This Row],[Cliente]]) - SEARCH("_",Tabla4[[#This Row],[Cliente]]))</f>
        <v>693</v>
      </c>
      <c r="B671">
        <f>sala!K670</f>
        <v>669</v>
      </c>
      <c r="C671">
        <f>Tabla4[[#This Row],[Propina]]+Tabla4[[#This Row],[Precio Cena]]</f>
        <v>1249</v>
      </c>
      <c r="D671" s="3">
        <f>INT(sala!E670)</f>
        <v>45023</v>
      </c>
      <c r="E671" s="4">
        <f>MOD( sala!D670,1)</f>
        <v>4.2361111110949423E-2</v>
      </c>
      <c r="F671" s="4">
        <f>MOD( sala!E670,1)</f>
        <v>0.19027777777955635</v>
      </c>
      <c r="G671" s="4">
        <f>Tabla5[[#This Row],[Hora de Salida]]-Tabla5[[#This Row],[Hora de Llegada]]+Tabla4[[#This Row],[Tiempo Extra]]</f>
        <v>0.14791666666860692</v>
      </c>
      <c r="H671" s="5" t="str">
        <f>TEXT(Tabla4[[#This Row],[Preparación en horas]]/1440, "h:mm")</f>
        <v>1:09</v>
      </c>
      <c r="I671" s="4">
        <f>IF(Tabla5[[#This Row],[Tiempo Permanencia]]-Tabla5[[#This Row],[Tiempo de Preparación ]]&gt;=0,Tabla5[[#This Row],[Tiempo Permanencia]]-Tabla5[[#This Row],[Tiempo de Preparación ]],0)</f>
        <v>0.10000000000194026</v>
      </c>
      <c r="J671" s="5" t="str">
        <f>IF(Tabla5[[#This Row],[Tiempo de Degustación]]=0,"No Cobrada","Cobrada")</f>
        <v>Cobrada</v>
      </c>
      <c r="K671" s="5" cm="1">
        <f t="array" ref="K671">SUM(IF(Tabla5[[#This Row],[Orden Cobrada]]="Cobrada",IF(Cocina!A:A=Tabla5[[#This Row],[Nº Orden]],Cocina!F:F*Cocina!G:G,0),-Tabla6[[#This Row],[Precio Cena]]))</f>
        <v>181</v>
      </c>
      <c r="L671" s="5">
        <f>IF(Tabla5[[#This Row],[Orden Cobrada]]="Cobrada",Tabla5[[#This Row],[Ganancia Bruta]]-Tabla6[[#This Row],[Coste Cena]],-Tabla6[[#This Row],[Precio Cena]]+Tabla6[[#This Row],[Coste Cena]])</f>
        <v>73</v>
      </c>
      <c r="M671" s="10">
        <f>IF(Tabla5[[#This Row],[Orden Cobrada]]="Cobrada",((Tabla5[[#This Row],[Ganancia Neta]]/Tabla5[[#This Row],[Ganancia Bruta]])*100)/100,-((Tabla5[[#This Row],[Ganancia Neta]]/Tabla5[[#This Row],[Ganancia Bruta]]*100)/100))</f>
        <v>0.40331491712707185</v>
      </c>
      <c r="N671" s="5" t="str">
        <f>sala!F670</f>
        <v>Mesero_3</v>
      </c>
      <c r="AY671" cm="1">
        <f t="array" ref="AY671">SUM(IF(Cocina!A:A=Tabla5[[#This Row],[Nº Orden]],Cocina!F:F*Cocina!G:G,0))</f>
        <v>181</v>
      </c>
      <c r="AZ671" cm="1">
        <f t="array" ref="AZ671">SUM(IF(Cocina!A:A=Tabla5[[#This Row],[Nº Orden]],Cocina!E:E*Cocina!G:G,0))</f>
        <v>108</v>
      </c>
      <c r="BB671" t="str">
        <f>MID(Tabla4[[#This Row],[Cliente]], SEARCH("_", Tabla4[[#This Row],[Cliente]]) + 1, LEN(Tabla4[[#This Row],[Cliente]]) - SEARCH("_",Tabla4[[#This Row],[Cliente]]))</f>
        <v>693</v>
      </c>
      <c r="BC671" t="str">
        <f>sala!B670</f>
        <v>Cliente_693</v>
      </c>
      <c r="BD671" s="1">
        <f>sala!D670</f>
        <v>45023.042361111111</v>
      </c>
      <c r="BE671" s="1">
        <f>sala!E670</f>
        <v>45023.19027777778</v>
      </c>
      <c r="BF671">
        <f>sala!K670</f>
        <v>669</v>
      </c>
      <c r="BG671">
        <f>sala!I670</f>
        <v>1068</v>
      </c>
      <c r="BH671" cm="1">
        <f t="array" ref="BH671">SUM(IF(Cocina!A:A=Tabla4[[#This Row],[Número de Orden]],Cocina!F:F*Cocina!G:G,0))</f>
        <v>181</v>
      </c>
      <c r="BI671" t="str">
        <f>sala!J670</f>
        <v>Libre</v>
      </c>
      <c r="BJ671" s="4" t="str">
        <f>IF(Tabla4[[#This Row],[Estado mesa]]="Ocupada","00:15","00:00")</f>
        <v>00:00</v>
      </c>
      <c r="BK671" cm="1">
        <f t="array" ref="BK671">SUM(IF(Cocina!A:A=Tabla4[[#This Row],[Número de Orden]],Cocina!H:H,0))</f>
        <v>69</v>
      </c>
    </row>
    <row r="672" spans="1:63" x14ac:dyDescent="0.3">
      <c r="A672" s="8" t="str">
        <f>MID(Tabla4[[#This Row],[Cliente]], SEARCH("_", Tabla4[[#This Row],[Cliente]]) + 1, LEN(Tabla4[[#This Row],[Cliente]]) - SEARCH("_",Tabla4[[#This Row],[Cliente]]))</f>
        <v>226</v>
      </c>
      <c r="B672">
        <f>sala!K671</f>
        <v>670</v>
      </c>
      <c r="C672">
        <f>Tabla4[[#This Row],[Propina]]+Tabla4[[#This Row],[Precio Cena]]</f>
        <v>3887</v>
      </c>
      <c r="D672" s="3">
        <f>INT(sala!E671)</f>
        <v>45023</v>
      </c>
      <c r="E672" s="4">
        <f>MOD( sala!D671,1)</f>
        <v>7.7777777776645962E-2</v>
      </c>
      <c r="F672" s="4">
        <f>MOD( sala!E671,1)</f>
        <v>0.13333333333139308</v>
      </c>
      <c r="G672" s="4">
        <f>Tabla5[[#This Row],[Hora de Salida]]-Tabla5[[#This Row],[Hora de Llegada]]+Tabla4[[#This Row],[Tiempo Extra]]</f>
        <v>6.5972222221413787E-2</v>
      </c>
      <c r="H672" s="5" t="str">
        <f>TEXT(Tabla4[[#This Row],[Preparación en horas]]/1440, "h:mm")</f>
        <v>1:15</v>
      </c>
      <c r="I672" s="4">
        <f>IF(Tabla5[[#This Row],[Tiempo Permanencia]]-Tabla5[[#This Row],[Tiempo de Preparación ]]&gt;=0,Tabla5[[#This Row],[Tiempo Permanencia]]-Tabla5[[#This Row],[Tiempo de Preparación ]],0)</f>
        <v>1.3888888888080451E-2</v>
      </c>
      <c r="J672" s="5" t="str">
        <f>IF(Tabla5[[#This Row],[Tiempo de Degustación]]=0,"No Cobrada","Cobrada")</f>
        <v>Cobrada</v>
      </c>
      <c r="K672" s="5" cm="1">
        <f t="array" ref="K672">SUM(IF(Tabla5[[#This Row],[Orden Cobrada]]="Cobrada",IF(Cocina!A:A=Tabla5[[#This Row],[Nº Orden]],Cocina!F:F*Cocina!G:G,0),-Tabla6[[#This Row],[Precio Cena]]))</f>
        <v>94</v>
      </c>
      <c r="L672" s="5">
        <f>IF(Tabla5[[#This Row],[Orden Cobrada]]="Cobrada",Tabla5[[#This Row],[Ganancia Bruta]]-Tabla6[[#This Row],[Coste Cena]],-Tabla6[[#This Row],[Precio Cena]]+Tabla6[[#This Row],[Coste Cena]])</f>
        <v>37</v>
      </c>
      <c r="M672" s="10">
        <f>IF(Tabla5[[#This Row],[Orden Cobrada]]="Cobrada",((Tabla5[[#This Row],[Ganancia Neta]]/Tabla5[[#This Row],[Ganancia Bruta]])*100)/100,-((Tabla5[[#This Row],[Ganancia Neta]]/Tabla5[[#This Row],[Ganancia Bruta]]*100)/100))</f>
        <v>0.39361702127659576</v>
      </c>
      <c r="N672" s="5" t="str">
        <f>sala!F671</f>
        <v>Mesero_2</v>
      </c>
      <c r="AY672" cm="1">
        <f t="array" ref="AY672">SUM(IF(Cocina!A:A=Tabla5[[#This Row],[Nº Orden]],Cocina!F:F*Cocina!G:G,0))</f>
        <v>94</v>
      </c>
      <c r="AZ672" cm="1">
        <f t="array" ref="AZ672">SUM(IF(Cocina!A:A=Tabla5[[#This Row],[Nº Orden]],Cocina!E:E*Cocina!G:G,0))</f>
        <v>57</v>
      </c>
      <c r="BB672" t="str">
        <f>MID(Tabla4[[#This Row],[Cliente]], SEARCH("_", Tabla4[[#This Row],[Cliente]]) + 1, LEN(Tabla4[[#This Row],[Cliente]]) - SEARCH("_",Tabla4[[#This Row],[Cliente]]))</f>
        <v>226</v>
      </c>
      <c r="BC672" t="str">
        <f>sala!B671</f>
        <v>Cliente_226</v>
      </c>
      <c r="BD672" s="1">
        <f>sala!D671</f>
        <v>45023.077777777777</v>
      </c>
      <c r="BE672" s="1">
        <f>sala!E671</f>
        <v>45023.133333333331</v>
      </c>
      <c r="BF672">
        <f>sala!K671</f>
        <v>670</v>
      </c>
      <c r="BG672">
        <f>sala!I671</f>
        <v>3793</v>
      </c>
      <c r="BH672" cm="1">
        <f t="array" ref="BH672">SUM(IF(Cocina!A:A=Tabla4[[#This Row],[Número de Orden]],Cocina!F:F*Cocina!G:G,0))</f>
        <v>94</v>
      </c>
      <c r="BI672" t="str">
        <f>sala!J671</f>
        <v>Ocupada</v>
      </c>
      <c r="BJ672" s="4" t="str">
        <f>IF(Tabla4[[#This Row],[Estado mesa]]="Ocupada","00:15","00:00")</f>
        <v>00:15</v>
      </c>
      <c r="BK672" cm="1">
        <f t="array" ref="BK672">SUM(IF(Cocina!A:A=Tabla4[[#This Row],[Número de Orden]],Cocina!H:H,0))</f>
        <v>75</v>
      </c>
    </row>
    <row r="673" spans="1:63" x14ac:dyDescent="0.3">
      <c r="A673" s="8" t="str">
        <f>MID(Tabla4[[#This Row],[Cliente]], SEARCH("_", Tabla4[[#This Row],[Cliente]]) + 1, LEN(Tabla4[[#This Row],[Cliente]]) - SEARCH("_",Tabla4[[#This Row],[Cliente]]))</f>
        <v>759</v>
      </c>
      <c r="B673">
        <f>sala!K672</f>
        <v>671</v>
      </c>
      <c r="C673">
        <f>Tabla4[[#This Row],[Propina]]+Tabla4[[#This Row],[Precio Cena]]</f>
        <v>506</v>
      </c>
      <c r="D673" s="3">
        <f>INT(sala!E672)</f>
        <v>45023</v>
      </c>
      <c r="E673" s="4">
        <f>MOD( sala!D672,1)</f>
        <v>9.5833333332848269E-2</v>
      </c>
      <c r="F673" s="4">
        <f>MOD( sala!E672,1)</f>
        <v>0.14583333333575865</v>
      </c>
      <c r="G673" s="4">
        <f>Tabla5[[#This Row],[Hora de Salida]]-Tabla5[[#This Row],[Hora de Llegada]]+Tabla4[[#This Row],[Tiempo Extra]]</f>
        <v>5.0000000002910383E-2</v>
      </c>
      <c r="H673" s="5" t="str">
        <f>TEXT(Tabla4[[#This Row],[Preparación en horas]]/1440, "h:mm")</f>
        <v>1:35</v>
      </c>
      <c r="I673" s="4">
        <f>IF(Tabla5[[#This Row],[Tiempo Permanencia]]-Tabla5[[#This Row],[Tiempo de Preparación ]]&gt;=0,Tabla5[[#This Row],[Tiempo Permanencia]]-Tabla5[[#This Row],[Tiempo de Preparación ]],0)</f>
        <v>0</v>
      </c>
      <c r="J673" s="5" t="str">
        <f>IF(Tabla5[[#This Row],[Tiempo de Degustación]]=0,"No Cobrada","Cobrada")</f>
        <v>No Cobrada</v>
      </c>
      <c r="K673" s="5" cm="1">
        <f t="array" ref="K673">SUM(IF(Tabla5[[#This Row],[Orden Cobrada]]="Cobrada",IF(Cocina!A:A=Tabla5[[#This Row],[Nº Orden]],Cocina!F:F*Cocina!G:G,0),-Tabla6[[#This Row],[Precio Cena]]))</f>
        <v>-184</v>
      </c>
      <c r="L673" s="5">
        <f>IF(Tabla5[[#This Row],[Orden Cobrada]]="Cobrada",Tabla5[[#This Row],[Ganancia Bruta]]-Tabla6[[#This Row],[Coste Cena]],-Tabla6[[#This Row],[Precio Cena]]+Tabla6[[#This Row],[Coste Cena]])</f>
        <v>-74</v>
      </c>
      <c r="M673" s="10">
        <f>IF(Tabla5[[#This Row],[Orden Cobrada]]="Cobrada",((Tabla5[[#This Row],[Ganancia Neta]]/Tabla5[[#This Row],[Ganancia Bruta]])*100)/100,-((Tabla5[[#This Row],[Ganancia Neta]]/Tabla5[[#This Row],[Ganancia Bruta]]*100)/100))</f>
        <v>-0.40217391304347827</v>
      </c>
      <c r="N673" s="5" t="str">
        <f>sala!F672</f>
        <v>Mesero_3</v>
      </c>
      <c r="AY673" cm="1">
        <f t="array" ref="AY673">SUM(IF(Cocina!A:A=Tabla5[[#This Row],[Nº Orden]],Cocina!F:F*Cocina!G:G,0))</f>
        <v>184</v>
      </c>
      <c r="AZ673" cm="1">
        <f t="array" ref="AZ673">SUM(IF(Cocina!A:A=Tabla5[[#This Row],[Nº Orden]],Cocina!E:E*Cocina!G:G,0))</f>
        <v>110</v>
      </c>
      <c r="BB673" t="str">
        <f>MID(Tabla4[[#This Row],[Cliente]], SEARCH("_", Tabla4[[#This Row],[Cliente]]) + 1, LEN(Tabla4[[#This Row],[Cliente]]) - SEARCH("_",Tabla4[[#This Row],[Cliente]]))</f>
        <v>759</v>
      </c>
      <c r="BC673" t="str">
        <f>sala!B672</f>
        <v>Cliente_759</v>
      </c>
      <c r="BD673" s="1">
        <f>sala!D672</f>
        <v>45023.095833333333</v>
      </c>
      <c r="BE673" s="1">
        <f>sala!E672</f>
        <v>45023.145833333336</v>
      </c>
      <c r="BF673">
        <f>sala!K672</f>
        <v>671</v>
      </c>
      <c r="BG673">
        <f>sala!I672</f>
        <v>322</v>
      </c>
      <c r="BH673" cm="1">
        <f t="array" ref="BH673">SUM(IF(Cocina!A:A=Tabla4[[#This Row],[Número de Orden]],Cocina!F:F*Cocina!G:G,0))</f>
        <v>184</v>
      </c>
      <c r="BI673" t="str">
        <f>sala!J672</f>
        <v>Reservada</v>
      </c>
      <c r="BJ673" s="4" t="str">
        <f>IF(Tabla4[[#This Row],[Estado mesa]]="Ocupada","00:15","00:00")</f>
        <v>00:00</v>
      </c>
      <c r="BK673" cm="1">
        <f t="array" ref="BK673">SUM(IF(Cocina!A:A=Tabla4[[#This Row],[Número de Orden]],Cocina!H:H,0))</f>
        <v>95</v>
      </c>
    </row>
    <row r="674" spans="1:63" x14ac:dyDescent="0.3">
      <c r="A674" s="8" t="str">
        <f>MID(Tabla4[[#This Row],[Cliente]], SEARCH("_", Tabla4[[#This Row],[Cliente]]) + 1, LEN(Tabla4[[#This Row],[Cliente]]) - SEARCH("_",Tabla4[[#This Row],[Cliente]]))</f>
        <v>517</v>
      </c>
      <c r="B674">
        <f>sala!K673</f>
        <v>672</v>
      </c>
      <c r="C674">
        <f>Tabla4[[#This Row],[Propina]]+Tabla4[[#This Row],[Precio Cena]]</f>
        <v>3076</v>
      </c>
      <c r="D674" s="3">
        <f>INT(sala!E673)</f>
        <v>45023</v>
      </c>
      <c r="E674" s="4">
        <f>MOD( sala!D673,1)</f>
        <v>5.8333333334303461E-2</v>
      </c>
      <c r="F674" s="4">
        <f>MOD( sala!E673,1)</f>
        <v>0.16041666666569654</v>
      </c>
      <c r="G674" s="4">
        <f>Tabla5[[#This Row],[Hora de Salida]]-Tabla5[[#This Row],[Hora de Llegada]]+Tabla4[[#This Row],[Tiempo Extra]]</f>
        <v>0.10208333333139308</v>
      </c>
      <c r="H674" s="5" t="str">
        <f>TEXT(Tabla4[[#This Row],[Preparación en horas]]/1440, "h:mm")</f>
        <v>1:18</v>
      </c>
      <c r="I674" s="4">
        <f>IF(Tabla5[[#This Row],[Tiempo Permanencia]]-Tabla5[[#This Row],[Tiempo de Preparación ]]&gt;=0,Tabla5[[#This Row],[Tiempo Permanencia]]-Tabla5[[#This Row],[Tiempo de Preparación ]],0)</f>
        <v>4.7916666664726409E-2</v>
      </c>
      <c r="J674" s="5" t="str">
        <f>IF(Tabla5[[#This Row],[Tiempo de Degustación]]=0,"No Cobrada","Cobrada")</f>
        <v>Cobrada</v>
      </c>
      <c r="K674" s="5" cm="1">
        <f t="array" ref="K674">SUM(IF(Tabla5[[#This Row],[Orden Cobrada]]="Cobrada",IF(Cocina!A:A=Tabla5[[#This Row],[Nº Orden]],Cocina!F:F*Cocina!G:G,0),-Tabla6[[#This Row],[Precio Cena]]))</f>
        <v>157</v>
      </c>
      <c r="L674" s="5">
        <f>IF(Tabla5[[#This Row],[Orden Cobrada]]="Cobrada",Tabla5[[#This Row],[Ganancia Bruta]]-Tabla6[[#This Row],[Coste Cena]],-Tabla6[[#This Row],[Precio Cena]]+Tabla6[[#This Row],[Coste Cena]])</f>
        <v>63</v>
      </c>
      <c r="M674" s="10">
        <f>IF(Tabla5[[#This Row],[Orden Cobrada]]="Cobrada",((Tabla5[[#This Row],[Ganancia Neta]]/Tabla5[[#This Row],[Ganancia Bruta]])*100)/100,-((Tabla5[[#This Row],[Ganancia Neta]]/Tabla5[[#This Row],[Ganancia Bruta]]*100)/100))</f>
        <v>0.40127388535031849</v>
      </c>
      <c r="N674" s="5" t="str">
        <f>sala!F673</f>
        <v>Mesero_4</v>
      </c>
      <c r="AY674" cm="1">
        <f t="array" ref="AY674">SUM(IF(Cocina!A:A=Tabla5[[#This Row],[Nº Orden]],Cocina!F:F*Cocina!G:G,0))</f>
        <v>157</v>
      </c>
      <c r="AZ674" cm="1">
        <f t="array" ref="AZ674">SUM(IF(Cocina!A:A=Tabla5[[#This Row],[Nº Orden]],Cocina!E:E*Cocina!G:G,0))</f>
        <v>94</v>
      </c>
      <c r="BB674" t="str">
        <f>MID(Tabla4[[#This Row],[Cliente]], SEARCH("_", Tabla4[[#This Row],[Cliente]]) + 1, LEN(Tabla4[[#This Row],[Cliente]]) - SEARCH("_",Tabla4[[#This Row],[Cliente]]))</f>
        <v>517</v>
      </c>
      <c r="BC674" t="str">
        <f>sala!B673</f>
        <v>Cliente_517</v>
      </c>
      <c r="BD674" s="1">
        <f>sala!D673</f>
        <v>45023.058333333334</v>
      </c>
      <c r="BE674" s="1">
        <f>sala!E673</f>
        <v>45023.160416666666</v>
      </c>
      <c r="BF674">
        <f>sala!K673</f>
        <v>672</v>
      </c>
      <c r="BG674">
        <f>sala!I673</f>
        <v>2919</v>
      </c>
      <c r="BH674" cm="1">
        <f t="array" ref="BH674">SUM(IF(Cocina!A:A=Tabla4[[#This Row],[Número de Orden]],Cocina!F:F*Cocina!G:G,0))</f>
        <v>157</v>
      </c>
      <c r="BI674" t="str">
        <f>sala!J673</f>
        <v>Reservada</v>
      </c>
      <c r="BJ674" s="4" t="str">
        <f>IF(Tabla4[[#This Row],[Estado mesa]]="Ocupada","00:15","00:00")</f>
        <v>00:00</v>
      </c>
      <c r="BK674" cm="1">
        <f t="array" ref="BK674">SUM(IF(Cocina!A:A=Tabla4[[#This Row],[Número de Orden]],Cocina!H:H,0))</f>
        <v>78</v>
      </c>
    </row>
    <row r="675" spans="1:63" x14ac:dyDescent="0.3">
      <c r="A675" s="8" t="str">
        <f>MID(Tabla4[[#This Row],[Cliente]], SEARCH("_", Tabla4[[#This Row],[Cliente]]) + 1, LEN(Tabla4[[#This Row],[Cliente]]) - SEARCH("_",Tabla4[[#This Row],[Cliente]]))</f>
        <v>485</v>
      </c>
      <c r="B675">
        <f>sala!K674</f>
        <v>673</v>
      </c>
      <c r="C675">
        <f>Tabla4[[#This Row],[Propina]]+Tabla4[[#This Row],[Precio Cena]]</f>
        <v>630</v>
      </c>
      <c r="D675" s="3">
        <f>INT(sala!E674)</f>
        <v>45023</v>
      </c>
      <c r="E675" s="4">
        <f>MOD( sala!D674,1)</f>
        <v>2.569444444088731E-2</v>
      </c>
      <c r="F675" s="4">
        <f>MOD( sala!E674,1)</f>
        <v>0.11944444444088731</v>
      </c>
      <c r="G675" s="4">
        <f>Tabla5[[#This Row],[Hora de Salida]]-Tabla5[[#This Row],[Hora de Llegada]]+Tabla4[[#This Row],[Tiempo Extra]]</f>
        <v>9.375E-2</v>
      </c>
      <c r="H675" s="5" t="str">
        <f>TEXT(Tabla4[[#This Row],[Preparación en horas]]/1440, "h:mm")</f>
        <v>1:33</v>
      </c>
      <c r="I675" s="4">
        <f>IF(Tabla5[[#This Row],[Tiempo Permanencia]]-Tabla5[[#This Row],[Tiempo de Preparación ]]&gt;=0,Tabla5[[#This Row],[Tiempo Permanencia]]-Tabla5[[#This Row],[Tiempo de Preparación ]],0)</f>
        <v>2.916666666666666E-2</v>
      </c>
      <c r="J675" s="5" t="str">
        <f>IF(Tabla5[[#This Row],[Tiempo de Degustación]]=0,"No Cobrada","Cobrada")</f>
        <v>Cobrada</v>
      </c>
      <c r="K675" s="5" cm="1">
        <f t="array" ref="K675">SUM(IF(Tabla5[[#This Row],[Orden Cobrada]]="Cobrada",IF(Cocina!A:A=Tabla5[[#This Row],[Nº Orden]],Cocina!F:F*Cocina!G:G,0),-Tabla6[[#This Row],[Precio Cena]]))</f>
        <v>265</v>
      </c>
      <c r="L675" s="5">
        <f>IF(Tabla5[[#This Row],[Orden Cobrada]]="Cobrada",Tabla5[[#This Row],[Ganancia Bruta]]-Tabla6[[#This Row],[Coste Cena]],-Tabla6[[#This Row],[Precio Cena]]+Tabla6[[#This Row],[Coste Cena]])</f>
        <v>104</v>
      </c>
      <c r="M675" s="10">
        <f>IF(Tabla5[[#This Row],[Orden Cobrada]]="Cobrada",((Tabla5[[#This Row],[Ganancia Neta]]/Tabla5[[#This Row],[Ganancia Bruta]])*100)/100,-((Tabla5[[#This Row],[Ganancia Neta]]/Tabla5[[#This Row],[Ganancia Bruta]]*100)/100))</f>
        <v>0.39245283018867932</v>
      </c>
      <c r="N675" s="5" t="str">
        <f>sala!F674</f>
        <v>Mesero_5</v>
      </c>
      <c r="AY675" cm="1">
        <f t="array" ref="AY675">SUM(IF(Cocina!A:A=Tabla5[[#This Row],[Nº Orden]],Cocina!F:F*Cocina!G:G,0))</f>
        <v>265</v>
      </c>
      <c r="AZ675" cm="1">
        <f t="array" ref="AZ675">SUM(IF(Cocina!A:A=Tabla5[[#This Row],[Nº Orden]],Cocina!E:E*Cocina!G:G,0))</f>
        <v>161</v>
      </c>
      <c r="BB675" t="str">
        <f>MID(Tabla4[[#This Row],[Cliente]], SEARCH("_", Tabla4[[#This Row],[Cliente]]) + 1, LEN(Tabla4[[#This Row],[Cliente]]) - SEARCH("_",Tabla4[[#This Row],[Cliente]]))</f>
        <v>485</v>
      </c>
      <c r="BC675" t="str">
        <f>sala!B674</f>
        <v>Cliente_485</v>
      </c>
      <c r="BD675" s="1">
        <f>sala!D674</f>
        <v>45023.025694444441</v>
      </c>
      <c r="BE675" s="1">
        <f>sala!E674</f>
        <v>45023.119444444441</v>
      </c>
      <c r="BF675">
        <f>sala!K674</f>
        <v>673</v>
      </c>
      <c r="BG675">
        <f>sala!I674</f>
        <v>365</v>
      </c>
      <c r="BH675" cm="1">
        <f t="array" ref="BH675">SUM(IF(Cocina!A:A=Tabla4[[#This Row],[Número de Orden]],Cocina!F:F*Cocina!G:G,0))</f>
        <v>265</v>
      </c>
      <c r="BI675" t="str">
        <f>sala!J674</f>
        <v>Reservada</v>
      </c>
      <c r="BJ675" s="4" t="str">
        <f>IF(Tabla4[[#This Row],[Estado mesa]]="Ocupada","00:15","00:00")</f>
        <v>00:00</v>
      </c>
      <c r="BK675" cm="1">
        <f t="array" ref="BK675">SUM(IF(Cocina!A:A=Tabla4[[#This Row],[Número de Orden]],Cocina!H:H,0))</f>
        <v>93</v>
      </c>
    </row>
    <row r="676" spans="1:63" x14ac:dyDescent="0.3">
      <c r="A676" s="8" t="str">
        <f>MID(Tabla4[[#This Row],[Cliente]], SEARCH("_", Tabla4[[#This Row],[Cliente]]) + 1, LEN(Tabla4[[#This Row],[Cliente]]) - SEARCH("_",Tabla4[[#This Row],[Cliente]]))</f>
        <v>834</v>
      </c>
      <c r="B676">
        <f>sala!K675</f>
        <v>674</v>
      </c>
      <c r="C676">
        <f>Tabla4[[#This Row],[Propina]]+Tabla4[[#This Row],[Precio Cena]]</f>
        <v>4336</v>
      </c>
      <c r="D676" s="3">
        <f>INT(sala!E675)</f>
        <v>45023</v>
      </c>
      <c r="E676" s="4">
        <f>MOD( sala!D675,1)</f>
        <v>2.0833333328482695E-3</v>
      </c>
      <c r="F676" s="4">
        <f>MOD( sala!E675,1)</f>
        <v>6.25E-2</v>
      </c>
      <c r="G676" s="4">
        <f>Tabla5[[#This Row],[Hora de Salida]]-Tabla5[[#This Row],[Hora de Llegada]]+Tabla4[[#This Row],[Tiempo Extra]]</f>
        <v>6.0416666667151731E-2</v>
      </c>
      <c r="H676" s="5" t="str">
        <f>TEXT(Tabla4[[#This Row],[Preparación en horas]]/1440, "h:mm")</f>
        <v>1:05</v>
      </c>
      <c r="I676" s="4">
        <f>IF(Tabla5[[#This Row],[Tiempo Permanencia]]-Tabla5[[#This Row],[Tiempo de Preparación ]]&gt;=0,Tabla5[[#This Row],[Tiempo Permanencia]]-Tabla5[[#This Row],[Tiempo de Preparación ]],0)</f>
        <v>1.5277777778262842E-2</v>
      </c>
      <c r="J676" s="5" t="str">
        <f>IF(Tabla5[[#This Row],[Tiempo de Degustación]]=0,"No Cobrada","Cobrada")</f>
        <v>Cobrada</v>
      </c>
      <c r="K676" s="5" cm="1">
        <f t="array" ref="K676">SUM(IF(Tabla5[[#This Row],[Orden Cobrada]]="Cobrada",IF(Cocina!A:A=Tabla5[[#This Row],[Nº Orden]],Cocina!F:F*Cocina!G:G,0),-Tabla6[[#This Row],[Precio Cena]]))</f>
        <v>207</v>
      </c>
      <c r="L676" s="5">
        <f>IF(Tabla5[[#This Row],[Orden Cobrada]]="Cobrada",Tabla5[[#This Row],[Ganancia Bruta]]-Tabla6[[#This Row],[Coste Cena]],-Tabla6[[#This Row],[Precio Cena]]+Tabla6[[#This Row],[Coste Cena]])</f>
        <v>84</v>
      </c>
      <c r="M676" s="10">
        <f>IF(Tabla5[[#This Row],[Orden Cobrada]]="Cobrada",((Tabla5[[#This Row],[Ganancia Neta]]/Tabla5[[#This Row],[Ganancia Bruta]])*100)/100,-((Tabla5[[#This Row],[Ganancia Neta]]/Tabla5[[#This Row],[Ganancia Bruta]]*100)/100))</f>
        <v>0.40579710144927539</v>
      </c>
      <c r="N676" s="5" t="str">
        <f>sala!F675</f>
        <v>Mesero_5</v>
      </c>
      <c r="AY676" cm="1">
        <f t="array" ref="AY676">SUM(IF(Cocina!A:A=Tabla5[[#This Row],[Nº Orden]],Cocina!F:F*Cocina!G:G,0))</f>
        <v>207</v>
      </c>
      <c r="AZ676" cm="1">
        <f t="array" ref="AZ676">SUM(IF(Cocina!A:A=Tabla5[[#This Row],[Nº Orden]],Cocina!E:E*Cocina!G:G,0))</f>
        <v>123</v>
      </c>
      <c r="BB676" t="str">
        <f>MID(Tabla4[[#This Row],[Cliente]], SEARCH("_", Tabla4[[#This Row],[Cliente]]) + 1, LEN(Tabla4[[#This Row],[Cliente]]) - SEARCH("_",Tabla4[[#This Row],[Cliente]]))</f>
        <v>834</v>
      </c>
      <c r="BC676" t="str">
        <f>sala!B675</f>
        <v>Cliente_834</v>
      </c>
      <c r="BD676" s="1">
        <f>sala!D675</f>
        <v>45023.002083333333</v>
      </c>
      <c r="BE676" s="1">
        <f>sala!E675</f>
        <v>45023.0625</v>
      </c>
      <c r="BF676">
        <f>sala!K675</f>
        <v>674</v>
      </c>
      <c r="BG676">
        <f>sala!I675</f>
        <v>4129</v>
      </c>
      <c r="BH676" cm="1">
        <f t="array" ref="BH676">SUM(IF(Cocina!A:A=Tabla4[[#This Row],[Número de Orden]],Cocina!F:F*Cocina!G:G,0))</f>
        <v>207</v>
      </c>
      <c r="BI676" t="str">
        <f>sala!J675</f>
        <v>Libre</v>
      </c>
      <c r="BJ676" s="4" t="str">
        <f>IF(Tabla4[[#This Row],[Estado mesa]]="Ocupada","00:15","00:00")</f>
        <v>00:00</v>
      </c>
      <c r="BK676" cm="1">
        <f t="array" ref="BK676">SUM(IF(Cocina!A:A=Tabla4[[#This Row],[Número de Orden]],Cocina!H:H,0))</f>
        <v>65</v>
      </c>
    </row>
    <row r="677" spans="1:63" x14ac:dyDescent="0.3">
      <c r="A677" s="8" t="str">
        <f>MID(Tabla4[[#This Row],[Cliente]], SEARCH("_", Tabla4[[#This Row],[Cliente]]) + 1, LEN(Tabla4[[#This Row],[Cliente]]) - SEARCH("_",Tabla4[[#This Row],[Cliente]]))</f>
        <v>104</v>
      </c>
      <c r="B677">
        <f>sala!K676</f>
        <v>675</v>
      </c>
      <c r="C677">
        <f>Tabla4[[#This Row],[Propina]]+Tabla4[[#This Row],[Precio Cena]]</f>
        <v>3267</v>
      </c>
      <c r="D677" s="3">
        <f>INT(sala!E676)</f>
        <v>45023</v>
      </c>
      <c r="E677" s="4">
        <f>MOD( sala!D676,1)</f>
        <v>3.7499999998544808E-2</v>
      </c>
      <c r="F677" s="4">
        <f>MOD( sala!E676,1)</f>
        <v>0.18958333333284827</v>
      </c>
      <c r="G677" s="4">
        <f>Tabla5[[#This Row],[Hora de Salida]]-Tabla5[[#This Row],[Hora de Llegada]]+Tabla4[[#This Row],[Tiempo Extra]]</f>
        <v>0.15208333333430346</v>
      </c>
      <c r="H677" s="5" t="str">
        <f>TEXT(Tabla4[[#This Row],[Preparación en horas]]/1440, "h:mm")</f>
        <v>2:01</v>
      </c>
      <c r="I677" s="4">
        <f>IF(Tabla5[[#This Row],[Tiempo Permanencia]]-Tabla5[[#This Row],[Tiempo de Preparación ]]&gt;=0,Tabla5[[#This Row],[Tiempo Permanencia]]-Tabla5[[#This Row],[Tiempo de Preparación ]],0)</f>
        <v>6.8055555556525676E-2</v>
      </c>
      <c r="J677" s="5" t="str">
        <f>IF(Tabla5[[#This Row],[Tiempo de Degustación]]=0,"No Cobrada","Cobrada")</f>
        <v>Cobrada</v>
      </c>
      <c r="K677" s="5" cm="1">
        <f t="array" ref="K677">SUM(IF(Tabla5[[#This Row],[Orden Cobrada]]="Cobrada",IF(Cocina!A:A=Tabla5[[#This Row],[Nº Orden]],Cocina!F:F*Cocina!G:G,0),-Tabla6[[#This Row],[Precio Cena]]))</f>
        <v>193</v>
      </c>
      <c r="L677" s="5">
        <f>IF(Tabla5[[#This Row],[Orden Cobrada]]="Cobrada",Tabla5[[#This Row],[Ganancia Bruta]]-Tabla6[[#This Row],[Coste Cena]],-Tabla6[[#This Row],[Precio Cena]]+Tabla6[[#This Row],[Coste Cena]])</f>
        <v>76</v>
      </c>
      <c r="M677" s="10">
        <f>IF(Tabla5[[#This Row],[Orden Cobrada]]="Cobrada",((Tabla5[[#This Row],[Ganancia Neta]]/Tabla5[[#This Row],[Ganancia Bruta]])*100)/100,-((Tabla5[[#This Row],[Ganancia Neta]]/Tabla5[[#This Row],[Ganancia Bruta]]*100)/100))</f>
        <v>0.39378238341968907</v>
      </c>
      <c r="N677" s="5" t="str">
        <f>sala!F676</f>
        <v>Mesero_2</v>
      </c>
      <c r="AY677" cm="1">
        <f t="array" ref="AY677">SUM(IF(Cocina!A:A=Tabla5[[#This Row],[Nº Orden]],Cocina!F:F*Cocina!G:G,0))</f>
        <v>193</v>
      </c>
      <c r="AZ677" cm="1">
        <f t="array" ref="AZ677">SUM(IF(Cocina!A:A=Tabla5[[#This Row],[Nº Orden]],Cocina!E:E*Cocina!G:G,0))</f>
        <v>117</v>
      </c>
      <c r="BB677" t="str">
        <f>MID(Tabla4[[#This Row],[Cliente]], SEARCH("_", Tabla4[[#This Row],[Cliente]]) + 1, LEN(Tabla4[[#This Row],[Cliente]]) - SEARCH("_",Tabla4[[#This Row],[Cliente]]))</f>
        <v>104</v>
      </c>
      <c r="BC677" t="str">
        <f>sala!B676</f>
        <v>Cliente_104</v>
      </c>
      <c r="BD677" s="1">
        <f>sala!D676</f>
        <v>45023.037499999999</v>
      </c>
      <c r="BE677" s="1">
        <f>sala!E676</f>
        <v>45023.189583333333</v>
      </c>
      <c r="BF677">
        <f>sala!K676</f>
        <v>675</v>
      </c>
      <c r="BG677">
        <f>sala!I676</f>
        <v>3074</v>
      </c>
      <c r="BH677" cm="1">
        <f t="array" ref="BH677">SUM(IF(Cocina!A:A=Tabla4[[#This Row],[Número de Orden]],Cocina!F:F*Cocina!G:G,0))</f>
        <v>193</v>
      </c>
      <c r="BI677" t="str">
        <f>sala!J676</f>
        <v>Reservada</v>
      </c>
      <c r="BJ677" s="4" t="str">
        <f>IF(Tabla4[[#This Row],[Estado mesa]]="Ocupada","00:15","00:00")</f>
        <v>00:00</v>
      </c>
      <c r="BK677" cm="1">
        <f t="array" ref="BK677">SUM(IF(Cocina!A:A=Tabla4[[#This Row],[Número de Orden]],Cocina!H:H,0))</f>
        <v>121</v>
      </c>
    </row>
    <row r="678" spans="1:63" x14ac:dyDescent="0.3">
      <c r="A678" s="8" t="str">
        <f>MID(Tabla4[[#This Row],[Cliente]], SEARCH("_", Tabla4[[#This Row],[Cliente]]) + 1, LEN(Tabla4[[#This Row],[Cliente]]) - SEARCH("_",Tabla4[[#This Row],[Cliente]]))</f>
        <v>494</v>
      </c>
      <c r="B678">
        <f>sala!K677</f>
        <v>676</v>
      </c>
      <c r="C678">
        <f>Tabla4[[#This Row],[Propina]]+Tabla4[[#This Row],[Precio Cena]]</f>
        <v>540</v>
      </c>
      <c r="D678" s="3">
        <f>INT(sala!E677)</f>
        <v>45023</v>
      </c>
      <c r="E678" s="4">
        <f>MOD( sala!D677,1)</f>
        <v>1.9444444442342501E-2</v>
      </c>
      <c r="F678" s="4">
        <f>MOD( sala!E677,1)</f>
        <v>0.15625</v>
      </c>
      <c r="G678" s="4">
        <f>Tabla5[[#This Row],[Hora de Salida]]-Tabla5[[#This Row],[Hora de Llegada]]+Tabla4[[#This Row],[Tiempo Extra]]</f>
        <v>0.14722222222432416</v>
      </c>
      <c r="H678" s="5" t="str">
        <f>TEXT(Tabla4[[#This Row],[Preparación en horas]]/1440, "h:mm")</f>
        <v>2:01</v>
      </c>
      <c r="I678" s="4">
        <f>IF(Tabla5[[#This Row],[Tiempo Permanencia]]-Tabla5[[#This Row],[Tiempo de Preparación ]]&gt;=0,Tabla5[[#This Row],[Tiempo Permanencia]]-Tabla5[[#This Row],[Tiempo de Preparación ]],0)</f>
        <v>6.3194444446546372E-2</v>
      </c>
      <c r="J678" s="5" t="str">
        <f>IF(Tabla5[[#This Row],[Tiempo de Degustación]]=0,"No Cobrada","Cobrada")</f>
        <v>Cobrada</v>
      </c>
      <c r="K678" s="5" cm="1">
        <f t="array" ref="K678">SUM(IF(Tabla5[[#This Row],[Orden Cobrada]]="Cobrada",IF(Cocina!A:A=Tabla5[[#This Row],[Nº Orden]],Cocina!F:F*Cocina!G:G,0),-Tabla6[[#This Row],[Precio Cena]]))</f>
        <v>124</v>
      </c>
      <c r="L678" s="5">
        <f>IF(Tabla5[[#This Row],[Orden Cobrada]]="Cobrada",Tabla5[[#This Row],[Ganancia Bruta]]-Tabla6[[#This Row],[Coste Cena]],-Tabla6[[#This Row],[Precio Cena]]+Tabla6[[#This Row],[Coste Cena]])</f>
        <v>49</v>
      </c>
      <c r="M678" s="10">
        <f>IF(Tabla5[[#This Row],[Orden Cobrada]]="Cobrada",((Tabla5[[#This Row],[Ganancia Neta]]/Tabla5[[#This Row],[Ganancia Bruta]])*100)/100,-((Tabla5[[#This Row],[Ganancia Neta]]/Tabla5[[#This Row],[Ganancia Bruta]]*100)/100))</f>
        <v>0.39516129032258063</v>
      </c>
      <c r="N678" s="5" t="str">
        <f>sala!F677</f>
        <v>Mesero_3</v>
      </c>
      <c r="AY678" cm="1">
        <f t="array" ref="AY678">SUM(IF(Cocina!A:A=Tabla5[[#This Row],[Nº Orden]],Cocina!F:F*Cocina!G:G,0))</f>
        <v>124</v>
      </c>
      <c r="AZ678" cm="1">
        <f t="array" ref="AZ678">SUM(IF(Cocina!A:A=Tabla5[[#This Row],[Nº Orden]],Cocina!E:E*Cocina!G:G,0))</f>
        <v>75</v>
      </c>
      <c r="BB678" t="str">
        <f>MID(Tabla4[[#This Row],[Cliente]], SEARCH("_", Tabla4[[#This Row],[Cliente]]) + 1, LEN(Tabla4[[#This Row],[Cliente]]) - SEARCH("_",Tabla4[[#This Row],[Cliente]]))</f>
        <v>494</v>
      </c>
      <c r="BC678" t="str">
        <f>sala!B677</f>
        <v>Cliente_494</v>
      </c>
      <c r="BD678" s="1">
        <f>sala!D677</f>
        <v>45023.019444444442</v>
      </c>
      <c r="BE678" s="1">
        <f>sala!E677</f>
        <v>45023.15625</v>
      </c>
      <c r="BF678">
        <f>sala!K677</f>
        <v>676</v>
      </c>
      <c r="BG678">
        <f>sala!I677</f>
        <v>416</v>
      </c>
      <c r="BH678" cm="1">
        <f t="array" ref="BH678">SUM(IF(Cocina!A:A=Tabla4[[#This Row],[Número de Orden]],Cocina!F:F*Cocina!G:G,0))</f>
        <v>124</v>
      </c>
      <c r="BI678" t="str">
        <f>sala!J677</f>
        <v>Ocupada</v>
      </c>
      <c r="BJ678" s="4" t="str">
        <f>IF(Tabla4[[#This Row],[Estado mesa]]="Ocupada","00:15","00:00")</f>
        <v>00:15</v>
      </c>
      <c r="BK678" cm="1">
        <f t="array" ref="BK678">SUM(IF(Cocina!A:A=Tabla4[[#This Row],[Número de Orden]],Cocina!H:H,0))</f>
        <v>121</v>
      </c>
    </row>
    <row r="679" spans="1:63" x14ac:dyDescent="0.3">
      <c r="A679" s="8" t="str">
        <f>MID(Tabla4[[#This Row],[Cliente]], SEARCH("_", Tabla4[[#This Row],[Cliente]]) + 1, LEN(Tabla4[[#This Row],[Cliente]]) - SEARCH("_",Tabla4[[#This Row],[Cliente]]))</f>
        <v>331</v>
      </c>
      <c r="B679">
        <f>sala!K678</f>
        <v>677</v>
      </c>
      <c r="C679">
        <f>Tabla4[[#This Row],[Propina]]+Tabla4[[#This Row],[Precio Cena]]</f>
        <v>1401</v>
      </c>
      <c r="D679" s="3">
        <f>INT(sala!E678)</f>
        <v>45023</v>
      </c>
      <c r="E679" s="4">
        <f>MOD( sala!D678,1)</f>
        <v>2.361111110803904E-2</v>
      </c>
      <c r="F679" s="4">
        <f>MOD( sala!E678,1)</f>
        <v>0.10902777777664596</v>
      </c>
      <c r="G679" s="4">
        <f>Tabla5[[#This Row],[Hora de Salida]]-Tabla5[[#This Row],[Hora de Llegada]]+Tabla4[[#This Row],[Tiempo Extra]]</f>
        <v>9.5833333335273593E-2</v>
      </c>
      <c r="H679" s="5" t="str">
        <f>TEXT(Tabla4[[#This Row],[Preparación en horas]]/1440, "h:mm")</f>
        <v>2:28</v>
      </c>
      <c r="I679" s="4">
        <f>IF(Tabla5[[#This Row],[Tiempo Permanencia]]-Tabla5[[#This Row],[Tiempo de Preparación ]]&gt;=0,Tabla5[[#This Row],[Tiempo Permanencia]]-Tabla5[[#This Row],[Tiempo de Preparación ]],0)</f>
        <v>0</v>
      </c>
      <c r="J679" s="5" t="str">
        <f>IF(Tabla5[[#This Row],[Tiempo de Degustación]]=0,"No Cobrada","Cobrada")</f>
        <v>No Cobrada</v>
      </c>
      <c r="K679" s="5" cm="1">
        <f t="array" ref="K679">SUM(IF(Tabla5[[#This Row],[Orden Cobrada]]="Cobrada",IF(Cocina!A:A=Tabla5[[#This Row],[Nº Orden]],Cocina!F:F*Cocina!G:G,0),-Tabla6[[#This Row],[Precio Cena]]))</f>
        <v>-144</v>
      </c>
      <c r="L679" s="5">
        <f>IF(Tabla5[[#This Row],[Orden Cobrada]]="Cobrada",Tabla5[[#This Row],[Ganancia Bruta]]-Tabla6[[#This Row],[Coste Cena]],-Tabla6[[#This Row],[Precio Cena]]+Tabla6[[#This Row],[Coste Cena]])</f>
        <v>-58</v>
      </c>
      <c r="M679" s="10">
        <f>IF(Tabla5[[#This Row],[Orden Cobrada]]="Cobrada",((Tabla5[[#This Row],[Ganancia Neta]]/Tabla5[[#This Row],[Ganancia Bruta]])*100)/100,-((Tabla5[[#This Row],[Ganancia Neta]]/Tabla5[[#This Row],[Ganancia Bruta]]*100)/100))</f>
        <v>-0.40277777777777779</v>
      </c>
      <c r="N679" s="5" t="str">
        <f>sala!F678</f>
        <v>Mesero_2</v>
      </c>
      <c r="AY679" cm="1">
        <f t="array" ref="AY679">SUM(IF(Cocina!A:A=Tabla5[[#This Row],[Nº Orden]],Cocina!F:F*Cocina!G:G,0))</f>
        <v>144</v>
      </c>
      <c r="AZ679" cm="1">
        <f t="array" ref="AZ679">SUM(IF(Cocina!A:A=Tabla5[[#This Row],[Nº Orden]],Cocina!E:E*Cocina!G:G,0))</f>
        <v>86</v>
      </c>
      <c r="BB679" t="str">
        <f>MID(Tabla4[[#This Row],[Cliente]], SEARCH("_", Tabla4[[#This Row],[Cliente]]) + 1, LEN(Tabla4[[#This Row],[Cliente]]) - SEARCH("_",Tabla4[[#This Row],[Cliente]]))</f>
        <v>331</v>
      </c>
      <c r="BC679" t="str">
        <f>sala!B678</f>
        <v>Cliente_331</v>
      </c>
      <c r="BD679" s="1">
        <f>sala!D678</f>
        <v>45023.023611111108</v>
      </c>
      <c r="BE679" s="1">
        <f>sala!E678</f>
        <v>45023.109027777777</v>
      </c>
      <c r="BF679">
        <f>sala!K678</f>
        <v>677</v>
      </c>
      <c r="BG679">
        <f>sala!I678</f>
        <v>1257</v>
      </c>
      <c r="BH679" cm="1">
        <f t="array" ref="BH679">SUM(IF(Cocina!A:A=Tabla4[[#This Row],[Número de Orden]],Cocina!F:F*Cocina!G:G,0))</f>
        <v>144</v>
      </c>
      <c r="BI679" t="str">
        <f>sala!J678</f>
        <v>Ocupada</v>
      </c>
      <c r="BJ679" s="4" t="str">
        <f>IF(Tabla4[[#This Row],[Estado mesa]]="Ocupada","00:15","00:00")</f>
        <v>00:15</v>
      </c>
      <c r="BK679" cm="1">
        <f t="array" ref="BK679">SUM(IF(Cocina!A:A=Tabla4[[#This Row],[Número de Orden]],Cocina!H:H,0))</f>
        <v>148</v>
      </c>
    </row>
    <row r="680" spans="1:63" x14ac:dyDescent="0.3">
      <c r="A680" s="8" t="str">
        <f>MID(Tabla4[[#This Row],[Cliente]], SEARCH("_", Tabla4[[#This Row],[Cliente]]) + 1, LEN(Tabla4[[#This Row],[Cliente]]) - SEARCH("_",Tabla4[[#This Row],[Cliente]]))</f>
        <v>483</v>
      </c>
      <c r="B680">
        <f>sala!K679</f>
        <v>678</v>
      </c>
      <c r="C680">
        <f>Tabla4[[#This Row],[Propina]]+Tabla4[[#This Row],[Precio Cena]]</f>
        <v>2880</v>
      </c>
      <c r="D680" s="3">
        <f>INT(sala!E679)</f>
        <v>45023</v>
      </c>
      <c r="E680" s="4">
        <f>MOD( sala!D679,1)</f>
        <v>0.12569444444670808</v>
      </c>
      <c r="F680" s="4">
        <f>MOD( sala!E679,1)</f>
        <v>0.22361111111240461</v>
      </c>
      <c r="G680" s="4">
        <f>Tabla5[[#This Row],[Hora de Salida]]-Tabla5[[#This Row],[Hora de Llegada]]+Tabla4[[#This Row],[Tiempo Extra]]</f>
        <v>0.10833333333236321</v>
      </c>
      <c r="H680" s="5" t="str">
        <f>TEXT(Tabla4[[#This Row],[Preparación en horas]]/1440, "h:mm")</f>
        <v>2:01</v>
      </c>
      <c r="I680" s="4">
        <f>IF(Tabla5[[#This Row],[Tiempo Permanencia]]-Tabla5[[#This Row],[Tiempo de Preparación ]]&gt;=0,Tabla5[[#This Row],[Tiempo Permanencia]]-Tabla5[[#This Row],[Tiempo de Preparación ]],0)</f>
        <v>2.4305555554585426E-2</v>
      </c>
      <c r="J680" s="5" t="str">
        <f>IF(Tabla5[[#This Row],[Tiempo de Degustación]]=0,"No Cobrada","Cobrada")</f>
        <v>Cobrada</v>
      </c>
      <c r="K680" s="5" cm="1">
        <f t="array" ref="K680">SUM(IF(Tabla5[[#This Row],[Orden Cobrada]]="Cobrada",IF(Cocina!A:A=Tabla5[[#This Row],[Nº Orden]],Cocina!F:F*Cocina!G:G,0),-Tabla6[[#This Row],[Precio Cena]]))</f>
        <v>204</v>
      </c>
      <c r="L680" s="5">
        <f>IF(Tabla5[[#This Row],[Orden Cobrada]]="Cobrada",Tabla5[[#This Row],[Ganancia Bruta]]-Tabla6[[#This Row],[Coste Cena]],-Tabla6[[#This Row],[Precio Cena]]+Tabla6[[#This Row],[Coste Cena]])</f>
        <v>84</v>
      </c>
      <c r="M680" s="10">
        <f>IF(Tabla5[[#This Row],[Orden Cobrada]]="Cobrada",((Tabla5[[#This Row],[Ganancia Neta]]/Tabla5[[#This Row],[Ganancia Bruta]])*100)/100,-((Tabla5[[#This Row],[Ganancia Neta]]/Tabla5[[#This Row],[Ganancia Bruta]]*100)/100))</f>
        <v>0.41176470588235292</v>
      </c>
      <c r="N680" s="5" t="str">
        <f>sala!F679</f>
        <v>Mesero_3</v>
      </c>
      <c r="AY680" cm="1">
        <f t="array" ref="AY680">SUM(IF(Cocina!A:A=Tabla5[[#This Row],[Nº Orden]],Cocina!F:F*Cocina!G:G,0))</f>
        <v>204</v>
      </c>
      <c r="AZ680" cm="1">
        <f t="array" ref="AZ680">SUM(IF(Cocina!A:A=Tabla5[[#This Row],[Nº Orden]],Cocina!E:E*Cocina!G:G,0))</f>
        <v>120</v>
      </c>
      <c r="BB680" t="str">
        <f>MID(Tabla4[[#This Row],[Cliente]], SEARCH("_", Tabla4[[#This Row],[Cliente]]) + 1, LEN(Tabla4[[#This Row],[Cliente]]) - SEARCH("_",Tabla4[[#This Row],[Cliente]]))</f>
        <v>483</v>
      </c>
      <c r="BC680" t="str">
        <f>sala!B679</f>
        <v>Cliente_483</v>
      </c>
      <c r="BD680" s="1">
        <f>sala!D679</f>
        <v>45023.125694444447</v>
      </c>
      <c r="BE680" s="1">
        <f>sala!E679</f>
        <v>45023.223611111112</v>
      </c>
      <c r="BF680">
        <f>sala!K679</f>
        <v>678</v>
      </c>
      <c r="BG680">
        <f>sala!I679</f>
        <v>2676</v>
      </c>
      <c r="BH680" cm="1">
        <f t="array" ref="BH680">SUM(IF(Cocina!A:A=Tabla4[[#This Row],[Número de Orden]],Cocina!F:F*Cocina!G:G,0))</f>
        <v>204</v>
      </c>
      <c r="BI680" t="str">
        <f>sala!J679</f>
        <v>Ocupada</v>
      </c>
      <c r="BJ680" s="4" t="str">
        <f>IF(Tabla4[[#This Row],[Estado mesa]]="Ocupada","00:15","00:00")</f>
        <v>00:15</v>
      </c>
      <c r="BK680" cm="1">
        <f t="array" ref="BK680">SUM(IF(Cocina!A:A=Tabla4[[#This Row],[Número de Orden]],Cocina!H:H,0))</f>
        <v>121</v>
      </c>
    </row>
    <row r="681" spans="1:63" x14ac:dyDescent="0.3">
      <c r="A681" s="8" t="str">
        <f>MID(Tabla4[[#This Row],[Cliente]], SEARCH("_", Tabla4[[#This Row],[Cliente]]) + 1, LEN(Tabla4[[#This Row],[Cliente]]) - SEARCH("_",Tabla4[[#This Row],[Cliente]]))</f>
        <v>26</v>
      </c>
      <c r="B681">
        <f>sala!K680</f>
        <v>679</v>
      </c>
      <c r="C681">
        <f>Tabla4[[#This Row],[Propina]]+Tabla4[[#This Row],[Precio Cena]]</f>
        <v>3842</v>
      </c>
      <c r="D681" s="3">
        <f>INT(sala!E680)</f>
        <v>45023</v>
      </c>
      <c r="E681" s="4">
        <f>MOD( sala!D680,1)</f>
        <v>1.3888888861401938E-3</v>
      </c>
      <c r="F681" s="4">
        <f>MOD( sala!E680,1)</f>
        <v>0.12708333333284827</v>
      </c>
      <c r="G681" s="4">
        <f>Tabla5[[#This Row],[Hora de Salida]]-Tabla5[[#This Row],[Hora de Llegada]]+Tabla4[[#This Row],[Tiempo Extra]]</f>
        <v>0.13611111111337473</v>
      </c>
      <c r="H681" s="5" t="str">
        <f>TEXT(Tabla4[[#This Row],[Preparación en horas]]/1440, "h:mm")</f>
        <v>1:46</v>
      </c>
      <c r="I681" s="4">
        <f>IF(Tabla5[[#This Row],[Tiempo Permanencia]]-Tabla5[[#This Row],[Tiempo de Preparación ]]&gt;=0,Tabla5[[#This Row],[Tiempo Permanencia]]-Tabla5[[#This Row],[Tiempo de Preparación ]],0)</f>
        <v>6.250000000226362E-2</v>
      </c>
      <c r="J681" s="5" t="str">
        <f>IF(Tabla5[[#This Row],[Tiempo de Degustación]]=0,"No Cobrada","Cobrada")</f>
        <v>Cobrada</v>
      </c>
      <c r="K681" s="5" cm="1">
        <f t="array" ref="K681">SUM(IF(Tabla5[[#This Row],[Orden Cobrada]]="Cobrada",IF(Cocina!A:A=Tabla5[[#This Row],[Nº Orden]],Cocina!F:F*Cocina!G:G,0),-Tabla6[[#This Row],[Precio Cena]]))</f>
        <v>199</v>
      </c>
      <c r="L681" s="5">
        <f>IF(Tabla5[[#This Row],[Orden Cobrada]]="Cobrada",Tabla5[[#This Row],[Ganancia Bruta]]-Tabla6[[#This Row],[Coste Cena]],-Tabla6[[#This Row],[Precio Cena]]+Tabla6[[#This Row],[Coste Cena]])</f>
        <v>81</v>
      </c>
      <c r="M681" s="10">
        <f>IF(Tabla5[[#This Row],[Orden Cobrada]]="Cobrada",((Tabla5[[#This Row],[Ganancia Neta]]/Tabla5[[#This Row],[Ganancia Bruta]])*100)/100,-((Tabla5[[#This Row],[Ganancia Neta]]/Tabla5[[#This Row],[Ganancia Bruta]]*100)/100))</f>
        <v>0.40703517587939703</v>
      </c>
      <c r="N681" s="5" t="str">
        <f>sala!F680</f>
        <v>Mesero_2</v>
      </c>
      <c r="AY681" cm="1">
        <f t="array" ref="AY681">SUM(IF(Cocina!A:A=Tabla5[[#This Row],[Nº Orden]],Cocina!F:F*Cocina!G:G,0))</f>
        <v>199</v>
      </c>
      <c r="AZ681" cm="1">
        <f t="array" ref="AZ681">SUM(IF(Cocina!A:A=Tabla5[[#This Row],[Nº Orden]],Cocina!E:E*Cocina!G:G,0))</f>
        <v>118</v>
      </c>
      <c r="BB681" t="str">
        <f>MID(Tabla4[[#This Row],[Cliente]], SEARCH("_", Tabla4[[#This Row],[Cliente]]) + 1, LEN(Tabla4[[#This Row],[Cliente]]) - SEARCH("_",Tabla4[[#This Row],[Cliente]]))</f>
        <v>26</v>
      </c>
      <c r="BC681" t="str">
        <f>sala!B680</f>
        <v>Cliente_26</v>
      </c>
      <c r="BD681" s="1">
        <f>sala!D680</f>
        <v>45023.001388888886</v>
      </c>
      <c r="BE681" s="1">
        <f>sala!E680</f>
        <v>45023.127083333333</v>
      </c>
      <c r="BF681">
        <f>sala!K680</f>
        <v>679</v>
      </c>
      <c r="BG681">
        <f>sala!I680</f>
        <v>3643</v>
      </c>
      <c r="BH681" cm="1">
        <f t="array" ref="BH681">SUM(IF(Cocina!A:A=Tabla4[[#This Row],[Número de Orden]],Cocina!F:F*Cocina!G:G,0))</f>
        <v>199</v>
      </c>
      <c r="BI681" t="str">
        <f>sala!J680</f>
        <v>Ocupada</v>
      </c>
      <c r="BJ681" s="4" t="str">
        <f>IF(Tabla4[[#This Row],[Estado mesa]]="Ocupada","00:15","00:00")</f>
        <v>00:15</v>
      </c>
      <c r="BK681" cm="1">
        <f t="array" ref="BK681">SUM(IF(Cocina!A:A=Tabla4[[#This Row],[Número de Orden]],Cocina!H:H,0))</f>
        <v>106</v>
      </c>
    </row>
    <row r="682" spans="1:63" x14ac:dyDescent="0.3">
      <c r="A682" s="8" t="str">
        <f>MID(Tabla4[[#This Row],[Cliente]], SEARCH("_", Tabla4[[#This Row],[Cliente]]) + 1, LEN(Tabla4[[#This Row],[Cliente]]) - SEARCH("_",Tabla4[[#This Row],[Cliente]]))</f>
        <v>35</v>
      </c>
      <c r="B682">
        <f>sala!K681</f>
        <v>680</v>
      </c>
      <c r="C682">
        <f>Tabla4[[#This Row],[Propina]]+Tabla4[[#This Row],[Precio Cena]]</f>
        <v>1368</v>
      </c>
      <c r="D682" s="3">
        <f>INT(sala!E681)</f>
        <v>45023</v>
      </c>
      <c r="E682" s="4">
        <f>MOD( sala!D681,1)</f>
        <v>5.7638888887595385E-2</v>
      </c>
      <c r="F682" s="4">
        <f>MOD( sala!E681,1)</f>
        <v>0.22222222221898846</v>
      </c>
      <c r="G682" s="4">
        <f>Tabla5[[#This Row],[Hora de Salida]]-Tabla5[[#This Row],[Hora de Llegada]]+Tabla4[[#This Row],[Tiempo Extra]]</f>
        <v>0.16458333333139308</v>
      </c>
      <c r="H682" s="5" t="str">
        <f>TEXT(Tabla4[[#This Row],[Preparación en horas]]/1440, "h:mm")</f>
        <v>1:51</v>
      </c>
      <c r="I682" s="4">
        <f>IF(Tabla5[[#This Row],[Tiempo Permanencia]]-Tabla5[[#This Row],[Tiempo de Preparación ]]&gt;=0,Tabla5[[#This Row],[Tiempo Permanencia]]-Tabla5[[#This Row],[Tiempo de Preparación ]],0)</f>
        <v>8.7499999998059741E-2</v>
      </c>
      <c r="J682" s="5" t="str">
        <f>IF(Tabla5[[#This Row],[Tiempo de Degustación]]=0,"No Cobrada","Cobrada")</f>
        <v>Cobrada</v>
      </c>
      <c r="K682" s="5" cm="1">
        <f t="array" ref="K682">SUM(IF(Tabla5[[#This Row],[Orden Cobrada]]="Cobrada",IF(Cocina!A:A=Tabla5[[#This Row],[Nº Orden]],Cocina!F:F*Cocina!G:G,0),-Tabla6[[#This Row],[Precio Cena]]))</f>
        <v>162</v>
      </c>
      <c r="L682" s="5">
        <f>IF(Tabla5[[#This Row],[Orden Cobrada]]="Cobrada",Tabla5[[#This Row],[Ganancia Bruta]]-Tabla6[[#This Row],[Coste Cena]],-Tabla6[[#This Row],[Precio Cena]]+Tabla6[[#This Row],[Coste Cena]])</f>
        <v>66</v>
      </c>
      <c r="M682" s="10">
        <f>IF(Tabla5[[#This Row],[Orden Cobrada]]="Cobrada",((Tabla5[[#This Row],[Ganancia Neta]]/Tabla5[[#This Row],[Ganancia Bruta]])*100)/100,-((Tabla5[[#This Row],[Ganancia Neta]]/Tabla5[[#This Row],[Ganancia Bruta]]*100)/100))</f>
        <v>0.40740740740740738</v>
      </c>
      <c r="N682" s="5" t="str">
        <f>sala!F681</f>
        <v>Mesero_3</v>
      </c>
      <c r="AY682" cm="1">
        <f t="array" ref="AY682">SUM(IF(Cocina!A:A=Tabla5[[#This Row],[Nº Orden]],Cocina!F:F*Cocina!G:G,0))</f>
        <v>162</v>
      </c>
      <c r="AZ682" cm="1">
        <f t="array" ref="AZ682">SUM(IF(Cocina!A:A=Tabla5[[#This Row],[Nº Orden]],Cocina!E:E*Cocina!G:G,0))</f>
        <v>96</v>
      </c>
      <c r="BB682" t="str">
        <f>MID(Tabla4[[#This Row],[Cliente]], SEARCH("_", Tabla4[[#This Row],[Cliente]]) + 1, LEN(Tabla4[[#This Row],[Cliente]]) - SEARCH("_",Tabla4[[#This Row],[Cliente]]))</f>
        <v>35</v>
      </c>
      <c r="BC682" t="str">
        <f>sala!B681</f>
        <v>Cliente_35</v>
      </c>
      <c r="BD682" s="1">
        <f>sala!D681</f>
        <v>45023.057638888888</v>
      </c>
      <c r="BE682" s="1">
        <f>sala!E681</f>
        <v>45023.222222222219</v>
      </c>
      <c r="BF682">
        <f>sala!K681</f>
        <v>680</v>
      </c>
      <c r="BG682">
        <f>sala!I681</f>
        <v>1206</v>
      </c>
      <c r="BH682" cm="1">
        <f t="array" ref="BH682">SUM(IF(Cocina!A:A=Tabla4[[#This Row],[Número de Orden]],Cocina!F:F*Cocina!G:G,0))</f>
        <v>162</v>
      </c>
      <c r="BI682" t="str">
        <f>sala!J681</f>
        <v>Reservada</v>
      </c>
      <c r="BJ682" s="4" t="str">
        <f>IF(Tabla4[[#This Row],[Estado mesa]]="Ocupada","00:15","00:00")</f>
        <v>00:00</v>
      </c>
      <c r="BK682" cm="1">
        <f t="array" ref="BK682">SUM(IF(Cocina!A:A=Tabla4[[#This Row],[Número de Orden]],Cocina!H:H,0))</f>
        <v>111</v>
      </c>
    </row>
    <row r="683" spans="1:63" x14ac:dyDescent="0.3">
      <c r="A683" s="8" t="str">
        <f>MID(Tabla4[[#This Row],[Cliente]], SEARCH("_", Tabla4[[#This Row],[Cliente]]) + 1, LEN(Tabla4[[#This Row],[Cliente]]) - SEARCH("_",Tabla4[[#This Row],[Cliente]]))</f>
        <v>840</v>
      </c>
      <c r="B683">
        <f>sala!K682</f>
        <v>681</v>
      </c>
      <c r="C683">
        <f>Tabla4[[#This Row],[Propina]]+Tabla4[[#This Row],[Precio Cena]]</f>
        <v>3782</v>
      </c>
      <c r="D683" s="3">
        <f>INT(sala!E682)</f>
        <v>45023</v>
      </c>
      <c r="E683" s="4">
        <f>MOD( sala!D682,1)</f>
        <v>0.12222222222044365</v>
      </c>
      <c r="F683" s="4">
        <f>MOD( sala!E682,1)</f>
        <v>0.28472222221898846</v>
      </c>
      <c r="G683" s="4">
        <f>Tabla5[[#This Row],[Hora de Salida]]-Tabla5[[#This Row],[Hora de Llegada]]+Tabla4[[#This Row],[Tiempo Extra]]</f>
        <v>0.16249999999854481</v>
      </c>
      <c r="H683" s="5" t="str">
        <f>TEXT(Tabla4[[#This Row],[Preparación en horas]]/1440, "h:mm")</f>
        <v>1:05</v>
      </c>
      <c r="I683" s="4">
        <f>IF(Tabla5[[#This Row],[Tiempo Permanencia]]-Tabla5[[#This Row],[Tiempo de Preparación ]]&gt;=0,Tabla5[[#This Row],[Tiempo Permanencia]]-Tabla5[[#This Row],[Tiempo de Preparación ]],0)</f>
        <v>0.11736111110965591</v>
      </c>
      <c r="J683" s="5" t="str">
        <f>IF(Tabla5[[#This Row],[Tiempo de Degustación]]=0,"No Cobrada","Cobrada")</f>
        <v>Cobrada</v>
      </c>
      <c r="K683" s="5" cm="1">
        <f t="array" ref="K683">SUM(IF(Tabla5[[#This Row],[Orden Cobrada]]="Cobrada",IF(Cocina!A:A=Tabla5[[#This Row],[Nº Orden]],Cocina!F:F*Cocina!G:G,0),-Tabla6[[#This Row],[Precio Cena]]))</f>
        <v>75</v>
      </c>
      <c r="L683" s="5">
        <f>IF(Tabla5[[#This Row],[Orden Cobrada]]="Cobrada",Tabla5[[#This Row],[Ganancia Bruta]]-Tabla6[[#This Row],[Coste Cena]],-Tabla6[[#This Row],[Precio Cena]]+Tabla6[[#This Row],[Coste Cena]])</f>
        <v>29</v>
      </c>
      <c r="M683" s="10">
        <f>IF(Tabla5[[#This Row],[Orden Cobrada]]="Cobrada",((Tabla5[[#This Row],[Ganancia Neta]]/Tabla5[[#This Row],[Ganancia Bruta]])*100)/100,-((Tabla5[[#This Row],[Ganancia Neta]]/Tabla5[[#This Row],[Ganancia Bruta]]*100)/100))</f>
        <v>0.38666666666666666</v>
      </c>
      <c r="N683" s="5" t="str">
        <f>sala!F682</f>
        <v>Mesero_4</v>
      </c>
      <c r="AY683" cm="1">
        <f t="array" ref="AY683">SUM(IF(Cocina!A:A=Tabla5[[#This Row],[Nº Orden]],Cocina!F:F*Cocina!G:G,0))</f>
        <v>75</v>
      </c>
      <c r="AZ683" cm="1">
        <f t="array" ref="AZ683">SUM(IF(Cocina!A:A=Tabla5[[#This Row],[Nº Orden]],Cocina!E:E*Cocina!G:G,0))</f>
        <v>46</v>
      </c>
      <c r="BB683" t="str">
        <f>MID(Tabla4[[#This Row],[Cliente]], SEARCH("_", Tabla4[[#This Row],[Cliente]]) + 1, LEN(Tabla4[[#This Row],[Cliente]]) - SEARCH("_",Tabla4[[#This Row],[Cliente]]))</f>
        <v>840</v>
      </c>
      <c r="BC683" t="str">
        <f>sala!B682</f>
        <v>Cliente_840</v>
      </c>
      <c r="BD683" s="1">
        <f>sala!D682</f>
        <v>45023.12222222222</v>
      </c>
      <c r="BE683" s="1">
        <f>sala!E682</f>
        <v>45023.284722222219</v>
      </c>
      <c r="BF683">
        <f>sala!K682</f>
        <v>681</v>
      </c>
      <c r="BG683">
        <f>sala!I682</f>
        <v>3707</v>
      </c>
      <c r="BH683" cm="1">
        <f t="array" ref="BH683">SUM(IF(Cocina!A:A=Tabla4[[#This Row],[Número de Orden]],Cocina!F:F*Cocina!G:G,0))</f>
        <v>75</v>
      </c>
      <c r="BI683" t="str">
        <f>sala!J682</f>
        <v>Libre</v>
      </c>
      <c r="BJ683" s="4" t="str">
        <f>IF(Tabla4[[#This Row],[Estado mesa]]="Ocupada","00:15","00:00")</f>
        <v>00:00</v>
      </c>
      <c r="BK683" cm="1">
        <f t="array" ref="BK683">SUM(IF(Cocina!A:A=Tabla4[[#This Row],[Número de Orden]],Cocina!H:H,0))</f>
        <v>65</v>
      </c>
    </row>
    <row r="684" spans="1:63" x14ac:dyDescent="0.3">
      <c r="A684" s="8" t="str">
        <f>MID(Tabla4[[#This Row],[Cliente]], SEARCH("_", Tabla4[[#This Row],[Cliente]]) + 1, LEN(Tabla4[[#This Row],[Cliente]]) - SEARCH("_",Tabla4[[#This Row],[Cliente]]))</f>
        <v>36</v>
      </c>
      <c r="B684">
        <f>sala!K683</f>
        <v>682</v>
      </c>
      <c r="C684">
        <f>Tabla4[[#This Row],[Propina]]+Tabla4[[#This Row],[Precio Cena]]</f>
        <v>2127</v>
      </c>
      <c r="D684" s="3">
        <f>INT(sala!E683)</f>
        <v>45023</v>
      </c>
      <c r="E684" s="4">
        <f>MOD( sala!D683,1)</f>
        <v>5.9722222220443655E-2</v>
      </c>
      <c r="F684" s="4">
        <f>MOD( sala!E683,1)</f>
        <v>0.17013888889050577</v>
      </c>
      <c r="G684" s="4">
        <f>Tabla5[[#This Row],[Hora de Salida]]-Tabla5[[#This Row],[Hora de Llegada]]+Tabla4[[#This Row],[Tiempo Extra]]</f>
        <v>0.12083333333672878</v>
      </c>
      <c r="H684" s="5" t="str">
        <f>TEXT(Tabla4[[#This Row],[Preparación en horas]]/1440, "h:mm")</f>
        <v>0:43</v>
      </c>
      <c r="I684" s="4">
        <f>IF(Tabla5[[#This Row],[Tiempo Permanencia]]-Tabla5[[#This Row],[Tiempo de Preparación ]]&gt;=0,Tabla5[[#This Row],[Tiempo Permanencia]]-Tabla5[[#This Row],[Tiempo de Preparación ]],0)</f>
        <v>9.0972222225617669E-2</v>
      </c>
      <c r="J684" s="5" t="str">
        <f>IF(Tabla5[[#This Row],[Tiempo de Degustación]]=0,"No Cobrada","Cobrada")</f>
        <v>Cobrada</v>
      </c>
      <c r="K684" s="5" cm="1">
        <f t="array" ref="K684">SUM(IF(Tabla5[[#This Row],[Orden Cobrada]]="Cobrada",IF(Cocina!A:A=Tabla5[[#This Row],[Nº Orden]],Cocina!F:F*Cocina!G:G,0),-Tabla6[[#This Row],[Precio Cena]]))</f>
        <v>23</v>
      </c>
      <c r="L684" s="5">
        <f>IF(Tabla5[[#This Row],[Orden Cobrada]]="Cobrada",Tabla5[[#This Row],[Ganancia Bruta]]-Tabla6[[#This Row],[Coste Cena]],-Tabla6[[#This Row],[Precio Cena]]+Tabla6[[#This Row],[Coste Cena]])</f>
        <v>9</v>
      </c>
      <c r="M684" s="10">
        <f>IF(Tabla5[[#This Row],[Orden Cobrada]]="Cobrada",((Tabla5[[#This Row],[Ganancia Neta]]/Tabla5[[#This Row],[Ganancia Bruta]])*100)/100,-((Tabla5[[#This Row],[Ganancia Neta]]/Tabla5[[#This Row],[Ganancia Bruta]]*100)/100))</f>
        <v>0.39130434782608697</v>
      </c>
      <c r="N684" s="5" t="str">
        <f>sala!F683</f>
        <v>Mesero_5</v>
      </c>
      <c r="AY684" cm="1">
        <f t="array" ref="AY684">SUM(IF(Cocina!A:A=Tabla5[[#This Row],[Nº Orden]],Cocina!F:F*Cocina!G:G,0))</f>
        <v>23</v>
      </c>
      <c r="AZ684" cm="1">
        <f t="array" ref="AZ684">SUM(IF(Cocina!A:A=Tabla5[[#This Row],[Nº Orden]],Cocina!E:E*Cocina!G:G,0))</f>
        <v>14</v>
      </c>
      <c r="BB684" t="str">
        <f>MID(Tabla4[[#This Row],[Cliente]], SEARCH("_", Tabla4[[#This Row],[Cliente]]) + 1, LEN(Tabla4[[#This Row],[Cliente]]) - SEARCH("_",Tabla4[[#This Row],[Cliente]]))</f>
        <v>36</v>
      </c>
      <c r="BC684" t="str">
        <f>sala!B683</f>
        <v>Cliente_36</v>
      </c>
      <c r="BD684" s="1">
        <f>sala!D683</f>
        <v>45023.05972222222</v>
      </c>
      <c r="BE684" s="1">
        <f>sala!E683</f>
        <v>45023.170138888891</v>
      </c>
      <c r="BF684">
        <f>sala!K683</f>
        <v>682</v>
      </c>
      <c r="BG684">
        <f>sala!I683</f>
        <v>2104</v>
      </c>
      <c r="BH684" cm="1">
        <f t="array" ref="BH684">SUM(IF(Cocina!A:A=Tabla4[[#This Row],[Número de Orden]],Cocina!F:F*Cocina!G:G,0))</f>
        <v>23</v>
      </c>
      <c r="BI684" t="str">
        <f>sala!J683</f>
        <v>Ocupada</v>
      </c>
      <c r="BJ684" s="4" t="str">
        <f>IF(Tabla4[[#This Row],[Estado mesa]]="Ocupada","00:15","00:00")</f>
        <v>00:15</v>
      </c>
      <c r="BK684" cm="1">
        <f t="array" ref="BK684">SUM(IF(Cocina!A:A=Tabla4[[#This Row],[Número de Orden]],Cocina!H:H,0))</f>
        <v>43</v>
      </c>
    </row>
    <row r="685" spans="1:63" x14ac:dyDescent="0.3">
      <c r="A685" s="8" t="str">
        <f>MID(Tabla4[[#This Row],[Cliente]], SEARCH("_", Tabla4[[#This Row],[Cliente]]) + 1, LEN(Tabla4[[#This Row],[Cliente]]) - SEARCH("_",Tabla4[[#This Row],[Cliente]]))</f>
        <v>837</v>
      </c>
      <c r="B685">
        <f>sala!K684</f>
        <v>683</v>
      </c>
      <c r="C685">
        <f>Tabla4[[#This Row],[Propina]]+Tabla4[[#This Row],[Precio Cena]]</f>
        <v>4206</v>
      </c>
      <c r="D685" s="3">
        <f>INT(sala!E684)</f>
        <v>45023</v>
      </c>
      <c r="E685" s="4">
        <f>MOD( sala!D684,1)</f>
        <v>0.16388888889196096</v>
      </c>
      <c r="F685" s="4">
        <f>MOD( sala!E684,1)</f>
        <v>0.26527777777664596</v>
      </c>
      <c r="G685" s="4">
        <f>Tabla5[[#This Row],[Hora de Salida]]-Tabla5[[#This Row],[Hora de Llegada]]+Tabla4[[#This Row],[Tiempo Extra]]</f>
        <v>0.11180555555135167</v>
      </c>
      <c r="H685" s="5" t="str">
        <f>TEXT(Tabla4[[#This Row],[Preparación en horas]]/1440, "h:mm")</f>
        <v>1:22</v>
      </c>
      <c r="I685" s="4">
        <f>IF(Tabla5[[#This Row],[Tiempo Permanencia]]-Tabla5[[#This Row],[Tiempo de Preparación ]]&gt;=0,Tabla5[[#This Row],[Tiempo Permanencia]]-Tabla5[[#This Row],[Tiempo de Preparación ]],0)</f>
        <v>5.486111110690723E-2</v>
      </c>
      <c r="J685" s="5" t="str">
        <f>IF(Tabla5[[#This Row],[Tiempo de Degustación]]=0,"No Cobrada","Cobrada")</f>
        <v>Cobrada</v>
      </c>
      <c r="K685" s="5" cm="1">
        <f t="array" ref="K685">SUM(IF(Tabla5[[#This Row],[Orden Cobrada]]="Cobrada",IF(Cocina!A:A=Tabla5[[#This Row],[Nº Orden]],Cocina!F:F*Cocina!G:G,0),-Tabla6[[#This Row],[Precio Cena]]))</f>
        <v>164</v>
      </c>
      <c r="L685" s="5">
        <f>IF(Tabla5[[#This Row],[Orden Cobrada]]="Cobrada",Tabla5[[#This Row],[Ganancia Bruta]]-Tabla6[[#This Row],[Coste Cena]],-Tabla6[[#This Row],[Precio Cena]]+Tabla6[[#This Row],[Coste Cena]])</f>
        <v>64</v>
      </c>
      <c r="M685" s="10">
        <f>IF(Tabla5[[#This Row],[Orden Cobrada]]="Cobrada",((Tabla5[[#This Row],[Ganancia Neta]]/Tabla5[[#This Row],[Ganancia Bruta]])*100)/100,-((Tabla5[[#This Row],[Ganancia Neta]]/Tabla5[[#This Row],[Ganancia Bruta]]*100)/100))</f>
        <v>0.3902439024390244</v>
      </c>
      <c r="N685" s="5" t="str">
        <f>sala!F684</f>
        <v>Mesero_5</v>
      </c>
      <c r="AY685" cm="1">
        <f t="array" ref="AY685">SUM(IF(Cocina!A:A=Tabla5[[#This Row],[Nº Orden]],Cocina!F:F*Cocina!G:G,0))</f>
        <v>164</v>
      </c>
      <c r="AZ685" cm="1">
        <f t="array" ref="AZ685">SUM(IF(Cocina!A:A=Tabla5[[#This Row],[Nº Orden]],Cocina!E:E*Cocina!G:G,0))</f>
        <v>100</v>
      </c>
      <c r="BB685" t="str">
        <f>MID(Tabla4[[#This Row],[Cliente]], SEARCH("_", Tabla4[[#This Row],[Cliente]]) + 1, LEN(Tabla4[[#This Row],[Cliente]]) - SEARCH("_",Tabla4[[#This Row],[Cliente]]))</f>
        <v>837</v>
      </c>
      <c r="BC685" t="str">
        <f>sala!B684</f>
        <v>Cliente_837</v>
      </c>
      <c r="BD685" s="1">
        <f>sala!D684</f>
        <v>45023.163888888892</v>
      </c>
      <c r="BE685" s="1">
        <f>sala!E684</f>
        <v>45023.265277777777</v>
      </c>
      <c r="BF685">
        <f>sala!K684</f>
        <v>683</v>
      </c>
      <c r="BG685">
        <f>sala!I684</f>
        <v>4042</v>
      </c>
      <c r="BH685" cm="1">
        <f t="array" ref="BH685">SUM(IF(Cocina!A:A=Tabla4[[#This Row],[Número de Orden]],Cocina!F:F*Cocina!G:G,0))</f>
        <v>164</v>
      </c>
      <c r="BI685" t="str">
        <f>sala!J684</f>
        <v>Ocupada</v>
      </c>
      <c r="BJ685" s="4" t="str">
        <f>IF(Tabla4[[#This Row],[Estado mesa]]="Ocupada","00:15","00:00")</f>
        <v>00:15</v>
      </c>
      <c r="BK685" cm="1">
        <f t="array" ref="BK685">SUM(IF(Cocina!A:A=Tabla4[[#This Row],[Número de Orden]],Cocina!H:H,0))</f>
        <v>82</v>
      </c>
    </row>
    <row r="686" spans="1:63" x14ac:dyDescent="0.3">
      <c r="A686" s="8" t="str">
        <f>MID(Tabla4[[#This Row],[Cliente]], SEARCH("_", Tabla4[[#This Row],[Cliente]]) + 1, LEN(Tabla4[[#This Row],[Cliente]]) - SEARCH("_",Tabla4[[#This Row],[Cliente]]))</f>
        <v>514</v>
      </c>
      <c r="B686">
        <f>sala!K685</f>
        <v>684</v>
      </c>
      <c r="C686">
        <f>Tabla4[[#This Row],[Propina]]+Tabla4[[#This Row],[Precio Cena]]</f>
        <v>4995</v>
      </c>
      <c r="D686" s="3">
        <f>INT(sala!E685)</f>
        <v>45023</v>
      </c>
      <c r="E686" s="4">
        <f>MOD( sala!D685,1)</f>
        <v>0.14513888888905058</v>
      </c>
      <c r="F686" s="4">
        <f>MOD( sala!E685,1)</f>
        <v>0.19444444444525288</v>
      </c>
      <c r="G686" s="4">
        <f>Tabla5[[#This Row],[Hora de Salida]]-Tabla5[[#This Row],[Hora de Llegada]]+Tabla4[[#This Row],[Tiempo Extra]]</f>
        <v>5.9722222222868972E-2</v>
      </c>
      <c r="H686" s="5" t="str">
        <f>TEXT(Tabla4[[#This Row],[Preparación en horas]]/1440, "h:mm")</f>
        <v>1:50</v>
      </c>
      <c r="I686" s="4">
        <f>IF(Tabla5[[#This Row],[Tiempo Permanencia]]-Tabla5[[#This Row],[Tiempo de Preparación ]]&gt;=0,Tabla5[[#This Row],[Tiempo Permanencia]]-Tabla5[[#This Row],[Tiempo de Preparación ]],0)</f>
        <v>0</v>
      </c>
      <c r="J686" s="5" t="str">
        <f>IF(Tabla5[[#This Row],[Tiempo de Degustación]]=0,"No Cobrada","Cobrada")</f>
        <v>No Cobrada</v>
      </c>
      <c r="K686" s="5" cm="1">
        <f t="array" ref="K686">SUM(IF(Tabla5[[#This Row],[Orden Cobrada]]="Cobrada",IF(Cocina!A:A=Tabla5[[#This Row],[Nº Orden]],Cocina!F:F*Cocina!G:G,0),-Tabla6[[#This Row],[Precio Cena]]))</f>
        <v>-180</v>
      </c>
      <c r="L686" s="5">
        <f>IF(Tabla5[[#This Row],[Orden Cobrada]]="Cobrada",Tabla5[[#This Row],[Ganancia Bruta]]-Tabla6[[#This Row],[Coste Cena]],-Tabla6[[#This Row],[Precio Cena]]+Tabla6[[#This Row],[Coste Cena]])</f>
        <v>-73</v>
      </c>
      <c r="M686" s="10">
        <f>IF(Tabla5[[#This Row],[Orden Cobrada]]="Cobrada",((Tabla5[[#This Row],[Ganancia Neta]]/Tabla5[[#This Row],[Ganancia Bruta]])*100)/100,-((Tabla5[[#This Row],[Ganancia Neta]]/Tabla5[[#This Row],[Ganancia Bruta]]*100)/100))</f>
        <v>-0.40555555555555556</v>
      </c>
      <c r="N686" s="5" t="str">
        <f>sala!F685</f>
        <v>Mesero_4</v>
      </c>
      <c r="AY686" cm="1">
        <f t="array" ref="AY686">SUM(IF(Cocina!A:A=Tabla5[[#This Row],[Nº Orden]],Cocina!F:F*Cocina!G:G,0))</f>
        <v>180</v>
      </c>
      <c r="AZ686" cm="1">
        <f t="array" ref="AZ686">SUM(IF(Cocina!A:A=Tabla5[[#This Row],[Nº Orden]],Cocina!E:E*Cocina!G:G,0))</f>
        <v>107</v>
      </c>
      <c r="BB686" t="str">
        <f>MID(Tabla4[[#This Row],[Cliente]], SEARCH("_", Tabla4[[#This Row],[Cliente]]) + 1, LEN(Tabla4[[#This Row],[Cliente]]) - SEARCH("_",Tabla4[[#This Row],[Cliente]]))</f>
        <v>514</v>
      </c>
      <c r="BC686" t="str">
        <f>sala!B685</f>
        <v>Cliente_514</v>
      </c>
      <c r="BD686" s="1">
        <f>sala!D685</f>
        <v>45023.145138888889</v>
      </c>
      <c r="BE686" s="1">
        <f>sala!E685</f>
        <v>45023.194444444445</v>
      </c>
      <c r="BF686">
        <f>sala!K685</f>
        <v>684</v>
      </c>
      <c r="BG686">
        <f>sala!I685</f>
        <v>4815</v>
      </c>
      <c r="BH686" cm="1">
        <f t="array" ref="BH686">SUM(IF(Cocina!A:A=Tabla4[[#This Row],[Número de Orden]],Cocina!F:F*Cocina!G:G,0))</f>
        <v>180</v>
      </c>
      <c r="BI686" t="str">
        <f>sala!J685</f>
        <v>Ocupada</v>
      </c>
      <c r="BJ686" s="4" t="str">
        <f>IF(Tabla4[[#This Row],[Estado mesa]]="Ocupada","00:15","00:00")</f>
        <v>00:15</v>
      </c>
      <c r="BK686" cm="1">
        <f t="array" ref="BK686">SUM(IF(Cocina!A:A=Tabla4[[#This Row],[Número de Orden]],Cocina!H:H,0))</f>
        <v>110</v>
      </c>
    </row>
    <row r="687" spans="1:63" x14ac:dyDescent="0.3">
      <c r="A687" s="8" t="str">
        <f>MID(Tabla4[[#This Row],[Cliente]], SEARCH("_", Tabla4[[#This Row],[Cliente]]) + 1, LEN(Tabla4[[#This Row],[Cliente]]) - SEARCH("_",Tabla4[[#This Row],[Cliente]]))</f>
        <v>485</v>
      </c>
      <c r="B687">
        <f>sala!K686</f>
        <v>685</v>
      </c>
      <c r="C687">
        <f>Tabla4[[#This Row],[Propina]]+Tabla4[[#This Row],[Precio Cena]]</f>
        <v>2043</v>
      </c>
      <c r="D687" s="3">
        <f>INT(sala!E686)</f>
        <v>45023</v>
      </c>
      <c r="E687" s="4">
        <f>MOD( sala!D686,1)</f>
        <v>1.9444444442342501E-2</v>
      </c>
      <c r="F687" s="4">
        <f>MOD( sala!E686,1)</f>
        <v>7.1527777778101154E-2</v>
      </c>
      <c r="G687" s="4">
        <f>Tabla5[[#This Row],[Hora de Salida]]-Tabla5[[#This Row],[Hora de Llegada]]+Tabla4[[#This Row],[Tiempo Extra]]</f>
        <v>5.2083333335758653E-2</v>
      </c>
      <c r="H687" s="5" t="str">
        <f>TEXT(Tabla4[[#This Row],[Preparación en horas]]/1440, "h:mm")</f>
        <v>0:17</v>
      </c>
      <c r="I687" s="4">
        <f>IF(Tabla5[[#This Row],[Tiempo Permanencia]]-Tabla5[[#This Row],[Tiempo de Preparación ]]&gt;=0,Tabla5[[#This Row],[Tiempo Permanencia]]-Tabla5[[#This Row],[Tiempo de Preparación ]],0)</f>
        <v>4.0277777780203097E-2</v>
      </c>
      <c r="J687" s="5" t="str">
        <f>IF(Tabla5[[#This Row],[Tiempo de Degustación]]=0,"No Cobrada","Cobrada")</f>
        <v>Cobrada</v>
      </c>
      <c r="K687" s="5" cm="1">
        <f t="array" ref="K687">SUM(IF(Tabla5[[#This Row],[Orden Cobrada]]="Cobrada",IF(Cocina!A:A=Tabla5[[#This Row],[Nº Orden]],Cocina!F:F*Cocina!G:G,0),-Tabla6[[#This Row],[Precio Cena]]))</f>
        <v>54</v>
      </c>
      <c r="L687" s="5">
        <f>IF(Tabla5[[#This Row],[Orden Cobrada]]="Cobrada",Tabla5[[#This Row],[Ganancia Bruta]]-Tabla6[[#This Row],[Coste Cena]],-Tabla6[[#This Row],[Precio Cena]]+Tabla6[[#This Row],[Coste Cena]])</f>
        <v>22</v>
      </c>
      <c r="M687" s="10">
        <f>IF(Tabla5[[#This Row],[Orden Cobrada]]="Cobrada",((Tabla5[[#This Row],[Ganancia Neta]]/Tabla5[[#This Row],[Ganancia Bruta]])*100)/100,-((Tabla5[[#This Row],[Ganancia Neta]]/Tabla5[[#This Row],[Ganancia Bruta]]*100)/100))</f>
        <v>0.40740740740740738</v>
      </c>
      <c r="N687" s="5" t="str">
        <f>sala!F686</f>
        <v>Mesero_2</v>
      </c>
      <c r="AY687" cm="1">
        <f t="array" ref="AY687">SUM(IF(Cocina!A:A=Tabla5[[#This Row],[Nº Orden]],Cocina!F:F*Cocina!G:G,0))</f>
        <v>54</v>
      </c>
      <c r="AZ687" cm="1">
        <f t="array" ref="AZ687">SUM(IF(Cocina!A:A=Tabla5[[#This Row],[Nº Orden]],Cocina!E:E*Cocina!G:G,0))</f>
        <v>32</v>
      </c>
      <c r="BB687" t="str">
        <f>MID(Tabla4[[#This Row],[Cliente]], SEARCH("_", Tabla4[[#This Row],[Cliente]]) + 1, LEN(Tabla4[[#This Row],[Cliente]]) - SEARCH("_",Tabla4[[#This Row],[Cliente]]))</f>
        <v>485</v>
      </c>
      <c r="BC687" t="str">
        <f>sala!B686</f>
        <v>Cliente_485</v>
      </c>
      <c r="BD687" s="1">
        <f>sala!D686</f>
        <v>45023.019444444442</v>
      </c>
      <c r="BE687" s="1">
        <f>sala!E686</f>
        <v>45023.071527777778</v>
      </c>
      <c r="BF687">
        <f>sala!K686</f>
        <v>685</v>
      </c>
      <c r="BG687">
        <f>sala!I686</f>
        <v>1989</v>
      </c>
      <c r="BH687" cm="1">
        <f t="array" ref="BH687">SUM(IF(Cocina!A:A=Tabla4[[#This Row],[Número de Orden]],Cocina!F:F*Cocina!G:G,0))</f>
        <v>54</v>
      </c>
      <c r="BI687" t="str">
        <f>sala!J686</f>
        <v>Libre</v>
      </c>
      <c r="BJ687" s="4" t="str">
        <f>IF(Tabla4[[#This Row],[Estado mesa]]="Ocupada","00:15","00:00")</f>
        <v>00:00</v>
      </c>
      <c r="BK687" cm="1">
        <f t="array" ref="BK687">SUM(IF(Cocina!A:A=Tabla4[[#This Row],[Número de Orden]],Cocina!H:H,0))</f>
        <v>17</v>
      </c>
    </row>
    <row r="688" spans="1:63" x14ac:dyDescent="0.3">
      <c r="A688" s="8" t="str">
        <f>MID(Tabla4[[#This Row],[Cliente]], SEARCH("_", Tabla4[[#This Row],[Cliente]]) + 1, LEN(Tabla4[[#This Row],[Cliente]]) - SEARCH("_",Tabla4[[#This Row],[Cliente]]))</f>
        <v>832</v>
      </c>
      <c r="B688">
        <f>sala!K687</f>
        <v>686</v>
      </c>
      <c r="C688">
        <f>Tabla4[[#This Row],[Propina]]+Tabla4[[#This Row],[Precio Cena]]</f>
        <v>1685</v>
      </c>
      <c r="D688" s="3">
        <f>INT(sala!E687)</f>
        <v>45023</v>
      </c>
      <c r="E688" s="4">
        <f>MOD( sala!D687,1)</f>
        <v>5.0000000002910383E-2</v>
      </c>
      <c r="F688" s="4">
        <f>MOD( sala!E687,1)</f>
        <v>0.15208333333430346</v>
      </c>
      <c r="G688" s="4">
        <f>Tabla5[[#This Row],[Hora de Salida]]-Tabla5[[#This Row],[Hora de Llegada]]+Tabla4[[#This Row],[Tiempo Extra]]</f>
        <v>0.10208333333139308</v>
      </c>
      <c r="H688" s="5" t="str">
        <f>TEXT(Tabla4[[#This Row],[Preparación en horas]]/1440, "h:mm")</f>
        <v>0:58</v>
      </c>
      <c r="I688" s="4">
        <f>IF(Tabla5[[#This Row],[Tiempo Permanencia]]-Tabla5[[#This Row],[Tiempo de Preparación ]]&gt;=0,Tabla5[[#This Row],[Tiempo Permanencia]]-Tabla5[[#This Row],[Tiempo de Preparación ]],0)</f>
        <v>6.1805555553615298E-2</v>
      </c>
      <c r="J688" s="5" t="str">
        <f>IF(Tabla5[[#This Row],[Tiempo de Degustación]]=0,"No Cobrada","Cobrada")</f>
        <v>Cobrada</v>
      </c>
      <c r="K688" s="5" cm="1">
        <f t="array" ref="K688">SUM(IF(Tabla5[[#This Row],[Orden Cobrada]]="Cobrada",IF(Cocina!A:A=Tabla5[[#This Row],[Nº Orden]],Cocina!F:F*Cocina!G:G,0),-Tabla6[[#This Row],[Precio Cena]]))</f>
        <v>102</v>
      </c>
      <c r="L688" s="5">
        <f>IF(Tabla5[[#This Row],[Orden Cobrada]]="Cobrada",Tabla5[[#This Row],[Ganancia Bruta]]-Tabla6[[#This Row],[Coste Cena]],-Tabla6[[#This Row],[Precio Cena]]+Tabla6[[#This Row],[Coste Cena]])</f>
        <v>40</v>
      </c>
      <c r="M688" s="10">
        <f>IF(Tabla5[[#This Row],[Orden Cobrada]]="Cobrada",((Tabla5[[#This Row],[Ganancia Neta]]/Tabla5[[#This Row],[Ganancia Bruta]])*100)/100,-((Tabla5[[#This Row],[Ganancia Neta]]/Tabla5[[#This Row],[Ganancia Bruta]]*100)/100))</f>
        <v>0.39215686274509809</v>
      </c>
      <c r="N688" s="5" t="str">
        <f>sala!F687</f>
        <v>Mesero_1</v>
      </c>
      <c r="AY688" cm="1">
        <f t="array" ref="AY688">SUM(IF(Cocina!A:A=Tabla5[[#This Row],[Nº Orden]],Cocina!F:F*Cocina!G:G,0))</f>
        <v>102</v>
      </c>
      <c r="AZ688" cm="1">
        <f t="array" ref="AZ688">SUM(IF(Cocina!A:A=Tabla5[[#This Row],[Nº Orden]],Cocina!E:E*Cocina!G:G,0))</f>
        <v>62</v>
      </c>
      <c r="BB688" t="str">
        <f>MID(Tabla4[[#This Row],[Cliente]], SEARCH("_", Tabla4[[#This Row],[Cliente]]) + 1, LEN(Tabla4[[#This Row],[Cliente]]) - SEARCH("_",Tabla4[[#This Row],[Cliente]]))</f>
        <v>832</v>
      </c>
      <c r="BC688" t="str">
        <f>sala!B687</f>
        <v>Cliente_832</v>
      </c>
      <c r="BD688" s="1">
        <f>sala!D687</f>
        <v>45023.05</v>
      </c>
      <c r="BE688" s="1">
        <f>sala!E687</f>
        <v>45023.152083333334</v>
      </c>
      <c r="BF688">
        <f>sala!K687</f>
        <v>686</v>
      </c>
      <c r="BG688">
        <f>sala!I687</f>
        <v>1583</v>
      </c>
      <c r="BH688" cm="1">
        <f t="array" ref="BH688">SUM(IF(Cocina!A:A=Tabla4[[#This Row],[Número de Orden]],Cocina!F:F*Cocina!G:G,0))</f>
        <v>102</v>
      </c>
      <c r="BI688" t="str">
        <f>sala!J687</f>
        <v>Reservada</v>
      </c>
      <c r="BJ688" s="4" t="str">
        <f>IF(Tabla4[[#This Row],[Estado mesa]]="Ocupada","00:15","00:00")</f>
        <v>00:00</v>
      </c>
      <c r="BK688" cm="1">
        <f t="array" ref="BK688">SUM(IF(Cocina!A:A=Tabla4[[#This Row],[Número de Orden]],Cocina!H:H,0))</f>
        <v>58</v>
      </c>
    </row>
    <row r="689" spans="1:63" x14ac:dyDescent="0.3">
      <c r="A689" s="8" t="str">
        <f>MID(Tabla4[[#This Row],[Cliente]], SEARCH("_", Tabla4[[#This Row],[Cliente]]) + 1, LEN(Tabla4[[#This Row],[Cliente]]) - SEARCH("_",Tabla4[[#This Row],[Cliente]]))</f>
        <v>778</v>
      </c>
      <c r="B689">
        <f>sala!K688</f>
        <v>687</v>
      </c>
      <c r="C689">
        <f>Tabla4[[#This Row],[Propina]]+Tabla4[[#This Row],[Precio Cena]]</f>
        <v>1125</v>
      </c>
      <c r="D689" s="3">
        <f>INT(sala!E688)</f>
        <v>45023</v>
      </c>
      <c r="E689" s="4">
        <f>MOD( sala!D688,1)</f>
        <v>7.9166666670062114E-2</v>
      </c>
      <c r="F689" s="4">
        <f>MOD( sala!E688,1)</f>
        <v>0.23541666667006211</v>
      </c>
      <c r="G689" s="4">
        <f>Tabla5[[#This Row],[Hora de Salida]]-Tabla5[[#This Row],[Hora de Llegada]]+Tabla4[[#This Row],[Tiempo Extra]]</f>
        <v>0.15625</v>
      </c>
      <c r="H689" s="5" t="str">
        <f>TEXT(Tabla4[[#This Row],[Preparación en horas]]/1440, "h:mm")</f>
        <v>0:29</v>
      </c>
      <c r="I689" s="4">
        <f>IF(Tabla5[[#This Row],[Tiempo Permanencia]]-Tabla5[[#This Row],[Tiempo de Preparación ]]&gt;=0,Tabla5[[#This Row],[Tiempo Permanencia]]-Tabla5[[#This Row],[Tiempo de Preparación ]],0)</f>
        <v>0.1361111111111111</v>
      </c>
      <c r="J689" s="5" t="str">
        <f>IF(Tabla5[[#This Row],[Tiempo de Degustación]]=0,"No Cobrada","Cobrada")</f>
        <v>Cobrada</v>
      </c>
      <c r="K689" s="5" cm="1">
        <f t="array" ref="K689">SUM(IF(Tabla5[[#This Row],[Orden Cobrada]]="Cobrada",IF(Cocina!A:A=Tabla5[[#This Row],[Nº Orden]],Cocina!F:F*Cocina!G:G,0),-Tabla6[[#This Row],[Precio Cena]]))</f>
        <v>72</v>
      </c>
      <c r="L689" s="5">
        <f>IF(Tabla5[[#This Row],[Orden Cobrada]]="Cobrada",Tabla5[[#This Row],[Ganancia Bruta]]-Tabla6[[#This Row],[Coste Cena]],-Tabla6[[#This Row],[Precio Cena]]+Tabla6[[#This Row],[Coste Cena]])</f>
        <v>28</v>
      </c>
      <c r="M689" s="10">
        <f>IF(Tabla5[[#This Row],[Orden Cobrada]]="Cobrada",((Tabla5[[#This Row],[Ganancia Neta]]/Tabla5[[#This Row],[Ganancia Bruta]])*100)/100,-((Tabla5[[#This Row],[Ganancia Neta]]/Tabla5[[#This Row],[Ganancia Bruta]]*100)/100))</f>
        <v>0.38888888888888895</v>
      </c>
      <c r="N689" s="5" t="str">
        <f>sala!F688</f>
        <v>Mesero_4</v>
      </c>
      <c r="AY689" cm="1">
        <f t="array" ref="AY689">SUM(IF(Cocina!A:A=Tabla5[[#This Row],[Nº Orden]],Cocina!F:F*Cocina!G:G,0))</f>
        <v>72</v>
      </c>
      <c r="AZ689" cm="1">
        <f t="array" ref="AZ689">SUM(IF(Cocina!A:A=Tabla5[[#This Row],[Nº Orden]],Cocina!E:E*Cocina!G:G,0))</f>
        <v>44</v>
      </c>
      <c r="BB689" t="str">
        <f>MID(Tabla4[[#This Row],[Cliente]], SEARCH("_", Tabla4[[#This Row],[Cliente]]) + 1, LEN(Tabla4[[#This Row],[Cliente]]) - SEARCH("_",Tabla4[[#This Row],[Cliente]]))</f>
        <v>778</v>
      </c>
      <c r="BC689" t="str">
        <f>sala!B688</f>
        <v>Cliente_778</v>
      </c>
      <c r="BD689" s="1">
        <f>sala!D688</f>
        <v>45023.07916666667</v>
      </c>
      <c r="BE689" s="1">
        <f>sala!E688</f>
        <v>45023.23541666667</v>
      </c>
      <c r="BF689">
        <f>sala!K688</f>
        <v>687</v>
      </c>
      <c r="BG689">
        <f>sala!I688</f>
        <v>1053</v>
      </c>
      <c r="BH689" cm="1">
        <f t="array" ref="BH689">SUM(IF(Cocina!A:A=Tabla4[[#This Row],[Número de Orden]],Cocina!F:F*Cocina!G:G,0))</f>
        <v>72</v>
      </c>
      <c r="BI689" t="str">
        <f>sala!J688</f>
        <v>Libre</v>
      </c>
      <c r="BJ689" s="4" t="str">
        <f>IF(Tabla4[[#This Row],[Estado mesa]]="Ocupada","00:15","00:00")</f>
        <v>00:00</v>
      </c>
      <c r="BK689" cm="1">
        <f t="array" ref="BK689">SUM(IF(Cocina!A:A=Tabla4[[#This Row],[Número de Orden]],Cocina!H:H,0))</f>
        <v>29</v>
      </c>
    </row>
    <row r="690" spans="1:63" x14ac:dyDescent="0.3">
      <c r="A690" s="8" t="str">
        <f>MID(Tabla4[[#This Row],[Cliente]], SEARCH("_", Tabla4[[#This Row],[Cliente]]) + 1, LEN(Tabla4[[#This Row],[Cliente]]) - SEARCH("_",Tabla4[[#This Row],[Cliente]]))</f>
        <v>725</v>
      </c>
      <c r="B690">
        <f>sala!K689</f>
        <v>688</v>
      </c>
      <c r="C690">
        <f>Tabla4[[#This Row],[Propina]]+Tabla4[[#This Row],[Precio Cena]]</f>
        <v>516</v>
      </c>
      <c r="D690" s="3">
        <f>INT(sala!E689)</f>
        <v>45023</v>
      </c>
      <c r="E690" s="4">
        <f>MOD( sala!D689,1)</f>
        <v>0.14305555555620231</v>
      </c>
      <c r="F690" s="4">
        <f>MOD( sala!E689,1)</f>
        <v>0.21041666666860692</v>
      </c>
      <c r="G690" s="4">
        <f>Tabla5[[#This Row],[Hora de Salida]]-Tabla5[[#This Row],[Hora de Llegada]]+Tabla4[[#This Row],[Tiempo Extra]]</f>
        <v>7.7777777779071286E-2</v>
      </c>
      <c r="H690" s="5" t="str">
        <f>TEXT(Tabla4[[#This Row],[Preparación en horas]]/1440, "h:mm")</f>
        <v>0:14</v>
      </c>
      <c r="I690" s="4">
        <f>IF(Tabla5[[#This Row],[Tiempo Permanencia]]-Tabla5[[#This Row],[Tiempo de Preparación ]]&gt;=0,Tabla5[[#This Row],[Tiempo Permanencia]]-Tabla5[[#This Row],[Tiempo de Preparación ]],0)</f>
        <v>6.8055555556849057E-2</v>
      </c>
      <c r="J690" s="5" t="str">
        <f>IF(Tabla5[[#This Row],[Tiempo de Degustación]]=0,"No Cobrada","Cobrada")</f>
        <v>Cobrada</v>
      </c>
      <c r="K690" s="5" cm="1">
        <f t="array" ref="K690">SUM(IF(Tabla5[[#This Row],[Orden Cobrada]]="Cobrada",IF(Cocina!A:A=Tabla5[[#This Row],[Nº Orden]],Cocina!F:F*Cocina!G:G,0),-Tabla6[[#This Row],[Precio Cena]]))</f>
        <v>29</v>
      </c>
      <c r="L690" s="5">
        <f>IF(Tabla5[[#This Row],[Orden Cobrada]]="Cobrada",Tabla5[[#This Row],[Ganancia Bruta]]-Tabla6[[#This Row],[Coste Cena]],-Tabla6[[#This Row],[Precio Cena]]+Tabla6[[#This Row],[Coste Cena]])</f>
        <v>12</v>
      </c>
      <c r="M690" s="10">
        <f>IF(Tabla5[[#This Row],[Orden Cobrada]]="Cobrada",((Tabla5[[#This Row],[Ganancia Neta]]/Tabla5[[#This Row],[Ganancia Bruta]])*100)/100,-((Tabla5[[#This Row],[Ganancia Neta]]/Tabla5[[#This Row],[Ganancia Bruta]]*100)/100))</f>
        <v>0.41379310344827586</v>
      </c>
      <c r="N690" s="5" t="str">
        <f>sala!F689</f>
        <v>Mesero_1</v>
      </c>
      <c r="AY690" cm="1">
        <f t="array" ref="AY690">SUM(IF(Cocina!A:A=Tabla5[[#This Row],[Nº Orden]],Cocina!F:F*Cocina!G:G,0))</f>
        <v>29</v>
      </c>
      <c r="AZ690" cm="1">
        <f t="array" ref="AZ690">SUM(IF(Cocina!A:A=Tabla5[[#This Row],[Nº Orden]],Cocina!E:E*Cocina!G:G,0))</f>
        <v>17</v>
      </c>
      <c r="BB690" t="str">
        <f>MID(Tabla4[[#This Row],[Cliente]], SEARCH("_", Tabla4[[#This Row],[Cliente]]) + 1, LEN(Tabla4[[#This Row],[Cliente]]) - SEARCH("_",Tabla4[[#This Row],[Cliente]]))</f>
        <v>725</v>
      </c>
      <c r="BC690" t="str">
        <f>sala!B689</f>
        <v>Cliente_725</v>
      </c>
      <c r="BD690" s="1">
        <f>sala!D689</f>
        <v>45023.143055555556</v>
      </c>
      <c r="BE690" s="1">
        <f>sala!E689</f>
        <v>45023.210416666669</v>
      </c>
      <c r="BF690">
        <f>sala!K689</f>
        <v>688</v>
      </c>
      <c r="BG690">
        <f>sala!I689</f>
        <v>487</v>
      </c>
      <c r="BH690" cm="1">
        <f t="array" ref="BH690">SUM(IF(Cocina!A:A=Tabla4[[#This Row],[Número de Orden]],Cocina!F:F*Cocina!G:G,0))</f>
        <v>29</v>
      </c>
      <c r="BI690" t="str">
        <f>sala!J689</f>
        <v>Ocupada</v>
      </c>
      <c r="BJ690" s="4" t="str">
        <f>IF(Tabla4[[#This Row],[Estado mesa]]="Ocupada","00:15","00:00")</f>
        <v>00:15</v>
      </c>
      <c r="BK690" cm="1">
        <f t="array" ref="BK690">SUM(IF(Cocina!A:A=Tabla4[[#This Row],[Número de Orden]],Cocina!H:H,0))</f>
        <v>14</v>
      </c>
    </row>
    <row r="691" spans="1:63" x14ac:dyDescent="0.3">
      <c r="A691" s="8" t="str">
        <f>MID(Tabla4[[#This Row],[Cliente]], SEARCH("_", Tabla4[[#This Row],[Cliente]]) + 1, LEN(Tabla4[[#This Row],[Cliente]]) - SEARCH("_",Tabla4[[#This Row],[Cliente]]))</f>
        <v>114</v>
      </c>
      <c r="B691">
        <f>sala!K690</f>
        <v>689</v>
      </c>
      <c r="C691">
        <f>Tabla4[[#This Row],[Propina]]+Tabla4[[#This Row],[Precio Cena]]</f>
        <v>1190</v>
      </c>
      <c r="D691" s="3">
        <f>INT(sala!E690)</f>
        <v>45023</v>
      </c>
      <c r="E691" s="4">
        <f>MOD( sala!D690,1)</f>
        <v>2.5000000001455192E-2</v>
      </c>
      <c r="F691" s="4">
        <f>MOD( sala!E690,1)</f>
        <v>9.8611111112404615E-2</v>
      </c>
      <c r="G691" s="4">
        <f>Tabla5[[#This Row],[Hora de Salida]]-Tabla5[[#This Row],[Hora de Llegada]]+Tabla4[[#This Row],[Tiempo Extra]]</f>
        <v>8.4027777777616094E-2</v>
      </c>
      <c r="H691" s="5" t="str">
        <f>TEXT(Tabla4[[#This Row],[Preparación en horas]]/1440, "h:mm")</f>
        <v>0:29</v>
      </c>
      <c r="I691" s="4">
        <f>IF(Tabla5[[#This Row],[Tiempo Permanencia]]-Tabla5[[#This Row],[Tiempo de Preparación ]]&gt;=0,Tabla5[[#This Row],[Tiempo Permanencia]]-Tabla5[[#This Row],[Tiempo de Preparación ]],0)</f>
        <v>6.3888888888727208E-2</v>
      </c>
      <c r="J691" s="5" t="str">
        <f>IF(Tabla5[[#This Row],[Tiempo de Degustación]]=0,"No Cobrada","Cobrada")</f>
        <v>Cobrada</v>
      </c>
      <c r="K691" s="5" cm="1">
        <f t="array" ref="K691">SUM(IF(Tabla5[[#This Row],[Orden Cobrada]]="Cobrada",IF(Cocina!A:A=Tabla5[[#This Row],[Nº Orden]],Cocina!F:F*Cocina!G:G,0),-Tabla6[[#This Row],[Precio Cena]]))</f>
        <v>165</v>
      </c>
      <c r="L691" s="5">
        <f>IF(Tabla5[[#This Row],[Orden Cobrada]]="Cobrada",Tabla5[[#This Row],[Ganancia Bruta]]-Tabla6[[#This Row],[Coste Cena]],-Tabla6[[#This Row],[Precio Cena]]+Tabla6[[#This Row],[Coste Cena]])</f>
        <v>65</v>
      </c>
      <c r="M691" s="10">
        <f>IF(Tabla5[[#This Row],[Orden Cobrada]]="Cobrada",((Tabla5[[#This Row],[Ganancia Neta]]/Tabla5[[#This Row],[Ganancia Bruta]])*100)/100,-((Tabla5[[#This Row],[Ganancia Neta]]/Tabla5[[#This Row],[Ganancia Bruta]]*100)/100))</f>
        <v>0.39393939393939392</v>
      </c>
      <c r="N691" s="5" t="str">
        <f>sala!F690</f>
        <v>Mesero_1</v>
      </c>
      <c r="AY691" cm="1">
        <f t="array" ref="AY691">SUM(IF(Cocina!A:A=Tabla5[[#This Row],[Nº Orden]],Cocina!F:F*Cocina!G:G,0))</f>
        <v>165</v>
      </c>
      <c r="AZ691" cm="1">
        <f t="array" ref="AZ691">SUM(IF(Cocina!A:A=Tabla5[[#This Row],[Nº Orden]],Cocina!E:E*Cocina!G:G,0))</f>
        <v>100</v>
      </c>
      <c r="BB691" t="str">
        <f>MID(Tabla4[[#This Row],[Cliente]], SEARCH("_", Tabla4[[#This Row],[Cliente]]) + 1, LEN(Tabla4[[#This Row],[Cliente]]) - SEARCH("_",Tabla4[[#This Row],[Cliente]]))</f>
        <v>114</v>
      </c>
      <c r="BC691" t="str">
        <f>sala!B690</f>
        <v>Cliente_114</v>
      </c>
      <c r="BD691" s="1">
        <f>sala!D690</f>
        <v>45023.025000000001</v>
      </c>
      <c r="BE691" s="1">
        <f>sala!E690</f>
        <v>45023.098611111112</v>
      </c>
      <c r="BF691">
        <f>sala!K690</f>
        <v>689</v>
      </c>
      <c r="BG691">
        <f>sala!I690</f>
        <v>1025</v>
      </c>
      <c r="BH691" cm="1">
        <f t="array" ref="BH691">SUM(IF(Cocina!A:A=Tabla4[[#This Row],[Número de Orden]],Cocina!F:F*Cocina!G:G,0))</f>
        <v>165</v>
      </c>
      <c r="BI691" t="str">
        <f>sala!J690</f>
        <v>Ocupada</v>
      </c>
      <c r="BJ691" s="4" t="str">
        <f>IF(Tabla4[[#This Row],[Estado mesa]]="Ocupada","00:15","00:00")</f>
        <v>00:15</v>
      </c>
      <c r="BK691" cm="1">
        <f t="array" ref="BK691">SUM(IF(Cocina!A:A=Tabla4[[#This Row],[Número de Orden]],Cocina!H:H,0))</f>
        <v>29</v>
      </c>
    </row>
    <row r="692" spans="1:63" x14ac:dyDescent="0.3">
      <c r="A692" s="8" t="str">
        <f>MID(Tabla4[[#This Row],[Cliente]], SEARCH("_", Tabla4[[#This Row],[Cliente]]) + 1, LEN(Tabla4[[#This Row],[Cliente]]) - SEARCH("_",Tabla4[[#This Row],[Cliente]]))</f>
        <v>95</v>
      </c>
      <c r="B692">
        <f>sala!K691</f>
        <v>690</v>
      </c>
      <c r="C692">
        <f>Tabla4[[#This Row],[Propina]]+Tabla4[[#This Row],[Precio Cena]]</f>
        <v>3913</v>
      </c>
      <c r="D692" s="3">
        <f>INT(sala!E691)</f>
        <v>45023</v>
      </c>
      <c r="E692" s="4">
        <f>MOD( sala!D691,1)</f>
        <v>0.1131944444423425</v>
      </c>
      <c r="F692" s="4">
        <f>MOD( sala!E691,1)</f>
        <v>0.2381944444423425</v>
      </c>
      <c r="G692" s="4">
        <f>Tabla5[[#This Row],[Hora de Salida]]-Tabla5[[#This Row],[Hora de Llegada]]+Tabla4[[#This Row],[Tiempo Extra]]</f>
        <v>0.125</v>
      </c>
      <c r="H692" s="5" t="str">
        <f>TEXT(Tabla4[[#This Row],[Preparación en horas]]/1440, "h:mm")</f>
        <v>2:23</v>
      </c>
      <c r="I692" s="4">
        <f>IF(Tabla5[[#This Row],[Tiempo Permanencia]]-Tabla5[[#This Row],[Tiempo de Preparación ]]&gt;=0,Tabla5[[#This Row],[Tiempo Permanencia]]-Tabla5[[#This Row],[Tiempo de Preparación ]],0)</f>
        <v>2.569444444444445E-2</v>
      </c>
      <c r="J692" s="5" t="str">
        <f>IF(Tabla5[[#This Row],[Tiempo de Degustación]]=0,"No Cobrada","Cobrada")</f>
        <v>Cobrada</v>
      </c>
      <c r="K692" s="5" cm="1">
        <f t="array" ref="K692">SUM(IF(Tabla5[[#This Row],[Orden Cobrada]]="Cobrada",IF(Cocina!A:A=Tabla5[[#This Row],[Nº Orden]],Cocina!F:F*Cocina!G:G,0),-Tabla6[[#This Row],[Precio Cena]]))</f>
        <v>191</v>
      </c>
      <c r="L692" s="5">
        <f>IF(Tabla5[[#This Row],[Orden Cobrada]]="Cobrada",Tabla5[[#This Row],[Ganancia Bruta]]-Tabla6[[#This Row],[Coste Cena]],-Tabla6[[#This Row],[Precio Cena]]+Tabla6[[#This Row],[Coste Cena]])</f>
        <v>76</v>
      </c>
      <c r="M692" s="10">
        <f>IF(Tabla5[[#This Row],[Orden Cobrada]]="Cobrada",((Tabla5[[#This Row],[Ganancia Neta]]/Tabla5[[#This Row],[Ganancia Bruta]])*100)/100,-((Tabla5[[#This Row],[Ganancia Neta]]/Tabla5[[#This Row],[Ganancia Bruta]]*100)/100))</f>
        <v>0.39790575916230364</v>
      </c>
      <c r="N692" s="5" t="str">
        <f>sala!F691</f>
        <v>Mesero_5</v>
      </c>
      <c r="AY692" cm="1">
        <f t="array" ref="AY692">SUM(IF(Cocina!A:A=Tabla5[[#This Row],[Nº Orden]],Cocina!F:F*Cocina!G:G,0))</f>
        <v>191</v>
      </c>
      <c r="AZ692" cm="1">
        <f t="array" ref="AZ692">SUM(IF(Cocina!A:A=Tabla5[[#This Row],[Nº Orden]],Cocina!E:E*Cocina!G:G,0))</f>
        <v>115</v>
      </c>
      <c r="BB692" t="str">
        <f>MID(Tabla4[[#This Row],[Cliente]], SEARCH("_", Tabla4[[#This Row],[Cliente]]) + 1, LEN(Tabla4[[#This Row],[Cliente]]) - SEARCH("_",Tabla4[[#This Row],[Cliente]]))</f>
        <v>95</v>
      </c>
      <c r="BC692" t="str">
        <f>sala!B691</f>
        <v>Cliente_95</v>
      </c>
      <c r="BD692" s="1">
        <f>sala!D691</f>
        <v>45023.113194444442</v>
      </c>
      <c r="BE692" s="1">
        <f>sala!E691</f>
        <v>45023.238194444442</v>
      </c>
      <c r="BF692">
        <f>sala!K691</f>
        <v>690</v>
      </c>
      <c r="BG692">
        <f>sala!I691</f>
        <v>3722</v>
      </c>
      <c r="BH692" cm="1">
        <f t="array" ref="BH692">SUM(IF(Cocina!A:A=Tabla4[[#This Row],[Número de Orden]],Cocina!F:F*Cocina!G:G,0))</f>
        <v>191</v>
      </c>
      <c r="BI692" t="str">
        <f>sala!J691</f>
        <v>Reservada</v>
      </c>
      <c r="BJ692" s="4" t="str">
        <f>IF(Tabla4[[#This Row],[Estado mesa]]="Ocupada","00:15","00:00")</f>
        <v>00:00</v>
      </c>
      <c r="BK692" cm="1">
        <f t="array" ref="BK692">SUM(IF(Cocina!A:A=Tabla4[[#This Row],[Número de Orden]],Cocina!H:H,0))</f>
        <v>143</v>
      </c>
    </row>
    <row r="693" spans="1:63" x14ac:dyDescent="0.3">
      <c r="A693" s="8" t="str">
        <f>MID(Tabla4[[#This Row],[Cliente]], SEARCH("_", Tabla4[[#This Row],[Cliente]]) + 1, LEN(Tabla4[[#This Row],[Cliente]]) - SEARCH("_",Tabla4[[#This Row],[Cliente]]))</f>
        <v>103</v>
      </c>
      <c r="B693">
        <f>sala!K692</f>
        <v>691</v>
      </c>
      <c r="C693">
        <f>Tabla4[[#This Row],[Propina]]+Tabla4[[#This Row],[Precio Cena]]</f>
        <v>205</v>
      </c>
      <c r="D693" s="3">
        <f>INT(sala!E692)</f>
        <v>45023</v>
      </c>
      <c r="E693" s="4">
        <f>MOD( sala!D692,1)</f>
        <v>7.1527777778101154E-2</v>
      </c>
      <c r="F693" s="4">
        <f>MOD( sala!E692,1)</f>
        <v>0.22013888888614019</v>
      </c>
      <c r="G693" s="4">
        <f>Tabla5[[#This Row],[Hora de Salida]]-Tabla5[[#This Row],[Hora de Llegada]]+Tabla4[[#This Row],[Tiempo Extra]]</f>
        <v>0.1590277777747057</v>
      </c>
      <c r="H693" s="5" t="str">
        <f>TEXT(Tabla4[[#This Row],[Preparación en horas]]/1440, "h:mm")</f>
        <v>0:34</v>
      </c>
      <c r="I693" s="4">
        <f>IF(Tabla5[[#This Row],[Tiempo Permanencia]]-Tabla5[[#This Row],[Tiempo de Preparación ]]&gt;=0,Tabla5[[#This Row],[Tiempo Permanencia]]-Tabla5[[#This Row],[Tiempo de Preparación ]],0)</f>
        <v>0.13541666666359459</v>
      </c>
      <c r="J693" s="5" t="str">
        <f>IF(Tabla5[[#This Row],[Tiempo de Degustación]]=0,"No Cobrada","Cobrada")</f>
        <v>Cobrada</v>
      </c>
      <c r="K693" s="5" cm="1">
        <f t="array" ref="K693">SUM(IF(Tabla5[[#This Row],[Orden Cobrada]]="Cobrada",IF(Cocina!A:A=Tabla5[[#This Row],[Nº Orden]],Cocina!F:F*Cocina!G:G,0),-Tabla6[[#This Row],[Precio Cena]]))</f>
        <v>66</v>
      </c>
      <c r="L693" s="5">
        <f>IF(Tabla5[[#This Row],[Orden Cobrada]]="Cobrada",Tabla5[[#This Row],[Ganancia Bruta]]-Tabla6[[#This Row],[Coste Cena]],-Tabla6[[#This Row],[Precio Cena]]+Tabla6[[#This Row],[Coste Cena]])</f>
        <v>27</v>
      </c>
      <c r="M693" s="10">
        <f>IF(Tabla5[[#This Row],[Orden Cobrada]]="Cobrada",((Tabla5[[#This Row],[Ganancia Neta]]/Tabla5[[#This Row],[Ganancia Bruta]])*100)/100,-((Tabla5[[#This Row],[Ganancia Neta]]/Tabla5[[#This Row],[Ganancia Bruta]]*100)/100))</f>
        <v>0.40909090909090912</v>
      </c>
      <c r="N693" s="5" t="str">
        <f>sala!F692</f>
        <v>Mesero_3</v>
      </c>
      <c r="AY693" cm="1">
        <f t="array" ref="AY693">SUM(IF(Cocina!A:A=Tabla5[[#This Row],[Nº Orden]],Cocina!F:F*Cocina!G:G,0))</f>
        <v>66</v>
      </c>
      <c r="AZ693" cm="1">
        <f t="array" ref="AZ693">SUM(IF(Cocina!A:A=Tabla5[[#This Row],[Nº Orden]],Cocina!E:E*Cocina!G:G,0))</f>
        <v>39</v>
      </c>
      <c r="BB693" t="str">
        <f>MID(Tabla4[[#This Row],[Cliente]], SEARCH("_", Tabla4[[#This Row],[Cliente]]) + 1, LEN(Tabla4[[#This Row],[Cliente]]) - SEARCH("_",Tabla4[[#This Row],[Cliente]]))</f>
        <v>103</v>
      </c>
      <c r="BC693" t="str">
        <f>sala!B692</f>
        <v>Cliente_103</v>
      </c>
      <c r="BD693" s="1">
        <f>sala!D692</f>
        <v>45023.071527777778</v>
      </c>
      <c r="BE693" s="1">
        <f>sala!E692</f>
        <v>45023.220138888886</v>
      </c>
      <c r="BF693">
        <f>sala!K692</f>
        <v>691</v>
      </c>
      <c r="BG693">
        <f>sala!I692</f>
        <v>139</v>
      </c>
      <c r="BH693" cm="1">
        <f t="array" ref="BH693">SUM(IF(Cocina!A:A=Tabla4[[#This Row],[Número de Orden]],Cocina!F:F*Cocina!G:G,0))</f>
        <v>66</v>
      </c>
      <c r="BI693" t="str">
        <f>sala!J692</f>
        <v>Ocupada</v>
      </c>
      <c r="BJ693" s="4" t="str">
        <f>IF(Tabla4[[#This Row],[Estado mesa]]="Ocupada","00:15","00:00")</f>
        <v>00:15</v>
      </c>
      <c r="BK693" cm="1">
        <f t="array" ref="BK693">SUM(IF(Cocina!A:A=Tabla4[[#This Row],[Número de Orden]],Cocina!H:H,0))</f>
        <v>34</v>
      </c>
    </row>
    <row r="694" spans="1:63" x14ac:dyDescent="0.3">
      <c r="A694" s="8" t="str">
        <f>MID(Tabla4[[#This Row],[Cliente]], SEARCH("_", Tabla4[[#This Row],[Cliente]]) + 1, LEN(Tabla4[[#This Row],[Cliente]]) - SEARCH("_",Tabla4[[#This Row],[Cliente]]))</f>
        <v>30</v>
      </c>
      <c r="B694">
        <f>sala!K693</f>
        <v>692</v>
      </c>
      <c r="C694">
        <f>Tabla4[[#This Row],[Propina]]+Tabla4[[#This Row],[Precio Cena]]</f>
        <v>2765</v>
      </c>
      <c r="D694" s="3">
        <f>INT(sala!E693)</f>
        <v>45023</v>
      </c>
      <c r="E694" s="4">
        <f>MOD( sala!D693,1)</f>
        <v>3.680555555911269E-2</v>
      </c>
      <c r="F694" s="4">
        <f>MOD( sala!E693,1)</f>
        <v>0.18472222222044365</v>
      </c>
      <c r="G694" s="4">
        <f>Tabla5[[#This Row],[Hora de Salida]]-Tabla5[[#This Row],[Hora de Llegada]]+Tabla4[[#This Row],[Tiempo Extra]]</f>
        <v>0.14791666666133096</v>
      </c>
      <c r="H694" s="5" t="str">
        <f>TEXT(Tabla4[[#This Row],[Preparación en horas]]/1440, "h:mm")</f>
        <v>1:40</v>
      </c>
      <c r="I694" s="4">
        <f>IF(Tabla5[[#This Row],[Tiempo Permanencia]]-Tabla5[[#This Row],[Tiempo de Preparación ]]&gt;=0,Tabla5[[#This Row],[Tiempo Permanencia]]-Tabla5[[#This Row],[Tiempo de Preparación ]],0)</f>
        <v>7.8472222216886517E-2</v>
      </c>
      <c r="J694" s="5" t="str">
        <f>IF(Tabla5[[#This Row],[Tiempo de Degustación]]=0,"No Cobrada","Cobrada")</f>
        <v>Cobrada</v>
      </c>
      <c r="K694" s="5" cm="1">
        <f t="array" ref="K694">SUM(IF(Tabla5[[#This Row],[Orden Cobrada]]="Cobrada",IF(Cocina!A:A=Tabla5[[#This Row],[Nº Orden]],Cocina!F:F*Cocina!G:G,0),-Tabla6[[#This Row],[Precio Cena]]))</f>
        <v>173</v>
      </c>
      <c r="L694" s="5">
        <f>IF(Tabla5[[#This Row],[Orden Cobrada]]="Cobrada",Tabla5[[#This Row],[Ganancia Bruta]]-Tabla6[[#This Row],[Coste Cena]],-Tabla6[[#This Row],[Precio Cena]]+Tabla6[[#This Row],[Coste Cena]])</f>
        <v>70</v>
      </c>
      <c r="M694" s="10">
        <f>IF(Tabla5[[#This Row],[Orden Cobrada]]="Cobrada",((Tabla5[[#This Row],[Ganancia Neta]]/Tabla5[[#This Row],[Ganancia Bruta]])*100)/100,-((Tabla5[[#This Row],[Ganancia Neta]]/Tabla5[[#This Row],[Ganancia Bruta]]*100)/100))</f>
        <v>0.40462427745664742</v>
      </c>
      <c r="N694" s="5" t="str">
        <f>sala!F693</f>
        <v>Mesero_1</v>
      </c>
      <c r="AY694" cm="1">
        <f t="array" ref="AY694">SUM(IF(Cocina!A:A=Tabla5[[#This Row],[Nº Orden]],Cocina!F:F*Cocina!G:G,0))</f>
        <v>173</v>
      </c>
      <c r="AZ694" cm="1">
        <f t="array" ref="AZ694">SUM(IF(Cocina!A:A=Tabla5[[#This Row],[Nº Orden]],Cocina!E:E*Cocina!G:G,0))</f>
        <v>103</v>
      </c>
      <c r="BB694" t="str">
        <f>MID(Tabla4[[#This Row],[Cliente]], SEARCH("_", Tabla4[[#This Row],[Cliente]]) + 1, LEN(Tabla4[[#This Row],[Cliente]]) - SEARCH("_",Tabla4[[#This Row],[Cliente]]))</f>
        <v>30</v>
      </c>
      <c r="BC694" t="str">
        <f>sala!B693</f>
        <v>Cliente_30</v>
      </c>
      <c r="BD694" s="1">
        <f>sala!D693</f>
        <v>45023.036805555559</v>
      </c>
      <c r="BE694" s="1">
        <f>sala!E693</f>
        <v>45023.18472222222</v>
      </c>
      <c r="BF694">
        <f>sala!K693</f>
        <v>692</v>
      </c>
      <c r="BG694">
        <f>sala!I693</f>
        <v>2592</v>
      </c>
      <c r="BH694" cm="1">
        <f t="array" ref="BH694">SUM(IF(Cocina!A:A=Tabla4[[#This Row],[Número de Orden]],Cocina!F:F*Cocina!G:G,0))</f>
        <v>173</v>
      </c>
      <c r="BI694" t="str">
        <f>sala!J693</f>
        <v>Reservada</v>
      </c>
      <c r="BJ694" s="4" t="str">
        <f>IF(Tabla4[[#This Row],[Estado mesa]]="Ocupada","00:15","00:00")</f>
        <v>00:00</v>
      </c>
      <c r="BK694" cm="1">
        <f t="array" ref="BK694">SUM(IF(Cocina!A:A=Tabla4[[#This Row],[Número de Orden]],Cocina!H:H,0))</f>
        <v>100</v>
      </c>
    </row>
    <row r="695" spans="1:63" x14ac:dyDescent="0.3">
      <c r="A695" s="8" t="str">
        <f>MID(Tabla4[[#This Row],[Cliente]], SEARCH("_", Tabla4[[#This Row],[Cliente]]) + 1, LEN(Tabla4[[#This Row],[Cliente]]) - SEARCH("_",Tabla4[[#This Row],[Cliente]]))</f>
        <v>330</v>
      </c>
      <c r="B695">
        <f>sala!K694</f>
        <v>693</v>
      </c>
      <c r="C695">
        <f>Tabla4[[#This Row],[Propina]]+Tabla4[[#This Row],[Precio Cena]]</f>
        <v>2909</v>
      </c>
      <c r="D695" s="3">
        <f>INT(sala!E694)</f>
        <v>45023</v>
      </c>
      <c r="E695" s="4">
        <f>MOD( sala!D694,1)</f>
        <v>0.15555555555329192</v>
      </c>
      <c r="F695" s="4">
        <f>MOD( sala!E694,1)</f>
        <v>0.31319444444670808</v>
      </c>
      <c r="G695" s="4">
        <f>Tabla5[[#This Row],[Hora de Salida]]-Tabla5[[#This Row],[Hora de Llegada]]+Tabla4[[#This Row],[Tiempo Extra]]</f>
        <v>0.15763888889341615</v>
      </c>
      <c r="H695" s="5" t="str">
        <f>TEXT(Tabla4[[#This Row],[Preparación en horas]]/1440, "h:mm")</f>
        <v>0:44</v>
      </c>
      <c r="I695" s="4">
        <f>IF(Tabla5[[#This Row],[Tiempo Permanencia]]-Tabla5[[#This Row],[Tiempo de Preparación ]]&gt;=0,Tabla5[[#This Row],[Tiempo Permanencia]]-Tabla5[[#This Row],[Tiempo de Preparación ]],0)</f>
        <v>0.12708333333786059</v>
      </c>
      <c r="J695" s="5" t="str">
        <f>IF(Tabla5[[#This Row],[Tiempo de Degustación]]=0,"No Cobrada","Cobrada")</f>
        <v>Cobrada</v>
      </c>
      <c r="K695" s="5" cm="1">
        <f t="array" ref="K695">SUM(IF(Tabla5[[#This Row],[Orden Cobrada]]="Cobrada",IF(Cocina!A:A=Tabla5[[#This Row],[Nº Orden]],Cocina!F:F*Cocina!G:G,0),-Tabla6[[#This Row],[Precio Cena]]))</f>
        <v>78</v>
      </c>
      <c r="L695" s="5">
        <f>IF(Tabla5[[#This Row],[Orden Cobrada]]="Cobrada",Tabla5[[#This Row],[Ganancia Bruta]]-Tabla6[[#This Row],[Coste Cena]],-Tabla6[[#This Row],[Precio Cena]]+Tabla6[[#This Row],[Coste Cena]])</f>
        <v>30</v>
      </c>
      <c r="M695" s="10">
        <f>IF(Tabla5[[#This Row],[Orden Cobrada]]="Cobrada",((Tabla5[[#This Row],[Ganancia Neta]]/Tabla5[[#This Row],[Ganancia Bruta]])*100)/100,-((Tabla5[[#This Row],[Ganancia Neta]]/Tabla5[[#This Row],[Ganancia Bruta]]*100)/100))</f>
        <v>0.38461538461538469</v>
      </c>
      <c r="N695" s="5" t="str">
        <f>sala!F694</f>
        <v>Mesero_3</v>
      </c>
      <c r="AY695" cm="1">
        <f t="array" ref="AY695">SUM(IF(Cocina!A:A=Tabla5[[#This Row],[Nº Orden]],Cocina!F:F*Cocina!G:G,0))</f>
        <v>78</v>
      </c>
      <c r="AZ695" cm="1">
        <f t="array" ref="AZ695">SUM(IF(Cocina!A:A=Tabla5[[#This Row],[Nº Orden]],Cocina!E:E*Cocina!G:G,0))</f>
        <v>48</v>
      </c>
      <c r="BB695" t="str">
        <f>MID(Tabla4[[#This Row],[Cliente]], SEARCH("_", Tabla4[[#This Row],[Cliente]]) + 1, LEN(Tabla4[[#This Row],[Cliente]]) - SEARCH("_",Tabla4[[#This Row],[Cliente]]))</f>
        <v>330</v>
      </c>
      <c r="BC695" t="str">
        <f>sala!B694</f>
        <v>Cliente_330</v>
      </c>
      <c r="BD695" s="1">
        <f>sala!D694</f>
        <v>45023.155555555553</v>
      </c>
      <c r="BE695" s="1">
        <f>sala!E694</f>
        <v>45023.313194444447</v>
      </c>
      <c r="BF695">
        <f>sala!K694</f>
        <v>693</v>
      </c>
      <c r="BG695">
        <f>sala!I694</f>
        <v>2831</v>
      </c>
      <c r="BH695" cm="1">
        <f t="array" ref="BH695">SUM(IF(Cocina!A:A=Tabla4[[#This Row],[Número de Orden]],Cocina!F:F*Cocina!G:G,0))</f>
        <v>78</v>
      </c>
      <c r="BI695" t="str">
        <f>sala!J694</f>
        <v>Libre</v>
      </c>
      <c r="BJ695" s="4" t="str">
        <f>IF(Tabla4[[#This Row],[Estado mesa]]="Ocupada","00:15","00:00")</f>
        <v>00:00</v>
      </c>
      <c r="BK695" cm="1">
        <f t="array" ref="BK695">SUM(IF(Cocina!A:A=Tabla4[[#This Row],[Número de Orden]],Cocina!H:H,0))</f>
        <v>44</v>
      </c>
    </row>
    <row r="696" spans="1:63" x14ac:dyDescent="0.3">
      <c r="A696" s="8" t="str">
        <f>MID(Tabla4[[#This Row],[Cliente]], SEARCH("_", Tabla4[[#This Row],[Cliente]]) + 1, LEN(Tabla4[[#This Row],[Cliente]]) - SEARCH("_",Tabla4[[#This Row],[Cliente]]))</f>
        <v>88</v>
      </c>
      <c r="B696">
        <f>sala!K695</f>
        <v>694</v>
      </c>
      <c r="C696">
        <f>Tabla4[[#This Row],[Propina]]+Tabla4[[#This Row],[Precio Cena]]</f>
        <v>2523</v>
      </c>
      <c r="D696" s="3">
        <f>INT(sala!E695)</f>
        <v>45023</v>
      </c>
      <c r="E696" s="4">
        <f>MOD( sala!D695,1)</f>
        <v>7.7083333329937886E-2</v>
      </c>
      <c r="F696" s="4">
        <f>MOD( sala!E695,1)</f>
        <v>0.21736111111385981</v>
      </c>
      <c r="G696" s="4">
        <f>Tabla5[[#This Row],[Hora de Salida]]-Tabla5[[#This Row],[Hora de Llegada]]+Tabla4[[#This Row],[Tiempo Extra]]</f>
        <v>0.14027777778392192</v>
      </c>
      <c r="H696" s="5" t="str">
        <f>TEXT(Tabla4[[#This Row],[Preparación en horas]]/1440, "h:mm")</f>
        <v>2:08</v>
      </c>
      <c r="I696" s="4">
        <f>IF(Tabla5[[#This Row],[Tiempo Permanencia]]-Tabla5[[#This Row],[Tiempo de Preparación ]]&gt;=0,Tabla5[[#This Row],[Tiempo Permanencia]]-Tabla5[[#This Row],[Tiempo de Preparación ]],0)</f>
        <v>5.1388888895033027E-2</v>
      </c>
      <c r="J696" s="5" t="str">
        <f>IF(Tabla5[[#This Row],[Tiempo de Degustación]]=0,"No Cobrada","Cobrada")</f>
        <v>Cobrada</v>
      </c>
      <c r="K696" s="5" cm="1">
        <f t="array" ref="K696">SUM(IF(Tabla5[[#This Row],[Orden Cobrada]]="Cobrada",IF(Cocina!A:A=Tabla5[[#This Row],[Nº Orden]],Cocina!F:F*Cocina!G:G,0),-Tabla6[[#This Row],[Precio Cena]]))</f>
        <v>157</v>
      </c>
      <c r="L696" s="5">
        <f>IF(Tabla5[[#This Row],[Orden Cobrada]]="Cobrada",Tabla5[[#This Row],[Ganancia Bruta]]-Tabla6[[#This Row],[Coste Cena]],-Tabla6[[#This Row],[Precio Cena]]+Tabla6[[#This Row],[Coste Cena]])</f>
        <v>63</v>
      </c>
      <c r="M696" s="10">
        <f>IF(Tabla5[[#This Row],[Orden Cobrada]]="Cobrada",((Tabla5[[#This Row],[Ganancia Neta]]/Tabla5[[#This Row],[Ganancia Bruta]])*100)/100,-((Tabla5[[#This Row],[Ganancia Neta]]/Tabla5[[#This Row],[Ganancia Bruta]]*100)/100))</f>
        <v>0.40127388535031849</v>
      </c>
      <c r="N696" s="5" t="str">
        <f>sala!F695</f>
        <v>Mesero_2</v>
      </c>
      <c r="AY696" cm="1">
        <f t="array" ref="AY696">SUM(IF(Cocina!A:A=Tabla5[[#This Row],[Nº Orden]],Cocina!F:F*Cocina!G:G,0))</f>
        <v>157</v>
      </c>
      <c r="AZ696" cm="1">
        <f t="array" ref="AZ696">SUM(IF(Cocina!A:A=Tabla5[[#This Row],[Nº Orden]],Cocina!E:E*Cocina!G:G,0))</f>
        <v>94</v>
      </c>
      <c r="BB696" t="str">
        <f>MID(Tabla4[[#This Row],[Cliente]], SEARCH("_", Tabla4[[#This Row],[Cliente]]) + 1, LEN(Tabla4[[#This Row],[Cliente]]) - SEARCH("_",Tabla4[[#This Row],[Cliente]]))</f>
        <v>88</v>
      </c>
      <c r="BC696" t="str">
        <f>sala!B695</f>
        <v>Cliente_88</v>
      </c>
      <c r="BD696" s="1">
        <f>sala!D695</f>
        <v>45023.07708333333</v>
      </c>
      <c r="BE696" s="1">
        <f>sala!E695</f>
        <v>45023.217361111114</v>
      </c>
      <c r="BF696">
        <f>sala!K695</f>
        <v>694</v>
      </c>
      <c r="BG696">
        <f>sala!I695</f>
        <v>2366</v>
      </c>
      <c r="BH696" cm="1">
        <f t="array" ref="BH696">SUM(IF(Cocina!A:A=Tabla4[[#This Row],[Número de Orden]],Cocina!F:F*Cocina!G:G,0))</f>
        <v>157</v>
      </c>
      <c r="BI696" t="str">
        <f>sala!J695</f>
        <v>Libre</v>
      </c>
      <c r="BJ696" s="4" t="str">
        <f>IF(Tabla4[[#This Row],[Estado mesa]]="Ocupada","00:15","00:00")</f>
        <v>00:00</v>
      </c>
      <c r="BK696" cm="1">
        <f t="array" ref="BK696">SUM(IF(Cocina!A:A=Tabla4[[#This Row],[Número de Orden]],Cocina!H:H,0))</f>
        <v>128</v>
      </c>
    </row>
    <row r="697" spans="1:63" x14ac:dyDescent="0.3">
      <c r="A697" s="8" t="str">
        <f>MID(Tabla4[[#This Row],[Cliente]], SEARCH("_", Tabla4[[#This Row],[Cliente]]) + 1, LEN(Tabla4[[#This Row],[Cliente]]) - SEARCH("_",Tabla4[[#This Row],[Cliente]]))</f>
        <v>211</v>
      </c>
      <c r="B697">
        <f>sala!K696</f>
        <v>695</v>
      </c>
      <c r="C697">
        <f>Tabla4[[#This Row],[Propina]]+Tabla4[[#This Row],[Precio Cena]]</f>
        <v>1939</v>
      </c>
      <c r="D697" s="3">
        <f>INT(sala!E696)</f>
        <v>45023</v>
      </c>
      <c r="E697" s="4">
        <f>MOD( sala!D696,1)</f>
        <v>8.4722222221898846E-2</v>
      </c>
      <c r="F697" s="4">
        <f>MOD( sala!E696,1)</f>
        <v>0.2305555555576575</v>
      </c>
      <c r="G697" s="4">
        <f>Tabla5[[#This Row],[Hora de Salida]]-Tabla5[[#This Row],[Hora de Llegada]]+Tabla4[[#This Row],[Tiempo Extra]]</f>
        <v>0.15625000000242531</v>
      </c>
      <c r="H697" s="5" t="str">
        <f>TEXT(Tabla4[[#This Row],[Preparación en horas]]/1440, "h:mm")</f>
        <v>0:37</v>
      </c>
      <c r="I697" s="4">
        <f>IF(Tabla5[[#This Row],[Tiempo Permanencia]]-Tabla5[[#This Row],[Tiempo de Preparación ]]&gt;=0,Tabla5[[#This Row],[Tiempo Permanencia]]-Tabla5[[#This Row],[Tiempo de Preparación ]],0)</f>
        <v>0.13055555555798087</v>
      </c>
      <c r="J697" s="5" t="str">
        <f>IF(Tabla5[[#This Row],[Tiempo de Degustación]]=0,"No Cobrada","Cobrada")</f>
        <v>Cobrada</v>
      </c>
      <c r="K697" s="5" cm="1">
        <f t="array" ref="K697">SUM(IF(Tabla5[[#This Row],[Orden Cobrada]]="Cobrada",IF(Cocina!A:A=Tabla5[[#This Row],[Nº Orden]],Cocina!F:F*Cocina!G:G,0),-Tabla6[[#This Row],[Precio Cena]]))</f>
        <v>116</v>
      </c>
      <c r="L697" s="5">
        <f>IF(Tabla5[[#This Row],[Orden Cobrada]]="Cobrada",Tabla5[[#This Row],[Ganancia Bruta]]-Tabla6[[#This Row],[Coste Cena]],-Tabla6[[#This Row],[Precio Cena]]+Tabla6[[#This Row],[Coste Cena]])</f>
        <v>48</v>
      </c>
      <c r="M697" s="10">
        <f>IF(Tabla5[[#This Row],[Orden Cobrada]]="Cobrada",((Tabla5[[#This Row],[Ganancia Neta]]/Tabla5[[#This Row],[Ganancia Bruta]])*100)/100,-((Tabla5[[#This Row],[Ganancia Neta]]/Tabla5[[#This Row],[Ganancia Bruta]]*100)/100))</f>
        <v>0.41379310344827586</v>
      </c>
      <c r="N697" s="5" t="str">
        <f>sala!F696</f>
        <v>Mesero_3</v>
      </c>
      <c r="AY697" cm="1">
        <f t="array" ref="AY697">SUM(IF(Cocina!A:A=Tabla5[[#This Row],[Nº Orden]],Cocina!F:F*Cocina!G:G,0))</f>
        <v>116</v>
      </c>
      <c r="AZ697" cm="1">
        <f t="array" ref="AZ697">SUM(IF(Cocina!A:A=Tabla5[[#This Row],[Nº Orden]],Cocina!E:E*Cocina!G:G,0))</f>
        <v>68</v>
      </c>
      <c r="BB697" t="str">
        <f>MID(Tabla4[[#This Row],[Cliente]], SEARCH("_", Tabla4[[#This Row],[Cliente]]) + 1, LEN(Tabla4[[#This Row],[Cliente]]) - SEARCH("_",Tabla4[[#This Row],[Cliente]]))</f>
        <v>211</v>
      </c>
      <c r="BC697" t="str">
        <f>sala!B696</f>
        <v>Cliente_211</v>
      </c>
      <c r="BD697" s="1">
        <f>sala!D696</f>
        <v>45023.084722222222</v>
      </c>
      <c r="BE697" s="1">
        <f>sala!E696</f>
        <v>45023.230555555558</v>
      </c>
      <c r="BF697">
        <f>sala!K696</f>
        <v>695</v>
      </c>
      <c r="BG697">
        <f>sala!I696</f>
        <v>1823</v>
      </c>
      <c r="BH697" cm="1">
        <f t="array" ref="BH697">SUM(IF(Cocina!A:A=Tabla4[[#This Row],[Número de Orden]],Cocina!F:F*Cocina!G:G,0))</f>
        <v>116</v>
      </c>
      <c r="BI697" t="str">
        <f>sala!J696</f>
        <v>Ocupada</v>
      </c>
      <c r="BJ697" s="4" t="str">
        <f>IF(Tabla4[[#This Row],[Estado mesa]]="Ocupada","00:15","00:00")</f>
        <v>00:15</v>
      </c>
      <c r="BK697" cm="1">
        <f t="array" ref="BK697">SUM(IF(Cocina!A:A=Tabla4[[#This Row],[Número de Orden]],Cocina!H:H,0))</f>
        <v>37</v>
      </c>
    </row>
    <row r="698" spans="1:63" x14ac:dyDescent="0.3">
      <c r="A698" s="8" t="str">
        <f>MID(Tabla4[[#This Row],[Cliente]], SEARCH("_", Tabla4[[#This Row],[Cliente]]) + 1, LEN(Tabla4[[#This Row],[Cliente]]) - SEARCH("_",Tabla4[[#This Row],[Cliente]]))</f>
        <v>282</v>
      </c>
      <c r="B698">
        <f>sala!K697</f>
        <v>696</v>
      </c>
      <c r="C698">
        <f>Tabla4[[#This Row],[Propina]]+Tabla4[[#This Row],[Precio Cena]]</f>
        <v>1922</v>
      </c>
      <c r="D698" s="3">
        <f>INT(sala!E697)</f>
        <v>45023</v>
      </c>
      <c r="E698" s="4">
        <f>MOD( sala!D697,1)</f>
        <v>9.4444444446708076E-2</v>
      </c>
      <c r="F698" s="4">
        <f>MOD( sala!E697,1)</f>
        <v>0.25763888889196096</v>
      </c>
      <c r="G698" s="4">
        <f>Tabla5[[#This Row],[Hora de Salida]]-Tabla5[[#This Row],[Hora de Llegada]]+Tabla4[[#This Row],[Tiempo Extra]]</f>
        <v>0.17361111111191954</v>
      </c>
      <c r="H698" s="5" t="str">
        <f>TEXT(Tabla4[[#This Row],[Preparación en horas]]/1440, "h:mm")</f>
        <v>0:23</v>
      </c>
      <c r="I698" s="4">
        <f>IF(Tabla5[[#This Row],[Tiempo Permanencia]]-Tabla5[[#This Row],[Tiempo de Preparación ]]&gt;=0,Tabla5[[#This Row],[Tiempo Permanencia]]-Tabla5[[#This Row],[Tiempo de Preparación ]],0)</f>
        <v>0.15763888888969732</v>
      </c>
      <c r="J698" s="5" t="str">
        <f>IF(Tabla5[[#This Row],[Tiempo de Degustación]]=0,"No Cobrada","Cobrada")</f>
        <v>Cobrada</v>
      </c>
      <c r="K698" s="5" cm="1">
        <f t="array" ref="K698">SUM(IF(Tabla5[[#This Row],[Orden Cobrada]]="Cobrada",IF(Cocina!A:A=Tabla5[[#This Row],[Nº Orden]],Cocina!F:F*Cocina!G:G,0),-Tabla6[[#This Row],[Precio Cena]]))</f>
        <v>46</v>
      </c>
      <c r="L698" s="5">
        <f>IF(Tabla5[[#This Row],[Orden Cobrada]]="Cobrada",Tabla5[[#This Row],[Ganancia Bruta]]-Tabla6[[#This Row],[Coste Cena]],-Tabla6[[#This Row],[Precio Cena]]+Tabla6[[#This Row],[Coste Cena]])</f>
        <v>18</v>
      </c>
      <c r="M698" s="10">
        <f>IF(Tabla5[[#This Row],[Orden Cobrada]]="Cobrada",((Tabla5[[#This Row],[Ganancia Neta]]/Tabla5[[#This Row],[Ganancia Bruta]])*100)/100,-((Tabla5[[#This Row],[Ganancia Neta]]/Tabla5[[#This Row],[Ganancia Bruta]]*100)/100))</f>
        <v>0.39130434782608697</v>
      </c>
      <c r="N698" s="5" t="str">
        <f>sala!F697</f>
        <v>Mesero_1</v>
      </c>
      <c r="AY698" cm="1">
        <f t="array" ref="AY698">SUM(IF(Cocina!A:A=Tabla5[[#This Row],[Nº Orden]],Cocina!F:F*Cocina!G:G,0))</f>
        <v>46</v>
      </c>
      <c r="AZ698" cm="1">
        <f t="array" ref="AZ698">SUM(IF(Cocina!A:A=Tabla5[[#This Row],[Nº Orden]],Cocina!E:E*Cocina!G:G,0))</f>
        <v>28</v>
      </c>
      <c r="BB698" t="str">
        <f>MID(Tabla4[[#This Row],[Cliente]], SEARCH("_", Tabla4[[#This Row],[Cliente]]) + 1, LEN(Tabla4[[#This Row],[Cliente]]) - SEARCH("_",Tabla4[[#This Row],[Cliente]]))</f>
        <v>282</v>
      </c>
      <c r="BC698" t="str">
        <f>sala!B697</f>
        <v>Cliente_282</v>
      </c>
      <c r="BD698" s="1">
        <f>sala!D697</f>
        <v>45023.094444444447</v>
      </c>
      <c r="BE698" s="1">
        <f>sala!E697</f>
        <v>45023.257638888892</v>
      </c>
      <c r="BF698">
        <f>sala!K697</f>
        <v>696</v>
      </c>
      <c r="BG698">
        <f>sala!I697</f>
        <v>1876</v>
      </c>
      <c r="BH698" cm="1">
        <f t="array" ref="BH698">SUM(IF(Cocina!A:A=Tabla4[[#This Row],[Número de Orden]],Cocina!F:F*Cocina!G:G,0))</f>
        <v>46</v>
      </c>
      <c r="BI698" t="str">
        <f>sala!J697</f>
        <v>Ocupada</v>
      </c>
      <c r="BJ698" s="4" t="str">
        <f>IF(Tabla4[[#This Row],[Estado mesa]]="Ocupada","00:15","00:00")</f>
        <v>00:15</v>
      </c>
      <c r="BK698" cm="1">
        <f t="array" ref="BK698">SUM(IF(Cocina!A:A=Tabla4[[#This Row],[Número de Orden]],Cocina!H:H,0))</f>
        <v>23</v>
      </c>
    </row>
    <row r="699" spans="1:63" x14ac:dyDescent="0.3">
      <c r="A699" s="8" t="str">
        <f>MID(Tabla4[[#This Row],[Cliente]], SEARCH("_", Tabla4[[#This Row],[Cliente]]) + 1, LEN(Tabla4[[#This Row],[Cliente]]) - SEARCH("_",Tabla4[[#This Row],[Cliente]]))</f>
        <v>90</v>
      </c>
      <c r="B699">
        <f>sala!K698</f>
        <v>697</v>
      </c>
      <c r="C699">
        <f>Tabla4[[#This Row],[Propina]]+Tabla4[[#This Row],[Precio Cena]]</f>
        <v>3634</v>
      </c>
      <c r="D699" s="3">
        <f>INT(sala!E698)</f>
        <v>45023</v>
      </c>
      <c r="E699" s="4">
        <f>MOD( sala!D698,1)</f>
        <v>0.15833333333284827</v>
      </c>
      <c r="F699" s="4">
        <f>MOD( sala!E698,1)</f>
        <v>0.27916666666715173</v>
      </c>
      <c r="G699" s="4">
        <f>Tabla5[[#This Row],[Hora de Salida]]-Tabla5[[#This Row],[Hora de Llegada]]+Tabla4[[#This Row],[Tiempo Extra]]</f>
        <v>0.12083333333430346</v>
      </c>
      <c r="H699" s="5" t="str">
        <f>TEXT(Tabla4[[#This Row],[Preparación en horas]]/1440, "h:mm")</f>
        <v>1:47</v>
      </c>
      <c r="I699" s="4">
        <f>IF(Tabla5[[#This Row],[Tiempo Permanencia]]-Tabla5[[#This Row],[Tiempo de Preparación ]]&gt;=0,Tabla5[[#This Row],[Tiempo Permanencia]]-Tabla5[[#This Row],[Tiempo de Preparación ]],0)</f>
        <v>4.6527777778747906E-2</v>
      </c>
      <c r="J699" s="5" t="str">
        <f>IF(Tabla5[[#This Row],[Tiempo de Degustación]]=0,"No Cobrada","Cobrada")</f>
        <v>Cobrada</v>
      </c>
      <c r="K699" s="5" cm="1">
        <f t="array" ref="K699">SUM(IF(Tabla5[[#This Row],[Orden Cobrada]]="Cobrada",IF(Cocina!A:A=Tabla5[[#This Row],[Nº Orden]],Cocina!F:F*Cocina!G:G,0),-Tabla6[[#This Row],[Precio Cena]]))</f>
        <v>199</v>
      </c>
      <c r="L699" s="5">
        <f>IF(Tabla5[[#This Row],[Orden Cobrada]]="Cobrada",Tabla5[[#This Row],[Ganancia Bruta]]-Tabla6[[#This Row],[Coste Cena]],-Tabla6[[#This Row],[Precio Cena]]+Tabla6[[#This Row],[Coste Cena]])</f>
        <v>79</v>
      </c>
      <c r="M699" s="10">
        <f>IF(Tabla5[[#This Row],[Orden Cobrada]]="Cobrada",((Tabla5[[#This Row],[Ganancia Neta]]/Tabla5[[#This Row],[Ganancia Bruta]])*100)/100,-((Tabla5[[#This Row],[Ganancia Neta]]/Tabla5[[#This Row],[Ganancia Bruta]]*100)/100))</f>
        <v>0.39698492462311558</v>
      </c>
      <c r="N699" s="5" t="str">
        <f>sala!F698</f>
        <v>Mesero_2</v>
      </c>
      <c r="AY699" cm="1">
        <f t="array" ref="AY699">SUM(IF(Cocina!A:A=Tabla5[[#This Row],[Nº Orden]],Cocina!F:F*Cocina!G:G,0))</f>
        <v>199</v>
      </c>
      <c r="AZ699" cm="1">
        <f t="array" ref="AZ699">SUM(IF(Cocina!A:A=Tabla5[[#This Row],[Nº Orden]],Cocina!E:E*Cocina!G:G,0))</f>
        <v>120</v>
      </c>
      <c r="BB699" t="str">
        <f>MID(Tabla4[[#This Row],[Cliente]], SEARCH("_", Tabla4[[#This Row],[Cliente]]) + 1, LEN(Tabla4[[#This Row],[Cliente]]) - SEARCH("_",Tabla4[[#This Row],[Cliente]]))</f>
        <v>90</v>
      </c>
      <c r="BC699" t="str">
        <f>sala!B698</f>
        <v>Cliente_90</v>
      </c>
      <c r="BD699" s="1">
        <f>sala!D698</f>
        <v>45023.158333333333</v>
      </c>
      <c r="BE699" s="1">
        <f>sala!E698</f>
        <v>45023.279166666667</v>
      </c>
      <c r="BF699">
        <f>sala!K698</f>
        <v>697</v>
      </c>
      <c r="BG699">
        <f>sala!I698</f>
        <v>3435</v>
      </c>
      <c r="BH699" cm="1">
        <f t="array" ref="BH699">SUM(IF(Cocina!A:A=Tabla4[[#This Row],[Número de Orden]],Cocina!F:F*Cocina!G:G,0))</f>
        <v>199</v>
      </c>
      <c r="BI699" t="str">
        <f>sala!J698</f>
        <v>Reservada</v>
      </c>
      <c r="BJ699" s="4" t="str">
        <f>IF(Tabla4[[#This Row],[Estado mesa]]="Ocupada","00:15","00:00")</f>
        <v>00:00</v>
      </c>
      <c r="BK699" cm="1">
        <f t="array" ref="BK699">SUM(IF(Cocina!A:A=Tabla4[[#This Row],[Número de Orden]],Cocina!H:H,0))</f>
        <v>107</v>
      </c>
    </row>
    <row r="700" spans="1:63" x14ac:dyDescent="0.3">
      <c r="A700" s="8" t="str">
        <f>MID(Tabla4[[#This Row],[Cliente]], SEARCH("_", Tabla4[[#This Row],[Cliente]]) + 1, LEN(Tabla4[[#This Row],[Cliente]]) - SEARCH("_",Tabla4[[#This Row],[Cliente]]))</f>
        <v>115</v>
      </c>
      <c r="B700">
        <f>sala!K699</f>
        <v>698</v>
      </c>
      <c r="C700">
        <f>Tabla4[[#This Row],[Propina]]+Tabla4[[#This Row],[Precio Cena]]</f>
        <v>4174</v>
      </c>
      <c r="D700" s="3">
        <f>INT(sala!E699)</f>
        <v>45023</v>
      </c>
      <c r="E700" s="4">
        <f>MOD( sala!D699,1)</f>
        <v>0.10416666666424135</v>
      </c>
      <c r="F700" s="4">
        <f>MOD( sala!E699,1)</f>
        <v>0.26736111110949423</v>
      </c>
      <c r="G700" s="4">
        <f>Tabla5[[#This Row],[Hora de Salida]]-Tabla5[[#This Row],[Hora de Llegada]]+Tabla4[[#This Row],[Tiempo Extra]]</f>
        <v>0.16319444444525288</v>
      </c>
      <c r="H700" s="5" t="str">
        <f>TEXT(Tabla4[[#This Row],[Preparación en horas]]/1440, "h:mm")</f>
        <v>1:41</v>
      </c>
      <c r="I700" s="4">
        <f>IF(Tabla5[[#This Row],[Tiempo Permanencia]]-Tabla5[[#This Row],[Tiempo de Preparación ]]&gt;=0,Tabla5[[#This Row],[Tiempo Permanencia]]-Tabla5[[#This Row],[Tiempo de Preparación ]],0)</f>
        <v>9.3055555556363995E-2</v>
      </c>
      <c r="J700" s="5" t="str">
        <f>IF(Tabla5[[#This Row],[Tiempo de Degustación]]=0,"No Cobrada","Cobrada")</f>
        <v>Cobrada</v>
      </c>
      <c r="K700" s="5" cm="1">
        <f t="array" ref="K700">SUM(IF(Tabla5[[#This Row],[Orden Cobrada]]="Cobrada",IF(Cocina!A:A=Tabla5[[#This Row],[Nº Orden]],Cocina!F:F*Cocina!G:G,0),-Tabla6[[#This Row],[Precio Cena]]))</f>
        <v>185</v>
      </c>
      <c r="L700" s="5">
        <f>IF(Tabla5[[#This Row],[Orden Cobrada]]="Cobrada",Tabla5[[#This Row],[Ganancia Bruta]]-Tabla6[[#This Row],[Coste Cena]],-Tabla6[[#This Row],[Precio Cena]]+Tabla6[[#This Row],[Coste Cena]])</f>
        <v>73</v>
      </c>
      <c r="M700" s="10">
        <f>IF(Tabla5[[#This Row],[Orden Cobrada]]="Cobrada",((Tabla5[[#This Row],[Ganancia Neta]]/Tabla5[[#This Row],[Ganancia Bruta]])*100)/100,-((Tabla5[[#This Row],[Ganancia Neta]]/Tabla5[[#This Row],[Ganancia Bruta]]*100)/100))</f>
        <v>0.39459459459459462</v>
      </c>
      <c r="N700" s="5" t="str">
        <f>sala!F699</f>
        <v>Mesero_1</v>
      </c>
      <c r="AY700" cm="1">
        <f t="array" ref="AY700">SUM(IF(Cocina!A:A=Tabla5[[#This Row],[Nº Orden]],Cocina!F:F*Cocina!G:G,0))</f>
        <v>185</v>
      </c>
      <c r="AZ700" cm="1">
        <f t="array" ref="AZ700">SUM(IF(Cocina!A:A=Tabla5[[#This Row],[Nº Orden]],Cocina!E:E*Cocina!G:G,0))</f>
        <v>112</v>
      </c>
      <c r="BB700" t="str">
        <f>MID(Tabla4[[#This Row],[Cliente]], SEARCH("_", Tabla4[[#This Row],[Cliente]]) + 1, LEN(Tabla4[[#This Row],[Cliente]]) - SEARCH("_",Tabla4[[#This Row],[Cliente]]))</f>
        <v>115</v>
      </c>
      <c r="BC700" t="str">
        <f>sala!B699</f>
        <v>Cliente_115</v>
      </c>
      <c r="BD700" s="1">
        <f>sala!D699</f>
        <v>45023.104166666664</v>
      </c>
      <c r="BE700" s="1">
        <f>sala!E699</f>
        <v>45023.267361111109</v>
      </c>
      <c r="BF700">
        <f>sala!K699</f>
        <v>698</v>
      </c>
      <c r="BG700">
        <f>sala!I699</f>
        <v>3989</v>
      </c>
      <c r="BH700" cm="1">
        <f t="array" ref="BH700">SUM(IF(Cocina!A:A=Tabla4[[#This Row],[Número de Orden]],Cocina!F:F*Cocina!G:G,0))</f>
        <v>185</v>
      </c>
      <c r="BI700" t="str">
        <f>sala!J699</f>
        <v>Libre</v>
      </c>
      <c r="BJ700" s="4" t="str">
        <f>IF(Tabla4[[#This Row],[Estado mesa]]="Ocupada","00:15","00:00")</f>
        <v>00:00</v>
      </c>
      <c r="BK700" cm="1">
        <f t="array" ref="BK700">SUM(IF(Cocina!A:A=Tabla4[[#This Row],[Número de Orden]],Cocina!H:H,0))</f>
        <v>101</v>
      </c>
    </row>
    <row r="701" spans="1:63" x14ac:dyDescent="0.3">
      <c r="A701" s="8" t="str">
        <f>MID(Tabla4[[#This Row],[Cliente]], SEARCH("_", Tabla4[[#This Row],[Cliente]]) + 1, LEN(Tabla4[[#This Row],[Cliente]]) - SEARCH("_",Tabla4[[#This Row],[Cliente]]))</f>
        <v>143</v>
      </c>
      <c r="B701">
        <f>sala!K700</f>
        <v>699</v>
      </c>
      <c r="C701">
        <f>Tabla4[[#This Row],[Propina]]+Tabla4[[#This Row],[Precio Cena]]</f>
        <v>3902</v>
      </c>
      <c r="D701" s="3">
        <f>INT(sala!E700)</f>
        <v>45023</v>
      </c>
      <c r="E701" s="4">
        <f>MOD( sala!D700,1)</f>
        <v>6.5972222218988463E-2</v>
      </c>
      <c r="F701" s="4">
        <f>MOD( sala!E700,1)</f>
        <v>0.12222222222044365</v>
      </c>
      <c r="G701" s="4">
        <f>Tabla5[[#This Row],[Hora de Salida]]-Tabla5[[#This Row],[Hora de Llegada]]+Tabla4[[#This Row],[Tiempo Extra]]</f>
        <v>5.6250000001455192E-2</v>
      </c>
      <c r="H701" s="5" t="str">
        <f>TEXT(Tabla4[[#This Row],[Preparación en horas]]/1440, "h:mm")</f>
        <v>0:11</v>
      </c>
      <c r="I701" s="4">
        <f>IF(Tabla5[[#This Row],[Tiempo Permanencia]]-Tabla5[[#This Row],[Tiempo de Preparación ]]&gt;=0,Tabla5[[#This Row],[Tiempo Permanencia]]-Tabla5[[#This Row],[Tiempo de Preparación ]],0)</f>
        <v>4.8611111112566302E-2</v>
      </c>
      <c r="J701" s="5" t="str">
        <f>IF(Tabla5[[#This Row],[Tiempo de Degustación]]=0,"No Cobrada","Cobrada")</f>
        <v>Cobrada</v>
      </c>
      <c r="K701" s="5" cm="1">
        <f t="array" ref="K701">SUM(IF(Tabla5[[#This Row],[Orden Cobrada]]="Cobrada",IF(Cocina!A:A=Tabla5[[#This Row],[Nº Orden]],Cocina!F:F*Cocina!G:G,0),-Tabla6[[#This Row],[Precio Cena]]))</f>
        <v>58</v>
      </c>
      <c r="L701" s="5">
        <f>IF(Tabla5[[#This Row],[Orden Cobrada]]="Cobrada",Tabla5[[#This Row],[Ganancia Bruta]]-Tabla6[[#This Row],[Coste Cena]],-Tabla6[[#This Row],[Precio Cena]]+Tabla6[[#This Row],[Coste Cena]])</f>
        <v>24</v>
      </c>
      <c r="M701" s="10">
        <f>IF(Tabla5[[#This Row],[Orden Cobrada]]="Cobrada",((Tabla5[[#This Row],[Ganancia Neta]]/Tabla5[[#This Row],[Ganancia Bruta]])*100)/100,-((Tabla5[[#This Row],[Ganancia Neta]]/Tabla5[[#This Row],[Ganancia Bruta]]*100)/100))</f>
        <v>0.41379310344827586</v>
      </c>
      <c r="N701" s="5" t="str">
        <f>sala!F700</f>
        <v>Mesero_2</v>
      </c>
      <c r="AY701" cm="1">
        <f t="array" ref="AY701">SUM(IF(Cocina!A:A=Tabla5[[#This Row],[Nº Orden]],Cocina!F:F*Cocina!G:G,0))</f>
        <v>58</v>
      </c>
      <c r="AZ701" cm="1">
        <f t="array" ref="AZ701">SUM(IF(Cocina!A:A=Tabla5[[#This Row],[Nº Orden]],Cocina!E:E*Cocina!G:G,0))</f>
        <v>34</v>
      </c>
      <c r="BB701" t="str">
        <f>MID(Tabla4[[#This Row],[Cliente]], SEARCH("_", Tabla4[[#This Row],[Cliente]]) + 1, LEN(Tabla4[[#This Row],[Cliente]]) - SEARCH("_",Tabla4[[#This Row],[Cliente]]))</f>
        <v>143</v>
      </c>
      <c r="BC701" t="str">
        <f>sala!B700</f>
        <v>Cliente_143</v>
      </c>
      <c r="BD701" s="1">
        <f>sala!D700</f>
        <v>45023.065972222219</v>
      </c>
      <c r="BE701" s="1">
        <f>sala!E700</f>
        <v>45023.12222222222</v>
      </c>
      <c r="BF701">
        <f>sala!K700</f>
        <v>699</v>
      </c>
      <c r="BG701">
        <f>sala!I700</f>
        <v>3844</v>
      </c>
      <c r="BH701" cm="1">
        <f t="array" ref="BH701">SUM(IF(Cocina!A:A=Tabla4[[#This Row],[Número de Orden]],Cocina!F:F*Cocina!G:G,0))</f>
        <v>58</v>
      </c>
      <c r="BI701" t="str">
        <f>sala!J700</f>
        <v>Reservada</v>
      </c>
      <c r="BJ701" s="4" t="str">
        <f>IF(Tabla4[[#This Row],[Estado mesa]]="Ocupada","00:15","00:00")</f>
        <v>00:00</v>
      </c>
      <c r="BK701" cm="1">
        <f t="array" ref="BK701">SUM(IF(Cocina!A:A=Tabla4[[#This Row],[Número de Orden]],Cocina!H:H,0))</f>
        <v>11</v>
      </c>
    </row>
    <row r="702" spans="1:63" x14ac:dyDescent="0.3">
      <c r="A702" s="8" t="str">
        <f>MID(Tabla4[[#This Row],[Cliente]], SEARCH("_", Tabla4[[#This Row],[Cliente]]) + 1, LEN(Tabla4[[#This Row],[Cliente]]) - SEARCH("_",Tabla4[[#This Row],[Cliente]]))</f>
        <v>496</v>
      </c>
      <c r="B702">
        <f>sala!K701</f>
        <v>700</v>
      </c>
      <c r="C702">
        <f>Tabla4[[#This Row],[Propina]]+Tabla4[[#This Row],[Precio Cena]]</f>
        <v>2400</v>
      </c>
      <c r="D702" s="3">
        <f>INT(sala!E701)</f>
        <v>45023</v>
      </c>
      <c r="E702" s="4">
        <f>MOD( sala!D701,1)</f>
        <v>1.5972222223354038E-2</v>
      </c>
      <c r="F702" s="4">
        <f>MOD( sala!E701,1)</f>
        <v>0.11805555555474712</v>
      </c>
      <c r="G702" s="4">
        <f>Tabla5[[#This Row],[Hora de Salida]]-Tabla5[[#This Row],[Hora de Llegada]]+Tabla4[[#This Row],[Tiempo Extra]]</f>
        <v>0.10208333333139308</v>
      </c>
      <c r="H702" s="5" t="str">
        <f>TEXT(Tabla4[[#This Row],[Preparación en horas]]/1440, "h:mm")</f>
        <v>1:26</v>
      </c>
      <c r="I702" s="4">
        <f>IF(Tabla5[[#This Row],[Tiempo Permanencia]]-Tabla5[[#This Row],[Tiempo de Preparación ]]&gt;=0,Tabla5[[#This Row],[Tiempo Permanencia]]-Tabla5[[#This Row],[Tiempo de Preparación ]],0)</f>
        <v>4.2361111109170853E-2</v>
      </c>
      <c r="J702" s="5" t="str">
        <f>IF(Tabla5[[#This Row],[Tiempo de Degustación]]=0,"No Cobrada","Cobrada")</f>
        <v>Cobrada</v>
      </c>
      <c r="K702" s="5" cm="1">
        <f t="array" ref="K702">SUM(IF(Tabla5[[#This Row],[Orden Cobrada]]="Cobrada",IF(Cocina!A:A=Tabla5[[#This Row],[Nº Orden]],Cocina!F:F*Cocina!G:G,0),-Tabla6[[#This Row],[Precio Cena]]))</f>
        <v>234</v>
      </c>
      <c r="L702" s="5">
        <f>IF(Tabla5[[#This Row],[Orden Cobrada]]="Cobrada",Tabla5[[#This Row],[Ganancia Bruta]]-Tabla6[[#This Row],[Coste Cena]],-Tabla6[[#This Row],[Precio Cena]]+Tabla6[[#This Row],[Coste Cena]])</f>
        <v>97</v>
      </c>
      <c r="M702" s="10">
        <f>IF(Tabla5[[#This Row],[Orden Cobrada]]="Cobrada",((Tabla5[[#This Row],[Ganancia Neta]]/Tabla5[[#This Row],[Ganancia Bruta]])*100)/100,-((Tabla5[[#This Row],[Ganancia Neta]]/Tabla5[[#This Row],[Ganancia Bruta]]*100)/100))</f>
        <v>0.41452991452991456</v>
      </c>
      <c r="N702" s="5" t="str">
        <f>sala!F701</f>
        <v>Mesero_2</v>
      </c>
      <c r="AY702" cm="1">
        <f t="array" ref="AY702">SUM(IF(Cocina!A:A=Tabla5[[#This Row],[Nº Orden]],Cocina!F:F*Cocina!G:G,0))</f>
        <v>234</v>
      </c>
      <c r="AZ702" cm="1">
        <f t="array" ref="AZ702">SUM(IF(Cocina!A:A=Tabla5[[#This Row],[Nº Orden]],Cocina!E:E*Cocina!G:G,0))</f>
        <v>137</v>
      </c>
      <c r="BB702" t="str">
        <f>MID(Tabla4[[#This Row],[Cliente]], SEARCH("_", Tabla4[[#This Row],[Cliente]]) + 1, LEN(Tabla4[[#This Row],[Cliente]]) - SEARCH("_",Tabla4[[#This Row],[Cliente]]))</f>
        <v>496</v>
      </c>
      <c r="BC702" t="str">
        <f>sala!B701</f>
        <v>Cliente_496</v>
      </c>
      <c r="BD702" s="1">
        <f>sala!D701</f>
        <v>45023.015972222223</v>
      </c>
      <c r="BE702" s="1">
        <f>sala!E701</f>
        <v>45023.118055555555</v>
      </c>
      <c r="BF702">
        <f>sala!K701</f>
        <v>700</v>
      </c>
      <c r="BG702">
        <f>sala!I701</f>
        <v>2166</v>
      </c>
      <c r="BH702" cm="1">
        <f t="array" ref="BH702">SUM(IF(Cocina!A:A=Tabla4[[#This Row],[Número de Orden]],Cocina!F:F*Cocina!G:G,0))</f>
        <v>234</v>
      </c>
      <c r="BI702" t="str">
        <f>sala!J701</f>
        <v>Reservada</v>
      </c>
      <c r="BJ702" s="4" t="str">
        <f>IF(Tabla4[[#This Row],[Estado mesa]]="Ocupada","00:15","00:00")</f>
        <v>00:00</v>
      </c>
      <c r="BK702" cm="1">
        <f t="array" ref="BK702">SUM(IF(Cocina!A:A=Tabla4[[#This Row],[Número de Orden]],Cocina!H:H,0))</f>
        <v>86</v>
      </c>
    </row>
    <row r="703" spans="1:63" x14ac:dyDescent="0.3">
      <c r="A703" s="8" t="str">
        <f>MID(Tabla4[[#This Row],[Cliente]], SEARCH("_", Tabla4[[#This Row],[Cliente]]) + 1, LEN(Tabla4[[#This Row],[Cliente]]) - SEARCH("_",Tabla4[[#This Row],[Cliente]]))</f>
        <v>58</v>
      </c>
      <c r="B703">
        <f>sala!K702</f>
        <v>701</v>
      </c>
      <c r="C703">
        <f>Tabla4[[#This Row],[Propina]]+Tabla4[[#This Row],[Precio Cena]]</f>
        <v>4085</v>
      </c>
      <c r="D703" s="3">
        <f>INT(sala!E702)</f>
        <v>45023</v>
      </c>
      <c r="E703" s="4">
        <f>MOD( sala!D702,1)</f>
        <v>0.13888888889050577</v>
      </c>
      <c r="F703" s="4">
        <f>MOD( sala!E702,1)</f>
        <v>0.23958333333575865</v>
      </c>
      <c r="G703" s="4">
        <f>Tabla5[[#This Row],[Hora de Salida]]-Tabla5[[#This Row],[Hora de Llegada]]+Tabla4[[#This Row],[Tiempo Extra]]</f>
        <v>0.10069444444525288</v>
      </c>
      <c r="H703" s="5" t="str">
        <f>TEXT(Tabla4[[#This Row],[Preparación en horas]]/1440, "h:mm")</f>
        <v>1:37</v>
      </c>
      <c r="I703" s="4">
        <f>IF(Tabla5[[#This Row],[Tiempo Permanencia]]-Tabla5[[#This Row],[Tiempo de Preparación ]]&gt;=0,Tabla5[[#This Row],[Tiempo Permanencia]]-Tabla5[[#This Row],[Tiempo de Preparación ]],0)</f>
        <v>3.3333333334141776E-2</v>
      </c>
      <c r="J703" s="5" t="str">
        <f>IF(Tabla5[[#This Row],[Tiempo de Degustación]]=0,"No Cobrada","Cobrada")</f>
        <v>Cobrada</v>
      </c>
      <c r="K703" s="5" cm="1">
        <f t="array" ref="K703">SUM(IF(Tabla5[[#This Row],[Orden Cobrada]]="Cobrada",IF(Cocina!A:A=Tabla5[[#This Row],[Nº Orden]],Cocina!F:F*Cocina!G:G,0),-Tabla6[[#This Row],[Precio Cena]]))</f>
        <v>102</v>
      </c>
      <c r="L703" s="5">
        <f>IF(Tabla5[[#This Row],[Orden Cobrada]]="Cobrada",Tabla5[[#This Row],[Ganancia Bruta]]-Tabla6[[#This Row],[Coste Cena]],-Tabla6[[#This Row],[Precio Cena]]+Tabla6[[#This Row],[Coste Cena]])</f>
        <v>42</v>
      </c>
      <c r="M703" s="10">
        <f>IF(Tabla5[[#This Row],[Orden Cobrada]]="Cobrada",((Tabla5[[#This Row],[Ganancia Neta]]/Tabla5[[#This Row],[Ganancia Bruta]])*100)/100,-((Tabla5[[#This Row],[Ganancia Neta]]/Tabla5[[#This Row],[Ganancia Bruta]]*100)/100))</f>
        <v>0.41176470588235292</v>
      </c>
      <c r="N703" s="5" t="str">
        <f>sala!F702</f>
        <v>Mesero_4</v>
      </c>
      <c r="AY703" cm="1">
        <f t="array" ref="AY703">SUM(IF(Cocina!A:A=Tabla5[[#This Row],[Nº Orden]],Cocina!F:F*Cocina!G:G,0))</f>
        <v>102</v>
      </c>
      <c r="AZ703" cm="1">
        <f t="array" ref="AZ703">SUM(IF(Cocina!A:A=Tabla5[[#This Row],[Nº Orden]],Cocina!E:E*Cocina!G:G,0))</f>
        <v>60</v>
      </c>
      <c r="BB703" t="str">
        <f>MID(Tabla4[[#This Row],[Cliente]], SEARCH("_", Tabla4[[#This Row],[Cliente]]) + 1, LEN(Tabla4[[#This Row],[Cliente]]) - SEARCH("_",Tabla4[[#This Row],[Cliente]]))</f>
        <v>58</v>
      </c>
      <c r="BC703" t="str">
        <f>sala!B702</f>
        <v>Cliente_58</v>
      </c>
      <c r="BD703" s="1">
        <f>sala!D702</f>
        <v>45023.138888888891</v>
      </c>
      <c r="BE703" s="1">
        <f>sala!E702</f>
        <v>45023.239583333336</v>
      </c>
      <c r="BF703">
        <f>sala!K702</f>
        <v>701</v>
      </c>
      <c r="BG703">
        <f>sala!I702</f>
        <v>3983</v>
      </c>
      <c r="BH703" cm="1">
        <f t="array" ref="BH703">SUM(IF(Cocina!A:A=Tabla4[[#This Row],[Número de Orden]],Cocina!F:F*Cocina!G:G,0))</f>
        <v>102</v>
      </c>
      <c r="BI703" t="str">
        <f>sala!J702</f>
        <v>Libre</v>
      </c>
      <c r="BJ703" s="4" t="str">
        <f>IF(Tabla4[[#This Row],[Estado mesa]]="Ocupada","00:15","00:00")</f>
        <v>00:00</v>
      </c>
      <c r="BK703" cm="1">
        <f t="array" ref="BK703">SUM(IF(Cocina!A:A=Tabla4[[#This Row],[Número de Orden]],Cocina!H:H,0))</f>
        <v>97</v>
      </c>
    </row>
    <row r="704" spans="1:63" x14ac:dyDescent="0.3">
      <c r="A704" s="8" t="str">
        <f>MID(Tabla4[[#This Row],[Cliente]], SEARCH("_", Tabla4[[#This Row],[Cliente]]) + 1, LEN(Tabla4[[#This Row],[Cliente]]) - SEARCH("_",Tabla4[[#This Row],[Cliente]]))</f>
        <v>468</v>
      </c>
      <c r="B704">
        <f>sala!K703</f>
        <v>702</v>
      </c>
      <c r="C704">
        <f>Tabla4[[#This Row],[Propina]]+Tabla4[[#This Row],[Precio Cena]]</f>
        <v>4902</v>
      </c>
      <c r="D704" s="3">
        <f>INT(sala!E703)</f>
        <v>45023</v>
      </c>
      <c r="E704" s="4">
        <f>MOD( sala!D703,1)</f>
        <v>0.10416666666424135</v>
      </c>
      <c r="F704" s="4">
        <f>MOD( sala!E703,1)</f>
        <v>0.21875</v>
      </c>
      <c r="G704" s="4">
        <f>Tabla5[[#This Row],[Hora de Salida]]-Tabla5[[#This Row],[Hora de Llegada]]+Tabla4[[#This Row],[Tiempo Extra]]</f>
        <v>0.11458333333575865</v>
      </c>
      <c r="H704" s="5" t="str">
        <f>TEXT(Tabla4[[#This Row],[Preparación en horas]]/1440, "h:mm")</f>
        <v>2:35</v>
      </c>
      <c r="I704" s="4">
        <f>IF(Tabla5[[#This Row],[Tiempo Permanencia]]-Tabla5[[#This Row],[Tiempo de Preparación ]]&gt;=0,Tabla5[[#This Row],[Tiempo Permanencia]]-Tabla5[[#This Row],[Tiempo de Preparación ]],0)</f>
        <v>6.9444444468697575E-3</v>
      </c>
      <c r="J704" s="5" t="str">
        <f>IF(Tabla5[[#This Row],[Tiempo de Degustación]]=0,"No Cobrada","Cobrada")</f>
        <v>Cobrada</v>
      </c>
      <c r="K704" s="5" cm="1">
        <f t="array" ref="K704">SUM(IF(Tabla5[[#This Row],[Orden Cobrada]]="Cobrada",IF(Cocina!A:A=Tabla5[[#This Row],[Nº Orden]],Cocina!F:F*Cocina!G:G,0),-Tabla6[[#This Row],[Precio Cena]]))</f>
        <v>195</v>
      </c>
      <c r="L704" s="5">
        <f>IF(Tabla5[[#This Row],[Orden Cobrada]]="Cobrada",Tabla5[[#This Row],[Ganancia Bruta]]-Tabla6[[#This Row],[Coste Cena]],-Tabla6[[#This Row],[Precio Cena]]+Tabla6[[#This Row],[Coste Cena]])</f>
        <v>82</v>
      </c>
      <c r="M704" s="10">
        <f>IF(Tabla5[[#This Row],[Orden Cobrada]]="Cobrada",((Tabla5[[#This Row],[Ganancia Neta]]/Tabla5[[#This Row],[Ganancia Bruta]])*100)/100,-((Tabla5[[#This Row],[Ganancia Neta]]/Tabla5[[#This Row],[Ganancia Bruta]]*100)/100))</f>
        <v>0.42051282051282052</v>
      </c>
      <c r="N704" s="5" t="str">
        <f>sala!F703</f>
        <v>Mesero_3</v>
      </c>
      <c r="AY704" cm="1">
        <f t="array" ref="AY704">SUM(IF(Cocina!A:A=Tabla5[[#This Row],[Nº Orden]],Cocina!F:F*Cocina!G:G,0))</f>
        <v>195</v>
      </c>
      <c r="AZ704" cm="1">
        <f t="array" ref="AZ704">SUM(IF(Cocina!A:A=Tabla5[[#This Row],[Nº Orden]],Cocina!E:E*Cocina!G:G,0))</f>
        <v>113</v>
      </c>
      <c r="BB704" t="str">
        <f>MID(Tabla4[[#This Row],[Cliente]], SEARCH("_", Tabla4[[#This Row],[Cliente]]) + 1, LEN(Tabla4[[#This Row],[Cliente]]) - SEARCH("_",Tabla4[[#This Row],[Cliente]]))</f>
        <v>468</v>
      </c>
      <c r="BC704" t="str">
        <f>sala!B703</f>
        <v>Cliente_468</v>
      </c>
      <c r="BD704" s="1">
        <f>sala!D703</f>
        <v>45023.104166666664</v>
      </c>
      <c r="BE704" s="1">
        <f>sala!E703</f>
        <v>45023.21875</v>
      </c>
      <c r="BF704">
        <f>sala!K703</f>
        <v>702</v>
      </c>
      <c r="BG704">
        <f>sala!I703</f>
        <v>4707</v>
      </c>
      <c r="BH704" cm="1">
        <f t="array" ref="BH704">SUM(IF(Cocina!A:A=Tabla4[[#This Row],[Número de Orden]],Cocina!F:F*Cocina!G:G,0))</f>
        <v>195</v>
      </c>
      <c r="BI704" t="str">
        <f>sala!J703</f>
        <v>Libre</v>
      </c>
      <c r="BJ704" s="4" t="str">
        <f>IF(Tabla4[[#This Row],[Estado mesa]]="Ocupada","00:15","00:00")</f>
        <v>00:00</v>
      </c>
      <c r="BK704" cm="1">
        <f t="array" ref="BK704">SUM(IF(Cocina!A:A=Tabla4[[#This Row],[Número de Orden]],Cocina!H:H,0))</f>
        <v>155</v>
      </c>
    </row>
    <row r="705" spans="1:63" x14ac:dyDescent="0.3">
      <c r="A705" s="8" t="str">
        <f>MID(Tabla4[[#This Row],[Cliente]], SEARCH("_", Tabla4[[#This Row],[Cliente]]) + 1, LEN(Tabla4[[#This Row],[Cliente]]) - SEARCH("_",Tabla4[[#This Row],[Cliente]]))</f>
        <v>714</v>
      </c>
      <c r="B705">
        <f>sala!K704</f>
        <v>703</v>
      </c>
      <c r="C705">
        <f>Tabla4[[#This Row],[Propina]]+Tabla4[[#This Row],[Precio Cena]]</f>
        <v>2287</v>
      </c>
      <c r="D705" s="3">
        <f>INT(sala!E704)</f>
        <v>45023</v>
      </c>
      <c r="E705" s="4">
        <f>MOD( sala!D704,1)</f>
        <v>1.1805555557657499E-2</v>
      </c>
      <c r="F705" s="4">
        <f>MOD( sala!E704,1)</f>
        <v>9.6527777779556345E-2</v>
      </c>
      <c r="G705" s="4">
        <f>Tabla5[[#This Row],[Hora de Salida]]-Tabla5[[#This Row],[Hora de Llegada]]+Tabla4[[#This Row],[Tiempo Extra]]</f>
        <v>9.5138888888565518E-2</v>
      </c>
      <c r="H705" s="5" t="str">
        <f>TEXT(Tabla4[[#This Row],[Preparación en horas]]/1440, "h:mm")</f>
        <v>0:29</v>
      </c>
      <c r="I705" s="4">
        <f>IF(Tabla5[[#This Row],[Tiempo Permanencia]]-Tabla5[[#This Row],[Tiempo de Preparación ]]&gt;=0,Tabla5[[#This Row],[Tiempo Permanencia]]-Tabla5[[#This Row],[Tiempo de Preparación ]],0)</f>
        <v>7.4999999999676631E-2</v>
      </c>
      <c r="J705" s="5" t="str">
        <f>IF(Tabla5[[#This Row],[Tiempo de Degustación]]=0,"No Cobrada","Cobrada")</f>
        <v>Cobrada</v>
      </c>
      <c r="K705" s="5" cm="1">
        <f t="array" ref="K705">SUM(IF(Tabla5[[#This Row],[Orden Cobrada]]="Cobrada",IF(Cocina!A:A=Tabla5[[#This Row],[Nº Orden]],Cocina!F:F*Cocina!G:G,0),-Tabla6[[#This Row],[Precio Cena]]))</f>
        <v>63</v>
      </c>
      <c r="L705" s="5">
        <f>IF(Tabla5[[#This Row],[Orden Cobrada]]="Cobrada",Tabla5[[#This Row],[Ganancia Bruta]]-Tabla6[[#This Row],[Coste Cena]],-Tabla6[[#This Row],[Precio Cena]]+Tabla6[[#This Row],[Coste Cena]])</f>
        <v>24</v>
      </c>
      <c r="M705" s="10">
        <f>IF(Tabla5[[#This Row],[Orden Cobrada]]="Cobrada",((Tabla5[[#This Row],[Ganancia Neta]]/Tabla5[[#This Row],[Ganancia Bruta]])*100)/100,-((Tabla5[[#This Row],[Ganancia Neta]]/Tabla5[[#This Row],[Ganancia Bruta]]*100)/100))</f>
        <v>0.38095238095238093</v>
      </c>
      <c r="N705" s="5" t="str">
        <f>sala!F704</f>
        <v>Mesero_1</v>
      </c>
      <c r="AY705" cm="1">
        <f t="array" ref="AY705">SUM(IF(Cocina!A:A=Tabla5[[#This Row],[Nº Orden]],Cocina!F:F*Cocina!G:G,0))</f>
        <v>63</v>
      </c>
      <c r="AZ705" cm="1">
        <f t="array" ref="AZ705">SUM(IF(Cocina!A:A=Tabla5[[#This Row],[Nº Orden]],Cocina!E:E*Cocina!G:G,0))</f>
        <v>39</v>
      </c>
      <c r="BB705" t="str">
        <f>MID(Tabla4[[#This Row],[Cliente]], SEARCH("_", Tabla4[[#This Row],[Cliente]]) + 1, LEN(Tabla4[[#This Row],[Cliente]]) - SEARCH("_",Tabla4[[#This Row],[Cliente]]))</f>
        <v>714</v>
      </c>
      <c r="BC705" t="str">
        <f>sala!B704</f>
        <v>Cliente_714</v>
      </c>
      <c r="BD705" s="1">
        <f>sala!D704</f>
        <v>45023.011805555558</v>
      </c>
      <c r="BE705" s="1">
        <f>sala!E704</f>
        <v>45023.09652777778</v>
      </c>
      <c r="BF705">
        <f>sala!K704</f>
        <v>703</v>
      </c>
      <c r="BG705">
        <f>sala!I704</f>
        <v>2224</v>
      </c>
      <c r="BH705" cm="1">
        <f t="array" ref="BH705">SUM(IF(Cocina!A:A=Tabla4[[#This Row],[Número de Orden]],Cocina!F:F*Cocina!G:G,0))</f>
        <v>63</v>
      </c>
      <c r="BI705" t="str">
        <f>sala!J704</f>
        <v>Ocupada</v>
      </c>
      <c r="BJ705" s="4" t="str">
        <f>IF(Tabla4[[#This Row],[Estado mesa]]="Ocupada","00:15","00:00")</f>
        <v>00:15</v>
      </c>
      <c r="BK705" cm="1">
        <f t="array" ref="BK705">SUM(IF(Cocina!A:A=Tabla4[[#This Row],[Número de Orden]],Cocina!H:H,0))</f>
        <v>29</v>
      </c>
    </row>
    <row r="706" spans="1:63" x14ac:dyDescent="0.3">
      <c r="A706" s="8" t="str">
        <f>MID(Tabla4[[#This Row],[Cliente]], SEARCH("_", Tabla4[[#This Row],[Cliente]]) + 1, LEN(Tabla4[[#This Row],[Cliente]]) - SEARCH("_",Tabla4[[#This Row],[Cliente]]))</f>
        <v>950</v>
      </c>
      <c r="B706">
        <f>sala!K705</f>
        <v>704</v>
      </c>
      <c r="C706">
        <f>Tabla4[[#This Row],[Propina]]+Tabla4[[#This Row],[Precio Cena]]</f>
        <v>3347</v>
      </c>
      <c r="D706" s="3">
        <f>INT(sala!E705)</f>
        <v>45023</v>
      </c>
      <c r="E706" s="4">
        <f>MOD( sala!D705,1)</f>
        <v>6.9444444445252884E-2</v>
      </c>
      <c r="F706" s="4">
        <f>MOD( sala!E705,1)</f>
        <v>0.18680555555329192</v>
      </c>
      <c r="G706" s="4">
        <f>Tabla5[[#This Row],[Hora de Salida]]-Tabla5[[#This Row],[Hora de Llegada]]+Tabla4[[#This Row],[Tiempo Extra]]</f>
        <v>0.11736111110803904</v>
      </c>
      <c r="H706" s="5" t="str">
        <f>TEXT(Tabla4[[#This Row],[Preparación en horas]]/1440, "h:mm")</f>
        <v>0:38</v>
      </c>
      <c r="I706" s="4">
        <f>IF(Tabla5[[#This Row],[Tiempo Permanencia]]-Tabla5[[#This Row],[Tiempo de Preparación ]]&gt;=0,Tabla5[[#This Row],[Tiempo Permanencia]]-Tabla5[[#This Row],[Tiempo de Preparación ]],0)</f>
        <v>9.0972222219150148E-2</v>
      </c>
      <c r="J706" s="5" t="str">
        <f>IF(Tabla5[[#This Row],[Tiempo de Degustación]]=0,"No Cobrada","Cobrada")</f>
        <v>Cobrada</v>
      </c>
      <c r="K706" s="5" cm="1">
        <f t="array" ref="K706">SUM(IF(Tabla5[[#This Row],[Orden Cobrada]]="Cobrada",IF(Cocina!A:A=Tabla5[[#This Row],[Nº Orden]],Cocina!F:F*Cocina!G:G,0),-Tabla6[[#This Row],[Precio Cena]]))</f>
        <v>18</v>
      </c>
      <c r="L706" s="5">
        <f>IF(Tabla5[[#This Row],[Orden Cobrada]]="Cobrada",Tabla5[[#This Row],[Ganancia Bruta]]-Tabla6[[#This Row],[Coste Cena]],-Tabla6[[#This Row],[Precio Cena]]+Tabla6[[#This Row],[Coste Cena]])</f>
        <v>8</v>
      </c>
      <c r="M706" s="10">
        <f>IF(Tabla5[[#This Row],[Orden Cobrada]]="Cobrada",((Tabla5[[#This Row],[Ganancia Neta]]/Tabla5[[#This Row],[Ganancia Bruta]])*100)/100,-((Tabla5[[#This Row],[Ganancia Neta]]/Tabla5[[#This Row],[Ganancia Bruta]]*100)/100))</f>
        <v>0.44444444444444442</v>
      </c>
      <c r="N706" s="5" t="str">
        <f>sala!F705</f>
        <v>Mesero_2</v>
      </c>
      <c r="AY706" cm="1">
        <f t="array" ref="AY706">SUM(IF(Cocina!A:A=Tabla5[[#This Row],[Nº Orden]],Cocina!F:F*Cocina!G:G,0))</f>
        <v>18</v>
      </c>
      <c r="AZ706" cm="1">
        <f t="array" ref="AZ706">SUM(IF(Cocina!A:A=Tabla5[[#This Row],[Nº Orden]],Cocina!E:E*Cocina!G:G,0))</f>
        <v>10</v>
      </c>
      <c r="BB706" t="str">
        <f>MID(Tabla4[[#This Row],[Cliente]], SEARCH("_", Tabla4[[#This Row],[Cliente]]) + 1, LEN(Tabla4[[#This Row],[Cliente]]) - SEARCH("_",Tabla4[[#This Row],[Cliente]]))</f>
        <v>950</v>
      </c>
      <c r="BC706" t="str">
        <f>sala!B705</f>
        <v>Cliente_950</v>
      </c>
      <c r="BD706" s="1">
        <f>sala!D705</f>
        <v>45023.069444444445</v>
      </c>
      <c r="BE706" s="1">
        <f>sala!E705</f>
        <v>45023.186805555553</v>
      </c>
      <c r="BF706">
        <f>sala!K705</f>
        <v>704</v>
      </c>
      <c r="BG706">
        <f>sala!I705</f>
        <v>3329</v>
      </c>
      <c r="BH706" cm="1">
        <f t="array" ref="BH706">SUM(IF(Cocina!A:A=Tabla4[[#This Row],[Número de Orden]],Cocina!F:F*Cocina!G:G,0))</f>
        <v>18</v>
      </c>
      <c r="BI706" t="str">
        <f>sala!J705</f>
        <v>Reservada</v>
      </c>
      <c r="BJ706" s="4" t="str">
        <f>IF(Tabla4[[#This Row],[Estado mesa]]="Ocupada","00:15","00:00")</f>
        <v>00:00</v>
      </c>
      <c r="BK706" cm="1">
        <f t="array" ref="BK706">SUM(IF(Cocina!A:A=Tabla4[[#This Row],[Número de Orden]],Cocina!H:H,0))</f>
        <v>38</v>
      </c>
    </row>
    <row r="707" spans="1:63" x14ac:dyDescent="0.3">
      <c r="A707" s="8" t="str">
        <f>MID(Tabla4[[#This Row],[Cliente]], SEARCH("_", Tabla4[[#This Row],[Cliente]]) + 1, LEN(Tabla4[[#This Row],[Cliente]]) - SEARCH("_",Tabla4[[#This Row],[Cliente]]))</f>
        <v>372</v>
      </c>
      <c r="B707">
        <f>sala!K706</f>
        <v>705</v>
      </c>
      <c r="C707">
        <f>Tabla4[[#This Row],[Propina]]+Tabla4[[#This Row],[Precio Cena]]</f>
        <v>4419</v>
      </c>
      <c r="D707" s="3">
        <f>INT(sala!E706)</f>
        <v>45023</v>
      </c>
      <c r="E707" s="4">
        <f>MOD( sala!D706,1)</f>
        <v>7.4999999997089617E-2</v>
      </c>
      <c r="F707" s="4">
        <f>MOD( sala!E706,1)</f>
        <v>0.12013888888759539</v>
      </c>
      <c r="G707" s="4">
        <f>Tabla5[[#This Row],[Hora de Salida]]-Tabla5[[#This Row],[Hora de Llegada]]+Tabla4[[#This Row],[Tiempo Extra]]</f>
        <v>4.5138888890505768E-2</v>
      </c>
      <c r="H707" s="5" t="str">
        <f>TEXT(Tabla4[[#This Row],[Preparación en horas]]/1440, "h:mm")</f>
        <v>0:33</v>
      </c>
      <c r="I707" s="4">
        <f>IF(Tabla5[[#This Row],[Tiempo Permanencia]]-Tabla5[[#This Row],[Tiempo de Preparación ]]&gt;=0,Tabla5[[#This Row],[Tiempo Permanencia]]-Tabla5[[#This Row],[Tiempo de Preparación ]],0)</f>
        <v>2.2222222223839103E-2</v>
      </c>
      <c r="J707" s="5" t="str">
        <f>IF(Tabla5[[#This Row],[Tiempo de Degustación]]=0,"No Cobrada","Cobrada")</f>
        <v>Cobrada</v>
      </c>
      <c r="K707" s="5" cm="1">
        <f t="array" ref="K707">SUM(IF(Tabla5[[#This Row],[Orden Cobrada]]="Cobrada",IF(Cocina!A:A=Tabla5[[#This Row],[Nº Orden]],Cocina!F:F*Cocina!G:G,0),-Tabla6[[#This Row],[Precio Cena]]))</f>
        <v>112</v>
      </c>
      <c r="L707" s="5">
        <f>IF(Tabla5[[#This Row],[Orden Cobrada]]="Cobrada",Tabla5[[#This Row],[Ganancia Bruta]]-Tabla6[[#This Row],[Coste Cena]],-Tabla6[[#This Row],[Precio Cena]]+Tabla6[[#This Row],[Coste Cena]])</f>
        <v>46</v>
      </c>
      <c r="M707" s="10">
        <f>IF(Tabla5[[#This Row],[Orden Cobrada]]="Cobrada",((Tabla5[[#This Row],[Ganancia Neta]]/Tabla5[[#This Row],[Ganancia Bruta]])*100)/100,-((Tabla5[[#This Row],[Ganancia Neta]]/Tabla5[[#This Row],[Ganancia Bruta]]*100)/100))</f>
        <v>0.4107142857142857</v>
      </c>
      <c r="N707" s="5" t="str">
        <f>sala!F706</f>
        <v>Mesero_2</v>
      </c>
      <c r="AY707" cm="1">
        <f t="array" ref="AY707">SUM(IF(Cocina!A:A=Tabla5[[#This Row],[Nº Orden]],Cocina!F:F*Cocina!G:G,0))</f>
        <v>112</v>
      </c>
      <c r="AZ707" cm="1">
        <f t="array" ref="AZ707">SUM(IF(Cocina!A:A=Tabla5[[#This Row],[Nº Orden]],Cocina!E:E*Cocina!G:G,0))</f>
        <v>66</v>
      </c>
      <c r="BB707" t="str">
        <f>MID(Tabla4[[#This Row],[Cliente]], SEARCH("_", Tabla4[[#This Row],[Cliente]]) + 1, LEN(Tabla4[[#This Row],[Cliente]]) - SEARCH("_",Tabla4[[#This Row],[Cliente]]))</f>
        <v>372</v>
      </c>
      <c r="BC707" t="str">
        <f>sala!B706</f>
        <v>Cliente_372</v>
      </c>
      <c r="BD707" s="1">
        <f>sala!D706</f>
        <v>45023.074999999997</v>
      </c>
      <c r="BE707" s="1">
        <f>sala!E706</f>
        <v>45023.120138888888</v>
      </c>
      <c r="BF707">
        <f>sala!K706</f>
        <v>705</v>
      </c>
      <c r="BG707">
        <f>sala!I706</f>
        <v>4307</v>
      </c>
      <c r="BH707" cm="1">
        <f t="array" ref="BH707">SUM(IF(Cocina!A:A=Tabla4[[#This Row],[Número de Orden]],Cocina!F:F*Cocina!G:G,0))</f>
        <v>112</v>
      </c>
      <c r="BI707" t="str">
        <f>sala!J706</f>
        <v>Libre</v>
      </c>
      <c r="BJ707" s="4" t="str">
        <f>IF(Tabla4[[#This Row],[Estado mesa]]="Ocupada","00:15","00:00")</f>
        <v>00:00</v>
      </c>
      <c r="BK707" cm="1">
        <f t="array" ref="BK707">SUM(IF(Cocina!A:A=Tabla4[[#This Row],[Número de Orden]],Cocina!H:H,0))</f>
        <v>33</v>
      </c>
    </row>
    <row r="708" spans="1:63" x14ac:dyDescent="0.3">
      <c r="A708" s="8" t="str">
        <f>MID(Tabla4[[#This Row],[Cliente]], SEARCH("_", Tabla4[[#This Row],[Cliente]]) + 1, LEN(Tabla4[[#This Row],[Cliente]]) - SEARCH("_",Tabla4[[#This Row],[Cliente]]))</f>
        <v>663</v>
      </c>
      <c r="B708">
        <f>sala!K707</f>
        <v>706</v>
      </c>
      <c r="C708">
        <f>Tabla4[[#This Row],[Propina]]+Tabla4[[#This Row],[Precio Cena]]</f>
        <v>4499</v>
      </c>
      <c r="D708" s="3">
        <f>INT(sala!E707)</f>
        <v>45023</v>
      </c>
      <c r="E708" s="4">
        <f>MOD( sala!D707,1)</f>
        <v>5.1388888889050577E-2</v>
      </c>
      <c r="F708" s="4">
        <f>MOD( sala!E707,1)</f>
        <v>0.20416666667006211</v>
      </c>
      <c r="G708" s="4">
        <f>Tabla5[[#This Row],[Hora de Salida]]-Tabla5[[#This Row],[Hora de Llegada]]+Tabla4[[#This Row],[Tiempo Extra]]</f>
        <v>0.16319444444767819</v>
      </c>
      <c r="H708" s="5" t="str">
        <f>TEXT(Tabla4[[#This Row],[Preparación en horas]]/1440, "h:mm")</f>
        <v>0:33</v>
      </c>
      <c r="I708" s="4">
        <f>IF(Tabla5[[#This Row],[Tiempo Permanencia]]-Tabla5[[#This Row],[Tiempo de Preparación ]]&gt;=0,Tabla5[[#This Row],[Tiempo Permanencia]]-Tabla5[[#This Row],[Tiempo de Preparación ]],0)</f>
        <v>0.14027777778101153</v>
      </c>
      <c r="J708" s="5" t="str">
        <f>IF(Tabla5[[#This Row],[Tiempo de Degustación]]=0,"No Cobrada","Cobrada")</f>
        <v>Cobrada</v>
      </c>
      <c r="K708" s="5" cm="1">
        <f t="array" ref="K708">SUM(IF(Tabla5[[#This Row],[Orden Cobrada]]="Cobrada",IF(Cocina!A:A=Tabla5[[#This Row],[Nº Orden]],Cocina!F:F*Cocina!G:G,0),-Tabla6[[#This Row],[Precio Cena]]))</f>
        <v>54</v>
      </c>
      <c r="L708" s="5">
        <f>IF(Tabla5[[#This Row],[Orden Cobrada]]="Cobrada",Tabla5[[#This Row],[Ganancia Bruta]]-Tabla6[[#This Row],[Coste Cena]],-Tabla6[[#This Row],[Precio Cena]]+Tabla6[[#This Row],[Coste Cena]])</f>
        <v>24</v>
      </c>
      <c r="M708" s="10">
        <f>IF(Tabla5[[#This Row],[Orden Cobrada]]="Cobrada",((Tabla5[[#This Row],[Ganancia Neta]]/Tabla5[[#This Row],[Ganancia Bruta]])*100)/100,-((Tabla5[[#This Row],[Ganancia Neta]]/Tabla5[[#This Row],[Ganancia Bruta]]*100)/100))</f>
        <v>0.44444444444444442</v>
      </c>
      <c r="N708" s="5" t="str">
        <f>sala!F707</f>
        <v>Mesero_1</v>
      </c>
      <c r="AY708" cm="1">
        <f t="array" ref="AY708">SUM(IF(Cocina!A:A=Tabla5[[#This Row],[Nº Orden]],Cocina!F:F*Cocina!G:G,0))</f>
        <v>54</v>
      </c>
      <c r="AZ708" cm="1">
        <f t="array" ref="AZ708">SUM(IF(Cocina!A:A=Tabla5[[#This Row],[Nº Orden]],Cocina!E:E*Cocina!G:G,0))</f>
        <v>30</v>
      </c>
      <c r="BB708" t="str">
        <f>MID(Tabla4[[#This Row],[Cliente]], SEARCH("_", Tabla4[[#This Row],[Cliente]]) + 1, LEN(Tabla4[[#This Row],[Cliente]]) - SEARCH("_",Tabla4[[#This Row],[Cliente]]))</f>
        <v>663</v>
      </c>
      <c r="BC708" t="str">
        <f>sala!B707</f>
        <v>Cliente_663</v>
      </c>
      <c r="BD708" s="1">
        <f>sala!D707</f>
        <v>45023.051388888889</v>
      </c>
      <c r="BE708" s="1">
        <f>sala!E707</f>
        <v>45023.20416666667</v>
      </c>
      <c r="BF708">
        <f>sala!K707</f>
        <v>706</v>
      </c>
      <c r="BG708">
        <f>sala!I707</f>
        <v>4445</v>
      </c>
      <c r="BH708" cm="1">
        <f t="array" ref="BH708">SUM(IF(Cocina!A:A=Tabla4[[#This Row],[Número de Orden]],Cocina!F:F*Cocina!G:G,0))</f>
        <v>54</v>
      </c>
      <c r="BI708" t="str">
        <f>sala!J707</f>
        <v>Ocupada</v>
      </c>
      <c r="BJ708" s="4" t="str">
        <f>IF(Tabla4[[#This Row],[Estado mesa]]="Ocupada","00:15","00:00")</f>
        <v>00:15</v>
      </c>
      <c r="BK708" cm="1">
        <f t="array" ref="BK708">SUM(IF(Cocina!A:A=Tabla4[[#This Row],[Número de Orden]],Cocina!H:H,0))</f>
        <v>33</v>
      </c>
    </row>
    <row r="709" spans="1:63" x14ac:dyDescent="0.3">
      <c r="A709" s="8" t="str">
        <f>MID(Tabla4[[#This Row],[Cliente]], SEARCH("_", Tabla4[[#This Row],[Cliente]]) + 1, LEN(Tabla4[[#This Row],[Cliente]]) - SEARCH("_",Tabla4[[#This Row],[Cliente]]))</f>
        <v>801</v>
      </c>
      <c r="B709">
        <f>sala!K708</f>
        <v>707</v>
      </c>
      <c r="C709">
        <f>Tabla4[[#This Row],[Propina]]+Tabla4[[#This Row],[Precio Cena]]</f>
        <v>4224</v>
      </c>
      <c r="D709" s="3">
        <f>INT(sala!E708)</f>
        <v>45023</v>
      </c>
      <c r="E709" s="4">
        <f>MOD( sala!D708,1)</f>
        <v>0.12847222221898846</v>
      </c>
      <c r="F709" s="4">
        <f>MOD( sala!E708,1)</f>
        <v>0.22430555555911269</v>
      </c>
      <c r="G709" s="4">
        <f>Tabla5[[#This Row],[Hora de Salida]]-Tabla5[[#This Row],[Hora de Llegada]]+Tabla4[[#This Row],[Tiempo Extra]]</f>
        <v>9.5833333340124227E-2</v>
      </c>
      <c r="H709" s="5" t="str">
        <f>TEXT(Tabla4[[#This Row],[Preparación en horas]]/1440, "h:mm")</f>
        <v>2:17</v>
      </c>
      <c r="I709" s="4">
        <f>IF(Tabla5[[#This Row],[Tiempo Permanencia]]-Tabla5[[#This Row],[Tiempo de Preparación ]]&gt;=0,Tabla5[[#This Row],[Tiempo Permanencia]]-Tabla5[[#This Row],[Tiempo de Preparación ]],0)</f>
        <v>6.9444445123534315E-4</v>
      </c>
      <c r="J709" s="5" t="str">
        <f>IF(Tabla5[[#This Row],[Tiempo de Degustación]]=0,"No Cobrada","Cobrada")</f>
        <v>Cobrada</v>
      </c>
      <c r="K709" s="5" cm="1">
        <f t="array" ref="K709">SUM(IF(Tabla5[[#This Row],[Orden Cobrada]]="Cobrada",IF(Cocina!A:A=Tabla5[[#This Row],[Nº Orden]],Cocina!F:F*Cocina!G:G,0),-Tabla6[[#This Row],[Precio Cena]]))</f>
        <v>185</v>
      </c>
      <c r="L709" s="5">
        <f>IF(Tabla5[[#This Row],[Orden Cobrada]]="Cobrada",Tabla5[[#This Row],[Ganancia Bruta]]-Tabla6[[#This Row],[Coste Cena]],-Tabla6[[#This Row],[Precio Cena]]+Tabla6[[#This Row],[Coste Cena]])</f>
        <v>73</v>
      </c>
      <c r="M709" s="10">
        <f>IF(Tabla5[[#This Row],[Orden Cobrada]]="Cobrada",((Tabla5[[#This Row],[Ganancia Neta]]/Tabla5[[#This Row],[Ganancia Bruta]])*100)/100,-((Tabla5[[#This Row],[Ganancia Neta]]/Tabla5[[#This Row],[Ganancia Bruta]]*100)/100))</f>
        <v>0.39459459459459462</v>
      </c>
      <c r="N709" s="5" t="str">
        <f>sala!F708</f>
        <v>Mesero_2</v>
      </c>
      <c r="AY709" cm="1">
        <f t="array" ref="AY709">SUM(IF(Cocina!A:A=Tabla5[[#This Row],[Nº Orden]],Cocina!F:F*Cocina!G:G,0))</f>
        <v>185</v>
      </c>
      <c r="AZ709" cm="1">
        <f t="array" ref="AZ709">SUM(IF(Cocina!A:A=Tabla5[[#This Row],[Nº Orden]],Cocina!E:E*Cocina!G:G,0))</f>
        <v>112</v>
      </c>
      <c r="BB709" t="str">
        <f>MID(Tabla4[[#This Row],[Cliente]], SEARCH("_", Tabla4[[#This Row],[Cliente]]) + 1, LEN(Tabla4[[#This Row],[Cliente]]) - SEARCH("_",Tabla4[[#This Row],[Cliente]]))</f>
        <v>801</v>
      </c>
      <c r="BC709" t="str">
        <f>sala!B708</f>
        <v>Cliente_801</v>
      </c>
      <c r="BD709" s="1">
        <f>sala!D708</f>
        <v>45023.128472222219</v>
      </c>
      <c r="BE709" s="1">
        <f>sala!E708</f>
        <v>45023.224305555559</v>
      </c>
      <c r="BF709">
        <f>sala!K708</f>
        <v>707</v>
      </c>
      <c r="BG709">
        <f>sala!I708</f>
        <v>4039</v>
      </c>
      <c r="BH709" cm="1">
        <f t="array" ref="BH709">SUM(IF(Cocina!A:A=Tabla4[[#This Row],[Número de Orden]],Cocina!F:F*Cocina!G:G,0))</f>
        <v>185</v>
      </c>
      <c r="BI709" t="str">
        <f>sala!J708</f>
        <v>Reservada</v>
      </c>
      <c r="BJ709" s="4" t="str">
        <f>IF(Tabla4[[#This Row],[Estado mesa]]="Ocupada","00:15","00:00")</f>
        <v>00:00</v>
      </c>
      <c r="BK709" cm="1">
        <f t="array" ref="BK709">SUM(IF(Cocina!A:A=Tabla4[[#This Row],[Número de Orden]],Cocina!H:H,0))</f>
        <v>137</v>
      </c>
    </row>
    <row r="710" spans="1:63" x14ac:dyDescent="0.3">
      <c r="A710" s="8" t="str">
        <f>MID(Tabla4[[#This Row],[Cliente]], SEARCH("_", Tabla4[[#This Row],[Cliente]]) + 1, LEN(Tabla4[[#This Row],[Cliente]]) - SEARCH("_",Tabla4[[#This Row],[Cliente]]))</f>
        <v>804</v>
      </c>
      <c r="B710">
        <f>sala!K709</f>
        <v>708</v>
      </c>
      <c r="C710">
        <f>Tabla4[[#This Row],[Propina]]+Tabla4[[#This Row],[Precio Cena]]</f>
        <v>472</v>
      </c>
      <c r="D710" s="3">
        <f>INT(sala!E709)</f>
        <v>45023</v>
      </c>
      <c r="E710" s="4">
        <f>MOD( sala!D709,1)</f>
        <v>0.15000000000145519</v>
      </c>
      <c r="F710" s="4">
        <f>MOD( sala!E709,1)</f>
        <v>0.30833333333430346</v>
      </c>
      <c r="G710" s="4">
        <f>Tabla5[[#This Row],[Hora de Salida]]-Tabla5[[#This Row],[Hora de Llegada]]+Tabla4[[#This Row],[Tiempo Extra]]</f>
        <v>0.16874999999951493</v>
      </c>
      <c r="H710" s="5" t="str">
        <f>TEXT(Tabla4[[#This Row],[Preparación en horas]]/1440, "h:mm")</f>
        <v>0:24</v>
      </c>
      <c r="I710" s="4">
        <f>IF(Tabla5[[#This Row],[Tiempo Permanencia]]-Tabla5[[#This Row],[Tiempo de Preparación ]]&gt;=0,Tabla5[[#This Row],[Tiempo Permanencia]]-Tabla5[[#This Row],[Tiempo de Preparación ]],0)</f>
        <v>0.15208333333284826</v>
      </c>
      <c r="J710" s="5" t="str">
        <f>IF(Tabla5[[#This Row],[Tiempo de Degustación]]=0,"No Cobrada","Cobrada")</f>
        <v>Cobrada</v>
      </c>
      <c r="K710" s="5" cm="1">
        <f t="array" ref="K710">SUM(IF(Tabla5[[#This Row],[Orden Cobrada]]="Cobrada",IF(Cocina!A:A=Tabla5[[#This Row],[Nº Orden]],Cocina!F:F*Cocina!G:G,0),-Tabla6[[#This Row],[Precio Cena]]))</f>
        <v>54</v>
      </c>
      <c r="L710" s="5">
        <f>IF(Tabla5[[#This Row],[Orden Cobrada]]="Cobrada",Tabla5[[#This Row],[Ganancia Bruta]]-Tabla6[[#This Row],[Coste Cena]],-Tabla6[[#This Row],[Precio Cena]]+Tabla6[[#This Row],[Coste Cena]])</f>
        <v>22</v>
      </c>
      <c r="M710" s="10">
        <f>IF(Tabla5[[#This Row],[Orden Cobrada]]="Cobrada",((Tabla5[[#This Row],[Ganancia Neta]]/Tabla5[[#This Row],[Ganancia Bruta]])*100)/100,-((Tabla5[[#This Row],[Ganancia Neta]]/Tabla5[[#This Row],[Ganancia Bruta]]*100)/100))</f>
        <v>0.40740740740740738</v>
      </c>
      <c r="N710" s="5" t="str">
        <f>sala!F709</f>
        <v>Mesero_3</v>
      </c>
      <c r="AY710" cm="1">
        <f t="array" ref="AY710">SUM(IF(Cocina!A:A=Tabla5[[#This Row],[Nº Orden]],Cocina!F:F*Cocina!G:G,0))</f>
        <v>54</v>
      </c>
      <c r="AZ710" cm="1">
        <f t="array" ref="AZ710">SUM(IF(Cocina!A:A=Tabla5[[#This Row],[Nº Orden]],Cocina!E:E*Cocina!G:G,0))</f>
        <v>32</v>
      </c>
      <c r="BB710" t="str">
        <f>MID(Tabla4[[#This Row],[Cliente]], SEARCH("_", Tabla4[[#This Row],[Cliente]]) + 1, LEN(Tabla4[[#This Row],[Cliente]]) - SEARCH("_",Tabla4[[#This Row],[Cliente]]))</f>
        <v>804</v>
      </c>
      <c r="BC710" t="str">
        <f>sala!B709</f>
        <v>Cliente_804</v>
      </c>
      <c r="BD710" s="1">
        <f>sala!D709</f>
        <v>45023.15</v>
      </c>
      <c r="BE710" s="1">
        <f>sala!E709</f>
        <v>45023.308333333334</v>
      </c>
      <c r="BF710">
        <f>sala!K709</f>
        <v>708</v>
      </c>
      <c r="BG710">
        <f>sala!I709</f>
        <v>418</v>
      </c>
      <c r="BH710" cm="1">
        <f t="array" ref="BH710">SUM(IF(Cocina!A:A=Tabla4[[#This Row],[Número de Orden]],Cocina!F:F*Cocina!G:G,0))</f>
        <v>54</v>
      </c>
      <c r="BI710" t="str">
        <f>sala!J709</f>
        <v>Ocupada</v>
      </c>
      <c r="BJ710" s="4" t="str">
        <f>IF(Tabla4[[#This Row],[Estado mesa]]="Ocupada","00:15","00:00")</f>
        <v>00:15</v>
      </c>
      <c r="BK710" cm="1">
        <f t="array" ref="BK710">SUM(IF(Cocina!A:A=Tabla4[[#This Row],[Número de Orden]],Cocina!H:H,0))</f>
        <v>24</v>
      </c>
    </row>
    <row r="711" spans="1:63" x14ac:dyDescent="0.3">
      <c r="A711" s="8" t="str">
        <f>MID(Tabla4[[#This Row],[Cliente]], SEARCH("_", Tabla4[[#This Row],[Cliente]]) + 1, LEN(Tabla4[[#This Row],[Cliente]]) - SEARCH("_",Tabla4[[#This Row],[Cliente]]))</f>
        <v>208</v>
      </c>
      <c r="B711">
        <f>sala!K710</f>
        <v>709</v>
      </c>
      <c r="C711">
        <f>Tabla4[[#This Row],[Propina]]+Tabla4[[#This Row],[Precio Cena]]</f>
        <v>2808</v>
      </c>
      <c r="D711" s="3">
        <f>INT(sala!E710)</f>
        <v>45023</v>
      </c>
      <c r="E711" s="4">
        <f>MOD( sala!D710,1)</f>
        <v>7.9861111109494232E-2</v>
      </c>
      <c r="F711" s="4">
        <f>MOD( sala!E710,1)</f>
        <v>0.15277777778101154</v>
      </c>
      <c r="G711" s="4">
        <f>Tabla5[[#This Row],[Hora de Salida]]-Tabla5[[#This Row],[Hora de Llegada]]+Tabla4[[#This Row],[Tiempo Extra]]</f>
        <v>8.3333333338183976E-2</v>
      </c>
      <c r="H711" s="5" t="str">
        <f>TEXT(Tabla4[[#This Row],[Preparación en horas]]/1440, "h:mm")</f>
        <v>1:38</v>
      </c>
      <c r="I711" s="4">
        <f>IF(Tabla5[[#This Row],[Tiempo Permanencia]]-Tabla5[[#This Row],[Tiempo de Preparación ]]&gt;=0,Tabla5[[#This Row],[Tiempo Permanencia]]-Tabla5[[#This Row],[Tiempo de Preparación ]],0)</f>
        <v>1.5277777782628427E-2</v>
      </c>
      <c r="J711" s="5" t="str">
        <f>IF(Tabla5[[#This Row],[Tiempo de Degustación]]=0,"No Cobrada","Cobrada")</f>
        <v>Cobrada</v>
      </c>
      <c r="K711" s="5" cm="1">
        <f t="array" ref="K711">SUM(IF(Tabla5[[#This Row],[Orden Cobrada]]="Cobrada",IF(Cocina!A:A=Tabla5[[#This Row],[Nº Orden]],Cocina!F:F*Cocina!G:G,0),-Tabla6[[#This Row],[Precio Cena]]))</f>
        <v>193</v>
      </c>
      <c r="L711" s="5">
        <f>IF(Tabla5[[#This Row],[Orden Cobrada]]="Cobrada",Tabla5[[#This Row],[Ganancia Bruta]]-Tabla6[[#This Row],[Coste Cena]],-Tabla6[[#This Row],[Precio Cena]]+Tabla6[[#This Row],[Coste Cena]])</f>
        <v>76</v>
      </c>
      <c r="M711" s="10">
        <f>IF(Tabla5[[#This Row],[Orden Cobrada]]="Cobrada",((Tabla5[[#This Row],[Ganancia Neta]]/Tabla5[[#This Row],[Ganancia Bruta]])*100)/100,-((Tabla5[[#This Row],[Ganancia Neta]]/Tabla5[[#This Row],[Ganancia Bruta]]*100)/100))</f>
        <v>0.39378238341968907</v>
      </c>
      <c r="N711" s="5" t="str">
        <f>sala!F710</f>
        <v>Mesero_2</v>
      </c>
      <c r="AY711" cm="1">
        <f t="array" ref="AY711">SUM(IF(Cocina!A:A=Tabla5[[#This Row],[Nº Orden]],Cocina!F:F*Cocina!G:G,0))</f>
        <v>193</v>
      </c>
      <c r="AZ711" cm="1">
        <f t="array" ref="AZ711">SUM(IF(Cocina!A:A=Tabla5[[#This Row],[Nº Orden]],Cocina!E:E*Cocina!G:G,0))</f>
        <v>117</v>
      </c>
      <c r="BB711" t="str">
        <f>MID(Tabla4[[#This Row],[Cliente]], SEARCH("_", Tabla4[[#This Row],[Cliente]]) + 1, LEN(Tabla4[[#This Row],[Cliente]]) - SEARCH("_",Tabla4[[#This Row],[Cliente]]))</f>
        <v>208</v>
      </c>
      <c r="BC711" t="str">
        <f>sala!B710</f>
        <v>Cliente_208</v>
      </c>
      <c r="BD711" s="1">
        <f>sala!D710</f>
        <v>45023.079861111109</v>
      </c>
      <c r="BE711" s="1">
        <f>sala!E710</f>
        <v>45023.152777777781</v>
      </c>
      <c r="BF711">
        <f>sala!K710</f>
        <v>709</v>
      </c>
      <c r="BG711">
        <f>sala!I710</f>
        <v>2615</v>
      </c>
      <c r="BH711" cm="1">
        <f t="array" ref="BH711">SUM(IF(Cocina!A:A=Tabla4[[#This Row],[Número de Orden]],Cocina!F:F*Cocina!G:G,0))</f>
        <v>193</v>
      </c>
      <c r="BI711" t="str">
        <f>sala!J710</f>
        <v>Ocupada</v>
      </c>
      <c r="BJ711" s="4" t="str">
        <f>IF(Tabla4[[#This Row],[Estado mesa]]="Ocupada","00:15","00:00")</f>
        <v>00:15</v>
      </c>
      <c r="BK711" cm="1">
        <f t="array" ref="BK711">SUM(IF(Cocina!A:A=Tabla4[[#This Row],[Número de Orden]],Cocina!H:H,0))</f>
        <v>98</v>
      </c>
    </row>
    <row r="712" spans="1:63" x14ac:dyDescent="0.3">
      <c r="A712" s="8" t="str">
        <f>MID(Tabla4[[#This Row],[Cliente]], SEARCH("_", Tabla4[[#This Row],[Cliente]]) + 1, LEN(Tabla4[[#This Row],[Cliente]]) - SEARCH("_",Tabla4[[#This Row],[Cliente]]))</f>
        <v>716</v>
      </c>
      <c r="B712">
        <f>sala!K711</f>
        <v>710</v>
      </c>
      <c r="C712">
        <f>Tabla4[[#This Row],[Propina]]+Tabla4[[#This Row],[Precio Cena]]</f>
        <v>2981</v>
      </c>
      <c r="D712" s="3">
        <f>INT(sala!E711)</f>
        <v>45023</v>
      </c>
      <c r="E712" s="4">
        <f>MOD( sala!D711,1)</f>
        <v>0.10277777777810115</v>
      </c>
      <c r="F712" s="4">
        <f>MOD( sala!E711,1)</f>
        <v>0.15138888888759539</v>
      </c>
      <c r="G712" s="4">
        <f>Tabla5[[#This Row],[Hora de Salida]]-Tabla5[[#This Row],[Hora de Llegada]]+Tabla4[[#This Row],[Tiempo Extra]]</f>
        <v>5.9027777776160896E-2</v>
      </c>
      <c r="H712" s="5" t="str">
        <f>TEXT(Tabla4[[#This Row],[Preparación en horas]]/1440, "h:mm")</f>
        <v>2:20</v>
      </c>
      <c r="I712" s="4">
        <f>IF(Tabla5[[#This Row],[Tiempo Permanencia]]-Tabla5[[#This Row],[Tiempo de Preparación ]]&gt;=0,Tabla5[[#This Row],[Tiempo Permanencia]]-Tabla5[[#This Row],[Tiempo de Preparación ]],0)</f>
        <v>0</v>
      </c>
      <c r="J712" s="5" t="str">
        <f>IF(Tabla5[[#This Row],[Tiempo de Degustación]]=0,"No Cobrada","Cobrada")</f>
        <v>No Cobrada</v>
      </c>
      <c r="K712" s="5" cm="1">
        <f t="array" ref="K712">SUM(IF(Tabla5[[#This Row],[Orden Cobrada]]="Cobrada",IF(Cocina!A:A=Tabla5[[#This Row],[Nº Orden]],Cocina!F:F*Cocina!G:G,0),-Tabla6[[#This Row],[Precio Cena]]))</f>
        <v>-138</v>
      </c>
      <c r="L712" s="5">
        <f>IF(Tabla5[[#This Row],[Orden Cobrada]]="Cobrada",Tabla5[[#This Row],[Ganancia Bruta]]-Tabla6[[#This Row],[Coste Cena]],-Tabla6[[#This Row],[Precio Cena]]+Tabla6[[#This Row],[Coste Cena]])</f>
        <v>-57</v>
      </c>
      <c r="M712" s="10">
        <f>IF(Tabla5[[#This Row],[Orden Cobrada]]="Cobrada",((Tabla5[[#This Row],[Ganancia Neta]]/Tabla5[[#This Row],[Ganancia Bruta]])*100)/100,-((Tabla5[[#This Row],[Ganancia Neta]]/Tabla5[[#This Row],[Ganancia Bruta]]*100)/100))</f>
        <v>-0.41304347826086951</v>
      </c>
      <c r="N712" s="5" t="str">
        <f>sala!F711</f>
        <v>Mesero_5</v>
      </c>
      <c r="AY712" cm="1">
        <f t="array" ref="AY712">SUM(IF(Cocina!A:A=Tabla5[[#This Row],[Nº Orden]],Cocina!F:F*Cocina!G:G,0))</f>
        <v>138</v>
      </c>
      <c r="AZ712" cm="1">
        <f t="array" ref="AZ712">SUM(IF(Cocina!A:A=Tabla5[[#This Row],[Nº Orden]],Cocina!E:E*Cocina!G:G,0))</f>
        <v>81</v>
      </c>
      <c r="BB712" t="str">
        <f>MID(Tabla4[[#This Row],[Cliente]], SEARCH("_", Tabla4[[#This Row],[Cliente]]) + 1, LEN(Tabla4[[#This Row],[Cliente]]) - SEARCH("_",Tabla4[[#This Row],[Cliente]]))</f>
        <v>716</v>
      </c>
      <c r="BC712" t="str">
        <f>sala!B711</f>
        <v>Cliente_716</v>
      </c>
      <c r="BD712" s="1">
        <f>sala!D711</f>
        <v>45023.102777777778</v>
      </c>
      <c r="BE712" s="1">
        <f>sala!E711</f>
        <v>45023.151388888888</v>
      </c>
      <c r="BF712">
        <f>sala!K711</f>
        <v>710</v>
      </c>
      <c r="BG712">
        <f>sala!I711</f>
        <v>2843</v>
      </c>
      <c r="BH712" cm="1">
        <f t="array" ref="BH712">SUM(IF(Cocina!A:A=Tabla4[[#This Row],[Número de Orden]],Cocina!F:F*Cocina!G:G,0))</f>
        <v>138</v>
      </c>
      <c r="BI712" t="str">
        <f>sala!J711</f>
        <v>Ocupada</v>
      </c>
      <c r="BJ712" s="4" t="str">
        <f>IF(Tabla4[[#This Row],[Estado mesa]]="Ocupada","00:15","00:00")</f>
        <v>00:15</v>
      </c>
      <c r="BK712" cm="1">
        <f t="array" ref="BK712">SUM(IF(Cocina!A:A=Tabla4[[#This Row],[Número de Orden]],Cocina!H:H,0))</f>
        <v>140</v>
      </c>
    </row>
    <row r="713" spans="1:63" x14ac:dyDescent="0.3">
      <c r="A713" s="8" t="str">
        <f>MID(Tabla4[[#This Row],[Cliente]], SEARCH("_", Tabla4[[#This Row],[Cliente]]) + 1, LEN(Tabla4[[#This Row],[Cliente]]) - SEARCH("_",Tabla4[[#This Row],[Cliente]]))</f>
        <v>27</v>
      </c>
      <c r="B713">
        <f>sala!K712</f>
        <v>711</v>
      </c>
      <c r="C713">
        <f>Tabla4[[#This Row],[Propina]]+Tabla4[[#This Row],[Precio Cena]]</f>
        <v>5140</v>
      </c>
      <c r="D713" s="3">
        <f>INT(sala!E712)</f>
        <v>45023</v>
      </c>
      <c r="E713" s="4">
        <f>MOD( sala!D712,1)</f>
        <v>7.7083333329937886E-2</v>
      </c>
      <c r="F713" s="4">
        <f>MOD( sala!E712,1)</f>
        <v>0.22083333333284827</v>
      </c>
      <c r="G713" s="4">
        <f>Tabla5[[#This Row],[Hora de Salida]]-Tabla5[[#This Row],[Hora de Llegada]]+Tabla4[[#This Row],[Tiempo Extra]]</f>
        <v>0.15416666666957704</v>
      </c>
      <c r="H713" s="5" t="str">
        <f>TEXT(Tabla4[[#This Row],[Preparación en horas]]/1440, "h:mm")</f>
        <v>0:59</v>
      </c>
      <c r="I713" s="4">
        <f>IF(Tabla5[[#This Row],[Tiempo Permanencia]]-Tabla5[[#This Row],[Tiempo de Preparación ]]&gt;=0,Tabla5[[#This Row],[Tiempo Permanencia]]-Tabla5[[#This Row],[Tiempo de Preparación ]],0)</f>
        <v>0.11319444444735483</v>
      </c>
      <c r="J713" s="5" t="str">
        <f>IF(Tabla5[[#This Row],[Tiempo de Degustación]]=0,"No Cobrada","Cobrada")</f>
        <v>Cobrada</v>
      </c>
      <c r="K713" s="5" cm="1">
        <f t="array" ref="K713">SUM(IF(Tabla5[[#This Row],[Orden Cobrada]]="Cobrada",IF(Cocina!A:A=Tabla5[[#This Row],[Nº Orden]],Cocina!F:F*Cocina!G:G,0),-Tabla6[[#This Row],[Precio Cena]]))</f>
        <v>166</v>
      </c>
      <c r="L713" s="5">
        <f>IF(Tabla5[[#This Row],[Orden Cobrada]]="Cobrada",Tabla5[[#This Row],[Ganancia Bruta]]-Tabla6[[#This Row],[Coste Cena]],-Tabla6[[#This Row],[Precio Cena]]+Tabla6[[#This Row],[Coste Cena]])</f>
        <v>68</v>
      </c>
      <c r="M713" s="10">
        <f>IF(Tabla5[[#This Row],[Orden Cobrada]]="Cobrada",((Tabla5[[#This Row],[Ganancia Neta]]/Tabla5[[#This Row],[Ganancia Bruta]])*100)/100,-((Tabla5[[#This Row],[Ganancia Neta]]/Tabla5[[#This Row],[Ganancia Bruta]]*100)/100))</f>
        <v>0.40963855421686746</v>
      </c>
      <c r="N713" s="5" t="str">
        <f>sala!F712</f>
        <v>Mesero_1</v>
      </c>
      <c r="AY713" cm="1">
        <f t="array" ref="AY713">SUM(IF(Cocina!A:A=Tabla5[[#This Row],[Nº Orden]],Cocina!F:F*Cocina!G:G,0))</f>
        <v>166</v>
      </c>
      <c r="AZ713" cm="1">
        <f t="array" ref="AZ713">SUM(IF(Cocina!A:A=Tabla5[[#This Row],[Nº Orden]],Cocina!E:E*Cocina!G:G,0))</f>
        <v>98</v>
      </c>
      <c r="BB713" t="str">
        <f>MID(Tabla4[[#This Row],[Cliente]], SEARCH("_", Tabla4[[#This Row],[Cliente]]) + 1, LEN(Tabla4[[#This Row],[Cliente]]) - SEARCH("_",Tabla4[[#This Row],[Cliente]]))</f>
        <v>27</v>
      </c>
      <c r="BC713" t="str">
        <f>sala!B712</f>
        <v>Cliente_27</v>
      </c>
      <c r="BD713" s="1">
        <f>sala!D712</f>
        <v>45023.07708333333</v>
      </c>
      <c r="BE713" s="1">
        <f>sala!E712</f>
        <v>45023.220833333333</v>
      </c>
      <c r="BF713">
        <f>sala!K712</f>
        <v>711</v>
      </c>
      <c r="BG713">
        <f>sala!I712</f>
        <v>4974</v>
      </c>
      <c r="BH713" cm="1">
        <f t="array" ref="BH713">SUM(IF(Cocina!A:A=Tabla4[[#This Row],[Número de Orden]],Cocina!F:F*Cocina!G:G,0))</f>
        <v>166</v>
      </c>
      <c r="BI713" t="str">
        <f>sala!J712</f>
        <v>Ocupada</v>
      </c>
      <c r="BJ713" s="4" t="str">
        <f>IF(Tabla4[[#This Row],[Estado mesa]]="Ocupada","00:15","00:00")</f>
        <v>00:15</v>
      </c>
      <c r="BK713" cm="1">
        <f t="array" ref="BK713">SUM(IF(Cocina!A:A=Tabla4[[#This Row],[Número de Orden]],Cocina!H:H,0))</f>
        <v>59</v>
      </c>
    </row>
    <row r="714" spans="1:63" x14ac:dyDescent="0.3">
      <c r="A714" s="8" t="str">
        <f>MID(Tabla4[[#This Row],[Cliente]], SEARCH("_", Tabla4[[#This Row],[Cliente]]) + 1, LEN(Tabla4[[#This Row],[Cliente]]) - SEARCH("_",Tabla4[[#This Row],[Cliente]]))</f>
        <v>786</v>
      </c>
      <c r="B714">
        <f>sala!K713</f>
        <v>712</v>
      </c>
      <c r="C714">
        <f>Tabla4[[#This Row],[Propina]]+Tabla4[[#This Row],[Precio Cena]]</f>
        <v>4269</v>
      </c>
      <c r="D714" s="3">
        <f>INT(sala!E713)</f>
        <v>45023</v>
      </c>
      <c r="E714" s="4">
        <f>MOD( sala!D713,1)</f>
        <v>4.166666665696539E-3</v>
      </c>
      <c r="F714" s="4">
        <f>MOD( sala!E713,1)</f>
        <v>0.10208333333139308</v>
      </c>
      <c r="G714" s="4">
        <f>Tabla5[[#This Row],[Hora de Salida]]-Tabla5[[#This Row],[Hora de Llegada]]+Tabla4[[#This Row],[Tiempo Extra]]</f>
        <v>9.7916666665696539E-2</v>
      </c>
      <c r="H714" s="5" t="str">
        <f>TEXT(Tabla4[[#This Row],[Preparación en horas]]/1440, "h:mm")</f>
        <v>0:49</v>
      </c>
      <c r="I714" s="4">
        <f>IF(Tabla5[[#This Row],[Tiempo Permanencia]]-Tabla5[[#This Row],[Tiempo de Preparación ]]&gt;=0,Tabla5[[#This Row],[Tiempo Permanencia]]-Tabla5[[#This Row],[Tiempo de Preparación ]],0)</f>
        <v>6.3888888887918771E-2</v>
      </c>
      <c r="J714" s="5" t="str">
        <f>IF(Tabla5[[#This Row],[Tiempo de Degustación]]=0,"No Cobrada","Cobrada")</f>
        <v>Cobrada</v>
      </c>
      <c r="K714" s="5" cm="1">
        <f t="array" ref="K714">SUM(IF(Tabla5[[#This Row],[Orden Cobrada]]="Cobrada",IF(Cocina!A:A=Tabla5[[#This Row],[Nº Orden]],Cocina!F:F*Cocina!G:G,0),-Tabla6[[#This Row],[Precio Cena]]))</f>
        <v>48</v>
      </c>
      <c r="L714" s="5">
        <f>IF(Tabla5[[#This Row],[Orden Cobrada]]="Cobrada",Tabla5[[#This Row],[Ganancia Bruta]]-Tabla6[[#This Row],[Coste Cena]],-Tabla6[[#This Row],[Precio Cena]]+Tabla6[[#This Row],[Coste Cena]])</f>
        <v>20</v>
      </c>
      <c r="M714" s="10">
        <f>IF(Tabla5[[#This Row],[Orden Cobrada]]="Cobrada",((Tabla5[[#This Row],[Ganancia Neta]]/Tabla5[[#This Row],[Ganancia Bruta]])*100)/100,-((Tabla5[[#This Row],[Ganancia Neta]]/Tabla5[[#This Row],[Ganancia Bruta]]*100)/100))</f>
        <v>0.41666666666666674</v>
      </c>
      <c r="N714" s="5" t="str">
        <f>sala!F713</f>
        <v>Mesero_2</v>
      </c>
      <c r="AY714" cm="1">
        <f t="array" ref="AY714">SUM(IF(Cocina!A:A=Tabla5[[#This Row],[Nº Orden]],Cocina!F:F*Cocina!G:G,0))</f>
        <v>48</v>
      </c>
      <c r="AZ714" cm="1">
        <f t="array" ref="AZ714">SUM(IF(Cocina!A:A=Tabla5[[#This Row],[Nº Orden]],Cocina!E:E*Cocina!G:G,0))</f>
        <v>28</v>
      </c>
      <c r="BB714" t="str">
        <f>MID(Tabla4[[#This Row],[Cliente]], SEARCH("_", Tabla4[[#This Row],[Cliente]]) + 1, LEN(Tabla4[[#This Row],[Cliente]]) - SEARCH("_",Tabla4[[#This Row],[Cliente]]))</f>
        <v>786</v>
      </c>
      <c r="BC714" t="str">
        <f>sala!B713</f>
        <v>Cliente_786</v>
      </c>
      <c r="BD714" s="1">
        <f>sala!D713</f>
        <v>45023.004166666666</v>
      </c>
      <c r="BE714" s="1">
        <f>sala!E713</f>
        <v>45023.102083333331</v>
      </c>
      <c r="BF714">
        <f>sala!K713</f>
        <v>712</v>
      </c>
      <c r="BG714">
        <f>sala!I713</f>
        <v>4221</v>
      </c>
      <c r="BH714" cm="1">
        <f t="array" ref="BH714">SUM(IF(Cocina!A:A=Tabla4[[#This Row],[Número de Orden]],Cocina!F:F*Cocina!G:G,0))</f>
        <v>48</v>
      </c>
      <c r="BI714" t="str">
        <f>sala!J713</f>
        <v>Reservada</v>
      </c>
      <c r="BJ714" s="4" t="str">
        <f>IF(Tabla4[[#This Row],[Estado mesa]]="Ocupada","00:15","00:00")</f>
        <v>00:00</v>
      </c>
      <c r="BK714" cm="1">
        <f t="array" ref="BK714">SUM(IF(Cocina!A:A=Tabla4[[#This Row],[Número de Orden]],Cocina!H:H,0))</f>
        <v>49</v>
      </c>
    </row>
    <row r="715" spans="1:63" x14ac:dyDescent="0.3">
      <c r="A715" s="8" t="str">
        <f>MID(Tabla4[[#This Row],[Cliente]], SEARCH("_", Tabla4[[#This Row],[Cliente]]) + 1, LEN(Tabla4[[#This Row],[Cliente]]) - SEARCH("_",Tabla4[[#This Row],[Cliente]]))</f>
        <v>594</v>
      </c>
      <c r="B715">
        <f>sala!K714</f>
        <v>713</v>
      </c>
      <c r="C715">
        <f>Tabla4[[#This Row],[Propina]]+Tabla4[[#This Row],[Precio Cena]]</f>
        <v>3871</v>
      </c>
      <c r="D715" s="3">
        <f>INT(sala!E714)</f>
        <v>45023</v>
      </c>
      <c r="E715" s="4">
        <f>MOD( sala!D714,1)</f>
        <v>1.0416666664241347E-2</v>
      </c>
      <c r="F715" s="4">
        <f>MOD( sala!E714,1)</f>
        <v>0.11944444444088731</v>
      </c>
      <c r="G715" s="4">
        <f>Tabla5[[#This Row],[Hora de Salida]]-Tabla5[[#This Row],[Hora de Llegada]]+Tabla4[[#This Row],[Tiempo Extra]]</f>
        <v>0.10902777777664596</v>
      </c>
      <c r="H715" s="5" t="str">
        <f>TEXT(Tabla4[[#This Row],[Preparación en horas]]/1440, "h:mm")</f>
        <v>2:05</v>
      </c>
      <c r="I715" s="4">
        <f>IF(Tabla5[[#This Row],[Tiempo Permanencia]]-Tabla5[[#This Row],[Tiempo de Preparación ]]&gt;=0,Tabla5[[#This Row],[Tiempo Permanencia]]-Tabla5[[#This Row],[Tiempo de Preparación ]],0)</f>
        <v>2.222222222109041E-2</v>
      </c>
      <c r="J715" s="5" t="str">
        <f>IF(Tabla5[[#This Row],[Tiempo de Degustación]]=0,"No Cobrada","Cobrada")</f>
        <v>Cobrada</v>
      </c>
      <c r="K715" s="5" cm="1">
        <f t="array" ref="K715">SUM(IF(Tabla5[[#This Row],[Orden Cobrada]]="Cobrada",IF(Cocina!A:A=Tabla5[[#This Row],[Nº Orden]],Cocina!F:F*Cocina!G:G,0),-Tabla6[[#This Row],[Precio Cena]]))</f>
        <v>360</v>
      </c>
      <c r="L715" s="5">
        <f>IF(Tabla5[[#This Row],[Orden Cobrada]]="Cobrada",Tabla5[[#This Row],[Ganancia Bruta]]-Tabla6[[#This Row],[Coste Cena]],-Tabla6[[#This Row],[Precio Cena]]+Tabla6[[#This Row],[Coste Cena]])</f>
        <v>147</v>
      </c>
      <c r="M715" s="10">
        <f>IF(Tabla5[[#This Row],[Orden Cobrada]]="Cobrada",((Tabla5[[#This Row],[Ganancia Neta]]/Tabla5[[#This Row],[Ganancia Bruta]])*100)/100,-((Tabla5[[#This Row],[Ganancia Neta]]/Tabla5[[#This Row],[Ganancia Bruta]]*100)/100))</f>
        <v>0.40833333333333338</v>
      </c>
      <c r="N715" s="5" t="str">
        <f>sala!F714</f>
        <v>Mesero_1</v>
      </c>
      <c r="AY715" cm="1">
        <f t="array" ref="AY715">SUM(IF(Cocina!A:A=Tabla5[[#This Row],[Nº Orden]],Cocina!F:F*Cocina!G:G,0))</f>
        <v>360</v>
      </c>
      <c r="AZ715" cm="1">
        <f t="array" ref="AZ715">SUM(IF(Cocina!A:A=Tabla5[[#This Row],[Nº Orden]],Cocina!E:E*Cocina!G:G,0))</f>
        <v>213</v>
      </c>
      <c r="BB715" t="str">
        <f>MID(Tabla4[[#This Row],[Cliente]], SEARCH("_", Tabla4[[#This Row],[Cliente]]) + 1, LEN(Tabla4[[#This Row],[Cliente]]) - SEARCH("_",Tabla4[[#This Row],[Cliente]]))</f>
        <v>594</v>
      </c>
      <c r="BC715" t="str">
        <f>sala!B714</f>
        <v>Cliente_594</v>
      </c>
      <c r="BD715" s="1">
        <f>sala!D714</f>
        <v>45023.010416666664</v>
      </c>
      <c r="BE715" s="1">
        <f>sala!E714</f>
        <v>45023.119444444441</v>
      </c>
      <c r="BF715">
        <f>sala!K714</f>
        <v>713</v>
      </c>
      <c r="BG715">
        <f>sala!I714</f>
        <v>3511</v>
      </c>
      <c r="BH715" cm="1">
        <f t="array" ref="BH715">SUM(IF(Cocina!A:A=Tabla4[[#This Row],[Número de Orden]],Cocina!F:F*Cocina!G:G,0))</f>
        <v>360</v>
      </c>
      <c r="BI715" t="str">
        <f>sala!J714</f>
        <v>Libre</v>
      </c>
      <c r="BJ715" s="4" t="str">
        <f>IF(Tabla4[[#This Row],[Estado mesa]]="Ocupada","00:15","00:00")</f>
        <v>00:00</v>
      </c>
      <c r="BK715" cm="1">
        <f t="array" ref="BK715">SUM(IF(Cocina!A:A=Tabla4[[#This Row],[Número de Orden]],Cocina!H:H,0))</f>
        <v>125</v>
      </c>
    </row>
    <row r="716" spans="1:63" x14ac:dyDescent="0.3">
      <c r="A716" s="8" t="str">
        <f>MID(Tabla4[[#This Row],[Cliente]], SEARCH("_", Tabla4[[#This Row],[Cliente]]) + 1, LEN(Tabla4[[#This Row],[Cliente]]) - SEARCH("_",Tabla4[[#This Row],[Cliente]]))</f>
        <v>281</v>
      </c>
      <c r="B716">
        <f>sala!K715</f>
        <v>714</v>
      </c>
      <c r="C716">
        <f>Tabla4[[#This Row],[Propina]]+Tabla4[[#This Row],[Precio Cena]]</f>
        <v>1294</v>
      </c>
      <c r="D716" s="3">
        <f>INT(sala!E715)</f>
        <v>45023</v>
      </c>
      <c r="E716" s="4">
        <f>MOD( sala!D715,1)</f>
        <v>9.7916666665696539E-2</v>
      </c>
      <c r="F716" s="4">
        <f>MOD( sala!E715,1)</f>
        <v>0.17013888889050577</v>
      </c>
      <c r="G716" s="4">
        <f>Tabla5[[#This Row],[Hora de Salida]]-Tabla5[[#This Row],[Hora de Llegada]]+Tabla4[[#This Row],[Tiempo Extra]]</f>
        <v>7.2222222224809229E-2</v>
      </c>
      <c r="H716" s="5" t="str">
        <f>TEXT(Tabla4[[#This Row],[Preparación en horas]]/1440, "h:mm")</f>
        <v>1:03</v>
      </c>
      <c r="I716" s="4">
        <f>IF(Tabla5[[#This Row],[Tiempo Permanencia]]-Tabla5[[#This Row],[Tiempo de Preparación ]]&gt;=0,Tabla5[[#This Row],[Tiempo Permanencia]]-Tabla5[[#This Row],[Tiempo de Preparación ]],0)</f>
        <v>2.8472222224809232E-2</v>
      </c>
      <c r="J716" s="5" t="str">
        <f>IF(Tabla5[[#This Row],[Tiempo de Degustación]]=0,"No Cobrada","Cobrada")</f>
        <v>Cobrada</v>
      </c>
      <c r="K716" s="5" cm="1">
        <f t="array" ref="K716">SUM(IF(Tabla5[[#This Row],[Orden Cobrada]]="Cobrada",IF(Cocina!A:A=Tabla5[[#This Row],[Nº Orden]],Cocina!F:F*Cocina!G:G,0),-Tabla6[[#This Row],[Precio Cena]]))</f>
        <v>225</v>
      </c>
      <c r="L716" s="5">
        <f>IF(Tabla5[[#This Row],[Orden Cobrada]]="Cobrada",Tabla5[[#This Row],[Ganancia Bruta]]-Tabla6[[#This Row],[Coste Cena]],-Tabla6[[#This Row],[Precio Cena]]+Tabla6[[#This Row],[Coste Cena]])</f>
        <v>91</v>
      </c>
      <c r="M716" s="10">
        <f>IF(Tabla5[[#This Row],[Orden Cobrada]]="Cobrada",((Tabla5[[#This Row],[Ganancia Neta]]/Tabla5[[#This Row],[Ganancia Bruta]])*100)/100,-((Tabla5[[#This Row],[Ganancia Neta]]/Tabla5[[#This Row],[Ganancia Bruta]]*100)/100))</f>
        <v>0.40444444444444444</v>
      </c>
      <c r="N716" s="5" t="str">
        <f>sala!F715</f>
        <v>Mesero_5</v>
      </c>
      <c r="AY716" cm="1">
        <f t="array" ref="AY716">SUM(IF(Cocina!A:A=Tabla5[[#This Row],[Nº Orden]],Cocina!F:F*Cocina!G:G,0))</f>
        <v>225</v>
      </c>
      <c r="AZ716" cm="1">
        <f t="array" ref="AZ716">SUM(IF(Cocina!A:A=Tabla5[[#This Row],[Nº Orden]],Cocina!E:E*Cocina!G:G,0))</f>
        <v>134</v>
      </c>
      <c r="BB716" t="str">
        <f>MID(Tabla4[[#This Row],[Cliente]], SEARCH("_", Tabla4[[#This Row],[Cliente]]) + 1, LEN(Tabla4[[#This Row],[Cliente]]) - SEARCH("_",Tabla4[[#This Row],[Cliente]]))</f>
        <v>281</v>
      </c>
      <c r="BC716" t="str">
        <f>sala!B715</f>
        <v>Cliente_281</v>
      </c>
      <c r="BD716" s="1">
        <f>sala!D715</f>
        <v>45023.097916666666</v>
      </c>
      <c r="BE716" s="1">
        <f>sala!E715</f>
        <v>45023.170138888891</v>
      </c>
      <c r="BF716">
        <f>sala!K715</f>
        <v>714</v>
      </c>
      <c r="BG716">
        <f>sala!I715</f>
        <v>1069</v>
      </c>
      <c r="BH716" cm="1">
        <f t="array" ref="BH716">SUM(IF(Cocina!A:A=Tabla4[[#This Row],[Número de Orden]],Cocina!F:F*Cocina!G:G,0))</f>
        <v>225</v>
      </c>
      <c r="BI716" t="str">
        <f>sala!J715</f>
        <v>Libre</v>
      </c>
      <c r="BJ716" s="4" t="str">
        <f>IF(Tabla4[[#This Row],[Estado mesa]]="Ocupada","00:15","00:00")</f>
        <v>00:00</v>
      </c>
      <c r="BK716" cm="1">
        <f t="array" ref="BK716">SUM(IF(Cocina!A:A=Tabla4[[#This Row],[Número de Orden]],Cocina!H:H,0))</f>
        <v>63</v>
      </c>
    </row>
    <row r="717" spans="1:63" x14ac:dyDescent="0.3">
      <c r="A717" s="8" t="str">
        <f>MID(Tabla4[[#This Row],[Cliente]], SEARCH("_", Tabla4[[#This Row],[Cliente]]) + 1, LEN(Tabla4[[#This Row],[Cliente]]) - SEARCH("_",Tabla4[[#This Row],[Cliente]]))</f>
        <v>396</v>
      </c>
      <c r="B717">
        <f>sala!K716</f>
        <v>715</v>
      </c>
      <c r="C717">
        <f>Tabla4[[#This Row],[Propina]]+Tabla4[[#This Row],[Precio Cena]]</f>
        <v>4237</v>
      </c>
      <c r="D717" s="3">
        <f>INT(sala!E716)</f>
        <v>45023</v>
      </c>
      <c r="E717" s="4">
        <f>MOD( sala!D716,1)</f>
        <v>7.2916666664241347E-2</v>
      </c>
      <c r="F717" s="4">
        <f>MOD( sala!E716,1)</f>
        <v>0.17708333333575865</v>
      </c>
      <c r="G717" s="4">
        <f>Tabla5[[#This Row],[Hora de Salida]]-Tabla5[[#This Row],[Hora de Llegada]]+Tabla4[[#This Row],[Tiempo Extra]]</f>
        <v>0.11458333333818398</v>
      </c>
      <c r="H717" s="5" t="str">
        <f>TEXT(Tabla4[[#This Row],[Preparación en horas]]/1440, "h:mm")</f>
        <v>2:16</v>
      </c>
      <c r="I717" s="4">
        <f>IF(Tabla5[[#This Row],[Tiempo Permanencia]]-Tabla5[[#This Row],[Tiempo de Preparación ]]&gt;=0,Tabla5[[#This Row],[Tiempo Permanencia]]-Tabla5[[#This Row],[Tiempo de Preparación ]],0)</f>
        <v>2.0138888893739534E-2</v>
      </c>
      <c r="J717" s="5" t="str">
        <f>IF(Tabla5[[#This Row],[Tiempo de Degustación]]=0,"No Cobrada","Cobrada")</f>
        <v>Cobrada</v>
      </c>
      <c r="K717" s="5" cm="1">
        <f t="array" ref="K717">SUM(IF(Tabla5[[#This Row],[Orden Cobrada]]="Cobrada",IF(Cocina!A:A=Tabla5[[#This Row],[Nº Orden]],Cocina!F:F*Cocina!G:G,0),-Tabla6[[#This Row],[Precio Cena]]))</f>
        <v>246</v>
      </c>
      <c r="L717" s="5">
        <f>IF(Tabla5[[#This Row],[Orden Cobrada]]="Cobrada",Tabla5[[#This Row],[Ganancia Bruta]]-Tabla6[[#This Row],[Coste Cena]],-Tabla6[[#This Row],[Precio Cena]]+Tabla6[[#This Row],[Coste Cena]])</f>
        <v>101</v>
      </c>
      <c r="M717" s="10">
        <f>IF(Tabla5[[#This Row],[Orden Cobrada]]="Cobrada",((Tabla5[[#This Row],[Ganancia Neta]]/Tabla5[[#This Row],[Ganancia Bruta]])*100)/100,-((Tabla5[[#This Row],[Ganancia Neta]]/Tabla5[[#This Row],[Ganancia Bruta]]*100)/100))</f>
        <v>0.41056910569105687</v>
      </c>
      <c r="N717" s="5" t="str">
        <f>sala!F716</f>
        <v>Mesero_3</v>
      </c>
      <c r="AY717" cm="1">
        <f t="array" ref="AY717">SUM(IF(Cocina!A:A=Tabla5[[#This Row],[Nº Orden]],Cocina!F:F*Cocina!G:G,0))</f>
        <v>246</v>
      </c>
      <c r="AZ717" cm="1">
        <f t="array" ref="AZ717">SUM(IF(Cocina!A:A=Tabla5[[#This Row],[Nº Orden]],Cocina!E:E*Cocina!G:G,0))</f>
        <v>145</v>
      </c>
      <c r="BB717" t="str">
        <f>MID(Tabla4[[#This Row],[Cliente]], SEARCH("_", Tabla4[[#This Row],[Cliente]]) + 1, LEN(Tabla4[[#This Row],[Cliente]]) - SEARCH("_",Tabla4[[#This Row],[Cliente]]))</f>
        <v>396</v>
      </c>
      <c r="BC717" t="str">
        <f>sala!B716</f>
        <v>Cliente_396</v>
      </c>
      <c r="BD717" s="1">
        <f>sala!D716</f>
        <v>45023.072916666664</v>
      </c>
      <c r="BE717" s="1">
        <f>sala!E716</f>
        <v>45023.177083333336</v>
      </c>
      <c r="BF717">
        <f>sala!K716</f>
        <v>715</v>
      </c>
      <c r="BG717">
        <f>sala!I716</f>
        <v>3991</v>
      </c>
      <c r="BH717" cm="1">
        <f t="array" ref="BH717">SUM(IF(Cocina!A:A=Tabla4[[#This Row],[Número de Orden]],Cocina!F:F*Cocina!G:G,0))</f>
        <v>246</v>
      </c>
      <c r="BI717" t="str">
        <f>sala!J716</f>
        <v>Ocupada</v>
      </c>
      <c r="BJ717" s="4" t="str">
        <f>IF(Tabla4[[#This Row],[Estado mesa]]="Ocupada","00:15","00:00")</f>
        <v>00:15</v>
      </c>
      <c r="BK717" cm="1">
        <f t="array" ref="BK717">SUM(IF(Cocina!A:A=Tabla4[[#This Row],[Número de Orden]],Cocina!H:H,0))</f>
        <v>136</v>
      </c>
    </row>
    <row r="718" spans="1:63" x14ac:dyDescent="0.3">
      <c r="A718" s="8" t="str">
        <f>MID(Tabla4[[#This Row],[Cliente]], SEARCH("_", Tabla4[[#This Row],[Cliente]]) + 1, LEN(Tabla4[[#This Row],[Cliente]]) - SEARCH("_",Tabla4[[#This Row],[Cliente]]))</f>
        <v>707</v>
      </c>
      <c r="B718">
        <f>sala!K717</f>
        <v>716</v>
      </c>
      <c r="C718">
        <f>Tabla4[[#This Row],[Propina]]+Tabla4[[#This Row],[Precio Cena]]</f>
        <v>4704</v>
      </c>
      <c r="D718" s="3">
        <f>INT(sala!E717)</f>
        <v>45023</v>
      </c>
      <c r="E718" s="4">
        <f>MOD( sala!D717,1)</f>
        <v>7.4305555557657499E-2</v>
      </c>
      <c r="F718" s="4">
        <f>MOD( sala!E717,1)</f>
        <v>0.19722222222480923</v>
      </c>
      <c r="G718" s="4">
        <f>Tabla5[[#This Row],[Hora de Salida]]-Tabla5[[#This Row],[Hora de Llegada]]+Tabla4[[#This Row],[Tiempo Extra]]</f>
        <v>0.13333333333381839</v>
      </c>
      <c r="H718" s="5" t="str">
        <f>TEXT(Tabla4[[#This Row],[Preparación en horas]]/1440, "h:mm")</f>
        <v>1:30</v>
      </c>
      <c r="I718" s="4">
        <f>IF(Tabla5[[#This Row],[Tiempo Permanencia]]-Tabla5[[#This Row],[Tiempo de Preparación ]]&gt;=0,Tabla5[[#This Row],[Tiempo Permanencia]]-Tabla5[[#This Row],[Tiempo de Preparación ]],0)</f>
        <v>7.0833333333818388E-2</v>
      </c>
      <c r="J718" s="5" t="str">
        <f>IF(Tabla5[[#This Row],[Tiempo de Degustación]]=0,"No Cobrada","Cobrada")</f>
        <v>Cobrada</v>
      </c>
      <c r="K718" s="5" cm="1">
        <f t="array" ref="K718">SUM(IF(Tabla5[[#This Row],[Orden Cobrada]]="Cobrada",IF(Cocina!A:A=Tabla5[[#This Row],[Nº Orden]],Cocina!F:F*Cocina!G:G,0),-Tabla6[[#This Row],[Precio Cena]]))</f>
        <v>231</v>
      </c>
      <c r="L718" s="5">
        <f>IF(Tabla5[[#This Row],[Orden Cobrada]]="Cobrada",Tabla5[[#This Row],[Ganancia Bruta]]-Tabla6[[#This Row],[Coste Cena]],-Tabla6[[#This Row],[Precio Cena]]+Tabla6[[#This Row],[Coste Cena]])</f>
        <v>90</v>
      </c>
      <c r="M718" s="10">
        <f>IF(Tabla5[[#This Row],[Orden Cobrada]]="Cobrada",((Tabla5[[#This Row],[Ganancia Neta]]/Tabla5[[#This Row],[Ganancia Bruta]])*100)/100,-((Tabla5[[#This Row],[Ganancia Neta]]/Tabla5[[#This Row],[Ganancia Bruta]]*100)/100))</f>
        <v>0.38961038961038968</v>
      </c>
      <c r="N718" s="5" t="str">
        <f>sala!F717</f>
        <v>Mesero_2</v>
      </c>
      <c r="AY718" cm="1">
        <f t="array" ref="AY718">SUM(IF(Cocina!A:A=Tabla5[[#This Row],[Nº Orden]],Cocina!F:F*Cocina!G:G,0))</f>
        <v>231</v>
      </c>
      <c r="AZ718" cm="1">
        <f t="array" ref="AZ718">SUM(IF(Cocina!A:A=Tabla5[[#This Row],[Nº Orden]],Cocina!E:E*Cocina!G:G,0))</f>
        <v>141</v>
      </c>
      <c r="BB718" t="str">
        <f>MID(Tabla4[[#This Row],[Cliente]], SEARCH("_", Tabla4[[#This Row],[Cliente]]) + 1, LEN(Tabla4[[#This Row],[Cliente]]) - SEARCH("_",Tabla4[[#This Row],[Cliente]]))</f>
        <v>707</v>
      </c>
      <c r="BC718" t="str">
        <f>sala!B717</f>
        <v>Cliente_707</v>
      </c>
      <c r="BD718" s="1">
        <f>sala!D717</f>
        <v>45023.074305555558</v>
      </c>
      <c r="BE718" s="1">
        <f>sala!E717</f>
        <v>45023.197222222225</v>
      </c>
      <c r="BF718">
        <f>sala!K717</f>
        <v>716</v>
      </c>
      <c r="BG718">
        <f>sala!I717</f>
        <v>4473</v>
      </c>
      <c r="BH718" cm="1">
        <f t="array" ref="BH718">SUM(IF(Cocina!A:A=Tabla4[[#This Row],[Número de Orden]],Cocina!F:F*Cocina!G:G,0))</f>
        <v>231</v>
      </c>
      <c r="BI718" t="str">
        <f>sala!J717</f>
        <v>Ocupada</v>
      </c>
      <c r="BJ718" s="4" t="str">
        <f>IF(Tabla4[[#This Row],[Estado mesa]]="Ocupada","00:15","00:00")</f>
        <v>00:15</v>
      </c>
      <c r="BK718" cm="1">
        <f t="array" ref="BK718">SUM(IF(Cocina!A:A=Tabla4[[#This Row],[Número de Orden]],Cocina!H:H,0))</f>
        <v>90</v>
      </c>
    </row>
    <row r="719" spans="1:63" x14ac:dyDescent="0.3">
      <c r="A719" s="8" t="str">
        <f>MID(Tabla4[[#This Row],[Cliente]], SEARCH("_", Tabla4[[#This Row],[Cliente]]) + 1, LEN(Tabla4[[#This Row],[Cliente]]) - SEARCH("_",Tabla4[[#This Row],[Cliente]]))</f>
        <v>392</v>
      </c>
      <c r="B719">
        <f>sala!K718</f>
        <v>717</v>
      </c>
      <c r="C719">
        <f>Tabla4[[#This Row],[Propina]]+Tabla4[[#This Row],[Precio Cena]]</f>
        <v>2522</v>
      </c>
      <c r="D719" s="3">
        <f>INT(sala!E718)</f>
        <v>45023</v>
      </c>
      <c r="E719" s="4">
        <f>MOD( sala!D718,1)</f>
        <v>0.16388888889196096</v>
      </c>
      <c r="F719" s="4">
        <f>MOD( sala!E718,1)</f>
        <v>0.25208333333284827</v>
      </c>
      <c r="G719" s="4">
        <f>Tabla5[[#This Row],[Hora de Salida]]-Tabla5[[#This Row],[Hora de Llegada]]+Tabla4[[#This Row],[Tiempo Extra]]</f>
        <v>8.819444444088731E-2</v>
      </c>
      <c r="H719" s="5" t="str">
        <f>TEXT(Tabla4[[#This Row],[Preparación en horas]]/1440, "h:mm")</f>
        <v>1:12</v>
      </c>
      <c r="I719" s="4">
        <f>IF(Tabla5[[#This Row],[Tiempo Permanencia]]-Tabla5[[#This Row],[Tiempo de Preparación ]]&gt;=0,Tabla5[[#This Row],[Tiempo Permanencia]]-Tabla5[[#This Row],[Tiempo de Preparación ]],0)</f>
        <v>3.8194444440887307E-2</v>
      </c>
      <c r="J719" s="5" t="str">
        <f>IF(Tabla5[[#This Row],[Tiempo de Degustación]]=0,"No Cobrada","Cobrada")</f>
        <v>Cobrada</v>
      </c>
      <c r="K719" s="5" cm="1">
        <f t="array" ref="K719">SUM(IF(Tabla5[[#This Row],[Orden Cobrada]]="Cobrada",IF(Cocina!A:A=Tabla5[[#This Row],[Nº Orden]],Cocina!F:F*Cocina!G:G,0),-Tabla6[[#This Row],[Precio Cena]]))</f>
        <v>155</v>
      </c>
      <c r="L719" s="5">
        <f>IF(Tabla5[[#This Row],[Orden Cobrada]]="Cobrada",Tabla5[[#This Row],[Ganancia Bruta]]-Tabla6[[#This Row],[Coste Cena]],-Tabla6[[#This Row],[Precio Cena]]+Tabla6[[#This Row],[Coste Cena]])</f>
        <v>63</v>
      </c>
      <c r="M719" s="10">
        <f>IF(Tabla5[[#This Row],[Orden Cobrada]]="Cobrada",((Tabla5[[#This Row],[Ganancia Neta]]/Tabla5[[#This Row],[Ganancia Bruta]])*100)/100,-((Tabla5[[#This Row],[Ganancia Neta]]/Tabla5[[#This Row],[Ganancia Bruta]]*100)/100))</f>
        <v>0.40645161290322579</v>
      </c>
      <c r="N719" s="5" t="str">
        <f>sala!F718</f>
        <v>Mesero_1</v>
      </c>
      <c r="AY719" cm="1">
        <f t="array" ref="AY719">SUM(IF(Cocina!A:A=Tabla5[[#This Row],[Nº Orden]],Cocina!F:F*Cocina!G:G,0))</f>
        <v>155</v>
      </c>
      <c r="AZ719" cm="1">
        <f t="array" ref="AZ719">SUM(IF(Cocina!A:A=Tabla5[[#This Row],[Nº Orden]],Cocina!E:E*Cocina!G:G,0))</f>
        <v>92</v>
      </c>
      <c r="BB719" t="str">
        <f>MID(Tabla4[[#This Row],[Cliente]], SEARCH("_", Tabla4[[#This Row],[Cliente]]) + 1, LEN(Tabla4[[#This Row],[Cliente]]) - SEARCH("_",Tabla4[[#This Row],[Cliente]]))</f>
        <v>392</v>
      </c>
      <c r="BC719" t="str">
        <f>sala!B718</f>
        <v>Cliente_392</v>
      </c>
      <c r="BD719" s="1">
        <f>sala!D718</f>
        <v>45023.163888888892</v>
      </c>
      <c r="BE719" s="1">
        <f>sala!E718</f>
        <v>45023.252083333333</v>
      </c>
      <c r="BF719">
        <f>sala!K718</f>
        <v>717</v>
      </c>
      <c r="BG719">
        <f>sala!I718</f>
        <v>2367</v>
      </c>
      <c r="BH719" cm="1">
        <f t="array" ref="BH719">SUM(IF(Cocina!A:A=Tabla4[[#This Row],[Número de Orden]],Cocina!F:F*Cocina!G:G,0))</f>
        <v>155</v>
      </c>
      <c r="BI719" t="str">
        <f>sala!J718</f>
        <v>Libre</v>
      </c>
      <c r="BJ719" s="4" t="str">
        <f>IF(Tabla4[[#This Row],[Estado mesa]]="Ocupada","00:15","00:00")</f>
        <v>00:00</v>
      </c>
      <c r="BK719" cm="1">
        <f t="array" ref="BK719">SUM(IF(Cocina!A:A=Tabla4[[#This Row],[Número de Orden]],Cocina!H:H,0))</f>
        <v>72</v>
      </c>
    </row>
    <row r="720" spans="1:63" x14ac:dyDescent="0.3">
      <c r="A720" s="8" t="str">
        <f>MID(Tabla4[[#This Row],[Cliente]], SEARCH("_", Tabla4[[#This Row],[Cliente]]) + 1, LEN(Tabla4[[#This Row],[Cliente]]) - SEARCH("_",Tabla4[[#This Row],[Cliente]]))</f>
        <v>489</v>
      </c>
      <c r="B720">
        <f>sala!K719</f>
        <v>718</v>
      </c>
      <c r="C720">
        <f>Tabla4[[#This Row],[Propina]]+Tabla4[[#This Row],[Precio Cena]]</f>
        <v>3741</v>
      </c>
      <c r="D720" s="3">
        <f>INT(sala!E719)</f>
        <v>45023</v>
      </c>
      <c r="E720" s="4">
        <f>MOD( sala!D719,1)</f>
        <v>0.13749999999708962</v>
      </c>
      <c r="F720" s="4">
        <f>MOD( sala!E719,1)</f>
        <v>0.29583333332993789</v>
      </c>
      <c r="G720" s="4">
        <f>Tabla5[[#This Row],[Hora de Salida]]-Tabla5[[#This Row],[Hora de Llegada]]+Tabla4[[#This Row],[Tiempo Extra]]</f>
        <v>0.15833333333284827</v>
      </c>
      <c r="H720" s="5" t="str">
        <f>TEXT(Tabla4[[#This Row],[Preparación en horas]]/1440, "h:mm")</f>
        <v>0:58</v>
      </c>
      <c r="I720" s="4">
        <f>IF(Tabla5[[#This Row],[Tiempo Permanencia]]-Tabla5[[#This Row],[Tiempo de Preparación ]]&gt;=0,Tabla5[[#This Row],[Tiempo Permanencia]]-Tabla5[[#This Row],[Tiempo de Preparación ]],0)</f>
        <v>0.1180555555550705</v>
      </c>
      <c r="J720" s="5" t="str">
        <f>IF(Tabla5[[#This Row],[Tiempo de Degustación]]=0,"No Cobrada","Cobrada")</f>
        <v>Cobrada</v>
      </c>
      <c r="K720" s="5" cm="1">
        <f t="array" ref="K720">SUM(IF(Tabla5[[#This Row],[Orden Cobrada]]="Cobrada",IF(Cocina!A:A=Tabla5[[#This Row],[Nº Orden]],Cocina!F:F*Cocina!G:G,0),-Tabla6[[#This Row],[Precio Cena]]))</f>
        <v>20</v>
      </c>
      <c r="L720" s="5">
        <f>IF(Tabla5[[#This Row],[Orden Cobrada]]="Cobrada",Tabla5[[#This Row],[Ganancia Bruta]]-Tabla6[[#This Row],[Coste Cena]],-Tabla6[[#This Row],[Precio Cena]]+Tabla6[[#This Row],[Coste Cena]])</f>
        <v>8</v>
      </c>
      <c r="M720" s="10">
        <f>IF(Tabla5[[#This Row],[Orden Cobrada]]="Cobrada",((Tabla5[[#This Row],[Ganancia Neta]]/Tabla5[[#This Row],[Ganancia Bruta]])*100)/100,-((Tabla5[[#This Row],[Ganancia Neta]]/Tabla5[[#This Row],[Ganancia Bruta]]*100)/100))</f>
        <v>0.4</v>
      </c>
      <c r="N720" s="5" t="str">
        <f>sala!F719</f>
        <v>Mesero_2</v>
      </c>
      <c r="AY720" cm="1">
        <f t="array" ref="AY720">SUM(IF(Cocina!A:A=Tabla5[[#This Row],[Nº Orden]],Cocina!F:F*Cocina!G:G,0))</f>
        <v>20</v>
      </c>
      <c r="AZ720" cm="1">
        <f t="array" ref="AZ720">SUM(IF(Cocina!A:A=Tabla5[[#This Row],[Nº Orden]],Cocina!E:E*Cocina!G:G,0))</f>
        <v>12</v>
      </c>
      <c r="BB720" t="str">
        <f>MID(Tabla4[[#This Row],[Cliente]], SEARCH("_", Tabla4[[#This Row],[Cliente]]) + 1, LEN(Tabla4[[#This Row],[Cliente]]) - SEARCH("_",Tabla4[[#This Row],[Cliente]]))</f>
        <v>489</v>
      </c>
      <c r="BC720" t="str">
        <f>sala!B719</f>
        <v>Cliente_489</v>
      </c>
      <c r="BD720" s="1">
        <f>sala!D719</f>
        <v>45023.137499999997</v>
      </c>
      <c r="BE720" s="1">
        <f>sala!E719</f>
        <v>45023.29583333333</v>
      </c>
      <c r="BF720">
        <f>sala!K719</f>
        <v>718</v>
      </c>
      <c r="BG720">
        <f>sala!I719</f>
        <v>3721</v>
      </c>
      <c r="BH720" cm="1">
        <f t="array" ref="BH720">SUM(IF(Cocina!A:A=Tabla4[[#This Row],[Número de Orden]],Cocina!F:F*Cocina!G:G,0))</f>
        <v>20</v>
      </c>
      <c r="BI720" t="str">
        <f>sala!J719</f>
        <v>Libre</v>
      </c>
      <c r="BJ720" s="4" t="str">
        <f>IF(Tabla4[[#This Row],[Estado mesa]]="Ocupada","00:15","00:00")</f>
        <v>00:00</v>
      </c>
      <c r="BK720" cm="1">
        <f t="array" ref="BK720">SUM(IF(Cocina!A:A=Tabla4[[#This Row],[Número de Orden]],Cocina!H:H,0))</f>
        <v>58</v>
      </c>
    </row>
    <row r="721" spans="1:63" x14ac:dyDescent="0.3">
      <c r="A721" s="8" t="str">
        <f>MID(Tabla4[[#This Row],[Cliente]], SEARCH("_", Tabla4[[#This Row],[Cliente]]) + 1, LEN(Tabla4[[#This Row],[Cliente]]) - SEARCH("_",Tabla4[[#This Row],[Cliente]]))</f>
        <v>954</v>
      </c>
      <c r="B721">
        <f>sala!K720</f>
        <v>719</v>
      </c>
      <c r="C721">
        <f>Tabla4[[#This Row],[Propina]]+Tabla4[[#This Row],[Precio Cena]]</f>
        <v>1830</v>
      </c>
      <c r="D721" s="3">
        <f>INT(sala!E720)</f>
        <v>45023</v>
      </c>
      <c r="E721" s="4">
        <f>MOD( sala!D720,1)</f>
        <v>5.4166666668606922E-2</v>
      </c>
      <c r="F721" s="4">
        <f>MOD( sala!E720,1)</f>
        <v>0.11736111110803904</v>
      </c>
      <c r="G721" s="4">
        <f>Tabla5[[#This Row],[Hora de Salida]]-Tabla5[[#This Row],[Hora de Llegada]]+Tabla4[[#This Row],[Tiempo Extra]]</f>
        <v>6.3194444439432118E-2</v>
      </c>
      <c r="H721" s="5" t="str">
        <f>TEXT(Tabla4[[#This Row],[Preparación en horas]]/1440, "h:mm")</f>
        <v>1:10</v>
      </c>
      <c r="I721" s="4">
        <f>IF(Tabla5[[#This Row],[Tiempo Permanencia]]-Tabla5[[#This Row],[Tiempo de Preparación ]]&gt;=0,Tabla5[[#This Row],[Tiempo Permanencia]]-Tabla5[[#This Row],[Tiempo de Preparación ]],0)</f>
        <v>1.4583333328321006E-2</v>
      </c>
      <c r="J721" s="5" t="str">
        <f>IF(Tabla5[[#This Row],[Tiempo de Degustación]]=0,"No Cobrada","Cobrada")</f>
        <v>Cobrada</v>
      </c>
      <c r="K721" s="5" cm="1">
        <f t="array" ref="K721">SUM(IF(Tabla5[[#This Row],[Orden Cobrada]]="Cobrada",IF(Cocina!A:A=Tabla5[[#This Row],[Nº Orden]],Cocina!F:F*Cocina!G:G,0),-Tabla6[[#This Row],[Precio Cena]]))</f>
        <v>107</v>
      </c>
      <c r="L721" s="5">
        <f>IF(Tabla5[[#This Row],[Orden Cobrada]]="Cobrada",Tabla5[[#This Row],[Ganancia Bruta]]-Tabla6[[#This Row],[Coste Cena]],-Tabla6[[#This Row],[Precio Cena]]+Tabla6[[#This Row],[Coste Cena]])</f>
        <v>43</v>
      </c>
      <c r="M721" s="10">
        <f>IF(Tabla5[[#This Row],[Orden Cobrada]]="Cobrada",((Tabla5[[#This Row],[Ganancia Neta]]/Tabla5[[#This Row],[Ganancia Bruta]])*100)/100,-((Tabla5[[#This Row],[Ganancia Neta]]/Tabla5[[#This Row],[Ganancia Bruta]]*100)/100))</f>
        <v>0.40186915887850466</v>
      </c>
      <c r="N721" s="5" t="str">
        <f>sala!F720</f>
        <v>Mesero_1</v>
      </c>
      <c r="AY721" cm="1">
        <f t="array" ref="AY721">SUM(IF(Cocina!A:A=Tabla5[[#This Row],[Nº Orden]],Cocina!F:F*Cocina!G:G,0))</f>
        <v>107</v>
      </c>
      <c r="AZ721" cm="1">
        <f t="array" ref="AZ721">SUM(IF(Cocina!A:A=Tabla5[[#This Row],[Nº Orden]],Cocina!E:E*Cocina!G:G,0))</f>
        <v>64</v>
      </c>
      <c r="BB721" t="str">
        <f>MID(Tabla4[[#This Row],[Cliente]], SEARCH("_", Tabla4[[#This Row],[Cliente]]) + 1, LEN(Tabla4[[#This Row],[Cliente]]) - SEARCH("_",Tabla4[[#This Row],[Cliente]]))</f>
        <v>954</v>
      </c>
      <c r="BC721" t="str">
        <f>sala!B720</f>
        <v>Cliente_954</v>
      </c>
      <c r="BD721" s="1">
        <f>sala!D720</f>
        <v>45023.054166666669</v>
      </c>
      <c r="BE721" s="1">
        <f>sala!E720</f>
        <v>45023.117361111108</v>
      </c>
      <c r="BF721">
        <f>sala!K720</f>
        <v>719</v>
      </c>
      <c r="BG721">
        <f>sala!I720</f>
        <v>1723</v>
      </c>
      <c r="BH721" cm="1">
        <f t="array" ref="BH721">SUM(IF(Cocina!A:A=Tabla4[[#This Row],[Número de Orden]],Cocina!F:F*Cocina!G:G,0))</f>
        <v>107</v>
      </c>
      <c r="BI721" t="str">
        <f>sala!J720</f>
        <v>Libre</v>
      </c>
      <c r="BJ721" s="4" t="str">
        <f>IF(Tabla4[[#This Row],[Estado mesa]]="Ocupada","00:15","00:00")</f>
        <v>00:00</v>
      </c>
      <c r="BK721" cm="1">
        <f t="array" ref="BK721">SUM(IF(Cocina!A:A=Tabla4[[#This Row],[Número de Orden]],Cocina!H:H,0))</f>
        <v>70</v>
      </c>
    </row>
    <row r="722" spans="1:63" x14ac:dyDescent="0.3">
      <c r="A722" s="8" t="str">
        <f>MID(Tabla4[[#This Row],[Cliente]], SEARCH("_", Tabla4[[#This Row],[Cliente]]) + 1, LEN(Tabla4[[#This Row],[Cliente]]) - SEARCH("_",Tabla4[[#This Row],[Cliente]]))</f>
        <v>263</v>
      </c>
      <c r="B722">
        <f>sala!K721</f>
        <v>720</v>
      </c>
      <c r="C722">
        <f>Tabla4[[#This Row],[Propina]]+Tabla4[[#This Row],[Precio Cena]]</f>
        <v>4196</v>
      </c>
      <c r="D722" s="3">
        <f>INT(sala!E721)</f>
        <v>45023</v>
      </c>
      <c r="E722" s="4">
        <f>MOD( sala!D721,1)</f>
        <v>9.2361111113859806E-2</v>
      </c>
      <c r="F722" s="4">
        <f>MOD( sala!E721,1)</f>
        <v>0.24027777777519077</v>
      </c>
      <c r="G722" s="4">
        <f>Tabla5[[#This Row],[Hora de Salida]]-Tabla5[[#This Row],[Hora de Llegada]]+Tabla4[[#This Row],[Tiempo Extra]]</f>
        <v>0.14791666666133096</v>
      </c>
      <c r="H722" s="5" t="str">
        <f>TEXT(Tabla4[[#This Row],[Preparación en horas]]/1440, "h:mm")</f>
        <v>2:13</v>
      </c>
      <c r="I722" s="4">
        <f>IF(Tabla5[[#This Row],[Tiempo Permanencia]]-Tabla5[[#This Row],[Tiempo de Preparación ]]&gt;=0,Tabla5[[#This Row],[Tiempo Permanencia]]-Tabla5[[#This Row],[Tiempo de Preparación ]],0)</f>
        <v>5.5555555550219848E-2</v>
      </c>
      <c r="J722" s="5" t="str">
        <f>IF(Tabla5[[#This Row],[Tiempo de Degustación]]=0,"No Cobrada","Cobrada")</f>
        <v>Cobrada</v>
      </c>
      <c r="K722" s="5" cm="1">
        <f t="array" ref="K722">SUM(IF(Tabla5[[#This Row],[Orden Cobrada]]="Cobrada",IF(Cocina!A:A=Tabla5[[#This Row],[Nº Orden]],Cocina!F:F*Cocina!G:G,0),-Tabla6[[#This Row],[Precio Cena]]))</f>
        <v>168</v>
      </c>
      <c r="L722" s="5">
        <f>IF(Tabla5[[#This Row],[Orden Cobrada]]="Cobrada",Tabla5[[#This Row],[Ganancia Bruta]]-Tabla6[[#This Row],[Coste Cena]],-Tabla6[[#This Row],[Precio Cena]]+Tabla6[[#This Row],[Coste Cena]])</f>
        <v>69</v>
      </c>
      <c r="M722" s="10">
        <f>IF(Tabla5[[#This Row],[Orden Cobrada]]="Cobrada",((Tabla5[[#This Row],[Ganancia Neta]]/Tabla5[[#This Row],[Ganancia Bruta]])*100)/100,-((Tabla5[[#This Row],[Ganancia Neta]]/Tabla5[[#This Row],[Ganancia Bruta]]*100)/100))</f>
        <v>0.4107142857142857</v>
      </c>
      <c r="N722" s="5" t="str">
        <f>sala!F721</f>
        <v>Mesero_3</v>
      </c>
      <c r="AY722" cm="1">
        <f t="array" ref="AY722">SUM(IF(Cocina!A:A=Tabla5[[#This Row],[Nº Orden]],Cocina!F:F*Cocina!G:G,0))</f>
        <v>168</v>
      </c>
      <c r="AZ722" cm="1">
        <f t="array" ref="AZ722">SUM(IF(Cocina!A:A=Tabla5[[#This Row],[Nº Orden]],Cocina!E:E*Cocina!G:G,0))</f>
        <v>99</v>
      </c>
      <c r="BB722" t="str">
        <f>MID(Tabla4[[#This Row],[Cliente]], SEARCH("_", Tabla4[[#This Row],[Cliente]]) + 1, LEN(Tabla4[[#This Row],[Cliente]]) - SEARCH("_",Tabla4[[#This Row],[Cliente]]))</f>
        <v>263</v>
      </c>
      <c r="BC722" t="str">
        <f>sala!B721</f>
        <v>Cliente_263</v>
      </c>
      <c r="BD722" s="1">
        <f>sala!D721</f>
        <v>45023.092361111114</v>
      </c>
      <c r="BE722" s="1">
        <f>sala!E721</f>
        <v>45023.240277777775</v>
      </c>
      <c r="BF722">
        <f>sala!K721</f>
        <v>720</v>
      </c>
      <c r="BG722">
        <f>sala!I721</f>
        <v>4028</v>
      </c>
      <c r="BH722" cm="1">
        <f t="array" ref="BH722">SUM(IF(Cocina!A:A=Tabla4[[#This Row],[Número de Orden]],Cocina!F:F*Cocina!G:G,0))</f>
        <v>168</v>
      </c>
      <c r="BI722" t="str">
        <f>sala!J721</f>
        <v>Reservada</v>
      </c>
      <c r="BJ722" s="4" t="str">
        <f>IF(Tabla4[[#This Row],[Estado mesa]]="Ocupada","00:15","00:00")</f>
        <v>00:00</v>
      </c>
      <c r="BK722" cm="1">
        <f t="array" ref="BK722">SUM(IF(Cocina!A:A=Tabla4[[#This Row],[Número de Orden]],Cocina!H:H,0))</f>
        <v>133</v>
      </c>
    </row>
    <row r="723" spans="1:63" x14ac:dyDescent="0.3">
      <c r="A723" s="8" t="str">
        <f>MID(Tabla4[[#This Row],[Cliente]], SEARCH("_", Tabla4[[#This Row],[Cliente]]) + 1, LEN(Tabla4[[#This Row],[Cliente]]) - SEARCH("_",Tabla4[[#This Row],[Cliente]]))</f>
        <v>733</v>
      </c>
      <c r="B723">
        <f>sala!K722</f>
        <v>721</v>
      </c>
      <c r="C723">
        <f>Tabla4[[#This Row],[Propina]]+Tabla4[[#This Row],[Precio Cena]]</f>
        <v>4931</v>
      </c>
      <c r="D723" s="3">
        <f>INT(sala!E722)</f>
        <v>45023</v>
      </c>
      <c r="E723" s="4">
        <f>MOD( sala!D722,1)</f>
        <v>0.16180555555911269</v>
      </c>
      <c r="F723" s="4">
        <f>MOD( sala!E722,1)</f>
        <v>0.29236111111094942</v>
      </c>
      <c r="G723" s="4">
        <f>Tabla5[[#This Row],[Hora de Salida]]-Tabla5[[#This Row],[Hora de Llegada]]+Tabla4[[#This Row],[Tiempo Extra]]</f>
        <v>0.13055555555183673</v>
      </c>
      <c r="H723" s="5" t="str">
        <f>TEXT(Tabla4[[#This Row],[Preparación en horas]]/1440, "h:mm")</f>
        <v>2:13</v>
      </c>
      <c r="I723" s="4">
        <f>IF(Tabla5[[#This Row],[Tiempo Permanencia]]-Tabla5[[#This Row],[Tiempo de Preparación ]]&gt;=0,Tabla5[[#This Row],[Tiempo Permanencia]]-Tabla5[[#This Row],[Tiempo de Preparación ]],0)</f>
        <v>3.8194444440725617E-2</v>
      </c>
      <c r="J723" s="5" t="str">
        <f>IF(Tabla5[[#This Row],[Tiempo de Degustación]]=0,"No Cobrada","Cobrada")</f>
        <v>Cobrada</v>
      </c>
      <c r="K723" s="5" cm="1">
        <f t="array" ref="K723">SUM(IF(Tabla5[[#This Row],[Orden Cobrada]]="Cobrada",IF(Cocina!A:A=Tabla5[[#This Row],[Nº Orden]],Cocina!F:F*Cocina!G:G,0),-Tabla6[[#This Row],[Precio Cena]]))</f>
        <v>218</v>
      </c>
      <c r="L723" s="5">
        <f>IF(Tabla5[[#This Row],[Orden Cobrada]]="Cobrada",Tabla5[[#This Row],[Ganancia Bruta]]-Tabla6[[#This Row],[Coste Cena]],-Tabla6[[#This Row],[Precio Cena]]+Tabla6[[#This Row],[Coste Cena]])</f>
        <v>89</v>
      </c>
      <c r="M723" s="10">
        <f>IF(Tabla5[[#This Row],[Orden Cobrada]]="Cobrada",((Tabla5[[#This Row],[Ganancia Neta]]/Tabla5[[#This Row],[Ganancia Bruta]])*100)/100,-((Tabla5[[#This Row],[Ganancia Neta]]/Tabla5[[#This Row],[Ganancia Bruta]]*100)/100))</f>
        <v>0.40825688073394495</v>
      </c>
      <c r="N723" s="5" t="str">
        <f>sala!F722</f>
        <v>Mesero_2</v>
      </c>
      <c r="AY723" cm="1">
        <f t="array" ref="AY723">SUM(IF(Cocina!A:A=Tabla5[[#This Row],[Nº Orden]],Cocina!F:F*Cocina!G:G,0))</f>
        <v>218</v>
      </c>
      <c r="AZ723" cm="1">
        <f t="array" ref="AZ723">SUM(IF(Cocina!A:A=Tabla5[[#This Row],[Nº Orden]],Cocina!E:E*Cocina!G:G,0))</f>
        <v>129</v>
      </c>
      <c r="BB723" t="str">
        <f>MID(Tabla4[[#This Row],[Cliente]], SEARCH("_", Tabla4[[#This Row],[Cliente]]) + 1, LEN(Tabla4[[#This Row],[Cliente]]) - SEARCH("_",Tabla4[[#This Row],[Cliente]]))</f>
        <v>733</v>
      </c>
      <c r="BC723" t="str">
        <f>sala!B722</f>
        <v>Cliente_733</v>
      </c>
      <c r="BD723" s="1">
        <f>sala!D722</f>
        <v>45023.161805555559</v>
      </c>
      <c r="BE723" s="1">
        <f>sala!E722</f>
        <v>45023.292361111111</v>
      </c>
      <c r="BF723">
        <f>sala!K722</f>
        <v>721</v>
      </c>
      <c r="BG723">
        <f>sala!I722</f>
        <v>4713</v>
      </c>
      <c r="BH723" cm="1">
        <f t="array" ref="BH723">SUM(IF(Cocina!A:A=Tabla4[[#This Row],[Número de Orden]],Cocina!F:F*Cocina!G:G,0))</f>
        <v>218</v>
      </c>
      <c r="BI723" t="str">
        <f>sala!J722</f>
        <v>Libre</v>
      </c>
      <c r="BJ723" s="4" t="str">
        <f>IF(Tabla4[[#This Row],[Estado mesa]]="Ocupada","00:15","00:00")</f>
        <v>00:00</v>
      </c>
      <c r="BK723" cm="1">
        <f t="array" ref="BK723">SUM(IF(Cocina!A:A=Tabla4[[#This Row],[Número de Orden]],Cocina!H:H,0))</f>
        <v>133</v>
      </c>
    </row>
    <row r="724" spans="1:63" x14ac:dyDescent="0.3">
      <c r="A724" s="8" t="str">
        <f>MID(Tabla4[[#This Row],[Cliente]], SEARCH("_", Tabla4[[#This Row],[Cliente]]) + 1, LEN(Tabla4[[#This Row],[Cliente]]) - SEARCH("_",Tabla4[[#This Row],[Cliente]]))</f>
        <v>438</v>
      </c>
      <c r="B724">
        <f>sala!K723</f>
        <v>722</v>
      </c>
      <c r="C724">
        <f>Tabla4[[#This Row],[Propina]]+Tabla4[[#This Row],[Precio Cena]]</f>
        <v>2147</v>
      </c>
      <c r="D724" s="3">
        <f>INT(sala!E723)</f>
        <v>45023</v>
      </c>
      <c r="E724" s="4">
        <f>MOD( sala!D723,1)</f>
        <v>0.11875000000145519</v>
      </c>
      <c r="F724" s="4">
        <f>MOD( sala!E723,1)</f>
        <v>0.17222222222335404</v>
      </c>
      <c r="G724" s="4">
        <f>Tabla5[[#This Row],[Hora de Salida]]-Tabla5[[#This Row],[Hora de Llegada]]+Tabla4[[#This Row],[Tiempo Extra]]</f>
        <v>5.3472222221898846E-2</v>
      </c>
      <c r="H724" s="5" t="str">
        <f>TEXT(Tabla4[[#This Row],[Preparación en horas]]/1440, "h:mm")</f>
        <v>0:59</v>
      </c>
      <c r="I724" s="4">
        <f>IF(Tabla5[[#This Row],[Tiempo Permanencia]]-Tabla5[[#This Row],[Tiempo de Preparación ]]&gt;=0,Tabla5[[#This Row],[Tiempo Permanencia]]-Tabla5[[#This Row],[Tiempo de Preparación ]],0)</f>
        <v>1.2499999999676624E-2</v>
      </c>
      <c r="J724" s="5" t="str">
        <f>IF(Tabla5[[#This Row],[Tiempo de Degustación]]=0,"No Cobrada","Cobrada")</f>
        <v>Cobrada</v>
      </c>
      <c r="K724" s="5" cm="1">
        <f t="array" ref="K724">SUM(IF(Tabla5[[#This Row],[Orden Cobrada]]="Cobrada",IF(Cocina!A:A=Tabla5[[#This Row],[Nº Orden]],Cocina!F:F*Cocina!G:G,0),-Tabla6[[#This Row],[Precio Cena]]))</f>
        <v>85</v>
      </c>
      <c r="L724" s="5">
        <f>IF(Tabla5[[#This Row],[Orden Cobrada]]="Cobrada",Tabla5[[#This Row],[Ganancia Bruta]]-Tabla6[[#This Row],[Coste Cena]],-Tabla6[[#This Row],[Precio Cena]]+Tabla6[[#This Row],[Coste Cena]])</f>
        <v>33</v>
      </c>
      <c r="M724" s="10">
        <f>IF(Tabla5[[#This Row],[Orden Cobrada]]="Cobrada",((Tabla5[[#This Row],[Ganancia Neta]]/Tabla5[[#This Row],[Ganancia Bruta]])*100)/100,-((Tabla5[[#This Row],[Ganancia Neta]]/Tabla5[[#This Row],[Ganancia Bruta]]*100)/100))</f>
        <v>0.38823529411764712</v>
      </c>
      <c r="N724" s="5" t="str">
        <f>sala!F723</f>
        <v>Mesero_2</v>
      </c>
      <c r="AY724" cm="1">
        <f t="array" ref="AY724">SUM(IF(Cocina!A:A=Tabla5[[#This Row],[Nº Orden]],Cocina!F:F*Cocina!G:G,0))</f>
        <v>85</v>
      </c>
      <c r="AZ724" cm="1">
        <f t="array" ref="AZ724">SUM(IF(Cocina!A:A=Tabla5[[#This Row],[Nº Orden]],Cocina!E:E*Cocina!G:G,0))</f>
        <v>52</v>
      </c>
      <c r="BB724" t="str">
        <f>MID(Tabla4[[#This Row],[Cliente]], SEARCH("_", Tabla4[[#This Row],[Cliente]]) + 1, LEN(Tabla4[[#This Row],[Cliente]]) - SEARCH("_",Tabla4[[#This Row],[Cliente]]))</f>
        <v>438</v>
      </c>
      <c r="BC724" t="str">
        <f>sala!B723</f>
        <v>Cliente_438</v>
      </c>
      <c r="BD724" s="1">
        <f>sala!D723</f>
        <v>45023.118750000001</v>
      </c>
      <c r="BE724" s="1">
        <f>sala!E723</f>
        <v>45023.172222222223</v>
      </c>
      <c r="BF724">
        <f>sala!K723</f>
        <v>722</v>
      </c>
      <c r="BG724">
        <f>sala!I723</f>
        <v>2062</v>
      </c>
      <c r="BH724" cm="1">
        <f t="array" ref="BH724">SUM(IF(Cocina!A:A=Tabla4[[#This Row],[Número de Orden]],Cocina!F:F*Cocina!G:G,0))</f>
        <v>85</v>
      </c>
      <c r="BI724" t="str">
        <f>sala!J723</f>
        <v>Libre</v>
      </c>
      <c r="BJ724" s="4" t="str">
        <f>IF(Tabla4[[#This Row],[Estado mesa]]="Ocupada","00:15","00:00")</f>
        <v>00:00</v>
      </c>
      <c r="BK724" cm="1">
        <f t="array" ref="BK724">SUM(IF(Cocina!A:A=Tabla4[[#This Row],[Número de Orden]],Cocina!H:H,0))</f>
        <v>59</v>
      </c>
    </row>
    <row r="725" spans="1:63" x14ac:dyDescent="0.3">
      <c r="A725" s="8" t="str">
        <f>MID(Tabla4[[#This Row],[Cliente]], SEARCH("_", Tabla4[[#This Row],[Cliente]]) + 1, LEN(Tabla4[[#This Row],[Cliente]]) - SEARCH("_",Tabla4[[#This Row],[Cliente]]))</f>
        <v>116</v>
      </c>
      <c r="B725">
        <f>sala!K724</f>
        <v>723</v>
      </c>
      <c r="C725">
        <f>Tabla4[[#This Row],[Propina]]+Tabla4[[#This Row],[Precio Cena]]</f>
        <v>2905</v>
      </c>
      <c r="D725" s="3">
        <f>INT(sala!E724)</f>
        <v>45023</v>
      </c>
      <c r="E725" s="4">
        <f>MOD( sala!D724,1)</f>
        <v>6.5972222218988463E-2</v>
      </c>
      <c r="F725" s="4">
        <f>MOD( sala!E724,1)</f>
        <v>0.20069444444379769</v>
      </c>
      <c r="G725" s="4">
        <f>Tabla5[[#This Row],[Hora de Salida]]-Tabla5[[#This Row],[Hora de Llegada]]+Tabla4[[#This Row],[Tiempo Extra]]</f>
        <v>0.13472222222480923</v>
      </c>
      <c r="H725" s="5" t="str">
        <f>TEXT(Tabla4[[#This Row],[Preparación en horas]]/1440, "h:mm")</f>
        <v>0:31</v>
      </c>
      <c r="I725" s="4">
        <f>IF(Tabla5[[#This Row],[Tiempo Permanencia]]-Tabla5[[#This Row],[Tiempo de Preparación ]]&gt;=0,Tabla5[[#This Row],[Tiempo Permanencia]]-Tabla5[[#This Row],[Tiempo de Preparación ]],0)</f>
        <v>0.11319444444703144</v>
      </c>
      <c r="J725" s="5" t="str">
        <f>IF(Tabla5[[#This Row],[Tiempo de Degustación]]=0,"No Cobrada","Cobrada")</f>
        <v>Cobrada</v>
      </c>
      <c r="K725" s="5" cm="1">
        <f t="array" ref="K725">SUM(IF(Tabla5[[#This Row],[Orden Cobrada]]="Cobrada",IF(Cocina!A:A=Tabla5[[#This Row],[Nº Orden]],Cocina!F:F*Cocina!G:G,0),-Tabla6[[#This Row],[Precio Cena]]))</f>
        <v>126</v>
      </c>
      <c r="L725" s="5">
        <f>IF(Tabla5[[#This Row],[Orden Cobrada]]="Cobrada",Tabla5[[#This Row],[Ganancia Bruta]]-Tabla6[[#This Row],[Coste Cena]],-Tabla6[[#This Row],[Precio Cena]]+Tabla6[[#This Row],[Coste Cena]])</f>
        <v>52</v>
      </c>
      <c r="M725" s="10">
        <f>IF(Tabla5[[#This Row],[Orden Cobrada]]="Cobrada",((Tabla5[[#This Row],[Ganancia Neta]]/Tabla5[[#This Row],[Ganancia Bruta]])*100)/100,-((Tabla5[[#This Row],[Ganancia Neta]]/Tabla5[[#This Row],[Ganancia Bruta]]*100)/100))</f>
        <v>0.41269841269841268</v>
      </c>
      <c r="N725" s="5" t="str">
        <f>sala!F724</f>
        <v>Mesero_4</v>
      </c>
      <c r="AY725" cm="1">
        <f t="array" ref="AY725">SUM(IF(Cocina!A:A=Tabla5[[#This Row],[Nº Orden]],Cocina!F:F*Cocina!G:G,0))</f>
        <v>126</v>
      </c>
      <c r="AZ725" cm="1">
        <f t="array" ref="AZ725">SUM(IF(Cocina!A:A=Tabla5[[#This Row],[Nº Orden]],Cocina!E:E*Cocina!G:G,0))</f>
        <v>74</v>
      </c>
      <c r="BB725" t="str">
        <f>MID(Tabla4[[#This Row],[Cliente]], SEARCH("_", Tabla4[[#This Row],[Cliente]]) + 1, LEN(Tabla4[[#This Row],[Cliente]]) - SEARCH("_",Tabla4[[#This Row],[Cliente]]))</f>
        <v>116</v>
      </c>
      <c r="BC725" t="str">
        <f>sala!B724</f>
        <v>Cliente_116</v>
      </c>
      <c r="BD725" s="1">
        <f>sala!D724</f>
        <v>45023.065972222219</v>
      </c>
      <c r="BE725" s="1">
        <f>sala!E724</f>
        <v>45023.200694444444</v>
      </c>
      <c r="BF725">
        <f>sala!K724</f>
        <v>723</v>
      </c>
      <c r="BG725">
        <f>sala!I724</f>
        <v>2779</v>
      </c>
      <c r="BH725" cm="1">
        <f t="array" ref="BH725">SUM(IF(Cocina!A:A=Tabla4[[#This Row],[Número de Orden]],Cocina!F:F*Cocina!G:G,0))</f>
        <v>126</v>
      </c>
      <c r="BI725" t="str">
        <f>sala!J724</f>
        <v>Libre</v>
      </c>
      <c r="BJ725" s="4" t="str">
        <f>IF(Tabla4[[#This Row],[Estado mesa]]="Ocupada","00:15","00:00")</f>
        <v>00:00</v>
      </c>
      <c r="BK725" cm="1">
        <f t="array" ref="BK725">SUM(IF(Cocina!A:A=Tabla4[[#This Row],[Número de Orden]],Cocina!H:H,0))</f>
        <v>31</v>
      </c>
    </row>
    <row r="726" spans="1:63" x14ac:dyDescent="0.3">
      <c r="A726" s="8" t="str">
        <f>MID(Tabla4[[#This Row],[Cliente]], SEARCH("_", Tabla4[[#This Row],[Cliente]]) + 1, LEN(Tabla4[[#This Row],[Cliente]]) - SEARCH("_",Tabla4[[#This Row],[Cliente]]))</f>
        <v>929</v>
      </c>
      <c r="B726">
        <f>sala!K725</f>
        <v>724</v>
      </c>
      <c r="C726">
        <f>Tabla4[[#This Row],[Propina]]+Tabla4[[#This Row],[Precio Cena]]</f>
        <v>1478</v>
      </c>
      <c r="D726" s="3">
        <f>INT(sala!E725)</f>
        <v>45023</v>
      </c>
      <c r="E726" s="4">
        <f>MOD( sala!D725,1)</f>
        <v>0.12222222222044365</v>
      </c>
      <c r="F726" s="4">
        <f>MOD( sala!E725,1)</f>
        <v>0.17708333333575865</v>
      </c>
      <c r="G726" s="4">
        <f>Tabla5[[#This Row],[Hora de Salida]]-Tabla5[[#This Row],[Hora de Llegada]]+Tabla4[[#This Row],[Tiempo Extra]]</f>
        <v>5.4861111115314998E-2</v>
      </c>
      <c r="H726" s="5" t="str">
        <f>TEXT(Tabla4[[#This Row],[Preparación en horas]]/1440, "h:mm")</f>
        <v>0:56</v>
      </c>
      <c r="I726" s="4">
        <f>IF(Tabla5[[#This Row],[Tiempo Permanencia]]-Tabla5[[#This Row],[Tiempo de Preparación ]]&gt;=0,Tabla5[[#This Row],[Tiempo Permanencia]]-Tabla5[[#This Row],[Tiempo de Preparación ]],0)</f>
        <v>1.5972222226426108E-2</v>
      </c>
      <c r="J726" s="5" t="str">
        <f>IF(Tabla5[[#This Row],[Tiempo de Degustación]]=0,"No Cobrada","Cobrada")</f>
        <v>Cobrada</v>
      </c>
      <c r="K726" s="5" cm="1">
        <f t="array" ref="K726">SUM(IF(Tabla5[[#This Row],[Orden Cobrada]]="Cobrada",IF(Cocina!A:A=Tabla5[[#This Row],[Nº Orden]],Cocina!F:F*Cocina!G:G,0),-Tabla6[[#This Row],[Precio Cena]]))</f>
        <v>66</v>
      </c>
      <c r="L726" s="5">
        <f>IF(Tabla5[[#This Row],[Orden Cobrada]]="Cobrada",Tabla5[[#This Row],[Ganancia Bruta]]-Tabla6[[#This Row],[Coste Cena]],-Tabla6[[#This Row],[Precio Cena]]+Tabla6[[#This Row],[Coste Cena]])</f>
        <v>27</v>
      </c>
      <c r="M726" s="10">
        <f>IF(Tabla5[[#This Row],[Orden Cobrada]]="Cobrada",((Tabla5[[#This Row],[Ganancia Neta]]/Tabla5[[#This Row],[Ganancia Bruta]])*100)/100,-((Tabla5[[#This Row],[Ganancia Neta]]/Tabla5[[#This Row],[Ganancia Bruta]]*100)/100))</f>
        <v>0.40909090909090912</v>
      </c>
      <c r="N726" s="5" t="str">
        <f>sala!F725</f>
        <v>Mesero_5</v>
      </c>
      <c r="AY726" cm="1">
        <f t="array" ref="AY726">SUM(IF(Cocina!A:A=Tabla5[[#This Row],[Nº Orden]],Cocina!F:F*Cocina!G:G,0))</f>
        <v>66</v>
      </c>
      <c r="AZ726" cm="1">
        <f t="array" ref="AZ726">SUM(IF(Cocina!A:A=Tabla5[[#This Row],[Nº Orden]],Cocina!E:E*Cocina!G:G,0))</f>
        <v>39</v>
      </c>
      <c r="BB726" t="str">
        <f>MID(Tabla4[[#This Row],[Cliente]], SEARCH("_", Tabla4[[#This Row],[Cliente]]) + 1, LEN(Tabla4[[#This Row],[Cliente]]) - SEARCH("_",Tabla4[[#This Row],[Cliente]]))</f>
        <v>929</v>
      </c>
      <c r="BC726" t="str">
        <f>sala!B725</f>
        <v>Cliente_929</v>
      </c>
      <c r="BD726" s="1">
        <f>sala!D725</f>
        <v>45023.12222222222</v>
      </c>
      <c r="BE726" s="1">
        <f>sala!E725</f>
        <v>45023.177083333336</v>
      </c>
      <c r="BF726">
        <f>sala!K725</f>
        <v>724</v>
      </c>
      <c r="BG726">
        <f>sala!I725</f>
        <v>1412</v>
      </c>
      <c r="BH726" cm="1">
        <f t="array" ref="BH726">SUM(IF(Cocina!A:A=Tabla4[[#This Row],[Número de Orden]],Cocina!F:F*Cocina!G:G,0))</f>
        <v>66</v>
      </c>
      <c r="BI726" t="str">
        <f>sala!J725</f>
        <v>Libre</v>
      </c>
      <c r="BJ726" s="4" t="str">
        <f>IF(Tabla4[[#This Row],[Estado mesa]]="Ocupada","00:15","00:00")</f>
        <v>00:00</v>
      </c>
      <c r="BK726" cm="1">
        <f t="array" ref="BK726">SUM(IF(Cocina!A:A=Tabla4[[#This Row],[Número de Orden]],Cocina!H:H,0))</f>
        <v>56</v>
      </c>
    </row>
    <row r="727" spans="1:63" x14ac:dyDescent="0.3">
      <c r="A727" s="8" t="str">
        <f>MID(Tabla4[[#This Row],[Cliente]], SEARCH("_", Tabla4[[#This Row],[Cliente]]) + 1, LEN(Tabla4[[#This Row],[Cliente]]) - SEARCH("_",Tabla4[[#This Row],[Cliente]]))</f>
        <v>353</v>
      </c>
      <c r="B727">
        <f>sala!K726</f>
        <v>725</v>
      </c>
      <c r="C727">
        <f>Tabla4[[#This Row],[Propina]]+Tabla4[[#This Row],[Precio Cena]]</f>
        <v>2034</v>
      </c>
      <c r="D727" s="3">
        <f>INT(sala!E726)</f>
        <v>45023</v>
      </c>
      <c r="E727" s="4">
        <f>MOD( sala!D726,1)</f>
        <v>7.4999999997089617E-2</v>
      </c>
      <c r="F727" s="4">
        <f>MOD( sala!E726,1)</f>
        <v>0.13888888889050577</v>
      </c>
      <c r="G727" s="4">
        <f>Tabla5[[#This Row],[Hora de Salida]]-Tabla5[[#This Row],[Hora de Llegada]]+Tabla4[[#This Row],[Tiempo Extra]]</f>
        <v>7.4305555560082823E-2</v>
      </c>
      <c r="H727" s="5" t="str">
        <f>TEXT(Tabla4[[#This Row],[Preparación en horas]]/1440, "h:mm")</f>
        <v>1:25</v>
      </c>
      <c r="I727" s="4">
        <f>IF(Tabla5[[#This Row],[Tiempo Permanencia]]-Tabla5[[#This Row],[Tiempo de Preparación ]]&gt;=0,Tabla5[[#This Row],[Tiempo Permanencia]]-Tabla5[[#This Row],[Tiempo de Preparación ]],0)</f>
        <v>1.5277777782305046E-2</v>
      </c>
      <c r="J727" s="5" t="str">
        <f>IF(Tabla5[[#This Row],[Tiempo de Degustación]]=0,"No Cobrada","Cobrada")</f>
        <v>Cobrada</v>
      </c>
      <c r="K727" s="5" cm="1">
        <f t="array" ref="K727">SUM(IF(Tabla5[[#This Row],[Orden Cobrada]]="Cobrada",IF(Cocina!A:A=Tabla5[[#This Row],[Nº Orden]],Cocina!F:F*Cocina!G:G,0),-Tabla6[[#This Row],[Precio Cena]]))</f>
        <v>168</v>
      </c>
      <c r="L727" s="5">
        <f>IF(Tabla5[[#This Row],[Orden Cobrada]]="Cobrada",Tabla5[[#This Row],[Ganancia Bruta]]-Tabla6[[#This Row],[Coste Cena]],-Tabla6[[#This Row],[Precio Cena]]+Tabla6[[#This Row],[Coste Cena]])</f>
        <v>69</v>
      </c>
      <c r="M727" s="10">
        <f>IF(Tabla5[[#This Row],[Orden Cobrada]]="Cobrada",((Tabla5[[#This Row],[Ganancia Neta]]/Tabla5[[#This Row],[Ganancia Bruta]])*100)/100,-((Tabla5[[#This Row],[Ganancia Neta]]/Tabla5[[#This Row],[Ganancia Bruta]]*100)/100))</f>
        <v>0.4107142857142857</v>
      </c>
      <c r="N727" s="5" t="str">
        <f>sala!F726</f>
        <v>Mesero_4</v>
      </c>
      <c r="AY727" cm="1">
        <f t="array" ref="AY727">SUM(IF(Cocina!A:A=Tabla5[[#This Row],[Nº Orden]],Cocina!F:F*Cocina!G:G,0))</f>
        <v>168</v>
      </c>
      <c r="AZ727" cm="1">
        <f t="array" ref="AZ727">SUM(IF(Cocina!A:A=Tabla5[[#This Row],[Nº Orden]],Cocina!E:E*Cocina!G:G,0))</f>
        <v>99</v>
      </c>
      <c r="BB727" t="str">
        <f>MID(Tabla4[[#This Row],[Cliente]], SEARCH("_", Tabla4[[#This Row],[Cliente]]) + 1, LEN(Tabla4[[#This Row],[Cliente]]) - SEARCH("_",Tabla4[[#This Row],[Cliente]]))</f>
        <v>353</v>
      </c>
      <c r="BC727" t="str">
        <f>sala!B726</f>
        <v>Cliente_353</v>
      </c>
      <c r="BD727" s="1">
        <f>sala!D726</f>
        <v>45023.074999999997</v>
      </c>
      <c r="BE727" s="1">
        <f>sala!E726</f>
        <v>45023.138888888891</v>
      </c>
      <c r="BF727">
        <f>sala!K726</f>
        <v>725</v>
      </c>
      <c r="BG727">
        <f>sala!I726</f>
        <v>1866</v>
      </c>
      <c r="BH727" cm="1">
        <f t="array" ref="BH727">SUM(IF(Cocina!A:A=Tabla4[[#This Row],[Número de Orden]],Cocina!F:F*Cocina!G:G,0))</f>
        <v>168</v>
      </c>
      <c r="BI727" t="str">
        <f>sala!J726</f>
        <v>Ocupada</v>
      </c>
      <c r="BJ727" s="4" t="str">
        <f>IF(Tabla4[[#This Row],[Estado mesa]]="Ocupada","00:15","00:00")</f>
        <v>00:15</v>
      </c>
      <c r="BK727" cm="1">
        <f t="array" ref="BK727">SUM(IF(Cocina!A:A=Tabla4[[#This Row],[Número de Orden]],Cocina!H:H,0))</f>
        <v>85</v>
      </c>
    </row>
    <row r="728" spans="1:63" x14ac:dyDescent="0.3">
      <c r="A728" s="8" t="str">
        <f>MID(Tabla4[[#This Row],[Cliente]], SEARCH("_", Tabla4[[#This Row],[Cliente]]) + 1, LEN(Tabla4[[#This Row],[Cliente]]) - SEARCH("_",Tabla4[[#This Row],[Cliente]]))</f>
        <v>715</v>
      </c>
      <c r="B728">
        <f>sala!K727</f>
        <v>726</v>
      </c>
      <c r="C728">
        <f>Tabla4[[#This Row],[Propina]]+Tabla4[[#This Row],[Precio Cena]]</f>
        <v>4264</v>
      </c>
      <c r="D728" s="3">
        <f>INT(sala!E727)</f>
        <v>45023</v>
      </c>
      <c r="E728" s="4">
        <f>MOD( sala!D727,1)</f>
        <v>0.10277777777810115</v>
      </c>
      <c r="F728" s="4">
        <f>MOD( sala!E727,1)</f>
        <v>0.2381944444423425</v>
      </c>
      <c r="G728" s="4">
        <f>Tabla5[[#This Row],[Hora de Salida]]-Tabla5[[#This Row],[Hora de Llegada]]+Tabla4[[#This Row],[Tiempo Extra]]</f>
        <v>0.13541666666424135</v>
      </c>
      <c r="H728" s="5" t="str">
        <f>TEXT(Tabla4[[#This Row],[Preparación en horas]]/1440, "h:mm")</f>
        <v>1:14</v>
      </c>
      <c r="I728" s="4">
        <f>IF(Tabla5[[#This Row],[Tiempo Permanencia]]-Tabla5[[#This Row],[Tiempo de Preparación ]]&gt;=0,Tabla5[[#This Row],[Tiempo Permanencia]]-Tabla5[[#This Row],[Tiempo de Preparación ]],0)</f>
        <v>8.4027777775352461E-2</v>
      </c>
      <c r="J728" s="5" t="str">
        <f>IF(Tabla5[[#This Row],[Tiempo de Degustación]]=0,"No Cobrada","Cobrada")</f>
        <v>Cobrada</v>
      </c>
      <c r="K728" s="5" cm="1">
        <f t="array" ref="K728">SUM(IF(Tabla5[[#This Row],[Orden Cobrada]]="Cobrada",IF(Cocina!A:A=Tabla5[[#This Row],[Nº Orden]],Cocina!F:F*Cocina!G:G,0),-Tabla6[[#This Row],[Precio Cena]]))</f>
        <v>126</v>
      </c>
      <c r="L728" s="5">
        <f>IF(Tabla5[[#This Row],[Orden Cobrada]]="Cobrada",Tabla5[[#This Row],[Ganancia Bruta]]-Tabla6[[#This Row],[Coste Cena]],-Tabla6[[#This Row],[Precio Cena]]+Tabla6[[#This Row],[Coste Cena]])</f>
        <v>50</v>
      </c>
      <c r="M728" s="10">
        <f>IF(Tabla5[[#This Row],[Orden Cobrada]]="Cobrada",((Tabla5[[#This Row],[Ganancia Neta]]/Tabla5[[#This Row],[Ganancia Bruta]])*100)/100,-((Tabla5[[#This Row],[Ganancia Neta]]/Tabla5[[#This Row],[Ganancia Bruta]]*100)/100))</f>
        <v>0.39682539682539686</v>
      </c>
      <c r="N728" s="5" t="str">
        <f>sala!F727</f>
        <v>Mesero_5</v>
      </c>
      <c r="AY728" cm="1">
        <f t="array" ref="AY728">SUM(IF(Cocina!A:A=Tabla5[[#This Row],[Nº Orden]],Cocina!F:F*Cocina!G:G,0))</f>
        <v>126</v>
      </c>
      <c r="AZ728" cm="1">
        <f t="array" ref="AZ728">SUM(IF(Cocina!A:A=Tabla5[[#This Row],[Nº Orden]],Cocina!E:E*Cocina!G:G,0))</f>
        <v>76</v>
      </c>
      <c r="BB728" t="str">
        <f>MID(Tabla4[[#This Row],[Cliente]], SEARCH("_", Tabla4[[#This Row],[Cliente]]) + 1, LEN(Tabla4[[#This Row],[Cliente]]) - SEARCH("_",Tabla4[[#This Row],[Cliente]]))</f>
        <v>715</v>
      </c>
      <c r="BC728" t="str">
        <f>sala!B727</f>
        <v>Cliente_715</v>
      </c>
      <c r="BD728" s="1">
        <f>sala!D727</f>
        <v>45023.102777777778</v>
      </c>
      <c r="BE728" s="1">
        <f>sala!E727</f>
        <v>45023.238194444442</v>
      </c>
      <c r="BF728">
        <f>sala!K727</f>
        <v>726</v>
      </c>
      <c r="BG728">
        <f>sala!I727</f>
        <v>4138</v>
      </c>
      <c r="BH728" cm="1">
        <f t="array" ref="BH728">SUM(IF(Cocina!A:A=Tabla4[[#This Row],[Número de Orden]],Cocina!F:F*Cocina!G:G,0))</f>
        <v>126</v>
      </c>
      <c r="BI728" t="str">
        <f>sala!J727</f>
        <v>Reservada</v>
      </c>
      <c r="BJ728" s="4" t="str">
        <f>IF(Tabla4[[#This Row],[Estado mesa]]="Ocupada","00:15","00:00")</f>
        <v>00:00</v>
      </c>
      <c r="BK728" cm="1">
        <f t="array" ref="BK728">SUM(IF(Cocina!A:A=Tabla4[[#This Row],[Número de Orden]],Cocina!H:H,0))</f>
        <v>74</v>
      </c>
    </row>
    <row r="729" spans="1:63" x14ac:dyDescent="0.3">
      <c r="A729" s="8" t="str">
        <f>MID(Tabla4[[#This Row],[Cliente]], SEARCH("_", Tabla4[[#This Row],[Cliente]]) + 1, LEN(Tabla4[[#This Row],[Cliente]]) - SEARCH("_",Tabla4[[#This Row],[Cliente]]))</f>
        <v>117</v>
      </c>
      <c r="B729">
        <f>sala!K728</f>
        <v>727</v>
      </c>
      <c r="C729">
        <f>Tabla4[[#This Row],[Propina]]+Tabla4[[#This Row],[Precio Cena]]</f>
        <v>1364</v>
      </c>
      <c r="D729" s="3">
        <f>INT(sala!E728)</f>
        <v>45023</v>
      </c>
      <c r="E729" s="4">
        <f>MOD( sala!D728,1)</f>
        <v>2.1527777775190771E-2</v>
      </c>
      <c r="F729" s="4">
        <f>MOD( sala!E728,1)</f>
        <v>0.12638888888614019</v>
      </c>
      <c r="G729" s="4">
        <f>Tabla5[[#This Row],[Hora de Salida]]-Tabla5[[#This Row],[Hora de Llegada]]+Tabla4[[#This Row],[Tiempo Extra]]</f>
        <v>0.10486111111094942</v>
      </c>
      <c r="H729" s="5" t="str">
        <f>TEXT(Tabla4[[#This Row],[Preparación en horas]]/1440, "h:mm")</f>
        <v>0:21</v>
      </c>
      <c r="I729" s="4">
        <f>IF(Tabla5[[#This Row],[Tiempo Permanencia]]-Tabla5[[#This Row],[Tiempo de Preparación ]]&gt;=0,Tabla5[[#This Row],[Tiempo Permanencia]]-Tabla5[[#This Row],[Tiempo de Preparación ]],0)</f>
        <v>9.0277777777616086E-2</v>
      </c>
      <c r="J729" s="5" t="str">
        <f>IF(Tabla5[[#This Row],[Tiempo de Degustación]]=0,"No Cobrada","Cobrada")</f>
        <v>Cobrada</v>
      </c>
      <c r="K729" s="5" cm="1">
        <f t="array" ref="K729">SUM(IF(Tabla5[[#This Row],[Orden Cobrada]]="Cobrada",IF(Cocina!A:A=Tabla5[[#This Row],[Nº Orden]],Cocina!F:F*Cocina!G:G,0),-Tabla6[[#This Row],[Precio Cena]]))</f>
        <v>40</v>
      </c>
      <c r="L729" s="5">
        <f>IF(Tabla5[[#This Row],[Orden Cobrada]]="Cobrada",Tabla5[[#This Row],[Ganancia Bruta]]-Tabla6[[#This Row],[Coste Cena]],-Tabla6[[#This Row],[Precio Cena]]+Tabla6[[#This Row],[Coste Cena]])</f>
        <v>16</v>
      </c>
      <c r="M729" s="10">
        <f>IF(Tabla5[[#This Row],[Orden Cobrada]]="Cobrada",((Tabla5[[#This Row],[Ganancia Neta]]/Tabla5[[#This Row],[Ganancia Bruta]])*100)/100,-((Tabla5[[#This Row],[Ganancia Neta]]/Tabla5[[#This Row],[Ganancia Bruta]]*100)/100))</f>
        <v>0.4</v>
      </c>
      <c r="N729" s="5" t="str">
        <f>sala!F728</f>
        <v>Mesero_2</v>
      </c>
      <c r="AY729" cm="1">
        <f t="array" ref="AY729">SUM(IF(Cocina!A:A=Tabla5[[#This Row],[Nº Orden]],Cocina!F:F*Cocina!G:G,0))</f>
        <v>40</v>
      </c>
      <c r="AZ729" cm="1">
        <f t="array" ref="AZ729">SUM(IF(Cocina!A:A=Tabla5[[#This Row],[Nº Orden]],Cocina!E:E*Cocina!G:G,0))</f>
        <v>24</v>
      </c>
      <c r="BB729" t="str">
        <f>MID(Tabla4[[#This Row],[Cliente]], SEARCH("_", Tabla4[[#This Row],[Cliente]]) + 1, LEN(Tabla4[[#This Row],[Cliente]]) - SEARCH("_",Tabla4[[#This Row],[Cliente]]))</f>
        <v>117</v>
      </c>
      <c r="BC729" t="str">
        <f>sala!B728</f>
        <v>Cliente_117</v>
      </c>
      <c r="BD729" s="1">
        <f>sala!D728</f>
        <v>45023.021527777775</v>
      </c>
      <c r="BE729" s="1">
        <f>sala!E728</f>
        <v>45023.126388888886</v>
      </c>
      <c r="BF729">
        <f>sala!K728</f>
        <v>727</v>
      </c>
      <c r="BG729">
        <f>sala!I728</f>
        <v>1324</v>
      </c>
      <c r="BH729" cm="1">
        <f t="array" ref="BH729">SUM(IF(Cocina!A:A=Tabla4[[#This Row],[Número de Orden]],Cocina!F:F*Cocina!G:G,0))</f>
        <v>40</v>
      </c>
      <c r="BI729" t="str">
        <f>sala!J728</f>
        <v>Reservada</v>
      </c>
      <c r="BJ729" s="4" t="str">
        <f>IF(Tabla4[[#This Row],[Estado mesa]]="Ocupada","00:15","00:00")</f>
        <v>00:00</v>
      </c>
      <c r="BK729" cm="1">
        <f t="array" ref="BK729">SUM(IF(Cocina!A:A=Tabla4[[#This Row],[Número de Orden]],Cocina!H:H,0))</f>
        <v>21</v>
      </c>
    </row>
    <row r="730" spans="1:63" x14ac:dyDescent="0.3">
      <c r="A730" s="8" t="str">
        <f>MID(Tabla4[[#This Row],[Cliente]], SEARCH("_", Tabla4[[#This Row],[Cliente]]) + 1, LEN(Tabla4[[#This Row],[Cliente]]) - SEARCH("_",Tabla4[[#This Row],[Cliente]]))</f>
        <v>654</v>
      </c>
      <c r="B730">
        <f>sala!K729</f>
        <v>728</v>
      </c>
      <c r="C730">
        <f>Tabla4[[#This Row],[Propina]]+Tabla4[[#This Row],[Precio Cena]]</f>
        <v>3623</v>
      </c>
      <c r="D730" s="3">
        <f>INT(sala!E729)</f>
        <v>45023</v>
      </c>
      <c r="E730" s="4">
        <f>MOD( sala!D729,1)</f>
        <v>8.7500000001455192E-2</v>
      </c>
      <c r="F730" s="4">
        <f>MOD( sala!E729,1)</f>
        <v>0.18680555555329192</v>
      </c>
      <c r="G730" s="4">
        <f>Tabla5[[#This Row],[Hora de Salida]]-Tabla5[[#This Row],[Hora de Llegada]]+Tabla4[[#This Row],[Tiempo Extra]]</f>
        <v>0.1097222222185034</v>
      </c>
      <c r="H730" s="5" t="str">
        <f>TEXT(Tabla4[[#This Row],[Preparación en horas]]/1440, "h:mm")</f>
        <v>1:12</v>
      </c>
      <c r="I730" s="4">
        <f>IF(Tabla5[[#This Row],[Tiempo Permanencia]]-Tabla5[[#This Row],[Tiempo de Preparación ]]&gt;=0,Tabla5[[#This Row],[Tiempo Permanencia]]-Tabla5[[#This Row],[Tiempo de Preparación ]],0)</f>
        <v>5.9722222218503401E-2</v>
      </c>
      <c r="J730" s="5" t="str">
        <f>IF(Tabla5[[#This Row],[Tiempo de Degustación]]=0,"No Cobrada","Cobrada")</f>
        <v>Cobrada</v>
      </c>
      <c r="K730" s="5" cm="1">
        <f t="array" ref="K730">SUM(IF(Tabla5[[#This Row],[Orden Cobrada]]="Cobrada",IF(Cocina!A:A=Tabla5[[#This Row],[Nº Orden]],Cocina!F:F*Cocina!G:G,0),-Tabla6[[#This Row],[Precio Cena]]))</f>
        <v>195</v>
      </c>
      <c r="L730" s="5">
        <f>IF(Tabla5[[#This Row],[Orden Cobrada]]="Cobrada",Tabla5[[#This Row],[Ganancia Bruta]]-Tabla6[[#This Row],[Coste Cena]],-Tabla6[[#This Row],[Precio Cena]]+Tabla6[[#This Row],[Coste Cena]])</f>
        <v>80</v>
      </c>
      <c r="M730" s="10">
        <f>IF(Tabla5[[#This Row],[Orden Cobrada]]="Cobrada",((Tabla5[[#This Row],[Ganancia Neta]]/Tabla5[[#This Row],[Ganancia Bruta]])*100)/100,-((Tabla5[[#This Row],[Ganancia Neta]]/Tabla5[[#This Row],[Ganancia Bruta]]*100)/100))</f>
        <v>0.41025641025641024</v>
      </c>
      <c r="N730" s="5" t="str">
        <f>sala!F729</f>
        <v>Mesero_1</v>
      </c>
      <c r="AY730" cm="1">
        <f t="array" ref="AY730">SUM(IF(Cocina!A:A=Tabla5[[#This Row],[Nº Orden]],Cocina!F:F*Cocina!G:G,0))</f>
        <v>195</v>
      </c>
      <c r="AZ730" cm="1">
        <f t="array" ref="AZ730">SUM(IF(Cocina!A:A=Tabla5[[#This Row],[Nº Orden]],Cocina!E:E*Cocina!G:G,0))</f>
        <v>115</v>
      </c>
      <c r="BB730" t="str">
        <f>MID(Tabla4[[#This Row],[Cliente]], SEARCH("_", Tabla4[[#This Row],[Cliente]]) + 1, LEN(Tabla4[[#This Row],[Cliente]]) - SEARCH("_",Tabla4[[#This Row],[Cliente]]))</f>
        <v>654</v>
      </c>
      <c r="BC730" t="str">
        <f>sala!B729</f>
        <v>Cliente_654</v>
      </c>
      <c r="BD730" s="1">
        <f>sala!D729</f>
        <v>45023.087500000001</v>
      </c>
      <c r="BE730" s="1">
        <f>sala!E729</f>
        <v>45023.186805555553</v>
      </c>
      <c r="BF730">
        <f>sala!K729</f>
        <v>728</v>
      </c>
      <c r="BG730">
        <f>sala!I729</f>
        <v>3428</v>
      </c>
      <c r="BH730" cm="1">
        <f t="array" ref="BH730">SUM(IF(Cocina!A:A=Tabla4[[#This Row],[Número de Orden]],Cocina!F:F*Cocina!G:G,0))</f>
        <v>195</v>
      </c>
      <c r="BI730" t="str">
        <f>sala!J729</f>
        <v>Ocupada</v>
      </c>
      <c r="BJ730" s="4" t="str">
        <f>IF(Tabla4[[#This Row],[Estado mesa]]="Ocupada","00:15","00:00")</f>
        <v>00:15</v>
      </c>
      <c r="BK730" cm="1">
        <f t="array" ref="BK730">SUM(IF(Cocina!A:A=Tabla4[[#This Row],[Número de Orden]],Cocina!H:H,0))</f>
        <v>72</v>
      </c>
    </row>
    <row r="731" spans="1:63" x14ac:dyDescent="0.3">
      <c r="A731" s="8" t="str">
        <f>MID(Tabla4[[#This Row],[Cliente]], SEARCH("_", Tabla4[[#This Row],[Cliente]]) + 1, LEN(Tabla4[[#This Row],[Cliente]]) - SEARCH("_",Tabla4[[#This Row],[Cliente]]))</f>
        <v>264</v>
      </c>
      <c r="B731">
        <f>sala!K730</f>
        <v>729</v>
      </c>
      <c r="C731">
        <f>Tabla4[[#This Row],[Propina]]+Tabla4[[#This Row],[Precio Cena]]</f>
        <v>2025</v>
      </c>
      <c r="D731" s="3">
        <f>INT(sala!E730)</f>
        <v>45023</v>
      </c>
      <c r="E731" s="4">
        <f>MOD( sala!D730,1)</f>
        <v>0.11736111110803904</v>
      </c>
      <c r="F731" s="4">
        <f>MOD( sala!E730,1)</f>
        <v>0.25347222221898846</v>
      </c>
      <c r="G731" s="4">
        <f>Tabla5[[#This Row],[Hora de Salida]]-Tabla5[[#This Row],[Hora de Llegada]]+Tabla4[[#This Row],[Tiempo Extra]]</f>
        <v>0.14652777777761608</v>
      </c>
      <c r="H731" s="5" t="str">
        <f>TEXT(Tabla4[[#This Row],[Preparación en horas]]/1440, "h:mm")</f>
        <v>1:05</v>
      </c>
      <c r="I731" s="4">
        <f>IF(Tabla5[[#This Row],[Tiempo Permanencia]]-Tabla5[[#This Row],[Tiempo de Preparación ]]&gt;=0,Tabla5[[#This Row],[Tiempo Permanencia]]-Tabla5[[#This Row],[Tiempo de Preparación ]],0)</f>
        <v>0.10138888888872719</v>
      </c>
      <c r="J731" s="5" t="str">
        <f>IF(Tabla5[[#This Row],[Tiempo de Degustación]]=0,"No Cobrada","Cobrada")</f>
        <v>Cobrada</v>
      </c>
      <c r="K731" s="5" cm="1">
        <f t="array" ref="K731">SUM(IF(Tabla5[[#This Row],[Orden Cobrada]]="Cobrada",IF(Cocina!A:A=Tabla5[[#This Row],[Nº Orden]],Cocina!F:F*Cocina!G:G,0),-Tabla6[[#This Row],[Precio Cena]]))</f>
        <v>128</v>
      </c>
      <c r="L731" s="5">
        <f>IF(Tabla5[[#This Row],[Orden Cobrada]]="Cobrada",Tabla5[[#This Row],[Ganancia Bruta]]-Tabla6[[#This Row],[Coste Cena]],-Tabla6[[#This Row],[Precio Cena]]+Tabla6[[#This Row],[Coste Cena]])</f>
        <v>52</v>
      </c>
      <c r="M731" s="10">
        <f>IF(Tabla5[[#This Row],[Orden Cobrada]]="Cobrada",((Tabla5[[#This Row],[Ganancia Neta]]/Tabla5[[#This Row],[Ganancia Bruta]])*100)/100,-((Tabla5[[#This Row],[Ganancia Neta]]/Tabla5[[#This Row],[Ganancia Bruta]]*100)/100))</f>
        <v>0.40625</v>
      </c>
      <c r="N731" s="5" t="str">
        <f>sala!F730</f>
        <v>Mesero_5</v>
      </c>
      <c r="AY731" cm="1">
        <f t="array" ref="AY731">SUM(IF(Cocina!A:A=Tabla5[[#This Row],[Nº Orden]],Cocina!F:F*Cocina!G:G,0))</f>
        <v>128</v>
      </c>
      <c r="AZ731" cm="1">
        <f t="array" ref="AZ731">SUM(IF(Cocina!A:A=Tabla5[[#This Row],[Nº Orden]],Cocina!E:E*Cocina!G:G,0))</f>
        <v>76</v>
      </c>
      <c r="BB731" t="str">
        <f>MID(Tabla4[[#This Row],[Cliente]], SEARCH("_", Tabla4[[#This Row],[Cliente]]) + 1, LEN(Tabla4[[#This Row],[Cliente]]) - SEARCH("_",Tabla4[[#This Row],[Cliente]]))</f>
        <v>264</v>
      </c>
      <c r="BC731" t="str">
        <f>sala!B730</f>
        <v>Cliente_264</v>
      </c>
      <c r="BD731" s="1">
        <f>sala!D730</f>
        <v>45023.117361111108</v>
      </c>
      <c r="BE731" s="1">
        <f>sala!E730</f>
        <v>45023.253472222219</v>
      </c>
      <c r="BF731">
        <f>sala!K730</f>
        <v>729</v>
      </c>
      <c r="BG731">
        <f>sala!I730</f>
        <v>1897</v>
      </c>
      <c r="BH731" cm="1">
        <f t="array" ref="BH731">SUM(IF(Cocina!A:A=Tabla4[[#This Row],[Número de Orden]],Cocina!F:F*Cocina!G:G,0))</f>
        <v>128</v>
      </c>
      <c r="BI731" t="str">
        <f>sala!J730</f>
        <v>Ocupada</v>
      </c>
      <c r="BJ731" s="4" t="str">
        <f>IF(Tabla4[[#This Row],[Estado mesa]]="Ocupada","00:15","00:00")</f>
        <v>00:15</v>
      </c>
      <c r="BK731" cm="1">
        <f t="array" ref="BK731">SUM(IF(Cocina!A:A=Tabla4[[#This Row],[Número de Orden]],Cocina!H:H,0))</f>
        <v>65</v>
      </c>
    </row>
    <row r="732" spans="1:63" x14ac:dyDescent="0.3">
      <c r="A732" s="8" t="str">
        <f>MID(Tabla4[[#This Row],[Cliente]], SEARCH("_", Tabla4[[#This Row],[Cliente]]) + 1, LEN(Tabla4[[#This Row],[Cliente]]) - SEARCH("_",Tabla4[[#This Row],[Cliente]]))</f>
        <v>443</v>
      </c>
      <c r="B732">
        <f>sala!K731</f>
        <v>730</v>
      </c>
      <c r="C732">
        <f>Tabla4[[#This Row],[Propina]]+Tabla4[[#This Row],[Precio Cena]]</f>
        <v>1616</v>
      </c>
      <c r="D732" s="3">
        <f>INT(sala!E731)</f>
        <v>45023</v>
      </c>
      <c r="E732" s="4">
        <f>MOD( sala!D731,1)</f>
        <v>2.0138888889050577E-2</v>
      </c>
      <c r="F732" s="4">
        <f>MOD( sala!E731,1)</f>
        <v>0.10624999999708962</v>
      </c>
      <c r="G732" s="4">
        <f>Tabla5[[#This Row],[Hora de Salida]]-Tabla5[[#This Row],[Hora de Llegada]]+Tabla4[[#This Row],[Tiempo Extra]]</f>
        <v>9.6527777774705711E-2</v>
      </c>
      <c r="H732" s="5" t="str">
        <f>TEXT(Tabla4[[#This Row],[Preparación en horas]]/1440, "h:mm")</f>
        <v>1:19</v>
      </c>
      <c r="I732" s="4">
        <f>IF(Tabla5[[#This Row],[Tiempo Permanencia]]-Tabla5[[#This Row],[Tiempo de Preparación ]]&gt;=0,Tabla5[[#This Row],[Tiempo Permanencia]]-Tabla5[[#This Row],[Tiempo de Preparación ]],0)</f>
        <v>4.1666666663594601E-2</v>
      </c>
      <c r="J732" s="5" t="str">
        <f>IF(Tabla5[[#This Row],[Tiempo de Degustación]]=0,"No Cobrada","Cobrada")</f>
        <v>Cobrada</v>
      </c>
      <c r="K732" s="5" cm="1">
        <f t="array" ref="K732">SUM(IF(Tabla5[[#This Row],[Orden Cobrada]]="Cobrada",IF(Cocina!A:A=Tabla5[[#This Row],[Nº Orden]],Cocina!F:F*Cocina!G:G,0),-Tabla6[[#This Row],[Precio Cena]]))</f>
        <v>114</v>
      </c>
      <c r="L732" s="5">
        <f>IF(Tabla5[[#This Row],[Orden Cobrada]]="Cobrada",Tabla5[[#This Row],[Ganancia Bruta]]-Tabla6[[#This Row],[Coste Cena]],-Tabla6[[#This Row],[Precio Cena]]+Tabla6[[#This Row],[Coste Cena]])</f>
        <v>46</v>
      </c>
      <c r="M732" s="10">
        <f>IF(Tabla5[[#This Row],[Orden Cobrada]]="Cobrada",((Tabla5[[#This Row],[Ganancia Neta]]/Tabla5[[#This Row],[Ganancia Bruta]])*100)/100,-((Tabla5[[#This Row],[Ganancia Neta]]/Tabla5[[#This Row],[Ganancia Bruta]]*100)/100))</f>
        <v>0.40350877192982454</v>
      </c>
      <c r="N732" s="5" t="str">
        <f>sala!F731</f>
        <v>Mesero_3</v>
      </c>
      <c r="AY732" cm="1">
        <f t="array" ref="AY732">SUM(IF(Cocina!A:A=Tabla5[[#This Row],[Nº Orden]],Cocina!F:F*Cocina!G:G,0))</f>
        <v>114</v>
      </c>
      <c r="AZ732" cm="1">
        <f t="array" ref="AZ732">SUM(IF(Cocina!A:A=Tabla5[[#This Row],[Nº Orden]],Cocina!E:E*Cocina!G:G,0))</f>
        <v>68</v>
      </c>
      <c r="BB732" t="str">
        <f>MID(Tabla4[[#This Row],[Cliente]], SEARCH("_", Tabla4[[#This Row],[Cliente]]) + 1, LEN(Tabla4[[#This Row],[Cliente]]) - SEARCH("_",Tabla4[[#This Row],[Cliente]]))</f>
        <v>443</v>
      </c>
      <c r="BC732" t="str">
        <f>sala!B731</f>
        <v>Cliente_443</v>
      </c>
      <c r="BD732" s="1">
        <f>sala!D731</f>
        <v>45023.020138888889</v>
      </c>
      <c r="BE732" s="1">
        <f>sala!E731</f>
        <v>45023.106249999997</v>
      </c>
      <c r="BF732">
        <f>sala!K731</f>
        <v>730</v>
      </c>
      <c r="BG732">
        <f>sala!I731</f>
        <v>1502</v>
      </c>
      <c r="BH732" cm="1">
        <f t="array" ref="BH732">SUM(IF(Cocina!A:A=Tabla4[[#This Row],[Número de Orden]],Cocina!F:F*Cocina!G:G,0))</f>
        <v>114</v>
      </c>
      <c r="BI732" t="str">
        <f>sala!J731</f>
        <v>Ocupada</v>
      </c>
      <c r="BJ732" s="4" t="str">
        <f>IF(Tabla4[[#This Row],[Estado mesa]]="Ocupada","00:15","00:00")</f>
        <v>00:15</v>
      </c>
      <c r="BK732" cm="1">
        <f t="array" ref="BK732">SUM(IF(Cocina!A:A=Tabla4[[#This Row],[Número de Orden]],Cocina!H:H,0))</f>
        <v>79</v>
      </c>
    </row>
    <row r="733" spans="1:63" x14ac:dyDescent="0.3">
      <c r="A733" s="8" t="str">
        <f>MID(Tabla4[[#This Row],[Cliente]], SEARCH("_", Tabla4[[#This Row],[Cliente]]) + 1, LEN(Tabla4[[#This Row],[Cliente]]) - SEARCH("_",Tabla4[[#This Row],[Cliente]]))</f>
        <v>239</v>
      </c>
      <c r="B733">
        <f>sala!K732</f>
        <v>731</v>
      </c>
      <c r="C733">
        <f>Tabla4[[#This Row],[Propina]]+Tabla4[[#This Row],[Precio Cena]]</f>
        <v>1499</v>
      </c>
      <c r="D733" s="3">
        <f>INT(sala!E732)</f>
        <v>45023</v>
      </c>
      <c r="E733" s="4">
        <f>MOD( sala!D732,1)</f>
        <v>0.13611111111094942</v>
      </c>
      <c r="F733" s="4">
        <f>MOD( sala!E732,1)</f>
        <v>0.26736111110949423</v>
      </c>
      <c r="G733" s="4">
        <f>Tabla5[[#This Row],[Hora de Salida]]-Tabla5[[#This Row],[Hora de Llegada]]+Tabla4[[#This Row],[Tiempo Extra]]</f>
        <v>0.13124999999854481</v>
      </c>
      <c r="H733" s="5" t="str">
        <f>TEXT(Tabla4[[#This Row],[Preparación en horas]]/1440, "h:mm")</f>
        <v>0:47</v>
      </c>
      <c r="I733" s="4">
        <f>IF(Tabla5[[#This Row],[Tiempo Permanencia]]-Tabla5[[#This Row],[Tiempo de Preparación ]]&gt;=0,Tabla5[[#This Row],[Tiempo Permanencia]]-Tabla5[[#This Row],[Tiempo de Preparación ]],0)</f>
        <v>9.8611111109655925E-2</v>
      </c>
      <c r="J733" s="5" t="str">
        <f>IF(Tabla5[[#This Row],[Tiempo de Degustación]]=0,"No Cobrada","Cobrada")</f>
        <v>Cobrada</v>
      </c>
      <c r="K733" s="5" cm="1">
        <f t="array" ref="K733">SUM(IF(Tabla5[[#This Row],[Orden Cobrada]]="Cobrada",IF(Cocina!A:A=Tabla5[[#This Row],[Nº Orden]],Cocina!F:F*Cocina!G:G,0),-Tabla6[[#This Row],[Precio Cena]]))</f>
        <v>64</v>
      </c>
      <c r="L733" s="5">
        <f>IF(Tabla5[[#This Row],[Orden Cobrada]]="Cobrada",Tabla5[[#This Row],[Ganancia Bruta]]-Tabla6[[#This Row],[Coste Cena]],-Tabla6[[#This Row],[Precio Cena]]+Tabla6[[#This Row],[Coste Cena]])</f>
        <v>26</v>
      </c>
      <c r="M733" s="10">
        <f>IF(Tabla5[[#This Row],[Orden Cobrada]]="Cobrada",((Tabla5[[#This Row],[Ganancia Neta]]/Tabla5[[#This Row],[Ganancia Bruta]])*100)/100,-((Tabla5[[#This Row],[Ganancia Neta]]/Tabla5[[#This Row],[Ganancia Bruta]]*100)/100))</f>
        <v>0.40625</v>
      </c>
      <c r="N733" s="5" t="str">
        <f>sala!F732</f>
        <v>Mesero_2</v>
      </c>
      <c r="AY733" cm="1">
        <f t="array" ref="AY733">SUM(IF(Cocina!A:A=Tabla5[[#This Row],[Nº Orden]],Cocina!F:F*Cocina!G:G,0))</f>
        <v>64</v>
      </c>
      <c r="AZ733" cm="1">
        <f t="array" ref="AZ733">SUM(IF(Cocina!A:A=Tabla5[[#This Row],[Nº Orden]],Cocina!E:E*Cocina!G:G,0))</f>
        <v>38</v>
      </c>
      <c r="BB733" t="str">
        <f>MID(Tabla4[[#This Row],[Cliente]], SEARCH("_", Tabla4[[#This Row],[Cliente]]) + 1, LEN(Tabla4[[#This Row],[Cliente]]) - SEARCH("_",Tabla4[[#This Row],[Cliente]]))</f>
        <v>239</v>
      </c>
      <c r="BC733" t="str">
        <f>sala!B732</f>
        <v>Cliente_239</v>
      </c>
      <c r="BD733" s="1">
        <f>sala!D732</f>
        <v>45023.136111111111</v>
      </c>
      <c r="BE733" s="1">
        <f>sala!E732</f>
        <v>45023.267361111109</v>
      </c>
      <c r="BF733">
        <f>sala!K732</f>
        <v>731</v>
      </c>
      <c r="BG733">
        <f>sala!I732</f>
        <v>1435</v>
      </c>
      <c r="BH733" cm="1">
        <f t="array" ref="BH733">SUM(IF(Cocina!A:A=Tabla4[[#This Row],[Número de Orden]],Cocina!F:F*Cocina!G:G,0))</f>
        <v>64</v>
      </c>
      <c r="BI733" t="str">
        <f>sala!J732</f>
        <v>Reservada</v>
      </c>
      <c r="BJ733" s="4" t="str">
        <f>IF(Tabla4[[#This Row],[Estado mesa]]="Ocupada","00:15","00:00")</f>
        <v>00:00</v>
      </c>
      <c r="BK733" cm="1">
        <f t="array" ref="BK733">SUM(IF(Cocina!A:A=Tabla4[[#This Row],[Número de Orden]],Cocina!H:H,0))</f>
        <v>47</v>
      </c>
    </row>
    <row r="734" spans="1:63" x14ac:dyDescent="0.3">
      <c r="A734" s="8" t="str">
        <f>MID(Tabla4[[#This Row],[Cliente]], SEARCH("_", Tabla4[[#This Row],[Cliente]]) + 1, LEN(Tabla4[[#This Row],[Cliente]]) - SEARCH("_",Tabla4[[#This Row],[Cliente]]))</f>
        <v>770</v>
      </c>
      <c r="B734">
        <f>sala!K733</f>
        <v>732</v>
      </c>
      <c r="C734">
        <f>Tabla4[[#This Row],[Propina]]+Tabla4[[#This Row],[Precio Cena]]</f>
        <v>4641</v>
      </c>
      <c r="D734" s="3">
        <f>INT(sala!E733)</f>
        <v>45023</v>
      </c>
      <c r="E734" s="4">
        <f>MOD( sala!D733,1)</f>
        <v>0.1368055555576575</v>
      </c>
      <c r="F734" s="4">
        <f>MOD( sala!E733,1)</f>
        <v>0.3006944444423425</v>
      </c>
      <c r="G734" s="4">
        <f>Tabla5[[#This Row],[Hora de Salida]]-Tabla5[[#This Row],[Hora de Llegada]]+Tabla4[[#This Row],[Tiempo Extra]]</f>
        <v>0.163888888884685</v>
      </c>
      <c r="H734" s="5" t="str">
        <f>TEXT(Tabla4[[#This Row],[Preparación en horas]]/1440, "h:mm")</f>
        <v>2:01</v>
      </c>
      <c r="I734" s="4">
        <f>IF(Tabla5[[#This Row],[Tiempo Permanencia]]-Tabla5[[#This Row],[Tiempo de Preparación ]]&gt;=0,Tabla5[[#This Row],[Tiempo Permanencia]]-Tabla5[[#This Row],[Tiempo de Preparación ]],0)</f>
        <v>7.9861111106907218E-2</v>
      </c>
      <c r="J734" s="5" t="str">
        <f>IF(Tabla5[[#This Row],[Tiempo de Degustación]]=0,"No Cobrada","Cobrada")</f>
        <v>Cobrada</v>
      </c>
      <c r="K734" s="5" cm="1">
        <f t="array" ref="K734">SUM(IF(Tabla5[[#This Row],[Orden Cobrada]]="Cobrada",IF(Cocina!A:A=Tabla5[[#This Row],[Nº Orden]],Cocina!F:F*Cocina!G:G,0),-Tabla6[[#This Row],[Precio Cena]]))</f>
        <v>306</v>
      </c>
      <c r="L734" s="5">
        <f>IF(Tabla5[[#This Row],[Orden Cobrada]]="Cobrada",Tabla5[[#This Row],[Ganancia Bruta]]-Tabla6[[#This Row],[Coste Cena]],-Tabla6[[#This Row],[Precio Cena]]+Tabla6[[#This Row],[Coste Cena]])</f>
        <v>120</v>
      </c>
      <c r="M734" s="10">
        <f>IF(Tabla5[[#This Row],[Orden Cobrada]]="Cobrada",((Tabla5[[#This Row],[Ganancia Neta]]/Tabla5[[#This Row],[Ganancia Bruta]])*100)/100,-((Tabla5[[#This Row],[Ganancia Neta]]/Tabla5[[#This Row],[Ganancia Bruta]]*100)/100))</f>
        <v>0.39215686274509809</v>
      </c>
      <c r="N734" s="5" t="str">
        <f>sala!F733</f>
        <v>Mesero_4</v>
      </c>
      <c r="AY734" cm="1">
        <f t="array" ref="AY734">SUM(IF(Cocina!A:A=Tabla5[[#This Row],[Nº Orden]],Cocina!F:F*Cocina!G:G,0))</f>
        <v>306</v>
      </c>
      <c r="AZ734" cm="1">
        <f t="array" ref="AZ734">SUM(IF(Cocina!A:A=Tabla5[[#This Row],[Nº Orden]],Cocina!E:E*Cocina!G:G,0))</f>
        <v>186</v>
      </c>
      <c r="BB734" t="str">
        <f>MID(Tabla4[[#This Row],[Cliente]], SEARCH("_", Tabla4[[#This Row],[Cliente]]) + 1, LEN(Tabla4[[#This Row],[Cliente]]) - SEARCH("_",Tabla4[[#This Row],[Cliente]]))</f>
        <v>770</v>
      </c>
      <c r="BC734" t="str">
        <f>sala!B733</f>
        <v>Cliente_770</v>
      </c>
      <c r="BD734" s="1">
        <f>sala!D733</f>
        <v>45023.136805555558</v>
      </c>
      <c r="BE734" s="1">
        <f>sala!E733</f>
        <v>45023.300694444442</v>
      </c>
      <c r="BF734">
        <f>sala!K733</f>
        <v>732</v>
      </c>
      <c r="BG734">
        <f>sala!I733</f>
        <v>4335</v>
      </c>
      <c r="BH734" cm="1">
        <f t="array" ref="BH734">SUM(IF(Cocina!A:A=Tabla4[[#This Row],[Número de Orden]],Cocina!F:F*Cocina!G:G,0))</f>
        <v>306</v>
      </c>
      <c r="BI734" t="str">
        <f>sala!J733</f>
        <v>Reservada</v>
      </c>
      <c r="BJ734" s="4" t="str">
        <f>IF(Tabla4[[#This Row],[Estado mesa]]="Ocupada","00:15","00:00")</f>
        <v>00:00</v>
      </c>
      <c r="BK734" cm="1">
        <f t="array" ref="BK734">SUM(IF(Cocina!A:A=Tabla4[[#This Row],[Número de Orden]],Cocina!H:H,0))</f>
        <v>121</v>
      </c>
    </row>
    <row r="735" spans="1:63" x14ac:dyDescent="0.3">
      <c r="A735" s="8" t="str">
        <f>MID(Tabla4[[#This Row],[Cliente]], SEARCH("_", Tabla4[[#This Row],[Cliente]]) + 1, LEN(Tabla4[[#This Row],[Cliente]]) - SEARCH("_",Tabla4[[#This Row],[Cliente]]))</f>
        <v>359</v>
      </c>
      <c r="B735">
        <f>sala!K734</f>
        <v>733</v>
      </c>
      <c r="C735">
        <f>Tabla4[[#This Row],[Propina]]+Tabla4[[#This Row],[Precio Cena]]</f>
        <v>3695</v>
      </c>
      <c r="D735" s="3">
        <f>INT(sala!E734)</f>
        <v>45023</v>
      </c>
      <c r="E735" s="4">
        <f>MOD( sala!D734,1)</f>
        <v>0.15277777778101154</v>
      </c>
      <c r="F735" s="4">
        <f>MOD( sala!E734,1)</f>
        <v>0.22777777777810115</v>
      </c>
      <c r="G735" s="4">
        <f>Tabla5[[#This Row],[Hora de Salida]]-Tabla5[[#This Row],[Hora de Llegada]]+Tabla4[[#This Row],[Tiempo Extra]]</f>
        <v>7.4999999997089617E-2</v>
      </c>
      <c r="H735" s="5" t="str">
        <f>TEXT(Tabla4[[#This Row],[Preparación en horas]]/1440, "h:mm")</f>
        <v>1:14</v>
      </c>
      <c r="I735" s="4">
        <f>IF(Tabla5[[#This Row],[Tiempo Permanencia]]-Tabla5[[#This Row],[Tiempo de Preparación ]]&gt;=0,Tabla5[[#This Row],[Tiempo Permanencia]]-Tabla5[[#This Row],[Tiempo de Preparación ]],0)</f>
        <v>2.361111110820073E-2</v>
      </c>
      <c r="J735" s="5" t="str">
        <f>IF(Tabla5[[#This Row],[Tiempo de Degustación]]=0,"No Cobrada","Cobrada")</f>
        <v>Cobrada</v>
      </c>
      <c r="K735" s="5" cm="1">
        <f t="array" ref="K735">SUM(IF(Tabla5[[#This Row],[Orden Cobrada]]="Cobrada",IF(Cocina!A:A=Tabla5[[#This Row],[Nº Orden]],Cocina!F:F*Cocina!G:G,0),-Tabla6[[#This Row],[Precio Cena]]))</f>
        <v>186</v>
      </c>
      <c r="L735" s="5">
        <f>IF(Tabla5[[#This Row],[Orden Cobrada]]="Cobrada",Tabla5[[#This Row],[Ganancia Bruta]]-Tabla6[[#This Row],[Coste Cena]],-Tabla6[[#This Row],[Precio Cena]]+Tabla6[[#This Row],[Coste Cena]])</f>
        <v>74</v>
      </c>
      <c r="M735" s="10">
        <f>IF(Tabla5[[#This Row],[Orden Cobrada]]="Cobrada",((Tabla5[[#This Row],[Ganancia Neta]]/Tabla5[[#This Row],[Ganancia Bruta]])*100)/100,-((Tabla5[[#This Row],[Ganancia Neta]]/Tabla5[[#This Row],[Ganancia Bruta]]*100)/100))</f>
        <v>0.39784946236559138</v>
      </c>
      <c r="N735" s="5" t="str">
        <f>sala!F734</f>
        <v>Mesero_4</v>
      </c>
      <c r="AY735" cm="1">
        <f t="array" ref="AY735">SUM(IF(Cocina!A:A=Tabla5[[#This Row],[Nº Orden]],Cocina!F:F*Cocina!G:G,0))</f>
        <v>186</v>
      </c>
      <c r="AZ735" cm="1">
        <f t="array" ref="AZ735">SUM(IF(Cocina!A:A=Tabla5[[#This Row],[Nº Orden]],Cocina!E:E*Cocina!G:G,0))</f>
        <v>112</v>
      </c>
      <c r="BB735" t="str">
        <f>MID(Tabla4[[#This Row],[Cliente]], SEARCH("_", Tabla4[[#This Row],[Cliente]]) + 1, LEN(Tabla4[[#This Row],[Cliente]]) - SEARCH("_",Tabla4[[#This Row],[Cliente]]))</f>
        <v>359</v>
      </c>
      <c r="BC735" t="str">
        <f>sala!B734</f>
        <v>Cliente_359</v>
      </c>
      <c r="BD735" s="1">
        <f>sala!D734</f>
        <v>45023.152777777781</v>
      </c>
      <c r="BE735" s="1">
        <f>sala!E734</f>
        <v>45023.227777777778</v>
      </c>
      <c r="BF735">
        <f>sala!K734</f>
        <v>733</v>
      </c>
      <c r="BG735">
        <f>sala!I734</f>
        <v>3509</v>
      </c>
      <c r="BH735" cm="1">
        <f t="array" ref="BH735">SUM(IF(Cocina!A:A=Tabla4[[#This Row],[Número de Orden]],Cocina!F:F*Cocina!G:G,0))</f>
        <v>186</v>
      </c>
      <c r="BI735" t="str">
        <f>sala!J734</f>
        <v>Libre</v>
      </c>
      <c r="BJ735" s="4" t="str">
        <f>IF(Tabla4[[#This Row],[Estado mesa]]="Ocupada","00:15","00:00")</f>
        <v>00:00</v>
      </c>
      <c r="BK735" cm="1">
        <f t="array" ref="BK735">SUM(IF(Cocina!A:A=Tabla4[[#This Row],[Número de Orden]],Cocina!H:H,0))</f>
        <v>74</v>
      </c>
    </row>
    <row r="736" spans="1:63" x14ac:dyDescent="0.3">
      <c r="A736" s="8" t="str">
        <f>MID(Tabla4[[#This Row],[Cliente]], SEARCH("_", Tabla4[[#This Row],[Cliente]]) + 1, LEN(Tabla4[[#This Row],[Cliente]]) - SEARCH("_",Tabla4[[#This Row],[Cliente]]))</f>
        <v>888</v>
      </c>
      <c r="B736">
        <f>sala!K735</f>
        <v>734</v>
      </c>
      <c r="C736">
        <f>Tabla4[[#This Row],[Propina]]+Tabla4[[#This Row],[Precio Cena]]</f>
        <v>4821</v>
      </c>
      <c r="D736" s="3">
        <f>INT(sala!E735)</f>
        <v>45023</v>
      </c>
      <c r="E736" s="4">
        <f>MOD( sala!D735,1)</f>
        <v>0.10208333333139308</v>
      </c>
      <c r="F736" s="4">
        <f>MOD( sala!E735,1)</f>
        <v>0.20625000000291038</v>
      </c>
      <c r="G736" s="4">
        <f>Tabla5[[#This Row],[Hora de Salida]]-Tabla5[[#This Row],[Hora de Llegada]]+Tabla4[[#This Row],[Tiempo Extra]]</f>
        <v>0.10416666667151731</v>
      </c>
      <c r="H736" s="5" t="str">
        <f>TEXT(Tabla4[[#This Row],[Preparación en horas]]/1440, "h:mm")</f>
        <v>0:52</v>
      </c>
      <c r="I736" s="4">
        <f>IF(Tabla5[[#This Row],[Tiempo Permanencia]]-Tabla5[[#This Row],[Tiempo de Preparación ]]&gt;=0,Tabla5[[#This Row],[Tiempo Permanencia]]-Tabla5[[#This Row],[Tiempo de Preparación ]],0)</f>
        <v>6.8055555560406197E-2</v>
      </c>
      <c r="J736" s="5" t="str">
        <f>IF(Tabla5[[#This Row],[Tiempo de Degustación]]=0,"No Cobrada","Cobrada")</f>
        <v>Cobrada</v>
      </c>
      <c r="K736" s="5" cm="1">
        <f t="array" ref="K736">SUM(IF(Tabla5[[#This Row],[Orden Cobrada]]="Cobrada",IF(Cocina!A:A=Tabla5[[#This Row],[Nº Orden]],Cocina!F:F*Cocina!G:G,0),-Tabla6[[#This Row],[Precio Cena]]))</f>
        <v>139</v>
      </c>
      <c r="L736" s="5">
        <f>IF(Tabla5[[#This Row],[Orden Cobrada]]="Cobrada",Tabla5[[#This Row],[Ganancia Bruta]]-Tabla6[[#This Row],[Coste Cena]],-Tabla6[[#This Row],[Precio Cena]]+Tabla6[[#This Row],[Coste Cena]])</f>
        <v>57</v>
      </c>
      <c r="M736" s="10">
        <f>IF(Tabla5[[#This Row],[Orden Cobrada]]="Cobrada",((Tabla5[[#This Row],[Ganancia Neta]]/Tabla5[[#This Row],[Ganancia Bruta]])*100)/100,-((Tabla5[[#This Row],[Ganancia Neta]]/Tabla5[[#This Row],[Ganancia Bruta]]*100)/100))</f>
        <v>0.41007194244604311</v>
      </c>
      <c r="N736" s="5" t="str">
        <f>sala!F735</f>
        <v>Mesero_2</v>
      </c>
      <c r="AY736" cm="1">
        <f t="array" ref="AY736">SUM(IF(Cocina!A:A=Tabla5[[#This Row],[Nº Orden]],Cocina!F:F*Cocina!G:G,0))</f>
        <v>139</v>
      </c>
      <c r="AZ736" cm="1">
        <f t="array" ref="AZ736">SUM(IF(Cocina!A:A=Tabla5[[#This Row],[Nº Orden]],Cocina!E:E*Cocina!G:G,0))</f>
        <v>82</v>
      </c>
      <c r="BB736" t="str">
        <f>MID(Tabla4[[#This Row],[Cliente]], SEARCH("_", Tabla4[[#This Row],[Cliente]]) + 1, LEN(Tabla4[[#This Row],[Cliente]]) - SEARCH("_",Tabla4[[#This Row],[Cliente]]))</f>
        <v>888</v>
      </c>
      <c r="BC736" t="str">
        <f>sala!B735</f>
        <v>Cliente_888</v>
      </c>
      <c r="BD736" s="1">
        <f>sala!D735</f>
        <v>45023.102083333331</v>
      </c>
      <c r="BE736" s="1">
        <f>sala!E735</f>
        <v>45023.206250000003</v>
      </c>
      <c r="BF736">
        <f>sala!K735</f>
        <v>734</v>
      </c>
      <c r="BG736">
        <f>sala!I735</f>
        <v>4682</v>
      </c>
      <c r="BH736" cm="1">
        <f t="array" ref="BH736">SUM(IF(Cocina!A:A=Tabla4[[#This Row],[Número de Orden]],Cocina!F:F*Cocina!G:G,0))</f>
        <v>139</v>
      </c>
      <c r="BI736" t="str">
        <f>sala!J735</f>
        <v>Libre</v>
      </c>
      <c r="BJ736" s="4" t="str">
        <f>IF(Tabla4[[#This Row],[Estado mesa]]="Ocupada","00:15","00:00")</f>
        <v>00:00</v>
      </c>
      <c r="BK736" cm="1">
        <f t="array" ref="BK736">SUM(IF(Cocina!A:A=Tabla4[[#This Row],[Número de Orden]],Cocina!H:H,0))</f>
        <v>52</v>
      </c>
    </row>
    <row r="737" spans="1:63" x14ac:dyDescent="0.3">
      <c r="A737" s="8" t="str">
        <f>MID(Tabla4[[#This Row],[Cliente]], SEARCH("_", Tabla4[[#This Row],[Cliente]]) + 1, LEN(Tabla4[[#This Row],[Cliente]]) - SEARCH("_",Tabla4[[#This Row],[Cliente]]))</f>
        <v>154</v>
      </c>
      <c r="B737">
        <f>sala!K736</f>
        <v>735</v>
      </c>
      <c r="C737">
        <f>Tabla4[[#This Row],[Propina]]+Tabla4[[#This Row],[Precio Cena]]</f>
        <v>3985</v>
      </c>
      <c r="D737" s="3">
        <f>INT(sala!E736)</f>
        <v>45023</v>
      </c>
      <c r="E737" s="4">
        <f>MOD( sala!D736,1)</f>
        <v>7.7777777776645962E-2</v>
      </c>
      <c r="F737" s="4">
        <f>MOD( sala!E736,1)</f>
        <v>0.15763888888614019</v>
      </c>
      <c r="G737" s="4">
        <f>Tabla5[[#This Row],[Hora de Salida]]-Tabla5[[#This Row],[Hora de Llegada]]+Tabla4[[#This Row],[Tiempo Extra]]</f>
        <v>7.9861111109494232E-2</v>
      </c>
      <c r="H737" s="5" t="str">
        <f>TEXT(Tabla4[[#This Row],[Preparación en horas]]/1440, "h:mm")</f>
        <v>1:27</v>
      </c>
      <c r="I737" s="4">
        <f>IF(Tabla5[[#This Row],[Tiempo Permanencia]]-Tabla5[[#This Row],[Tiempo de Preparación ]]&gt;=0,Tabla5[[#This Row],[Tiempo Permanencia]]-Tabla5[[#This Row],[Tiempo de Preparación ]],0)</f>
        <v>1.9444444442827565E-2</v>
      </c>
      <c r="J737" s="5" t="str">
        <f>IF(Tabla5[[#This Row],[Tiempo de Degustación]]=0,"No Cobrada","Cobrada")</f>
        <v>Cobrada</v>
      </c>
      <c r="K737" s="5" cm="1">
        <f t="array" ref="K737">SUM(IF(Tabla5[[#This Row],[Orden Cobrada]]="Cobrada",IF(Cocina!A:A=Tabla5[[#This Row],[Nº Orden]],Cocina!F:F*Cocina!G:G,0),-Tabla6[[#This Row],[Precio Cena]]))</f>
        <v>142</v>
      </c>
      <c r="L737" s="5">
        <f>IF(Tabla5[[#This Row],[Orden Cobrada]]="Cobrada",Tabla5[[#This Row],[Ganancia Bruta]]-Tabla6[[#This Row],[Coste Cena]],-Tabla6[[#This Row],[Precio Cena]]+Tabla6[[#This Row],[Coste Cena]])</f>
        <v>57</v>
      </c>
      <c r="M737" s="10">
        <f>IF(Tabla5[[#This Row],[Orden Cobrada]]="Cobrada",((Tabla5[[#This Row],[Ganancia Neta]]/Tabla5[[#This Row],[Ganancia Bruta]])*100)/100,-((Tabla5[[#This Row],[Ganancia Neta]]/Tabla5[[#This Row],[Ganancia Bruta]]*100)/100))</f>
        <v>0.40140845070422537</v>
      </c>
      <c r="N737" s="5" t="str">
        <f>sala!F736</f>
        <v>Mesero_3</v>
      </c>
      <c r="AY737" cm="1">
        <f t="array" ref="AY737">SUM(IF(Cocina!A:A=Tabla5[[#This Row],[Nº Orden]],Cocina!F:F*Cocina!G:G,0))</f>
        <v>142</v>
      </c>
      <c r="AZ737" cm="1">
        <f t="array" ref="AZ737">SUM(IF(Cocina!A:A=Tabla5[[#This Row],[Nº Orden]],Cocina!E:E*Cocina!G:G,0))</f>
        <v>85</v>
      </c>
      <c r="BB737" t="str">
        <f>MID(Tabla4[[#This Row],[Cliente]], SEARCH("_", Tabla4[[#This Row],[Cliente]]) + 1, LEN(Tabla4[[#This Row],[Cliente]]) - SEARCH("_",Tabla4[[#This Row],[Cliente]]))</f>
        <v>154</v>
      </c>
      <c r="BC737" t="str">
        <f>sala!B736</f>
        <v>Cliente_154</v>
      </c>
      <c r="BD737" s="1">
        <f>sala!D736</f>
        <v>45023.077777777777</v>
      </c>
      <c r="BE737" s="1">
        <f>sala!E736</f>
        <v>45023.157638888886</v>
      </c>
      <c r="BF737">
        <f>sala!K736</f>
        <v>735</v>
      </c>
      <c r="BG737">
        <f>sala!I736</f>
        <v>3843</v>
      </c>
      <c r="BH737" cm="1">
        <f t="array" ref="BH737">SUM(IF(Cocina!A:A=Tabla4[[#This Row],[Número de Orden]],Cocina!F:F*Cocina!G:G,0))</f>
        <v>142</v>
      </c>
      <c r="BI737" t="str">
        <f>sala!J736</f>
        <v>Libre</v>
      </c>
      <c r="BJ737" s="4" t="str">
        <f>IF(Tabla4[[#This Row],[Estado mesa]]="Ocupada","00:15","00:00")</f>
        <v>00:00</v>
      </c>
      <c r="BK737" cm="1">
        <f t="array" ref="BK737">SUM(IF(Cocina!A:A=Tabla4[[#This Row],[Número de Orden]],Cocina!H:H,0))</f>
        <v>87</v>
      </c>
    </row>
    <row r="738" spans="1:63" x14ac:dyDescent="0.3">
      <c r="A738" s="8" t="str">
        <f>MID(Tabla4[[#This Row],[Cliente]], SEARCH("_", Tabla4[[#This Row],[Cliente]]) + 1, LEN(Tabla4[[#This Row],[Cliente]]) - SEARCH("_",Tabla4[[#This Row],[Cliente]]))</f>
        <v>301</v>
      </c>
      <c r="B738">
        <f>sala!K737</f>
        <v>736</v>
      </c>
      <c r="C738">
        <f>Tabla4[[#This Row],[Propina]]+Tabla4[[#This Row],[Precio Cena]]</f>
        <v>2806</v>
      </c>
      <c r="D738" s="3">
        <f>INT(sala!E737)</f>
        <v>45023</v>
      </c>
      <c r="E738" s="4">
        <f>MOD( sala!D737,1)</f>
        <v>4.7222222223354038E-2</v>
      </c>
      <c r="F738" s="4">
        <f>MOD( sala!E737,1)</f>
        <v>0.14166666667006211</v>
      </c>
      <c r="G738" s="4">
        <f>Tabla5[[#This Row],[Hora de Salida]]-Tabla5[[#This Row],[Hora de Llegada]]+Tabla4[[#This Row],[Tiempo Extra]]</f>
        <v>0.10486111111337475</v>
      </c>
      <c r="H738" s="5" t="str">
        <f>TEXT(Tabla4[[#This Row],[Preparación en horas]]/1440, "h:mm")</f>
        <v>1:32</v>
      </c>
      <c r="I738" s="4">
        <f>IF(Tabla5[[#This Row],[Tiempo Permanencia]]-Tabla5[[#This Row],[Tiempo de Preparación ]]&gt;=0,Tabla5[[#This Row],[Tiempo Permanencia]]-Tabla5[[#This Row],[Tiempo de Preparación ]],0)</f>
        <v>4.0972222224485863E-2</v>
      </c>
      <c r="J738" s="5" t="str">
        <f>IF(Tabla5[[#This Row],[Tiempo de Degustación]]=0,"No Cobrada","Cobrada")</f>
        <v>Cobrada</v>
      </c>
      <c r="K738" s="5" cm="1">
        <f t="array" ref="K738">SUM(IF(Tabla5[[#This Row],[Orden Cobrada]]="Cobrada",IF(Cocina!A:A=Tabla5[[#This Row],[Nº Orden]],Cocina!F:F*Cocina!G:G,0),-Tabla6[[#This Row],[Precio Cena]]))</f>
        <v>215</v>
      </c>
      <c r="L738" s="5">
        <f>IF(Tabla5[[#This Row],[Orden Cobrada]]="Cobrada",Tabla5[[#This Row],[Ganancia Bruta]]-Tabla6[[#This Row],[Coste Cena]],-Tabla6[[#This Row],[Precio Cena]]+Tabla6[[#This Row],[Coste Cena]])</f>
        <v>87</v>
      </c>
      <c r="M738" s="10">
        <f>IF(Tabla5[[#This Row],[Orden Cobrada]]="Cobrada",((Tabla5[[#This Row],[Ganancia Neta]]/Tabla5[[#This Row],[Ganancia Bruta]])*100)/100,-((Tabla5[[#This Row],[Ganancia Neta]]/Tabla5[[#This Row],[Ganancia Bruta]]*100)/100))</f>
        <v>0.40465116279069768</v>
      </c>
      <c r="N738" s="5" t="str">
        <f>sala!F737</f>
        <v>Mesero_4</v>
      </c>
      <c r="AY738" cm="1">
        <f t="array" ref="AY738">SUM(IF(Cocina!A:A=Tabla5[[#This Row],[Nº Orden]],Cocina!F:F*Cocina!G:G,0))</f>
        <v>215</v>
      </c>
      <c r="AZ738" cm="1">
        <f t="array" ref="AZ738">SUM(IF(Cocina!A:A=Tabla5[[#This Row],[Nº Orden]],Cocina!E:E*Cocina!G:G,0))</f>
        <v>128</v>
      </c>
      <c r="BB738" t="str">
        <f>MID(Tabla4[[#This Row],[Cliente]], SEARCH("_", Tabla4[[#This Row],[Cliente]]) + 1, LEN(Tabla4[[#This Row],[Cliente]]) - SEARCH("_",Tabla4[[#This Row],[Cliente]]))</f>
        <v>301</v>
      </c>
      <c r="BC738" t="str">
        <f>sala!B737</f>
        <v>Cliente_301</v>
      </c>
      <c r="BD738" s="1">
        <f>sala!D737</f>
        <v>45023.047222222223</v>
      </c>
      <c r="BE738" s="1">
        <f>sala!E737</f>
        <v>45023.14166666667</v>
      </c>
      <c r="BF738">
        <f>sala!K737</f>
        <v>736</v>
      </c>
      <c r="BG738">
        <f>sala!I737</f>
        <v>2591</v>
      </c>
      <c r="BH738" cm="1">
        <f t="array" ref="BH738">SUM(IF(Cocina!A:A=Tabla4[[#This Row],[Número de Orden]],Cocina!F:F*Cocina!G:G,0))</f>
        <v>215</v>
      </c>
      <c r="BI738" t="str">
        <f>sala!J737</f>
        <v>Ocupada</v>
      </c>
      <c r="BJ738" s="4" t="str">
        <f>IF(Tabla4[[#This Row],[Estado mesa]]="Ocupada","00:15","00:00")</f>
        <v>00:15</v>
      </c>
      <c r="BK738" cm="1">
        <f t="array" ref="BK738">SUM(IF(Cocina!A:A=Tabla4[[#This Row],[Número de Orden]],Cocina!H:H,0))</f>
        <v>92</v>
      </c>
    </row>
    <row r="739" spans="1:63" x14ac:dyDescent="0.3">
      <c r="A739" s="8" t="str">
        <f>MID(Tabla4[[#This Row],[Cliente]], SEARCH("_", Tabla4[[#This Row],[Cliente]]) + 1, LEN(Tabla4[[#This Row],[Cliente]]) - SEARCH("_",Tabla4[[#This Row],[Cliente]]))</f>
        <v>635</v>
      </c>
      <c r="B739">
        <f>sala!K738</f>
        <v>737</v>
      </c>
      <c r="C739">
        <f>Tabla4[[#This Row],[Propina]]+Tabla4[[#This Row],[Precio Cena]]</f>
        <v>2527</v>
      </c>
      <c r="D739" s="3">
        <f>INT(sala!E738)</f>
        <v>45023</v>
      </c>
      <c r="E739" s="4">
        <f>MOD( sala!D738,1)</f>
        <v>2.7083333334303461E-2</v>
      </c>
      <c r="F739" s="4">
        <f>MOD( sala!E738,1)</f>
        <v>0.12916666666569654</v>
      </c>
      <c r="G739" s="4">
        <f>Tabla5[[#This Row],[Hora de Salida]]-Tabla5[[#This Row],[Hora de Llegada]]+Tabla4[[#This Row],[Tiempo Extra]]</f>
        <v>0.10208333333139308</v>
      </c>
      <c r="H739" s="5" t="str">
        <f>TEXT(Tabla4[[#This Row],[Preparación en horas]]/1440, "h:mm")</f>
        <v>0:22</v>
      </c>
      <c r="I739" s="4">
        <f>IF(Tabla5[[#This Row],[Tiempo Permanencia]]-Tabla5[[#This Row],[Tiempo de Preparación ]]&gt;=0,Tabla5[[#This Row],[Tiempo Permanencia]]-Tabla5[[#This Row],[Tiempo de Preparación ]],0)</f>
        <v>8.6805555553615299E-2</v>
      </c>
      <c r="J739" s="5" t="str">
        <f>IF(Tabla5[[#This Row],[Tiempo de Degustación]]=0,"No Cobrada","Cobrada")</f>
        <v>Cobrada</v>
      </c>
      <c r="K739" s="5" cm="1">
        <f t="array" ref="K739">SUM(IF(Tabla5[[#This Row],[Orden Cobrada]]="Cobrada",IF(Cocina!A:A=Tabla5[[#This Row],[Nº Orden]],Cocina!F:F*Cocina!G:G,0),-Tabla6[[#This Row],[Precio Cena]]))</f>
        <v>118</v>
      </c>
      <c r="L739" s="5">
        <f>IF(Tabla5[[#This Row],[Orden Cobrada]]="Cobrada",Tabla5[[#This Row],[Ganancia Bruta]]-Tabla6[[#This Row],[Coste Cena]],-Tabla6[[#This Row],[Precio Cena]]+Tabla6[[#This Row],[Coste Cena]])</f>
        <v>48</v>
      </c>
      <c r="M739" s="10">
        <f>IF(Tabla5[[#This Row],[Orden Cobrada]]="Cobrada",((Tabla5[[#This Row],[Ganancia Neta]]/Tabla5[[#This Row],[Ganancia Bruta]])*100)/100,-((Tabla5[[#This Row],[Ganancia Neta]]/Tabla5[[#This Row],[Ganancia Bruta]]*100)/100))</f>
        <v>0.40677966101694918</v>
      </c>
      <c r="N739" s="5" t="str">
        <f>sala!F738</f>
        <v>Mesero_2</v>
      </c>
      <c r="AY739" cm="1">
        <f t="array" ref="AY739">SUM(IF(Cocina!A:A=Tabla5[[#This Row],[Nº Orden]],Cocina!F:F*Cocina!G:G,0))</f>
        <v>118</v>
      </c>
      <c r="AZ739" cm="1">
        <f t="array" ref="AZ739">SUM(IF(Cocina!A:A=Tabla5[[#This Row],[Nº Orden]],Cocina!E:E*Cocina!G:G,0))</f>
        <v>70</v>
      </c>
      <c r="BB739" t="str">
        <f>MID(Tabla4[[#This Row],[Cliente]], SEARCH("_", Tabla4[[#This Row],[Cliente]]) + 1, LEN(Tabla4[[#This Row],[Cliente]]) - SEARCH("_",Tabla4[[#This Row],[Cliente]]))</f>
        <v>635</v>
      </c>
      <c r="BC739" t="str">
        <f>sala!B738</f>
        <v>Cliente_635</v>
      </c>
      <c r="BD739" s="1">
        <f>sala!D738</f>
        <v>45023.027083333334</v>
      </c>
      <c r="BE739" s="1">
        <f>sala!E738</f>
        <v>45023.129166666666</v>
      </c>
      <c r="BF739">
        <f>sala!K738</f>
        <v>737</v>
      </c>
      <c r="BG739">
        <f>sala!I738</f>
        <v>2409</v>
      </c>
      <c r="BH739" cm="1">
        <f t="array" ref="BH739">SUM(IF(Cocina!A:A=Tabla4[[#This Row],[Número de Orden]],Cocina!F:F*Cocina!G:G,0))</f>
        <v>118</v>
      </c>
      <c r="BI739" t="str">
        <f>sala!J738</f>
        <v>Reservada</v>
      </c>
      <c r="BJ739" s="4" t="str">
        <f>IF(Tabla4[[#This Row],[Estado mesa]]="Ocupada","00:15","00:00")</f>
        <v>00:00</v>
      </c>
      <c r="BK739" cm="1">
        <f t="array" ref="BK739">SUM(IF(Cocina!A:A=Tabla4[[#This Row],[Número de Orden]],Cocina!H:H,0))</f>
        <v>22</v>
      </c>
    </row>
    <row r="740" spans="1:63" x14ac:dyDescent="0.3">
      <c r="A740" s="8" t="str">
        <f>MID(Tabla4[[#This Row],[Cliente]], SEARCH("_", Tabla4[[#This Row],[Cliente]]) + 1, LEN(Tabla4[[#This Row],[Cliente]]) - SEARCH("_",Tabla4[[#This Row],[Cliente]]))</f>
        <v>70</v>
      </c>
      <c r="B740">
        <f>sala!K739</f>
        <v>738</v>
      </c>
      <c r="C740">
        <f>Tabla4[[#This Row],[Propina]]+Tabla4[[#This Row],[Precio Cena]]</f>
        <v>1871</v>
      </c>
      <c r="D740" s="3">
        <f>INT(sala!E739)</f>
        <v>45023</v>
      </c>
      <c r="E740" s="4">
        <f>MOD( sala!D739,1)</f>
        <v>3.5416666665696539E-2</v>
      </c>
      <c r="F740" s="4">
        <f>MOD( sala!E739,1)</f>
        <v>8.611111110803904E-2</v>
      </c>
      <c r="G740" s="4">
        <f>Tabla5[[#This Row],[Hora de Salida]]-Tabla5[[#This Row],[Hora de Llegada]]+Tabla4[[#This Row],[Tiempo Extra]]</f>
        <v>6.1111111109009165E-2</v>
      </c>
      <c r="H740" s="5" t="str">
        <f>TEXT(Tabla4[[#This Row],[Preparación en horas]]/1440, "h:mm")</f>
        <v>1:34</v>
      </c>
      <c r="I740" s="4">
        <f>IF(Tabla5[[#This Row],[Tiempo Permanencia]]-Tabla5[[#This Row],[Tiempo de Preparación ]]&gt;=0,Tabla5[[#This Row],[Tiempo Permanencia]]-Tabla5[[#This Row],[Tiempo de Preparación ]],0)</f>
        <v>0</v>
      </c>
      <c r="J740" s="5" t="str">
        <f>IF(Tabla5[[#This Row],[Tiempo de Degustación]]=0,"No Cobrada","Cobrada")</f>
        <v>No Cobrada</v>
      </c>
      <c r="K740" s="5" cm="1">
        <f t="array" ref="K740">SUM(IF(Tabla5[[#This Row],[Orden Cobrada]]="Cobrada",IF(Cocina!A:A=Tabla5[[#This Row],[Nº Orden]],Cocina!F:F*Cocina!G:G,0),-Tabla6[[#This Row],[Precio Cena]]))</f>
        <v>-134</v>
      </c>
      <c r="L740" s="5">
        <f>IF(Tabla5[[#This Row],[Orden Cobrada]]="Cobrada",Tabla5[[#This Row],[Ganancia Bruta]]-Tabla6[[#This Row],[Coste Cena]],-Tabla6[[#This Row],[Precio Cena]]+Tabla6[[#This Row],[Coste Cena]])</f>
        <v>-58</v>
      </c>
      <c r="M740" s="10">
        <f>IF(Tabla5[[#This Row],[Orden Cobrada]]="Cobrada",((Tabla5[[#This Row],[Ganancia Neta]]/Tabla5[[#This Row],[Ganancia Bruta]])*100)/100,-((Tabla5[[#This Row],[Ganancia Neta]]/Tabla5[[#This Row],[Ganancia Bruta]]*100)/100))</f>
        <v>-0.43283582089552231</v>
      </c>
      <c r="N740" s="5" t="str">
        <f>sala!F739</f>
        <v>Mesero_3</v>
      </c>
      <c r="AY740" cm="1">
        <f t="array" ref="AY740">SUM(IF(Cocina!A:A=Tabla5[[#This Row],[Nº Orden]],Cocina!F:F*Cocina!G:G,0))</f>
        <v>134</v>
      </c>
      <c r="AZ740" cm="1">
        <f t="array" ref="AZ740">SUM(IF(Cocina!A:A=Tabla5[[#This Row],[Nº Orden]],Cocina!E:E*Cocina!G:G,0))</f>
        <v>76</v>
      </c>
      <c r="BB740" t="str">
        <f>MID(Tabla4[[#This Row],[Cliente]], SEARCH("_", Tabla4[[#This Row],[Cliente]]) + 1, LEN(Tabla4[[#This Row],[Cliente]]) - SEARCH("_",Tabla4[[#This Row],[Cliente]]))</f>
        <v>70</v>
      </c>
      <c r="BC740" t="str">
        <f>sala!B739</f>
        <v>Cliente_70</v>
      </c>
      <c r="BD740" s="1">
        <f>sala!D739</f>
        <v>45023.035416666666</v>
      </c>
      <c r="BE740" s="1">
        <f>sala!E739</f>
        <v>45023.086111111108</v>
      </c>
      <c r="BF740">
        <f>sala!K739</f>
        <v>738</v>
      </c>
      <c r="BG740">
        <f>sala!I739</f>
        <v>1737</v>
      </c>
      <c r="BH740" cm="1">
        <f t="array" ref="BH740">SUM(IF(Cocina!A:A=Tabla4[[#This Row],[Número de Orden]],Cocina!F:F*Cocina!G:G,0))</f>
        <v>134</v>
      </c>
      <c r="BI740" t="str">
        <f>sala!J739</f>
        <v>Ocupada</v>
      </c>
      <c r="BJ740" s="4" t="str">
        <f>IF(Tabla4[[#This Row],[Estado mesa]]="Ocupada","00:15","00:00")</f>
        <v>00:15</v>
      </c>
      <c r="BK740" cm="1">
        <f t="array" ref="BK740">SUM(IF(Cocina!A:A=Tabla4[[#This Row],[Número de Orden]],Cocina!H:H,0))</f>
        <v>94</v>
      </c>
    </row>
    <row r="741" spans="1:63" x14ac:dyDescent="0.3">
      <c r="A741" s="8" t="str">
        <f>MID(Tabla4[[#This Row],[Cliente]], SEARCH("_", Tabla4[[#This Row],[Cliente]]) + 1, LEN(Tabla4[[#This Row],[Cliente]]) - SEARCH("_",Tabla4[[#This Row],[Cliente]]))</f>
        <v>484</v>
      </c>
      <c r="B741">
        <f>sala!K740</f>
        <v>739</v>
      </c>
      <c r="C741">
        <f>Tabla4[[#This Row],[Propina]]+Tabla4[[#This Row],[Precio Cena]]</f>
        <v>3415</v>
      </c>
      <c r="D741" s="3">
        <f>INT(sala!E740)</f>
        <v>45023</v>
      </c>
      <c r="E741" s="4">
        <f>MOD( sala!D740,1)</f>
        <v>0.16180555555911269</v>
      </c>
      <c r="F741" s="4">
        <f>MOD( sala!E740,1)</f>
        <v>0.25694444444525288</v>
      </c>
      <c r="G741" s="4">
        <f>Tabla5[[#This Row],[Hora de Salida]]-Tabla5[[#This Row],[Hora de Llegada]]+Tabla4[[#This Row],[Tiempo Extra]]</f>
        <v>9.5138888886140194E-2</v>
      </c>
      <c r="H741" s="5" t="str">
        <f>TEXT(Tabla4[[#This Row],[Preparación en horas]]/1440, "h:mm")</f>
        <v>0:54</v>
      </c>
      <c r="I741" s="4">
        <f>IF(Tabla5[[#This Row],[Tiempo Permanencia]]-Tabla5[[#This Row],[Tiempo de Preparación ]]&gt;=0,Tabla5[[#This Row],[Tiempo Permanencia]]-Tabla5[[#This Row],[Tiempo de Preparación ]],0)</f>
        <v>5.7638888886140195E-2</v>
      </c>
      <c r="J741" s="5" t="str">
        <f>IF(Tabla5[[#This Row],[Tiempo de Degustación]]=0,"No Cobrada","Cobrada")</f>
        <v>Cobrada</v>
      </c>
      <c r="K741" s="5" cm="1">
        <f t="array" ref="K741">SUM(IF(Tabla5[[#This Row],[Orden Cobrada]]="Cobrada",IF(Cocina!A:A=Tabla5[[#This Row],[Nº Orden]],Cocina!F:F*Cocina!G:G,0),-Tabla6[[#This Row],[Precio Cena]]))</f>
        <v>46</v>
      </c>
      <c r="L741" s="5">
        <f>IF(Tabla5[[#This Row],[Orden Cobrada]]="Cobrada",Tabla5[[#This Row],[Ganancia Bruta]]-Tabla6[[#This Row],[Coste Cena]],-Tabla6[[#This Row],[Precio Cena]]+Tabla6[[#This Row],[Coste Cena]])</f>
        <v>18</v>
      </c>
      <c r="M741" s="10">
        <f>IF(Tabla5[[#This Row],[Orden Cobrada]]="Cobrada",((Tabla5[[#This Row],[Ganancia Neta]]/Tabla5[[#This Row],[Ganancia Bruta]])*100)/100,-((Tabla5[[#This Row],[Ganancia Neta]]/Tabla5[[#This Row],[Ganancia Bruta]]*100)/100))</f>
        <v>0.39130434782608697</v>
      </c>
      <c r="N741" s="5" t="str">
        <f>sala!F740</f>
        <v>Mesero_2</v>
      </c>
      <c r="AY741" cm="1">
        <f t="array" ref="AY741">SUM(IF(Cocina!A:A=Tabla5[[#This Row],[Nº Orden]],Cocina!F:F*Cocina!G:G,0))</f>
        <v>46</v>
      </c>
      <c r="AZ741" cm="1">
        <f t="array" ref="AZ741">SUM(IF(Cocina!A:A=Tabla5[[#This Row],[Nº Orden]],Cocina!E:E*Cocina!G:G,0))</f>
        <v>28</v>
      </c>
      <c r="BB741" t="str">
        <f>MID(Tabla4[[#This Row],[Cliente]], SEARCH("_", Tabla4[[#This Row],[Cliente]]) + 1, LEN(Tabla4[[#This Row],[Cliente]]) - SEARCH("_",Tabla4[[#This Row],[Cliente]]))</f>
        <v>484</v>
      </c>
      <c r="BC741" t="str">
        <f>sala!B740</f>
        <v>Cliente_484</v>
      </c>
      <c r="BD741" s="1">
        <f>sala!D740</f>
        <v>45023.161805555559</v>
      </c>
      <c r="BE741" s="1">
        <f>sala!E740</f>
        <v>45023.256944444445</v>
      </c>
      <c r="BF741">
        <f>sala!K740</f>
        <v>739</v>
      </c>
      <c r="BG741">
        <f>sala!I740</f>
        <v>3369</v>
      </c>
      <c r="BH741" cm="1">
        <f t="array" ref="BH741">SUM(IF(Cocina!A:A=Tabla4[[#This Row],[Número de Orden]],Cocina!F:F*Cocina!G:G,0))</f>
        <v>46</v>
      </c>
      <c r="BI741" t="str">
        <f>sala!J740</f>
        <v>Reservada</v>
      </c>
      <c r="BJ741" s="4" t="str">
        <f>IF(Tabla4[[#This Row],[Estado mesa]]="Ocupada","00:15","00:00")</f>
        <v>00:00</v>
      </c>
      <c r="BK741" cm="1">
        <f t="array" ref="BK741">SUM(IF(Cocina!A:A=Tabla4[[#This Row],[Número de Orden]],Cocina!H:H,0))</f>
        <v>54</v>
      </c>
    </row>
    <row r="742" spans="1:63" x14ac:dyDescent="0.3">
      <c r="A742" s="8" t="str">
        <f>MID(Tabla4[[#This Row],[Cliente]], SEARCH("_", Tabla4[[#This Row],[Cliente]]) + 1, LEN(Tabla4[[#This Row],[Cliente]]) - SEARCH("_",Tabla4[[#This Row],[Cliente]]))</f>
        <v>297</v>
      </c>
      <c r="B742">
        <f>sala!K741</f>
        <v>740</v>
      </c>
      <c r="C742">
        <f>Tabla4[[#This Row],[Propina]]+Tabla4[[#This Row],[Precio Cena]]</f>
        <v>1898</v>
      </c>
      <c r="D742" s="3">
        <f>INT(sala!E741)</f>
        <v>45023</v>
      </c>
      <c r="E742" s="4">
        <f>MOD( sala!D741,1)</f>
        <v>0.15902777777955635</v>
      </c>
      <c r="F742" s="4">
        <f>MOD( sala!E741,1)</f>
        <v>0.26666666667006211</v>
      </c>
      <c r="G742" s="4">
        <f>Tabla5[[#This Row],[Hora de Salida]]-Tabla5[[#This Row],[Hora de Llegada]]+Tabla4[[#This Row],[Tiempo Extra]]</f>
        <v>0.10763888889050577</v>
      </c>
      <c r="H742" s="5" t="str">
        <f>TEXT(Tabla4[[#This Row],[Preparación en horas]]/1440, "h:mm")</f>
        <v>1:53</v>
      </c>
      <c r="I742" s="4">
        <f>IF(Tabla5[[#This Row],[Tiempo Permanencia]]-Tabla5[[#This Row],[Tiempo de Preparación ]]&gt;=0,Tabla5[[#This Row],[Tiempo Permanencia]]-Tabla5[[#This Row],[Tiempo de Preparación ]],0)</f>
        <v>2.9166666668283547E-2</v>
      </c>
      <c r="J742" s="5" t="str">
        <f>IF(Tabla5[[#This Row],[Tiempo de Degustación]]=0,"No Cobrada","Cobrada")</f>
        <v>Cobrada</v>
      </c>
      <c r="K742" s="5" cm="1">
        <f t="array" ref="K742">SUM(IF(Tabla5[[#This Row],[Orden Cobrada]]="Cobrada",IF(Cocina!A:A=Tabla5[[#This Row],[Nº Orden]],Cocina!F:F*Cocina!G:G,0),-Tabla6[[#This Row],[Precio Cena]]))</f>
        <v>293</v>
      </c>
      <c r="L742" s="5">
        <f>IF(Tabla5[[#This Row],[Orden Cobrada]]="Cobrada",Tabla5[[#This Row],[Ganancia Bruta]]-Tabla6[[#This Row],[Coste Cena]],-Tabla6[[#This Row],[Precio Cena]]+Tabla6[[#This Row],[Coste Cena]])</f>
        <v>118</v>
      </c>
      <c r="M742" s="10">
        <f>IF(Tabla5[[#This Row],[Orden Cobrada]]="Cobrada",((Tabla5[[#This Row],[Ganancia Neta]]/Tabla5[[#This Row],[Ganancia Bruta]])*100)/100,-((Tabla5[[#This Row],[Ganancia Neta]]/Tabla5[[#This Row],[Ganancia Bruta]]*100)/100))</f>
        <v>0.40273037542662116</v>
      </c>
      <c r="N742" s="5" t="str">
        <f>sala!F741</f>
        <v>Mesero_1</v>
      </c>
      <c r="AY742" cm="1">
        <f t="array" ref="AY742">SUM(IF(Cocina!A:A=Tabla5[[#This Row],[Nº Orden]],Cocina!F:F*Cocina!G:G,0))</f>
        <v>293</v>
      </c>
      <c r="AZ742" cm="1">
        <f t="array" ref="AZ742">SUM(IF(Cocina!A:A=Tabla5[[#This Row],[Nº Orden]],Cocina!E:E*Cocina!G:G,0))</f>
        <v>175</v>
      </c>
      <c r="BB742" t="str">
        <f>MID(Tabla4[[#This Row],[Cliente]], SEARCH("_", Tabla4[[#This Row],[Cliente]]) + 1, LEN(Tabla4[[#This Row],[Cliente]]) - SEARCH("_",Tabla4[[#This Row],[Cliente]]))</f>
        <v>297</v>
      </c>
      <c r="BC742" t="str">
        <f>sala!B741</f>
        <v>Cliente_297</v>
      </c>
      <c r="BD742" s="1">
        <f>sala!D741</f>
        <v>45023.15902777778</v>
      </c>
      <c r="BE742" s="1">
        <f>sala!E741</f>
        <v>45023.26666666667</v>
      </c>
      <c r="BF742">
        <f>sala!K741</f>
        <v>740</v>
      </c>
      <c r="BG742">
        <f>sala!I741</f>
        <v>1605</v>
      </c>
      <c r="BH742" cm="1">
        <f t="array" ref="BH742">SUM(IF(Cocina!A:A=Tabla4[[#This Row],[Número de Orden]],Cocina!F:F*Cocina!G:G,0))</f>
        <v>293</v>
      </c>
      <c r="BI742" t="str">
        <f>sala!J741</f>
        <v>Reservada</v>
      </c>
      <c r="BJ742" s="4" t="str">
        <f>IF(Tabla4[[#This Row],[Estado mesa]]="Ocupada","00:15","00:00")</f>
        <v>00:00</v>
      </c>
      <c r="BK742" cm="1">
        <f t="array" ref="BK742">SUM(IF(Cocina!A:A=Tabla4[[#This Row],[Número de Orden]],Cocina!H:H,0))</f>
        <v>113</v>
      </c>
    </row>
    <row r="743" spans="1:63" x14ac:dyDescent="0.3">
      <c r="A743" s="8" t="str">
        <f>MID(Tabla4[[#This Row],[Cliente]], SEARCH("_", Tabla4[[#This Row],[Cliente]]) + 1, LEN(Tabla4[[#This Row],[Cliente]]) - SEARCH("_",Tabla4[[#This Row],[Cliente]]))</f>
        <v>196</v>
      </c>
      <c r="B743">
        <f>sala!K742</f>
        <v>741</v>
      </c>
      <c r="C743">
        <f>Tabla4[[#This Row],[Propina]]+Tabla4[[#This Row],[Precio Cena]]</f>
        <v>4316</v>
      </c>
      <c r="D743" s="3">
        <f>INT(sala!E742)</f>
        <v>45023</v>
      </c>
      <c r="E743" s="4">
        <f>MOD( sala!D742,1)</f>
        <v>2.0138888889050577E-2</v>
      </c>
      <c r="F743" s="4">
        <f>MOD( sala!E742,1)</f>
        <v>0.18263888888759539</v>
      </c>
      <c r="G743" s="4">
        <f>Tabla5[[#This Row],[Hora de Salida]]-Tabla5[[#This Row],[Hora de Llegada]]+Tabla4[[#This Row],[Tiempo Extra]]</f>
        <v>0.17291666666521147</v>
      </c>
      <c r="H743" s="5" t="str">
        <f>TEXT(Tabla4[[#This Row],[Preparación en horas]]/1440, "h:mm")</f>
        <v>2:45</v>
      </c>
      <c r="I743" s="4">
        <f>IF(Tabla5[[#This Row],[Tiempo Permanencia]]-Tabla5[[#This Row],[Tiempo de Preparación ]]&gt;=0,Tabla5[[#This Row],[Tiempo Permanencia]]-Tabla5[[#This Row],[Tiempo de Preparación ]],0)</f>
        <v>5.8333333331878137E-2</v>
      </c>
      <c r="J743" s="5" t="str">
        <f>IF(Tabla5[[#This Row],[Tiempo de Degustación]]=0,"No Cobrada","Cobrada")</f>
        <v>Cobrada</v>
      </c>
      <c r="K743" s="5" cm="1">
        <f t="array" ref="K743">SUM(IF(Tabla5[[#This Row],[Orden Cobrada]]="Cobrada",IF(Cocina!A:A=Tabla5[[#This Row],[Nº Orden]],Cocina!F:F*Cocina!G:G,0),-Tabla6[[#This Row],[Precio Cena]]))</f>
        <v>285</v>
      </c>
      <c r="L743" s="5">
        <f>IF(Tabla5[[#This Row],[Orden Cobrada]]="Cobrada",Tabla5[[#This Row],[Ganancia Bruta]]-Tabla6[[#This Row],[Coste Cena]],-Tabla6[[#This Row],[Precio Cena]]+Tabla6[[#This Row],[Coste Cena]])</f>
        <v>117</v>
      </c>
      <c r="M743" s="10">
        <f>IF(Tabla5[[#This Row],[Orden Cobrada]]="Cobrada",((Tabla5[[#This Row],[Ganancia Neta]]/Tabla5[[#This Row],[Ganancia Bruta]])*100)/100,-((Tabla5[[#This Row],[Ganancia Neta]]/Tabla5[[#This Row],[Ganancia Bruta]]*100)/100))</f>
        <v>0.41052631578947368</v>
      </c>
      <c r="N743" s="5" t="str">
        <f>sala!F742</f>
        <v>Mesero_2</v>
      </c>
      <c r="AY743" cm="1">
        <f t="array" ref="AY743">SUM(IF(Cocina!A:A=Tabla5[[#This Row],[Nº Orden]],Cocina!F:F*Cocina!G:G,0))</f>
        <v>285</v>
      </c>
      <c r="AZ743" cm="1">
        <f t="array" ref="AZ743">SUM(IF(Cocina!A:A=Tabla5[[#This Row],[Nº Orden]],Cocina!E:E*Cocina!G:G,0))</f>
        <v>168</v>
      </c>
      <c r="BB743" t="str">
        <f>MID(Tabla4[[#This Row],[Cliente]], SEARCH("_", Tabla4[[#This Row],[Cliente]]) + 1, LEN(Tabla4[[#This Row],[Cliente]]) - SEARCH("_",Tabla4[[#This Row],[Cliente]]))</f>
        <v>196</v>
      </c>
      <c r="BC743" t="str">
        <f>sala!B742</f>
        <v>Cliente_196</v>
      </c>
      <c r="BD743" s="1">
        <f>sala!D742</f>
        <v>45023.020138888889</v>
      </c>
      <c r="BE743" s="1">
        <f>sala!E742</f>
        <v>45023.182638888888</v>
      </c>
      <c r="BF743">
        <f>sala!K742</f>
        <v>741</v>
      </c>
      <c r="BG743">
        <f>sala!I742</f>
        <v>4031</v>
      </c>
      <c r="BH743" cm="1">
        <f t="array" ref="BH743">SUM(IF(Cocina!A:A=Tabla4[[#This Row],[Número de Orden]],Cocina!F:F*Cocina!G:G,0))</f>
        <v>285</v>
      </c>
      <c r="BI743" t="str">
        <f>sala!J742</f>
        <v>Ocupada</v>
      </c>
      <c r="BJ743" s="4" t="str">
        <f>IF(Tabla4[[#This Row],[Estado mesa]]="Ocupada","00:15","00:00")</f>
        <v>00:15</v>
      </c>
      <c r="BK743" cm="1">
        <f t="array" ref="BK743">SUM(IF(Cocina!A:A=Tabla4[[#This Row],[Número de Orden]],Cocina!H:H,0))</f>
        <v>165</v>
      </c>
    </row>
    <row r="744" spans="1:63" x14ac:dyDescent="0.3">
      <c r="A744" s="8" t="str">
        <f>MID(Tabla4[[#This Row],[Cliente]], SEARCH("_", Tabla4[[#This Row],[Cliente]]) + 1, LEN(Tabla4[[#This Row],[Cliente]]) - SEARCH("_",Tabla4[[#This Row],[Cliente]]))</f>
        <v>320</v>
      </c>
      <c r="B744">
        <f>sala!K743</f>
        <v>742</v>
      </c>
      <c r="C744">
        <f>Tabla4[[#This Row],[Propina]]+Tabla4[[#This Row],[Precio Cena]]</f>
        <v>1217</v>
      </c>
      <c r="D744" s="3">
        <f>INT(sala!E743)</f>
        <v>45023</v>
      </c>
      <c r="E744" s="4">
        <f>MOD( sala!D743,1)</f>
        <v>2.5000000001455192E-2</v>
      </c>
      <c r="F744" s="4">
        <f>MOD( sala!E743,1)</f>
        <v>9.8611111112404615E-2</v>
      </c>
      <c r="G744" s="4">
        <f>Tabla5[[#This Row],[Hora de Salida]]-Tabla5[[#This Row],[Hora de Llegada]]+Tabla4[[#This Row],[Tiempo Extra]]</f>
        <v>7.3611111110949423E-2</v>
      </c>
      <c r="H744" s="5" t="str">
        <f>TEXT(Tabla4[[#This Row],[Preparación en horas]]/1440, "h:mm")</f>
        <v>2:25</v>
      </c>
      <c r="I744" s="4">
        <f>IF(Tabla5[[#This Row],[Tiempo Permanencia]]-Tabla5[[#This Row],[Tiempo de Preparación ]]&gt;=0,Tabla5[[#This Row],[Tiempo Permanencia]]-Tabla5[[#This Row],[Tiempo de Preparación ]],0)</f>
        <v>0</v>
      </c>
      <c r="J744" s="5" t="str">
        <f>IF(Tabla5[[#This Row],[Tiempo de Degustación]]=0,"No Cobrada","Cobrada")</f>
        <v>No Cobrada</v>
      </c>
      <c r="K744" s="5" cm="1">
        <f t="array" ref="K744">SUM(IF(Tabla5[[#This Row],[Orden Cobrada]]="Cobrada",IF(Cocina!A:A=Tabla5[[#This Row],[Nº Orden]],Cocina!F:F*Cocina!G:G,0),-Tabla6[[#This Row],[Precio Cena]]))</f>
        <v>-166</v>
      </c>
      <c r="L744" s="5">
        <f>IF(Tabla5[[#This Row],[Orden Cobrada]]="Cobrada",Tabla5[[#This Row],[Ganancia Bruta]]-Tabla6[[#This Row],[Coste Cena]],-Tabla6[[#This Row],[Precio Cena]]+Tabla6[[#This Row],[Coste Cena]])</f>
        <v>-67</v>
      </c>
      <c r="M744" s="10">
        <f>IF(Tabla5[[#This Row],[Orden Cobrada]]="Cobrada",((Tabla5[[#This Row],[Ganancia Neta]]/Tabla5[[#This Row],[Ganancia Bruta]])*100)/100,-((Tabla5[[#This Row],[Ganancia Neta]]/Tabla5[[#This Row],[Ganancia Bruta]]*100)/100))</f>
        <v>-0.40361445783132532</v>
      </c>
      <c r="N744" s="5" t="str">
        <f>sala!F743</f>
        <v>Mesero_2</v>
      </c>
      <c r="AY744" cm="1">
        <f t="array" ref="AY744">SUM(IF(Cocina!A:A=Tabla5[[#This Row],[Nº Orden]],Cocina!F:F*Cocina!G:G,0))</f>
        <v>166</v>
      </c>
      <c r="AZ744" cm="1">
        <f t="array" ref="AZ744">SUM(IF(Cocina!A:A=Tabla5[[#This Row],[Nº Orden]],Cocina!E:E*Cocina!G:G,0))</f>
        <v>99</v>
      </c>
      <c r="BB744" t="str">
        <f>MID(Tabla4[[#This Row],[Cliente]], SEARCH("_", Tabla4[[#This Row],[Cliente]]) + 1, LEN(Tabla4[[#This Row],[Cliente]]) - SEARCH("_",Tabla4[[#This Row],[Cliente]]))</f>
        <v>320</v>
      </c>
      <c r="BC744" t="str">
        <f>sala!B743</f>
        <v>Cliente_320</v>
      </c>
      <c r="BD744" s="1">
        <f>sala!D743</f>
        <v>45023.025000000001</v>
      </c>
      <c r="BE744" s="1">
        <f>sala!E743</f>
        <v>45023.098611111112</v>
      </c>
      <c r="BF744">
        <f>sala!K743</f>
        <v>742</v>
      </c>
      <c r="BG744">
        <f>sala!I743</f>
        <v>1051</v>
      </c>
      <c r="BH744" cm="1">
        <f t="array" ref="BH744">SUM(IF(Cocina!A:A=Tabla4[[#This Row],[Número de Orden]],Cocina!F:F*Cocina!G:G,0))</f>
        <v>166</v>
      </c>
      <c r="BI744" t="str">
        <f>sala!J743</f>
        <v>Reservada</v>
      </c>
      <c r="BJ744" s="4" t="str">
        <f>IF(Tabla4[[#This Row],[Estado mesa]]="Ocupada","00:15","00:00")</f>
        <v>00:00</v>
      </c>
      <c r="BK744" cm="1">
        <f t="array" ref="BK744">SUM(IF(Cocina!A:A=Tabla4[[#This Row],[Número de Orden]],Cocina!H:H,0))</f>
        <v>145</v>
      </c>
    </row>
    <row r="745" spans="1:63" x14ac:dyDescent="0.3">
      <c r="A745" s="8" t="str">
        <f>MID(Tabla4[[#This Row],[Cliente]], SEARCH("_", Tabla4[[#This Row],[Cliente]]) + 1, LEN(Tabla4[[#This Row],[Cliente]]) - SEARCH("_",Tabla4[[#This Row],[Cliente]]))</f>
        <v>597</v>
      </c>
      <c r="B745">
        <f>sala!K744</f>
        <v>743</v>
      </c>
      <c r="C745">
        <f>Tabla4[[#This Row],[Propina]]+Tabla4[[#This Row],[Precio Cena]]</f>
        <v>391</v>
      </c>
      <c r="D745" s="3">
        <f>INT(sala!E744)</f>
        <v>45023</v>
      </c>
      <c r="E745" s="4">
        <f>MOD( sala!D744,1)</f>
        <v>0.15763888888614019</v>
      </c>
      <c r="F745" s="4">
        <f>MOD( sala!E744,1)</f>
        <v>0.32222222222480923</v>
      </c>
      <c r="G745" s="4">
        <f>Tabla5[[#This Row],[Hora de Salida]]-Tabla5[[#This Row],[Hora de Llegada]]+Tabla4[[#This Row],[Tiempo Extra]]</f>
        <v>0.17500000000533569</v>
      </c>
      <c r="H745" s="5" t="str">
        <f>TEXT(Tabla4[[#This Row],[Preparación en horas]]/1440, "h:mm")</f>
        <v>2:23</v>
      </c>
      <c r="I745" s="4">
        <f>IF(Tabla5[[#This Row],[Tiempo Permanencia]]-Tabla5[[#This Row],[Tiempo de Preparación ]]&gt;=0,Tabla5[[#This Row],[Tiempo Permanencia]]-Tabla5[[#This Row],[Tiempo de Preparación ]],0)</f>
        <v>7.5694444449780143E-2</v>
      </c>
      <c r="J745" s="5" t="str">
        <f>IF(Tabla5[[#This Row],[Tiempo de Degustación]]=0,"No Cobrada","Cobrada")</f>
        <v>Cobrada</v>
      </c>
      <c r="K745" s="5" cm="1">
        <f t="array" ref="K745">SUM(IF(Tabla5[[#This Row],[Orden Cobrada]]="Cobrada",IF(Cocina!A:A=Tabla5[[#This Row],[Nº Orden]],Cocina!F:F*Cocina!G:G,0),-Tabla6[[#This Row],[Precio Cena]]))</f>
        <v>134</v>
      </c>
      <c r="L745" s="5">
        <f>IF(Tabla5[[#This Row],[Orden Cobrada]]="Cobrada",Tabla5[[#This Row],[Ganancia Bruta]]-Tabla6[[#This Row],[Coste Cena]],-Tabla6[[#This Row],[Precio Cena]]+Tabla6[[#This Row],[Coste Cena]])</f>
        <v>56</v>
      </c>
      <c r="M745" s="10">
        <f>IF(Tabla5[[#This Row],[Orden Cobrada]]="Cobrada",((Tabla5[[#This Row],[Ganancia Neta]]/Tabla5[[#This Row],[Ganancia Bruta]])*100)/100,-((Tabla5[[#This Row],[Ganancia Neta]]/Tabla5[[#This Row],[Ganancia Bruta]]*100)/100))</f>
        <v>0.41791044776119401</v>
      </c>
      <c r="N745" s="5" t="str">
        <f>sala!F744</f>
        <v>Mesero_3</v>
      </c>
      <c r="AY745" cm="1">
        <f t="array" ref="AY745">SUM(IF(Cocina!A:A=Tabla5[[#This Row],[Nº Orden]],Cocina!F:F*Cocina!G:G,0))</f>
        <v>134</v>
      </c>
      <c r="AZ745" cm="1">
        <f t="array" ref="AZ745">SUM(IF(Cocina!A:A=Tabla5[[#This Row],[Nº Orden]],Cocina!E:E*Cocina!G:G,0))</f>
        <v>78</v>
      </c>
      <c r="BB745" t="str">
        <f>MID(Tabla4[[#This Row],[Cliente]], SEARCH("_", Tabla4[[#This Row],[Cliente]]) + 1, LEN(Tabla4[[#This Row],[Cliente]]) - SEARCH("_",Tabla4[[#This Row],[Cliente]]))</f>
        <v>597</v>
      </c>
      <c r="BC745" t="str">
        <f>sala!B744</f>
        <v>Cliente_597</v>
      </c>
      <c r="BD745" s="1">
        <f>sala!D744</f>
        <v>45023.157638888886</v>
      </c>
      <c r="BE745" s="1">
        <f>sala!E744</f>
        <v>45023.322222222225</v>
      </c>
      <c r="BF745">
        <f>sala!K744</f>
        <v>743</v>
      </c>
      <c r="BG745">
        <f>sala!I744</f>
        <v>257</v>
      </c>
      <c r="BH745" cm="1">
        <f t="array" ref="BH745">SUM(IF(Cocina!A:A=Tabla4[[#This Row],[Número de Orden]],Cocina!F:F*Cocina!G:G,0))</f>
        <v>134</v>
      </c>
      <c r="BI745" t="str">
        <f>sala!J744</f>
        <v>Ocupada</v>
      </c>
      <c r="BJ745" s="4" t="str">
        <f>IF(Tabla4[[#This Row],[Estado mesa]]="Ocupada","00:15","00:00")</f>
        <v>00:15</v>
      </c>
      <c r="BK745" cm="1">
        <f t="array" ref="BK745">SUM(IF(Cocina!A:A=Tabla4[[#This Row],[Número de Orden]],Cocina!H:H,0))</f>
        <v>143</v>
      </c>
    </row>
    <row r="746" spans="1:63" x14ac:dyDescent="0.3">
      <c r="A746" s="8" t="str">
        <f>MID(Tabla4[[#This Row],[Cliente]], SEARCH("_", Tabla4[[#This Row],[Cliente]]) + 1, LEN(Tabla4[[#This Row],[Cliente]]) - SEARCH("_",Tabla4[[#This Row],[Cliente]]))</f>
        <v>974</v>
      </c>
      <c r="B746">
        <f>sala!K745</f>
        <v>744</v>
      </c>
      <c r="C746">
        <f>Tabla4[[#This Row],[Propina]]+Tabla4[[#This Row],[Precio Cena]]</f>
        <v>341</v>
      </c>
      <c r="D746" s="3">
        <f>INT(sala!E745)</f>
        <v>45023</v>
      </c>
      <c r="E746" s="4">
        <f>MOD( sala!D745,1)</f>
        <v>8.2638888889050577E-2</v>
      </c>
      <c r="F746" s="4">
        <f>MOD( sala!E745,1)</f>
        <v>0.24236111110803904</v>
      </c>
      <c r="G746" s="4">
        <f>Tabla5[[#This Row],[Hora de Salida]]-Tabla5[[#This Row],[Hora de Llegada]]+Tabla4[[#This Row],[Tiempo Extra]]</f>
        <v>0.15972222221898846</v>
      </c>
      <c r="H746" s="5" t="str">
        <f>TEXT(Tabla4[[#This Row],[Preparación en horas]]/1440, "h:mm")</f>
        <v>1:07</v>
      </c>
      <c r="I746" s="4">
        <f>IF(Tabla5[[#This Row],[Tiempo Permanencia]]-Tabla5[[#This Row],[Tiempo de Preparación ]]&gt;=0,Tabla5[[#This Row],[Tiempo Permanencia]]-Tabla5[[#This Row],[Tiempo de Preparación ]],0)</f>
        <v>0.11319444444121068</v>
      </c>
      <c r="J746" s="5" t="str">
        <f>IF(Tabla5[[#This Row],[Tiempo de Degustación]]=0,"No Cobrada","Cobrada")</f>
        <v>Cobrada</v>
      </c>
      <c r="K746" s="5" cm="1">
        <f t="array" ref="K746">SUM(IF(Tabla5[[#This Row],[Orden Cobrada]]="Cobrada",IF(Cocina!A:A=Tabla5[[#This Row],[Nº Orden]],Cocina!F:F*Cocina!G:G,0),-Tabla6[[#This Row],[Precio Cena]]))</f>
        <v>76</v>
      </c>
      <c r="L746" s="5">
        <f>IF(Tabla5[[#This Row],[Orden Cobrada]]="Cobrada",Tabla5[[#This Row],[Ganancia Bruta]]-Tabla6[[#This Row],[Coste Cena]],-Tabla6[[#This Row],[Precio Cena]]+Tabla6[[#This Row],[Coste Cena]])</f>
        <v>32</v>
      </c>
      <c r="M746" s="10">
        <f>IF(Tabla5[[#This Row],[Orden Cobrada]]="Cobrada",((Tabla5[[#This Row],[Ganancia Neta]]/Tabla5[[#This Row],[Ganancia Bruta]])*100)/100,-((Tabla5[[#This Row],[Ganancia Neta]]/Tabla5[[#This Row],[Ganancia Bruta]]*100)/100))</f>
        <v>0.42105263157894735</v>
      </c>
      <c r="N746" s="5" t="str">
        <f>sala!F745</f>
        <v>Mesero_1</v>
      </c>
      <c r="AY746" cm="1">
        <f t="array" ref="AY746">SUM(IF(Cocina!A:A=Tabla5[[#This Row],[Nº Orden]],Cocina!F:F*Cocina!G:G,0))</f>
        <v>76</v>
      </c>
      <c r="AZ746" cm="1">
        <f t="array" ref="AZ746">SUM(IF(Cocina!A:A=Tabla5[[#This Row],[Nº Orden]],Cocina!E:E*Cocina!G:G,0))</f>
        <v>44</v>
      </c>
      <c r="BB746" t="str">
        <f>MID(Tabla4[[#This Row],[Cliente]], SEARCH("_", Tabla4[[#This Row],[Cliente]]) + 1, LEN(Tabla4[[#This Row],[Cliente]]) - SEARCH("_",Tabla4[[#This Row],[Cliente]]))</f>
        <v>974</v>
      </c>
      <c r="BC746" t="str">
        <f>sala!B745</f>
        <v>Cliente_974</v>
      </c>
      <c r="BD746" s="1">
        <f>sala!D745</f>
        <v>45023.082638888889</v>
      </c>
      <c r="BE746" s="1">
        <f>sala!E745</f>
        <v>45023.242361111108</v>
      </c>
      <c r="BF746">
        <f>sala!K745</f>
        <v>744</v>
      </c>
      <c r="BG746">
        <f>sala!I745</f>
        <v>265</v>
      </c>
      <c r="BH746" cm="1">
        <f t="array" ref="BH746">SUM(IF(Cocina!A:A=Tabla4[[#This Row],[Número de Orden]],Cocina!F:F*Cocina!G:G,0))</f>
        <v>76</v>
      </c>
      <c r="BI746" t="str">
        <f>sala!J745</f>
        <v>Libre</v>
      </c>
      <c r="BJ746" s="4" t="str">
        <f>IF(Tabla4[[#This Row],[Estado mesa]]="Ocupada","00:15","00:00")</f>
        <v>00:00</v>
      </c>
      <c r="BK746" cm="1">
        <f t="array" ref="BK746">SUM(IF(Cocina!A:A=Tabla4[[#This Row],[Número de Orden]],Cocina!H:H,0))</f>
        <v>67</v>
      </c>
    </row>
    <row r="747" spans="1:63" x14ac:dyDescent="0.3">
      <c r="A747" s="8" t="str">
        <f>MID(Tabla4[[#This Row],[Cliente]], SEARCH("_", Tabla4[[#This Row],[Cliente]]) + 1, LEN(Tabla4[[#This Row],[Cliente]]) - SEARCH("_",Tabla4[[#This Row],[Cliente]]))</f>
        <v>90</v>
      </c>
      <c r="B747">
        <f>sala!K746</f>
        <v>745</v>
      </c>
      <c r="C747">
        <f>Tabla4[[#This Row],[Propina]]+Tabla4[[#This Row],[Precio Cena]]</f>
        <v>2159</v>
      </c>
      <c r="D747" s="3">
        <f>INT(sala!E746)</f>
        <v>45023</v>
      </c>
      <c r="E747" s="4">
        <f>MOD( sala!D746,1)</f>
        <v>0.10694444444379769</v>
      </c>
      <c r="F747" s="4">
        <f>MOD( sala!E746,1)</f>
        <v>0.20277777777664596</v>
      </c>
      <c r="G747" s="4">
        <f>Tabla5[[#This Row],[Hora de Salida]]-Tabla5[[#This Row],[Hora de Llegada]]+Tabla4[[#This Row],[Tiempo Extra]]</f>
        <v>9.5833333332848269E-2</v>
      </c>
      <c r="H747" s="5" t="str">
        <f>TEXT(Tabla4[[#This Row],[Preparación en horas]]/1440, "h:mm")</f>
        <v>1:13</v>
      </c>
      <c r="I747" s="4">
        <f>IF(Tabla5[[#This Row],[Tiempo Permanencia]]-Tabla5[[#This Row],[Tiempo de Preparación ]]&gt;=0,Tabla5[[#This Row],[Tiempo Permanencia]]-Tabla5[[#This Row],[Tiempo de Preparación ]],0)</f>
        <v>4.5138888888403825E-2</v>
      </c>
      <c r="J747" s="5" t="str">
        <f>IF(Tabla5[[#This Row],[Tiempo de Degustación]]=0,"No Cobrada","Cobrada")</f>
        <v>Cobrada</v>
      </c>
      <c r="K747" s="5" cm="1">
        <f t="array" ref="K747">SUM(IF(Tabla5[[#This Row],[Orden Cobrada]]="Cobrada",IF(Cocina!A:A=Tabla5[[#This Row],[Nº Orden]],Cocina!F:F*Cocina!G:G,0),-Tabla6[[#This Row],[Precio Cena]]))</f>
        <v>284</v>
      </c>
      <c r="L747" s="5">
        <f>IF(Tabla5[[#This Row],[Orden Cobrada]]="Cobrada",Tabla5[[#This Row],[Ganancia Bruta]]-Tabla6[[#This Row],[Coste Cena]],-Tabla6[[#This Row],[Precio Cena]]+Tabla6[[#This Row],[Coste Cena]])</f>
        <v>115</v>
      </c>
      <c r="M747" s="10">
        <f>IF(Tabla5[[#This Row],[Orden Cobrada]]="Cobrada",((Tabla5[[#This Row],[Ganancia Neta]]/Tabla5[[#This Row],[Ganancia Bruta]])*100)/100,-((Tabla5[[#This Row],[Ganancia Neta]]/Tabla5[[#This Row],[Ganancia Bruta]]*100)/100))</f>
        <v>0.40492957746478875</v>
      </c>
      <c r="N747" s="5" t="str">
        <f>sala!F746</f>
        <v>Mesero_5</v>
      </c>
      <c r="AY747" cm="1">
        <f t="array" ref="AY747">SUM(IF(Cocina!A:A=Tabla5[[#This Row],[Nº Orden]],Cocina!F:F*Cocina!G:G,0))</f>
        <v>284</v>
      </c>
      <c r="AZ747" cm="1">
        <f t="array" ref="AZ747">SUM(IF(Cocina!A:A=Tabla5[[#This Row],[Nº Orden]],Cocina!E:E*Cocina!G:G,0))</f>
        <v>169</v>
      </c>
      <c r="BB747" t="str">
        <f>MID(Tabla4[[#This Row],[Cliente]], SEARCH("_", Tabla4[[#This Row],[Cliente]]) + 1, LEN(Tabla4[[#This Row],[Cliente]]) - SEARCH("_",Tabla4[[#This Row],[Cliente]]))</f>
        <v>90</v>
      </c>
      <c r="BC747" t="str">
        <f>sala!B746</f>
        <v>Cliente_90</v>
      </c>
      <c r="BD747" s="1">
        <f>sala!D746</f>
        <v>45023.106944444444</v>
      </c>
      <c r="BE747" s="1">
        <f>sala!E746</f>
        <v>45023.202777777777</v>
      </c>
      <c r="BF747">
        <f>sala!K746</f>
        <v>745</v>
      </c>
      <c r="BG747">
        <f>sala!I746</f>
        <v>1875</v>
      </c>
      <c r="BH747" cm="1">
        <f t="array" ref="BH747">SUM(IF(Cocina!A:A=Tabla4[[#This Row],[Número de Orden]],Cocina!F:F*Cocina!G:G,0))</f>
        <v>284</v>
      </c>
      <c r="BI747" t="str">
        <f>sala!J746</f>
        <v>Libre</v>
      </c>
      <c r="BJ747" s="4" t="str">
        <f>IF(Tabla4[[#This Row],[Estado mesa]]="Ocupada","00:15","00:00")</f>
        <v>00:00</v>
      </c>
      <c r="BK747" cm="1">
        <f t="array" ref="BK747">SUM(IF(Cocina!A:A=Tabla4[[#This Row],[Número de Orden]],Cocina!H:H,0))</f>
        <v>73</v>
      </c>
    </row>
    <row r="748" spans="1:63" x14ac:dyDescent="0.3">
      <c r="A748" s="8" t="str">
        <f>MID(Tabla4[[#This Row],[Cliente]], SEARCH("_", Tabla4[[#This Row],[Cliente]]) + 1, LEN(Tabla4[[#This Row],[Cliente]]) - SEARCH("_",Tabla4[[#This Row],[Cliente]]))</f>
        <v>950</v>
      </c>
      <c r="B748">
        <f>sala!K747</f>
        <v>746</v>
      </c>
      <c r="C748">
        <f>Tabla4[[#This Row],[Propina]]+Tabla4[[#This Row],[Precio Cena]]</f>
        <v>650</v>
      </c>
      <c r="D748" s="3">
        <f>INT(sala!E747)</f>
        <v>45023</v>
      </c>
      <c r="E748" s="4">
        <f>MOD( sala!D747,1)</f>
        <v>0.13194444444525288</v>
      </c>
      <c r="F748" s="4">
        <f>MOD( sala!E747,1)</f>
        <v>0.26875000000291038</v>
      </c>
      <c r="G748" s="4">
        <f>Tabla5[[#This Row],[Hora de Salida]]-Tabla5[[#This Row],[Hora de Llegada]]+Tabla4[[#This Row],[Tiempo Extra]]</f>
        <v>0.14722222222432416</v>
      </c>
      <c r="H748" s="5" t="str">
        <f>TEXT(Tabla4[[#This Row],[Preparación en horas]]/1440, "h:mm")</f>
        <v>1:17</v>
      </c>
      <c r="I748" s="4">
        <f>IF(Tabla5[[#This Row],[Tiempo Permanencia]]-Tabla5[[#This Row],[Tiempo de Preparación ]]&gt;=0,Tabla5[[#This Row],[Tiempo Permanencia]]-Tabla5[[#This Row],[Tiempo de Preparación ]],0)</f>
        <v>9.375000000210193E-2</v>
      </c>
      <c r="J748" s="5" t="str">
        <f>IF(Tabla5[[#This Row],[Tiempo de Degustación]]=0,"No Cobrada","Cobrada")</f>
        <v>Cobrada</v>
      </c>
      <c r="K748" s="5" cm="1">
        <f t="array" ref="K748">SUM(IF(Tabla5[[#This Row],[Orden Cobrada]]="Cobrada",IF(Cocina!A:A=Tabla5[[#This Row],[Nº Orden]],Cocina!F:F*Cocina!G:G,0),-Tabla6[[#This Row],[Precio Cena]]))</f>
        <v>201</v>
      </c>
      <c r="L748" s="5">
        <f>IF(Tabla5[[#This Row],[Orden Cobrada]]="Cobrada",Tabla5[[#This Row],[Ganancia Bruta]]-Tabla6[[#This Row],[Coste Cena]],-Tabla6[[#This Row],[Precio Cena]]+Tabla6[[#This Row],[Coste Cena]])</f>
        <v>81</v>
      </c>
      <c r="M748" s="10">
        <f>IF(Tabla5[[#This Row],[Orden Cobrada]]="Cobrada",((Tabla5[[#This Row],[Ganancia Neta]]/Tabla5[[#This Row],[Ganancia Bruta]])*100)/100,-((Tabla5[[#This Row],[Ganancia Neta]]/Tabla5[[#This Row],[Ganancia Bruta]]*100)/100))</f>
        <v>0.40298507462686567</v>
      </c>
      <c r="N748" s="5" t="str">
        <f>sala!F747</f>
        <v>Mesero_1</v>
      </c>
      <c r="AY748" cm="1">
        <f t="array" ref="AY748">SUM(IF(Cocina!A:A=Tabla5[[#This Row],[Nº Orden]],Cocina!F:F*Cocina!G:G,0))</f>
        <v>201</v>
      </c>
      <c r="AZ748" cm="1">
        <f t="array" ref="AZ748">SUM(IF(Cocina!A:A=Tabla5[[#This Row],[Nº Orden]],Cocina!E:E*Cocina!G:G,0))</f>
        <v>120</v>
      </c>
      <c r="BB748" t="str">
        <f>MID(Tabla4[[#This Row],[Cliente]], SEARCH("_", Tabla4[[#This Row],[Cliente]]) + 1, LEN(Tabla4[[#This Row],[Cliente]]) - SEARCH("_",Tabla4[[#This Row],[Cliente]]))</f>
        <v>950</v>
      </c>
      <c r="BC748" t="str">
        <f>sala!B747</f>
        <v>Cliente_950</v>
      </c>
      <c r="BD748" s="1">
        <f>sala!D747</f>
        <v>45023.131944444445</v>
      </c>
      <c r="BE748" s="1">
        <f>sala!E747</f>
        <v>45023.268750000003</v>
      </c>
      <c r="BF748">
        <f>sala!K747</f>
        <v>746</v>
      </c>
      <c r="BG748">
        <f>sala!I747</f>
        <v>449</v>
      </c>
      <c r="BH748" cm="1">
        <f t="array" ref="BH748">SUM(IF(Cocina!A:A=Tabla4[[#This Row],[Número de Orden]],Cocina!F:F*Cocina!G:G,0))</f>
        <v>201</v>
      </c>
      <c r="BI748" t="str">
        <f>sala!J747</f>
        <v>Ocupada</v>
      </c>
      <c r="BJ748" s="4" t="str">
        <f>IF(Tabla4[[#This Row],[Estado mesa]]="Ocupada","00:15","00:00")</f>
        <v>00:15</v>
      </c>
      <c r="BK748" cm="1">
        <f t="array" ref="BK748">SUM(IF(Cocina!A:A=Tabla4[[#This Row],[Número de Orden]],Cocina!H:H,0))</f>
        <v>77</v>
      </c>
    </row>
    <row r="749" spans="1:63" x14ac:dyDescent="0.3">
      <c r="A749" s="8" t="str">
        <f>MID(Tabla4[[#This Row],[Cliente]], SEARCH("_", Tabla4[[#This Row],[Cliente]]) + 1, LEN(Tabla4[[#This Row],[Cliente]]) - SEARCH("_",Tabla4[[#This Row],[Cliente]]))</f>
        <v>446</v>
      </c>
      <c r="B749">
        <f>sala!K748</f>
        <v>747</v>
      </c>
      <c r="C749">
        <f>Tabla4[[#This Row],[Propina]]+Tabla4[[#This Row],[Precio Cena]]</f>
        <v>3748</v>
      </c>
      <c r="D749" s="3">
        <f>INT(sala!E748)</f>
        <v>45023</v>
      </c>
      <c r="E749" s="4">
        <f>MOD( sala!D748,1)</f>
        <v>0.12013888888759539</v>
      </c>
      <c r="F749" s="4">
        <f>MOD( sala!E748,1)</f>
        <v>0.20069444444379769</v>
      </c>
      <c r="G749" s="4">
        <f>Tabla5[[#This Row],[Hora de Salida]]-Tabla5[[#This Row],[Hora de Llegada]]+Tabla4[[#This Row],[Tiempo Extra]]</f>
        <v>8.0555555556202307E-2</v>
      </c>
      <c r="H749" s="5" t="str">
        <f>TEXT(Tabla4[[#This Row],[Preparación en horas]]/1440, "h:mm")</f>
        <v>0:28</v>
      </c>
      <c r="I749" s="4">
        <f>IF(Tabla5[[#This Row],[Tiempo Permanencia]]-Tabla5[[#This Row],[Tiempo de Preparación ]]&gt;=0,Tabla5[[#This Row],[Tiempo Permanencia]]-Tabla5[[#This Row],[Tiempo de Preparación ]],0)</f>
        <v>6.1111111111757863E-2</v>
      </c>
      <c r="J749" s="5" t="str">
        <f>IF(Tabla5[[#This Row],[Tiempo de Degustación]]=0,"No Cobrada","Cobrada")</f>
        <v>Cobrada</v>
      </c>
      <c r="K749" s="5" cm="1">
        <f t="array" ref="K749">SUM(IF(Tabla5[[#This Row],[Orden Cobrada]]="Cobrada",IF(Cocina!A:A=Tabla5[[#This Row],[Nº Orden]],Cocina!F:F*Cocina!G:G,0),-Tabla6[[#This Row],[Precio Cena]]))</f>
        <v>25</v>
      </c>
      <c r="L749" s="5">
        <f>IF(Tabla5[[#This Row],[Orden Cobrada]]="Cobrada",Tabla5[[#This Row],[Ganancia Bruta]]-Tabla6[[#This Row],[Coste Cena]],-Tabla6[[#This Row],[Precio Cena]]+Tabla6[[#This Row],[Coste Cena]])</f>
        <v>10</v>
      </c>
      <c r="M749" s="10">
        <f>IF(Tabla5[[#This Row],[Orden Cobrada]]="Cobrada",((Tabla5[[#This Row],[Ganancia Neta]]/Tabla5[[#This Row],[Ganancia Bruta]])*100)/100,-((Tabla5[[#This Row],[Ganancia Neta]]/Tabla5[[#This Row],[Ganancia Bruta]]*100)/100))</f>
        <v>0.4</v>
      </c>
      <c r="N749" s="5" t="str">
        <f>sala!F748</f>
        <v>Mesero_1</v>
      </c>
      <c r="AY749" cm="1">
        <f t="array" ref="AY749">SUM(IF(Cocina!A:A=Tabla5[[#This Row],[Nº Orden]],Cocina!F:F*Cocina!G:G,0))</f>
        <v>25</v>
      </c>
      <c r="AZ749" cm="1">
        <f t="array" ref="AZ749">SUM(IF(Cocina!A:A=Tabla5[[#This Row],[Nº Orden]],Cocina!E:E*Cocina!G:G,0))</f>
        <v>15</v>
      </c>
      <c r="BB749" t="str">
        <f>MID(Tabla4[[#This Row],[Cliente]], SEARCH("_", Tabla4[[#This Row],[Cliente]]) + 1, LEN(Tabla4[[#This Row],[Cliente]]) - SEARCH("_",Tabla4[[#This Row],[Cliente]]))</f>
        <v>446</v>
      </c>
      <c r="BC749" t="str">
        <f>sala!B748</f>
        <v>Cliente_446</v>
      </c>
      <c r="BD749" s="1">
        <f>sala!D748</f>
        <v>45023.120138888888</v>
      </c>
      <c r="BE749" s="1">
        <f>sala!E748</f>
        <v>45023.200694444444</v>
      </c>
      <c r="BF749">
        <f>sala!K748</f>
        <v>747</v>
      </c>
      <c r="BG749">
        <f>sala!I748</f>
        <v>3723</v>
      </c>
      <c r="BH749" cm="1">
        <f t="array" ref="BH749">SUM(IF(Cocina!A:A=Tabla4[[#This Row],[Número de Orden]],Cocina!F:F*Cocina!G:G,0))</f>
        <v>25</v>
      </c>
      <c r="BI749" t="str">
        <f>sala!J748</f>
        <v>Reservada</v>
      </c>
      <c r="BJ749" s="4" t="str">
        <f>IF(Tabla4[[#This Row],[Estado mesa]]="Ocupada","00:15","00:00")</f>
        <v>00:00</v>
      </c>
      <c r="BK749" cm="1">
        <f t="array" ref="BK749">SUM(IF(Cocina!A:A=Tabla4[[#This Row],[Número de Orden]],Cocina!H:H,0))</f>
        <v>28</v>
      </c>
    </row>
    <row r="750" spans="1:63" x14ac:dyDescent="0.3">
      <c r="A750" s="8" t="str">
        <f>MID(Tabla4[[#This Row],[Cliente]], SEARCH("_", Tabla4[[#This Row],[Cliente]]) + 1, LEN(Tabla4[[#This Row],[Cliente]]) - SEARCH("_",Tabla4[[#This Row],[Cliente]]))</f>
        <v>298</v>
      </c>
      <c r="B750">
        <f>sala!K749</f>
        <v>748</v>
      </c>
      <c r="C750">
        <f>Tabla4[[#This Row],[Propina]]+Tabla4[[#This Row],[Precio Cena]]</f>
        <v>1365</v>
      </c>
      <c r="D750" s="3">
        <f>INT(sala!E749)</f>
        <v>45023</v>
      </c>
      <c r="E750" s="4">
        <f>MOD( sala!D749,1)</f>
        <v>0.1055555555576575</v>
      </c>
      <c r="F750" s="4">
        <f>MOD( sala!E749,1)</f>
        <v>0.24861111111385981</v>
      </c>
      <c r="G750" s="4">
        <f>Tabla5[[#This Row],[Hora de Salida]]-Tabla5[[#This Row],[Hora de Llegada]]+Tabla4[[#This Row],[Tiempo Extra]]</f>
        <v>0.14305555555620231</v>
      </c>
      <c r="H750" s="5" t="str">
        <f>TEXT(Tabla4[[#This Row],[Preparación en horas]]/1440, "h:mm")</f>
        <v>0:37</v>
      </c>
      <c r="I750" s="4">
        <f>IF(Tabla5[[#This Row],[Tiempo Permanencia]]-Tabla5[[#This Row],[Tiempo de Preparación ]]&gt;=0,Tabla5[[#This Row],[Tiempo Permanencia]]-Tabla5[[#This Row],[Tiempo de Preparación ]],0)</f>
        <v>0.11736111111175787</v>
      </c>
      <c r="J750" s="5" t="str">
        <f>IF(Tabla5[[#This Row],[Tiempo de Degustación]]=0,"No Cobrada","Cobrada")</f>
        <v>Cobrada</v>
      </c>
      <c r="K750" s="5" cm="1">
        <f t="array" ref="K750">SUM(IF(Tabla5[[#This Row],[Orden Cobrada]]="Cobrada",IF(Cocina!A:A=Tabla5[[#This Row],[Nº Orden]],Cocina!F:F*Cocina!G:G,0),-Tabla6[[#This Row],[Precio Cena]]))</f>
        <v>110</v>
      </c>
      <c r="L750" s="5">
        <f>IF(Tabla5[[#This Row],[Orden Cobrada]]="Cobrada",Tabla5[[#This Row],[Ganancia Bruta]]-Tabla6[[#This Row],[Coste Cena]],-Tabla6[[#This Row],[Precio Cena]]+Tabla6[[#This Row],[Coste Cena]])</f>
        <v>46</v>
      </c>
      <c r="M750" s="10">
        <f>IF(Tabla5[[#This Row],[Orden Cobrada]]="Cobrada",((Tabla5[[#This Row],[Ganancia Neta]]/Tabla5[[#This Row],[Ganancia Bruta]])*100)/100,-((Tabla5[[#This Row],[Ganancia Neta]]/Tabla5[[#This Row],[Ganancia Bruta]]*100)/100))</f>
        <v>0.41818181818181815</v>
      </c>
      <c r="N750" s="5" t="str">
        <f>sala!F749</f>
        <v>Mesero_2</v>
      </c>
      <c r="AY750" cm="1">
        <f t="array" ref="AY750">SUM(IF(Cocina!A:A=Tabla5[[#This Row],[Nº Orden]],Cocina!F:F*Cocina!G:G,0))</f>
        <v>110</v>
      </c>
      <c r="AZ750" cm="1">
        <f t="array" ref="AZ750">SUM(IF(Cocina!A:A=Tabla5[[#This Row],[Nº Orden]],Cocina!E:E*Cocina!G:G,0))</f>
        <v>64</v>
      </c>
      <c r="BB750" t="str">
        <f>MID(Tabla4[[#This Row],[Cliente]], SEARCH("_", Tabla4[[#This Row],[Cliente]]) + 1, LEN(Tabla4[[#This Row],[Cliente]]) - SEARCH("_",Tabla4[[#This Row],[Cliente]]))</f>
        <v>298</v>
      </c>
      <c r="BC750" t="str">
        <f>sala!B749</f>
        <v>Cliente_298</v>
      </c>
      <c r="BD750" s="1">
        <f>sala!D749</f>
        <v>45023.105555555558</v>
      </c>
      <c r="BE750" s="1">
        <f>sala!E749</f>
        <v>45023.248611111114</v>
      </c>
      <c r="BF750">
        <f>sala!K749</f>
        <v>748</v>
      </c>
      <c r="BG750">
        <f>sala!I749</f>
        <v>1255</v>
      </c>
      <c r="BH750" cm="1">
        <f t="array" ref="BH750">SUM(IF(Cocina!A:A=Tabla4[[#This Row],[Número de Orden]],Cocina!F:F*Cocina!G:G,0))</f>
        <v>110</v>
      </c>
      <c r="BI750" t="str">
        <f>sala!J749</f>
        <v>Reservada</v>
      </c>
      <c r="BJ750" s="4" t="str">
        <f>IF(Tabla4[[#This Row],[Estado mesa]]="Ocupada","00:15","00:00")</f>
        <v>00:00</v>
      </c>
      <c r="BK750" cm="1">
        <f t="array" ref="BK750">SUM(IF(Cocina!A:A=Tabla4[[#This Row],[Número de Orden]],Cocina!H:H,0))</f>
        <v>37</v>
      </c>
    </row>
    <row r="751" spans="1:63" x14ac:dyDescent="0.3">
      <c r="A751" s="8" t="str">
        <f>MID(Tabla4[[#This Row],[Cliente]], SEARCH("_", Tabla4[[#This Row],[Cliente]]) + 1, LEN(Tabla4[[#This Row],[Cliente]]) - SEARCH("_",Tabla4[[#This Row],[Cliente]]))</f>
        <v>446</v>
      </c>
      <c r="B751">
        <f>sala!K750</f>
        <v>749</v>
      </c>
      <c r="C751">
        <f>Tabla4[[#This Row],[Propina]]+Tabla4[[#This Row],[Precio Cena]]</f>
        <v>2482</v>
      </c>
      <c r="D751" s="3">
        <f>INT(sala!E750)</f>
        <v>45023</v>
      </c>
      <c r="E751" s="4">
        <f>MOD( sala!D750,1)</f>
        <v>5.6250000001455192E-2</v>
      </c>
      <c r="F751" s="4">
        <f>MOD( sala!E750,1)</f>
        <v>0.11944444444088731</v>
      </c>
      <c r="G751" s="4">
        <f>Tabla5[[#This Row],[Hora de Salida]]-Tabla5[[#This Row],[Hora de Llegada]]+Tabla4[[#This Row],[Tiempo Extra]]</f>
        <v>7.3611111106098789E-2</v>
      </c>
      <c r="H751" s="5" t="str">
        <f>TEXT(Tabla4[[#This Row],[Preparación en horas]]/1440, "h:mm")</f>
        <v>0:08</v>
      </c>
      <c r="I751" s="4">
        <f>IF(Tabla5[[#This Row],[Tiempo Permanencia]]-Tabla5[[#This Row],[Tiempo de Preparación ]]&gt;=0,Tabla5[[#This Row],[Tiempo Permanencia]]-Tabla5[[#This Row],[Tiempo de Preparación ]],0)</f>
        <v>6.805555555054324E-2</v>
      </c>
      <c r="J751" s="5" t="str">
        <f>IF(Tabla5[[#This Row],[Tiempo de Degustación]]=0,"No Cobrada","Cobrada")</f>
        <v>Cobrada</v>
      </c>
      <c r="K751" s="5" cm="1">
        <f t="array" ref="K751">SUM(IF(Tabla5[[#This Row],[Orden Cobrada]]="Cobrada",IF(Cocina!A:A=Tabla5[[#This Row],[Nº Orden]],Cocina!F:F*Cocina!G:G,0),-Tabla6[[#This Row],[Precio Cena]]))</f>
        <v>70</v>
      </c>
      <c r="L751" s="5">
        <f>IF(Tabla5[[#This Row],[Orden Cobrada]]="Cobrada",Tabla5[[#This Row],[Ganancia Bruta]]-Tabla6[[#This Row],[Coste Cena]],-Tabla6[[#This Row],[Precio Cena]]+Tabla6[[#This Row],[Coste Cena]])</f>
        <v>28</v>
      </c>
      <c r="M751" s="10">
        <f>IF(Tabla5[[#This Row],[Orden Cobrada]]="Cobrada",((Tabla5[[#This Row],[Ganancia Neta]]/Tabla5[[#This Row],[Ganancia Bruta]])*100)/100,-((Tabla5[[#This Row],[Ganancia Neta]]/Tabla5[[#This Row],[Ganancia Bruta]]*100)/100))</f>
        <v>0.4</v>
      </c>
      <c r="N751" s="5" t="str">
        <f>sala!F750</f>
        <v>Mesero_4</v>
      </c>
      <c r="AY751" cm="1">
        <f t="array" ref="AY751">SUM(IF(Cocina!A:A=Tabla5[[#This Row],[Nº Orden]],Cocina!F:F*Cocina!G:G,0))</f>
        <v>70</v>
      </c>
      <c r="AZ751" cm="1">
        <f t="array" ref="AZ751">SUM(IF(Cocina!A:A=Tabla5[[#This Row],[Nº Orden]],Cocina!E:E*Cocina!G:G,0))</f>
        <v>42</v>
      </c>
      <c r="BB751" t="str">
        <f>MID(Tabla4[[#This Row],[Cliente]], SEARCH("_", Tabla4[[#This Row],[Cliente]]) + 1, LEN(Tabla4[[#This Row],[Cliente]]) - SEARCH("_",Tabla4[[#This Row],[Cliente]]))</f>
        <v>446</v>
      </c>
      <c r="BC751" t="str">
        <f>sala!B750</f>
        <v>Cliente_446</v>
      </c>
      <c r="BD751" s="1">
        <f>sala!D750</f>
        <v>45023.056250000001</v>
      </c>
      <c r="BE751" s="1">
        <f>sala!E750</f>
        <v>45023.119444444441</v>
      </c>
      <c r="BF751">
        <f>sala!K750</f>
        <v>749</v>
      </c>
      <c r="BG751">
        <f>sala!I750</f>
        <v>2412</v>
      </c>
      <c r="BH751" cm="1">
        <f t="array" ref="BH751">SUM(IF(Cocina!A:A=Tabla4[[#This Row],[Número de Orden]],Cocina!F:F*Cocina!G:G,0))</f>
        <v>70</v>
      </c>
      <c r="BI751" t="str">
        <f>sala!J750</f>
        <v>Ocupada</v>
      </c>
      <c r="BJ751" s="4" t="str">
        <f>IF(Tabla4[[#This Row],[Estado mesa]]="Ocupada","00:15","00:00")</f>
        <v>00:15</v>
      </c>
      <c r="BK751" cm="1">
        <f t="array" ref="BK751">SUM(IF(Cocina!A:A=Tabla4[[#This Row],[Número de Orden]],Cocina!H:H,0))</f>
        <v>8</v>
      </c>
    </row>
    <row r="752" spans="1:63" x14ac:dyDescent="0.3">
      <c r="A752" s="8" t="str">
        <f>MID(Tabla4[[#This Row],[Cliente]], SEARCH("_", Tabla4[[#This Row],[Cliente]]) + 1, LEN(Tabla4[[#This Row],[Cliente]]) - SEARCH("_",Tabla4[[#This Row],[Cliente]]))</f>
        <v>304</v>
      </c>
      <c r="B752">
        <f>sala!K751</f>
        <v>750</v>
      </c>
      <c r="C752">
        <f>Tabla4[[#This Row],[Propina]]+Tabla4[[#This Row],[Precio Cena]]</f>
        <v>2301</v>
      </c>
      <c r="D752" s="3">
        <f>INT(sala!E751)</f>
        <v>45023</v>
      </c>
      <c r="E752" s="4">
        <f>MOD( sala!D751,1)</f>
        <v>7.3611111110949423E-2</v>
      </c>
      <c r="F752" s="4">
        <f>MOD( sala!E751,1)</f>
        <v>0.125</v>
      </c>
      <c r="G752" s="4">
        <f>Tabla5[[#This Row],[Hora de Salida]]-Tabla5[[#This Row],[Hora de Llegada]]+Tabla4[[#This Row],[Tiempo Extra]]</f>
        <v>5.1388888889050577E-2</v>
      </c>
      <c r="H752" s="5" t="str">
        <f>TEXT(Tabla4[[#This Row],[Preparación en horas]]/1440, "h:mm")</f>
        <v>1:26</v>
      </c>
      <c r="I752" s="4">
        <f>IF(Tabla5[[#This Row],[Tiempo Permanencia]]-Tabla5[[#This Row],[Tiempo de Preparación ]]&gt;=0,Tabla5[[#This Row],[Tiempo Permanencia]]-Tabla5[[#This Row],[Tiempo de Preparación ]],0)</f>
        <v>0</v>
      </c>
      <c r="J752" s="5" t="str">
        <f>IF(Tabla5[[#This Row],[Tiempo de Degustación]]=0,"No Cobrada","Cobrada")</f>
        <v>No Cobrada</v>
      </c>
      <c r="K752" s="5" cm="1">
        <f t="array" ref="K752">SUM(IF(Tabla5[[#This Row],[Orden Cobrada]]="Cobrada",IF(Cocina!A:A=Tabla5[[#This Row],[Nº Orden]],Cocina!F:F*Cocina!G:G,0),-Tabla6[[#This Row],[Precio Cena]]))</f>
        <v>-119</v>
      </c>
      <c r="L752" s="5">
        <f>IF(Tabla5[[#This Row],[Orden Cobrada]]="Cobrada",Tabla5[[#This Row],[Ganancia Bruta]]-Tabla6[[#This Row],[Coste Cena]],-Tabla6[[#This Row],[Precio Cena]]+Tabla6[[#This Row],[Coste Cena]])</f>
        <v>-47</v>
      </c>
      <c r="M752" s="10">
        <f>IF(Tabla5[[#This Row],[Orden Cobrada]]="Cobrada",((Tabla5[[#This Row],[Ganancia Neta]]/Tabla5[[#This Row],[Ganancia Bruta]])*100)/100,-((Tabla5[[#This Row],[Ganancia Neta]]/Tabla5[[#This Row],[Ganancia Bruta]]*100)/100))</f>
        <v>-0.39495798319327735</v>
      </c>
      <c r="N752" s="5" t="str">
        <f>sala!F751</f>
        <v>Mesero_1</v>
      </c>
      <c r="AY752" cm="1">
        <f t="array" ref="AY752">SUM(IF(Cocina!A:A=Tabla5[[#This Row],[Nº Orden]],Cocina!F:F*Cocina!G:G,0))</f>
        <v>119</v>
      </c>
      <c r="AZ752" cm="1">
        <f t="array" ref="AZ752">SUM(IF(Cocina!A:A=Tabla5[[#This Row],[Nº Orden]],Cocina!E:E*Cocina!G:G,0))</f>
        <v>72</v>
      </c>
      <c r="BB752" t="str">
        <f>MID(Tabla4[[#This Row],[Cliente]], SEARCH("_", Tabla4[[#This Row],[Cliente]]) + 1, LEN(Tabla4[[#This Row],[Cliente]]) - SEARCH("_",Tabla4[[#This Row],[Cliente]]))</f>
        <v>304</v>
      </c>
      <c r="BC752" t="str">
        <f>sala!B751</f>
        <v>Cliente_304</v>
      </c>
      <c r="BD752" s="1">
        <f>sala!D751</f>
        <v>45023.073611111111</v>
      </c>
      <c r="BE752" s="1">
        <f>sala!E751</f>
        <v>45023.125</v>
      </c>
      <c r="BF752">
        <f>sala!K751</f>
        <v>750</v>
      </c>
      <c r="BG752">
        <f>sala!I751</f>
        <v>2182</v>
      </c>
      <c r="BH752" cm="1">
        <f t="array" ref="BH752">SUM(IF(Cocina!A:A=Tabla4[[#This Row],[Número de Orden]],Cocina!F:F*Cocina!G:G,0))</f>
        <v>119</v>
      </c>
      <c r="BI752" t="str">
        <f>sala!J751</f>
        <v>Libre</v>
      </c>
      <c r="BJ752" s="4" t="str">
        <f>IF(Tabla4[[#This Row],[Estado mesa]]="Ocupada","00:15","00:00")</f>
        <v>00:00</v>
      </c>
      <c r="BK752" cm="1">
        <f t="array" ref="BK752">SUM(IF(Cocina!A:A=Tabla4[[#This Row],[Número de Orden]],Cocina!H:H,0))</f>
        <v>86</v>
      </c>
    </row>
    <row r="753" spans="1:63" x14ac:dyDescent="0.3">
      <c r="A753" s="8" t="str">
        <f>MID(Tabla4[[#This Row],[Cliente]], SEARCH("_", Tabla4[[#This Row],[Cliente]]) + 1, LEN(Tabla4[[#This Row],[Cliente]]) - SEARCH("_",Tabla4[[#This Row],[Cliente]]))</f>
        <v>157</v>
      </c>
      <c r="B753">
        <f>sala!K752</f>
        <v>751</v>
      </c>
      <c r="C753">
        <f>Tabla4[[#This Row],[Propina]]+Tabla4[[#This Row],[Precio Cena]]</f>
        <v>5105</v>
      </c>
      <c r="D753" s="3">
        <f>INT(sala!E752)</f>
        <v>45023</v>
      </c>
      <c r="E753" s="4">
        <f>MOD( sala!D752,1)</f>
        <v>6.3888888886140194E-2</v>
      </c>
      <c r="F753" s="4">
        <f>MOD( sala!E752,1)</f>
        <v>0.13194444444525288</v>
      </c>
      <c r="G753" s="4">
        <f>Tabla5[[#This Row],[Hora de Salida]]-Tabla5[[#This Row],[Hora de Llegada]]+Tabla4[[#This Row],[Tiempo Extra]]</f>
        <v>6.805555555911269E-2</v>
      </c>
      <c r="H753" s="5" t="str">
        <f>TEXT(Tabla4[[#This Row],[Preparación en horas]]/1440, "h:mm")</f>
        <v>1:27</v>
      </c>
      <c r="I753" s="4">
        <f>IF(Tabla5[[#This Row],[Tiempo Permanencia]]-Tabla5[[#This Row],[Tiempo de Preparación ]]&gt;=0,Tabla5[[#This Row],[Tiempo Permanencia]]-Tabla5[[#This Row],[Tiempo de Preparación ]],0)</f>
        <v>7.6388888924460233E-3</v>
      </c>
      <c r="J753" s="5" t="str">
        <f>IF(Tabla5[[#This Row],[Tiempo de Degustación]]=0,"No Cobrada","Cobrada")</f>
        <v>Cobrada</v>
      </c>
      <c r="K753" s="5" cm="1">
        <f t="array" ref="K753">SUM(IF(Tabla5[[#This Row],[Orden Cobrada]]="Cobrada",IF(Cocina!A:A=Tabla5[[#This Row],[Nº Orden]],Cocina!F:F*Cocina!G:G,0),-Tabla6[[#This Row],[Precio Cena]]))</f>
        <v>170</v>
      </c>
      <c r="L753" s="5">
        <f>IF(Tabla5[[#This Row],[Orden Cobrada]]="Cobrada",Tabla5[[#This Row],[Ganancia Bruta]]-Tabla6[[#This Row],[Coste Cena]],-Tabla6[[#This Row],[Precio Cena]]+Tabla6[[#This Row],[Coste Cena]])</f>
        <v>69</v>
      </c>
      <c r="M753" s="10">
        <f>IF(Tabla5[[#This Row],[Orden Cobrada]]="Cobrada",((Tabla5[[#This Row],[Ganancia Neta]]/Tabla5[[#This Row],[Ganancia Bruta]])*100)/100,-((Tabla5[[#This Row],[Ganancia Neta]]/Tabla5[[#This Row],[Ganancia Bruta]]*100)/100))</f>
        <v>0.40588235294117647</v>
      </c>
      <c r="N753" s="5" t="str">
        <f>sala!F752</f>
        <v>Mesero_2</v>
      </c>
      <c r="AY753" cm="1">
        <f t="array" ref="AY753">SUM(IF(Cocina!A:A=Tabla5[[#This Row],[Nº Orden]],Cocina!F:F*Cocina!G:G,0))</f>
        <v>170</v>
      </c>
      <c r="AZ753" cm="1">
        <f t="array" ref="AZ753">SUM(IF(Cocina!A:A=Tabla5[[#This Row],[Nº Orden]],Cocina!E:E*Cocina!G:G,0))</f>
        <v>101</v>
      </c>
      <c r="BB753" t="str">
        <f>MID(Tabla4[[#This Row],[Cliente]], SEARCH("_", Tabla4[[#This Row],[Cliente]]) + 1, LEN(Tabla4[[#This Row],[Cliente]]) - SEARCH("_",Tabla4[[#This Row],[Cliente]]))</f>
        <v>157</v>
      </c>
      <c r="BC753" t="str">
        <f>sala!B752</f>
        <v>Cliente_157</v>
      </c>
      <c r="BD753" s="1">
        <f>sala!D752</f>
        <v>45023.063888888886</v>
      </c>
      <c r="BE753" s="1">
        <f>sala!E752</f>
        <v>45023.131944444445</v>
      </c>
      <c r="BF753">
        <f>sala!K752</f>
        <v>751</v>
      </c>
      <c r="BG753">
        <f>sala!I752</f>
        <v>4935</v>
      </c>
      <c r="BH753" cm="1">
        <f t="array" ref="BH753">SUM(IF(Cocina!A:A=Tabla4[[#This Row],[Número de Orden]],Cocina!F:F*Cocina!G:G,0))</f>
        <v>170</v>
      </c>
      <c r="BI753" t="str">
        <f>sala!J752</f>
        <v>Libre</v>
      </c>
      <c r="BJ753" s="4" t="str">
        <f>IF(Tabla4[[#This Row],[Estado mesa]]="Ocupada","00:15","00:00")</f>
        <v>00:00</v>
      </c>
      <c r="BK753" cm="1">
        <f t="array" ref="BK753">SUM(IF(Cocina!A:A=Tabla4[[#This Row],[Número de Orden]],Cocina!H:H,0))</f>
        <v>87</v>
      </c>
    </row>
    <row r="754" spans="1:63" x14ac:dyDescent="0.3">
      <c r="A754" s="8" t="str">
        <f>MID(Tabla4[[#This Row],[Cliente]], SEARCH("_", Tabla4[[#This Row],[Cliente]]) + 1, LEN(Tabla4[[#This Row],[Cliente]]) - SEARCH("_",Tabla4[[#This Row],[Cliente]]))</f>
        <v>736</v>
      </c>
      <c r="B754">
        <f>sala!K753</f>
        <v>752</v>
      </c>
      <c r="C754">
        <f>Tabla4[[#This Row],[Propina]]+Tabla4[[#This Row],[Precio Cena]]</f>
        <v>4687</v>
      </c>
      <c r="D754" s="3">
        <f>INT(sala!E753)</f>
        <v>45023</v>
      </c>
      <c r="E754" s="4">
        <f>MOD( sala!D753,1)</f>
        <v>8.6805555554747116E-2</v>
      </c>
      <c r="F754" s="4">
        <f>MOD( sala!E753,1)</f>
        <v>0.18263888888759539</v>
      </c>
      <c r="G754" s="4">
        <f>Tabla5[[#This Row],[Hora de Salida]]-Tabla5[[#This Row],[Hora de Llegada]]+Tabla4[[#This Row],[Tiempo Extra]]</f>
        <v>9.5833333332848269E-2</v>
      </c>
      <c r="H754" s="5" t="str">
        <f>TEXT(Tabla4[[#This Row],[Preparación en horas]]/1440, "h:mm")</f>
        <v>0:30</v>
      </c>
      <c r="I754" s="4">
        <f>IF(Tabla5[[#This Row],[Tiempo Permanencia]]-Tabla5[[#This Row],[Tiempo de Preparación ]]&gt;=0,Tabla5[[#This Row],[Tiempo Permanencia]]-Tabla5[[#This Row],[Tiempo de Preparación ]],0)</f>
        <v>7.4999999999514941E-2</v>
      </c>
      <c r="J754" s="5" t="str">
        <f>IF(Tabla5[[#This Row],[Tiempo de Degustación]]=0,"No Cobrada","Cobrada")</f>
        <v>Cobrada</v>
      </c>
      <c r="K754" s="5" cm="1">
        <f t="array" ref="K754">SUM(IF(Tabla5[[#This Row],[Orden Cobrada]]="Cobrada",IF(Cocina!A:A=Tabla5[[#This Row],[Nº Orden]],Cocina!F:F*Cocina!G:G,0),-Tabla6[[#This Row],[Precio Cena]]))</f>
        <v>60</v>
      </c>
      <c r="L754" s="5">
        <f>IF(Tabla5[[#This Row],[Orden Cobrada]]="Cobrada",Tabla5[[#This Row],[Ganancia Bruta]]-Tabla6[[#This Row],[Coste Cena]],-Tabla6[[#This Row],[Precio Cena]]+Tabla6[[#This Row],[Coste Cena]])</f>
        <v>24</v>
      </c>
      <c r="M754" s="10">
        <f>IF(Tabla5[[#This Row],[Orden Cobrada]]="Cobrada",((Tabla5[[#This Row],[Ganancia Neta]]/Tabla5[[#This Row],[Ganancia Bruta]])*100)/100,-((Tabla5[[#This Row],[Ganancia Neta]]/Tabla5[[#This Row],[Ganancia Bruta]]*100)/100))</f>
        <v>0.4</v>
      </c>
      <c r="N754" s="5" t="str">
        <f>sala!F753</f>
        <v>Mesero_3</v>
      </c>
      <c r="AY754" cm="1">
        <f t="array" ref="AY754">SUM(IF(Cocina!A:A=Tabla5[[#This Row],[Nº Orden]],Cocina!F:F*Cocina!G:G,0))</f>
        <v>60</v>
      </c>
      <c r="AZ754" cm="1">
        <f t="array" ref="AZ754">SUM(IF(Cocina!A:A=Tabla5[[#This Row],[Nº Orden]],Cocina!E:E*Cocina!G:G,0))</f>
        <v>36</v>
      </c>
      <c r="BB754" t="str">
        <f>MID(Tabla4[[#This Row],[Cliente]], SEARCH("_", Tabla4[[#This Row],[Cliente]]) + 1, LEN(Tabla4[[#This Row],[Cliente]]) - SEARCH("_",Tabla4[[#This Row],[Cliente]]))</f>
        <v>736</v>
      </c>
      <c r="BC754" t="str">
        <f>sala!B753</f>
        <v>Cliente_736</v>
      </c>
      <c r="BD754" s="1">
        <f>sala!D753</f>
        <v>45023.086805555555</v>
      </c>
      <c r="BE754" s="1">
        <f>sala!E753</f>
        <v>45023.182638888888</v>
      </c>
      <c r="BF754">
        <f>sala!K753</f>
        <v>752</v>
      </c>
      <c r="BG754">
        <f>sala!I753</f>
        <v>4627</v>
      </c>
      <c r="BH754" cm="1">
        <f t="array" ref="BH754">SUM(IF(Cocina!A:A=Tabla4[[#This Row],[Número de Orden]],Cocina!F:F*Cocina!G:G,0))</f>
        <v>60</v>
      </c>
      <c r="BI754" t="str">
        <f>sala!J753</f>
        <v>Libre</v>
      </c>
      <c r="BJ754" s="4" t="str">
        <f>IF(Tabla4[[#This Row],[Estado mesa]]="Ocupada","00:15","00:00")</f>
        <v>00:00</v>
      </c>
      <c r="BK754" cm="1">
        <f t="array" ref="BK754">SUM(IF(Cocina!A:A=Tabla4[[#This Row],[Número de Orden]],Cocina!H:H,0))</f>
        <v>30</v>
      </c>
    </row>
    <row r="755" spans="1:63" x14ac:dyDescent="0.3">
      <c r="A755" s="8" t="str">
        <f>MID(Tabla4[[#This Row],[Cliente]], SEARCH("_", Tabla4[[#This Row],[Cliente]]) + 1, LEN(Tabla4[[#This Row],[Cliente]]) - SEARCH("_",Tabla4[[#This Row],[Cliente]]))</f>
        <v>827</v>
      </c>
      <c r="B755">
        <f>sala!K754</f>
        <v>753</v>
      </c>
      <c r="C755">
        <f>Tabla4[[#This Row],[Propina]]+Tabla4[[#This Row],[Precio Cena]]</f>
        <v>2787</v>
      </c>
      <c r="D755" s="3">
        <f>INT(sala!E754)</f>
        <v>45023</v>
      </c>
      <c r="E755" s="4">
        <f>MOD( sala!D754,1)</f>
        <v>0.10208333333139308</v>
      </c>
      <c r="F755" s="4">
        <f>MOD( sala!E754,1)</f>
        <v>0.19305555555911269</v>
      </c>
      <c r="G755" s="4">
        <f>Tabla5[[#This Row],[Hora de Salida]]-Tabla5[[#This Row],[Hora de Llegada]]+Tabla4[[#This Row],[Tiempo Extra]]</f>
        <v>9.0972222227719612E-2</v>
      </c>
      <c r="H755" s="5" t="str">
        <f>TEXT(Tabla4[[#This Row],[Preparación en horas]]/1440, "h:mm")</f>
        <v>2:08</v>
      </c>
      <c r="I755" s="4">
        <f>IF(Tabla5[[#This Row],[Tiempo Permanencia]]-Tabla5[[#This Row],[Tiempo de Preparación ]]&gt;=0,Tabla5[[#This Row],[Tiempo Permanencia]]-Tabla5[[#This Row],[Tiempo de Preparación ]],0)</f>
        <v>2.0833333388307201E-3</v>
      </c>
      <c r="J755" s="5" t="str">
        <f>IF(Tabla5[[#This Row],[Tiempo de Degustación]]=0,"No Cobrada","Cobrada")</f>
        <v>Cobrada</v>
      </c>
      <c r="K755" s="5" cm="1">
        <f t="array" ref="K755">SUM(IF(Tabla5[[#This Row],[Orden Cobrada]]="Cobrada",IF(Cocina!A:A=Tabla5[[#This Row],[Nº Orden]],Cocina!F:F*Cocina!G:G,0),-Tabla6[[#This Row],[Precio Cena]]))</f>
        <v>163</v>
      </c>
      <c r="L755" s="5">
        <f>IF(Tabla5[[#This Row],[Orden Cobrada]]="Cobrada",Tabla5[[#This Row],[Ganancia Bruta]]-Tabla6[[#This Row],[Coste Cena]],-Tabla6[[#This Row],[Precio Cena]]+Tabla6[[#This Row],[Coste Cena]])</f>
        <v>66</v>
      </c>
      <c r="M755" s="10">
        <f>IF(Tabla5[[#This Row],[Orden Cobrada]]="Cobrada",((Tabla5[[#This Row],[Ganancia Neta]]/Tabla5[[#This Row],[Ganancia Bruta]])*100)/100,-((Tabla5[[#This Row],[Ganancia Neta]]/Tabla5[[#This Row],[Ganancia Bruta]]*100)/100))</f>
        <v>0.40490797546012269</v>
      </c>
      <c r="N755" s="5" t="str">
        <f>sala!F754</f>
        <v>Mesero_4</v>
      </c>
      <c r="AY755" cm="1">
        <f t="array" ref="AY755">SUM(IF(Cocina!A:A=Tabla5[[#This Row],[Nº Orden]],Cocina!F:F*Cocina!G:G,0))</f>
        <v>163</v>
      </c>
      <c r="AZ755" cm="1">
        <f t="array" ref="AZ755">SUM(IF(Cocina!A:A=Tabla5[[#This Row],[Nº Orden]],Cocina!E:E*Cocina!G:G,0))</f>
        <v>97</v>
      </c>
      <c r="BB755" t="str">
        <f>MID(Tabla4[[#This Row],[Cliente]], SEARCH("_", Tabla4[[#This Row],[Cliente]]) + 1, LEN(Tabla4[[#This Row],[Cliente]]) - SEARCH("_",Tabla4[[#This Row],[Cliente]]))</f>
        <v>827</v>
      </c>
      <c r="BC755" t="str">
        <f>sala!B754</f>
        <v>Cliente_827</v>
      </c>
      <c r="BD755" s="1">
        <f>sala!D754</f>
        <v>45023.102083333331</v>
      </c>
      <c r="BE755" s="1">
        <f>sala!E754</f>
        <v>45023.193055555559</v>
      </c>
      <c r="BF755">
        <f>sala!K754</f>
        <v>753</v>
      </c>
      <c r="BG755">
        <f>sala!I754</f>
        <v>2624</v>
      </c>
      <c r="BH755" cm="1">
        <f t="array" ref="BH755">SUM(IF(Cocina!A:A=Tabla4[[#This Row],[Número de Orden]],Cocina!F:F*Cocina!G:G,0))</f>
        <v>163</v>
      </c>
      <c r="BI755" t="str">
        <f>sala!J754</f>
        <v>Libre</v>
      </c>
      <c r="BJ755" s="4" t="str">
        <f>IF(Tabla4[[#This Row],[Estado mesa]]="Ocupada","00:15","00:00")</f>
        <v>00:00</v>
      </c>
      <c r="BK755" cm="1">
        <f t="array" ref="BK755">SUM(IF(Cocina!A:A=Tabla4[[#This Row],[Número de Orden]],Cocina!H:H,0))</f>
        <v>128</v>
      </c>
    </row>
    <row r="756" spans="1:63" x14ac:dyDescent="0.3">
      <c r="A756" s="8" t="str">
        <f>MID(Tabla4[[#This Row],[Cliente]], SEARCH("_", Tabla4[[#This Row],[Cliente]]) + 1, LEN(Tabla4[[#This Row],[Cliente]]) - SEARCH("_",Tabla4[[#This Row],[Cliente]]))</f>
        <v>871</v>
      </c>
      <c r="B756">
        <f>sala!K755</f>
        <v>754</v>
      </c>
      <c r="C756">
        <f>Tabla4[[#This Row],[Propina]]+Tabla4[[#This Row],[Precio Cena]]</f>
        <v>4511</v>
      </c>
      <c r="D756" s="3">
        <f>INT(sala!E755)</f>
        <v>45023</v>
      </c>
      <c r="E756" s="4">
        <f>MOD( sala!D755,1)</f>
        <v>0.13958333332993789</v>
      </c>
      <c r="F756" s="4">
        <f>MOD( sala!E755,1)</f>
        <v>0.19166666666569654</v>
      </c>
      <c r="G756" s="4">
        <f>Tabla5[[#This Row],[Hora de Salida]]-Tabla5[[#This Row],[Hora de Llegada]]+Tabla4[[#This Row],[Tiempo Extra]]</f>
        <v>5.2083333335758653E-2</v>
      </c>
      <c r="H756" s="5" t="str">
        <f>TEXT(Tabla4[[#This Row],[Preparación en horas]]/1440, "h:mm")</f>
        <v>1:29</v>
      </c>
      <c r="I756" s="4">
        <f>IF(Tabla5[[#This Row],[Tiempo Permanencia]]-Tabla5[[#This Row],[Tiempo de Preparación ]]&gt;=0,Tabla5[[#This Row],[Tiempo Permanencia]]-Tabla5[[#This Row],[Tiempo de Preparación ]],0)</f>
        <v>0</v>
      </c>
      <c r="J756" s="5" t="str">
        <f>IF(Tabla5[[#This Row],[Tiempo de Degustación]]=0,"No Cobrada","Cobrada")</f>
        <v>No Cobrada</v>
      </c>
      <c r="K756" s="5" cm="1">
        <f t="array" ref="K756">SUM(IF(Tabla5[[#This Row],[Orden Cobrada]]="Cobrada",IF(Cocina!A:A=Tabla5[[#This Row],[Nº Orden]],Cocina!F:F*Cocina!G:G,0),-Tabla6[[#This Row],[Precio Cena]]))</f>
        <v>-237</v>
      </c>
      <c r="L756" s="5">
        <f>IF(Tabla5[[#This Row],[Orden Cobrada]]="Cobrada",Tabla5[[#This Row],[Ganancia Bruta]]-Tabla6[[#This Row],[Coste Cena]],-Tabla6[[#This Row],[Precio Cena]]+Tabla6[[#This Row],[Coste Cena]])</f>
        <v>-99</v>
      </c>
      <c r="M756" s="10">
        <f>IF(Tabla5[[#This Row],[Orden Cobrada]]="Cobrada",((Tabla5[[#This Row],[Ganancia Neta]]/Tabla5[[#This Row],[Ganancia Bruta]])*100)/100,-((Tabla5[[#This Row],[Ganancia Neta]]/Tabla5[[#This Row],[Ganancia Bruta]]*100)/100))</f>
        <v>-0.41772151898734178</v>
      </c>
      <c r="N756" s="5" t="str">
        <f>sala!F755</f>
        <v>Mesero_3</v>
      </c>
      <c r="AY756" cm="1">
        <f t="array" ref="AY756">SUM(IF(Cocina!A:A=Tabla5[[#This Row],[Nº Orden]],Cocina!F:F*Cocina!G:G,0))</f>
        <v>237</v>
      </c>
      <c r="AZ756" cm="1">
        <f t="array" ref="AZ756">SUM(IF(Cocina!A:A=Tabla5[[#This Row],[Nº Orden]],Cocina!E:E*Cocina!G:G,0))</f>
        <v>138</v>
      </c>
      <c r="BB756" t="str">
        <f>MID(Tabla4[[#This Row],[Cliente]], SEARCH("_", Tabla4[[#This Row],[Cliente]]) + 1, LEN(Tabla4[[#This Row],[Cliente]]) - SEARCH("_",Tabla4[[#This Row],[Cliente]]))</f>
        <v>871</v>
      </c>
      <c r="BC756" t="str">
        <f>sala!B755</f>
        <v>Cliente_871</v>
      </c>
      <c r="BD756" s="1">
        <f>sala!D755</f>
        <v>45023.13958333333</v>
      </c>
      <c r="BE756" s="1">
        <f>sala!E755</f>
        <v>45023.191666666666</v>
      </c>
      <c r="BF756">
        <f>sala!K755</f>
        <v>754</v>
      </c>
      <c r="BG756">
        <f>sala!I755</f>
        <v>4274</v>
      </c>
      <c r="BH756" cm="1">
        <f t="array" ref="BH756">SUM(IF(Cocina!A:A=Tabla4[[#This Row],[Número de Orden]],Cocina!F:F*Cocina!G:G,0))</f>
        <v>237</v>
      </c>
      <c r="BI756" t="str">
        <f>sala!J755</f>
        <v>Reservada</v>
      </c>
      <c r="BJ756" s="4" t="str">
        <f>IF(Tabla4[[#This Row],[Estado mesa]]="Ocupada","00:15","00:00")</f>
        <v>00:00</v>
      </c>
      <c r="BK756" cm="1">
        <f t="array" ref="BK756">SUM(IF(Cocina!A:A=Tabla4[[#This Row],[Número de Orden]],Cocina!H:H,0))</f>
        <v>89</v>
      </c>
    </row>
    <row r="757" spans="1:63" x14ac:dyDescent="0.3">
      <c r="A757" s="8" t="str">
        <f>MID(Tabla4[[#This Row],[Cliente]], SEARCH("_", Tabla4[[#This Row],[Cliente]]) + 1, LEN(Tabla4[[#This Row],[Cliente]]) - SEARCH("_",Tabla4[[#This Row],[Cliente]]))</f>
        <v>743</v>
      </c>
      <c r="B757">
        <f>sala!K756</f>
        <v>755</v>
      </c>
      <c r="C757">
        <f>Tabla4[[#This Row],[Propina]]+Tabla4[[#This Row],[Precio Cena]]</f>
        <v>2876</v>
      </c>
      <c r="D757" s="3">
        <f>INT(sala!E756)</f>
        <v>45023</v>
      </c>
      <c r="E757" s="4">
        <f>MOD( sala!D756,1)</f>
        <v>8.4027777775190771E-2</v>
      </c>
      <c r="F757" s="4">
        <f>MOD( sala!E756,1)</f>
        <v>0.18541666666715173</v>
      </c>
      <c r="G757" s="4">
        <f>Tabla5[[#This Row],[Hora de Salida]]-Tabla5[[#This Row],[Hora de Llegada]]+Tabla4[[#This Row],[Tiempo Extra]]</f>
        <v>0.11180555555862763</v>
      </c>
      <c r="H757" s="5" t="str">
        <f>TEXT(Tabla4[[#This Row],[Preparación en horas]]/1440, "h:mm")</f>
        <v>1:49</v>
      </c>
      <c r="I757" s="4">
        <f>IF(Tabla5[[#This Row],[Tiempo Permanencia]]-Tabla5[[#This Row],[Tiempo de Preparación ]]&gt;=0,Tabla5[[#This Row],[Tiempo Permanencia]]-Tabla5[[#This Row],[Tiempo de Preparación ]],0)</f>
        <v>3.6111111114183192E-2</v>
      </c>
      <c r="J757" s="5" t="str">
        <f>IF(Tabla5[[#This Row],[Tiempo de Degustación]]=0,"No Cobrada","Cobrada")</f>
        <v>Cobrada</v>
      </c>
      <c r="K757" s="5" cm="1">
        <f t="array" ref="K757">SUM(IF(Tabla5[[#This Row],[Orden Cobrada]]="Cobrada",IF(Cocina!A:A=Tabla5[[#This Row],[Nº Orden]],Cocina!F:F*Cocina!G:G,0),-Tabla6[[#This Row],[Precio Cena]]))</f>
        <v>211</v>
      </c>
      <c r="L757" s="5">
        <f>IF(Tabla5[[#This Row],[Orden Cobrada]]="Cobrada",Tabla5[[#This Row],[Ganancia Bruta]]-Tabla6[[#This Row],[Coste Cena]],-Tabla6[[#This Row],[Precio Cena]]+Tabla6[[#This Row],[Coste Cena]])</f>
        <v>86</v>
      </c>
      <c r="M757" s="10">
        <f>IF(Tabla5[[#This Row],[Orden Cobrada]]="Cobrada",((Tabla5[[#This Row],[Ganancia Neta]]/Tabla5[[#This Row],[Ganancia Bruta]])*100)/100,-((Tabla5[[#This Row],[Ganancia Neta]]/Tabla5[[#This Row],[Ganancia Bruta]]*100)/100))</f>
        <v>0.40758293838862558</v>
      </c>
      <c r="N757" s="5" t="str">
        <f>sala!F756</f>
        <v>Mesero_2</v>
      </c>
      <c r="AY757" cm="1">
        <f t="array" ref="AY757">SUM(IF(Cocina!A:A=Tabla5[[#This Row],[Nº Orden]],Cocina!F:F*Cocina!G:G,0))</f>
        <v>211</v>
      </c>
      <c r="AZ757" cm="1">
        <f t="array" ref="AZ757">SUM(IF(Cocina!A:A=Tabla5[[#This Row],[Nº Orden]],Cocina!E:E*Cocina!G:G,0))</f>
        <v>125</v>
      </c>
      <c r="BB757" t="str">
        <f>MID(Tabla4[[#This Row],[Cliente]], SEARCH("_", Tabla4[[#This Row],[Cliente]]) + 1, LEN(Tabla4[[#This Row],[Cliente]]) - SEARCH("_",Tabla4[[#This Row],[Cliente]]))</f>
        <v>743</v>
      </c>
      <c r="BC757" t="str">
        <f>sala!B756</f>
        <v>Cliente_743</v>
      </c>
      <c r="BD757" s="1">
        <f>sala!D756</f>
        <v>45023.084027777775</v>
      </c>
      <c r="BE757" s="1">
        <f>sala!E756</f>
        <v>45023.185416666667</v>
      </c>
      <c r="BF757">
        <f>sala!K756</f>
        <v>755</v>
      </c>
      <c r="BG757">
        <f>sala!I756</f>
        <v>2665</v>
      </c>
      <c r="BH757" cm="1">
        <f t="array" ref="BH757">SUM(IF(Cocina!A:A=Tabla4[[#This Row],[Número de Orden]],Cocina!F:F*Cocina!G:G,0))</f>
        <v>211</v>
      </c>
      <c r="BI757" t="str">
        <f>sala!J756</f>
        <v>Ocupada</v>
      </c>
      <c r="BJ757" s="4" t="str">
        <f>IF(Tabla4[[#This Row],[Estado mesa]]="Ocupada","00:15","00:00")</f>
        <v>00:15</v>
      </c>
      <c r="BK757" cm="1">
        <f t="array" ref="BK757">SUM(IF(Cocina!A:A=Tabla4[[#This Row],[Número de Orden]],Cocina!H:H,0))</f>
        <v>109</v>
      </c>
    </row>
    <row r="758" spans="1:63" x14ac:dyDescent="0.3">
      <c r="A758" s="8" t="str">
        <f>MID(Tabla4[[#This Row],[Cliente]], SEARCH("_", Tabla4[[#This Row],[Cliente]]) + 1, LEN(Tabla4[[#This Row],[Cliente]]) - SEARCH("_",Tabla4[[#This Row],[Cliente]]))</f>
        <v>428</v>
      </c>
      <c r="B758">
        <f>sala!K757</f>
        <v>756</v>
      </c>
      <c r="C758">
        <f>Tabla4[[#This Row],[Propina]]+Tabla4[[#This Row],[Precio Cena]]</f>
        <v>3225</v>
      </c>
      <c r="D758" s="3">
        <f>INT(sala!E757)</f>
        <v>45023</v>
      </c>
      <c r="E758" s="4">
        <f>MOD( sala!D757,1)</f>
        <v>0.16180555555911269</v>
      </c>
      <c r="F758" s="4">
        <f>MOD( sala!E757,1)</f>
        <v>0.32708333332993789</v>
      </c>
      <c r="G758" s="4">
        <f>Tabla5[[#This Row],[Hora de Salida]]-Tabla5[[#This Row],[Hora de Llegada]]+Tabla4[[#This Row],[Tiempo Extra]]</f>
        <v>0.1652777777708252</v>
      </c>
      <c r="H758" s="5" t="str">
        <f>TEXT(Tabla4[[#This Row],[Preparación en horas]]/1440, "h:mm")</f>
        <v>0:34</v>
      </c>
      <c r="I758" s="4">
        <f>IF(Tabla5[[#This Row],[Tiempo Permanencia]]-Tabla5[[#This Row],[Tiempo de Preparación ]]&gt;=0,Tabla5[[#This Row],[Tiempo Permanencia]]-Tabla5[[#This Row],[Tiempo de Preparación ]],0)</f>
        <v>0.14166666665971409</v>
      </c>
      <c r="J758" s="5" t="str">
        <f>IF(Tabla5[[#This Row],[Tiempo de Degustación]]=0,"No Cobrada","Cobrada")</f>
        <v>Cobrada</v>
      </c>
      <c r="K758" s="5" cm="1">
        <f t="array" ref="K758">SUM(IF(Tabla5[[#This Row],[Orden Cobrada]]="Cobrada",IF(Cocina!A:A=Tabla5[[#This Row],[Nº Orden]],Cocina!F:F*Cocina!G:G,0),-Tabla6[[#This Row],[Precio Cena]]))</f>
        <v>50</v>
      </c>
      <c r="L758" s="5">
        <f>IF(Tabla5[[#This Row],[Orden Cobrada]]="Cobrada",Tabla5[[#This Row],[Ganancia Bruta]]-Tabla6[[#This Row],[Coste Cena]],-Tabla6[[#This Row],[Precio Cena]]+Tabla6[[#This Row],[Coste Cena]])</f>
        <v>20</v>
      </c>
      <c r="M758" s="10">
        <f>IF(Tabla5[[#This Row],[Orden Cobrada]]="Cobrada",((Tabla5[[#This Row],[Ganancia Neta]]/Tabla5[[#This Row],[Ganancia Bruta]])*100)/100,-((Tabla5[[#This Row],[Ganancia Neta]]/Tabla5[[#This Row],[Ganancia Bruta]]*100)/100))</f>
        <v>0.4</v>
      </c>
      <c r="N758" s="5" t="str">
        <f>sala!F757</f>
        <v>Mesero_1</v>
      </c>
      <c r="AY758" cm="1">
        <f t="array" ref="AY758">SUM(IF(Cocina!A:A=Tabla5[[#This Row],[Nº Orden]],Cocina!F:F*Cocina!G:G,0))</f>
        <v>50</v>
      </c>
      <c r="AZ758" cm="1">
        <f t="array" ref="AZ758">SUM(IF(Cocina!A:A=Tabla5[[#This Row],[Nº Orden]],Cocina!E:E*Cocina!G:G,0))</f>
        <v>30</v>
      </c>
      <c r="BB758" t="str">
        <f>MID(Tabla4[[#This Row],[Cliente]], SEARCH("_", Tabla4[[#This Row],[Cliente]]) + 1, LEN(Tabla4[[#This Row],[Cliente]]) - SEARCH("_",Tabla4[[#This Row],[Cliente]]))</f>
        <v>428</v>
      </c>
      <c r="BC758" t="str">
        <f>sala!B757</f>
        <v>Cliente_428</v>
      </c>
      <c r="BD758" s="1">
        <f>sala!D757</f>
        <v>45023.161805555559</v>
      </c>
      <c r="BE758" s="1">
        <f>sala!E757</f>
        <v>45023.32708333333</v>
      </c>
      <c r="BF758">
        <f>sala!K757</f>
        <v>756</v>
      </c>
      <c r="BG758">
        <f>sala!I757</f>
        <v>3175</v>
      </c>
      <c r="BH758" cm="1">
        <f t="array" ref="BH758">SUM(IF(Cocina!A:A=Tabla4[[#This Row],[Número de Orden]],Cocina!F:F*Cocina!G:G,0))</f>
        <v>50</v>
      </c>
      <c r="BI758" t="str">
        <f>sala!J757</f>
        <v>Libre</v>
      </c>
      <c r="BJ758" s="4" t="str">
        <f>IF(Tabla4[[#This Row],[Estado mesa]]="Ocupada","00:15","00:00")</f>
        <v>00:00</v>
      </c>
      <c r="BK758" cm="1">
        <f t="array" ref="BK758">SUM(IF(Cocina!A:A=Tabla4[[#This Row],[Número de Orden]],Cocina!H:H,0))</f>
        <v>34</v>
      </c>
    </row>
    <row r="759" spans="1:63" x14ac:dyDescent="0.3">
      <c r="A759" s="8" t="str">
        <f>MID(Tabla4[[#This Row],[Cliente]], SEARCH("_", Tabla4[[#This Row],[Cliente]]) + 1, LEN(Tabla4[[#This Row],[Cliente]]) - SEARCH("_",Tabla4[[#This Row],[Cliente]]))</f>
        <v>750</v>
      </c>
      <c r="B759">
        <f>sala!K758</f>
        <v>757</v>
      </c>
      <c r="C759">
        <f>Tabla4[[#This Row],[Propina]]+Tabla4[[#This Row],[Precio Cena]]</f>
        <v>1063</v>
      </c>
      <c r="D759" s="3">
        <f>INT(sala!E758)</f>
        <v>45023</v>
      </c>
      <c r="E759" s="4">
        <f>MOD( sala!D758,1)</f>
        <v>7.4305555557657499E-2</v>
      </c>
      <c r="F759" s="4">
        <f>MOD( sala!E758,1)</f>
        <v>0.19583333333139308</v>
      </c>
      <c r="G759" s="4">
        <f>Tabla5[[#This Row],[Hora de Salida]]-Tabla5[[#This Row],[Hora de Llegada]]+Tabla4[[#This Row],[Tiempo Extra]]</f>
        <v>0.12152777777373558</v>
      </c>
      <c r="H759" s="5" t="str">
        <f>TEXT(Tabla4[[#This Row],[Preparación en horas]]/1440, "h:mm")</f>
        <v>0:40</v>
      </c>
      <c r="I759" s="4">
        <f>IF(Tabla5[[#This Row],[Tiempo Permanencia]]-Tabla5[[#This Row],[Tiempo de Preparación ]]&gt;=0,Tabla5[[#This Row],[Tiempo Permanencia]]-Tabla5[[#This Row],[Tiempo de Preparación ]],0)</f>
        <v>9.3749999995957803E-2</v>
      </c>
      <c r="J759" s="5" t="str">
        <f>IF(Tabla5[[#This Row],[Tiempo de Degustación]]=0,"No Cobrada","Cobrada")</f>
        <v>Cobrada</v>
      </c>
      <c r="K759" s="5" cm="1">
        <f t="array" ref="K759">SUM(IF(Tabla5[[#This Row],[Orden Cobrada]]="Cobrada",IF(Cocina!A:A=Tabla5[[#This Row],[Nº Orden]],Cocina!F:F*Cocina!G:G,0),-Tabla6[[#This Row],[Precio Cena]]))</f>
        <v>60</v>
      </c>
      <c r="L759" s="5">
        <f>IF(Tabla5[[#This Row],[Orden Cobrada]]="Cobrada",Tabla5[[#This Row],[Ganancia Bruta]]-Tabla6[[#This Row],[Coste Cena]],-Tabla6[[#This Row],[Precio Cena]]+Tabla6[[#This Row],[Coste Cena]])</f>
        <v>24</v>
      </c>
      <c r="M759" s="10">
        <f>IF(Tabla5[[#This Row],[Orden Cobrada]]="Cobrada",((Tabla5[[#This Row],[Ganancia Neta]]/Tabla5[[#This Row],[Ganancia Bruta]])*100)/100,-((Tabla5[[#This Row],[Ganancia Neta]]/Tabla5[[#This Row],[Ganancia Bruta]]*100)/100))</f>
        <v>0.4</v>
      </c>
      <c r="N759" s="5" t="str">
        <f>sala!F758</f>
        <v>Mesero_2</v>
      </c>
      <c r="AY759" cm="1">
        <f t="array" ref="AY759">SUM(IF(Cocina!A:A=Tabla5[[#This Row],[Nº Orden]],Cocina!F:F*Cocina!G:G,0))</f>
        <v>60</v>
      </c>
      <c r="AZ759" cm="1">
        <f t="array" ref="AZ759">SUM(IF(Cocina!A:A=Tabla5[[#This Row],[Nº Orden]],Cocina!E:E*Cocina!G:G,0))</f>
        <v>36</v>
      </c>
      <c r="BB759" t="str">
        <f>MID(Tabla4[[#This Row],[Cliente]], SEARCH("_", Tabla4[[#This Row],[Cliente]]) + 1, LEN(Tabla4[[#This Row],[Cliente]]) - SEARCH("_",Tabla4[[#This Row],[Cliente]]))</f>
        <v>750</v>
      </c>
      <c r="BC759" t="str">
        <f>sala!B758</f>
        <v>Cliente_750</v>
      </c>
      <c r="BD759" s="1">
        <f>sala!D758</f>
        <v>45023.074305555558</v>
      </c>
      <c r="BE759" s="1">
        <f>sala!E758</f>
        <v>45023.195833333331</v>
      </c>
      <c r="BF759">
        <f>sala!K758</f>
        <v>757</v>
      </c>
      <c r="BG759">
        <f>sala!I758</f>
        <v>1003</v>
      </c>
      <c r="BH759" cm="1">
        <f t="array" ref="BH759">SUM(IF(Cocina!A:A=Tabla4[[#This Row],[Número de Orden]],Cocina!F:F*Cocina!G:G,0))</f>
        <v>60</v>
      </c>
      <c r="BI759" t="str">
        <f>sala!J758</f>
        <v>Reservada</v>
      </c>
      <c r="BJ759" s="4" t="str">
        <f>IF(Tabla4[[#This Row],[Estado mesa]]="Ocupada","00:15","00:00")</f>
        <v>00:00</v>
      </c>
      <c r="BK759" cm="1">
        <f t="array" ref="BK759">SUM(IF(Cocina!A:A=Tabla4[[#This Row],[Número de Orden]],Cocina!H:H,0))</f>
        <v>40</v>
      </c>
    </row>
    <row r="760" spans="1:63" x14ac:dyDescent="0.3">
      <c r="A760" s="8" t="str">
        <f>MID(Tabla4[[#This Row],[Cliente]], SEARCH("_", Tabla4[[#This Row],[Cliente]]) + 1, LEN(Tabla4[[#This Row],[Cliente]]) - SEARCH("_",Tabla4[[#This Row],[Cliente]]))</f>
        <v>808</v>
      </c>
      <c r="B760">
        <f>sala!K759</f>
        <v>758</v>
      </c>
      <c r="C760">
        <f>Tabla4[[#This Row],[Propina]]+Tabla4[[#This Row],[Precio Cena]]</f>
        <v>2756</v>
      </c>
      <c r="D760" s="3">
        <f>INT(sala!E759)</f>
        <v>45023</v>
      </c>
      <c r="E760" s="4">
        <f>MOD( sala!D759,1)</f>
        <v>1.1805555557657499E-2</v>
      </c>
      <c r="F760" s="4">
        <f>MOD( sala!E759,1)</f>
        <v>9.0277777781011537E-2</v>
      </c>
      <c r="G760" s="4">
        <f>Tabla5[[#This Row],[Hora de Salida]]-Tabla5[[#This Row],[Hora de Llegada]]+Tabla4[[#This Row],[Tiempo Extra]]</f>
        <v>7.8472222223354038E-2</v>
      </c>
      <c r="H760" s="5" t="str">
        <f>TEXT(Tabla4[[#This Row],[Preparación en horas]]/1440, "h:mm")</f>
        <v>0:41</v>
      </c>
      <c r="I760" s="4">
        <f>IF(Tabla5[[#This Row],[Tiempo Permanencia]]-Tabla5[[#This Row],[Tiempo de Preparación ]]&gt;=0,Tabla5[[#This Row],[Tiempo Permanencia]]-Tabla5[[#This Row],[Tiempo de Preparación ]],0)</f>
        <v>5.000000000113182E-2</v>
      </c>
      <c r="J760" s="5" t="str">
        <f>IF(Tabla5[[#This Row],[Tiempo de Degustación]]=0,"No Cobrada","Cobrada")</f>
        <v>Cobrada</v>
      </c>
      <c r="K760" s="5" cm="1">
        <f t="array" ref="K760">SUM(IF(Tabla5[[#This Row],[Orden Cobrada]]="Cobrada",IF(Cocina!A:A=Tabla5[[#This Row],[Nº Orden]],Cocina!F:F*Cocina!G:G,0),-Tabla6[[#This Row],[Precio Cena]]))</f>
        <v>52</v>
      </c>
      <c r="L760" s="5">
        <f>IF(Tabla5[[#This Row],[Orden Cobrada]]="Cobrada",Tabla5[[#This Row],[Ganancia Bruta]]-Tabla6[[#This Row],[Coste Cena]],-Tabla6[[#This Row],[Precio Cena]]+Tabla6[[#This Row],[Coste Cena]])</f>
        <v>21</v>
      </c>
      <c r="M760" s="10">
        <f>IF(Tabla5[[#This Row],[Orden Cobrada]]="Cobrada",((Tabla5[[#This Row],[Ganancia Neta]]/Tabla5[[#This Row],[Ganancia Bruta]])*100)/100,-((Tabla5[[#This Row],[Ganancia Neta]]/Tabla5[[#This Row],[Ganancia Bruta]]*100)/100))</f>
        <v>0.40384615384615385</v>
      </c>
      <c r="N760" s="5" t="str">
        <f>sala!F759</f>
        <v>Mesero_3</v>
      </c>
      <c r="AY760" cm="1">
        <f t="array" ref="AY760">SUM(IF(Cocina!A:A=Tabla5[[#This Row],[Nº Orden]],Cocina!F:F*Cocina!G:G,0))</f>
        <v>52</v>
      </c>
      <c r="AZ760" cm="1">
        <f t="array" ref="AZ760">SUM(IF(Cocina!A:A=Tabla5[[#This Row],[Nº Orden]],Cocina!E:E*Cocina!G:G,0))</f>
        <v>31</v>
      </c>
      <c r="BB760" t="str">
        <f>MID(Tabla4[[#This Row],[Cliente]], SEARCH("_", Tabla4[[#This Row],[Cliente]]) + 1, LEN(Tabla4[[#This Row],[Cliente]]) - SEARCH("_",Tabla4[[#This Row],[Cliente]]))</f>
        <v>808</v>
      </c>
      <c r="BC760" t="str">
        <f>sala!B759</f>
        <v>Cliente_808</v>
      </c>
      <c r="BD760" s="1">
        <f>sala!D759</f>
        <v>45023.011805555558</v>
      </c>
      <c r="BE760" s="1">
        <f>sala!E759</f>
        <v>45023.090277777781</v>
      </c>
      <c r="BF760">
        <f>sala!K759</f>
        <v>758</v>
      </c>
      <c r="BG760">
        <f>sala!I759</f>
        <v>2704</v>
      </c>
      <c r="BH760" cm="1">
        <f t="array" ref="BH760">SUM(IF(Cocina!A:A=Tabla4[[#This Row],[Número de Orden]],Cocina!F:F*Cocina!G:G,0))</f>
        <v>52</v>
      </c>
      <c r="BI760" t="str">
        <f>sala!J759</f>
        <v>Reservada</v>
      </c>
      <c r="BJ760" s="4" t="str">
        <f>IF(Tabla4[[#This Row],[Estado mesa]]="Ocupada","00:15","00:00")</f>
        <v>00:00</v>
      </c>
      <c r="BK760" cm="1">
        <f t="array" ref="BK760">SUM(IF(Cocina!A:A=Tabla4[[#This Row],[Número de Orden]],Cocina!H:H,0))</f>
        <v>41</v>
      </c>
    </row>
    <row r="761" spans="1:63" x14ac:dyDescent="0.3">
      <c r="A761" s="8" t="str">
        <f>MID(Tabla4[[#This Row],[Cliente]], SEARCH("_", Tabla4[[#This Row],[Cliente]]) + 1, LEN(Tabla4[[#This Row],[Cliente]]) - SEARCH("_",Tabla4[[#This Row],[Cliente]]))</f>
        <v>376</v>
      </c>
      <c r="B761">
        <f>sala!K760</f>
        <v>759</v>
      </c>
      <c r="C761">
        <f>Tabla4[[#This Row],[Propina]]+Tabla4[[#This Row],[Precio Cena]]</f>
        <v>479</v>
      </c>
      <c r="D761" s="3">
        <f>INT(sala!E760)</f>
        <v>45023</v>
      </c>
      <c r="E761" s="4">
        <f>MOD( sala!D760,1)</f>
        <v>2.7777777781011537E-2</v>
      </c>
      <c r="F761" s="4">
        <f>MOD( sala!E760,1)</f>
        <v>0.15625</v>
      </c>
      <c r="G761" s="4">
        <f>Tabla5[[#This Row],[Hora de Salida]]-Tabla5[[#This Row],[Hora de Llegada]]+Tabla4[[#This Row],[Tiempo Extra]]</f>
        <v>0.12847222221898846</v>
      </c>
      <c r="H761" s="5" t="str">
        <f>TEXT(Tabla4[[#This Row],[Preparación en horas]]/1440, "h:mm")</f>
        <v>3:16</v>
      </c>
      <c r="I761" s="4">
        <f>IF(Tabla5[[#This Row],[Tiempo Permanencia]]-Tabla5[[#This Row],[Tiempo de Preparación ]]&gt;=0,Tabla5[[#This Row],[Tiempo Permanencia]]-Tabla5[[#This Row],[Tiempo de Preparación ]],0)</f>
        <v>0</v>
      </c>
      <c r="J761" s="5" t="str">
        <f>IF(Tabla5[[#This Row],[Tiempo de Degustación]]=0,"No Cobrada","Cobrada")</f>
        <v>No Cobrada</v>
      </c>
      <c r="K761" s="5" cm="1">
        <f t="array" ref="K761">SUM(IF(Tabla5[[#This Row],[Orden Cobrada]]="Cobrada",IF(Cocina!A:A=Tabla5[[#This Row],[Nº Orden]],Cocina!F:F*Cocina!G:G,0),-Tabla6[[#This Row],[Precio Cena]]))</f>
        <v>-342</v>
      </c>
      <c r="L761" s="5">
        <f>IF(Tabla5[[#This Row],[Orden Cobrada]]="Cobrada",Tabla5[[#This Row],[Ganancia Bruta]]-Tabla6[[#This Row],[Coste Cena]],-Tabla6[[#This Row],[Precio Cena]]+Tabla6[[#This Row],[Coste Cena]])</f>
        <v>-138</v>
      </c>
      <c r="M761" s="10">
        <f>IF(Tabla5[[#This Row],[Orden Cobrada]]="Cobrada",((Tabla5[[#This Row],[Ganancia Neta]]/Tabla5[[#This Row],[Ganancia Bruta]])*100)/100,-((Tabla5[[#This Row],[Ganancia Neta]]/Tabla5[[#This Row],[Ganancia Bruta]]*100)/100))</f>
        <v>-0.40350877192982454</v>
      </c>
      <c r="N761" s="5" t="str">
        <f>sala!F760</f>
        <v>Mesero_1</v>
      </c>
      <c r="AY761" cm="1">
        <f t="array" ref="AY761">SUM(IF(Cocina!A:A=Tabla5[[#This Row],[Nº Orden]],Cocina!F:F*Cocina!G:G,0))</f>
        <v>342</v>
      </c>
      <c r="AZ761" cm="1">
        <f t="array" ref="AZ761">SUM(IF(Cocina!A:A=Tabla5[[#This Row],[Nº Orden]],Cocina!E:E*Cocina!G:G,0))</f>
        <v>204</v>
      </c>
      <c r="BB761" t="str">
        <f>MID(Tabla4[[#This Row],[Cliente]], SEARCH("_", Tabla4[[#This Row],[Cliente]]) + 1, LEN(Tabla4[[#This Row],[Cliente]]) - SEARCH("_",Tabla4[[#This Row],[Cliente]]))</f>
        <v>376</v>
      </c>
      <c r="BC761" t="str">
        <f>sala!B760</f>
        <v>Cliente_376</v>
      </c>
      <c r="BD761" s="1">
        <f>sala!D760</f>
        <v>45023.027777777781</v>
      </c>
      <c r="BE761" s="1">
        <f>sala!E760</f>
        <v>45023.15625</v>
      </c>
      <c r="BF761">
        <f>sala!K760</f>
        <v>759</v>
      </c>
      <c r="BG761">
        <f>sala!I760</f>
        <v>137</v>
      </c>
      <c r="BH761" cm="1">
        <f t="array" ref="BH761">SUM(IF(Cocina!A:A=Tabla4[[#This Row],[Número de Orden]],Cocina!F:F*Cocina!G:G,0))</f>
        <v>342</v>
      </c>
      <c r="BI761" t="str">
        <f>sala!J760</f>
        <v>Reservada</v>
      </c>
      <c r="BJ761" s="4" t="str">
        <f>IF(Tabla4[[#This Row],[Estado mesa]]="Ocupada","00:15","00:00")</f>
        <v>00:00</v>
      </c>
      <c r="BK761" cm="1">
        <f t="array" ref="BK761">SUM(IF(Cocina!A:A=Tabla4[[#This Row],[Número de Orden]],Cocina!H:H,0))</f>
        <v>196</v>
      </c>
    </row>
    <row r="762" spans="1:63" x14ac:dyDescent="0.3">
      <c r="A762" s="8" t="str">
        <f>MID(Tabla4[[#This Row],[Cliente]], SEARCH("_", Tabla4[[#This Row],[Cliente]]) + 1, LEN(Tabla4[[#This Row],[Cliente]]) - SEARCH("_",Tabla4[[#This Row],[Cliente]]))</f>
        <v>721</v>
      </c>
      <c r="B762">
        <f>sala!K761</f>
        <v>760</v>
      </c>
      <c r="C762">
        <f>Tabla4[[#This Row],[Propina]]+Tabla4[[#This Row],[Precio Cena]]</f>
        <v>4047</v>
      </c>
      <c r="D762" s="3">
        <f>INT(sala!E761)</f>
        <v>45023</v>
      </c>
      <c r="E762" s="4">
        <f>MOD( sala!D761,1)</f>
        <v>1.7361111109494232E-2</v>
      </c>
      <c r="F762" s="4">
        <f>MOD( sala!E761,1)</f>
        <v>6.9444444445252884E-2</v>
      </c>
      <c r="G762" s="4">
        <f>Tabla5[[#This Row],[Hora de Salida]]-Tabla5[[#This Row],[Hora de Llegada]]+Tabla4[[#This Row],[Tiempo Extra]]</f>
        <v>5.2083333335758653E-2</v>
      </c>
      <c r="H762" s="5" t="str">
        <f>TEXT(Tabla4[[#This Row],[Preparación en horas]]/1440, "h:mm")</f>
        <v>0:20</v>
      </c>
      <c r="I762" s="4">
        <f>IF(Tabla5[[#This Row],[Tiempo Permanencia]]-Tabla5[[#This Row],[Tiempo de Preparación ]]&gt;=0,Tabla5[[#This Row],[Tiempo Permanencia]]-Tabla5[[#This Row],[Tiempo de Preparación ]],0)</f>
        <v>3.8194444446869764E-2</v>
      </c>
      <c r="J762" s="5" t="str">
        <f>IF(Tabla5[[#This Row],[Tiempo de Degustación]]=0,"No Cobrada","Cobrada")</f>
        <v>Cobrada</v>
      </c>
      <c r="K762" s="5" cm="1">
        <f t="array" ref="K762">SUM(IF(Tabla5[[#This Row],[Orden Cobrada]]="Cobrada",IF(Cocina!A:A=Tabla5[[#This Row],[Nº Orden]],Cocina!F:F*Cocina!G:G,0),-Tabla6[[#This Row],[Precio Cena]]))</f>
        <v>105</v>
      </c>
      <c r="L762" s="5">
        <f>IF(Tabla5[[#This Row],[Orden Cobrada]]="Cobrada",Tabla5[[#This Row],[Ganancia Bruta]]-Tabla6[[#This Row],[Coste Cena]],-Tabla6[[#This Row],[Precio Cena]]+Tabla6[[#This Row],[Coste Cena]])</f>
        <v>42</v>
      </c>
      <c r="M762" s="10">
        <f>IF(Tabla5[[#This Row],[Orden Cobrada]]="Cobrada",((Tabla5[[#This Row],[Ganancia Neta]]/Tabla5[[#This Row],[Ganancia Bruta]])*100)/100,-((Tabla5[[#This Row],[Ganancia Neta]]/Tabla5[[#This Row],[Ganancia Bruta]]*100)/100))</f>
        <v>0.4</v>
      </c>
      <c r="N762" s="5" t="str">
        <f>sala!F761</f>
        <v>Mesero_4</v>
      </c>
      <c r="AY762" cm="1">
        <f t="array" ref="AY762">SUM(IF(Cocina!A:A=Tabla5[[#This Row],[Nº Orden]],Cocina!F:F*Cocina!G:G,0))</f>
        <v>105</v>
      </c>
      <c r="AZ762" cm="1">
        <f t="array" ref="AZ762">SUM(IF(Cocina!A:A=Tabla5[[#This Row],[Nº Orden]],Cocina!E:E*Cocina!G:G,0))</f>
        <v>63</v>
      </c>
      <c r="BB762" t="str">
        <f>MID(Tabla4[[#This Row],[Cliente]], SEARCH("_", Tabla4[[#This Row],[Cliente]]) + 1, LEN(Tabla4[[#This Row],[Cliente]]) - SEARCH("_",Tabla4[[#This Row],[Cliente]]))</f>
        <v>721</v>
      </c>
      <c r="BC762" t="str">
        <f>sala!B761</f>
        <v>Cliente_721</v>
      </c>
      <c r="BD762" s="1">
        <f>sala!D761</f>
        <v>45023.017361111109</v>
      </c>
      <c r="BE762" s="1">
        <f>sala!E761</f>
        <v>45023.069444444445</v>
      </c>
      <c r="BF762">
        <f>sala!K761</f>
        <v>760</v>
      </c>
      <c r="BG762">
        <f>sala!I761</f>
        <v>3942</v>
      </c>
      <c r="BH762" cm="1">
        <f t="array" ref="BH762">SUM(IF(Cocina!A:A=Tabla4[[#This Row],[Número de Orden]],Cocina!F:F*Cocina!G:G,0))</f>
        <v>105</v>
      </c>
      <c r="BI762" t="str">
        <f>sala!J761</f>
        <v>Libre</v>
      </c>
      <c r="BJ762" s="4" t="str">
        <f>IF(Tabla4[[#This Row],[Estado mesa]]="Ocupada","00:15","00:00")</f>
        <v>00:00</v>
      </c>
      <c r="BK762" cm="1">
        <f t="array" ref="BK762">SUM(IF(Cocina!A:A=Tabla4[[#This Row],[Número de Orden]],Cocina!H:H,0))</f>
        <v>20</v>
      </c>
    </row>
    <row r="763" spans="1:63" x14ac:dyDescent="0.3">
      <c r="A763" s="8" t="str">
        <f>MID(Tabla4[[#This Row],[Cliente]], SEARCH("_", Tabla4[[#This Row],[Cliente]]) + 1, LEN(Tabla4[[#This Row],[Cliente]]) - SEARCH("_",Tabla4[[#This Row],[Cliente]]))</f>
        <v>782</v>
      </c>
      <c r="B763">
        <f>sala!K762</f>
        <v>761</v>
      </c>
      <c r="C763">
        <f>Tabla4[[#This Row],[Propina]]+Tabla4[[#This Row],[Precio Cena]]</f>
        <v>1859</v>
      </c>
      <c r="D763" s="3">
        <f>INT(sala!E762)</f>
        <v>45023</v>
      </c>
      <c r="E763" s="4">
        <f>MOD( sala!D762,1)</f>
        <v>0.11041666667006211</v>
      </c>
      <c r="F763" s="4">
        <f>MOD( sala!E762,1)</f>
        <v>0.15416666666715173</v>
      </c>
      <c r="G763" s="4">
        <f>Tabla5[[#This Row],[Hora de Salida]]-Tabla5[[#This Row],[Hora de Llegada]]+Tabla4[[#This Row],[Tiempo Extra]]</f>
        <v>4.3749999997089617E-2</v>
      </c>
      <c r="H763" s="5" t="str">
        <f>TEXT(Tabla4[[#This Row],[Preparación en horas]]/1440, "h:mm")</f>
        <v>1:42</v>
      </c>
      <c r="I763" s="4">
        <f>IF(Tabla5[[#This Row],[Tiempo Permanencia]]-Tabla5[[#This Row],[Tiempo de Preparación ]]&gt;=0,Tabla5[[#This Row],[Tiempo Permanencia]]-Tabla5[[#This Row],[Tiempo de Preparación ]],0)</f>
        <v>0</v>
      </c>
      <c r="J763" s="5" t="str">
        <f>IF(Tabla5[[#This Row],[Tiempo de Degustación]]=0,"No Cobrada","Cobrada")</f>
        <v>No Cobrada</v>
      </c>
      <c r="K763" s="5" cm="1">
        <f t="array" ref="K763">SUM(IF(Tabla5[[#This Row],[Orden Cobrada]]="Cobrada",IF(Cocina!A:A=Tabla5[[#This Row],[Nº Orden]],Cocina!F:F*Cocina!G:G,0),-Tabla6[[#This Row],[Precio Cena]]))</f>
        <v>-174</v>
      </c>
      <c r="L763" s="5">
        <f>IF(Tabla5[[#This Row],[Orden Cobrada]]="Cobrada",Tabla5[[#This Row],[Ganancia Bruta]]-Tabla6[[#This Row],[Coste Cena]],-Tabla6[[#This Row],[Precio Cena]]+Tabla6[[#This Row],[Coste Cena]])</f>
        <v>-72</v>
      </c>
      <c r="M763" s="10">
        <f>IF(Tabla5[[#This Row],[Orden Cobrada]]="Cobrada",((Tabla5[[#This Row],[Ganancia Neta]]/Tabla5[[#This Row],[Ganancia Bruta]])*100)/100,-((Tabla5[[#This Row],[Ganancia Neta]]/Tabla5[[#This Row],[Ganancia Bruta]]*100)/100))</f>
        <v>-0.41379310344827586</v>
      </c>
      <c r="N763" s="5" t="str">
        <f>sala!F762</f>
        <v>Mesero_3</v>
      </c>
      <c r="AY763" cm="1">
        <f t="array" ref="AY763">SUM(IF(Cocina!A:A=Tabla5[[#This Row],[Nº Orden]],Cocina!F:F*Cocina!G:G,0))</f>
        <v>174</v>
      </c>
      <c r="AZ763" cm="1">
        <f t="array" ref="AZ763">SUM(IF(Cocina!A:A=Tabla5[[#This Row],[Nº Orden]],Cocina!E:E*Cocina!G:G,0))</f>
        <v>102</v>
      </c>
      <c r="BB763" t="str">
        <f>MID(Tabla4[[#This Row],[Cliente]], SEARCH("_", Tabla4[[#This Row],[Cliente]]) + 1, LEN(Tabla4[[#This Row],[Cliente]]) - SEARCH("_",Tabla4[[#This Row],[Cliente]]))</f>
        <v>782</v>
      </c>
      <c r="BC763" t="str">
        <f>sala!B762</f>
        <v>Cliente_782</v>
      </c>
      <c r="BD763" s="1">
        <f>sala!D762</f>
        <v>45023.11041666667</v>
      </c>
      <c r="BE763" s="1">
        <f>sala!E762</f>
        <v>45023.154166666667</v>
      </c>
      <c r="BF763">
        <f>sala!K762</f>
        <v>761</v>
      </c>
      <c r="BG763">
        <f>sala!I762</f>
        <v>1685</v>
      </c>
      <c r="BH763" cm="1">
        <f t="array" ref="BH763">SUM(IF(Cocina!A:A=Tabla4[[#This Row],[Número de Orden]],Cocina!F:F*Cocina!G:G,0))</f>
        <v>174</v>
      </c>
      <c r="BI763" t="str">
        <f>sala!J762</f>
        <v>Libre</v>
      </c>
      <c r="BJ763" s="4" t="str">
        <f>IF(Tabla4[[#This Row],[Estado mesa]]="Ocupada","00:15","00:00")</f>
        <v>00:00</v>
      </c>
      <c r="BK763" cm="1">
        <f t="array" ref="BK763">SUM(IF(Cocina!A:A=Tabla4[[#This Row],[Número de Orden]],Cocina!H:H,0))</f>
        <v>102</v>
      </c>
    </row>
    <row r="764" spans="1:63" x14ac:dyDescent="0.3">
      <c r="A764" s="8" t="str">
        <f>MID(Tabla4[[#This Row],[Cliente]], SEARCH("_", Tabla4[[#This Row],[Cliente]]) + 1, LEN(Tabla4[[#This Row],[Cliente]]) - SEARCH("_",Tabla4[[#This Row],[Cliente]]))</f>
        <v>729</v>
      </c>
      <c r="B764">
        <f>sala!K763</f>
        <v>762</v>
      </c>
      <c r="C764">
        <f>Tabla4[[#This Row],[Propina]]+Tabla4[[#This Row],[Precio Cena]]</f>
        <v>5044</v>
      </c>
      <c r="D764" s="3">
        <f>INT(sala!E763)</f>
        <v>45023</v>
      </c>
      <c r="E764" s="4">
        <f>MOD( sala!D763,1)</f>
        <v>5.4166666668606922E-2</v>
      </c>
      <c r="F764" s="4">
        <f>MOD( sala!E763,1)</f>
        <v>0.14236111110949423</v>
      </c>
      <c r="G764" s="4">
        <f>Tabla5[[#This Row],[Hora de Salida]]-Tabla5[[#This Row],[Hora de Llegada]]+Tabla4[[#This Row],[Tiempo Extra]]</f>
        <v>8.819444444088731E-2</v>
      </c>
      <c r="H764" s="5" t="str">
        <f>TEXT(Tabla4[[#This Row],[Preparación en horas]]/1440, "h:mm")</f>
        <v>0:29</v>
      </c>
      <c r="I764" s="4">
        <f>IF(Tabla5[[#This Row],[Tiempo Permanencia]]-Tabla5[[#This Row],[Tiempo de Preparación ]]&gt;=0,Tabla5[[#This Row],[Tiempo Permanencia]]-Tabla5[[#This Row],[Tiempo de Preparación ]],0)</f>
        <v>6.8055555551998423E-2</v>
      </c>
      <c r="J764" s="5" t="str">
        <f>IF(Tabla5[[#This Row],[Tiempo de Degustación]]=0,"No Cobrada","Cobrada")</f>
        <v>Cobrada</v>
      </c>
      <c r="K764" s="5" cm="1">
        <f t="array" ref="K764">SUM(IF(Tabla5[[#This Row],[Orden Cobrada]]="Cobrada",IF(Cocina!A:A=Tabla5[[#This Row],[Nº Orden]],Cocina!F:F*Cocina!G:G,0),-Tabla6[[#This Row],[Precio Cena]]))</f>
        <v>99</v>
      </c>
      <c r="L764" s="5">
        <f>IF(Tabla5[[#This Row],[Orden Cobrada]]="Cobrada",Tabla5[[#This Row],[Ganancia Bruta]]-Tabla6[[#This Row],[Coste Cena]],-Tabla6[[#This Row],[Precio Cena]]+Tabla6[[#This Row],[Coste Cena]])</f>
        <v>41</v>
      </c>
      <c r="M764" s="10">
        <f>IF(Tabla5[[#This Row],[Orden Cobrada]]="Cobrada",((Tabla5[[#This Row],[Ganancia Neta]]/Tabla5[[#This Row],[Ganancia Bruta]])*100)/100,-((Tabla5[[#This Row],[Ganancia Neta]]/Tabla5[[#This Row],[Ganancia Bruta]]*100)/100))</f>
        <v>0.41414141414141414</v>
      </c>
      <c r="N764" s="5" t="str">
        <f>sala!F763</f>
        <v>Mesero_5</v>
      </c>
      <c r="AY764" cm="1">
        <f t="array" ref="AY764">SUM(IF(Cocina!A:A=Tabla5[[#This Row],[Nº Orden]],Cocina!F:F*Cocina!G:G,0))</f>
        <v>99</v>
      </c>
      <c r="AZ764" cm="1">
        <f t="array" ref="AZ764">SUM(IF(Cocina!A:A=Tabla5[[#This Row],[Nº Orden]],Cocina!E:E*Cocina!G:G,0))</f>
        <v>58</v>
      </c>
      <c r="BB764" t="str">
        <f>MID(Tabla4[[#This Row],[Cliente]], SEARCH("_", Tabla4[[#This Row],[Cliente]]) + 1, LEN(Tabla4[[#This Row],[Cliente]]) - SEARCH("_",Tabla4[[#This Row],[Cliente]]))</f>
        <v>729</v>
      </c>
      <c r="BC764" t="str">
        <f>sala!B763</f>
        <v>Cliente_729</v>
      </c>
      <c r="BD764" s="1">
        <f>sala!D763</f>
        <v>45023.054166666669</v>
      </c>
      <c r="BE764" s="1">
        <f>sala!E763</f>
        <v>45023.142361111109</v>
      </c>
      <c r="BF764">
        <f>sala!K763</f>
        <v>762</v>
      </c>
      <c r="BG764">
        <f>sala!I763</f>
        <v>4945</v>
      </c>
      <c r="BH764" cm="1">
        <f t="array" ref="BH764">SUM(IF(Cocina!A:A=Tabla4[[#This Row],[Número de Orden]],Cocina!F:F*Cocina!G:G,0))</f>
        <v>99</v>
      </c>
      <c r="BI764" t="str">
        <f>sala!J763</f>
        <v>Reservada</v>
      </c>
      <c r="BJ764" s="4" t="str">
        <f>IF(Tabla4[[#This Row],[Estado mesa]]="Ocupada","00:15","00:00")</f>
        <v>00:00</v>
      </c>
      <c r="BK764" cm="1">
        <f t="array" ref="BK764">SUM(IF(Cocina!A:A=Tabla4[[#This Row],[Número de Orden]],Cocina!H:H,0))</f>
        <v>29</v>
      </c>
    </row>
    <row r="765" spans="1:63" x14ac:dyDescent="0.3">
      <c r="A765" s="8" t="str">
        <f>MID(Tabla4[[#This Row],[Cliente]], SEARCH("_", Tabla4[[#This Row],[Cliente]]) + 1, LEN(Tabla4[[#This Row],[Cliente]]) - SEARCH("_",Tabla4[[#This Row],[Cliente]]))</f>
        <v>351</v>
      </c>
      <c r="B765">
        <f>sala!K764</f>
        <v>763</v>
      </c>
      <c r="C765">
        <f>Tabla4[[#This Row],[Propina]]+Tabla4[[#This Row],[Precio Cena]]</f>
        <v>2392</v>
      </c>
      <c r="D765" s="3">
        <f>INT(sala!E764)</f>
        <v>45023</v>
      </c>
      <c r="E765" s="4">
        <f>MOD( sala!D764,1)</f>
        <v>0.15902777777955635</v>
      </c>
      <c r="F765" s="4">
        <f>MOD( sala!E764,1)</f>
        <v>0.21666666666715173</v>
      </c>
      <c r="G765" s="4">
        <f>Tabla5[[#This Row],[Hora de Salida]]-Tabla5[[#This Row],[Hora de Llegada]]+Tabla4[[#This Row],[Tiempo Extra]]</f>
        <v>5.7638888887595385E-2</v>
      </c>
      <c r="H765" s="5" t="str">
        <f>TEXT(Tabla4[[#This Row],[Preparación en horas]]/1440, "h:mm")</f>
        <v>0:32</v>
      </c>
      <c r="I765" s="4">
        <f>IF(Tabla5[[#This Row],[Tiempo Permanencia]]-Tabla5[[#This Row],[Tiempo de Preparación ]]&gt;=0,Tabla5[[#This Row],[Tiempo Permanencia]]-Tabla5[[#This Row],[Tiempo de Preparación ]],0)</f>
        <v>3.5416666665373159E-2</v>
      </c>
      <c r="J765" s="5" t="str">
        <f>IF(Tabla5[[#This Row],[Tiempo de Degustación]]=0,"No Cobrada","Cobrada")</f>
        <v>Cobrada</v>
      </c>
      <c r="K765" s="5" cm="1">
        <f t="array" ref="K765">SUM(IF(Tabla5[[#This Row],[Orden Cobrada]]="Cobrada",IF(Cocina!A:A=Tabla5[[#This Row],[Nº Orden]],Cocina!F:F*Cocina!G:G,0),-Tabla6[[#This Row],[Precio Cena]]))</f>
        <v>104</v>
      </c>
      <c r="L765" s="5">
        <f>IF(Tabla5[[#This Row],[Orden Cobrada]]="Cobrada",Tabla5[[#This Row],[Ganancia Bruta]]-Tabla6[[#This Row],[Coste Cena]],-Tabla6[[#This Row],[Precio Cena]]+Tabla6[[#This Row],[Coste Cena]])</f>
        <v>42</v>
      </c>
      <c r="M765" s="10">
        <f>IF(Tabla5[[#This Row],[Orden Cobrada]]="Cobrada",((Tabla5[[#This Row],[Ganancia Neta]]/Tabla5[[#This Row],[Ganancia Bruta]])*100)/100,-((Tabla5[[#This Row],[Ganancia Neta]]/Tabla5[[#This Row],[Ganancia Bruta]]*100)/100))</f>
        <v>0.40384615384615385</v>
      </c>
      <c r="N765" s="5" t="str">
        <f>sala!F764</f>
        <v>Mesero_4</v>
      </c>
      <c r="AY765" cm="1">
        <f t="array" ref="AY765">SUM(IF(Cocina!A:A=Tabla5[[#This Row],[Nº Orden]],Cocina!F:F*Cocina!G:G,0))</f>
        <v>104</v>
      </c>
      <c r="AZ765" cm="1">
        <f t="array" ref="AZ765">SUM(IF(Cocina!A:A=Tabla5[[#This Row],[Nº Orden]],Cocina!E:E*Cocina!G:G,0))</f>
        <v>62</v>
      </c>
      <c r="BB765" t="str">
        <f>MID(Tabla4[[#This Row],[Cliente]], SEARCH("_", Tabla4[[#This Row],[Cliente]]) + 1, LEN(Tabla4[[#This Row],[Cliente]]) - SEARCH("_",Tabla4[[#This Row],[Cliente]]))</f>
        <v>351</v>
      </c>
      <c r="BC765" t="str">
        <f>sala!B764</f>
        <v>Cliente_351</v>
      </c>
      <c r="BD765" s="1">
        <f>sala!D764</f>
        <v>45023.15902777778</v>
      </c>
      <c r="BE765" s="1">
        <f>sala!E764</f>
        <v>45023.216666666667</v>
      </c>
      <c r="BF765">
        <f>sala!K764</f>
        <v>763</v>
      </c>
      <c r="BG765">
        <f>sala!I764</f>
        <v>2288</v>
      </c>
      <c r="BH765" cm="1">
        <f t="array" ref="BH765">SUM(IF(Cocina!A:A=Tabla4[[#This Row],[Número de Orden]],Cocina!F:F*Cocina!G:G,0))</f>
        <v>104</v>
      </c>
      <c r="BI765" t="str">
        <f>sala!J764</f>
        <v>Reservada</v>
      </c>
      <c r="BJ765" s="4" t="str">
        <f>IF(Tabla4[[#This Row],[Estado mesa]]="Ocupada","00:15","00:00")</f>
        <v>00:00</v>
      </c>
      <c r="BK765" cm="1">
        <f t="array" ref="BK765">SUM(IF(Cocina!A:A=Tabla4[[#This Row],[Número de Orden]],Cocina!H:H,0))</f>
        <v>32</v>
      </c>
    </row>
    <row r="766" spans="1:63" x14ac:dyDescent="0.3">
      <c r="A766" s="8" t="str">
        <f>MID(Tabla4[[#This Row],[Cliente]], SEARCH("_", Tabla4[[#This Row],[Cliente]]) + 1, LEN(Tabla4[[#This Row],[Cliente]]) - SEARCH("_",Tabla4[[#This Row],[Cliente]]))</f>
        <v>227</v>
      </c>
      <c r="B766">
        <f>sala!K765</f>
        <v>764</v>
      </c>
      <c r="C766">
        <f>Tabla4[[#This Row],[Propina]]+Tabla4[[#This Row],[Precio Cena]]</f>
        <v>2126</v>
      </c>
      <c r="D766" s="3">
        <f>INT(sala!E765)</f>
        <v>45023</v>
      </c>
      <c r="E766" s="4">
        <f>MOD( sala!D765,1)</f>
        <v>0.14583333333575865</v>
      </c>
      <c r="F766" s="4">
        <f>MOD( sala!E765,1)</f>
        <v>0.24027777777519077</v>
      </c>
      <c r="G766" s="4">
        <f>Tabla5[[#This Row],[Hora de Salida]]-Tabla5[[#This Row],[Hora de Llegada]]+Tabla4[[#This Row],[Tiempo Extra]]</f>
        <v>0.10486111110609879</v>
      </c>
      <c r="H766" s="5" t="str">
        <f>TEXT(Tabla4[[#This Row],[Preparación en horas]]/1440, "h:mm")</f>
        <v>1:52</v>
      </c>
      <c r="I766" s="4">
        <f>IF(Tabla5[[#This Row],[Tiempo Permanencia]]-Tabla5[[#This Row],[Tiempo de Preparación ]]&gt;=0,Tabla5[[#This Row],[Tiempo Permanencia]]-Tabla5[[#This Row],[Tiempo de Preparación ]],0)</f>
        <v>2.708333332832101E-2</v>
      </c>
      <c r="J766" s="5" t="str">
        <f>IF(Tabla5[[#This Row],[Tiempo de Degustación]]=0,"No Cobrada","Cobrada")</f>
        <v>Cobrada</v>
      </c>
      <c r="K766" s="5" cm="1">
        <f t="array" ref="K766">SUM(IF(Tabla5[[#This Row],[Orden Cobrada]]="Cobrada",IF(Cocina!A:A=Tabla5[[#This Row],[Nº Orden]],Cocina!F:F*Cocina!G:G,0),-Tabla6[[#This Row],[Precio Cena]]))</f>
        <v>85</v>
      </c>
      <c r="L766" s="5">
        <f>IF(Tabla5[[#This Row],[Orden Cobrada]]="Cobrada",Tabla5[[#This Row],[Ganancia Bruta]]-Tabla6[[#This Row],[Coste Cena]],-Tabla6[[#This Row],[Precio Cena]]+Tabla6[[#This Row],[Coste Cena]])</f>
        <v>35</v>
      </c>
      <c r="M766" s="10">
        <f>IF(Tabla5[[#This Row],[Orden Cobrada]]="Cobrada",((Tabla5[[#This Row],[Ganancia Neta]]/Tabla5[[#This Row],[Ganancia Bruta]])*100)/100,-((Tabla5[[#This Row],[Ganancia Neta]]/Tabla5[[#This Row],[Ganancia Bruta]]*100)/100))</f>
        <v>0.41176470588235292</v>
      </c>
      <c r="N766" s="5" t="str">
        <f>sala!F765</f>
        <v>Mesero_4</v>
      </c>
      <c r="AY766" cm="1">
        <f t="array" ref="AY766">SUM(IF(Cocina!A:A=Tabla5[[#This Row],[Nº Orden]],Cocina!F:F*Cocina!G:G,0))</f>
        <v>85</v>
      </c>
      <c r="AZ766" cm="1">
        <f t="array" ref="AZ766">SUM(IF(Cocina!A:A=Tabla5[[#This Row],[Nº Orden]],Cocina!E:E*Cocina!G:G,0))</f>
        <v>50</v>
      </c>
      <c r="BB766" t="str">
        <f>MID(Tabla4[[#This Row],[Cliente]], SEARCH("_", Tabla4[[#This Row],[Cliente]]) + 1, LEN(Tabla4[[#This Row],[Cliente]]) - SEARCH("_",Tabla4[[#This Row],[Cliente]]))</f>
        <v>227</v>
      </c>
      <c r="BC766" t="str">
        <f>sala!B765</f>
        <v>Cliente_227</v>
      </c>
      <c r="BD766" s="1">
        <f>sala!D765</f>
        <v>45023.145833333336</v>
      </c>
      <c r="BE766" s="1">
        <f>sala!E765</f>
        <v>45023.240277777775</v>
      </c>
      <c r="BF766">
        <f>sala!K765</f>
        <v>764</v>
      </c>
      <c r="BG766">
        <f>sala!I765</f>
        <v>2041</v>
      </c>
      <c r="BH766" cm="1">
        <f t="array" ref="BH766">SUM(IF(Cocina!A:A=Tabla4[[#This Row],[Número de Orden]],Cocina!F:F*Cocina!G:G,0))</f>
        <v>85</v>
      </c>
      <c r="BI766" t="str">
        <f>sala!J765</f>
        <v>Ocupada</v>
      </c>
      <c r="BJ766" s="4" t="str">
        <f>IF(Tabla4[[#This Row],[Estado mesa]]="Ocupada","00:15","00:00")</f>
        <v>00:15</v>
      </c>
      <c r="BK766" cm="1">
        <f t="array" ref="BK766">SUM(IF(Cocina!A:A=Tabla4[[#This Row],[Número de Orden]],Cocina!H:H,0))</f>
        <v>112</v>
      </c>
    </row>
    <row r="767" spans="1:63" x14ac:dyDescent="0.3">
      <c r="A767" s="8" t="str">
        <f>MID(Tabla4[[#This Row],[Cliente]], SEARCH("_", Tabla4[[#This Row],[Cliente]]) + 1, LEN(Tabla4[[#This Row],[Cliente]]) - SEARCH("_",Tabla4[[#This Row],[Cliente]]))</f>
        <v>825</v>
      </c>
      <c r="B767">
        <f>sala!K766</f>
        <v>765</v>
      </c>
      <c r="C767">
        <f>Tabla4[[#This Row],[Propina]]+Tabla4[[#This Row],[Precio Cena]]</f>
        <v>3310</v>
      </c>
      <c r="D767" s="3">
        <f>INT(sala!E766)</f>
        <v>45023</v>
      </c>
      <c r="E767" s="4">
        <f>MOD( sala!D766,1)</f>
        <v>1.6666666670062114E-2</v>
      </c>
      <c r="F767" s="4">
        <f>MOD( sala!E766,1)</f>
        <v>6.7361111112404615E-2</v>
      </c>
      <c r="G767" s="4">
        <f>Tabla5[[#This Row],[Hora de Salida]]-Tabla5[[#This Row],[Hora de Llegada]]+Tabla4[[#This Row],[Tiempo Extra]]</f>
        <v>5.0694444442342501E-2</v>
      </c>
      <c r="H767" s="5" t="str">
        <f>TEXT(Tabla4[[#This Row],[Preparación en horas]]/1440, "h:mm")</f>
        <v>2:44</v>
      </c>
      <c r="I767" s="4">
        <f>IF(Tabla5[[#This Row],[Tiempo Permanencia]]-Tabla5[[#This Row],[Tiempo de Preparación ]]&gt;=0,Tabla5[[#This Row],[Tiempo Permanencia]]-Tabla5[[#This Row],[Tiempo de Preparación ]],0)</f>
        <v>0</v>
      </c>
      <c r="J767" s="5" t="str">
        <f>IF(Tabla5[[#This Row],[Tiempo de Degustación]]=0,"No Cobrada","Cobrada")</f>
        <v>No Cobrada</v>
      </c>
      <c r="K767" s="5" cm="1">
        <f t="array" ref="K767">SUM(IF(Tabla5[[#This Row],[Orden Cobrada]]="Cobrada",IF(Cocina!A:A=Tabla5[[#This Row],[Nº Orden]],Cocina!F:F*Cocina!G:G,0),-Tabla6[[#This Row],[Precio Cena]]))</f>
        <v>-233</v>
      </c>
      <c r="L767" s="5">
        <f>IF(Tabla5[[#This Row],[Orden Cobrada]]="Cobrada",Tabla5[[#This Row],[Ganancia Bruta]]-Tabla6[[#This Row],[Coste Cena]],-Tabla6[[#This Row],[Precio Cena]]+Tabla6[[#This Row],[Coste Cena]])</f>
        <v>-95</v>
      </c>
      <c r="M767" s="10">
        <f>IF(Tabla5[[#This Row],[Orden Cobrada]]="Cobrada",((Tabla5[[#This Row],[Ganancia Neta]]/Tabla5[[#This Row],[Ganancia Bruta]])*100)/100,-((Tabla5[[#This Row],[Ganancia Neta]]/Tabla5[[#This Row],[Ganancia Bruta]]*100)/100))</f>
        <v>-0.40772532188841204</v>
      </c>
      <c r="N767" s="5" t="str">
        <f>sala!F766</f>
        <v>Mesero_3</v>
      </c>
      <c r="AY767" cm="1">
        <f t="array" ref="AY767">SUM(IF(Cocina!A:A=Tabla5[[#This Row],[Nº Orden]],Cocina!F:F*Cocina!G:G,0))</f>
        <v>233</v>
      </c>
      <c r="AZ767" cm="1">
        <f t="array" ref="AZ767">SUM(IF(Cocina!A:A=Tabla5[[#This Row],[Nº Orden]],Cocina!E:E*Cocina!G:G,0))</f>
        <v>138</v>
      </c>
      <c r="BB767" t="str">
        <f>MID(Tabla4[[#This Row],[Cliente]], SEARCH("_", Tabla4[[#This Row],[Cliente]]) + 1, LEN(Tabla4[[#This Row],[Cliente]]) - SEARCH("_",Tabla4[[#This Row],[Cliente]]))</f>
        <v>825</v>
      </c>
      <c r="BC767" t="str">
        <f>sala!B766</f>
        <v>Cliente_825</v>
      </c>
      <c r="BD767" s="1">
        <f>sala!D766</f>
        <v>45023.01666666667</v>
      </c>
      <c r="BE767" s="1">
        <f>sala!E766</f>
        <v>45023.067361111112</v>
      </c>
      <c r="BF767">
        <f>sala!K766</f>
        <v>765</v>
      </c>
      <c r="BG767">
        <f>sala!I766</f>
        <v>3077</v>
      </c>
      <c r="BH767" cm="1">
        <f t="array" ref="BH767">SUM(IF(Cocina!A:A=Tabla4[[#This Row],[Número de Orden]],Cocina!F:F*Cocina!G:G,0))</f>
        <v>233</v>
      </c>
      <c r="BI767" t="str">
        <f>sala!J766</f>
        <v>Libre</v>
      </c>
      <c r="BJ767" s="4" t="str">
        <f>IF(Tabla4[[#This Row],[Estado mesa]]="Ocupada","00:15","00:00")</f>
        <v>00:00</v>
      </c>
      <c r="BK767" cm="1">
        <f t="array" ref="BK767">SUM(IF(Cocina!A:A=Tabla4[[#This Row],[Número de Orden]],Cocina!H:H,0))</f>
        <v>164</v>
      </c>
    </row>
    <row r="768" spans="1:63" x14ac:dyDescent="0.3">
      <c r="A768" s="8" t="str">
        <f>MID(Tabla4[[#This Row],[Cliente]], SEARCH("_", Tabla4[[#This Row],[Cliente]]) + 1, LEN(Tabla4[[#This Row],[Cliente]]) - SEARCH("_",Tabla4[[#This Row],[Cliente]]))</f>
        <v>175</v>
      </c>
      <c r="B768">
        <f>sala!K767</f>
        <v>766</v>
      </c>
      <c r="C768">
        <f>Tabla4[[#This Row],[Propina]]+Tabla4[[#This Row],[Precio Cena]]</f>
        <v>1442</v>
      </c>
      <c r="D768" s="3">
        <f>INT(sala!E767)</f>
        <v>45023</v>
      </c>
      <c r="E768" s="4">
        <f>MOD( sala!D767,1)</f>
        <v>6.5277777779556345E-2</v>
      </c>
      <c r="F768" s="4">
        <f>MOD( sala!E767,1)</f>
        <v>0.20138888889050577</v>
      </c>
      <c r="G768" s="4">
        <f>Tabla5[[#This Row],[Hora de Salida]]-Tabla5[[#This Row],[Hora de Llegada]]+Tabla4[[#This Row],[Tiempo Extra]]</f>
        <v>0.13611111111094942</v>
      </c>
      <c r="H768" s="5" t="str">
        <f>TEXT(Tabla4[[#This Row],[Preparación en horas]]/1440, "h:mm")</f>
        <v>2:14</v>
      </c>
      <c r="I768" s="4">
        <f>IF(Tabla5[[#This Row],[Tiempo Permanencia]]-Tabla5[[#This Row],[Tiempo de Preparación ]]&gt;=0,Tabla5[[#This Row],[Tiempo Permanencia]]-Tabla5[[#This Row],[Tiempo de Preparación ]],0)</f>
        <v>4.3055555555393865E-2</v>
      </c>
      <c r="J768" s="5" t="str">
        <f>IF(Tabla5[[#This Row],[Tiempo de Degustación]]=0,"No Cobrada","Cobrada")</f>
        <v>Cobrada</v>
      </c>
      <c r="K768" s="5" cm="1">
        <f t="array" ref="K768">SUM(IF(Tabla5[[#This Row],[Orden Cobrada]]="Cobrada",IF(Cocina!A:A=Tabla5[[#This Row],[Nº Orden]],Cocina!F:F*Cocina!G:G,0),-Tabla6[[#This Row],[Precio Cena]]))</f>
        <v>185</v>
      </c>
      <c r="L768" s="5">
        <f>IF(Tabla5[[#This Row],[Orden Cobrada]]="Cobrada",Tabla5[[#This Row],[Ganancia Bruta]]-Tabla6[[#This Row],[Coste Cena]],-Tabla6[[#This Row],[Precio Cena]]+Tabla6[[#This Row],[Coste Cena]])</f>
        <v>74</v>
      </c>
      <c r="M768" s="10">
        <f>IF(Tabla5[[#This Row],[Orden Cobrada]]="Cobrada",((Tabla5[[#This Row],[Ganancia Neta]]/Tabla5[[#This Row],[Ganancia Bruta]])*100)/100,-((Tabla5[[#This Row],[Ganancia Neta]]/Tabla5[[#This Row],[Ganancia Bruta]]*100)/100))</f>
        <v>0.4</v>
      </c>
      <c r="N768" s="5" t="str">
        <f>sala!F767</f>
        <v>Mesero_2</v>
      </c>
      <c r="AY768" cm="1">
        <f t="array" ref="AY768">SUM(IF(Cocina!A:A=Tabla5[[#This Row],[Nº Orden]],Cocina!F:F*Cocina!G:G,0))</f>
        <v>185</v>
      </c>
      <c r="AZ768" cm="1">
        <f t="array" ref="AZ768">SUM(IF(Cocina!A:A=Tabla5[[#This Row],[Nº Orden]],Cocina!E:E*Cocina!G:G,0))</f>
        <v>111</v>
      </c>
      <c r="BB768" t="str">
        <f>MID(Tabla4[[#This Row],[Cliente]], SEARCH("_", Tabla4[[#This Row],[Cliente]]) + 1, LEN(Tabla4[[#This Row],[Cliente]]) - SEARCH("_",Tabla4[[#This Row],[Cliente]]))</f>
        <v>175</v>
      </c>
      <c r="BC768" t="str">
        <f>sala!B767</f>
        <v>Cliente_175</v>
      </c>
      <c r="BD768" s="1">
        <f>sala!D767</f>
        <v>45023.06527777778</v>
      </c>
      <c r="BE768" s="1">
        <f>sala!E767</f>
        <v>45023.201388888891</v>
      </c>
      <c r="BF768">
        <f>sala!K767</f>
        <v>766</v>
      </c>
      <c r="BG768">
        <f>sala!I767</f>
        <v>1257</v>
      </c>
      <c r="BH768" cm="1">
        <f t="array" ref="BH768">SUM(IF(Cocina!A:A=Tabla4[[#This Row],[Número de Orden]],Cocina!F:F*Cocina!G:G,0))</f>
        <v>185</v>
      </c>
      <c r="BI768" t="str">
        <f>sala!J767</f>
        <v>Reservada</v>
      </c>
      <c r="BJ768" s="4" t="str">
        <f>IF(Tabla4[[#This Row],[Estado mesa]]="Ocupada","00:15","00:00")</f>
        <v>00:00</v>
      </c>
      <c r="BK768" cm="1">
        <f t="array" ref="BK768">SUM(IF(Cocina!A:A=Tabla4[[#This Row],[Número de Orden]],Cocina!H:H,0))</f>
        <v>134</v>
      </c>
    </row>
    <row r="769" spans="1:63" x14ac:dyDescent="0.3">
      <c r="A769" s="8" t="str">
        <f>MID(Tabla4[[#This Row],[Cliente]], SEARCH("_", Tabla4[[#This Row],[Cliente]]) + 1, LEN(Tabla4[[#This Row],[Cliente]]) - SEARCH("_",Tabla4[[#This Row],[Cliente]]))</f>
        <v>757</v>
      </c>
      <c r="B769">
        <f>sala!K768</f>
        <v>767</v>
      </c>
      <c r="C769">
        <f>Tabla4[[#This Row],[Propina]]+Tabla4[[#This Row],[Precio Cena]]</f>
        <v>1767</v>
      </c>
      <c r="D769" s="3">
        <f>INT(sala!E768)</f>
        <v>45023</v>
      </c>
      <c r="E769" s="4">
        <f>MOD( sala!D768,1)</f>
        <v>4.7222222223354038E-2</v>
      </c>
      <c r="F769" s="4">
        <f>MOD( sala!E768,1)</f>
        <v>0.16458333333139308</v>
      </c>
      <c r="G769" s="4">
        <f>Tabla5[[#This Row],[Hora de Salida]]-Tabla5[[#This Row],[Hora de Llegada]]+Tabla4[[#This Row],[Tiempo Extra]]</f>
        <v>0.11736111110803904</v>
      </c>
      <c r="H769" s="5" t="str">
        <f>TEXT(Tabla4[[#This Row],[Preparación en horas]]/1440, "h:mm")</f>
        <v>1:25</v>
      </c>
      <c r="I769" s="4">
        <f>IF(Tabla5[[#This Row],[Tiempo Permanencia]]-Tabla5[[#This Row],[Tiempo de Preparación ]]&gt;=0,Tabla5[[#This Row],[Tiempo Permanencia]]-Tabla5[[#This Row],[Tiempo de Preparación ]],0)</f>
        <v>5.8333333330261264E-2</v>
      </c>
      <c r="J769" s="5" t="str">
        <f>IF(Tabla5[[#This Row],[Tiempo de Degustación]]=0,"No Cobrada","Cobrada")</f>
        <v>Cobrada</v>
      </c>
      <c r="K769" s="5" cm="1">
        <f t="array" ref="K769">SUM(IF(Tabla5[[#This Row],[Orden Cobrada]]="Cobrada",IF(Cocina!A:A=Tabla5[[#This Row],[Nº Orden]],Cocina!F:F*Cocina!G:G,0),-Tabla6[[#This Row],[Precio Cena]]))</f>
        <v>169</v>
      </c>
      <c r="L769" s="5">
        <f>IF(Tabla5[[#This Row],[Orden Cobrada]]="Cobrada",Tabla5[[#This Row],[Ganancia Bruta]]-Tabla6[[#This Row],[Coste Cena]],-Tabla6[[#This Row],[Precio Cena]]+Tabla6[[#This Row],[Coste Cena]])</f>
        <v>68</v>
      </c>
      <c r="M769" s="10">
        <f>IF(Tabla5[[#This Row],[Orden Cobrada]]="Cobrada",((Tabla5[[#This Row],[Ganancia Neta]]/Tabla5[[#This Row],[Ganancia Bruta]])*100)/100,-((Tabla5[[#This Row],[Ganancia Neta]]/Tabla5[[#This Row],[Ganancia Bruta]]*100)/100))</f>
        <v>0.4023668639053255</v>
      </c>
      <c r="N769" s="5" t="str">
        <f>sala!F768</f>
        <v>Mesero_2</v>
      </c>
      <c r="AY769" cm="1">
        <f t="array" ref="AY769">SUM(IF(Cocina!A:A=Tabla5[[#This Row],[Nº Orden]],Cocina!F:F*Cocina!G:G,0))</f>
        <v>169</v>
      </c>
      <c r="AZ769" cm="1">
        <f t="array" ref="AZ769">SUM(IF(Cocina!A:A=Tabla5[[#This Row],[Nº Orden]],Cocina!E:E*Cocina!G:G,0))</f>
        <v>101</v>
      </c>
      <c r="BB769" t="str">
        <f>MID(Tabla4[[#This Row],[Cliente]], SEARCH("_", Tabla4[[#This Row],[Cliente]]) + 1, LEN(Tabla4[[#This Row],[Cliente]]) - SEARCH("_",Tabla4[[#This Row],[Cliente]]))</f>
        <v>757</v>
      </c>
      <c r="BC769" t="str">
        <f>sala!B768</f>
        <v>Cliente_757</v>
      </c>
      <c r="BD769" s="1">
        <f>sala!D768</f>
        <v>45023.047222222223</v>
      </c>
      <c r="BE769" s="1">
        <f>sala!E768</f>
        <v>45023.164583333331</v>
      </c>
      <c r="BF769">
        <f>sala!K768</f>
        <v>767</v>
      </c>
      <c r="BG769">
        <f>sala!I768</f>
        <v>1598</v>
      </c>
      <c r="BH769" cm="1">
        <f t="array" ref="BH769">SUM(IF(Cocina!A:A=Tabla4[[#This Row],[Número de Orden]],Cocina!F:F*Cocina!G:G,0))</f>
        <v>169</v>
      </c>
      <c r="BI769" t="str">
        <f>sala!J768</f>
        <v>Reservada</v>
      </c>
      <c r="BJ769" s="4" t="str">
        <f>IF(Tabla4[[#This Row],[Estado mesa]]="Ocupada","00:15","00:00")</f>
        <v>00:00</v>
      </c>
      <c r="BK769" cm="1">
        <f t="array" ref="BK769">SUM(IF(Cocina!A:A=Tabla4[[#This Row],[Número de Orden]],Cocina!H:H,0))</f>
        <v>85</v>
      </c>
    </row>
  </sheetData>
  <mergeCells count="2">
    <mergeCell ref="A1:J1"/>
    <mergeCell ref="K1:N1"/>
  </mergeCells>
  <pageMargins left="0.7" right="0.7" top="0.75" bottom="0.75" header="0.3" footer="0.3"/>
  <pageSetup paperSize="9" orientation="portrait" r:id="rId1"/>
  <ignoredErrors>
    <ignoredError sqref="Q4" calculatedColumn="1"/>
  </ignoredErrors>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D0179-B141-48ED-9026-8A718CD602DB}">
  <dimension ref="A1:AE768"/>
  <sheetViews>
    <sheetView topLeftCell="F719" zoomScale="85" zoomScaleNormal="85" workbookViewId="0">
      <selection activeCell="AE766" sqref="AE766"/>
    </sheetView>
  </sheetViews>
  <sheetFormatPr baseColWidth="10" defaultRowHeight="14.4" x14ac:dyDescent="0.3"/>
  <cols>
    <col min="1" max="1" width="16.88671875" customWidth="1"/>
    <col min="2" max="2" width="18.5546875" customWidth="1"/>
    <col min="3" max="3" width="14.44140625" customWidth="1"/>
    <col min="4" max="4" width="12" bestFit="1" customWidth="1"/>
    <col min="22" max="22" width="14.5546875" customWidth="1"/>
    <col min="26" max="26" width="15.6640625" bestFit="1" customWidth="1"/>
    <col min="31" max="31" width="23.44140625" customWidth="1"/>
  </cols>
  <sheetData>
    <row r="1" spans="1:31" ht="37.200000000000003" customHeight="1" x14ac:dyDescent="0.3">
      <c r="A1" s="2" t="s">
        <v>6</v>
      </c>
      <c r="B1" s="2" t="s">
        <v>658</v>
      </c>
      <c r="C1" s="2" t="s">
        <v>657</v>
      </c>
      <c r="S1" s="14" t="s">
        <v>639</v>
      </c>
      <c r="T1" s="14" t="s">
        <v>656</v>
      </c>
      <c r="U1" s="14" t="s">
        <v>8</v>
      </c>
      <c r="V1" s="14" t="s">
        <v>640</v>
      </c>
      <c r="W1" s="14" t="s">
        <v>660</v>
      </c>
      <c r="X1" s="14" t="s">
        <v>6</v>
      </c>
      <c r="Y1" s="14" t="s">
        <v>659</v>
      </c>
      <c r="Z1" s="14" t="s">
        <v>7</v>
      </c>
      <c r="AA1" s="14" t="s">
        <v>664</v>
      </c>
      <c r="AB1" s="14" t="s">
        <v>11</v>
      </c>
      <c r="AC1" s="14" t="s">
        <v>669</v>
      </c>
      <c r="AD1" s="14" t="s">
        <v>673</v>
      </c>
      <c r="AE1" s="14" t="s">
        <v>695</v>
      </c>
    </row>
    <row r="2" spans="1:31" x14ac:dyDescent="0.3">
      <c r="A2" t="s">
        <v>48</v>
      </c>
      <c r="B2">
        <f>COUNTIF(X:X,"Desayuno")</f>
        <v>149</v>
      </c>
      <c r="C2" s="27">
        <f>SUMIF(X:X,"Desayuno",W:W)</f>
        <v>362911</v>
      </c>
      <c r="S2" s="15" t="str">
        <f>'Conjunto de Datos'!BB3</f>
        <v>724</v>
      </c>
      <c r="T2" s="15">
        <f>'Conjunto de Datos'!BF3</f>
        <v>1</v>
      </c>
      <c r="U2" s="6">
        <f>sala!I2</f>
        <v>4855</v>
      </c>
      <c r="V2" cm="1">
        <f t="array" ref="V2">SUM(IF(Cocina!A:A=Tabla8[[#This Row],[Numero de Orden]],Cocina!F:F*Cocina!G:G,0))</f>
        <v>138</v>
      </c>
      <c r="W2">
        <f>IF(Tabla8[[#This Row],[Cobrado]]="Cobrada",Tabla8[[#This Row],[Propina]]+Tabla8[[#This Row],[Precio Cena]],0)</f>
        <v>4993</v>
      </c>
      <c r="X2" t="str">
        <f>INDEX(sala!G:G, MATCH(Tabla8[[#This Row],[Numero de Orden]], sala!K:K, 0))</f>
        <v>Almuerzo</v>
      </c>
      <c r="Y2" t="str">
        <f>'Conjunto de Datos'!J3</f>
        <v>Cobrada</v>
      </c>
      <c r="Z2" t="str">
        <f>INDEX(sala!H:H, MATCH(Tabla8[[#This Row],[Numero de Orden]], sala!K:K, 0))</f>
        <v>Tarjeta de débito</v>
      </c>
      <c r="AA2" s="3">
        <f>'Conjunto de Datos'!D3</f>
        <v>45017</v>
      </c>
      <c r="AB2" t="str">
        <f>INDEX(sala!L:L, MATCH(Tabla8[[#This Row],[Numero de Orden]], sala!K:K, 0))</f>
        <v>España</v>
      </c>
      <c r="AC2" t="str">
        <f>'Conjunto de Datos'!N3</f>
        <v>Mesero_3</v>
      </c>
      <c r="AD2">
        <f>Tabla8[[#This Row],[Propina]]+Tabla8[[#This Row],[Precio Cena]]</f>
        <v>4993</v>
      </c>
      <c r="AE2" s="45">
        <f>IF(Y2 = "Cobrada",V2,0)</f>
        <v>138</v>
      </c>
    </row>
    <row r="3" spans="1:31" x14ac:dyDescent="0.3">
      <c r="A3" t="s">
        <v>22</v>
      </c>
      <c r="B3">
        <f>COUNTIF(X:X,"Almuerzo")</f>
        <v>459</v>
      </c>
      <c r="C3" s="27">
        <f>SUMIF(X:X,"Almuerzo",W:W)</f>
        <v>1117274</v>
      </c>
      <c r="S3" t="str">
        <f>'Conjunto de Datos'!BB4</f>
        <v>538</v>
      </c>
      <c r="T3">
        <f>'Conjunto de Datos'!BF4</f>
        <v>2</v>
      </c>
      <c r="U3" s="7">
        <f>sala!I3</f>
        <v>433</v>
      </c>
      <c r="V3" cm="1">
        <f t="array" ref="V3">SUM(IF(Cocina!A:A=Tabla8[[#This Row],[Numero de Orden]],Cocina!F:F*Cocina!G:G,0))</f>
        <v>58</v>
      </c>
      <c r="W3">
        <f>IF(Tabla8[[#This Row],[Cobrado]]="Cobrada",Tabla8[[#This Row],[Propina]]+Tabla8[[#This Row],[Precio Cena]],0)</f>
        <v>491</v>
      </c>
      <c r="X3" t="str">
        <f>INDEX(sala!G:G, MATCH(Tabla8[[#This Row],[Numero de Orden]], sala!K:K, 0))</f>
        <v>Desayuno</v>
      </c>
      <c r="Y3" t="str">
        <f>'Conjunto de Datos'!J4</f>
        <v>Cobrada</v>
      </c>
      <c r="Z3" t="str">
        <f>INDEX(sala!H:H, MATCH(Tabla8[[#This Row],[Numero de Orden]], sala!K:K, 0))</f>
        <v>Efectivo</v>
      </c>
      <c r="AA3" s="3">
        <f>'Conjunto de Datos'!D4</f>
        <v>45017</v>
      </c>
      <c r="AB3" t="str">
        <f>INDEX(sala!L:L, MATCH(Tabla8[[#This Row],[Numero de Orden]], sala!K:K, 0))</f>
        <v>Colombia</v>
      </c>
      <c r="AC3" t="str">
        <f>'Conjunto de Datos'!N4</f>
        <v>Mesero_1</v>
      </c>
      <c r="AD3">
        <f>Tabla8[[#This Row],[Propina]]+Tabla8[[#This Row],[Precio Cena]]</f>
        <v>491</v>
      </c>
      <c r="AE3" s="45">
        <f>IF(Y3 = "Cobrada",V3,0)</f>
        <v>58</v>
      </c>
    </row>
    <row r="4" spans="1:31" x14ac:dyDescent="0.3">
      <c r="A4" t="s">
        <v>15</v>
      </c>
      <c r="B4">
        <f>COUNTIF(X:X,"Cena")</f>
        <v>159</v>
      </c>
      <c r="C4" s="27">
        <f>SUMIF(X:X,"Cena",W:W)</f>
        <v>379258</v>
      </c>
      <c r="S4" s="15" t="str">
        <f>'Conjunto de Datos'!BB5</f>
        <v>911</v>
      </c>
      <c r="T4" s="15">
        <f>'Conjunto de Datos'!BF5</f>
        <v>3</v>
      </c>
      <c r="U4" s="6">
        <f>sala!I4</f>
        <v>3087</v>
      </c>
      <c r="V4" cm="1">
        <f t="array" ref="V4">SUM(IF(Cocina!A:A=Tabla8[[#This Row],[Numero de Orden]],Cocina!F:F*Cocina!G:G,0))</f>
        <v>165</v>
      </c>
      <c r="W4">
        <f>IF(Tabla8[[#This Row],[Cobrado]]="Cobrada",Tabla8[[#This Row],[Propina]]+Tabla8[[#This Row],[Precio Cena]],0)</f>
        <v>3252</v>
      </c>
      <c r="X4" t="str">
        <f>INDEX(sala!G:G, MATCH(Tabla8[[#This Row],[Numero de Orden]], sala!K:K, 0))</f>
        <v>Desayuno</v>
      </c>
      <c r="Y4" t="str">
        <f>'Conjunto de Datos'!J5</f>
        <v>Cobrada</v>
      </c>
      <c r="Z4" t="str">
        <f>INDEX(sala!H:H, MATCH(Tabla8[[#This Row],[Numero de Orden]], sala!K:K, 0))</f>
        <v>Tarjeta de crédito</v>
      </c>
      <c r="AA4" s="3">
        <f>'Conjunto de Datos'!D5</f>
        <v>45017</v>
      </c>
      <c r="AB4" t="str">
        <f>INDEX(sala!L:L, MATCH(Tabla8[[#This Row],[Numero de Orden]], sala!K:K, 0))</f>
        <v>Brasil</v>
      </c>
      <c r="AC4" t="str">
        <f>'Conjunto de Datos'!N5</f>
        <v>Mesero_2</v>
      </c>
      <c r="AD4">
        <f>Tabla8[[#This Row],[Propina]]+Tabla8[[#This Row],[Precio Cena]]</f>
        <v>3252</v>
      </c>
      <c r="AE4" s="45">
        <f t="shared" ref="AE4:AE67" si="0">IF(Y4 = "Cobrada",V4,0)</f>
        <v>165</v>
      </c>
    </row>
    <row r="5" spans="1:31" x14ac:dyDescent="0.3">
      <c r="S5" t="str">
        <f>'Conjunto de Datos'!BB6</f>
        <v>129</v>
      </c>
      <c r="T5">
        <f>'Conjunto de Datos'!BF6</f>
        <v>4</v>
      </c>
      <c r="U5" s="7">
        <f>sala!I5</f>
        <v>3468</v>
      </c>
      <c r="V5" cm="1">
        <f t="array" ref="V5">SUM(IF(Cocina!A:A=Tabla8[[#This Row],[Numero de Orden]],Cocina!F:F*Cocina!G:G,0))</f>
        <v>183</v>
      </c>
      <c r="W5">
        <f>IF(Tabla8[[#This Row],[Cobrado]]="Cobrada",Tabla8[[#This Row],[Propina]]+Tabla8[[#This Row],[Precio Cena]],0)</f>
        <v>3651</v>
      </c>
      <c r="X5" t="str">
        <f>INDEX(sala!G:G, MATCH(Tabla8[[#This Row],[Numero de Orden]], sala!K:K, 0))</f>
        <v>Almuerzo</v>
      </c>
      <c r="Y5" t="str">
        <f>'Conjunto de Datos'!J6</f>
        <v>Cobrada</v>
      </c>
      <c r="Z5" t="str">
        <f>INDEX(sala!H:H, MATCH(Tabla8[[#This Row],[Numero de Orden]], sala!K:K, 0))</f>
        <v>Tarjeta de crédito</v>
      </c>
      <c r="AA5" s="3">
        <f>'Conjunto de Datos'!D6</f>
        <v>45017</v>
      </c>
      <c r="AB5" t="str">
        <f>INDEX(sala!L:L, MATCH(Tabla8[[#This Row],[Numero de Orden]], sala!K:K, 0))</f>
        <v>Paraguay</v>
      </c>
      <c r="AC5" t="str">
        <f>'Conjunto de Datos'!N6</f>
        <v>Mesero_5</v>
      </c>
      <c r="AD5">
        <f>Tabla8[[#This Row],[Propina]]+Tabla8[[#This Row],[Precio Cena]]</f>
        <v>3651</v>
      </c>
      <c r="AE5" s="45">
        <f t="shared" si="0"/>
        <v>183</v>
      </c>
    </row>
    <row r="6" spans="1:31" x14ac:dyDescent="0.3">
      <c r="S6" s="15" t="str">
        <f>'Conjunto de Datos'!BB7</f>
        <v>938</v>
      </c>
      <c r="T6" s="15">
        <f>'Conjunto de Datos'!BF7</f>
        <v>5</v>
      </c>
      <c r="U6" s="6">
        <f>sala!I6</f>
        <v>2433</v>
      </c>
      <c r="V6" cm="1">
        <f t="array" ref="V6">SUM(IF(Cocina!A:A=Tabla8[[#This Row],[Numero de Orden]],Cocina!F:F*Cocina!G:G,0))</f>
        <v>67</v>
      </c>
      <c r="W6">
        <f>IF(Tabla8[[#This Row],[Cobrado]]="Cobrada",Tabla8[[#This Row],[Propina]]+Tabla8[[#This Row],[Precio Cena]],0)</f>
        <v>2500</v>
      </c>
      <c r="X6" t="str">
        <f>INDEX(sala!G:G, MATCH(Tabla8[[#This Row],[Numero de Orden]], sala!K:K, 0))</f>
        <v>Almuerzo</v>
      </c>
      <c r="Y6" t="str">
        <f>'Conjunto de Datos'!J7</f>
        <v>Cobrada</v>
      </c>
      <c r="Z6" t="str">
        <f>INDEX(sala!H:H, MATCH(Tabla8[[#This Row],[Numero de Orden]], sala!K:K, 0))</f>
        <v>Tarjeta de crédito</v>
      </c>
      <c r="AA6" s="3">
        <f>'Conjunto de Datos'!D7</f>
        <v>45017</v>
      </c>
      <c r="AB6" t="str">
        <f>INDEX(sala!L:L, MATCH(Tabla8[[#This Row],[Numero de Orden]], sala!K:K, 0))</f>
        <v>Perú</v>
      </c>
      <c r="AC6" t="str">
        <f>'Conjunto de Datos'!N7</f>
        <v>Mesero_4</v>
      </c>
      <c r="AD6">
        <f>Tabla8[[#This Row],[Propina]]+Tabla8[[#This Row],[Precio Cena]]</f>
        <v>2500</v>
      </c>
      <c r="AE6" s="45">
        <f t="shared" si="0"/>
        <v>67</v>
      </c>
    </row>
    <row r="7" spans="1:31" x14ac:dyDescent="0.3">
      <c r="S7" t="str">
        <f>'Conjunto de Datos'!BB8</f>
        <v>965</v>
      </c>
      <c r="T7">
        <f>'Conjunto de Datos'!BF8</f>
        <v>6</v>
      </c>
      <c r="U7" s="7">
        <f>sala!I7</f>
        <v>2657</v>
      </c>
      <c r="V7" cm="1">
        <f t="array" ref="V7">SUM(IF(Cocina!A:A=Tabla8[[#This Row],[Numero de Orden]],Cocina!F:F*Cocina!G:G,0))</f>
        <v>70</v>
      </c>
      <c r="W7">
        <f>IF(Tabla8[[#This Row],[Cobrado]]="Cobrada",Tabla8[[#This Row],[Propina]]+Tabla8[[#This Row],[Precio Cena]],0)</f>
        <v>2727</v>
      </c>
      <c r="X7" t="str">
        <f>INDEX(sala!G:G, MATCH(Tabla8[[#This Row],[Numero de Orden]], sala!K:K, 0))</f>
        <v>Cena</v>
      </c>
      <c r="Y7" t="str">
        <f>'Conjunto de Datos'!J8</f>
        <v>Cobrada</v>
      </c>
      <c r="Z7" t="str">
        <f>INDEX(sala!H:H, MATCH(Tabla8[[#This Row],[Numero de Orden]], sala!K:K, 0))</f>
        <v>Tarjeta de crédito</v>
      </c>
      <c r="AA7" s="3">
        <f>'Conjunto de Datos'!D8</f>
        <v>45017</v>
      </c>
      <c r="AB7" t="str">
        <f>INDEX(sala!L:L, MATCH(Tabla8[[#This Row],[Numero de Orden]], sala!K:K, 0))</f>
        <v>Perú</v>
      </c>
      <c r="AC7" t="str">
        <f>'Conjunto de Datos'!N8</f>
        <v>Mesero_4</v>
      </c>
      <c r="AD7">
        <f>Tabla8[[#This Row],[Propina]]+Tabla8[[#This Row],[Precio Cena]]</f>
        <v>2727</v>
      </c>
      <c r="AE7" s="45">
        <f t="shared" si="0"/>
        <v>70</v>
      </c>
    </row>
    <row r="8" spans="1:31" x14ac:dyDescent="0.3">
      <c r="S8" s="15" t="str">
        <f>'Conjunto de Datos'!BB9</f>
        <v>306</v>
      </c>
      <c r="T8" s="15">
        <f>'Conjunto de Datos'!BF9</f>
        <v>7</v>
      </c>
      <c r="U8" s="6">
        <f>sala!I8</f>
        <v>1054</v>
      </c>
      <c r="V8" cm="1">
        <f t="array" ref="V8">SUM(IF(Cocina!A:A=Tabla8[[#This Row],[Numero de Orden]],Cocina!F:F*Cocina!G:G,0))</f>
        <v>172</v>
      </c>
      <c r="W8">
        <f>IF(Tabla8[[#This Row],[Cobrado]]="Cobrada",Tabla8[[#This Row],[Propina]]+Tabla8[[#This Row],[Precio Cena]],0)</f>
        <v>1226</v>
      </c>
      <c r="X8" t="str">
        <f>INDEX(sala!G:G, MATCH(Tabla8[[#This Row],[Numero de Orden]], sala!K:K, 0))</f>
        <v>Cena</v>
      </c>
      <c r="Y8" t="str">
        <f>'Conjunto de Datos'!J9</f>
        <v>Cobrada</v>
      </c>
      <c r="Z8" t="str">
        <f>INDEX(sala!H:H, MATCH(Tabla8[[#This Row],[Numero de Orden]], sala!K:K, 0))</f>
        <v>Tarjeta de crédito</v>
      </c>
      <c r="AA8" s="3">
        <f>'Conjunto de Datos'!D9</f>
        <v>45017</v>
      </c>
      <c r="AB8" t="str">
        <f>INDEX(sala!L:L, MATCH(Tabla8[[#This Row],[Numero de Orden]], sala!K:K, 0))</f>
        <v>Venezuela</v>
      </c>
      <c r="AC8" t="str">
        <f>'Conjunto de Datos'!N9</f>
        <v>Mesero_2</v>
      </c>
      <c r="AD8">
        <f>Tabla8[[#This Row],[Propina]]+Tabla8[[#This Row],[Precio Cena]]</f>
        <v>1226</v>
      </c>
      <c r="AE8" s="45">
        <f t="shared" si="0"/>
        <v>172</v>
      </c>
    </row>
    <row r="9" spans="1:31" x14ac:dyDescent="0.3">
      <c r="S9" t="str">
        <f>'Conjunto de Datos'!BB10</f>
        <v>974</v>
      </c>
      <c r="T9">
        <f>'Conjunto de Datos'!BF10</f>
        <v>8</v>
      </c>
      <c r="U9" s="7">
        <f>sala!I9</f>
        <v>4918</v>
      </c>
      <c r="V9" cm="1">
        <f t="array" ref="V9">SUM(IF(Cocina!A:A=Tabla8[[#This Row],[Numero de Orden]],Cocina!F:F*Cocina!G:G,0))</f>
        <v>242</v>
      </c>
      <c r="W9">
        <f>IF(Tabla8[[#This Row],[Cobrado]]="Cobrada",Tabla8[[#This Row],[Propina]]+Tabla8[[#This Row],[Precio Cena]],0)</f>
        <v>5160</v>
      </c>
      <c r="X9" t="str">
        <f>INDEX(sala!G:G, MATCH(Tabla8[[#This Row],[Numero de Orden]], sala!K:K, 0))</f>
        <v>Desayuno</v>
      </c>
      <c r="Y9" t="str">
        <f>'Conjunto de Datos'!J10</f>
        <v>Cobrada</v>
      </c>
      <c r="Z9" t="str">
        <f>INDEX(sala!H:H, MATCH(Tabla8[[#This Row],[Numero de Orden]], sala!K:K, 0))</f>
        <v>Tarjeta de crédito</v>
      </c>
      <c r="AA9" s="3">
        <f>'Conjunto de Datos'!D10</f>
        <v>45017</v>
      </c>
      <c r="AB9" t="str">
        <f>INDEX(sala!L:L, MATCH(Tabla8[[#This Row],[Numero de Orden]], sala!K:K, 0))</f>
        <v>Paraguay</v>
      </c>
      <c r="AC9" t="str">
        <f>'Conjunto de Datos'!N10</f>
        <v>Mesero_2</v>
      </c>
      <c r="AD9">
        <f>Tabla8[[#This Row],[Propina]]+Tabla8[[#This Row],[Precio Cena]]</f>
        <v>5160</v>
      </c>
      <c r="AE9" s="45">
        <f t="shared" si="0"/>
        <v>242</v>
      </c>
    </row>
    <row r="10" spans="1:31" x14ac:dyDescent="0.3">
      <c r="S10" s="15" t="str">
        <f>'Conjunto de Datos'!BB11</f>
        <v>740</v>
      </c>
      <c r="T10" s="15">
        <f>'Conjunto de Datos'!BF11</f>
        <v>9</v>
      </c>
      <c r="U10" s="6">
        <f>sala!I10</f>
        <v>4685</v>
      </c>
      <c r="V10" cm="1">
        <f t="array" ref="V10">SUM(IF(Cocina!A:A=Tabla8[[#This Row],[Numero de Orden]],Cocina!F:F*Cocina!G:G,0))</f>
        <v>169</v>
      </c>
      <c r="W10">
        <f>IF(Tabla8[[#This Row],[Cobrado]]="Cobrada",Tabla8[[#This Row],[Propina]]+Tabla8[[#This Row],[Precio Cena]],0)</f>
        <v>0</v>
      </c>
      <c r="X10" t="str">
        <f>INDEX(sala!G:G, MATCH(Tabla8[[#This Row],[Numero de Orden]], sala!K:K, 0))</f>
        <v>Almuerzo</v>
      </c>
      <c r="Y10" t="str">
        <f>'Conjunto de Datos'!J11</f>
        <v>No Cobrada</v>
      </c>
      <c r="Z10" t="str">
        <f>INDEX(sala!H:H, MATCH(Tabla8[[#This Row],[Numero de Orden]], sala!K:K, 0))</f>
        <v>Tarjeta de débito</v>
      </c>
      <c r="AA10" s="3">
        <f>'Conjunto de Datos'!D11</f>
        <v>45017</v>
      </c>
      <c r="AB10" t="str">
        <f>INDEX(sala!L:L, MATCH(Tabla8[[#This Row],[Numero de Orden]], sala!K:K, 0))</f>
        <v>Bolivia</v>
      </c>
      <c r="AC10" t="str">
        <f>'Conjunto de Datos'!N11</f>
        <v>Mesero_2</v>
      </c>
      <c r="AD10">
        <f>Tabla8[[#This Row],[Propina]]+Tabla8[[#This Row],[Precio Cena]]</f>
        <v>4854</v>
      </c>
      <c r="AE10" s="45">
        <f t="shared" si="0"/>
        <v>0</v>
      </c>
    </row>
    <row r="11" spans="1:31" x14ac:dyDescent="0.3">
      <c r="S11" t="str">
        <f>'Conjunto de Datos'!BB12</f>
        <v>33</v>
      </c>
      <c r="T11">
        <f>'Conjunto de Datos'!BF12</f>
        <v>10</v>
      </c>
      <c r="U11" s="7">
        <f>sala!I11</f>
        <v>166</v>
      </c>
      <c r="V11" cm="1">
        <f t="array" ref="V11">SUM(IF(Cocina!A:A=Tabla8[[#This Row],[Numero de Orden]],Cocina!F:F*Cocina!G:G,0))</f>
        <v>148</v>
      </c>
      <c r="W11">
        <f>IF(Tabla8[[#This Row],[Cobrado]]="Cobrada",Tabla8[[#This Row],[Propina]]+Tabla8[[#This Row],[Precio Cena]],0)</f>
        <v>314</v>
      </c>
      <c r="X11" t="str">
        <f>INDEX(sala!G:G, MATCH(Tabla8[[#This Row],[Numero de Orden]], sala!K:K, 0))</f>
        <v>Almuerzo</v>
      </c>
      <c r="Y11" t="str">
        <f>'Conjunto de Datos'!J12</f>
        <v>Cobrada</v>
      </c>
      <c r="Z11" t="str">
        <f>INDEX(sala!H:H, MATCH(Tabla8[[#This Row],[Numero de Orden]], sala!K:K, 0))</f>
        <v>Tarjeta de crédito</v>
      </c>
      <c r="AA11" s="3">
        <f>'Conjunto de Datos'!D12</f>
        <v>45017</v>
      </c>
      <c r="AB11" t="str">
        <f>INDEX(sala!L:L, MATCH(Tabla8[[#This Row],[Numero de Orden]], sala!K:K, 0))</f>
        <v>Uruguay</v>
      </c>
      <c r="AC11" t="str">
        <f>'Conjunto de Datos'!N12</f>
        <v>Mesero_4</v>
      </c>
      <c r="AD11">
        <f>Tabla8[[#This Row],[Propina]]+Tabla8[[#This Row],[Precio Cena]]</f>
        <v>314</v>
      </c>
      <c r="AE11" s="45">
        <f t="shared" si="0"/>
        <v>148</v>
      </c>
    </row>
    <row r="12" spans="1:31" x14ac:dyDescent="0.3">
      <c r="S12" s="15" t="str">
        <f>'Conjunto de Datos'!BB13</f>
        <v>881</v>
      </c>
      <c r="T12" s="15">
        <f>'Conjunto de Datos'!BF13</f>
        <v>11</v>
      </c>
      <c r="U12" s="6">
        <f>sala!I12</f>
        <v>3289</v>
      </c>
      <c r="V12" cm="1">
        <f t="array" ref="V12">SUM(IF(Cocina!A:A=Tabla8[[#This Row],[Numero de Orden]],Cocina!F:F*Cocina!G:G,0))</f>
        <v>88</v>
      </c>
      <c r="W12">
        <f>IF(Tabla8[[#This Row],[Cobrado]]="Cobrada",Tabla8[[#This Row],[Propina]]+Tabla8[[#This Row],[Precio Cena]],0)</f>
        <v>3377</v>
      </c>
      <c r="X12" t="str">
        <f>INDEX(sala!G:G, MATCH(Tabla8[[#This Row],[Numero de Orden]], sala!K:K, 0))</f>
        <v>Almuerzo</v>
      </c>
      <c r="Y12" t="str">
        <f>'Conjunto de Datos'!J13</f>
        <v>Cobrada</v>
      </c>
      <c r="Z12" t="str">
        <f>INDEX(sala!H:H, MATCH(Tabla8[[#This Row],[Numero de Orden]], sala!K:K, 0))</f>
        <v>Tarjeta de crédito</v>
      </c>
      <c r="AA12" s="3">
        <f>'Conjunto de Datos'!D13</f>
        <v>45017</v>
      </c>
      <c r="AB12" t="str">
        <f>INDEX(sala!L:L, MATCH(Tabla8[[#This Row],[Numero de Orden]], sala!K:K, 0))</f>
        <v>Perú</v>
      </c>
      <c r="AC12" t="str">
        <f>'Conjunto de Datos'!N13</f>
        <v>Mesero_1</v>
      </c>
      <c r="AD12">
        <f>Tabla8[[#This Row],[Propina]]+Tabla8[[#This Row],[Precio Cena]]</f>
        <v>3377</v>
      </c>
      <c r="AE12" s="45">
        <f t="shared" si="0"/>
        <v>88</v>
      </c>
    </row>
    <row r="13" spans="1:31" x14ac:dyDescent="0.3">
      <c r="S13" t="str">
        <f>'Conjunto de Datos'!BB14</f>
        <v>890</v>
      </c>
      <c r="T13">
        <f>'Conjunto de Datos'!BF14</f>
        <v>12</v>
      </c>
      <c r="U13" s="7">
        <f>sala!I13</f>
        <v>4527</v>
      </c>
      <c r="V13" cm="1">
        <f t="array" ref="V13">SUM(IF(Cocina!A:A=Tabla8[[#This Row],[Numero de Orden]],Cocina!F:F*Cocina!G:G,0))</f>
        <v>326</v>
      </c>
      <c r="W13">
        <f>IF(Tabla8[[#This Row],[Cobrado]]="Cobrada",Tabla8[[#This Row],[Propina]]+Tabla8[[#This Row],[Precio Cena]],0)</f>
        <v>4853</v>
      </c>
      <c r="X13" t="str">
        <f>INDEX(sala!G:G, MATCH(Tabla8[[#This Row],[Numero de Orden]], sala!K:K, 0))</f>
        <v>Cena</v>
      </c>
      <c r="Y13" t="str">
        <f>'Conjunto de Datos'!J14</f>
        <v>Cobrada</v>
      </c>
      <c r="Z13" t="str">
        <f>INDEX(sala!H:H, MATCH(Tabla8[[#This Row],[Numero de Orden]], sala!K:K, 0))</f>
        <v>Tarjeta de crédito</v>
      </c>
      <c r="AA13" s="3">
        <f>'Conjunto de Datos'!D14</f>
        <v>45017</v>
      </c>
      <c r="AB13" t="str">
        <f>INDEX(sala!L:L, MATCH(Tabla8[[#This Row],[Numero de Orden]], sala!K:K, 0))</f>
        <v>Colombia</v>
      </c>
      <c r="AC13" t="str">
        <f>'Conjunto de Datos'!N14</f>
        <v>Mesero_4</v>
      </c>
      <c r="AD13">
        <f>Tabla8[[#This Row],[Propina]]+Tabla8[[#This Row],[Precio Cena]]</f>
        <v>4853</v>
      </c>
      <c r="AE13" s="45">
        <f t="shared" si="0"/>
        <v>326</v>
      </c>
    </row>
    <row r="14" spans="1:31" x14ac:dyDescent="0.3">
      <c r="S14" s="15" t="str">
        <f>'Conjunto de Datos'!BB15</f>
        <v>873</v>
      </c>
      <c r="T14" s="15">
        <f>'Conjunto de Datos'!BF15</f>
        <v>13</v>
      </c>
      <c r="U14" s="6">
        <f>sala!I14</f>
        <v>2206</v>
      </c>
      <c r="V14" cm="1">
        <f t="array" ref="V14">SUM(IF(Cocina!A:A=Tabla8[[#This Row],[Numero de Orden]],Cocina!F:F*Cocina!G:G,0))</f>
        <v>87</v>
      </c>
      <c r="W14">
        <f>IF(Tabla8[[#This Row],[Cobrado]]="Cobrada",Tabla8[[#This Row],[Propina]]+Tabla8[[#This Row],[Precio Cena]],0)</f>
        <v>2293</v>
      </c>
      <c r="X14" t="str">
        <f>INDEX(sala!G:G, MATCH(Tabla8[[#This Row],[Numero de Orden]], sala!K:K, 0))</f>
        <v>Almuerzo</v>
      </c>
      <c r="Y14" t="str">
        <f>'Conjunto de Datos'!J15</f>
        <v>Cobrada</v>
      </c>
      <c r="Z14" t="str">
        <f>INDEX(sala!H:H, MATCH(Tabla8[[#This Row],[Numero de Orden]], sala!K:K, 0))</f>
        <v>Efectivo</v>
      </c>
      <c r="AA14" s="3">
        <f>'Conjunto de Datos'!D15</f>
        <v>45017</v>
      </c>
      <c r="AB14" t="str">
        <f>INDEX(sala!L:L, MATCH(Tabla8[[#This Row],[Numero de Orden]], sala!K:K, 0))</f>
        <v>Brasil</v>
      </c>
      <c r="AC14" t="str">
        <f>'Conjunto de Datos'!N15</f>
        <v>Mesero_5</v>
      </c>
      <c r="AD14">
        <f>Tabla8[[#This Row],[Propina]]+Tabla8[[#This Row],[Precio Cena]]</f>
        <v>2293</v>
      </c>
      <c r="AE14" s="45">
        <f t="shared" si="0"/>
        <v>87</v>
      </c>
    </row>
    <row r="15" spans="1:31" x14ac:dyDescent="0.3">
      <c r="S15" t="str">
        <f>'Conjunto de Datos'!BB16</f>
        <v>780</v>
      </c>
      <c r="T15">
        <f>'Conjunto de Datos'!BF16</f>
        <v>14</v>
      </c>
      <c r="U15" s="7">
        <f>sala!I15</f>
        <v>4876</v>
      </c>
      <c r="V15" cm="1">
        <f t="array" ref="V15">SUM(IF(Cocina!A:A=Tabla8[[#This Row],[Numero de Orden]],Cocina!F:F*Cocina!G:G,0))</f>
        <v>129</v>
      </c>
      <c r="W15">
        <f>IF(Tabla8[[#This Row],[Cobrado]]="Cobrada",Tabla8[[#This Row],[Propina]]+Tabla8[[#This Row],[Precio Cena]],0)</f>
        <v>0</v>
      </c>
      <c r="X15" t="str">
        <f>INDEX(sala!G:G, MATCH(Tabla8[[#This Row],[Numero de Orden]], sala!K:K, 0))</f>
        <v>Almuerzo</v>
      </c>
      <c r="Y15" t="str">
        <f>'Conjunto de Datos'!J16</f>
        <v>No Cobrada</v>
      </c>
      <c r="Z15" t="str">
        <f>INDEX(sala!H:H, MATCH(Tabla8[[#This Row],[Numero de Orden]], sala!K:K, 0))</f>
        <v>Efectivo</v>
      </c>
      <c r="AA15" s="3">
        <f>'Conjunto de Datos'!D16</f>
        <v>45017</v>
      </c>
      <c r="AB15" t="str">
        <f>INDEX(sala!L:L, MATCH(Tabla8[[#This Row],[Numero de Orden]], sala!K:K, 0))</f>
        <v>Perú</v>
      </c>
      <c r="AC15" t="str">
        <f>'Conjunto de Datos'!N16</f>
        <v>Mesero_2</v>
      </c>
      <c r="AD15">
        <f>Tabla8[[#This Row],[Propina]]+Tabla8[[#This Row],[Precio Cena]]</f>
        <v>5005</v>
      </c>
      <c r="AE15" s="45">
        <f t="shared" si="0"/>
        <v>0</v>
      </c>
    </row>
    <row r="16" spans="1:31" x14ac:dyDescent="0.3">
      <c r="S16" s="15" t="str">
        <f>'Conjunto de Datos'!BB17</f>
        <v>728</v>
      </c>
      <c r="T16" s="15">
        <f>'Conjunto de Datos'!BF17</f>
        <v>15</v>
      </c>
      <c r="U16" s="6">
        <f>sala!I16</f>
        <v>2877</v>
      </c>
      <c r="V16" cm="1">
        <f t="array" ref="V16">SUM(IF(Cocina!A:A=Tabla8[[#This Row],[Numero de Orden]],Cocina!F:F*Cocina!G:G,0))</f>
        <v>224</v>
      </c>
      <c r="W16">
        <f>IF(Tabla8[[#This Row],[Cobrado]]="Cobrada",Tabla8[[#This Row],[Propina]]+Tabla8[[#This Row],[Precio Cena]],0)</f>
        <v>3101</v>
      </c>
      <c r="X16" t="str">
        <f>INDEX(sala!G:G, MATCH(Tabla8[[#This Row],[Numero de Orden]], sala!K:K, 0))</f>
        <v>Desayuno</v>
      </c>
      <c r="Y16" t="str">
        <f>'Conjunto de Datos'!J17</f>
        <v>Cobrada</v>
      </c>
      <c r="Z16" t="str">
        <f>INDEX(sala!H:H, MATCH(Tabla8[[#This Row],[Numero de Orden]], sala!K:K, 0))</f>
        <v>Tarjeta de crédito</v>
      </c>
      <c r="AA16" s="3">
        <f>'Conjunto de Datos'!D17</f>
        <v>45017</v>
      </c>
      <c r="AB16" t="str">
        <f>INDEX(sala!L:L, MATCH(Tabla8[[#This Row],[Numero de Orden]], sala!K:K, 0))</f>
        <v>Uruguay</v>
      </c>
      <c r="AC16" t="str">
        <f>'Conjunto de Datos'!N17</f>
        <v>Mesero_1</v>
      </c>
      <c r="AD16">
        <f>Tabla8[[#This Row],[Propina]]+Tabla8[[#This Row],[Precio Cena]]</f>
        <v>3101</v>
      </c>
      <c r="AE16" s="45">
        <f t="shared" si="0"/>
        <v>224</v>
      </c>
    </row>
    <row r="17" spans="1:31" x14ac:dyDescent="0.3">
      <c r="S17" t="str">
        <f>'Conjunto de Datos'!BB18</f>
        <v>175</v>
      </c>
      <c r="T17">
        <f>'Conjunto de Datos'!BF18</f>
        <v>16</v>
      </c>
      <c r="U17" s="7">
        <f>sala!I17</f>
        <v>379</v>
      </c>
      <c r="V17" cm="1">
        <f t="array" ref="V17">SUM(IF(Cocina!A:A=Tabla8[[#This Row],[Numero de Orden]],Cocina!F:F*Cocina!G:G,0))</f>
        <v>28</v>
      </c>
      <c r="W17">
        <f>IF(Tabla8[[#This Row],[Cobrado]]="Cobrada",Tabla8[[#This Row],[Propina]]+Tabla8[[#This Row],[Precio Cena]],0)</f>
        <v>407</v>
      </c>
      <c r="X17" t="str">
        <f>INDEX(sala!G:G, MATCH(Tabla8[[#This Row],[Numero de Orden]], sala!K:K, 0))</f>
        <v>Almuerzo</v>
      </c>
      <c r="Y17" t="str">
        <f>'Conjunto de Datos'!J18</f>
        <v>Cobrada</v>
      </c>
      <c r="Z17" t="str">
        <f>INDEX(sala!H:H, MATCH(Tabla8[[#This Row],[Numero de Orden]], sala!K:K, 0))</f>
        <v>Efectivo</v>
      </c>
      <c r="AA17" s="3">
        <f>'Conjunto de Datos'!D18</f>
        <v>45017</v>
      </c>
      <c r="AB17" t="str">
        <f>INDEX(sala!L:L, MATCH(Tabla8[[#This Row],[Numero de Orden]], sala!K:K, 0))</f>
        <v>Bolivia</v>
      </c>
      <c r="AC17" t="str">
        <f>'Conjunto de Datos'!N18</f>
        <v>Mesero_4</v>
      </c>
      <c r="AD17">
        <f>Tabla8[[#This Row],[Propina]]+Tabla8[[#This Row],[Precio Cena]]</f>
        <v>407</v>
      </c>
      <c r="AE17" s="45">
        <f t="shared" si="0"/>
        <v>28</v>
      </c>
    </row>
    <row r="18" spans="1:31" x14ac:dyDescent="0.3">
      <c r="S18" s="15" t="str">
        <f>'Conjunto de Datos'!BB19</f>
        <v>200</v>
      </c>
      <c r="T18" s="15">
        <f>'Conjunto de Datos'!BF19</f>
        <v>17</v>
      </c>
      <c r="U18" s="6">
        <f>sala!I18</f>
        <v>1217</v>
      </c>
      <c r="V18" cm="1">
        <f t="array" ref="V18">SUM(IF(Cocina!A:A=Tabla8[[#This Row],[Numero de Orden]],Cocina!F:F*Cocina!G:G,0))</f>
        <v>137</v>
      </c>
      <c r="W18">
        <f>IF(Tabla8[[#This Row],[Cobrado]]="Cobrada",Tabla8[[#This Row],[Propina]]+Tabla8[[#This Row],[Precio Cena]],0)</f>
        <v>1354</v>
      </c>
      <c r="X18" t="str">
        <f>INDEX(sala!G:G, MATCH(Tabla8[[#This Row],[Numero de Orden]], sala!K:K, 0))</f>
        <v>Desayuno</v>
      </c>
      <c r="Y18" t="str">
        <f>'Conjunto de Datos'!J19</f>
        <v>Cobrada</v>
      </c>
      <c r="Z18" t="str">
        <f>INDEX(sala!H:H, MATCH(Tabla8[[#This Row],[Numero de Orden]], sala!K:K, 0))</f>
        <v>Tarjeta de crédito</v>
      </c>
      <c r="AA18" s="3">
        <f>'Conjunto de Datos'!D19</f>
        <v>45017</v>
      </c>
      <c r="AB18" t="str">
        <f>INDEX(sala!L:L, MATCH(Tabla8[[#This Row],[Numero de Orden]], sala!K:K, 0))</f>
        <v>Ecuador</v>
      </c>
      <c r="AC18" t="str">
        <f>'Conjunto de Datos'!N19</f>
        <v>Mesero_2</v>
      </c>
      <c r="AD18">
        <f>Tabla8[[#This Row],[Propina]]+Tabla8[[#This Row],[Precio Cena]]</f>
        <v>1354</v>
      </c>
      <c r="AE18" s="45">
        <f t="shared" si="0"/>
        <v>137</v>
      </c>
    </row>
    <row r="19" spans="1:31" x14ac:dyDescent="0.3">
      <c r="S19" t="str">
        <f>'Conjunto de Datos'!BB20</f>
        <v>190</v>
      </c>
      <c r="T19">
        <f>'Conjunto de Datos'!BF20</f>
        <v>18</v>
      </c>
      <c r="U19" s="7">
        <f>sala!I19</f>
        <v>3309</v>
      </c>
      <c r="V19" cm="1">
        <f t="array" ref="V19">SUM(IF(Cocina!A:A=Tabla8[[#This Row],[Numero de Orden]],Cocina!F:F*Cocina!G:G,0))</f>
        <v>251</v>
      </c>
      <c r="W19">
        <f>IF(Tabla8[[#This Row],[Cobrado]]="Cobrada",Tabla8[[#This Row],[Propina]]+Tabla8[[#This Row],[Precio Cena]],0)</f>
        <v>3560</v>
      </c>
      <c r="X19" t="str">
        <f>INDEX(sala!G:G, MATCH(Tabla8[[#This Row],[Numero de Orden]], sala!K:K, 0))</f>
        <v>Desayuno</v>
      </c>
      <c r="Y19" t="str">
        <f>'Conjunto de Datos'!J20</f>
        <v>Cobrada</v>
      </c>
      <c r="Z19" t="str">
        <f>INDEX(sala!H:H, MATCH(Tabla8[[#This Row],[Numero de Orden]], sala!K:K, 0))</f>
        <v>Tarjeta de crédito</v>
      </c>
      <c r="AA19" s="3">
        <f>'Conjunto de Datos'!D20</f>
        <v>45017</v>
      </c>
      <c r="AB19" t="str">
        <f>INDEX(sala!L:L, MATCH(Tabla8[[#This Row],[Numero de Orden]], sala!K:K, 0))</f>
        <v>Colombia</v>
      </c>
      <c r="AC19" t="str">
        <f>'Conjunto de Datos'!N20</f>
        <v>Mesero_2</v>
      </c>
      <c r="AD19">
        <f>Tabla8[[#This Row],[Propina]]+Tabla8[[#This Row],[Precio Cena]]</f>
        <v>3560</v>
      </c>
      <c r="AE19" s="45">
        <f t="shared" si="0"/>
        <v>251</v>
      </c>
    </row>
    <row r="20" spans="1:31" x14ac:dyDescent="0.3">
      <c r="S20" s="15" t="str">
        <f>'Conjunto de Datos'!BB21</f>
        <v>290</v>
      </c>
      <c r="T20" s="15">
        <f>'Conjunto de Datos'!BF21</f>
        <v>19</v>
      </c>
      <c r="U20" s="6">
        <f>sala!I20</f>
        <v>1745</v>
      </c>
      <c r="V20" cm="1">
        <f t="array" ref="V20">SUM(IF(Cocina!A:A=Tabla8[[#This Row],[Numero de Orden]],Cocina!F:F*Cocina!G:G,0))</f>
        <v>80</v>
      </c>
      <c r="W20">
        <f>IF(Tabla8[[#This Row],[Cobrado]]="Cobrada",Tabla8[[#This Row],[Propina]]+Tabla8[[#This Row],[Precio Cena]],0)</f>
        <v>1825</v>
      </c>
      <c r="X20" t="str">
        <f>INDEX(sala!G:G, MATCH(Tabla8[[#This Row],[Numero de Orden]], sala!K:K, 0))</f>
        <v>Almuerzo</v>
      </c>
      <c r="Y20" t="str">
        <f>'Conjunto de Datos'!J21</f>
        <v>Cobrada</v>
      </c>
      <c r="Z20" t="str">
        <f>INDEX(sala!H:H, MATCH(Tabla8[[#This Row],[Numero de Orden]], sala!K:K, 0))</f>
        <v>Tarjeta de crédito</v>
      </c>
      <c r="AA20" s="3">
        <f>'Conjunto de Datos'!D21</f>
        <v>45017</v>
      </c>
      <c r="AB20" t="str">
        <f>INDEX(sala!L:L, MATCH(Tabla8[[#This Row],[Numero de Orden]], sala!K:K, 0))</f>
        <v>Chile</v>
      </c>
      <c r="AC20" t="str">
        <f>'Conjunto de Datos'!N21</f>
        <v>Mesero_2</v>
      </c>
      <c r="AD20">
        <f>Tabla8[[#This Row],[Propina]]+Tabla8[[#This Row],[Precio Cena]]</f>
        <v>1825</v>
      </c>
      <c r="AE20" s="45">
        <f t="shared" si="0"/>
        <v>80</v>
      </c>
    </row>
    <row r="21" spans="1:31" x14ac:dyDescent="0.3">
      <c r="A21" t="s">
        <v>7</v>
      </c>
      <c r="B21" t="s">
        <v>661</v>
      </c>
      <c r="S21" t="str">
        <f>'Conjunto de Datos'!BB22</f>
        <v>972</v>
      </c>
      <c r="T21">
        <f>'Conjunto de Datos'!BF22</f>
        <v>20</v>
      </c>
      <c r="U21" s="7">
        <f>sala!I21</f>
        <v>317</v>
      </c>
      <c r="V21" cm="1">
        <f t="array" ref="V21">SUM(IF(Cocina!A:A=Tabla8[[#This Row],[Numero de Orden]],Cocina!F:F*Cocina!G:G,0))</f>
        <v>178</v>
      </c>
      <c r="W21">
        <f>IF(Tabla8[[#This Row],[Cobrado]]="Cobrada",Tabla8[[#This Row],[Propina]]+Tabla8[[#This Row],[Precio Cena]],0)</f>
        <v>495</v>
      </c>
      <c r="X21" t="str">
        <f>INDEX(sala!G:G, MATCH(Tabla8[[#This Row],[Numero de Orden]], sala!K:K, 0))</f>
        <v>Almuerzo</v>
      </c>
      <c r="Y21" t="str">
        <f>'Conjunto de Datos'!J22</f>
        <v>Cobrada</v>
      </c>
      <c r="Z21" t="str">
        <f>INDEX(sala!H:H, MATCH(Tabla8[[#This Row],[Numero de Orden]], sala!K:K, 0))</f>
        <v>Tarjeta de crédito</v>
      </c>
      <c r="AA21" s="3">
        <f>'Conjunto de Datos'!D22</f>
        <v>45017</v>
      </c>
      <c r="AB21" t="str">
        <f>INDEX(sala!L:L, MATCH(Tabla8[[#This Row],[Numero de Orden]], sala!K:K, 0))</f>
        <v>Chile</v>
      </c>
      <c r="AC21" t="str">
        <f>'Conjunto de Datos'!N22</f>
        <v>Mesero_3</v>
      </c>
      <c r="AD21">
        <f>Tabla8[[#This Row],[Propina]]+Tabla8[[#This Row],[Precio Cena]]</f>
        <v>495</v>
      </c>
      <c r="AE21" s="45">
        <f t="shared" si="0"/>
        <v>178</v>
      </c>
    </row>
    <row r="22" spans="1:31" ht="13.8" customHeight="1" x14ac:dyDescent="0.3">
      <c r="A22" t="s">
        <v>23</v>
      </c>
      <c r="B22">
        <f>COUNTIF(Z:Z,"Efectivo")</f>
        <v>92</v>
      </c>
      <c r="S22" s="15" t="str">
        <f>'Conjunto de Datos'!BB23</f>
        <v>210</v>
      </c>
      <c r="T22" s="15">
        <f>'Conjunto de Datos'!BF23</f>
        <v>21</v>
      </c>
      <c r="U22" s="6">
        <f>sala!I22</f>
        <v>2053</v>
      </c>
      <c r="V22" cm="1">
        <f t="array" ref="V22">SUM(IF(Cocina!A:A=Tabla8[[#This Row],[Numero de Orden]],Cocina!F:F*Cocina!G:G,0))</f>
        <v>274</v>
      </c>
      <c r="W22">
        <f>IF(Tabla8[[#This Row],[Cobrado]]="Cobrada",Tabla8[[#This Row],[Propina]]+Tabla8[[#This Row],[Precio Cena]],0)</f>
        <v>0</v>
      </c>
      <c r="X22" t="str">
        <f>INDEX(sala!G:G, MATCH(Tabla8[[#This Row],[Numero de Orden]], sala!K:K, 0))</f>
        <v>Almuerzo</v>
      </c>
      <c r="Y22" t="str">
        <f>'Conjunto de Datos'!J23</f>
        <v>No Cobrada</v>
      </c>
      <c r="Z22" t="str">
        <f>INDEX(sala!H:H, MATCH(Tabla8[[#This Row],[Numero de Orden]], sala!K:K, 0))</f>
        <v>Tarjeta de crédito</v>
      </c>
      <c r="AA22" s="3">
        <f>'Conjunto de Datos'!D23</f>
        <v>45017</v>
      </c>
      <c r="AB22" t="str">
        <f>INDEX(sala!L:L, MATCH(Tabla8[[#This Row],[Numero de Orden]], sala!K:K, 0))</f>
        <v>Uruguay</v>
      </c>
      <c r="AC22" t="str">
        <f>'Conjunto de Datos'!N23</f>
        <v>Mesero_3</v>
      </c>
      <c r="AD22">
        <f>Tabla8[[#This Row],[Propina]]+Tabla8[[#This Row],[Precio Cena]]</f>
        <v>2327</v>
      </c>
      <c r="AE22" s="45">
        <f t="shared" si="0"/>
        <v>0</v>
      </c>
    </row>
    <row r="23" spans="1:31" x14ac:dyDescent="0.3">
      <c r="A23" t="s">
        <v>662</v>
      </c>
      <c r="B23">
        <f>COUNTIF(Z:Z,"Tarjeta de Crédito")</f>
        <v>525</v>
      </c>
      <c r="S23" t="str">
        <f>'Conjunto de Datos'!BB24</f>
        <v>88</v>
      </c>
      <c r="T23">
        <f>'Conjunto de Datos'!BF24</f>
        <v>22</v>
      </c>
      <c r="U23" s="7">
        <f>sala!I23</f>
        <v>4541</v>
      </c>
      <c r="V23" cm="1">
        <f t="array" ref="V23">SUM(IF(Cocina!A:A=Tabla8[[#This Row],[Numero de Orden]],Cocina!F:F*Cocina!G:G,0))</f>
        <v>213</v>
      </c>
      <c r="W23">
        <f>IF(Tabla8[[#This Row],[Cobrado]]="Cobrada",Tabla8[[#This Row],[Propina]]+Tabla8[[#This Row],[Precio Cena]],0)</f>
        <v>4754</v>
      </c>
      <c r="X23" t="str">
        <f>INDEX(sala!G:G, MATCH(Tabla8[[#This Row],[Numero de Orden]], sala!K:K, 0))</f>
        <v>Almuerzo</v>
      </c>
      <c r="Y23" t="str">
        <f>'Conjunto de Datos'!J24</f>
        <v>Cobrada</v>
      </c>
      <c r="Z23" t="str">
        <f>INDEX(sala!H:H, MATCH(Tabla8[[#This Row],[Numero de Orden]], sala!K:K, 0))</f>
        <v>Tarjeta de crédito</v>
      </c>
      <c r="AA23" s="3">
        <f>'Conjunto de Datos'!D24</f>
        <v>45017</v>
      </c>
      <c r="AB23" t="str">
        <f>INDEX(sala!L:L, MATCH(Tabla8[[#This Row],[Numero de Orden]], sala!K:K, 0))</f>
        <v>Ecuador</v>
      </c>
      <c r="AC23" t="str">
        <f>'Conjunto de Datos'!N24</f>
        <v>Mesero_4</v>
      </c>
      <c r="AD23">
        <f>Tabla8[[#This Row],[Propina]]+Tabla8[[#This Row],[Precio Cena]]</f>
        <v>4754</v>
      </c>
      <c r="AE23" s="45">
        <f t="shared" si="0"/>
        <v>213</v>
      </c>
    </row>
    <row r="24" spans="1:31" x14ac:dyDescent="0.3">
      <c r="A24" t="s">
        <v>663</v>
      </c>
      <c r="B24">
        <f>COUNTIF(Z:Z,"Tarjeta de Débito")</f>
        <v>150</v>
      </c>
      <c r="S24" s="15" t="str">
        <f>'Conjunto de Datos'!BB25</f>
        <v>427</v>
      </c>
      <c r="T24" s="15">
        <f>'Conjunto de Datos'!BF25</f>
        <v>23</v>
      </c>
      <c r="U24" s="6">
        <f>sala!I24</f>
        <v>3846</v>
      </c>
      <c r="V24" cm="1">
        <f t="array" ref="V24">SUM(IF(Cocina!A:A=Tabla8[[#This Row],[Numero de Orden]],Cocina!F:F*Cocina!G:G,0))</f>
        <v>138</v>
      </c>
      <c r="W24">
        <f>IF(Tabla8[[#This Row],[Cobrado]]="Cobrada",Tabla8[[#This Row],[Propina]]+Tabla8[[#This Row],[Precio Cena]],0)</f>
        <v>3984</v>
      </c>
      <c r="X24" t="str">
        <f>INDEX(sala!G:G, MATCH(Tabla8[[#This Row],[Numero de Orden]], sala!K:K, 0))</f>
        <v>Cena</v>
      </c>
      <c r="Y24" t="str">
        <f>'Conjunto de Datos'!J25</f>
        <v>Cobrada</v>
      </c>
      <c r="Z24" t="str">
        <f>INDEX(sala!H:H, MATCH(Tabla8[[#This Row],[Numero de Orden]], sala!K:K, 0))</f>
        <v>Tarjeta de crédito</v>
      </c>
      <c r="AA24" s="3">
        <f>'Conjunto de Datos'!D25</f>
        <v>45017</v>
      </c>
      <c r="AB24" t="str">
        <f>INDEX(sala!L:L, MATCH(Tabla8[[#This Row],[Numero de Orden]], sala!K:K, 0))</f>
        <v>Chile</v>
      </c>
      <c r="AC24" t="str">
        <f>'Conjunto de Datos'!N25</f>
        <v>Mesero_5</v>
      </c>
      <c r="AD24">
        <f>Tabla8[[#This Row],[Propina]]+Tabla8[[#This Row],[Precio Cena]]</f>
        <v>3984</v>
      </c>
      <c r="AE24" s="45">
        <f t="shared" si="0"/>
        <v>138</v>
      </c>
    </row>
    <row r="25" spans="1:31" x14ac:dyDescent="0.3">
      <c r="S25" t="str">
        <f>'Conjunto de Datos'!BB26</f>
        <v>424</v>
      </c>
      <c r="T25">
        <f>'Conjunto de Datos'!BF26</f>
        <v>24</v>
      </c>
      <c r="U25" s="7">
        <f>sala!I25</f>
        <v>3818</v>
      </c>
      <c r="V25" cm="1">
        <f t="array" ref="V25">SUM(IF(Cocina!A:A=Tabla8[[#This Row],[Numero de Orden]],Cocina!F:F*Cocina!G:G,0))</f>
        <v>233</v>
      </c>
      <c r="W25">
        <f>IF(Tabla8[[#This Row],[Cobrado]]="Cobrada",Tabla8[[#This Row],[Propina]]+Tabla8[[#This Row],[Precio Cena]],0)</f>
        <v>4051</v>
      </c>
      <c r="X25" t="str">
        <f>INDEX(sala!G:G, MATCH(Tabla8[[#This Row],[Numero de Orden]], sala!K:K, 0))</f>
        <v>Almuerzo</v>
      </c>
      <c r="Y25" t="str">
        <f>'Conjunto de Datos'!J26</f>
        <v>Cobrada</v>
      </c>
      <c r="Z25" t="str">
        <f>INDEX(sala!H:H, MATCH(Tabla8[[#This Row],[Numero de Orden]], sala!K:K, 0))</f>
        <v>Tarjeta de crédito</v>
      </c>
      <c r="AA25" s="3">
        <f>'Conjunto de Datos'!D26</f>
        <v>45017</v>
      </c>
      <c r="AB25" t="str">
        <f>INDEX(sala!L:L, MATCH(Tabla8[[#This Row],[Numero de Orden]], sala!K:K, 0))</f>
        <v>Venezuela</v>
      </c>
      <c r="AC25" t="str">
        <f>'Conjunto de Datos'!N26</f>
        <v>Mesero_3</v>
      </c>
      <c r="AD25">
        <f>Tabla8[[#This Row],[Propina]]+Tabla8[[#This Row],[Precio Cena]]</f>
        <v>4051</v>
      </c>
      <c r="AE25" s="45">
        <f t="shared" si="0"/>
        <v>233</v>
      </c>
    </row>
    <row r="26" spans="1:31" x14ac:dyDescent="0.3">
      <c r="S26" s="15" t="str">
        <f>'Conjunto de Datos'!BB27</f>
        <v>824</v>
      </c>
      <c r="T26" s="15">
        <f>'Conjunto de Datos'!BF27</f>
        <v>25</v>
      </c>
      <c r="U26" s="6">
        <f>sala!I26</f>
        <v>4615</v>
      </c>
      <c r="V26" cm="1">
        <f t="array" ref="V26">SUM(IF(Cocina!A:A=Tabla8[[#This Row],[Numero de Orden]],Cocina!F:F*Cocina!G:G,0))</f>
        <v>34</v>
      </c>
      <c r="W26">
        <f>IF(Tabla8[[#This Row],[Cobrado]]="Cobrada",Tabla8[[#This Row],[Propina]]+Tabla8[[#This Row],[Precio Cena]],0)</f>
        <v>4649</v>
      </c>
      <c r="X26" t="str">
        <f>INDEX(sala!G:G, MATCH(Tabla8[[#This Row],[Numero de Orden]], sala!K:K, 0))</f>
        <v>Cena</v>
      </c>
      <c r="Y26" t="str">
        <f>'Conjunto de Datos'!J27</f>
        <v>Cobrada</v>
      </c>
      <c r="Z26" t="str">
        <f>INDEX(sala!H:H, MATCH(Tabla8[[#This Row],[Numero de Orden]], sala!K:K, 0))</f>
        <v>Tarjeta de débito</v>
      </c>
      <c r="AA26" s="3">
        <f>'Conjunto de Datos'!D27</f>
        <v>45017</v>
      </c>
      <c r="AB26" t="str">
        <f>INDEX(sala!L:L, MATCH(Tabla8[[#This Row],[Numero de Orden]], sala!K:K, 0))</f>
        <v>Colombia</v>
      </c>
      <c r="AC26" t="str">
        <f>'Conjunto de Datos'!N27</f>
        <v>Mesero_5</v>
      </c>
      <c r="AD26">
        <f>Tabla8[[#This Row],[Propina]]+Tabla8[[#This Row],[Precio Cena]]</f>
        <v>4649</v>
      </c>
      <c r="AE26" s="45">
        <f t="shared" si="0"/>
        <v>34</v>
      </c>
    </row>
    <row r="27" spans="1:31" x14ac:dyDescent="0.3">
      <c r="S27" t="str">
        <f>'Conjunto de Datos'!BB28</f>
        <v>107</v>
      </c>
      <c r="T27">
        <f>'Conjunto de Datos'!BF28</f>
        <v>26</v>
      </c>
      <c r="U27" s="7">
        <f>sala!I27</f>
        <v>1037</v>
      </c>
      <c r="V27" cm="1">
        <f t="array" ref="V27">SUM(IF(Cocina!A:A=Tabla8[[#This Row],[Numero de Orden]],Cocina!F:F*Cocina!G:G,0))</f>
        <v>126</v>
      </c>
      <c r="W27">
        <f>IF(Tabla8[[#This Row],[Cobrado]]="Cobrada",Tabla8[[#This Row],[Propina]]+Tabla8[[#This Row],[Precio Cena]],0)</f>
        <v>1163</v>
      </c>
      <c r="X27" t="str">
        <f>INDEX(sala!G:G, MATCH(Tabla8[[#This Row],[Numero de Orden]], sala!K:K, 0))</f>
        <v>Desayuno</v>
      </c>
      <c r="Y27" t="str">
        <f>'Conjunto de Datos'!J28</f>
        <v>Cobrada</v>
      </c>
      <c r="Z27" t="str">
        <f>INDEX(sala!H:H, MATCH(Tabla8[[#This Row],[Numero de Orden]], sala!K:K, 0))</f>
        <v>Tarjeta de crédito</v>
      </c>
      <c r="AA27" s="3">
        <f>'Conjunto de Datos'!D28</f>
        <v>45017</v>
      </c>
      <c r="AB27" t="str">
        <f>INDEX(sala!L:L, MATCH(Tabla8[[#This Row],[Numero de Orden]], sala!K:K, 0))</f>
        <v>Uruguay</v>
      </c>
      <c r="AC27" t="str">
        <f>'Conjunto de Datos'!N28</f>
        <v>Mesero_5</v>
      </c>
      <c r="AD27">
        <f>Tabla8[[#This Row],[Propina]]+Tabla8[[#This Row],[Precio Cena]]</f>
        <v>1163</v>
      </c>
      <c r="AE27" s="45">
        <f t="shared" si="0"/>
        <v>126</v>
      </c>
    </row>
    <row r="28" spans="1:31" x14ac:dyDescent="0.3">
      <c r="S28" s="15" t="str">
        <f>'Conjunto de Datos'!BB29</f>
        <v>775</v>
      </c>
      <c r="T28" s="15">
        <f>'Conjunto de Datos'!BF29</f>
        <v>27</v>
      </c>
      <c r="U28" s="6">
        <f>sala!I28</f>
        <v>1927</v>
      </c>
      <c r="V28" cm="1">
        <f t="array" ref="V28">SUM(IF(Cocina!A:A=Tabla8[[#This Row],[Numero de Orden]],Cocina!F:F*Cocina!G:G,0))</f>
        <v>61</v>
      </c>
      <c r="W28">
        <f>IF(Tabla8[[#This Row],[Cobrado]]="Cobrada",Tabla8[[#This Row],[Propina]]+Tabla8[[#This Row],[Precio Cena]],0)</f>
        <v>1988</v>
      </c>
      <c r="X28" t="str">
        <f>INDEX(sala!G:G, MATCH(Tabla8[[#This Row],[Numero de Orden]], sala!K:K, 0))</f>
        <v>Almuerzo</v>
      </c>
      <c r="Y28" t="str">
        <f>'Conjunto de Datos'!J29</f>
        <v>Cobrada</v>
      </c>
      <c r="Z28" t="str">
        <f>INDEX(sala!H:H, MATCH(Tabla8[[#This Row],[Numero de Orden]], sala!K:K, 0))</f>
        <v>Tarjeta de crédito</v>
      </c>
      <c r="AA28" s="3">
        <f>'Conjunto de Datos'!D29</f>
        <v>45017</v>
      </c>
      <c r="AB28" t="str">
        <f>INDEX(sala!L:L, MATCH(Tabla8[[#This Row],[Numero de Orden]], sala!K:K, 0))</f>
        <v>Brasil</v>
      </c>
      <c r="AC28" t="str">
        <f>'Conjunto de Datos'!N29</f>
        <v>Mesero_5</v>
      </c>
      <c r="AD28">
        <f>Tabla8[[#This Row],[Propina]]+Tabla8[[#This Row],[Precio Cena]]</f>
        <v>1988</v>
      </c>
      <c r="AE28" s="45">
        <f t="shared" si="0"/>
        <v>61</v>
      </c>
    </row>
    <row r="29" spans="1:31" x14ac:dyDescent="0.3">
      <c r="S29" t="str">
        <f>'Conjunto de Datos'!BB30</f>
        <v>358</v>
      </c>
      <c r="T29">
        <f>'Conjunto de Datos'!BF30</f>
        <v>28</v>
      </c>
      <c r="U29" s="7">
        <f>sala!I29</f>
        <v>4122</v>
      </c>
      <c r="V29" cm="1">
        <f t="array" ref="V29">SUM(IF(Cocina!A:A=Tabla8[[#This Row],[Numero de Orden]],Cocina!F:F*Cocina!G:G,0))</f>
        <v>94</v>
      </c>
      <c r="W29">
        <f>IF(Tabla8[[#This Row],[Cobrado]]="Cobrada",Tabla8[[#This Row],[Propina]]+Tabla8[[#This Row],[Precio Cena]],0)</f>
        <v>4216</v>
      </c>
      <c r="X29" t="str">
        <f>INDEX(sala!G:G, MATCH(Tabla8[[#This Row],[Numero de Orden]], sala!K:K, 0))</f>
        <v>Cena</v>
      </c>
      <c r="Y29" t="str">
        <f>'Conjunto de Datos'!J30</f>
        <v>Cobrada</v>
      </c>
      <c r="Z29" t="str">
        <f>INDEX(sala!H:H, MATCH(Tabla8[[#This Row],[Numero de Orden]], sala!K:K, 0))</f>
        <v>Tarjeta de crédito</v>
      </c>
      <c r="AA29" s="3">
        <f>'Conjunto de Datos'!D30</f>
        <v>45017</v>
      </c>
      <c r="AB29" t="str">
        <f>INDEX(sala!L:L, MATCH(Tabla8[[#This Row],[Numero de Orden]], sala!K:K, 0))</f>
        <v>Argentina</v>
      </c>
      <c r="AC29" t="str">
        <f>'Conjunto de Datos'!N30</f>
        <v>Mesero_4</v>
      </c>
      <c r="AD29">
        <f>Tabla8[[#This Row],[Propina]]+Tabla8[[#This Row],[Precio Cena]]</f>
        <v>4216</v>
      </c>
      <c r="AE29" s="45">
        <f t="shared" si="0"/>
        <v>94</v>
      </c>
    </row>
    <row r="30" spans="1:31" x14ac:dyDescent="0.3">
      <c r="S30" s="15" t="str">
        <f>'Conjunto de Datos'!BB31</f>
        <v>377</v>
      </c>
      <c r="T30" s="15">
        <f>'Conjunto de Datos'!BF31</f>
        <v>29</v>
      </c>
      <c r="U30" s="6">
        <f>sala!I30</f>
        <v>1483</v>
      </c>
      <c r="V30" cm="1">
        <f t="array" ref="V30">SUM(IF(Cocina!A:A=Tabla8[[#This Row],[Numero de Orden]],Cocina!F:F*Cocina!G:G,0))</f>
        <v>173</v>
      </c>
      <c r="W30">
        <f>IF(Tabla8[[#This Row],[Cobrado]]="Cobrada",Tabla8[[#This Row],[Propina]]+Tabla8[[#This Row],[Precio Cena]],0)</f>
        <v>1656</v>
      </c>
      <c r="X30" t="str">
        <f>INDEX(sala!G:G, MATCH(Tabla8[[#This Row],[Numero de Orden]], sala!K:K, 0))</f>
        <v>Almuerzo</v>
      </c>
      <c r="Y30" t="str">
        <f>'Conjunto de Datos'!J31</f>
        <v>Cobrada</v>
      </c>
      <c r="Z30" t="str">
        <f>INDEX(sala!H:H, MATCH(Tabla8[[#This Row],[Numero de Orden]], sala!K:K, 0))</f>
        <v>Tarjeta de crédito</v>
      </c>
      <c r="AA30" s="3">
        <f>'Conjunto de Datos'!D31</f>
        <v>45017</v>
      </c>
      <c r="AB30" t="str">
        <f>INDEX(sala!L:L, MATCH(Tabla8[[#This Row],[Numero de Orden]], sala!K:K, 0))</f>
        <v>Ecuador</v>
      </c>
      <c r="AC30" t="str">
        <f>'Conjunto de Datos'!N31</f>
        <v>Mesero_2</v>
      </c>
      <c r="AD30">
        <f>Tabla8[[#This Row],[Propina]]+Tabla8[[#This Row],[Precio Cena]]</f>
        <v>1656</v>
      </c>
      <c r="AE30" s="45">
        <f t="shared" si="0"/>
        <v>173</v>
      </c>
    </row>
    <row r="31" spans="1:31" x14ac:dyDescent="0.3">
      <c r="S31" t="str">
        <f>'Conjunto de Datos'!BB32</f>
        <v>361</v>
      </c>
      <c r="T31">
        <f>'Conjunto de Datos'!BF32</f>
        <v>30</v>
      </c>
      <c r="U31" s="7">
        <f>sala!I31</f>
        <v>2629</v>
      </c>
      <c r="V31" cm="1">
        <f t="array" ref="V31">SUM(IF(Cocina!A:A=Tabla8[[#This Row],[Numero de Orden]],Cocina!F:F*Cocina!G:G,0))</f>
        <v>112</v>
      </c>
      <c r="W31">
        <f>IF(Tabla8[[#This Row],[Cobrado]]="Cobrada",Tabla8[[#This Row],[Propina]]+Tabla8[[#This Row],[Precio Cena]],0)</f>
        <v>2741</v>
      </c>
      <c r="X31" t="str">
        <f>INDEX(sala!G:G, MATCH(Tabla8[[#This Row],[Numero de Orden]], sala!K:K, 0))</f>
        <v>Almuerzo</v>
      </c>
      <c r="Y31" t="str">
        <f>'Conjunto de Datos'!J32</f>
        <v>Cobrada</v>
      </c>
      <c r="Z31" t="str">
        <f>INDEX(sala!H:H, MATCH(Tabla8[[#This Row],[Numero de Orden]], sala!K:K, 0))</f>
        <v>Efectivo</v>
      </c>
      <c r="AA31" s="3">
        <f>'Conjunto de Datos'!D32</f>
        <v>45017</v>
      </c>
      <c r="AB31" t="str">
        <f>INDEX(sala!L:L, MATCH(Tabla8[[#This Row],[Numero de Orden]], sala!K:K, 0))</f>
        <v>Venezuela</v>
      </c>
      <c r="AC31" t="str">
        <f>'Conjunto de Datos'!N32</f>
        <v>Mesero_4</v>
      </c>
      <c r="AD31">
        <f>Tabla8[[#This Row],[Propina]]+Tabla8[[#This Row],[Precio Cena]]</f>
        <v>2741</v>
      </c>
      <c r="AE31" s="45">
        <f t="shared" si="0"/>
        <v>112</v>
      </c>
    </row>
    <row r="32" spans="1:31" x14ac:dyDescent="0.3">
      <c r="S32" s="15" t="str">
        <f>'Conjunto de Datos'!BB33</f>
        <v>229</v>
      </c>
      <c r="T32" s="15">
        <f>'Conjunto de Datos'!BF33</f>
        <v>31</v>
      </c>
      <c r="U32" s="6">
        <f>sala!I32</f>
        <v>1981</v>
      </c>
      <c r="V32" cm="1">
        <f t="array" ref="V32">SUM(IF(Cocina!A:A=Tabla8[[#This Row],[Numero de Orden]],Cocina!F:F*Cocina!G:G,0))</f>
        <v>67</v>
      </c>
      <c r="W32">
        <f>IF(Tabla8[[#This Row],[Cobrado]]="Cobrada",Tabla8[[#This Row],[Propina]]+Tabla8[[#This Row],[Precio Cena]],0)</f>
        <v>2048</v>
      </c>
      <c r="X32" t="str">
        <f>INDEX(sala!G:G, MATCH(Tabla8[[#This Row],[Numero de Orden]], sala!K:K, 0))</f>
        <v>Desayuno</v>
      </c>
      <c r="Y32" t="str">
        <f>'Conjunto de Datos'!J33</f>
        <v>Cobrada</v>
      </c>
      <c r="Z32" t="str">
        <f>INDEX(sala!H:H, MATCH(Tabla8[[#This Row],[Numero de Orden]], sala!K:K, 0))</f>
        <v>Tarjeta de crédito</v>
      </c>
      <c r="AA32" s="3">
        <f>'Conjunto de Datos'!D33</f>
        <v>45017</v>
      </c>
      <c r="AB32" t="str">
        <f>INDEX(sala!L:L, MATCH(Tabla8[[#This Row],[Numero de Orden]], sala!K:K, 0))</f>
        <v>Argentina</v>
      </c>
      <c r="AC32" t="str">
        <f>'Conjunto de Datos'!N33</f>
        <v>Mesero_2</v>
      </c>
      <c r="AD32">
        <f>Tabla8[[#This Row],[Propina]]+Tabla8[[#This Row],[Precio Cena]]</f>
        <v>2048</v>
      </c>
      <c r="AE32" s="45">
        <f t="shared" si="0"/>
        <v>67</v>
      </c>
    </row>
    <row r="33" spans="1:31" x14ac:dyDescent="0.3">
      <c r="S33" t="str">
        <f>'Conjunto de Datos'!BB34</f>
        <v>27</v>
      </c>
      <c r="T33">
        <f>'Conjunto de Datos'!BF34</f>
        <v>32</v>
      </c>
      <c r="U33" s="7">
        <f>sala!I33</f>
        <v>2825</v>
      </c>
      <c r="V33" cm="1">
        <f t="array" ref="V33">SUM(IF(Cocina!A:A=Tabla8[[#This Row],[Numero de Orden]],Cocina!F:F*Cocina!G:G,0))</f>
        <v>211</v>
      </c>
      <c r="W33">
        <f>IF(Tabla8[[#This Row],[Cobrado]]="Cobrada",Tabla8[[#This Row],[Propina]]+Tabla8[[#This Row],[Precio Cena]],0)</f>
        <v>3036</v>
      </c>
      <c r="X33" t="str">
        <f>INDEX(sala!G:G, MATCH(Tabla8[[#This Row],[Numero de Orden]], sala!K:K, 0))</f>
        <v>Almuerzo</v>
      </c>
      <c r="Y33" t="str">
        <f>'Conjunto de Datos'!J34</f>
        <v>Cobrada</v>
      </c>
      <c r="Z33" t="str">
        <f>INDEX(sala!H:H, MATCH(Tabla8[[#This Row],[Numero de Orden]], sala!K:K, 0))</f>
        <v>Tarjeta de crédito</v>
      </c>
      <c r="AA33" s="3">
        <f>'Conjunto de Datos'!D34</f>
        <v>45017</v>
      </c>
      <c r="AB33" t="str">
        <f>INDEX(sala!L:L, MATCH(Tabla8[[#This Row],[Numero de Orden]], sala!K:K, 0))</f>
        <v>Uruguay</v>
      </c>
      <c r="AC33" t="str">
        <f>'Conjunto de Datos'!N34</f>
        <v>Mesero_1</v>
      </c>
      <c r="AD33">
        <f>Tabla8[[#This Row],[Propina]]+Tabla8[[#This Row],[Precio Cena]]</f>
        <v>3036</v>
      </c>
      <c r="AE33" s="45">
        <f t="shared" si="0"/>
        <v>211</v>
      </c>
    </row>
    <row r="34" spans="1:31" x14ac:dyDescent="0.3">
      <c r="S34" s="15" t="str">
        <f>'Conjunto de Datos'!BB35</f>
        <v>103</v>
      </c>
      <c r="T34" s="15">
        <f>'Conjunto de Datos'!BF35</f>
        <v>33</v>
      </c>
      <c r="U34" s="6">
        <f>sala!I34</f>
        <v>2038</v>
      </c>
      <c r="V34" cm="1">
        <f t="array" ref="V34">SUM(IF(Cocina!A:A=Tabla8[[#This Row],[Numero de Orden]],Cocina!F:F*Cocina!G:G,0))</f>
        <v>306</v>
      </c>
      <c r="W34">
        <f>IF(Tabla8[[#This Row],[Cobrado]]="Cobrada",Tabla8[[#This Row],[Propina]]+Tabla8[[#This Row],[Precio Cena]],0)</f>
        <v>2344</v>
      </c>
      <c r="X34" t="str">
        <f>INDEX(sala!G:G, MATCH(Tabla8[[#This Row],[Numero de Orden]], sala!K:K, 0))</f>
        <v>Cena</v>
      </c>
      <c r="Y34" t="str">
        <f>'Conjunto de Datos'!J35</f>
        <v>Cobrada</v>
      </c>
      <c r="Z34" t="str">
        <f>INDEX(sala!H:H, MATCH(Tabla8[[#This Row],[Numero de Orden]], sala!K:K, 0))</f>
        <v>Tarjeta de débito</v>
      </c>
      <c r="AA34" s="3">
        <f>'Conjunto de Datos'!D35</f>
        <v>45017</v>
      </c>
      <c r="AB34" t="str">
        <f>INDEX(sala!L:L, MATCH(Tabla8[[#This Row],[Numero de Orden]], sala!K:K, 0))</f>
        <v>Perú</v>
      </c>
      <c r="AC34" t="str">
        <f>'Conjunto de Datos'!N35</f>
        <v>Mesero_4</v>
      </c>
      <c r="AD34">
        <f>Tabla8[[#This Row],[Propina]]+Tabla8[[#This Row],[Precio Cena]]</f>
        <v>2344</v>
      </c>
      <c r="AE34" s="45">
        <f t="shared" si="0"/>
        <v>306</v>
      </c>
    </row>
    <row r="35" spans="1:31" x14ac:dyDescent="0.3">
      <c r="S35" t="str">
        <f>'Conjunto de Datos'!BB36</f>
        <v>1</v>
      </c>
      <c r="T35">
        <f>'Conjunto de Datos'!BF36</f>
        <v>34</v>
      </c>
      <c r="U35" s="7">
        <f>sala!I35</f>
        <v>1308</v>
      </c>
      <c r="V35" cm="1">
        <f t="array" ref="V35">SUM(IF(Cocina!A:A=Tabla8[[#This Row],[Numero de Orden]],Cocina!F:F*Cocina!G:G,0))</f>
        <v>112</v>
      </c>
      <c r="W35">
        <f>IF(Tabla8[[#This Row],[Cobrado]]="Cobrada",Tabla8[[#This Row],[Propina]]+Tabla8[[#This Row],[Precio Cena]],0)</f>
        <v>1420</v>
      </c>
      <c r="X35" t="str">
        <f>INDEX(sala!G:G, MATCH(Tabla8[[#This Row],[Numero de Orden]], sala!K:K, 0))</f>
        <v>Desayuno</v>
      </c>
      <c r="Y35" t="str">
        <f>'Conjunto de Datos'!J36</f>
        <v>Cobrada</v>
      </c>
      <c r="Z35" t="str">
        <f>INDEX(sala!H:H, MATCH(Tabla8[[#This Row],[Numero de Orden]], sala!K:K, 0))</f>
        <v>Tarjeta de crédito</v>
      </c>
      <c r="AA35" s="3">
        <f>'Conjunto de Datos'!D36</f>
        <v>45017</v>
      </c>
      <c r="AB35" t="str">
        <f>INDEX(sala!L:L, MATCH(Tabla8[[#This Row],[Numero de Orden]], sala!K:K, 0))</f>
        <v>Perú</v>
      </c>
      <c r="AC35" t="str">
        <f>'Conjunto de Datos'!N36</f>
        <v>Mesero_4</v>
      </c>
      <c r="AD35">
        <f>Tabla8[[#This Row],[Propina]]+Tabla8[[#This Row],[Precio Cena]]</f>
        <v>1420</v>
      </c>
      <c r="AE35" s="45">
        <f t="shared" si="0"/>
        <v>112</v>
      </c>
    </row>
    <row r="36" spans="1:31" x14ac:dyDescent="0.3">
      <c r="S36" s="15" t="str">
        <f>'Conjunto de Datos'!BB37</f>
        <v>828</v>
      </c>
      <c r="T36" s="15">
        <f>'Conjunto de Datos'!BF37</f>
        <v>35</v>
      </c>
      <c r="U36" s="6">
        <f>sala!I36</f>
        <v>1575</v>
      </c>
      <c r="V36" cm="1">
        <f t="array" ref="V36">SUM(IF(Cocina!A:A=Tabla8[[#This Row],[Numero de Orden]],Cocina!F:F*Cocina!G:G,0))</f>
        <v>214</v>
      </c>
      <c r="W36">
        <f>IF(Tabla8[[#This Row],[Cobrado]]="Cobrada",Tabla8[[#This Row],[Propina]]+Tabla8[[#This Row],[Precio Cena]],0)</f>
        <v>1789</v>
      </c>
      <c r="X36" t="str">
        <f>INDEX(sala!G:G, MATCH(Tabla8[[#This Row],[Numero de Orden]], sala!K:K, 0))</f>
        <v>Almuerzo</v>
      </c>
      <c r="Y36" t="str">
        <f>'Conjunto de Datos'!J37</f>
        <v>Cobrada</v>
      </c>
      <c r="Z36" t="str">
        <f>INDEX(sala!H:H, MATCH(Tabla8[[#This Row],[Numero de Orden]], sala!K:K, 0))</f>
        <v>Tarjeta de crédito</v>
      </c>
      <c r="AA36" s="3">
        <f>'Conjunto de Datos'!D37</f>
        <v>45017</v>
      </c>
      <c r="AB36" t="str">
        <f>INDEX(sala!L:L, MATCH(Tabla8[[#This Row],[Numero de Orden]], sala!K:K, 0))</f>
        <v>Perú</v>
      </c>
      <c r="AC36" t="str">
        <f>'Conjunto de Datos'!N37</f>
        <v>Mesero_3</v>
      </c>
      <c r="AD36">
        <f>Tabla8[[#This Row],[Propina]]+Tabla8[[#This Row],[Precio Cena]]</f>
        <v>1789</v>
      </c>
      <c r="AE36" s="45">
        <f t="shared" si="0"/>
        <v>214</v>
      </c>
    </row>
    <row r="37" spans="1:31" x14ac:dyDescent="0.3">
      <c r="S37" t="str">
        <f>'Conjunto de Datos'!BB38</f>
        <v>874</v>
      </c>
      <c r="T37">
        <f>'Conjunto de Datos'!BF38</f>
        <v>36</v>
      </c>
      <c r="U37" s="7">
        <f>sala!I37</f>
        <v>4528</v>
      </c>
      <c r="V37" cm="1">
        <f t="array" ref="V37">SUM(IF(Cocina!A:A=Tabla8[[#This Row],[Numero de Orden]],Cocina!F:F*Cocina!G:G,0))</f>
        <v>30</v>
      </c>
      <c r="W37">
        <f>IF(Tabla8[[#This Row],[Cobrado]]="Cobrada",Tabla8[[#This Row],[Propina]]+Tabla8[[#This Row],[Precio Cena]],0)</f>
        <v>4558</v>
      </c>
      <c r="X37" t="str">
        <f>INDEX(sala!G:G, MATCH(Tabla8[[#This Row],[Numero de Orden]], sala!K:K, 0))</f>
        <v>Almuerzo</v>
      </c>
      <c r="Y37" t="str">
        <f>'Conjunto de Datos'!J38</f>
        <v>Cobrada</v>
      </c>
      <c r="Z37" t="str">
        <f>INDEX(sala!H:H, MATCH(Tabla8[[#This Row],[Numero de Orden]], sala!K:K, 0))</f>
        <v>Tarjeta de crédito</v>
      </c>
      <c r="AA37" s="3">
        <f>'Conjunto de Datos'!D38</f>
        <v>45017</v>
      </c>
      <c r="AB37" t="str">
        <f>INDEX(sala!L:L, MATCH(Tabla8[[#This Row],[Numero de Orden]], sala!K:K, 0))</f>
        <v>Bolivia</v>
      </c>
      <c r="AC37" t="str">
        <f>'Conjunto de Datos'!N38</f>
        <v>Mesero_2</v>
      </c>
      <c r="AD37">
        <f>Tabla8[[#This Row],[Propina]]+Tabla8[[#This Row],[Precio Cena]]</f>
        <v>4558</v>
      </c>
      <c r="AE37" s="45">
        <f t="shared" si="0"/>
        <v>30</v>
      </c>
    </row>
    <row r="38" spans="1:31" x14ac:dyDescent="0.3">
      <c r="S38" s="15" t="str">
        <f>'Conjunto de Datos'!BB39</f>
        <v>999</v>
      </c>
      <c r="T38" s="15">
        <f>'Conjunto de Datos'!BF39</f>
        <v>37</v>
      </c>
      <c r="U38" s="6">
        <f>sala!I38</f>
        <v>1039</v>
      </c>
      <c r="V38" cm="1">
        <f t="array" ref="V38">SUM(IF(Cocina!A:A=Tabla8[[#This Row],[Numero de Orden]],Cocina!F:F*Cocina!G:G,0))</f>
        <v>21</v>
      </c>
      <c r="W38">
        <f>IF(Tabla8[[#This Row],[Cobrado]]="Cobrada",Tabla8[[#This Row],[Propina]]+Tabla8[[#This Row],[Precio Cena]],0)</f>
        <v>1060</v>
      </c>
      <c r="X38" t="str">
        <f>INDEX(sala!G:G, MATCH(Tabla8[[#This Row],[Numero de Orden]], sala!K:K, 0))</f>
        <v>Cena</v>
      </c>
      <c r="Y38" t="str">
        <f>'Conjunto de Datos'!J39</f>
        <v>Cobrada</v>
      </c>
      <c r="Z38" t="str">
        <f>INDEX(sala!H:H, MATCH(Tabla8[[#This Row],[Numero de Orden]], sala!K:K, 0))</f>
        <v>Tarjeta de crédito</v>
      </c>
      <c r="AA38" s="3">
        <f>'Conjunto de Datos'!D39</f>
        <v>45017</v>
      </c>
      <c r="AB38" t="str">
        <f>INDEX(sala!L:L, MATCH(Tabla8[[#This Row],[Numero de Orden]], sala!K:K, 0))</f>
        <v>Brasil</v>
      </c>
      <c r="AC38" t="str">
        <f>'Conjunto de Datos'!N39</f>
        <v>Mesero_5</v>
      </c>
      <c r="AD38">
        <f>Tabla8[[#This Row],[Propina]]+Tabla8[[#This Row],[Precio Cena]]</f>
        <v>1060</v>
      </c>
      <c r="AE38" s="45">
        <f t="shared" si="0"/>
        <v>21</v>
      </c>
    </row>
    <row r="39" spans="1:31" x14ac:dyDescent="0.3">
      <c r="S39" t="str">
        <f>'Conjunto de Datos'!BB40</f>
        <v>167</v>
      </c>
      <c r="T39">
        <f>'Conjunto de Datos'!BF40</f>
        <v>38</v>
      </c>
      <c r="U39" s="7">
        <f>sala!I39</f>
        <v>1631</v>
      </c>
      <c r="V39" cm="1">
        <f t="array" ref="V39">SUM(IF(Cocina!A:A=Tabla8[[#This Row],[Numero de Orden]],Cocina!F:F*Cocina!G:G,0))</f>
        <v>235</v>
      </c>
      <c r="W39">
        <f>IF(Tabla8[[#This Row],[Cobrado]]="Cobrada",Tabla8[[#This Row],[Propina]]+Tabla8[[#This Row],[Precio Cena]],0)</f>
        <v>0</v>
      </c>
      <c r="X39" t="str">
        <f>INDEX(sala!G:G, MATCH(Tabla8[[#This Row],[Numero de Orden]], sala!K:K, 0))</f>
        <v>Almuerzo</v>
      </c>
      <c r="Y39" t="str">
        <f>'Conjunto de Datos'!J40</f>
        <v>No Cobrada</v>
      </c>
      <c r="Z39" t="str">
        <f>INDEX(sala!H:H, MATCH(Tabla8[[#This Row],[Numero de Orden]], sala!K:K, 0))</f>
        <v>Tarjeta de débito</v>
      </c>
      <c r="AA39" s="3">
        <f>'Conjunto de Datos'!D40</f>
        <v>45017</v>
      </c>
      <c r="AB39" t="str">
        <f>INDEX(sala!L:L, MATCH(Tabla8[[#This Row],[Numero de Orden]], sala!K:K, 0))</f>
        <v>Chile</v>
      </c>
      <c r="AC39" t="str">
        <f>'Conjunto de Datos'!N40</f>
        <v>Mesero_4</v>
      </c>
      <c r="AD39">
        <f>Tabla8[[#This Row],[Propina]]+Tabla8[[#This Row],[Precio Cena]]</f>
        <v>1866</v>
      </c>
      <c r="AE39" s="45">
        <f t="shared" si="0"/>
        <v>0</v>
      </c>
    </row>
    <row r="40" spans="1:31" x14ac:dyDescent="0.3">
      <c r="S40" s="15" t="str">
        <f>'Conjunto de Datos'!BB41</f>
        <v>606</v>
      </c>
      <c r="T40" s="15">
        <f>'Conjunto de Datos'!BF41</f>
        <v>39</v>
      </c>
      <c r="U40" s="6">
        <f>sala!I40</f>
        <v>4836</v>
      </c>
      <c r="V40" cm="1">
        <f t="array" ref="V40">SUM(IF(Cocina!A:A=Tabla8[[#This Row],[Numero de Orden]],Cocina!F:F*Cocina!G:G,0))</f>
        <v>108</v>
      </c>
      <c r="W40">
        <f>IF(Tabla8[[#This Row],[Cobrado]]="Cobrada",Tabla8[[#This Row],[Propina]]+Tabla8[[#This Row],[Precio Cena]],0)</f>
        <v>4944</v>
      </c>
      <c r="X40" t="str">
        <f>INDEX(sala!G:G, MATCH(Tabla8[[#This Row],[Numero de Orden]], sala!K:K, 0))</f>
        <v>Cena</v>
      </c>
      <c r="Y40" t="str">
        <f>'Conjunto de Datos'!J41</f>
        <v>Cobrada</v>
      </c>
      <c r="Z40" t="str">
        <f>INDEX(sala!H:H, MATCH(Tabla8[[#This Row],[Numero de Orden]], sala!K:K, 0))</f>
        <v>Efectivo</v>
      </c>
      <c r="AA40" s="3">
        <f>'Conjunto de Datos'!D41</f>
        <v>45017</v>
      </c>
      <c r="AB40" t="str">
        <f>INDEX(sala!L:L, MATCH(Tabla8[[#This Row],[Numero de Orden]], sala!K:K, 0))</f>
        <v>Bolivia</v>
      </c>
      <c r="AC40" t="str">
        <f>'Conjunto de Datos'!N41</f>
        <v>Mesero_2</v>
      </c>
      <c r="AD40">
        <f>Tabla8[[#This Row],[Propina]]+Tabla8[[#This Row],[Precio Cena]]</f>
        <v>4944</v>
      </c>
      <c r="AE40" s="45">
        <f t="shared" si="0"/>
        <v>108</v>
      </c>
    </row>
    <row r="41" spans="1:31" x14ac:dyDescent="0.3">
      <c r="S41" t="str">
        <f>'Conjunto de Datos'!BB42</f>
        <v>710</v>
      </c>
      <c r="T41">
        <f>'Conjunto de Datos'!BF42</f>
        <v>40</v>
      </c>
      <c r="U41" s="7">
        <f>sala!I41</f>
        <v>1368</v>
      </c>
      <c r="V41" cm="1">
        <f t="array" ref="V41">SUM(IF(Cocina!A:A=Tabla8[[#This Row],[Numero de Orden]],Cocina!F:F*Cocina!G:G,0))</f>
        <v>148</v>
      </c>
      <c r="W41">
        <f>IF(Tabla8[[#This Row],[Cobrado]]="Cobrada",Tabla8[[#This Row],[Propina]]+Tabla8[[#This Row],[Precio Cena]],0)</f>
        <v>1516</v>
      </c>
      <c r="X41" t="str">
        <f>INDEX(sala!G:G, MATCH(Tabla8[[#This Row],[Numero de Orden]], sala!K:K, 0))</f>
        <v>Almuerzo</v>
      </c>
      <c r="Y41" t="str">
        <f>'Conjunto de Datos'!J42</f>
        <v>Cobrada</v>
      </c>
      <c r="Z41" t="str">
        <f>INDEX(sala!H:H, MATCH(Tabla8[[#This Row],[Numero de Orden]], sala!K:K, 0))</f>
        <v>Efectivo</v>
      </c>
      <c r="AA41" s="3">
        <f>'Conjunto de Datos'!D42</f>
        <v>45017</v>
      </c>
      <c r="AB41" t="str">
        <f>INDEX(sala!L:L, MATCH(Tabla8[[#This Row],[Numero de Orden]], sala!K:K, 0))</f>
        <v>Argentina</v>
      </c>
      <c r="AC41" t="str">
        <f>'Conjunto de Datos'!N42</f>
        <v>Mesero_3</v>
      </c>
      <c r="AD41">
        <f>Tabla8[[#This Row],[Propina]]+Tabla8[[#This Row],[Precio Cena]]</f>
        <v>1516</v>
      </c>
      <c r="AE41" s="45">
        <f t="shared" si="0"/>
        <v>148</v>
      </c>
    </row>
    <row r="42" spans="1:31" x14ac:dyDescent="0.3">
      <c r="A42" t="s">
        <v>665</v>
      </c>
      <c r="B42" t="s">
        <v>48</v>
      </c>
      <c r="C42" t="s">
        <v>22</v>
      </c>
      <c r="D42" t="s">
        <v>15</v>
      </c>
      <c r="S42" s="15" t="str">
        <f>'Conjunto de Datos'!BB43</f>
        <v>870</v>
      </c>
      <c r="T42" s="15">
        <f>'Conjunto de Datos'!BF43</f>
        <v>41</v>
      </c>
      <c r="U42" s="6">
        <f>sala!I42</f>
        <v>1524</v>
      </c>
      <c r="V42" cm="1">
        <f t="array" ref="V42">SUM(IF(Cocina!A:A=Tabla8[[#This Row],[Numero de Orden]],Cocina!F:F*Cocina!G:G,0))</f>
        <v>204</v>
      </c>
      <c r="W42">
        <f>IF(Tabla8[[#This Row],[Cobrado]]="Cobrada",Tabla8[[#This Row],[Propina]]+Tabla8[[#This Row],[Precio Cena]],0)</f>
        <v>1728</v>
      </c>
      <c r="X42" t="str">
        <f>INDEX(sala!G:G, MATCH(Tabla8[[#This Row],[Numero de Orden]], sala!K:K, 0))</f>
        <v>Almuerzo</v>
      </c>
      <c r="Y42" t="str">
        <f>'Conjunto de Datos'!J43</f>
        <v>Cobrada</v>
      </c>
      <c r="Z42" t="str">
        <f>INDEX(sala!H:H, MATCH(Tabla8[[#This Row],[Numero de Orden]], sala!K:K, 0))</f>
        <v>Tarjeta de crédito</v>
      </c>
      <c r="AA42" s="3">
        <f>'Conjunto de Datos'!D43</f>
        <v>45017</v>
      </c>
      <c r="AB42" t="str">
        <f>INDEX(sala!L:L, MATCH(Tabla8[[#This Row],[Numero de Orden]], sala!K:K, 0))</f>
        <v>Perú</v>
      </c>
      <c r="AC42" t="str">
        <f>'Conjunto de Datos'!N43</f>
        <v>Mesero_2</v>
      </c>
      <c r="AD42">
        <f>Tabla8[[#This Row],[Propina]]+Tabla8[[#This Row],[Precio Cena]]</f>
        <v>1728</v>
      </c>
      <c r="AE42" s="45">
        <f t="shared" si="0"/>
        <v>204</v>
      </c>
    </row>
    <row r="43" spans="1:31" x14ac:dyDescent="0.3">
      <c r="A43" s="3">
        <v>45017</v>
      </c>
      <c r="B43" s="27">
        <f>SUMIFS(W:W, X:X, "Desayuno", AA:AA, "01/04/2023")</f>
        <v>46197</v>
      </c>
      <c r="C43" s="27">
        <f>SUMIFS(W:W, X:X, "Almuerzo", AA:AA, "01/04/2023")</f>
        <v>171830</v>
      </c>
      <c r="D43" s="27">
        <f>SUMIFS(W:W, X:X, "Cena", AA:AA, "01/04/2023")</f>
        <v>66795</v>
      </c>
      <c r="S43" t="str">
        <f>'Conjunto de Datos'!BB44</f>
        <v>230</v>
      </c>
      <c r="T43">
        <f>'Conjunto de Datos'!BF44</f>
        <v>42</v>
      </c>
      <c r="U43" s="7">
        <f>sala!I43</f>
        <v>4958</v>
      </c>
      <c r="V43" cm="1">
        <f t="array" ref="V43">SUM(IF(Cocina!A:A=Tabla8[[#This Row],[Numero de Orden]],Cocina!F:F*Cocina!G:G,0))</f>
        <v>102</v>
      </c>
      <c r="W43">
        <f>IF(Tabla8[[#This Row],[Cobrado]]="Cobrada",Tabla8[[#This Row],[Propina]]+Tabla8[[#This Row],[Precio Cena]],0)</f>
        <v>5060</v>
      </c>
      <c r="X43" t="str">
        <f>INDEX(sala!G:G, MATCH(Tabla8[[#This Row],[Numero de Orden]], sala!K:K, 0))</f>
        <v>Almuerzo</v>
      </c>
      <c r="Y43" t="str">
        <f>'Conjunto de Datos'!J44</f>
        <v>Cobrada</v>
      </c>
      <c r="Z43" t="str">
        <f>INDEX(sala!H:H, MATCH(Tabla8[[#This Row],[Numero de Orden]], sala!K:K, 0))</f>
        <v>Tarjeta de crédito</v>
      </c>
      <c r="AA43" s="3">
        <f>'Conjunto de Datos'!D44</f>
        <v>45017</v>
      </c>
      <c r="AB43" t="str">
        <f>INDEX(sala!L:L, MATCH(Tabla8[[#This Row],[Numero de Orden]], sala!K:K, 0))</f>
        <v>Bolivia</v>
      </c>
      <c r="AC43" t="str">
        <f>'Conjunto de Datos'!N44</f>
        <v>Mesero_2</v>
      </c>
      <c r="AD43">
        <f>Tabla8[[#This Row],[Propina]]+Tabla8[[#This Row],[Precio Cena]]</f>
        <v>5060</v>
      </c>
      <c r="AE43" s="45">
        <f t="shared" si="0"/>
        <v>102</v>
      </c>
    </row>
    <row r="44" spans="1:31" x14ac:dyDescent="0.3">
      <c r="A44" s="3">
        <v>45018</v>
      </c>
      <c r="B44" s="27">
        <f>SUMIFS(W:W, X:X, "Desayuno", AA:AA, "02/04/2023")</f>
        <v>57681</v>
      </c>
      <c r="C44" s="27">
        <f>SUMIFS(W:W, X:X, "Almuerzo", AA:AA, "02/04/2023")</f>
        <v>222188</v>
      </c>
      <c r="D44" s="27">
        <f>SUMIFS(W:W, X:X, "Cena", AA:AA, "02/04/2023")</f>
        <v>67048</v>
      </c>
      <c r="S44" s="15" t="str">
        <f>'Conjunto de Datos'!BB45</f>
        <v>814</v>
      </c>
      <c r="T44" s="15">
        <f>'Conjunto de Datos'!BF45</f>
        <v>43</v>
      </c>
      <c r="U44" s="6">
        <f>sala!I44</f>
        <v>3219</v>
      </c>
      <c r="V44" cm="1">
        <f t="array" ref="V44">SUM(IF(Cocina!A:A=Tabla8[[#This Row],[Numero de Orden]],Cocina!F:F*Cocina!G:G,0))</f>
        <v>203</v>
      </c>
      <c r="W44">
        <f>IF(Tabla8[[#This Row],[Cobrado]]="Cobrada",Tabla8[[#This Row],[Propina]]+Tabla8[[#This Row],[Precio Cena]],0)</f>
        <v>3422</v>
      </c>
      <c r="X44" t="str">
        <f>INDEX(sala!G:G, MATCH(Tabla8[[#This Row],[Numero de Orden]], sala!K:K, 0))</f>
        <v>Almuerzo</v>
      </c>
      <c r="Y44" t="str">
        <f>'Conjunto de Datos'!J45</f>
        <v>Cobrada</v>
      </c>
      <c r="Z44" t="str">
        <f>INDEX(sala!H:H, MATCH(Tabla8[[#This Row],[Numero de Orden]], sala!K:K, 0))</f>
        <v>Tarjeta de crédito</v>
      </c>
      <c r="AA44" s="3">
        <f>'Conjunto de Datos'!D45</f>
        <v>45017</v>
      </c>
      <c r="AB44" t="str">
        <f>INDEX(sala!L:L, MATCH(Tabla8[[#This Row],[Numero de Orden]], sala!K:K, 0))</f>
        <v>Perú</v>
      </c>
      <c r="AC44" t="str">
        <f>'Conjunto de Datos'!N45</f>
        <v>Mesero_4</v>
      </c>
      <c r="AD44">
        <f>Tabla8[[#This Row],[Propina]]+Tabla8[[#This Row],[Precio Cena]]</f>
        <v>3422</v>
      </c>
      <c r="AE44" s="45">
        <f t="shared" si="0"/>
        <v>203</v>
      </c>
    </row>
    <row r="45" spans="1:31" x14ac:dyDescent="0.3">
      <c r="A45" s="3">
        <v>45019</v>
      </c>
      <c r="B45" s="27">
        <f>SUMIFS(W:W, X:X, "Desayuno", AA:AA, "03/04/2023")</f>
        <v>29830</v>
      </c>
      <c r="C45" s="27">
        <f>SUMIFS(W:W, X:X, "Almuerzo", AA:AA, "03/04/2023")</f>
        <v>74923</v>
      </c>
      <c r="D45" s="27">
        <f>SUMIFS(W:W, X:X, "Cena", AA:AA, "03/04/2023")</f>
        <v>20086</v>
      </c>
      <c r="S45" t="str">
        <f>'Conjunto de Datos'!BB46</f>
        <v>710</v>
      </c>
      <c r="T45">
        <f>'Conjunto de Datos'!BF46</f>
        <v>44</v>
      </c>
      <c r="U45" s="7">
        <f>sala!I45</f>
        <v>426</v>
      </c>
      <c r="V45" cm="1">
        <f t="array" ref="V45">SUM(IF(Cocina!A:A=Tabla8[[#This Row],[Numero de Orden]],Cocina!F:F*Cocina!G:G,0))</f>
        <v>122</v>
      </c>
      <c r="W45">
        <f>IF(Tabla8[[#This Row],[Cobrado]]="Cobrada",Tabla8[[#This Row],[Propina]]+Tabla8[[#This Row],[Precio Cena]],0)</f>
        <v>548</v>
      </c>
      <c r="X45" t="str">
        <f>INDEX(sala!G:G, MATCH(Tabla8[[#This Row],[Numero de Orden]], sala!K:K, 0))</f>
        <v>Almuerzo</v>
      </c>
      <c r="Y45" t="str">
        <f>'Conjunto de Datos'!J46</f>
        <v>Cobrada</v>
      </c>
      <c r="Z45" t="str">
        <f>INDEX(sala!H:H, MATCH(Tabla8[[#This Row],[Numero de Orden]], sala!K:K, 0))</f>
        <v>Tarjeta de crédito</v>
      </c>
      <c r="AA45" s="3">
        <f>'Conjunto de Datos'!D46</f>
        <v>45017</v>
      </c>
      <c r="AB45" t="str">
        <f>INDEX(sala!L:L, MATCH(Tabla8[[#This Row],[Numero de Orden]], sala!K:K, 0))</f>
        <v>España</v>
      </c>
      <c r="AC45" t="str">
        <f>'Conjunto de Datos'!N46</f>
        <v>Mesero_4</v>
      </c>
      <c r="AD45">
        <f>Tabla8[[#This Row],[Propina]]+Tabla8[[#This Row],[Precio Cena]]</f>
        <v>548</v>
      </c>
      <c r="AE45" s="45">
        <f t="shared" si="0"/>
        <v>122</v>
      </c>
    </row>
    <row r="46" spans="1:31" x14ac:dyDescent="0.3">
      <c r="A46" s="3">
        <v>45020</v>
      </c>
      <c r="B46" s="27">
        <f>SUMIFS(W:W, X:X, "Desayuno", AA:AA, "04/04/2023")</f>
        <v>54272</v>
      </c>
      <c r="C46" s="27">
        <f>SUMIFS(W:W, X:X, "Almuerzo", AA:AA, "04/04/2023")</f>
        <v>82342</v>
      </c>
      <c r="D46" s="27">
        <f>SUMIFS(W:W, X:X, "Cena", AA:AA, "04/04/2023")</f>
        <v>27578</v>
      </c>
      <c r="S46" s="15" t="str">
        <f>'Conjunto de Datos'!BB47</f>
        <v>640</v>
      </c>
      <c r="T46" s="15">
        <f>'Conjunto de Datos'!BF47</f>
        <v>45</v>
      </c>
      <c r="U46" s="6">
        <f>sala!I46</f>
        <v>2541</v>
      </c>
      <c r="V46" cm="1">
        <f t="array" ref="V46">SUM(IF(Cocina!A:A=Tabla8[[#This Row],[Numero de Orden]],Cocina!F:F*Cocina!G:G,0))</f>
        <v>54</v>
      </c>
      <c r="W46">
        <f>IF(Tabla8[[#This Row],[Cobrado]]="Cobrada",Tabla8[[#This Row],[Propina]]+Tabla8[[#This Row],[Precio Cena]],0)</f>
        <v>2595</v>
      </c>
      <c r="X46" t="str">
        <f>INDEX(sala!G:G, MATCH(Tabla8[[#This Row],[Numero de Orden]], sala!K:K, 0))</f>
        <v>Almuerzo</v>
      </c>
      <c r="Y46" t="str">
        <f>'Conjunto de Datos'!J47</f>
        <v>Cobrada</v>
      </c>
      <c r="Z46" t="str">
        <f>INDEX(sala!H:H, MATCH(Tabla8[[#This Row],[Numero de Orden]], sala!K:K, 0))</f>
        <v>Tarjeta de crédito</v>
      </c>
      <c r="AA46" s="3">
        <f>'Conjunto de Datos'!D47</f>
        <v>45017</v>
      </c>
      <c r="AB46" t="str">
        <f>INDEX(sala!L:L, MATCH(Tabla8[[#This Row],[Numero de Orden]], sala!K:K, 0))</f>
        <v>Perú</v>
      </c>
      <c r="AC46" t="str">
        <f>'Conjunto de Datos'!N47</f>
        <v>Mesero_2</v>
      </c>
      <c r="AD46">
        <f>Tabla8[[#This Row],[Propina]]+Tabla8[[#This Row],[Precio Cena]]</f>
        <v>2595</v>
      </c>
      <c r="AE46" s="45">
        <f t="shared" si="0"/>
        <v>54</v>
      </c>
    </row>
    <row r="47" spans="1:31" x14ac:dyDescent="0.3">
      <c r="A47" s="3">
        <v>45021</v>
      </c>
      <c r="B47" s="27">
        <f>SUMIFS(W:W, X:X, "Desayuno", AA:AA, "05/04/2023")</f>
        <v>20103</v>
      </c>
      <c r="C47" s="27">
        <f>SUMIFS(W:W, X:X, "Almuerzo", AA:AA, "05/04/2023")</f>
        <v>140625</v>
      </c>
      <c r="D47" s="27">
        <f>SUMIFS(W:W, X:X, "Cena", AA:AA, "05/04/2023")</f>
        <v>38025</v>
      </c>
      <c r="S47" t="str">
        <f>'Conjunto de Datos'!BB48</f>
        <v>623</v>
      </c>
      <c r="T47">
        <f>'Conjunto de Datos'!BF48</f>
        <v>46</v>
      </c>
      <c r="U47" s="7">
        <f>sala!I47</f>
        <v>2797</v>
      </c>
      <c r="V47" cm="1">
        <f t="array" ref="V47">SUM(IF(Cocina!A:A=Tabla8[[#This Row],[Numero de Orden]],Cocina!F:F*Cocina!G:G,0))</f>
        <v>140</v>
      </c>
      <c r="W47">
        <f>IF(Tabla8[[#This Row],[Cobrado]]="Cobrada",Tabla8[[#This Row],[Propina]]+Tabla8[[#This Row],[Precio Cena]],0)</f>
        <v>2937</v>
      </c>
      <c r="X47" t="str">
        <f>INDEX(sala!G:G, MATCH(Tabla8[[#This Row],[Numero de Orden]], sala!K:K, 0))</f>
        <v>Almuerzo</v>
      </c>
      <c r="Y47" t="str">
        <f>'Conjunto de Datos'!J48</f>
        <v>Cobrada</v>
      </c>
      <c r="Z47" t="str">
        <f>INDEX(sala!H:H, MATCH(Tabla8[[#This Row],[Numero de Orden]], sala!K:K, 0))</f>
        <v>Tarjeta de crédito</v>
      </c>
      <c r="AA47" s="3">
        <f>'Conjunto de Datos'!D48</f>
        <v>45017</v>
      </c>
      <c r="AB47" t="str">
        <f>INDEX(sala!L:L, MATCH(Tabla8[[#This Row],[Numero de Orden]], sala!K:K, 0))</f>
        <v>Chile</v>
      </c>
      <c r="AC47" t="str">
        <f>'Conjunto de Datos'!N48</f>
        <v>Mesero_5</v>
      </c>
      <c r="AD47">
        <f>Tabla8[[#This Row],[Propina]]+Tabla8[[#This Row],[Precio Cena]]</f>
        <v>2937</v>
      </c>
      <c r="AE47" s="45">
        <f t="shared" si="0"/>
        <v>140</v>
      </c>
    </row>
    <row r="48" spans="1:31" x14ac:dyDescent="0.3">
      <c r="A48" s="3">
        <v>45022</v>
      </c>
      <c r="B48" s="27">
        <f>SUMIFS(W:W, X:X, "Desayuno", AA:AA, "06/04/2023")</f>
        <v>84658</v>
      </c>
      <c r="C48" s="27">
        <f>SUMIFS(W:W, X:X, "Almuerzo", AA:AA, "06/04/2023")</f>
        <v>271258</v>
      </c>
      <c r="D48" s="27">
        <f>SUMIFS(W:W, X:X, "Cena", AA:AA, "06/04/2023")</f>
        <v>94026</v>
      </c>
      <c r="S48" s="15" t="str">
        <f>'Conjunto de Datos'!BB49</f>
        <v>72</v>
      </c>
      <c r="T48" s="15">
        <f>'Conjunto de Datos'!BF49</f>
        <v>47</v>
      </c>
      <c r="U48" s="6">
        <f>sala!I48</f>
        <v>1098</v>
      </c>
      <c r="V48" cm="1">
        <f t="array" ref="V48">SUM(IF(Cocina!A:A=Tabla8[[#This Row],[Numero de Orden]],Cocina!F:F*Cocina!G:G,0))</f>
        <v>109</v>
      </c>
      <c r="W48">
        <f>IF(Tabla8[[#This Row],[Cobrado]]="Cobrada",Tabla8[[#This Row],[Propina]]+Tabla8[[#This Row],[Precio Cena]],0)</f>
        <v>1207</v>
      </c>
      <c r="X48" t="str">
        <f>INDEX(sala!G:G, MATCH(Tabla8[[#This Row],[Numero de Orden]], sala!K:K, 0))</f>
        <v>Almuerzo</v>
      </c>
      <c r="Y48" t="str">
        <f>'Conjunto de Datos'!J49</f>
        <v>Cobrada</v>
      </c>
      <c r="Z48" t="str">
        <f>INDEX(sala!H:H, MATCH(Tabla8[[#This Row],[Numero de Orden]], sala!K:K, 0))</f>
        <v>Tarjeta de crédito</v>
      </c>
      <c r="AA48" s="3">
        <f>'Conjunto de Datos'!D49</f>
        <v>45017</v>
      </c>
      <c r="AB48" t="str">
        <f>INDEX(sala!L:L, MATCH(Tabla8[[#This Row],[Numero de Orden]], sala!K:K, 0))</f>
        <v>Brasil</v>
      </c>
      <c r="AC48" t="str">
        <f>'Conjunto de Datos'!N49</f>
        <v>Mesero_2</v>
      </c>
      <c r="AD48">
        <f>Tabla8[[#This Row],[Propina]]+Tabla8[[#This Row],[Precio Cena]]</f>
        <v>1207</v>
      </c>
      <c r="AE48" s="45">
        <f t="shared" si="0"/>
        <v>109</v>
      </c>
    </row>
    <row r="49" spans="1:31" x14ac:dyDescent="0.3">
      <c r="A49" s="3">
        <v>45023</v>
      </c>
      <c r="B49" s="27">
        <f>SUMIFS(W:W, X:X, "Desayuno", AA:AA, "07/04/2023")</f>
        <v>70170</v>
      </c>
      <c r="C49" s="27">
        <f>SUMIFS(W:W, X:X, "Almuerzo", AA:AA, "07/04/2023")</f>
        <v>154108</v>
      </c>
      <c r="D49" s="27">
        <f>SUMIFS(W:W, X:X, "Cena", AA:AA, "07/04/2023")</f>
        <v>65700</v>
      </c>
      <c r="S49" t="str">
        <f>'Conjunto de Datos'!BB50</f>
        <v>963</v>
      </c>
      <c r="T49">
        <f>'Conjunto de Datos'!BF50</f>
        <v>48</v>
      </c>
      <c r="U49" s="7">
        <f>sala!I49</f>
        <v>2531</v>
      </c>
      <c r="V49" cm="1">
        <f t="array" ref="V49">SUM(IF(Cocina!A:A=Tabla8[[#This Row],[Numero de Orden]],Cocina!F:F*Cocina!G:G,0))</f>
        <v>158</v>
      </c>
      <c r="W49">
        <f>IF(Tabla8[[#This Row],[Cobrado]]="Cobrada",Tabla8[[#This Row],[Propina]]+Tabla8[[#This Row],[Precio Cena]],0)</f>
        <v>2689</v>
      </c>
      <c r="X49" t="str">
        <f>INDEX(sala!G:G, MATCH(Tabla8[[#This Row],[Numero de Orden]], sala!K:K, 0))</f>
        <v>Desayuno</v>
      </c>
      <c r="Y49" t="str">
        <f>'Conjunto de Datos'!J50</f>
        <v>Cobrada</v>
      </c>
      <c r="Z49" t="str">
        <f>INDEX(sala!H:H, MATCH(Tabla8[[#This Row],[Numero de Orden]], sala!K:K, 0))</f>
        <v>Tarjeta de crédito</v>
      </c>
      <c r="AA49" s="3">
        <f>'Conjunto de Datos'!D50</f>
        <v>45017</v>
      </c>
      <c r="AB49" t="str">
        <f>INDEX(sala!L:L, MATCH(Tabla8[[#This Row],[Numero de Orden]], sala!K:K, 0))</f>
        <v>Bolivia</v>
      </c>
      <c r="AC49" t="str">
        <f>'Conjunto de Datos'!N50</f>
        <v>Mesero_3</v>
      </c>
      <c r="AD49">
        <f>Tabla8[[#This Row],[Propina]]+Tabla8[[#This Row],[Precio Cena]]</f>
        <v>2689</v>
      </c>
      <c r="AE49" s="45">
        <f t="shared" si="0"/>
        <v>158</v>
      </c>
    </row>
    <row r="50" spans="1:31" x14ac:dyDescent="0.3">
      <c r="S50" s="15" t="str">
        <f>'Conjunto de Datos'!BB51</f>
        <v>929</v>
      </c>
      <c r="T50" s="15">
        <f>'Conjunto de Datos'!BF51</f>
        <v>49</v>
      </c>
      <c r="U50" s="6">
        <f>sala!I50</f>
        <v>2092</v>
      </c>
      <c r="V50" cm="1">
        <f t="array" ref="V50">SUM(IF(Cocina!A:A=Tabla8[[#This Row],[Numero de Orden]],Cocina!F:F*Cocina!G:G,0))</f>
        <v>186</v>
      </c>
      <c r="W50">
        <f>IF(Tabla8[[#This Row],[Cobrado]]="Cobrada",Tabla8[[#This Row],[Propina]]+Tabla8[[#This Row],[Precio Cena]],0)</f>
        <v>2278</v>
      </c>
      <c r="X50" t="str">
        <f>INDEX(sala!G:G, MATCH(Tabla8[[#This Row],[Numero de Orden]], sala!K:K, 0))</f>
        <v>Almuerzo</v>
      </c>
      <c r="Y50" t="str">
        <f>'Conjunto de Datos'!J51</f>
        <v>Cobrada</v>
      </c>
      <c r="Z50" t="str">
        <f>INDEX(sala!H:H, MATCH(Tabla8[[#This Row],[Numero de Orden]], sala!K:K, 0))</f>
        <v>Tarjeta de crédito</v>
      </c>
      <c r="AA50" s="3">
        <f>'Conjunto de Datos'!D51</f>
        <v>45017</v>
      </c>
      <c r="AB50" t="str">
        <f>INDEX(sala!L:L, MATCH(Tabla8[[#This Row],[Numero de Orden]], sala!K:K, 0))</f>
        <v>Uruguay</v>
      </c>
      <c r="AC50" t="str">
        <f>'Conjunto de Datos'!N51</f>
        <v>Mesero_2</v>
      </c>
      <c r="AD50">
        <f>Tabla8[[#This Row],[Propina]]+Tabla8[[#This Row],[Precio Cena]]</f>
        <v>2278</v>
      </c>
      <c r="AE50" s="45">
        <f t="shared" si="0"/>
        <v>186</v>
      </c>
    </row>
    <row r="51" spans="1:31" x14ac:dyDescent="0.3">
      <c r="S51" t="str">
        <f>'Conjunto de Datos'!BB52</f>
        <v>708</v>
      </c>
      <c r="T51">
        <f>'Conjunto de Datos'!BF52</f>
        <v>50</v>
      </c>
      <c r="U51" s="7">
        <f>sala!I51</f>
        <v>1674</v>
      </c>
      <c r="V51" cm="1">
        <f t="array" ref="V51">SUM(IF(Cocina!A:A=Tabla8[[#This Row],[Numero de Orden]],Cocina!F:F*Cocina!G:G,0))</f>
        <v>76</v>
      </c>
      <c r="W51">
        <f>IF(Tabla8[[#This Row],[Cobrado]]="Cobrada",Tabla8[[#This Row],[Propina]]+Tabla8[[#This Row],[Precio Cena]],0)</f>
        <v>1750</v>
      </c>
      <c r="X51" t="str">
        <f>INDEX(sala!G:G, MATCH(Tabla8[[#This Row],[Numero de Orden]], sala!K:K, 0))</f>
        <v>Almuerzo</v>
      </c>
      <c r="Y51" t="str">
        <f>'Conjunto de Datos'!J52</f>
        <v>Cobrada</v>
      </c>
      <c r="Z51" t="str">
        <f>INDEX(sala!H:H, MATCH(Tabla8[[#This Row],[Numero de Orden]], sala!K:K, 0))</f>
        <v>Tarjeta de débito</v>
      </c>
      <c r="AA51" s="3">
        <f>'Conjunto de Datos'!D52</f>
        <v>45017</v>
      </c>
      <c r="AB51" t="str">
        <f>INDEX(sala!L:L, MATCH(Tabla8[[#This Row],[Numero de Orden]], sala!K:K, 0))</f>
        <v>Argentina</v>
      </c>
      <c r="AC51" t="str">
        <f>'Conjunto de Datos'!N52</f>
        <v>Mesero_4</v>
      </c>
      <c r="AD51">
        <f>Tabla8[[#This Row],[Propina]]+Tabla8[[#This Row],[Precio Cena]]</f>
        <v>1750</v>
      </c>
      <c r="AE51" s="45">
        <f t="shared" si="0"/>
        <v>76</v>
      </c>
    </row>
    <row r="52" spans="1:31" x14ac:dyDescent="0.3">
      <c r="S52" s="15" t="str">
        <f>'Conjunto de Datos'!BB53</f>
        <v>631</v>
      </c>
      <c r="T52" s="15">
        <f>'Conjunto de Datos'!BF53</f>
        <v>51</v>
      </c>
      <c r="U52" s="6">
        <f>sala!I52</f>
        <v>3708</v>
      </c>
      <c r="V52" cm="1">
        <f t="array" ref="V52">SUM(IF(Cocina!A:A=Tabla8[[#This Row],[Numero de Orden]],Cocina!F:F*Cocina!G:G,0))</f>
        <v>225</v>
      </c>
      <c r="W52">
        <f>IF(Tabla8[[#This Row],[Cobrado]]="Cobrada",Tabla8[[#This Row],[Propina]]+Tabla8[[#This Row],[Precio Cena]],0)</f>
        <v>0</v>
      </c>
      <c r="X52" t="str">
        <f>INDEX(sala!G:G, MATCH(Tabla8[[#This Row],[Numero de Orden]], sala!K:K, 0))</f>
        <v>Cena</v>
      </c>
      <c r="Y52" t="str">
        <f>'Conjunto de Datos'!J53</f>
        <v>No Cobrada</v>
      </c>
      <c r="Z52" t="str">
        <f>INDEX(sala!H:H, MATCH(Tabla8[[#This Row],[Numero de Orden]], sala!K:K, 0))</f>
        <v>Tarjeta de crédito</v>
      </c>
      <c r="AA52" s="3">
        <f>'Conjunto de Datos'!D53</f>
        <v>45017</v>
      </c>
      <c r="AB52" t="str">
        <f>INDEX(sala!L:L, MATCH(Tabla8[[#This Row],[Numero de Orden]], sala!K:K, 0))</f>
        <v>España</v>
      </c>
      <c r="AC52" t="str">
        <f>'Conjunto de Datos'!N53</f>
        <v>Mesero_5</v>
      </c>
      <c r="AD52">
        <f>Tabla8[[#This Row],[Propina]]+Tabla8[[#This Row],[Precio Cena]]</f>
        <v>3933</v>
      </c>
      <c r="AE52" s="45">
        <f t="shared" si="0"/>
        <v>0</v>
      </c>
    </row>
    <row r="53" spans="1:31" x14ac:dyDescent="0.3">
      <c r="S53" t="str">
        <f>'Conjunto de Datos'!BB54</f>
        <v>894</v>
      </c>
      <c r="T53">
        <f>'Conjunto de Datos'!BF54</f>
        <v>52</v>
      </c>
      <c r="U53" s="7">
        <f>sala!I53</f>
        <v>4688</v>
      </c>
      <c r="V53" cm="1">
        <f t="array" ref="V53">SUM(IF(Cocina!A:A=Tabla8[[#This Row],[Numero de Orden]],Cocina!F:F*Cocina!G:G,0))</f>
        <v>263</v>
      </c>
      <c r="W53">
        <f>IF(Tabla8[[#This Row],[Cobrado]]="Cobrada",Tabla8[[#This Row],[Propina]]+Tabla8[[#This Row],[Precio Cena]],0)</f>
        <v>4951</v>
      </c>
      <c r="X53" t="str">
        <f>INDEX(sala!G:G, MATCH(Tabla8[[#This Row],[Numero de Orden]], sala!K:K, 0))</f>
        <v>Almuerzo</v>
      </c>
      <c r="Y53" t="str">
        <f>'Conjunto de Datos'!J54</f>
        <v>Cobrada</v>
      </c>
      <c r="Z53" t="str">
        <f>INDEX(sala!H:H, MATCH(Tabla8[[#This Row],[Numero de Orden]], sala!K:K, 0))</f>
        <v>Tarjeta de crédito</v>
      </c>
      <c r="AA53" s="3">
        <f>'Conjunto de Datos'!D54</f>
        <v>45017</v>
      </c>
      <c r="AB53" t="str">
        <f>INDEX(sala!L:L, MATCH(Tabla8[[#This Row],[Numero de Orden]], sala!K:K, 0))</f>
        <v>Paraguay</v>
      </c>
      <c r="AC53" t="str">
        <f>'Conjunto de Datos'!N54</f>
        <v>Mesero_3</v>
      </c>
      <c r="AD53">
        <f>Tabla8[[#This Row],[Propina]]+Tabla8[[#This Row],[Precio Cena]]</f>
        <v>4951</v>
      </c>
      <c r="AE53" s="45">
        <f t="shared" si="0"/>
        <v>263</v>
      </c>
    </row>
    <row r="54" spans="1:31" x14ac:dyDescent="0.3">
      <c r="S54" s="15" t="str">
        <f>'Conjunto de Datos'!BB55</f>
        <v>63</v>
      </c>
      <c r="T54" s="15">
        <f>'Conjunto de Datos'!BF55</f>
        <v>53</v>
      </c>
      <c r="U54" s="6">
        <f>sala!I54</f>
        <v>3688</v>
      </c>
      <c r="V54" cm="1">
        <f t="array" ref="V54">SUM(IF(Cocina!A:A=Tabla8[[#This Row],[Numero de Orden]],Cocina!F:F*Cocina!G:G,0))</f>
        <v>267</v>
      </c>
      <c r="W54">
        <f>IF(Tabla8[[#This Row],[Cobrado]]="Cobrada",Tabla8[[#This Row],[Propina]]+Tabla8[[#This Row],[Precio Cena]],0)</f>
        <v>0</v>
      </c>
      <c r="X54" t="str">
        <f>INDEX(sala!G:G, MATCH(Tabla8[[#This Row],[Numero de Orden]], sala!K:K, 0))</f>
        <v>Almuerzo</v>
      </c>
      <c r="Y54" t="str">
        <f>'Conjunto de Datos'!J55</f>
        <v>No Cobrada</v>
      </c>
      <c r="Z54" t="str">
        <f>INDEX(sala!H:H, MATCH(Tabla8[[#This Row],[Numero de Orden]], sala!K:K, 0))</f>
        <v>Tarjeta de débito</v>
      </c>
      <c r="AA54" s="3">
        <f>'Conjunto de Datos'!D55</f>
        <v>45017</v>
      </c>
      <c r="AB54" t="str">
        <f>INDEX(sala!L:L, MATCH(Tabla8[[#This Row],[Numero de Orden]], sala!K:K, 0))</f>
        <v>Paraguay</v>
      </c>
      <c r="AC54" t="str">
        <f>'Conjunto de Datos'!N55</f>
        <v>Mesero_5</v>
      </c>
      <c r="AD54">
        <f>Tabla8[[#This Row],[Propina]]+Tabla8[[#This Row],[Precio Cena]]</f>
        <v>3955</v>
      </c>
      <c r="AE54" s="45">
        <f t="shared" si="0"/>
        <v>0</v>
      </c>
    </row>
    <row r="55" spans="1:31" x14ac:dyDescent="0.3">
      <c r="S55" t="str">
        <f>'Conjunto de Datos'!BB56</f>
        <v>144</v>
      </c>
      <c r="T55">
        <f>'Conjunto de Datos'!BF56</f>
        <v>54</v>
      </c>
      <c r="U55" s="7">
        <f>sala!I55</f>
        <v>2336</v>
      </c>
      <c r="V55" cm="1">
        <f t="array" ref="V55">SUM(IF(Cocina!A:A=Tabla8[[#This Row],[Numero de Orden]],Cocina!F:F*Cocina!G:G,0))</f>
        <v>187</v>
      </c>
      <c r="W55">
        <f>IF(Tabla8[[#This Row],[Cobrado]]="Cobrada",Tabla8[[#This Row],[Propina]]+Tabla8[[#This Row],[Precio Cena]],0)</f>
        <v>2523</v>
      </c>
      <c r="X55" t="str">
        <f>INDEX(sala!G:G, MATCH(Tabla8[[#This Row],[Numero de Orden]], sala!K:K, 0))</f>
        <v>Cena</v>
      </c>
      <c r="Y55" t="str">
        <f>'Conjunto de Datos'!J56</f>
        <v>Cobrada</v>
      </c>
      <c r="Z55" t="str">
        <f>INDEX(sala!H:H, MATCH(Tabla8[[#This Row],[Numero de Orden]], sala!K:K, 0))</f>
        <v>Tarjeta de crédito</v>
      </c>
      <c r="AA55" s="3">
        <f>'Conjunto de Datos'!D56</f>
        <v>45017</v>
      </c>
      <c r="AB55" t="str">
        <f>INDEX(sala!L:L, MATCH(Tabla8[[#This Row],[Numero de Orden]], sala!K:K, 0))</f>
        <v>Bolivia</v>
      </c>
      <c r="AC55" t="str">
        <f>'Conjunto de Datos'!N56</f>
        <v>Mesero_4</v>
      </c>
      <c r="AD55">
        <f>Tabla8[[#This Row],[Propina]]+Tabla8[[#This Row],[Precio Cena]]</f>
        <v>2523</v>
      </c>
      <c r="AE55" s="45">
        <f t="shared" si="0"/>
        <v>187</v>
      </c>
    </row>
    <row r="56" spans="1:31" x14ac:dyDescent="0.3">
      <c r="S56" s="15" t="str">
        <f>'Conjunto de Datos'!BB57</f>
        <v>390</v>
      </c>
      <c r="T56" s="15">
        <f>'Conjunto de Datos'!BF57</f>
        <v>55</v>
      </c>
      <c r="U56" s="6">
        <f>sala!I56</f>
        <v>4549</v>
      </c>
      <c r="V56" cm="1">
        <f t="array" ref="V56">SUM(IF(Cocina!A:A=Tabla8[[#This Row],[Numero de Orden]],Cocina!F:F*Cocina!G:G,0))</f>
        <v>255</v>
      </c>
      <c r="W56">
        <f>IF(Tabla8[[#This Row],[Cobrado]]="Cobrada",Tabla8[[#This Row],[Propina]]+Tabla8[[#This Row],[Precio Cena]],0)</f>
        <v>4804</v>
      </c>
      <c r="X56" t="str">
        <f>INDEX(sala!G:G, MATCH(Tabla8[[#This Row],[Numero de Orden]], sala!K:K, 0))</f>
        <v>Cena</v>
      </c>
      <c r="Y56" t="str">
        <f>'Conjunto de Datos'!J57</f>
        <v>Cobrada</v>
      </c>
      <c r="Z56" t="str">
        <f>INDEX(sala!H:H, MATCH(Tabla8[[#This Row],[Numero de Orden]], sala!K:K, 0))</f>
        <v>Tarjeta de crédito</v>
      </c>
      <c r="AA56" s="3">
        <f>'Conjunto de Datos'!D57</f>
        <v>45017</v>
      </c>
      <c r="AB56" t="str">
        <f>INDEX(sala!L:L, MATCH(Tabla8[[#This Row],[Numero de Orden]], sala!K:K, 0))</f>
        <v>Perú</v>
      </c>
      <c r="AC56" t="str">
        <f>'Conjunto de Datos'!N57</f>
        <v>Mesero_4</v>
      </c>
      <c r="AD56">
        <f>Tabla8[[#This Row],[Propina]]+Tabla8[[#This Row],[Precio Cena]]</f>
        <v>4804</v>
      </c>
      <c r="AE56" s="45">
        <f t="shared" si="0"/>
        <v>255</v>
      </c>
    </row>
    <row r="57" spans="1:31" x14ac:dyDescent="0.3">
      <c r="S57" t="str">
        <f>'Conjunto de Datos'!BB58</f>
        <v>728</v>
      </c>
      <c r="T57">
        <f>'Conjunto de Datos'!BF58</f>
        <v>56</v>
      </c>
      <c r="U57" s="7">
        <f>sala!I57</f>
        <v>432</v>
      </c>
      <c r="V57" cm="1">
        <f t="array" ref="V57">SUM(IF(Cocina!A:A=Tabla8[[#This Row],[Numero de Orden]],Cocina!F:F*Cocina!G:G,0))</f>
        <v>48</v>
      </c>
      <c r="W57">
        <f>IF(Tabla8[[#This Row],[Cobrado]]="Cobrada",Tabla8[[#This Row],[Propina]]+Tabla8[[#This Row],[Precio Cena]],0)</f>
        <v>480</v>
      </c>
      <c r="X57" t="str">
        <f>INDEX(sala!G:G, MATCH(Tabla8[[#This Row],[Numero de Orden]], sala!K:K, 0))</f>
        <v>Almuerzo</v>
      </c>
      <c r="Y57" t="str">
        <f>'Conjunto de Datos'!J58</f>
        <v>Cobrada</v>
      </c>
      <c r="Z57" t="str">
        <f>INDEX(sala!H:H, MATCH(Tabla8[[#This Row],[Numero de Orden]], sala!K:K, 0))</f>
        <v>Tarjeta de débito</v>
      </c>
      <c r="AA57" s="3">
        <f>'Conjunto de Datos'!D58</f>
        <v>45017</v>
      </c>
      <c r="AB57" t="str">
        <f>INDEX(sala!L:L, MATCH(Tabla8[[#This Row],[Numero de Orden]], sala!K:K, 0))</f>
        <v>Ecuador</v>
      </c>
      <c r="AC57" t="str">
        <f>'Conjunto de Datos'!N58</f>
        <v>Mesero_5</v>
      </c>
      <c r="AD57">
        <f>Tabla8[[#This Row],[Propina]]+Tabla8[[#This Row],[Precio Cena]]</f>
        <v>480</v>
      </c>
      <c r="AE57" s="45">
        <f t="shared" si="0"/>
        <v>48</v>
      </c>
    </row>
    <row r="58" spans="1:31" x14ac:dyDescent="0.3">
      <c r="S58" s="15" t="str">
        <f>'Conjunto de Datos'!BB59</f>
        <v>886</v>
      </c>
      <c r="T58" s="15">
        <f>'Conjunto de Datos'!BF59</f>
        <v>57</v>
      </c>
      <c r="U58" s="6">
        <f>sala!I58</f>
        <v>4545</v>
      </c>
      <c r="V58" cm="1">
        <f t="array" ref="V58">SUM(IF(Cocina!A:A=Tabla8[[#This Row],[Numero de Orden]],Cocina!F:F*Cocina!G:G,0))</f>
        <v>169</v>
      </c>
      <c r="W58">
        <f>IF(Tabla8[[#This Row],[Cobrado]]="Cobrada",Tabla8[[#This Row],[Propina]]+Tabla8[[#This Row],[Precio Cena]],0)</f>
        <v>4714</v>
      </c>
      <c r="X58" t="str">
        <f>INDEX(sala!G:G, MATCH(Tabla8[[#This Row],[Numero de Orden]], sala!K:K, 0))</f>
        <v>Almuerzo</v>
      </c>
      <c r="Y58" t="str">
        <f>'Conjunto de Datos'!J59</f>
        <v>Cobrada</v>
      </c>
      <c r="Z58" t="str">
        <f>INDEX(sala!H:H, MATCH(Tabla8[[#This Row],[Numero de Orden]], sala!K:K, 0))</f>
        <v>Tarjeta de crédito</v>
      </c>
      <c r="AA58" s="3">
        <f>'Conjunto de Datos'!D59</f>
        <v>45017</v>
      </c>
      <c r="AB58" t="str">
        <f>INDEX(sala!L:L, MATCH(Tabla8[[#This Row],[Numero de Orden]], sala!K:K, 0))</f>
        <v>Colombia</v>
      </c>
      <c r="AC58" t="str">
        <f>'Conjunto de Datos'!N59</f>
        <v>Mesero_2</v>
      </c>
      <c r="AD58">
        <f>Tabla8[[#This Row],[Propina]]+Tabla8[[#This Row],[Precio Cena]]</f>
        <v>4714</v>
      </c>
      <c r="AE58" s="45">
        <f t="shared" si="0"/>
        <v>169</v>
      </c>
    </row>
    <row r="59" spans="1:31" x14ac:dyDescent="0.3">
      <c r="S59" t="str">
        <f>'Conjunto de Datos'!BB60</f>
        <v>510</v>
      </c>
      <c r="T59">
        <f>'Conjunto de Datos'!BF60</f>
        <v>58</v>
      </c>
      <c r="U59" s="7">
        <f>sala!I59</f>
        <v>307</v>
      </c>
      <c r="V59" cm="1">
        <f t="array" ref="V59">SUM(IF(Cocina!A:A=Tabla8[[#This Row],[Numero de Orden]],Cocina!F:F*Cocina!G:G,0))</f>
        <v>82</v>
      </c>
      <c r="W59">
        <f>IF(Tabla8[[#This Row],[Cobrado]]="Cobrada",Tabla8[[#This Row],[Propina]]+Tabla8[[#This Row],[Precio Cena]],0)</f>
        <v>389</v>
      </c>
      <c r="X59" t="str">
        <f>INDEX(sala!G:G, MATCH(Tabla8[[#This Row],[Numero de Orden]], sala!K:K, 0))</f>
        <v>Cena</v>
      </c>
      <c r="Y59" t="str">
        <f>'Conjunto de Datos'!J60</f>
        <v>Cobrada</v>
      </c>
      <c r="Z59" t="str">
        <f>INDEX(sala!H:H, MATCH(Tabla8[[#This Row],[Numero de Orden]], sala!K:K, 0))</f>
        <v>Tarjeta de crédito</v>
      </c>
      <c r="AA59" s="3">
        <f>'Conjunto de Datos'!D60</f>
        <v>45017</v>
      </c>
      <c r="AB59" t="str">
        <f>INDEX(sala!L:L, MATCH(Tabla8[[#This Row],[Numero de Orden]], sala!K:K, 0))</f>
        <v>Brasil</v>
      </c>
      <c r="AC59" t="str">
        <f>'Conjunto de Datos'!N60</f>
        <v>Mesero_1</v>
      </c>
      <c r="AD59">
        <f>Tabla8[[#This Row],[Propina]]+Tabla8[[#This Row],[Precio Cena]]</f>
        <v>389</v>
      </c>
      <c r="AE59" s="45">
        <f t="shared" si="0"/>
        <v>82</v>
      </c>
    </row>
    <row r="60" spans="1:31" x14ac:dyDescent="0.3">
      <c r="S60" s="15" t="str">
        <f>'Conjunto de Datos'!BB61</f>
        <v>878</v>
      </c>
      <c r="T60" s="15">
        <f>'Conjunto de Datos'!BF61</f>
        <v>59</v>
      </c>
      <c r="U60" s="6">
        <f>sala!I60</f>
        <v>3389</v>
      </c>
      <c r="V60" cm="1">
        <f t="array" ref="V60">SUM(IF(Cocina!A:A=Tabla8[[#This Row],[Numero de Orden]],Cocina!F:F*Cocina!G:G,0))</f>
        <v>160</v>
      </c>
      <c r="W60">
        <f>IF(Tabla8[[#This Row],[Cobrado]]="Cobrada",Tabla8[[#This Row],[Propina]]+Tabla8[[#This Row],[Precio Cena]],0)</f>
        <v>3549</v>
      </c>
      <c r="X60" t="str">
        <f>INDEX(sala!G:G, MATCH(Tabla8[[#This Row],[Numero de Orden]], sala!K:K, 0))</f>
        <v>Almuerzo</v>
      </c>
      <c r="Y60" t="str">
        <f>'Conjunto de Datos'!J61</f>
        <v>Cobrada</v>
      </c>
      <c r="Z60" t="str">
        <f>INDEX(sala!H:H, MATCH(Tabla8[[#This Row],[Numero de Orden]], sala!K:K, 0))</f>
        <v>Efectivo</v>
      </c>
      <c r="AA60" s="3">
        <f>'Conjunto de Datos'!D61</f>
        <v>45017</v>
      </c>
      <c r="AB60" t="str">
        <f>INDEX(sala!L:L, MATCH(Tabla8[[#This Row],[Numero de Orden]], sala!K:K, 0))</f>
        <v>Colombia</v>
      </c>
      <c r="AC60" t="str">
        <f>'Conjunto de Datos'!N61</f>
        <v>Mesero_1</v>
      </c>
      <c r="AD60">
        <f>Tabla8[[#This Row],[Propina]]+Tabla8[[#This Row],[Precio Cena]]</f>
        <v>3549</v>
      </c>
      <c r="AE60" s="45">
        <f t="shared" si="0"/>
        <v>160</v>
      </c>
    </row>
    <row r="61" spans="1:31" x14ac:dyDescent="0.3">
      <c r="S61" t="str">
        <f>'Conjunto de Datos'!BB62</f>
        <v>977</v>
      </c>
      <c r="T61">
        <f>'Conjunto de Datos'!BF62</f>
        <v>60</v>
      </c>
      <c r="U61" s="7">
        <f>sala!I61</f>
        <v>1954</v>
      </c>
      <c r="V61" cm="1">
        <f t="array" ref="V61">SUM(IF(Cocina!A:A=Tabla8[[#This Row],[Numero de Orden]],Cocina!F:F*Cocina!G:G,0))</f>
        <v>102</v>
      </c>
      <c r="W61">
        <f>IF(Tabla8[[#This Row],[Cobrado]]="Cobrada",Tabla8[[#This Row],[Propina]]+Tabla8[[#This Row],[Precio Cena]],0)</f>
        <v>2056</v>
      </c>
      <c r="X61" t="str">
        <f>INDEX(sala!G:G, MATCH(Tabla8[[#This Row],[Numero de Orden]], sala!K:K, 0))</f>
        <v>Almuerzo</v>
      </c>
      <c r="Y61" t="str">
        <f>'Conjunto de Datos'!J62</f>
        <v>Cobrada</v>
      </c>
      <c r="Z61" t="str">
        <f>INDEX(sala!H:H, MATCH(Tabla8[[#This Row],[Numero de Orden]], sala!K:K, 0))</f>
        <v>Tarjeta de crédito</v>
      </c>
      <c r="AA61" s="3">
        <f>'Conjunto de Datos'!D62</f>
        <v>45017</v>
      </c>
      <c r="AB61" t="str">
        <f>INDEX(sala!L:L, MATCH(Tabla8[[#This Row],[Numero de Orden]], sala!K:K, 0))</f>
        <v>Bolivia</v>
      </c>
      <c r="AC61" t="str">
        <f>'Conjunto de Datos'!N62</f>
        <v>Mesero_1</v>
      </c>
      <c r="AD61">
        <f>Tabla8[[#This Row],[Propina]]+Tabla8[[#This Row],[Precio Cena]]</f>
        <v>2056</v>
      </c>
      <c r="AE61" s="45">
        <f t="shared" si="0"/>
        <v>102</v>
      </c>
    </row>
    <row r="62" spans="1:31" x14ac:dyDescent="0.3">
      <c r="S62" s="15" t="str">
        <f>'Conjunto de Datos'!BB63</f>
        <v>553</v>
      </c>
      <c r="T62" s="15">
        <f>'Conjunto de Datos'!BF63</f>
        <v>61</v>
      </c>
      <c r="U62" s="6">
        <f>sala!I62</f>
        <v>4287</v>
      </c>
      <c r="V62" cm="1">
        <f t="array" ref="V62">SUM(IF(Cocina!A:A=Tabla8[[#This Row],[Numero de Orden]],Cocina!F:F*Cocina!G:G,0))</f>
        <v>242</v>
      </c>
      <c r="W62">
        <f>IF(Tabla8[[#This Row],[Cobrado]]="Cobrada",Tabla8[[#This Row],[Propina]]+Tabla8[[#This Row],[Precio Cena]],0)</f>
        <v>4529</v>
      </c>
      <c r="X62" t="str">
        <f>INDEX(sala!G:G, MATCH(Tabla8[[#This Row],[Numero de Orden]], sala!K:K, 0))</f>
        <v>Almuerzo</v>
      </c>
      <c r="Y62" t="str">
        <f>'Conjunto de Datos'!J63</f>
        <v>Cobrada</v>
      </c>
      <c r="Z62" t="str">
        <f>INDEX(sala!H:H, MATCH(Tabla8[[#This Row],[Numero de Orden]], sala!K:K, 0))</f>
        <v>Tarjeta de crédito</v>
      </c>
      <c r="AA62" s="3">
        <f>'Conjunto de Datos'!D63</f>
        <v>45017</v>
      </c>
      <c r="AB62" t="str">
        <f>INDEX(sala!L:L, MATCH(Tabla8[[#This Row],[Numero de Orden]], sala!K:K, 0))</f>
        <v>Chile</v>
      </c>
      <c r="AC62" t="str">
        <f>'Conjunto de Datos'!N63</f>
        <v>Mesero_2</v>
      </c>
      <c r="AD62">
        <f>Tabla8[[#This Row],[Propina]]+Tabla8[[#This Row],[Precio Cena]]</f>
        <v>4529</v>
      </c>
      <c r="AE62" s="45">
        <f t="shared" si="0"/>
        <v>242</v>
      </c>
    </row>
    <row r="63" spans="1:31" x14ac:dyDescent="0.3">
      <c r="S63" t="str">
        <f>'Conjunto de Datos'!BB64</f>
        <v>792</v>
      </c>
      <c r="T63">
        <f>'Conjunto de Datos'!BF64</f>
        <v>62</v>
      </c>
      <c r="U63" s="7">
        <f>sala!I63</f>
        <v>3793</v>
      </c>
      <c r="V63" cm="1">
        <f t="array" ref="V63">SUM(IF(Cocina!A:A=Tabla8[[#This Row],[Numero de Orden]],Cocina!F:F*Cocina!G:G,0))</f>
        <v>148</v>
      </c>
      <c r="W63">
        <f>IF(Tabla8[[#This Row],[Cobrado]]="Cobrada",Tabla8[[#This Row],[Propina]]+Tabla8[[#This Row],[Precio Cena]],0)</f>
        <v>3941</v>
      </c>
      <c r="X63" t="str">
        <f>INDEX(sala!G:G, MATCH(Tabla8[[#This Row],[Numero de Orden]], sala!K:K, 0))</f>
        <v>Cena</v>
      </c>
      <c r="Y63" t="str">
        <f>'Conjunto de Datos'!J64</f>
        <v>Cobrada</v>
      </c>
      <c r="Z63" t="str">
        <f>INDEX(sala!H:H, MATCH(Tabla8[[#This Row],[Numero de Orden]], sala!K:K, 0))</f>
        <v>Tarjeta de crédito</v>
      </c>
      <c r="AA63" s="3">
        <f>'Conjunto de Datos'!D64</f>
        <v>45017</v>
      </c>
      <c r="AB63" t="str">
        <f>INDEX(sala!L:L, MATCH(Tabla8[[#This Row],[Numero de Orden]], sala!K:K, 0))</f>
        <v>Argentina</v>
      </c>
      <c r="AC63" t="str">
        <f>'Conjunto de Datos'!N64</f>
        <v>Mesero_1</v>
      </c>
      <c r="AD63">
        <f>Tabla8[[#This Row],[Propina]]+Tabla8[[#This Row],[Precio Cena]]</f>
        <v>3941</v>
      </c>
      <c r="AE63" s="45">
        <f t="shared" si="0"/>
        <v>148</v>
      </c>
    </row>
    <row r="64" spans="1:31" x14ac:dyDescent="0.3">
      <c r="S64" s="15" t="str">
        <f>'Conjunto de Datos'!BB65</f>
        <v>881</v>
      </c>
      <c r="T64" s="15">
        <f>'Conjunto de Datos'!BF65</f>
        <v>63</v>
      </c>
      <c r="U64" s="6">
        <f>sala!I64</f>
        <v>3334</v>
      </c>
      <c r="V64" cm="1">
        <f t="array" ref="V64">SUM(IF(Cocina!A:A=Tabla8[[#This Row],[Numero de Orden]],Cocina!F:F*Cocina!G:G,0))</f>
        <v>55</v>
      </c>
      <c r="W64">
        <f>IF(Tabla8[[#This Row],[Cobrado]]="Cobrada",Tabla8[[#This Row],[Propina]]+Tabla8[[#This Row],[Precio Cena]],0)</f>
        <v>3389</v>
      </c>
      <c r="X64" t="str">
        <f>INDEX(sala!G:G, MATCH(Tabla8[[#This Row],[Numero de Orden]], sala!K:K, 0))</f>
        <v>Almuerzo</v>
      </c>
      <c r="Y64" t="str">
        <f>'Conjunto de Datos'!J65</f>
        <v>Cobrada</v>
      </c>
      <c r="Z64" t="str">
        <f>INDEX(sala!H:H, MATCH(Tabla8[[#This Row],[Numero de Orden]], sala!K:K, 0))</f>
        <v>Tarjeta de crédito</v>
      </c>
      <c r="AA64" s="3">
        <f>'Conjunto de Datos'!D65</f>
        <v>45017</v>
      </c>
      <c r="AB64" t="str">
        <f>INDEX(sala!L:L, MATCH(Tabla8[[#This Row],[Numero de Orden]], sala!K:K, 0))</f>
        <v>Colombia</v>
      </c>
      <c r="AC64" t="str">
        <f>'Conjunto de Datos'!N65</f>
        <v>Mesero_4</v>
      </c>
      <c r="AD64">
        <f>Tabla8[[#This Row],[Propina]]+Tabla8[[#This Row],[Precio Cena]]</f>
        <v>3389</v>
      </c>
      <c r="AE64" s="45">
        <f t="shared" si="0"/>
        <v>55</v>
      </c>
    </row>
    <row r="65" spans="1:31" x14ac:dyDescent="0.3">
      <c r="A65" t="s">
        <v>666</v>
      </c>
      <c r="B65" t="s">
        <v>657</v>
      </c>
      <c r="S65" t="str">
        <f>'Conjunto de Datos'!BB66</f>
        <v>265</v>
      </c>
      <c r="T65">
        <f>'Conjunto de Datos'!BF66</f>
        <v>64</v>
      </c>
      <c r="U65" s="7">
        <f>sala!I65</f>
        <v>3477</v>
      </c>
      <c r="V65" cm="1">
        <f t="array" ref="V65">SUM(IF(Cocina!A:A=Tabla8[[#This Row],[Numero de Orden]],Cocina!F:F*Cocina!G:G,0))</f>
        <v>288</v>
      </c>
      <c r="W65">
        <f>IF(Tabla8[[#This Row],[Cobrado]]="Cobrada",Tabla8[[#This Row],[Propina]]+Tabla8[[#This Row],[Precio Cena]],0)</f>
        <v>3765</v>
      </c>
      <c r="X65" t="str">
        <f>INDEX(sala!G:G, MATCH(Tabla8[[#This Row],[Numero de Orden]], sala!K:K, 0))</f>
        <v>Desayuno</v>
      </c>
      <c r="Y65" t="str">
        <f>'Conjunto de Datos'!J66</f>
        <v>Cobrada</v>
      </c>
      <c r="Z65" t="str">
        <f>INDEX(sala!H:H, MATCH(Tabla8[[#This Row],[Numero de Orden]], sala!K:K, 0))</f>
        <v>Efectivo</v>
      </c>
      <c r="AA65" s="3">
        <f>'Conjunto de Datos'!D66</f>
        <v>45017</v>
      </c>
      <c r="AB65" t="str">
        <f>INDEX(sala!L:L, MATCH(Tabla8[[#This Row],[Numero de Orden]], sala!K:K, 0))</f>
        <v>Perú</v>
      </c>
      <c r="AC65" t="str">
        <f>'Conjunto de Datos'!N66</f>
        <v>Mesero_5</v>
      </c>
      <c r="AD65">
        <f>Tabla8[[#This Row],[Propina]]+Tabla8[[#This Row],[Precio Cena]]</f>
        <v>3765</v>
      </c>
      <c r="AE65" s="45">
        <f t="shared" si="0"/>
        <v>288</v>
      </c>
    </row>
    <row r="66" spans="1:31" x14ac:dyDescent="0.3">
      <c r="A66" t="s">
        <v>59</v>
      </c>
      <c r="B66" s="27">
        <f t="shared" ref="B66:B76" si="1">SUMIF(AB:AB,A66,W:W)</f>
        <v>164707</v>
      </c>
      <c r="S66" s="15" t="str">
        <f>'Conjunto de Datos'!BB67</f>
        <v>946</v>
      </c>
      <c r="T66" s="15">
        <f>'Conjunto de Datos'!BF67</f>
        <v>65</v>
      </c>
      <c r="U66" s="6">
        <f>sala!I66</f>
        <v>140</v>
      </c>
      <c r="V66" cm="1">
        <f t="array" ref="V66">SUM(IF(Cocina!A:A=Tabla8[[#This Row],[Numero de Orden]],Cocina!F:F*Cocina!G:G,0))</f>
        <v>196</v>
      </c>
      <c r="W66">
        <f>IF(Tabla8[[#This Row],[Cobrado]]="Cobrada",Tabla8[[#This Row],[Propina]]+Tabla8[[#This Row],[Precio Cena]],0)</f>
        <v>0</v>
      </c>
      <c r="X66" t="str">
        <f>INDEX(sala!G:G, MATCH(Tabla8[[#This Row],[Numero de Orden]], sala!K:K, 0))</f>
        <v>Almuerzo</v>
      </c>
      <c r="Y66" t="str">
        <f>'Conjunto de Datos'!J67</f>
        <v>No Cobrada</v>
      </c>
      <c r="Z66" t="str">
        <f>INDEX(sala!H:H, MATCH(Tabla8[[#This Row],[Numero de Orden]], sala!K:K, 0))</f>
        <v>Tarjeta de débito</v>
      </c>
      <c r="AA66" s="3">
        <f>'Conjunto de Datos'!D67</f>
        <v>45017</v>
      </c>
      <c r="AB66" t="str">
        <f>INDEX(sala!L:L, MATCH(Tabla8[[#This Row],[Numero de Orden]], sala!K:K, 0))</f>
        <v>Bolivia</v>
      </c>
      <c r="AC66" t="str">
        <f>'Conjunto de Datos'!N67</f>
        <v>Mesero_3</v>
      </c>
      <c r="AD66">
        <f>Tabla8[[#This Row],[Propina]]+Tabla8[[#This Row],[Precio Cena]]</f>
        <v>336</v>
      </c>
      <c r="AE66" s="45">
        <f t="shared" si="0"/>
        <v>0</v>
      </c>
    </row>
    <row r="67" spans="1:31" x14ac:dyDescent="0.3">
      <c r="A67" t="s">
        <v>37</v>
      </c>
      <c r="B67" s="27">
        <f t="shared" si="1"/>
        <v>151611</v>
      </c>
      <c r="S67" t="str">
        <f>'Conjunto de Datos'!BB68</f>
        <v>614</v>
      </c>
      <c r="T67">
        <f>'Conjunto de Datos'!BF68</f>
        <v>66</v>
      </c>
      <c r="U67" s="7">
        <f>sala!I67</f>
        <v>1088</v>
      </c>
      <c r="V67" cm="1">
        <f t="array" ref="V67">SUM(IF(Cocina!A:A=Tabla8[[#This Row],[Numero de Orden]],Cocina!F:F*Cocina!G:G,0))</f>
        <v>210</v>
      </c>
      <c r="W67">
        <f>IF(Tabla8[[#This Row],[Cobrado]]="Cobrada",Tabla8[[#This Row],[Propina]]+Tabla8[[#This Row],[Precio Cena]],0)</f>
        <v>1298</v>
      </c>
      <c r="X67" t="str">
        <f>INDEX(sala!G:G, MATCH(Tabla8[[#This Row],[Numero de Orden]], sala!K:K, 0))</f>
        <v>Almuerzo</v>
      </c>
      <c r="Y67" t="str">
        <f>'Conjunto de Datos'!J68</f>
        <v>Cobrada</v>
      </c>
      <c r="Z67" t="str">
        <f>INDEX(sala!H:H, MATCH(Tabla8[[#This Row],[Numero de Orden]], sala!K:K, 0))</f>
        <v>Tarjeta de crédito</v>
      </c>
      <c r="AA67" s="3">
        <f>'Conjunto de Datos'!D68</f>
        <v>45017</v>
      </c>
      <c r="AB67" t="str">
        <f>INDEX(sala!L:L, MATCH(Tabla8[[#This Row],[Numero de Orden]], sala!K:K, 0))</f>
        <v>España</v>
      </c>
      <c r="AC67" t="str">
        <f>'Conjunto de Datos'!N68</f>
        <v>Mesero_5</v>
      </c>
      <c r="AD67">
        <f>Tabla8[[#This Row],[Propina]]+Tabla8[[#This Row],[Precio Cena]]</f>
        <v>1298</v>
      </c>
      <c r="AE67" s="45">
        <f t="shared" si="0"/>
        <v>210</v>
      </c>
    </row>
    <row r="68" spans="1:31" x14ac:dyDescent="0.3">
      <c r="A68" t="s">
        <v>25</v>
      </c>
      <c r="B68" s="27">
        <f t="shared" si="1"/>
        <v>165552</v>
      </c>
      <c r="S68" s="15" t="str">
        <f>'Conjunto de Datos'!BB69</f>
        <v>352</v>
      </c>
      <c r="T68" s="15">
        <f>'Conjunto de Datos'!BF69</f>
        <v>67</v>
      </c>
      <c r="U68" s="6">
        <f>sala!I68</f>
        <v>2125</v>
      </c>
      <c r="V68" cm="1">
        <f t="array" ref="V68">SUM(IF(Cocina!A:A=Tabla8[[#This Row],[Numero de Orden]],Cocina!F:F*Cocina!G:G,0))</f>
        <v>256</v>
      </c>
      <c r="W68">
        <f>IF(Tabla8[[#This Row],[Cobrado]]="Cobrada",Tabla8[[#This Row],[Propina]]+Tabla8[[#This Row],[Precio Cena]],0)</f>
        <v>0</v>
      </c>
      <c r="X68" t="str">
        <f>INDEX(sala!G:G, MATCH(Tabla8[[#This Row],[Numero de Orden]], sala!K:K, 0))</f>
        <v>Almuerzo</v>
      </c>
      <c r="Y68" t="str">
        <f>'Conjunto de Datos'!J69</f>
        <v>No Cobrada</v>
      </c>
      <c r="Z68" t="str">
        <f>INDEX(sala!H:H, MATCH(Tabla8[[#This Row],[Numero de Orden]], sala!K:K, 0))</f>
        <v>Tarjeta de débito</v>
      </c>
      <c r="AA68" s="3">
        <f>'Conjunto de Datos'!D69</f>
        <v>45017</v>
      </c>
      <c r="AB68" t="str">
        <f>INDEX(sala!L:L, MATCH(Tabla8[[#This Row],[Numero de Orden]], sala!K:K, 0))</f>
        <v>Perú</v>
      </c>
      <c r="AC68" t="str">
        <f>'Conjunto de Datos'!N69</f>
        <v>Mesero_2</v>
      </c>
      <c r="AD68">
        <f>Tabla8[[#This Row],[Propina]]+Tabla8[[#This Row],[Precio Cena]]</f>
        <v>2381</v>
      </c>
      <c r="AE68" s="45">
        <f t="shared" ref="AE68:AE131" si="2">IF(Y68 = "Cobrada",V68,0)</f>
        <v>0</v>
      </c>
    </row>
    <row r="69" spans="1:31" x14ac:dyDescent="0.3">
      <c r="A69" t="s">
        <v>70</v>
      </c>
      <c r="B69" s="27">
        <f t="shared" si="1"/>
        <v>178396</v>
      </c>
      <c r="S69" t="str">
        <f>'Conjunto de Datos'!BB70</f>
        <v>784</v>
      </c>
      <c r="T69">
        <f>'Conjunto de Datos'!BF70</f>
        <v>68</v>
      </c>
      <c r="U69" s="7">
        <f>sala!I69</f>
        <v>4565</v>
      </c>
      <c r="V69" cm="1">
        <f t="array" ref="V69">SUM(IF(Cocina!A:A=Tabla8[[#This Row],[Numero de Orden]],Cocina!F:F*Cocina!G:G,0))</f>
        <v>218</v>
      </c>
      <c r="W69">
        <f>IF(Tabla8[[#This Row],[Cobrado]]="Cobrada",Tabla8[[#This Row],[Propina]]+Tabla8[[#This Row],[Precio Cena]],0)</f>
        <v>4783</v>
      </c>
      <c r="X69" t="str">
        <f>INDEX(sala!G:G, MATCH(Tabla8[[#This Row],[Numero de Orden]], sala!K:K, 0))</f>
        <v>Cena</v>
      </c>
      <c r="Y69" t="str">
        <f>'Conjunto de Datos'!J70</f>
        <v>Cobrada</v>
      </c>
      <c r="Z69" t="str">
        <f>INDEX(sala!H:H, MATCH(Tabla8[[#This Row],[Numero de Orden]], sala!K:K, 0))</f>
        <v>Tarjeta de crédito</v>
      </c>
      <c r="AA69" s="3">
        <f>'Conjunto de Datos'!D70</f>
        <v>45017</v>
      </c>
      <c r="AB69" t="str">
        <f>INDEX(sala!L:L, MATCH(Tabla8[[#This Row],[Numero de Orden]], sala!K:K, 0))</f>
        <v>Brasil</v>
      </c>
      <c r="AC69" t="str">
        <f>'Conjunto de Datos'!N70</f>
        <v>Mesero_5</v>
      </c>
      <c r="AD69">
        <f>Tabla8[[#This Row],[Propina]]+Tabla8[[#This Row],[Precio Cena]]</f>
        <v>4783</v>
      </c>
      <c r="AE69" s="45">
        <f t="shared" si="2"/>
        <v>218</v>
      </c>
    </row>
    <row r="70" spans="1:31" x14ac:dyDescent="0.3">
      <c r="A70" t="s">
        <v>18</v>
      </c>
      <c r="B70" s="27">
        <f t="shared" si="1"/>
        <v>183477</v>
      </c>
      <c r="S70" s="15" t="str">
        <f>'Conjunto de Datos'!BB71</f>
        <v>118</v>
      </c>
      <c r="T70" s="15">
        <f>'Conjunto de Datos'!BF71</f>
        <v>69</v>
      </c>
      <c r="U70" s="6">
        <f>sala!I70</f>
        <v>3149</v>
      </c>
      <c r="V70" cm="1">
        <f t="array" ref="V70">SUM(IF(Cocina!A:A=Tabla8[[#This Row],[Numero de Orden]],Cocina!F:F*Cocina!G:G,0))</f>
        <v>234</v>
      </c>
      <c r="W70">
        <f>IF(Tabla8[[#This Row],[Cobrado]]="Cobrada",Tabla8[[#This Row],[Propina]]+Tabla8[[#This Row],[Precio Cena]],0)</f>
        <v>3383</v>
      </c>
      <c r="X70" t="str">
        <f>INDEX(sala!G:G, MATCH(Tabla8[[#This Row],[Numero de Orden]], sala!K:K, 0))</f>
        <v>Almuerzo</v>
      </c>
      <c r="Y70" t="str">
        <f>'Conjunto de Datos'!J71</f>
        <v>Cobrada</v>
      </c>
      <c r="Z70" t="str">
        <f>INDEX(sala!H:H, MATCH(Tabla8[[#This Row],[Numero de Orden]], sala!K:K, 0))</f>
        <v>Tarjeta de crédito</v>
      </c>
      <c r="AA70" s="3">
        <f>'Conjunto de Datos'!D71</f>
        <v>45017</v>
      </c>
      <c r="AB70" t="str">
        <f>INDEX(sala!L:L, MATCH(Tabla8[[#This Row],[Numero de Orden]], sala!K:K, 0))</f>
        <v>Perú</v>
      </c>
      <c r="AC70" t="str">
        <f>'Conjunto de Datos'!N71</f>
        <v>Mesero_2</v>
      </c>
      <c r="AD70">
        <f>Tabla8[[#This Row],[Propina]]+Tabla8[[#This Row],[Precio Cena]]</f>
        <v>3383</v>
      </c>
      <c r="AE70" s="45">
        <f t="shared" si="2"/>
        <v>234</v>
      </c>
    </row>
    <row r="71" spans="1:31" x14ac:dyDescent="0.3">
      <c r="A71" t="s">
        <v>91</v>
      </c>
      <c r="B71" s="27">
        <f t="shared" si="1"/>
        <v>149180</v>
      </c>
      <c r="S71" t="str">
        <f>'Conjunto de Datos'!BB72</f>
        <v>61</v>
      </c>
      <c r="T71">
        <f>'Conjunto de Datos'!BF72</f>
        <v>70</v>
      </c>
      <c r="U71" s="7">
        <f>sala!I71</f>
        <v>2826</v>
      </c>
      <c r="V71" cm="1">
        <f t="array" ref="V71">SUM(IF(Cocina!A:A=Tabla8[[#This Row],[Numero de Orden]],Cocina!F:F*Cocina!G:G,0))</f>
        <v>118</v>
      </c>
      <c r="W71">
        <f>IF(Tabla8[[#This Row],[Cobrado]]="Cobrada",Tabla8[[#This Row],[Propina]]+Tabla8[[#This Row],[Precio Cena]],0)</f>
        <v>2944</v>
      </c>
      <c r="X71" t="str">
        <f>INDEX(sala!G:G, MATCH(Tabla8[[#This Row],[Numero de Orden]], sala!K:K, 0))</f>
        <v>Almuerzo</v>
      </c>
      <c r="Y71" t="str">
        <f>'Conjunto de Datos'!J72</f>
        <v>Cobrada</v>
      </c>
      <c r="Z71" t="str">
        <f>INDEX(sala!H:H, MATCH(Tabla8[[#This Row],[Numero de Orden]], sala!K:K, 0))</f>
        <v>Tarjeta de débito</v>
      </c>
      <c r="AA71" s="3">
        <f>'Conjunto de Datos'!D72</f>
        <v>45017</v>
      </c>
      <c r="AB71" t="str">
        <f>INDEX(sala!L:L, MATCH(Tabla8[[#This Row],[Numero de Orden]], sala!K:K, 0))</f>
        <v>Paraguay</v>
      </c>
      <c r="AC71" t="str">
        <f>'Conjunto de Datos'!N72</f>
        <v>Mesero_4</v>
      </c>
      <c r="AD71">
        <f>Tabla8[[#This Row],[Propina]]+Tabla8[[#This Row],[Precio Cena]]</f>
        <v>2944</v>
      </c>
      <c r="AE71" s="45">
        <f t="shared" si="2"/>
        <v>118</v>
      </c>
    </row>
    <row r="72" spans="1:31" x14ac:dyDescent="0.3">
      <c r="A72" t="s">
        <v>29</v>
      </c>
      <c r="B72" s="27">
        <f t="shared" si="1"/>
        <v>171645</v>
      </c>
      <c r="S72" s="15" t="str">
        <f>'Conjunto de Datos'!BB73</f>
        <v>440</v>
      </c>
      <c r="T72" s="15">
        <f>'Conjunto de Datos'!BF73</f>
        <v>71</v>
      </c>
      <c r="U72" s="6">
        <f>sala!I72</f>
        <v>2401</v>
      </c>
      <c r="V72" cm="1">
        <f t="array" ref="V72">SUM(IF(Cocina!A:A=Tabla8[[#This Row],[Numero de Orden]],Cocina!F:F*Cocina!G:G,0))</f>
        <v>136</v>
      </c>
      <c r="W72">
        <f>IF(Tabla8[[#This Row],[Cobrado]]="Cobrada",Tabla8[[#This Row],[Propina]]+Tabla8[[#This Row],[Precio Cena]],0)</f>
        <v>2537</v>
      </c>
      <c r="X72" t="str">
        <f>INDEX(sala!G:G, MATCH(Tabla8[[#This Row],[Numero de Orden]], sala!K:K, 0))</f>
        <v>Almuerzo</v>
      </c>
      <c r="Y72" t="str">
        <f>'Conjunto de Datos'!J73</f>
        <v>Cobrada</v>
      </c>
      <c r="Z72" t="str">
        <f>INDEX(sala!H:H, MATCH(Tabla8[[#This Row],[Numero de Orden]], sala!K:K, 0))</f>
        <v>Tarjeta de crédito</v>
      </c>
      <c r="AA72" s="3">
        <f>'Conjunto de Datos'!D73</f>
        <v>45017</v>
      </c>
      <c r="AB72" t="str">
        <f>INDEX(sala!L:L, MATCH(Tabla8[[#This Row],[Numero de Orden]], sala!K:K, 0))</f>
        <v>Paraguay</v>
      </c>
      <c r="AC72" t="str">
        <f>'Conjunto de Datos'!N73</f>
        <v>Mesero_3</v>
      </c>
      <c r="AD72">
        <f>Tabla8[[#This Row],[Propina]]+Tabla8[[#This Row],[Precio Cena]]</f>
        <v>2537</v>
      </c>
      <c r="AE72" s="45">
        <f t="shared" si="2"/>
        <v>136</v>
      </c>
    </row>
    <row r="73" spans="1:31" x14ac:dyDescent="0.3">
      <c r="A73" t="s">
        <v>55</v>
      </c>
      <c r="B73" s="27">
        <f t="shared" si="1"/>
        <v>174761</v>
      </c>
      <c r="S73" t="str">
        <f>'Conjunto de Datos'!BB74</f>
        <v>258</v>
      </c>
      <c r="T73">
        <f>'Conjunto de Datos'!BF74</f>
        <v>72</v>
      </c>
      <c r="U73" s="7">
        <f>sala!I73</f>
        <v>1528</v>
      </c>
      <c r="V73" cm="1">
        <f t="array" ref="V73">SUM(IF(Cocina!A:A=Tabla8[[#This Row],[Numero de Orden]],Cocina!F:F*Cocina!G:G,0))</f>
        <v>75</v>
      </c>
      <c r="W73">
        <f>IF(Tabla8[[#This Row],[Cobrado]]="Cobrada",Tabla8[[#This Row],[Propina]]+Tabla8[[#This Row],[Precio Cena]],0)</f>
        <v>1603</v>
      </c>
      <c r="X73" t="str">
        <f>INDEX(sala!G:G, MATCH(Tabla8[[#This Row],[Numero de Orden]], sala!K:K, 0))</f>
        <v>Almuerzo</v>
      </c>
      <c r="Y73" t="str">
        <f>'Conjunto de Datos'!J74</f>
        <v>Cobrada</v>
      </c>
      <c r="Z73" t="str">
        <f>INDEX(sala!H:H, MATCH(Tabla8[[#This Row],[Numero de Orden]], sala!K:K, 0))</f>
        <v>Tarjeta de crédito</v>
      </c>
      <c r="AA73" s="3">
        <f>'Conjunto de Datos'!D74</f>
        <v>45017</v>
      </c>
      <c r="AB73" t="str">
        <f>INDEX(sala!L:L, MATCH(Tabla8[[#This Row],[Numero de Orden]], sala!K:K, 0))</f>
        <v>Perú</v>
      </c>
      <c r="AC73" t="str">
        <f>'Conjunto de Datos'!N74</f>
        <v>Mesero_2</v>
      </c>
      <c r="AD73">
        <f>Tabla8[[#This Row],[Propina]]+Tabla8[[#This Row],[Precio Cena]]</f>
        <v>1603</v>
      </c>
      <c r="AE73" s="45">
        <f t="shared" si="2"/>
        <v>75</v>
      </c>
    </row>
    <row r="74" spans="1:31" x14ac:dyDescent="0.3">
      <c r="A74" t="s">
        <v>62</v>
      </c>
      <c r="B74" s="27">
        <f t="shared" si="1"/>
        <v>135576</v>
      </c>
      <c r="S74" s="15" t="str">
        <f>'Conjunto de Datos'!BB75</f>
        <v>742</v>
      </c>
      <c r="T74" s="15">
        <f>'Conjunto de Datos'!BF75</f>
        <v>73</v>
      </c>
      <c r="U74" s="6">
        <f>sala!I74</f>
        <v>3451</v>
      </c>
      <c r="V74" cm="1">
        <f t="array" ref="V74">SUM(IF(Cocina!A:A=Tabla8[[#This Row],[Numero de Orden]],Cocina!F:F*Cocina!G:G,0))</f>
        <v>81</v>
      </c>
      <c r="W74">
        <f>IF(Tabla8[[#This Row],[Cobrado]]="Cobrada",Tabla8[[#This Row],[Propina]]+Tabla8[[#This Row],[Precio Cena]],0)</f>
        <v>3532</v>
      </c>
      <c r="X74" t="str">
        <f>INDEX(sala!G:G, MATCH(Tabla8[[#This Row],[Numero de Orden]], sala!K:K, 0))</f>
        <v>Desayuno</v>
      </c>
      <c r="Y74" t="str">
        <f>'Conjunto de Datos'!J75</f>
        <v>Cobrada</v>
      </c>
      <c r="Z74" t="str">
        <f>INDEX(sala!H:H, MATCH(Tabla8[[#This Row],[Numero de Orden]], sala!K:K, 0))</f>
        <v>Tarjeta de crédito</v>
      </c>
      <c r="AA74" s="3">
        <f>'Conjunto de Datos'!D75</f>
        <v>45017</v>
      </c>
      <c r="AB74" t="str">
        <f>INDEX(sala!L:L, MATCH(Tabla8[[#This Row],[Numero de Orden]], sala!K:K, 0))</f>
        <v>Argentina</v>
      </c>
      <c r="AC74" t="str">
        <f>'Conjunto de Datos'!N75</f>
        <v>Mesero_4</v>
      </c>
      <c r="AD74">
        <f>Tabla8[[#This Row],[Propina]]+Tabla8[[#This Row],[Precio Cena]]</f>
        <v>3532</v>
      </c>
      <c r="AE74" s="45">
        <f t="shared" si="2"/>
        <v>81</v>
      </c>
    </row>
    <row r="75" spans="1:31" x14ac:dyDescent="0.3">
      <c r="A75" t="s">
        <v>33</v>
      </c>
      <c r="B75" s="27">
        <f t="shared" si="1"/>
        <v>185668</v>
      </c>
      <c r="S75" t="str">
        <f>'Conjunto de Datos'!BB76</f>
        <v>865</v>
      </c>
      <c r="T75">
        <f>'Conjunto de Datos'!BF76</f>
        <v>74</v>
      </c>
      <c r="U75" s="7">
        <f>sala!I75</f>
        <v>3083</v>
      </c>
      <c r="V75" cm="1">
        <f t="array" ref="V75">SUM(IF(Cocina!A:A=Tabla8[[#This Row],[Numero de Orden]],Cocina!F:F*Cocina!G:G,0))</f>
        <v>218</v>
      </c>
      <c r="W75">
        <f>IF(Tabla8[[#This Row],[Cobrado]]="Cobrada",Tabla8[[#This Row],[Propina]]+Tabla8[[#This Row],[Precio Cena]],0)</f>
        <v>3301</v>
      </c>
      <c r="X75" t="str">
        <f>INDEX(sala!G:G, MATCH(Tabla8[[#This Row],[Numero de Orden]], sala!K:K, 0))</f>
        <v>Almuerzo</v>
      </c>
      <c r="Y75" t="str">
        <f>'Conjunto de Datos'!J76</f>
        <v>Cobrada</v>
      </c>
      <c r="Z75" t="str">
        <f>INDEX(sala!H:H, MATCH(Tabla8[[#This Row],[Numero de Orden]], sala!K:K, 0))</f>
        <v>Tarjeta de crédito</v>
      </c>
      <c r="AA75" s="3">
        <f>'Conjunto de Datos'!D76</f>
        <v>45017</v>
      </c>
      <c r="AB75" t="str">
        <f>INDEX(sala!L:L, MATCH(Tabla8[[#This Row],[Numero de Orden]], sala!K:K, 0))</f>
        <v>Brasil</v>
      </c>
      <c r="AC75" t="str">
        <f>'Conjunto de Datos'!N76</f>
        <v>Mesero_4</v>
      </c>
      <c r="AD75">
        <f>Tabla8[[#This Row],[Propina]]+Tabla8[[#This Row],[Precio Cena]]</f>
        <v>3301</v>
      </c>
      <c r="AE75" s="45">
        <f t="shared" si="2"/>
        <v>218</v>
      </c>
    </row>
    <row r="76" spans="1:31" x14ac:dyDescent="0.3">
      <c r="A76" t="s">
        <v>49</v>
      </c>
      <c r="B76" s="27">
        <f t="shared" si="1"/>
        <v>198870</v>
      </c>
      <c r="S76" s="15" t="str">
        <f>'Conjunto de Datos'!BB77</f>
        <v>79</v>
      </c>
      <c r="T76" s="15">
        <f>'Conjunto de Datos'!BF77</f>
        <v>75</v>
      </c>
      <c r="U76" s="6">
        <f>sala!I76</f>
        <v>4523</v>
      </c>
      <c r="V76" cm="1">
        <f t="array" ref="V76">SUM(IF(Cocina!A:A=Tabla8[[#This Row],[Numero de Orden]],Cocina!F:F*Cocina!G:G,0))</f>
        <v>109</v>
      </c>
      <c r="W76">
        <f>IF(Tabla8[[#This Row],[Cobrado]]="Cobrada",Tabla8[[#This Row],[Propina]]+Tabla8[[#This Row],[Precio Cena]],0)</f>
        <v>4632</v>
      </c>
      <c r="X76" t="str">
        <f>INDEX(sala!G:G, MATCH(Tabla8[[#This Row],[Numero de Orden]], sala!K:K, 0))</f>
        <v>Almuerzo</v>
      </c>
      <c r="Y76" t="str">
        <f>'Conjunto de Datos'!J77</f>
        <v>Cobrada</v>
      </c>
      <c r="Z76" t="str">
        <f>INDEX(sala!H:H, MATCH(Tabla8[[#This Row],[Numero de Orden]], sala!K:K, 0))</f>
        <v>Tarjeta de crédito</v>
      </c>
      <c r="AA76" s="3">
        <f>'Conjunto de Datos'!D77</f>
        <v>45017</v>
      </c>
      <c r="AB76" t="str">
        <f>INDEX(sala!L:L, MATCH(Tabla8[[#This Row],[Numero de Orden]], sala!K:K, 0))</f>
        <v>Venezuela</v>
      </c>
      <c r="AC76" t="str">
        <f>'Conjunto de Datos'!N77</f>
        <v>Mesero_5</v>
      </c>
      <c r="AD76">
        <f>Tabla8[[#This Row],[Propina]]+Tabla8[[#This Row],[Precio Cena]]</f>
        <v>4632</v>
      </c>
      <c r="AE76" s="45">
        <f t="shared" si="2"/>
        <v>109</v>
      </c>
    </row>
    <row r="77" spans="1:31" x14ac:dyDescent="0.3">
      <c r="S77" t="str">
        <f>'Conjunto de Datos'!BB78</f>
        <v>42</v>
      </c>
      <c r="T77">
        <f>'Conjunto de Datos'!BF78</f>
        <v>76</v>
      </c>
      <c r="U77" s="7">
        <f>sala!I77</f>
        <v>1776</v>
      </c>
      <c r="V77" cm="1">
        <f t="array" ref="V77">SUM(IF(Cocina!A:A=Tabla8[[#This Row],[Numero de Orden]],Cocina!F:F*Cocina!G:G,0))</f>
        <v>158</v>
      </c>
      <c r="W77">
        <f>IF(Tabla8[[#This Row],[Cobrado]]="Cobrada",Tabla8[[#This Row],[Propina]]+Tabla8[[#This Row],[Precio Cena]],0)</f>
        <v>1934</v>
      </c>
      <c r="X77" t="str">
        <f>INDEX(sala!G:G, MATCH(Tabla8[[#This Row],[Numero de Orden]], sala!K:K, 0))</f>
        <v>Almuerzo</v>
      </c>
      <c r="Y77" t="str">
        <f>'Conjunto de Datos'!J78</f>
        <v>Cobrada</v>
      </c>
      <c r="Z77" t="str">
        <f>INDEX(sala!H:H, MATCH(Tabla8[[#This Row],[Numero de Orden]], sala!K:K, 0))</f>
        <v>Tarjeta de crédito</v>
      </c>
      <c r="AA77" s="3">
        <f>'Conjunto de Datos'!D78</f>
        <v>45017</v>
      </c>
      <c r="AB77" t="str">
        <f>INDEX(sala!L:L, MATCH(Tabla8[[#This Row],[Numero de Orden]], sala!K:K, 0))</f>
        <v>Argentina</v>
      </c>
      <c r="AC77" t="str">
        <f>'Conjunto de Datos'!N78</f>
        <v>Mesero_1</v>
      </c>
      <c r="AD77">
        <f>Tabla8[[#This Row],[Propina]]+Tabla8[[#This Row],[Precio Cena]]</f>
        <v>1934</v>
      </c>
      <c r="AE77" s="45">
        <f t="shared" si="2"/>
        <v>158</v>
      </c>
    </row>
    <row r="78" spans="1:31" x14ac:dyDescent="0.3">
      <c r="S78" s="15" t="str">
        <f>'Conjunto de Datos'!BB79</f>
        <v>374</v>
      </c>
      <c r="T78" s="15">
        <f>'Conjunto de Datos'!BF79</f>
        <v>77</v>
      </c>
      <c r="U78" s="6">
        <f>sala!I78</f>
        <v>1988</v>
      </c>
      <c r="V78" cm="1">
        <f t="array" ref="V78">SUM(IF(Cocina!A:A=Tabla8[[#This Row],[Numero de Orden]],Cocina!F:F*Cocina!G:G,0))</f>
        <v>99</v>
      </c>
      <c r="W78">
        <f>IF(Tabla8[[#This Row],[Cobrado]]="Cobrada",Tabla8[[#This Row],[Propina]]+Tabla8[[#This Row],[Precio Cena]],0)</f>
        <v>2087</v>
      </c>
      <c r="X78" t="str">
        <f>INDEX(sala!G:G, MATCH(Tabla8[[#This Row],[Numero de Orden]], sala!K:K, 0))</f>
        <v>Cena</v>
      </c>
      <c r="Y78" t="str">
        <f>'Conjunto de Datos'!J79</f>
        <v>Cobrada</v>
      </c>
      <c r="Z78" t="str">
        <f>INDEX(sala!H:H, MATCH(Tabla8[[#This Row],[Numero de Orden]], sala!K:K, 0))</f>
        <v>Tarjeta de crédito</v>
      </c>
      <c r="AA78" s="3">
        <f>'Conjunto de Datos'!D79</f>
        <v>45017</v>
      </c>
      <c r="AB78" t="str">
        <f>INDEX(sala!L:L, MATCH(Tabla8[[#This Row],[Numero de Orden]], sala!K:K, 0))</f>
        <v>Bolivia</v>
      </c>
      <c r="AC78" t="str">
        <f>'Conjunto de Datos'!N79</f>
        <v>Mesero_3</v>
      </c>
      <c r="AD78">
        <f>Tabla8[[#This Row],[Propina]]+Tabla8[[#This Row],[Precio Cena]]</f>
        <v>2087</v>
      </c>
      <c r="AE78" s="45">
        <f t="shared" si="2"/>
        <v>99</v>
      </c>
    </row>
    <row r="79" spans="1:31" x14ac:dyDescent="0.3">
      <c r="A79" t="s">
        <v>666</v>
      </c>
      <c r="B79" t="s">
        <v>680</v>
      </c>
      <c r="S79" t="str">
        <f>'Conjunto de Datos'!BB80</f>
        <v>636</v>
      </c>
      <c r="T79">
        <f>'Conjunto de Datos'!BF80</f>
        <v>78</v>
      </c>
      <c r="U79" s="7">
        <f>sala!I79</f>
        <v>2002</v>
      </c>
      <c r="V79" cm="1">
        <f t="array" ref="V79">SUM(IF(Cocina!A:A=Tabla8[[#This Row],[Numero de Orden]],Cocina!F:F*Cocina!G:G,0))</f>
        <v>57</v>
      </c>
      <c r="W79">
        <f>IF(Tabla8[[#This Row],[Cobrado]]="Cobrada",Tabla8[[#This Row],[Propina]]+Tabla8[[#This Row],[Precio Cena]],0)</f>
        <v>2059</v>
      </c>
      <c r="X79" t="str">
        <f>INDEX(sala!G:G, MATCH(Tabla8[[#This Row],[Numero de Orden]], sala!K:K, 0))</f>
        <v>Almuerzo</v>
      </c>
      <c r="Y79" t="str">
        <f>'Conjunto de Datos'!J80</f>
        <v>Cobrada</v>
      </c>
      <c r="Z79" t="str">
        <f>INDEX(sala!H:H, MATCH(Tabla8[[#This Row],[Numero de Orden]], sala!K:K, 0))</f>
        <v>Tarjeta de crédito</v>
      </c>
      <c r="AA79" s="3">
        <f>'Conjunto de Datos'!D80</f>
        <v>45017</v>
      </c>
      <c r="AB79" t="str">
        <f>INDEX(sala!L:L, MATCH(Tabla8[[#This Row],[Numero de Orden]], sala!K:K, 0))</f>
        <v>Colombia</v>
      </c>
      <c r="AC79" t="str">
        <f>'Conjunto de Datos'!N80</f>
        <v>Mesero_3</v>
      </c>
      <c r="AD79">
        <f>Tabla8[[#This Row],[Propina]]+Tabla8[[#This Row],[Precio Cena]]</f>
        <v>2059</v>
      </c>
      <c r="AE79" s="45">
        <f t="shared" si="2"/>
        <v>57</v>
      </c>
    </row>
    <row r="80" spans="1:31" x14ac:dyDescent="0.3">
      <c r="A80" t="s">
        <v>59</v>
      </c>
      <c r="B80" s="45">
        <f>COUNTIF(AB:AB,A80)</f>
        <v>71</v>
      </c>
      <c r="S80" s="15" t="str">
        <f>'Conjunto de Datos'!BB81</f>
        <v>753</v>
      </c>
      <c r="T80" s="15">
        <f>'Conjunto de Datos'!BF81</f>
        <v>79</v>
      </c>
      <c r="U80" s="6">
        <f>sala!I80</f>
        <v>3401</v>
      </c>
      <c r="V80" cm="1">
        <f t="array" ref="V80">SUM(IF(Cocina!A:A=Tabla8[[#This Row],[Numero de Orden]],Cocina!F:F*Cocina!G:G,0))</f>
        <v>309</v>
      </c>
      <c r="W80">
        <f>IF(Tabla8[[#This Row],[Cobrado]]="Cobrada",Tabla8[[#This Row],[Propina]]+Tabla8[[#This Row],[Precio Cena]],0)</f>
        <v>3710</v>
      </c>
      <c r="X80" t="str">
        <f>INDEX(sala!G:G, MATCH(Tabla8[[#This Row],[Numero de Orden]], sala!K:K, 0))</f>
        <v>Almuerzo</v>
      </c>
      <c r="Y80" t="str">
        <f>'Conjunto de Datos'!J81</f>
        <v>Cobrada</v>
      </c>
      <c r="Z80" t="str">
        <f>INDEX(sala!H:H, MATCH(Tabla8[[#This Row],[Numero de Orden]], sala!K:K, 0))</f>
        <v>Tarjeta de crédito</v>
      </c>
      <c r="AA80" s="3">
        <f>'Conjunto de Datos'!D81</f>
        <v>45017</v>
      </c>
      <c r="AB80" t="str">
        <f>INDEX(sala!L:L, MATCH(Tabla8[[#This Row],[Numero de Orden]], sala!K:K, 0))</f>
        <v>Venezuela</v>
      </c>
      <c r="AC80" t="str">
        <f>'Conjunto de Datos'!N81</f>
        <v>Mesero_3</v>
      </c>
      <c r="AD80">
        <f>Tabla8[[#This Row],[Propina]]+Tabla8[[#This Row],[Precio Cena]]</f>
        <v>3710</v>
      </c>
      <c r="AE80" s="45">
        <f t="shared" si="2"/>
        <v>309</v>
      </c>
    </row>
    <row r="81" spans="1:31" x14ac:dyDescent="0.3">
      <c r="A81" t="s">
        <v>37</v>
      </c>
      <c r="B81" s="45">
        <f>COUNTIF(AB:AB,A81)</f>
        <v>68</v>
      </c>
      <c r="S81" t="str">
        <f>'Conjunto de Datos'!BB82</f>
        <v>632</v>
      </c>
      <c r="T81">
        <f>'Conjunto de Datos'!BF82</f>
        <v>80</v>
      </c>
      <c r="U81" s="7">
        <f>sala!I81</f>
        <v>3905</v>
      </c>
      <c r="V81" cm="1">
        <f t="array" ref="V81">SUM(IF(Cocina!A:A=Tabla8[[#This Row],[Numero de Orden]],Cocina!F:F*Cocina!G:G,0))</f>
        <v>121</v>
      </c>
      <c r="W81">
        <f>IF(Tabla8[[#This Row],[Cobrado]]="Cobrada",Tabla8[[#This Row],[Propina]]+Tabla8[[#This Row],[Precio Cena]],0)</f>
        <v>4026</v>
      </c>
      <c r="X81" t="str">
        <f>INDEX(sala!G:G, MATCH(Tabla8[[#This Row],[Numero de Orden]], sala!K:K, 0))</f>
        <v>Almuerzo</v>
      </c>
      <c r="Y81" t="str">
        <f>'Conjunto de Datos'!J82</f>
        <v>Cobrada</v>
      </c>
      <c r="Z81" t="str">
        <f>INDEX(sala!H:H, MATCH(Tabla8[[#This Row],[Numero de Orden]], sala!K:K, 0))</f>
        <v>Tarjeta de crédito</v>
      </c>
      <c r="AA81" s="3">
        <f>'Conjunto de Datos'!D82</f>
        <v>45017</v>
      </c>
      <c r="AB81" t="str">
        <f>INDEX(sala!L:L, MATCH(Tabla8[[#This Row],[Numero de Orden]], sala!K:K, 0))</f>
        <v>Venezuela</v>
      </c>
      <c r="AC81" t="str">
        <f>'Conjunto de Datos'!N82</f>
        <v>Mesero_4</v>
      </c>
      <c r="AD81">
        <f>Tabla8[[#This Row],[Propina]]+Tabla8[[#This Row],[Precio Cena]]</f>
        <v>4026</v>
      </c>
      <c r="AE81" s="45">
        <f t="shared" si="2"/>
        <v>121</v>
      </c>
    </row>
    <row r="82" spans="1:31" x14ac:dyDescent="0.3">
      <c r="A82" t="s">
        <v>25</v>
      </c>
      <c r="B82" s="45">
        <f t="shared" ref="B82:B90" si="3">COUNTIF(AB:AB,A82)</f>
        <v>63</v>
      </c>
      <c r="S82" s="15" t="str">
        <f>'Conjunto de Datos'!BB83</f>
        <v>969</v>
      </c>
      <c r="T82" s="15">
        <f>'Conjunto de Datos'!BF83</f>
        <v>81</v>
      </c>
      <c r="U82" s="6">
        <f>sala!I82</f>
        <v>2369</v>
      </c>
      <c r="V82" cm="1">
        <f t="array" ref="V82">SUM(IF(Cocina!A:A=Tabla8[[#This Row],[Numero de Orden]],Cocina!F:F*Cocina!G:G,0))</f>
        <v>62</v>
      </c>
      <c r="W82">
        <f>IF(Tabla8[[#This Row],[Cobrado]]="Cobrada",Tabla8[[#This Row],[Propina]]+Tabla8[[#This Row],[Precio Cena]],0)</f>
        <v>2431</v>
      </c>
      <c r="X82" t="str">
        <f>INDEX(sala!G:G, MATCH(Tabla8[[#This Row],[Numero de Orden]], sala!K:K, 0))</f>
        <v>Cena</v>
      </c>
      <c r="Y82" t="str">
        <f>'Conjunto de Datos'!J83</f>
        <v>Cobrada</v>
      </c>
      <c r="Z82" t="str">
        <f>INDEX(sala!H:H, MATCH(Tabla8[[#This Row],[Numero de Orden]], sala!K:K, 0))</f>
        <v>Tarjeta de crédito</v>
      </c>
      <c r="AA82" s="3">
        <f>'Conjunto de Datos'!D83</f>
        <v>45017</v>
      </c>
      <c r="AB82" t="str">
        <f>INDEX(sala!L:L, MATCH(Tabla8[[#This Row],[Numero de Orden]], sala!K:K, 0))</f>
        <v>Uruguay</v>
      </c>
      <c r="AC82" t="str">
        <f>'Conjunto de Datos'!N83</f>
        <v>Mesero_5</v>
      </c>
      <c r="AD82">
        <f>Tabla8[[#This Row],[Propina]]+Tabla8[[#This Row],[Precio Cena]]</f>
        <v>2431</v>
      </c>
      <c r="AE82" s="45">
        <f t="shared" si="2"/>
        <v>62</v>
      </c>
    </row>
    <row r="83" spans="1:31" x14ac:dyDescent="0.3">
      <c r="A83" t="s">
        <v>70</v>
      </c>
      <c r="B83" s="45">
        <f t="shared" si="3"/>
        <v>70</v>
      </c>
      <c r="S83" t="str">
        <f>'Conjunto de Datos'!BB84</f>
        <v>574</v>
      </c>
      <c r="T83">
        <f>'Conjunto de Datos'!BF84</f>
        <v>82</v>
      </c>
      <c r="U83" s="7">
        <f>sala!I83</f>
        <v>386</v>
      </c>
      <c r="V83" cm="1">
        <f t="array" ref="V83">SUM(IF(Cocina!A:A=Tabla8[[#This Row],[Numero de Orden]],Cocina!F:F*Cocina!G:G,0))</f>
        <v>80</v>
      </c>
      <c r="W83">
        <f>IF(Tabla8[[#This Row],[Cobrado]]="Cobrada",Tabla8[[#This Row],[Propina]]+Tabla8[[#This Row],[Precio Cena]],0)</f>
        <v>466</v>
      </c>
      <c r="X83" t="str">
        <f>INDEX(sala!G:G, MATCH(Tabla8[[#This Row],[Numero de Orden]], sala!K:K, 0))</f>
        <v>Desayuno</v>
      </c>
      <c r="Y83" t="str">
        <f>'Conjunto de Datos'!J84</f>
        <v>Cobrada</v>
      </c>
      <c r="Z83" t="str">
        <f>INDEX(sala!H:H, MATCH(Tabla8[[#This Row],[Numero de Orden]], sala!K:K, 0))</f>
        <v>Tarjeta de crédito</v>
      </c>
      <c r="AA83" s="3">
        <f>'Conjunto de Datos'!D84</f>
        <v>45017</v>
      </c>
      <c r="AB83" t="str">
        <f>INDEX(sala!L:L, MATCH(Tabla8[[#This Row],[Numero de Orden]], sala!K:K, 0))</f>
        <v>Paraguay</v>
      </c>
      <c r="AC83" t="str">
        <f>'Conjunto de Datos'!N84</f>
        <v>Mesero_5</v>
      </c>
      <c r="AD83">
        <f>Tabla8[[#This Row],[Propina]]+Tabla8[[#This Row],[Precio Cena]]</f>
        <v>466</v>
      </c>
      <c r="AE83" s="45">
        <f t="shared" si="2"/>
        <v>80</v>
      </c>
    </row>
    <row r="84" spans="1:31" x14ac:dyDescent="0.3">
      <c r="A84" t="s">
        <v>18</v>
      </c>
      <c r="B84" s="45">
        <f t="shared" si="3"/>
        <v>78</v>
      </c>
      <c r="S84" s="15" t="str">
        <f>'Conjunto de Datos'!BB85</f>
        <v>292</v>
      </c>
      <c r="T84" s="15">
        <f>'Conjunto de Datos'!BF85</f>
        <v>83</v>
      </c>
      <c r="U84" s="6">
        <f>sala!I84</f>
        <v>2494</v>
      </c>
      <c r="V84" cm="1">
        <f t="array" ref="V84">SUM(IF(Cocina!A:A=Tabla8[[#This Row],[Numero de Orden]],Cocina!F:F*Cocina!G:G,0))</f>
        <v>170</v>
      </c>
      <c r="W84">
        <f>IF(Tabla8[[#This Row],[Cobrado]]="Cobrada",Tabla8[[#This Row],[Propina]]+Tabla8[[#This Row],[Precio Cena]],0)</f>
        <v>2664</v>
      </c>
      <c r="X84" t="str">
        <f>INDEX(sala!G:G, MATCH(Tabla8[[#This Row],[Numero de Orden]], sala!K:K, 0))</f>
        <v>Cena</v>
      </c>
      <c r="Y84" t="str">
        <f>'Conjunto de Datos'!J85</f>
        <v>Cobrada</v>
      </c>
      <c r="Z84" t="str">
        <f>INDEX(sala!H:H, MATCH(Tabla8[[#This Row],[Numero de Orden]], sala!K:K, 0))</f>
        <v>Tarjeta de crédito</v>
      </c>
      <c r="AA84" s="3">
        <f>'Conjunto de Datos'!D85</f>
        <v>45017</v>
      </c>
      <c r="AB84" t="str">
        <f>INDEX(sala!L:L, MATCH(Tabla8[[#This Row],[Numero de Orden]], sala!K:K, 0))</f>
        <v>Argentina</v>
      </c>
      <c r="AC84" t="str">
        <f>'Conjunto de Datos'!N85</f>
        <v>Mesero_1</v>
      </c>
      <c r="AD84">
        <f>Tabla8[[#This Row],[Propina]]+Tabla8[[#This Row],[Precio Cena]]</f>
        <v>2664</v>
      </c>
      <c r="AE84" s="45">
        <f t="shared" si="2"/>
        <v>170</v>
      </c>
    </row>
    <row r="85" spans="1:31" x14ac:dyDescent="0.3">
      <c r="A85" t="s">
        <v>91</v>
      </c>
      <c r="B85" s="45">
        <f t="shared" si="3"/>
        <v>62</v>
      </c>
      <c r="S85" t="str">
        <f>'Conjunto de Datos'!BB86</f>
        <v>148</v>
      </c>
      <c r="T85">
        <f>'Conjunto de Datos'!BF86</f>
        <v>84</v>
      </c>
      <c r="U85" s="7">
        <f>sala!I85</f>
        <v>1511</v>
      </c>
      <c r="V85" cm="1">
        <f t="array" ref="V85">SUM(IF(Cocina!A:A=Tabla8[[#This Row],[Numero de Orden]],Cocina!F:F*Cocina!G:G,0))</f>
        <v>60</v>
      </c>
      <c r="W85">
        <f>IF(Tabla8[[#This Row],[Cobrado]]="Cobrada",Tabla8[[#This Row],[Propina]]+Tabla8[[#This Row],[Precio Cena]],0)</f>
        <v>1571</v>
      </c>
      <c r="X85" t="str">
        <f>INDEX(sala!G:G, MATCH(Tabla8[[#This Row],[Numero de Orden]], sala!K:K, 0))</f>
        <v>Almuerzo</v>
      </c>
      <c r="Y85" t="str">
        <f>'Conjunto de Datos'!J86</f>
        <v>Cobrada</v>
      </c>
      <c r="Z85" t="str">
        <f>INDEX(sala!H:H, MATCH(Tabla8[[#This Row],[Numero de Orden]], sala!K:K, 0))</f>
        <v>Tarjeta de crédito</v>
      </c>
      <c r="AA85" s="3">
        <f>'Conjunto de Datos'!D86</f>
        <v>45017</v>
      </c>
      <c r="AB85" t="str">
        <f>INDEX(sala!L:L, MATCH(Tabla8[[#This Row],[Numero de Orden]], sala!K:K, 0))</f>
        <v>Perú</v>
      </c>
      <c r="AC85" t="str">
        <f>'Conjunto de Datos'!N86</f>
        <v>Mesero_4</v>
      </c>
      <c r="AD85">
        <f>Tabla8[[#This Row],[Propina]]+Tabla8[[#This Row],[Precio Cena]]</f>
        <v>1571</v>
      </c>
      <c r="AE85" s="45">
        <f t="shared" si="2"/>
        <v>60</v>
      </c>
    </row>
    <row r="86" spans="1:31" x14ac:dyDescent="0.3">
      <c r="A86" t="s">
        <v>29</v>
      </c>
      <c r="B86" s="45">
        <f t="shared" si="3"/>
        <v>76</v>
      </c>
      <c r="S86" s="15" t="str">
        <f>'Conjunto de Datos'!BB87</f>
        <v>747</v>
      </c>
      <c r="T86" s="15">
        <f>'Conjunto de Datos'!BF87</f>
        <v>85</v>
      </c>
      <c r="U86" s="6">
        <f>sala!I86</f>
        <v>4596</v>
      </c>
      <c r="V86" cm="1">
        <f t="array" ref="V86">SUM(IF(Cocina!A:A=Tabla8[[#This Row],[Numero de Orden]],Cocina!F:F*Cocina!G:G,0))</f>
        <v>208</v>
      </c>
      <c r="W86">
        <f>IF(Tabla8[[#This Row],[Cobrado]]="Cobrada",Tabla8[[#This Row],[Propina]]+Tabla8[[#This Row],[Precio Cena]],0)</f>
        <v>0</v>
      </c>
      <c r="X86" t="str">
        <f>INDEX(sala!G:G, MATCH(Tabla8[[#This Row],[Numero de Orden]], sala!K:K, 0))</f>
        <v>Cena</v>
      </c>
      <c r="Y86" t="str">
        <f>'Conjunto de Datos'!J87</f>
        <v>No Cobrada</v>
      </c>
      <c r="Z86" t="str">
        <f>INDEX(sala!H:H, MATCH(Tabla8[[#This Row],[Numero de Orden]], sala!K:K, 0))</f>
        <v>Tarjeta de crédito</v>
      </c>
      <c r="AA86" s="3">
        <f>'Conjunto de Datos'!D87</f>
        <v>45017</v>
      </c>
      <c r="AB86" t="str">
        <f>INDEX(sala!L:L, MATCH(Tabla8[[#This Row],[Numero de Orden]], sala!K:K, 0))</f>
        <v>Ecuador</v>
      </c>
      <c r="AC86" t="str">
        <f>'Conjunto de Datos'!N87</f>
        <v>Mesero_2</v>
      </c>
      <c r="AD86">
        <f>Tabla8[[#This Row],[Propina]]+Tabla8[[#This Row],[Precio Cena]]</f>
        <v>4804</v>
      </c>
      <c r="AE86" s="45">
        <f t="shared" si="2"/>
        <v>0</v>
      </c>
    </row>
    <row r="87" spans="1:31" x14ac:dyDescent="0.3">
      <c r="A87" t="s">
        <v>55</v>
      </c>
      <c r="B87" s="45">
        <f t="shared" si="3"/>
        <v>69</v>
      </c>
      <c r="S87" t="str">
        <f>'Conjunto de Datos'!BB88</f>
        <v>501</v>
      </c>
      <c r="T87">
        <f>'Conjunto de Datos'!BF88</f>
        <v>86</v>
      </c>
      <c r="U87" s="7">
        <f>sala!I87</f>
        <v>1184</v>
      </c>
      <c r="V87" cm="1">
        <f t="array" ref="V87">SUM(IF(Cocina!A:A=Tabla8[[#This Row],[Numero de Orden]],Cocina!F:F*Cocina!G:G,0))</f>
        <v>50</v>
      </c>
      <c r="W87">
        <f>IF(Tabla8[[#This Row],[Cobrado]]="Cobrada",Tabla8[[#This Row],[Propina]]+Tabla8[[#This Row],[Precio Cena]],0)</f>
        <v>1234</v>
      </c>
      <c r="X87" t="str">
        <f>INDEX(sala!G:G, MATCH(Tabla8[[#This Row],[Numero de Orden]], sala!K:K, 0))</f>
        <v>Almuerzo</v>
      </c>
      <c r="Y87" t="str">
        <f>'Conjunto de Datos'!J88</f>
        <v>Cobrada</v>
      </c>
      <c r="Z87" t="str">
        <f>INDEX(sala!H:H, MATCH(Tabla8[[#This Row],[Numero de Orden]], sala!K:K, 0))</f>
        <v>Tarjeta de débito</v>
      </c>
      <c r="AA87" s="3">
        <f>'Conjunto de Datos'!D88</f>
        <v>45017</v>
      </c>
      <c r="AB87" t="str">
        <f>INDEX(sala!L:L, MATCH(Tabla8[[#This Row],[Numero de Orden]], sala!K:K, 0))</f>
        <v>España</v>
      </c>
      <c r="AC87" t="str">
        <f>'Conjunto de Datos'!N88</f>
        <v>Mesero_5</v>
      </c>
      <c r="AD87">
        <f>Tabla8[[#This Row],[Propina]]+Tabla8[[#This Row],[Precio Cena]]</f>
        <v>1234</v>
      </c>
      <c r="AE87" s="45">
        <f t="shared" si="2"/>
        <v>50</v>
      </c>
    </row>
    <row r="88" spans="1:31" x14ac:dyDescent="0.3">
      <c r="A88" t="s">
        <v>62</v>
      </c>
      <c r="B88" s="45">
        <f t="shared" si="3"/>
        <v>61</v>
      </c>
      <c r="S88" s="15" t="str">
        <f>'Conjunto de Datos'!BB89</f>
        <v>733</v>
      </c>
      <c r="T88" s="15">
        <f>'Conjunto de Datos'!BF89</f>
        <v>87</v>
      </c>
      <c r="U88" s="6">
        <f>sala!I88</f>
        <v>2946</v>
      </c>
      <c r="V88" cm="1">
        <f t="array" ref="V88">SUM(IF(Cocina!A:A=Tabla8[[#This Row],[Numero de Orden]],Cocina!F:F*Cocina!G:G,0))</f>
        <v>99</v>
      </c>
      <c r="W88">
        <f>IF(Tabla8[[#This Row],[Cobrado]]="Cobrada",Tabla8[[#This Row],[Propina]]+Tabla8[[#This Row],[Precio Cena]],0)</f>
        <v>3045</v>
      </c>
      <c r="X88" t="str">
        <f>INDEX(sala!G:G, MATCH(Tabla8[[#This Row],[Numero de Orden]], sala!K:K, 0))</f>
        <v>Almuerzo</v>
      </c>
      <c r="Y88" t="str">
        <f>'Conjunto de Datos'!J89</f>
        <v>Cobrada</v>
      </c>
      <c r="Z88" t="str">
        <f>INDEX(sala!H:H, MATCH(Tabla8[[#This Row],[Numero de Orden]], sala!K:K, 0))</f>
        <v>Tarjeta de crédito</v>
      </c>
      <c r="AA88" s="3">
        <f>'Conjunto de Datos'!D89</f>
        <v>45017</v>
      </c>
      <c r="AB88" t="str">
        <f>INDEX(sala!L:L, MATCH(Tabla8[[#This Row],[Numero de Orden]], sala!K:K, 0))</f>
        <v>Venezuela</v>
      </c>
      <c r="AC88" t="str">
        <f>'Conjunto de Datos'!N89</f>
        <v>Mesero_4</v>
      </c>
      <c r="AD88">
        <f>Tabla8[[#This Row],[Propina]]+Tabla8[[#This Row],[Precio Cena]]</f>
        <v>3045</v>
      </c>
      <c r="AE88" s="45">
        <f t="shared" si="2"/>
        <v>99</v>
      </c>
    </row>
    <row r="89" spans="1:31" x14ac:dyDescent="0.3">
      <c r="A89" t="s">
        <v>33</v>
      </c>
      <c r="B89" s="45">
        <f t="shared" si="3"/>
        <v>75</v>
      </c>
      <c r="S89" t="str">
        <f>'Conjunto de Datos'!BB90</f>
        <v>36</v>
      </c>
      <c r="T89">
        <f>'Conjunto de Datos'!BF90</f>
        <v>88</v>
      </c>
      <c r="U89" s="7">
        <f>sala!I89</f>
        <v>2393</v>
      </c>
      <c r="V89" cm="1">
        <f t="array" ref="V89">SUM(IF(Cocina!A:A=Tabla8[[#This Row],[Numero de Orden]],Cocina!F:F*Cocina!G:G,0))</f>
        <v>123</v>
      </c>
      <c r="W89">
        <f>IF(Tabla8[[#This Row],[Cobrado]]="Cobrada",Tabla8[[#This Row],[Propina]]+Tabla8[[#This Row],[Precio Cena]],0)</f>
        <v>2516</v>
      </c>
      <c r="X89" t="str">
        <f>INDEX(sala!G:G, MATCH(Tabla8[[#This Row],[Numero de Orden]], sala!K:K, 0))</f>
        <v>Almuerzo</v>
      </c>
      <c r="Y89" t="str">
        <f>'Conjunto de Datos'!J90</f>
        <v>Cobrada</v>
      </c>
      <c r="Z89" t="str">
        <f>INDEX(sala!H:H, MATCH(Tabla8[[#This Row],[Numero de Orden]], sala!K:K, 0))</f>
        <v>Tarjeta de débito</v>
      </c>
      <c r="AA89" s="3">
        <f>'Conjunto de Datos'!D90</f>
        <v>45017</v>
      </c>
      <c r="AB89" t="str">
        <f>INDEX(sala!L:L, MATCH(Tabla8[[#This Row],[Numero de Orden]], sala!K:K, 0))</f>
        <v>Ecuador</v>
      </c>
      <c r="AC89" t="str">
        <f>'Conjunto de Datos'!N90</f>
        <v>Mesero_4</v>
      </c>
      <c r="AD89">
        <f>Tabla8[[#This Row],[Propina]]+Tabla8[[#This Row],[Precio Cena]]</f>
        <v>2516</v>
      </c>
      <c r="AE89" s="45">
        <f t="shared" si="2"/>
        <v>123</v>
      </c>
    </row>
    <row r="90" spans="1:31" x14ac:dyDescent="0.3">
      <c r="A90" t="s">
        <v>49</v>
      </c>
      <c r="B90" s="45">
        <f t="shared" si="3"/>
        <v>74</v>
      </c>
      <c r="S90" s="15" t="str">
        <f>'Conjunto de Datos'!BB91</f>
        <v>553</v>
      </c>
      <c r="T90" s="15">
        <f>'Conjunto de Datos'!BF91</f>
        <v>89</v>
      </c>
      <c r="U90" s="6">
        <f>sala!I90</f>
        <v>1228</v>
      </c>
      <c r="V90" cm="1">
        <f t="array" ref="V90">SUM(IF(Cocina!A:A=Tabla8[[#This Row],[Numero de Orden]],Cocina!F:F*Cocina!G:G,0))</f>
        <v>159</v>
      </c>
      <c r="W90">
        <f>IF(Tabla8[[#This Row],[Cobrado]]="Cobrada",Tabla8[[#This Row],[Propina]]+Tabla8[[#This Row],[Precio Cena]],0)</f>
        <v>0</v>
      </c>
      <c r="X90" t="str">
        <f>INDEX(sala!G:G, MATCH(Tabla8[[#This Row],[Numero de Orden]], sala!K:K, 0))</f>
        <v>Desayuno</v>
      </c>
      <c r="Y90" t="str">
        <f>'Conjunto de Datos'!J91</f>
        <v>No Cobrada</v>
      </c>
      <c r="Z90" t="str">
        <f>INDEX(sala!H:H, MATCH(Tabla8[[#This Row],[Numero de Orden]], sala!K:K, 0))</f>
        <v>Tarjeta de débito</v>
      </c>
      <c r="AA90" s="3">
        <f>'Conjunto de Datos'!D91</f>
        <v>45017</v>
      </c>
      <c r="AB90" t="str">
        <f>INDEX(sala!L:L, MATCH(Tabla8[[#This Row],[Numero de Orden]], sala!K:K, 0))</f>
        <v>Uruguay</v>
      </c>
      <c r="AC90" t="str">
        <f>'Conjunto de Datos'!N91</f>
        <v>Mesero_5</v>
      </c>
      <c r="AD90">
        <f>Tabla8[[#This Row],[Propina]]+Tabla8[[#This Row],[Precio Cena]]</f>
        <v>1387</v>
      </c>
      <c r="AE90" s="45">
        <f t="shared" si="2"/>
        <v>0</v>
      </c>
    </row>
    <row r="91" spans="1:31" x14ac:dyDescent="0.3">
      <c r="S91" t="str">
        <f>'Conjunto de Datos'!BB92</f>
        <v>1000</v>
      </c>
      <c r="T91">
        <f>'Conjunto de Datos'!BF92</f>
        <v>90</v>
      </c>
      <c r="U91" s="7">
        <f>sala!I91</f>
        <v>3069</v>
      </c>
      <c r="V91" cm="1">
        <f t="array" ref="V91">SUM(IF(Cocina!A:A=Tabla8[[#This Row],[Numero de Orden]],Cocina!F:F*Cocina!G:G,0))</f>
        <v>34</v>
      </c>
      <c r="W91">
        <f>IF(Tabla8[[#This Row],[Cobrado]]="Cobrada",Tabla8[[#This Row],[Propina]]+Tabla8[[#This Row],[Precio Cena]],0)</f>
        <v>3103</v>
      </c>
      <c r="X91" t="str">
        <f>INDEX(sala!G:G, MATCH(Tabla8[[#This Row],[Numero de Orden]], sala!K:K, 0))</f>
        <v>Almuerzo</v>
      </c>
      <c r="Y91" t="str">
        <f>'Conjunto de Datos'!J92</f>
        <v>Cobrada</v>
      </c>
      <c r="Z91" t="str">
        <f>INDEX(sala!H:H, MATCH(Tabla8[[#This Row],[Numero de Orden]], sala!K:K, 0))</f>
        <v>Tarjeta de débito</v>
      </c>
      <c r="AA91" s="3">
        <f>'Conjunto de Datos'!D92</f>
        <v>45017</v>
      </c>
      <c r="AB91" t="str">
        <f>INDEX(sala!L:L, MATCH(Tabla8[[#This Row],[Numero de Orden]], sala!K:K, 0))</f>
        <v>Ecuador</v>
      </c>
      <c r="AC91" t="str">
        <f>'Conjunto de Datos'!N92</f>
        <v>Mesero_5</v>
      </c>
      <c r="AD91">
        <f>Tabla8[[#This Row],[Propina]]+Tabla8[[#This Row],[Precio Cena]]</f>
        <v>3103</v>
      </c>
      <c r="AE91" s="45">
        <f t="shared" si="2"/>
        <v>34</v>
      </c>
    </row>
    <row r="92" spans="1:31" x14ac:dyDescent="0.3">
      <c r="S92" s="15" t="str">
        <f>'Conjunto de Datos'!BB93</f>
        <v>607</v>
      </c>
      <c r="T92" s="15">
        <f>'Conjunto de Datos'!BF93</f>
        <v>91</v>
      </c>
      <c r="U92" s="6">
        <f>sala!I92</f>
        <v>391</v>
      </c>
      <c r="V92" cm="1">
        <f t="array" ref="V92">SUM(IF(Cocina!A:A=Tabla8[[#This Row],[Numero de Orden]],Cocina!F:F*Cocina!G:G,0))</f>
        <v>293</v>
      </c>
      <c r="W92">
        <f>IF(Tabla8[[#This Row],[Cobrado]]="Cobrada",Tabla8[[#This Row],[Propina]]+Tabla8[[#This Row],[Precio Cena]],0)</f>
        <v>0</v>
      </c>
      <c r="X92" t="str">
        <f>INDEX(sala!G:G, MATCH(Tabla8[[#This Row],[Numero de Orden]], sala!K:K, 0))</f>
        <v>Almuerzo</v>
      </c>
      <c r="Y92" t="str">
        <f>'Conjunto de Datos'!J93</f>
        <v>No Cobrada</v>
      </c>
      <c r="Z92" t="str">
        <f>INDEX(sala!H:H, MATCH(Tabla8[[#This Row],[Numero de Orden]], sala!K:K, 0))</f>
        <v>Tarjeta de crédito</v>
      </c>
      <c r="AA92" s="3">
        <f>'Conjunto de Datos'!D93</f>
        <v>45017</v>
      </c>
      <c r="AB92" t="str">
        <f>INDEX(sala!L:L, MATCH(Tabla8[[#This Row],[Numero de Orden]], sala!K:K, 0))</f>
        <v>España</v>
      </c>
      <c r="AC92" t="str">
        <f>'Conjunto de Datos'!N93</f>
        <v>Mesero_5</v>
      </c>
      <c r="AD92">
        <f>Tabla8[[#This Row],[Propina]]+Tabla8[[#This Row],[Precio Cena]]</f>
        <v>684</v>
      </c>
      <c r="AE92" s="45">
        <f t="shared" si="2"/>
        <v>0</v>
      </c>
    </row>
    <row r="93" spans="1:31" x14ac:dyDescent="0.3">
      <c r="S93" t="str">
        <f>'Conjunto de Datos'!BB94</f>
        <v>378</v>
      </c>
      <c r="T93">
        <f>'Conjunto de Datos'!BF94</f>
        <v>92</v>
      </c>
      <c r="U93" s="7">
        <f>sala!I93</f>
        <v>1275</v>
      </c>
      <c r="V93" cm="1">
        <f t="array" ref="V93">SUM(IF(Cocina!A:A=Tabla8[[#This Row],[Numero de Orden]],Cocina!F:F*Cocina!G:G,0))</f>
        <v>82</v>
      </c>
      <c r="W93">
        <f>IF(Tabla8[[#This Row],[Cobrado]]="Cobrada",Tabla8[[#This Row],[Propina]]+Tabla8[[#This Row],[Precio Cena]],0)</f>
        <v>1357</v>
      </c>
      <c r="X93" t="str">
        <f>INDEX(sala!G:G, MATCH(Tabla8[[#This Row],[Numero de Orden]], sala!K:K, 0))</f>
        <v>Desayuno</v>
      </c>
      <c r="Y93" t="str">
        <f>'Conjunto de Datos'!J94</f>
        <v>Cobrada</v>
      </c>
      <c r="Z93" t="str">
        <f>INDEX(sala!H:H, MATCH(Tabla8[[#This Row],[Numero de Orden]], sala!K:K, 0))</f>
        <v>Tarjeta de crédito</v>
      </c>
      <c r="AA93" s="3">
        <f>'Conjunto de Datos'!D94</f>
        <v>45017</v>
      </c>
      <c r="AB93" t="str">
        <f>INDEX(sala!L:L, MATCH(Tabla8[[#This Row],[Numero de Orden]], sala!K:K, 0))</f>
        <v>Venezuela</v>
      </c>
      <c r="AC93" t="str">
        <f>'Conjunto de Datos'!N94</f>
        <v>Mesero_2</v>
      </c>
      <c r="AD93">
        <f>Tabla8[[#This Row],[Propina]]+Tabla8[[#This Row],[Precio Cena]]</f>
        <v>1357</v>
      </c>
      <c r="AE93" s="45">
        <f t="shared" si="2"/>
        <v>82</v>
      </c>
    </row>
    <row r="94" spans="1:31" x14ac:dyDescent="0.3">
      <c r="S94" s="15" t="str">
        <f>'Conjunto de Datos'!BB95</f>
        <v>612</v>
      </c>
      <c r="T94" s="15">
        <f>'Conjunto de Datos'!BF95</f>
        <v>93</v>
      </c>
      <c r="U94" s="6">
        <f>sala!I94</f>
        <v>4566</v>
      </c>
      <c r="V94" cm="1">
        <f t="array" ref="V94">SUM(IF(Cocina!A:A=Tabla8[[#This Row],[Numero de Orden]],Cocina!F:F*Cocina!G:G,0))</f>
        <v>29</v>
      </c>
      <c r="W94">
        <f>IF(Tabla8[[#This Row],[Cobrado]]="Cobrada",Tabla8[[#This Row],[Propina]]+Tabla8[[#This Row],[Precio Cena]],0)</f>
        <v>4595</v>
      </c>
      <c r="X94" t="str">
        <f>INDEX(sala!G:G, MATCH(Tabla8[[#This Row],[Numero de Orden]], sala!K:K, 0))</f>
        <v>Almuerzo</v>
      </c>
      <c r="Y94" t="str">
        <f>'Conjunto de Datos'!J95</f>
        <v>Cobrada</v>
      </c>
      <c r="Z94" t="str">
        <f>INDEX(sala!H:H, MATCH(Tabla8[[#This Row],[Numero de Orden]], sala!K:K, 0))</f>
        <v>Tarjeta de crédito</v>
      </c>
      <c r="AA94" s="3">
        <f>'Conjunto de Datos'!D95</f>
        <v>45017</v>
      </c>
      <c r="AB94" t="str">
        <f>INDEX(sala!L:L, MATCH(Tabla8[[#This Row],[Numero de Orden]], sala!K:K, 0))</f>
        <v>Perú</v>
      </c>
      <c r="AC94" t="str">
        <f>'Conjunto de Datos'!N95</f>
        <v>Mesero_2</v>
      </c>
      <c r="AD94">
        <f>Tabla8[[#This Row],[Propina]]+Tabla8[[#This Row],[Precio Cena]]</f>
        <v>4595</v>
      </c>
      <c r="AE94" s="45">
        <f t="shared" si="2"/>
        <v>29</v>
      </c>
    </row>
    <row r="95" spans="1:31" x14ac:dyDescent="0.3">
      <c r="S95" t="str">
        <f>'Conjunto de Datos'!BB96</f>
        <v>452</v>
      </c>
      <c r="T95">
        <f>'Conjunto de Datos'!BF96</f>
        <v>94</v>
      </c>
      <c r="U95" s="7">
        <f>sala!I95</f>
        <v>2836</v>
      </c>
      <c r="V95" cm="1">
        <f t="array" ref="V95">SUM(IF(Cocina!A:A=Tabla8[[#This Row],[Numero de Orden]],Cocina!F:F*Cocina!G:G,0))</f>
        <v>253</v>
      </c>
      <c r="W95">
        <f>IF(Tabla8[[#This Row],[Cobrado]]="Cobrada",Tabla8[[#This Row],[Propina]]+Tabla8[[#This Row],[Precio Cena]],0)</f>
        <v>3089</v>
      </c>
      <c r="X95" t="str">
        <f>INDEX(sala!G:G, MATCH(Tabla8[[#This Row],[Numero de Orden]], sala!K:K, 0))</f>
        <v>Almuerzo</v>
      </c>
      <c r="Y95" t="str">
        <f>'Conjunto de Datos'!J96</f>
        <v>Cobrada</v>
      </c>
      <c r="Z95" t="str">
        <f>INDEX(sala!H:H, MATCH(Tabla8[[#This Row],[Numero de Orden]], sala!K:K, 0))</f>
        <v>Tarjeta de crédito</v>
      </c>
      <c r="AA95" s="3">
        <f>'Conjunto de Datos'!D96</f>
        <v>45017</v>
      </c>
      <c r="AB95" t="str">
        <f>INDEX(sala!L:L, MATCH(Tabla8[[#This Row],[Numero de Orden]], sala!K:K, 0))</f>
        <v>Chile</v>
      </c>
      <c r="AC95" t="str">
        <f>'Conjunto de Datos'!N96</f>
        <v>Mesero_4</v>
      </c>
      <c r="AD95">
        <f>Tabla8[[#This Row],[Propina]]+Tabla8[[#This Row],[Precio Cena]]</f>
        <v>3089</v>
      </c>
      <c r="AE95" s="45">
        <f t="shared" si="2"/>
        <v>253</v>
      </c>
    </row>
    <row r="96" spans="1:31" x14ac:dyDescent="0.3">
      <c r="S96" s="15" t="str">
        <f>'Conjunto de Datos'!BB97</f>
        <v>244</v>
      </c>
      <c r="T96" s="15">
        <f>'Conjunto de Datos'!BF97</f>
        <v>95</v>
      </c>
      <c r="U96" s="6">
        <f>sala!I96</f>
        <v>2468</v>
      </c>
      <c r="V96" cm="1">
        <f t="array" ref="V96">SUM(IF(Cocina!A:A=Tabla8[[#This Row],[Numero de Orden]],Cocina!F:F*Cocina!G:G,0))</f>
        <v>153</v>
      </c>
      <c r="W96">
        <f>IF(Tabla8[[#This Row],[Cobrado]]="Cobrada",Tabla8[[#This Row],[Propina]]+Tabla8[[#This Row],[Precio Cena]],0)</f>
        <v>2621</v>
      </c>
      <c r="X96" t="str">
        <f>INDEX(sala!G:G, MATCH(Tabla8[[#This Row],[Numero de Orden]], sala!K:K, 0))</f>
        <v>Cena</v>
      </c>
      <c r="Y96" t="str">
        <f>'Conjunto de Datos'!J97</f>
        <v>Cobrada</v>
      </c>
      <c r="Z96" t="str">
        <f>INDEX(sala!H:H, MATCH(Tabla8[[#This Row],[Numero de Orden]], sala!K:K, 0))</f>
        <v>Tarjeta de crédito</v>
      </c>
      <c r="AA96" s="3">
        <f>'Conjunto de Datos'!D97</f>
        <v>45017</v>
      </c>
      <c r="AB96" t="str">
        <f>INDEX(sala!L:L, MATCH(Tabla8[[#This Row],[Numero de Orden]], sala!K:K, 0))</f>
        <v>España</v>
      </c>
      <c r="AC96" t="str">
        <f>'Conjunto de Datos'!N97</f>
        <v>Mesero_2</v>
      </c>
      <c r="AD96">
        <f>Tabla8[[#This Row],[Propina]]+Tabla8[[#This Row],[Precio Cena]]</f>
        <v>2621</v>
      </c>
      <c r="AE96" s="45">
        <f t="shared" si="2"/>
        <v>153</v>
      </c>
    </row>
    <row r="97" spans="1:31" x14ac:dyDescent="0.3">
      <c r="S97" t="str">
        <f>'Conjunto de Datos'!BB98</f>
        <v>840</v>
      </c>
      <c r="T97">
        <f>'Conjunto de Datos'!BF98</f>
        <v>96</v>
      </c>
      <c r="U97" s="7">
        <f>sala!I97</f>
        <v>3363</v>
      </c>
      <c r="V97" cm="1">
        <f t="array" ref="V97">SUM(IF(Cocina!A:A=Tabla8[[#This Row],[Numero de Orden]],Cocina!F:F*Cocina!G:G,0))</f>
        <v>176</v>
      </c>
      <c r="W97">
        <f>IF(Tabla8[[#This Row],[Cobrado]]="Cobrada",Tabla8[[#This Row],[Propina]]+Tabla8[[#This Row],[Precio Cena]],0)</f>
        <v>3539</v>
      </c>
      <c r="X97" t="str">
        <f>INDEX(sala!G:G, MATCH(Tabla8[[#This Row],[Numero de Orden]], sala!K:K, 0))</f>
        <v>Desayuno</v>
      </c>
      <c r="Y97" t="str">
        <f>'Conjunto de Datos'!J98</f>
        <v>Cobrada</v>
      </c>
      <c r="Z97" t="str">
        <f>INDEX(sala!H:H, MATCH(Tabla8[[#This Row],[Numero de Orden]], sala!K:K, 0))</f>
        <v>Tarjeta de crédito</v>
      </c>
      <c r="AA97" s="3">
        <f>'Conjunto de Datos'!D98</f>
        <v>45017</v>
      </c>
      <c r="AB97" t="str">
        <f>INDEX(sala!L:L, MATCH(Tabla8[[#This Row],[Numero de Orden]], sala!K:K, 0))</f>
        <v>Bolivia</v>
      </c>
      <c r="AC97" t="str">
        <f>'Conjunto de Datos'!N98</f>
        <v>Mesero_4</v>
      </c>
      <c r="AD97">
        <f>Tabla8[[#This Row],[Propina]]+Tabla8[[#This Row],[Precio Cena]]</f>
        <v>3539</v>
      </c>
      <c r="AE97" s="45">
        <f t="shared" si="2"/>
        <v>176</v>
      </c>
    </row>
    <row r="98" spans="1:31" x14ac:dyDescent="0.3">
      <c r="A98" s="16" t="s">
        <v>665</v>
      </c>
      <c r="B98" s="17" t="s">
        <v>667</v>
      </c>
      <c r="S98" s="15" t="str">
        <f>'Conjunto de Datos'!BB99</f>
        <v>993</v>
      </c>
      <c r="T98" s="15">
        <f>'Conjunto de Datos'!BF99</f>
        <v>97</v>
      </c>
      <c r="U98" s="6">
        <f>sala!I98</f>
        <v>1922</v>
      </c>
      <c r="V98" cm="1">
        <f t="array" ref="V98">SUM(IF(Cocina!A:A=Tabla8[[#This Row],[Numero de Orden]],Cocina!F:F*Cocina!G:G,0))</f>
        <v>188</v>
      </c>
      <c r="W98">
        <f>IF(Tabla8[[#This Row],[Cobrado]]="Cobrada",Tabla8[[#This Row],[Propina]]+Tabla8[[#This Row],[Precio Cena]],0)</f>
        <v>2110</v>
      </c>
      <c r="X98" t="str">
        <f>INDEX(sala!G:G, MATCH(Tabla8[[#This Row],[Numero de Orden]], sala!K:K, 0))</f>
        <v>Cena</v>
      </c>
      <c r="Y98" t="str">
        <f>'Conjunto de Datos'!J99</f>
        <v>Cobrada</v>
      </c>
      <c r="Z98" t="str">
        <f>INDEX(sala!H:H, MATCH(Tabla8[[#This Row],[Numero de Orden]], sala!K:K, 0))</f>
        <v>Tarjeta de crédito</v>
      </c>
      <c r="AA98" s="3">
        <f>'Conjunto de Datos'!D99</f>
        <v>45017</v>
      </c>
      <c r="AB98" t="str">
        <f>INDEX(sala!L:L, MATCH(Tabla8[[#This Row],[Numero de Orden]], sala!K:K, 0))</f>
        <v>Ecuador</v>
      </c>
      <c r="AC98" t="str">
        <f>'Conjunto de Datos'!N99</f>
        <v>Mesero_2</v>
      </c>
      <c r="AD98">
        <f>Tabla8[[#This Row],[Propina]]+Tabla8[[#This Row],[Precio Cena]]</f>
        <v>2110</v>
      </c>
      <c r="AE98" s="45">
        <f t="shared" si="2"/>
        <v>188</v>
      </c>
    </row>
    <row r="99" spans="1:31" x14ac:dyDescent="0.3">
      <c r="A99" s="20">
        <v>45017</v>
      </c>
      <c r="B99" s="18">
        <f t="shared" ref="B99:B105" si="4">COUNTIFS(Y:Y, "No Cobrada",AA:AA,A99)</f>
        <v>15</v>
      </c>
      <c r="S99" t="str">
        <f>'Conjunto de Datos'!BB100</f>
        <v>29</v>
      </c>
      <c r="T99">
        <f>'Conjunto de Datos'!BF100</f>
        <v>98</v>
      </c>
      <c r="U99" s="7">
        <f>sala!I99</f>
        <v>1715</v>
      </c>
      <c r="V99" cm="1">
        <f t="array" ref="V99">SUM(IF(Cocina!A:A=Tabla8[[#This Row],[Numero de Orden]],Cocina!F:F*Cocina!G:G,0))</f>
        <v>166</v>
      </c>
      <c r="W99">
        <f>IF(Tabla8[[#This Row],[Cobrado]]="Cobrada",Tabla8[[#This Row],[Propina]]+Tabla8[[#This Row],[Precio Cena]],0)</f>
        <v>1881</v>
      </c>
      <c r="X99" t="str">
        <f>INDEX(sala!G:G, MATCH(Tabla8[[#This Row],[Numero de Orden]], sala!K:K, 0))</f>
        <v>Almuerzo</v>
      </c>
      <c r="Y99" t="str">
        <f>'Conjunto de Datos'!J100</f>
        <v>Cobrada</v>
      </c>
      <c r="Z99" t="str">
        <f>INDEX(sala!H:H, MATCH(Tabla8[[#This Row],[Numero de Orden]], sala!K:K, 0))</f>
        <v>Tarjeta de crédito</v>
      </c>
      <c r="AA99" s="3">
        <f>'Conjunto de Datos'!D100</f>
        <v>45017</v>
      </c>
      <c r="AB99" t="str">
        <f>INDEX(sala!L:L, MATCH(Tabla8[[#This Row],[Numero de Orden]], sala!K:K, 0))</f>
        <v>Bolivia</v>
      </c>
      <c r="AC99" t="str">
        <f>'Conjunto de Datos'!N100</f>
        <v>Mesero_5</v>
      </c>
      <c r="AD99">
        <f>Tabla8[[#This Row],[Propina]]+Tabla8[[#This Row],[Precio Cena]]</f>
        <v>1881</v>
      </c>
      <c r="AE99" s="45">
        <f t="shared" si="2"/>
        <v>166</v>
      </c>
    </row>
    <row r="100" spans="1:31" x14ac:dyDescent="0.3">
      <c r="A100" s="21">
        <v>45018</v>
      </c>
      <c r="B100" s="19">
        <f t="shared" si="4"/>
        <v>27</v>
      </c>
      <c r="S100" s="15" t="str">
        <f>'Conjunto de Datos'!BB101</f>
        <v>873</v>
      </c>
      <c r="T100" s="15">
        <f>'Conjunto de Datos'!BF101</f>
        <v>99</v>
      </c>
      <c r="U100" s="6">
        <f>sala!I100</f>
        <v>3355</v>
      </c>
      <c r="V100" cm="1">
        <f t="array" ref="V100">SUM(IF(Cocina!A:A=Tabla8[[#This Row],[Numero de Orden]],Cocina!F:F*Cocina!G:G,0))</f>
        <v>139</v>
      </c>
      <c r="W100">
        <f>IF(Tabla8[[#This Row],[Cobrado]]="Cobrada",Tabla8[[#This Row],[Propina]]+Tabla8[[#This Row],[Precio Cena]],0)</f>
        <v>3494</v>
      </c>
      <c r="X100" t="str">
        <f>INDEX(sala!G:G, MATCH(Tabla8[[#This Row],[Numero de Orden]], sala!K:K, 0))</f>
        <v>Almuerzo</v>
      </c>
      <c r="Y100" t="str">
        <f>'Conjunto de Datos'!J101</f>
        <v>Cobrada</v>
      </c>
      <c r="Z100" t="str">
        <f>INDEX(sala!H:H, MATCH(Tabla8[[#This Row],[Numero de Orden]], sala!K:K, 0))</f>
        <v>Tarjeta de crédito</v>
      </c>
      <c r="AA100" s="3">
        <f>'Conjunto de Datos'!D101</f>
        <v>45017</v>
      </c>
      <c r="AB100" t="str">
        <f>INDEX(sala!L:L, MATCH(Tabla8[[#This Row],[Numero de Orden]], sala!K:K, 0))</f>
        <v>Chile</v>
      </c>
      <c r="AC100" t="str">
        <f>'Conjunto de Datos'!N101</f>
        <v>Mesero_2</v>
      </c>
      <c r="AD100">
        <f>Tabla8[[#This Row],[Propina]]+Tabla8[[#This Row],[Precio Cena]]</f>
        <v>3494</v>
      </c>
      <c r="AE100" s="45">
        <f t="shared" si="2"/>
        <v>139</v>
      </c>
    </row>
    <row r="101" spans="1:31" x14ac:dyDescent="0.3">
      <c r="A101" s="20">
        <v>45019</v>
      </c>
      <c r="B101" s="18">
        <f t="shared" si="4"/>
        <v>12</v>
      </c>
      <c r="S101" t="str">
        <f>'Conjunto de Datos'!BB102</f>
        <v>965</v>
      </c>
      <c r="T101">
        <f>'Conjunto de Datos'!BF102</f>
        <v>100</v>
      </c>
      <c r="U101" s="7">
        <f>sala!I101</f>
        <v>1515</v>
      </c>
      <c r="V101" cm="1">
        <f t="array" ref="V101">SUM(IF(Cocina!A:A=Tabla8[[#This Row],[Numero de Orden]],Cocina!F:F*Cocina!G:G,0))</f>
        <v>166</v>
      </c>
      <c r="W101">
        <f>IF(Tabla8[[#This Row],[Cobrado]]="Cobrada",Tabla8[[#This Row],[Propina]]+Tabla8[[#This Row],[Precio Cena]],0)</f>
        <v>1681</v>
      </c>
      <c r="X101" t="str">
        <f>INDEX(sala!G:G, MATCH(Tabla8[[#This Row],[Numero de Orden]], sala!K:K, 0))</f>
        <v>Almuerzo</v>
      </c>
      <c r="Y101" t="str">
        <f>'Conjunto de Datos'!J102</f>
        <v>Cobrada</v>
      </c>
      <c r="Z101" t="str">
        <f>INDEX(sala!H:H, MATCH(Tabla8[[#This Row],[Numero de Orden]], sala!K:K, 0))</f>
        <v>Tarjeta de crédito</v>
      </c>
      <c r="AA101" s="3">
        <f>'Conjunto de Datos'!D102</f>
        <v>45017</v>
      </c>
      <c r="AB101" t="str">
        <f>INDEX(sala!L:L, MATCH(Tabla8[[#This Row],[Numero de Orden]], sala!K:K, 0))</f>
        <v>Paraguay</v>
      </c>
      <c r="AC101" t="str">
        <f>'Conjunto de Datos'!N102</f>
        <v>Mesero_1</v>
      </c>
      <c r="AD101">
        <f>Tabla8[[#This Row],[Propina]]+Tabla8[[#This Row],[Precio Cena]]</f>
        <v>1681</v>
      </c>
      <c r="AE101" s="45">
        <f t="shared" si="2"/>
        <v>166</v>
      </c>
    </row>
    <row r="102" spans="1:31" x14ac:dyDescent="0.3">
      <c r="A102" s="21">
        <v>45020</v>
      </c>
      <c r="B102" s="19">
        <f t="shared" si="4"/>
        <v>1</v>
      </c>
      <c r="S102" s="15" t="str">
        <f>'Conjunto de Datos'!BB103</f>
        <v>313</v>
      </c>
      <c r="T102" s="15">
        <f>'Conjunto de Datos'!BF103</f>
        <v>101</v>
      </c>
      <c r="U102" s="6">
        <f>sala!I102</f>
        <v>1509</v>
      </c>
      <c r="V102" cm="1">
        <f t="array" ref="V102">SUM(IF(Cocina!A:A=Tabla8[[#This Row],[Numero de Orden]],Cocina!F:F*Cocina!G:G,0))</f>
        <v>138</v>
      </c>
      <c r="W102">
        <f>IF(Tabla8[[#This Row],[Cobrado]]="Cobrada",Tabla8[[#This Row],[Propina]]+Tabla8[[#This Row],[Precio Cena]],0)</f>
        <v>0</v>
      </c>
      <c r="X102" t="str">
        <f>INDEX(sala!G:G, MATCH(Tabla8[[#This Row],[Numero de Orden]], sala!K:K, 0))</f>
        <v>Almuerzo</v>
      </c>
      <c r="Y102" t="str">
        <f>'Conjunto de Datos'!J103</f>
        <v>No Cobrada</v>
      </c>
      <c r="Z102" t="str">
        <f>INDEX(sala!H:H, MATCH(Tabla8[[#This Row],[Numero de Orden]], sala!K:K, 0))</f>
        <v>Tarjeta de crédito</v>
      </c>
      <c r="AA102" s="3">
        <f>'Conjunto de Datos'!D103</f>
        <v>45017</v>
      </c>
      <c r="AB102" t="str">
        <f>INDEX(sala!L:L, MATCH(Tabla8[[#This Row],[Numero de Orden]], sala!K:K, 0))</f>
        <v>Venezuela</v>
      </c>
      <c r="AC102" t="str">
        <f>'Conjunto de Datos'!N103</f>
        <v>Mesero_4</v>
      </c>
      <c r="AD102">
        <f>Tabla8[[#This Row],[Propina]]+Tabla8[[#This Row],[Precio Cena]]</f>
        <v>1647</v>
      </c>
      <c r="AE102" s="45">
        <f t="shared" si="2"/>
        <v>0</v>
      </c>
    </row>
    <row r="103" spans="1:31" x14ac:dyDescent="0.3">
      <c r="A103" s="20">
        <v>45021</v>
      </c>
      <c r="B103" s="18">
        <f t="shared" si="4"/>
        <v>10</v>
      </c>
      <c r="S103" t="str">
        <f>'Conjunto de Datos'!BB104</f>
        <v>520</v>
      </c>
      <c r="T103">
        <f>'Conjunto de Datos'!BF104</f>
        <v>102</v>
      </c>
      <c r="U103" s="7">
        <f>sala!I103</f>
        <v>1265</v>
      </c>
      <c r="V103" cm="1">
        <f t="array" ref="V103">SUM(IF(Cocina!A:A=Tabla8[[#This Row],[Numero de Orden]],Cocina!F:F*Cocina!G:G,0))</f>
        <v>171</v>
      </c>
      <c r="W103">
        <f>IF(Tabla8[[#This Row],[Cobrado]]="Cobrada",Tabla8[[#This Row],[Propina]]+Tabla8[[#This Row],[Precio Cena]],0)</f>
        <v>1436</v>
      </c>
      <c r="X103" t="str">
        <f>INDEX(sala!G:G, MATCH(Tabla8[[#This Row],[Numero de Orden]], sala!K:K, 0))</f>
        <v>Almuerzo</v>
      </c>
      <c r="Y103" t="str">
        <f>'Conjunto de Datos'!J104</f>
        <v>Cobrada</v>
      </c>
      <c r="Z103" t="str">
        <f>INDEX(sala!H:H, MATCH(Tabla8[[#This Row],[Numero de Orden]], sala!K:K, 0))</f>
        <v>Tarjeta de crédito</v>
      </c>
      <c r="AA103" s="3">
        <f>'Conjunto de Datos'!D104</f>
        <v>45017</v>
      </c>
      <c r="AB103" t="str">
        <f>INDEX(sala!L:L, MATCH(Tabla8[[#This Row],[Numero de Orden]], sala!K:K, 0))</f>
        <v>Venezuela</v>
      </c>
      <c r="AC103" t="str">
        <f>'Conjunto de Datos'!N104</f>
        <v>Mesero_3</v>
      </c>
      <c r="AD103">
        <f>Tabla8[[#This Row],[Propina]]+Tabla8[[#This Row],[Precio Cena]]</f>
        <v>1436</v>
      </c>
      <c r="AE103" s="45">
        <f t="shared" si="2"/>
        <v>171</v>
      </c>
    </row>
    <row r="104" spans="1:31" x14ac:dyDescent="0.3">
      <c r="A104" s="21">
        <v>45022</v>
      </c>
      <c r="B104" s="19">
        <f t="shared" si="4"/>
        <v>22</v>
      </c>
      <c r="S104" s="15" t="str">
        <f>'Conjunto de Datos'!BB105</f>
        <v>388</v>
      </c>
      <c r="T104" s="15">
        <f>'Conjunto de Datos'!BF105</f>
        <v>103</v>
      </c>
      <c r="U104" s="6">
        <f>sala!I104</f>
        <v>2675</v>
      </c>
      <c r="V104" cm="1">
        <f t="array" ref="V104">SUM(IF(Cocina!A:A=Tabla8[[#This Row],[Numero de Orden]],Cocina!F:F*Cocina!G:G,0))</f>
        <v>73</v>
      </c>
      <c r="W104">
        <f>IF(Tabla8[[#This Row],[Cobrado]]="Cobrada",Tabla8[[#This Row],[Propina]]+Tabla8[[#This Row],[Precio Cena]],0)</f>
        <v>2748</v>
      </c>
      <c r="X104" t="str">
        <f>INDEX(sala!G:G, MATCH(Tabla8[[#This Row],[Numero de Orden]], sala!K:K, 0))</f>
        <v>Almuerzo</v>
      </c>
      <c r="Y104" t="str">
        <f>'Conjunto de Datos'!J105</f>
        <v>Cobrada</v>
      </c>
      <c r="Z104" t="str">
        <f>INDEX(sala!H:H, MATCH(Tabla8[[#This Row],[Numero de Orden]], sala!K:K, 0))</f>
        <v>Tarjeta de débito</v>
      </c>
      <c r="AA104" s="3">
        <f>'Conjunto de Datos'!D105</f>
        <v>45017</v>
      </c>
      <c r="AB104" t="str">
        <f>INDEX(sala!L:L, MATCH(Tabla8[[#This Row],[Numero de Orden]], sala!K:K, 0))</f>
        <v>Brasil</v>
      </c>
      <c r="AC104" t="str">
        <f>'Conjunto de Datos'!N105</f>
        <v>Mesero_4</v>
      </c>
      <c r="AD104">
        <f>Tabla8[[#This Row],[Propina]]+Tabla8[[#This Row],[Precio Cena]]</f>
        <v>2748</v>
      </c>
      <c r="AE104" s="45">
        <f t="shared" si="2"/>
        <v>73</v>
      </c>
    </row>
    <row r="105" spans="1:31" x14ac:dyDescent="0.3">
      <c r="A105" s="20">
        <v>45023</v>
      </c>
      <c r="B105" s="18">
        <f t="shared" si="4"/>
        <v>12</v>
      </c>
      <c r="S105" t="str">
        <f>'Conjunto de Datos'!BB106</f>
        <v>384</v>
      </c>
      <c r="T105">
        <f>'Conjunto de Datos'!BF106</f>
        <v>104</v>
      </c>
      <c r="U105" s="7">
        <f>sala!I105</f>
        <v>1112</v>
      </c>
      <c r="V105" cm="1">
        <f t="array" ref="V105">SUM(IF(Cocina!A:A=Tabla8[[#This Row],[Numero de Orden]],Cocina!F:F*Cocina!G:G,0))</f>
        <v>77</v>
      </c>
      <c r="W105">
        <f>IF(Tabla8[[#This Row],[Cobrado]]="Cobrada",Tabla8[[#This Row],[Propina]]+Tabla8[[#This Row],[Precio Cena]],0)</f>
        <v>1189</v>
      </c>
      <c r="X105" t="str">
        <f>INDEX(sala!G:G, MATCH(Tabla8[[#This Row],[Numero de Orden]], sala!K:K, 0))</f>
        <v>Desayuno</v>
      </c>
      <c r="Y105" t="str">
        <f>'Conjunto de Datos'!J106</f>
        <v>Cobrada</v>
      </c>
      <c r="Z105" t="str">
        <f>INDEX(sala!H:H, MATCH(Tabla8[[#This Row],[Numero de Orden]], sala!K:K, 0))</f>
        <v>Tarjeta de débito</v>
      </c>
      <c r="AA105" s="3">
        <f>'Conjunto de Datos'!D106</f>
        <v>45017</v>
      </c>
      <c r="AB105" t="str">
        <f>INDEX(sala!L:L, MATCH(Tabla8[[#This Row],[Numero de Orden]], sala!K:K, 0))</f>
        <v>Uruguay</v>
      </c>
      <c r="AC105" t="str">
        <f>'Conjunto de Datos'!N106</f>
        <v>Mesero_3</v>
      </c>
      <c r="AD105">
        <f>Tabla8[[#This Row],[Propina]]+Tabla8[[#This Row],[Precio Cena]]</f>
        <v>1189</v>
      </c>
      <c r="AE105" s="45">
        <f t="shared" si="2"/>
        <v>77</v>
      </c>
    </row>
    <row r="106" spans="1:31" x14ac:dyDescent="0.3">
      <c r="S106" s="15" t="str">
        <f>'Conjunto de Datos'!BB107</f>
        <v>517</v>
      </c>
      <c r="T106" s="15">
        <f>'Conjunto de Datos'!BF107</f>
        <v>105</v>
      </c>
      <c r="U106" s="6">
        <f>sala!I106</f>
        <v>1564</v>
      </c>
      <c r="V106" cm="1">
        <f t="array" ref="V106">SUM(IF(Cocina!A:A=Tabla8[[#This Row],[Numero de Orden]],Cocina!F:F*Cocina!G:G,0))</f>
        <v>141</v>
      </c>
      <c r="W106">
        <f>IF(Tabla8[[#This Row],[Cobrado]]="Cobrada",Tabla8[[#This Row],[Propina]]+Tabla8[[#This Row],[Precio Cena]],0)</f>
        <v>1705</v>
      </c>
      <c r="X106" t="str">
        <f>INDEX(sala!G:G, MATCH(Tabla8[[#This Row],[Numero de Orden]], sala!K:K, 0))</f>
        <v>Almuerzo</v>
      </c>
      <c r="Y106" t="str">
        <f>'Conjunto de Datos'!J107</f>
        <v>Cobrada</v>
      </c>
      <c r="Z106" t="str">
        <f>INDEX(sala!H:H, MATCH(Tabla8[[#This Row],[Numero de Orden]], sala!K:K, 0))</f>
        <v>Tarjeta de crédito</v>
      </c>
      <c r="AA106" s="3">
        <f>'Conjunto de Datos'!D107</f>
        <v>45017</v>
      </c>
      <c r="AB106" t="str">
        <f>INDEX(sala!L:L, MATCH(Tabla8[[#This Row],[Numero de Orden]], sala!K:K, 0))</f>
        <v>Brasil</v>
      </c>
      <c r="AC106" t="str">
        <f>'Conjunto de Datos'!N107</f>
        <v>Mesero_3</v>
      </c>
      <c r="AD106">
        <f>Tabla8[[#This Row],[Propina]]+Tabla8[[#This Row],[Precio Cena]]</f>
        <v>1705</v>
      </c>
      <c r="AE106" s="45">
        <f t="shared" si="2"/>
        <v>141</v>
      </c>
    </row>
    <row r="107" spans="1:31" x14ac:dyDescent="0.3">
      <c r="S107" t="str">
        <f>'Conjunto de Datos'!BB108</f>
        <v>711</v>
      </c>
      <c r="T107">
        <f>'Conjunto de Datos'!BF108</f>
        <v>106</v>
      </c>
      <c r="U107" s="7">
        <f>sala!I107</f>
        <v>2272</v>
      </c>
      <c r="V107" cm="1">
        <f t="array" ref="V107">SUM(IF(Cocina!A:A=Tabla8[[#This Row],[Numero de Orden]],Cocina!F:F*Cocina!G:G,0))</f>
        <v>68</v>
      </c>
      <c r="W107">
        <f>IF(Tabla8[[#This Row],[Cobrado]]="Cobrada",Tabla8[[#This Row],[Propina]]+Tabla8[[#This Row],[Precio Cena]],0)</f>
        <v>2340</v>
      </c>
      <c r="X107" t="str">
        <f>INDEX(sala!G:G, MATCH(Tabla8[[#This Row],[Numero de Orden]], sala!K:K, 0))</f>
        <v>Desayuno</v>
      </c>
      <c r="Y107" t="str">
        <f>'Conjunto de Datos'!J108</f>
        <v>Cobrada</v>
      </c>
      <c r="Z107" t="str">
        <f>INDEX(sala!H:H, MATCH(Tabla8[[#This Row],[Numero de Orden]], sala!K:K, 0))</f>
        <v>Efectivo</v>
      </c>
      <c r="AA107" s="3">
        <f>'Conjunto de Datos'!D108</f>
        <v>45017</v>
      </c>
      <c r="AB107" t="str">
        <f>INDEX(sala!L:L, MATCH(Tabla8[[#This Row],[Numero de Orden]], sala!K:K, 0))</f>
        <v>Uruguay</v>
      </c>
      <c r="AC107" t="str">
        <f>'Conjunto de Datos'!N108</f>
        <v>Mesero_4</v>
      </c>
      <c r="AD107">
        <f>Tabla8[[#This Row],[Propina]]+Tabla8[[#This Row],[Precio Cena]]</f>
        <v>2340</v>
      </c>
      <c r="AE107" s="45">
        <f t="shared" si="2"/>
        <v>68</v>
      </c>
    </row>
    <row r="108" spans="1:31" x14ac:dyDescent="0.3">
      <c r="S108" s="15" t="str">
        <f>'Conjunto de Datos'!BB109</f>
        <v>651</v>
      </c>
      <c r="T108" s="15">
        <f>'Conjunto de Datos'!BF109</f>
        <v>107</v>
      </c>
      <c r="U108" s="6">
        <f>sala!I108</f>
        <v>4877</v>
      </c>
      <c r="V108" cm="1">
        <f t="array" ref="V108">SUM(IF(Cocina!A:A=Tabla8[[#This Row],[Numero de Orden]],Cocina!F:F*Cocina!G:G,0))</f>
        <v>253</v>
      </c>
      <c r="W108">
        <f>IF(Tabla8[[#This Row],[Cobrado]]="Cobrada",Tabla8[[#This Row],[Propina]]+Tabla8[[#This Row],[Precio Cena]],0)</f>
        <v>0</v>
      </c>
      <c r="X108" t="str">
        <f>INDEX(sala!G:G, MATCH(Tabla8[[#This Row],[Numero de Orden]], sala!K:K, 0))</f>
        <v>Almuerzo</v>
      </c>
      <c r="Y108" t="str">
        <f>'Conjunto de Datos'!J109</f>
        <v>No Cobrada</v>
      </c>
      <c r="Z108" t="str">
        <f>INDEX(sala!H:H, MATCH(Tabla8[[#This Row],[Numero de Orden]], sala!K:K, 0))</f>
        <v>Tarjeta de débito</v>
      </c>
      <c r="AA108" s="3">
        <f>'Conjunto de Datos'!D109</f>
        <v>45017</v>
      </c>
      <c r="AB108" t="str">
        <f>INDEX(sala!L:L, MATCH(Tabla8[[#This Row],[Numero de Orden]], sala!K:K, 0))</f>
        <v>Bolivia</v>
      </c>
      <c r="AC108" t="str">
        <f>'Conjunto de Datos'!N109</f>
        <v>Mesero_2</v>
      </c>
      <c r="AD108">
        <f>Tabla8[[#This Row],[Propina]]+Tabla8[[#This Row],[Precio Cena]]</f>
        <v>5130</v>
      </c>
      <c r="AE108" s="45">
        <f t="shared" si="2"/>
        <v>0</v>
      </c>
    </row>
    <row r="109" spans="1:31" x14ac:dyDescent="0.3">
      <c r="S109" t="str">
        <f>'Conjunto de Datos'!BB110</f>
        <v>545</v>
      </c>
      <c r="T109">
        <f>'Conjunto de Datos'!BF110</f>
        <v>108</v>
      </c>
      <c r="U109" s="7">
        <f>sala!I109</f>
        <v>2326</v>
      </c>
      <c r="V109" cm="1">
        <f t="array" ref="V109">SUM(IF(Cocina!A:A=Tabla8[[#This Row],[Numero de Orden]],Cocina!F:F*Cocina!G:G,0))</f>
        <v>124</v>
      </c>
      <c r="W109">
        <f>IF(Tabla8[[#This Row],[Cobrado]]="Cobrada",Tabla8[[#This Row],[Propina]]+Tabla8[[#This Row],[Precio Cena]],0)</f>
        <v>2450</v>
      </c>
      <c r="X109" t="str">
        <f>INDEX(sala!G:G, MATCH(Tabla8[[#This Row],[Numero de Orden]], sala!K:K, 0))</f>
        <v>Desayuno</v>
      </c>
      <c r="Y109" t="str">
        <f>'Conjunto de Datos'!J110</f>
        <v>Cobrada</v>
      </c>
      <c r="Z109" t="str">
        <f>INDEX(sala!H:H, MATCH(Tabla8[[#This Row],[Numero de Orden]], sala!K:K, 0))</f>
        <v>Tarjeta de débito</v>
      </c>
      <c r="AA109" s="3">
        <f>'Conjunto de Datos'!D110</f>
        <v>45017</v>
      </c>
      <c r="AB109" t="str">
        <f>INDEX(sala!L:L, MATCH(Tabla8[[#This Row],[Numero de Orden]], sala!K:K, 0))</f>
        <v>Paraguay</v>
      </c>
      <c r="AC109" t="str">
        <f>'Conjunto de Datos'!N110</f>
        <v>Mesero_4</v>
      </c>
      <c r="AD109">
        <f>Tabla8[[#This Row],[Propina]]+Tabla8[[#This Row],[Precio Cena]]</f>
        <v>2450</v>
      </c>
      <c r="AE109" s="45">
        <f t="shared" si="2"/>
        <v>124</v>
      </c>
    </row>
    <row r="110" spans="1:31" x14ac:dyDescent="0.3">
      <c r="S110" s="15" t="str">
        <f>'Conjunto de Datos'!BB111</f>
        <v>116</v>
      </c>
      <c r="T110" s="15">
        <f>'Conjunto de Datos'!BF111</f>
        <v>109</v>
      </c>
      <c r="U110" s="6">
        <f>sala!I110</f>
        <v>4295</v>
      </c>
      <c r="V110" cm="1">
        <f t="array" ref="V110">SUM(IF(Cocina!A:A=Tabla8[[#This Row],[Numero de Orden]],Cocina!F:F*Cocina!G:G,0))</f>
        <v>169</v>
      </c>
      <c r="W110">
        <f>IF(Tabla8[[#This Row],[Cobrado]]="Cobrada",Tabla8[[#This Row],[Propina]]+Tabla8[[#This Row],[Precio Cena]],0)</f>
        <v>0</v>
      </c>
      <c r="X110" t="str">
        <f>INDEX(sala!G:G, MATCH(Tabla8[[#This Row],[Numero de Orden]], sala!K:K, 0))</f>
        <v>Desayuno</v>
      </c>
      <c r="Y110" t="str">
        <f>'Conjunto de Datos'!J111</f>
        <v>No Cobrada</v>
      </c>
      <c r="Z110" t="str">
        <f>INDEX(sala!H:H, MATCH(Tabla8[[#This Row],[Numero de Orden]], sala!K:K, 0))</f>
        <v>Tarjeta de crédito</v>
      </c>
      <c r="AA110" s="3">
        <f>'Conjunto de Datos'!D111</f>
        <v>45017</v>
      </c>
      <c r="AB110" t="str">
        <f>INDEX(sala!L:L, MATCH(Tabla8[[#This Row],[Numero de Orden]], sala!K:K, 0))</f>
        <v>Ecuador</v>
      </c>
      <c r="AC110" t="str">
        <f>'Conjunto de Datos'!N111</f>
        <v>Mesero_4</v>
      </c>
      <c r="AD110">
        <f>Tabla8[[#This Row],[Propina]]+Tabla8[[#This Row],[Precio Cena]]</f>
        <v>4464</v>
      </c>
      <c r="AE110" s="45">
        <f t="shared" si="2"/>
        <v>0</v>
      </c>
    </row>
    <row r="111" spans="1:31" x14ac:dyDescent="0.3">
      <c r="S111" t="str">
        <f>'Conjunto de Datos'!BB112</f>
        <v>170</v>
      </c>
      <c r="T111">
        <f>'Conjunto de Datos'!BF112</f>
        <v>110</v>
      </c>
      <c r="U111" s="7">
        <f>sala!I111</f>
        <v>4791</v>
      </c>
      <c r="V111" cm="1">
        <f t="array" ref="V111">SUM(IF(Cocina!A:A=Tabla8[[#This Row],[Numero de Orden]],Cocina!F:F*Cocina!G:G,0))</f>
        <v>163</v>
      </c>
      <c r="W111">
        <f>IF(Tabla8[[#This Row],[Cobrado]]="Cobrada",Tabla8[[#This Row],[Propina]]+Tabla8[[#This Row],[Precio Cena]],0)</f>
        <v>4954</v>
      </c>
      <c r="X111" t="str">
        <f>INDEX(sala!G:G, MATCH(Tabla8[[#This Row],[Numero de Orden]], sala!K:K, 0))</f>
        <v>Almuerzo</v>
      </c>
      <c r="Y111" t="str">
        <f>'Conjunto de Datos'!J112</f>
        <v>Cobrada</v>
      </c>
      <c r="Z111" t="str">
        <f>INDEX(sala!H:H, MATCH(Tabla8[[#This Row],[Numero de Orden]], sala!K:K, 0))</f>
        <v>Tarjeta de crédito</v>
      </c>
      <c r="AA111" s="3">
        <f>'Conjunto de Datos'!D112</f>
        <v>45017</v>
      </c>
      <c r="AB111" t="str">
        <f>INDEX(sala!L:L, MATCH(Tabla8[[#This Row],[Numero de Orden]], sala!K:K, 0))</f>
        <v>Paraguay</v>
      </c>
      <c r="AC111" t="str">
        <f>'Conjunto de Datos'!N112</f>
        <v>Mesero_1</v>
      </c>
      <c r="AD111">
        <f>Tabla8[[#This Row],[Propina]]+Tabla8[[#This Row],[Precio Cena]]</f>
        <v>4954</v>
      </c>
      <c r="AE111" s="45">
        <f t="shared" si="2"/>
        <v>163</v>
      </c>
    </row>
    <row r="112" spans="1:31" x14ac:dyDescent="0.3">
      <c r="S112" s="15" t="str">
        <f>'Conjunto de Datos'!BB113</f>
        <v>92</v>
      </c>
      <c r="T112" s="15">
        <f>'Conjunto de Datos'!BF113</f>
        <v>111</v>
      </c>
      <c r="U112" s="6">
        <f>sala!I112</f>
        <v>1882</v>
      </c>
      <c r="V112" cm="1">
        <f t="array" ref="V112">SUM(IF(Cocina!A:A=Tabla8[[#This Row],[Numero de Orden]],Cocina!F:F*Cocina!G:G,0))</f>
        <v>204</v>
      </c>
      <c r="W112">
        <f>IF(Tabla8[[#This Row],[Cobrado]]="Cobrada",Tabla8[[#This Row],[Propina]]+Tabla8[[#This Row],[Precio Cena]],0)</f>
        <v>2086</v>
      </c>
      <c r="X112" t="str">
        <f>INDEX(sala!G:G, MATCH(Tabla8[[#This Row],[Numero de Orden]], sala!K:K, 0))</f>
        <v>Desayuno</v>
      </c>
      <c r="Y112" t="str">
        <f>'Conjunto de Datos'!J113</f>
        <v>Cobrada</v>
      </c>
      <c r="Z112" t="str">
        <f>INDEX(sala!H:H, MATCH(Tabla8[[#This Row],[Numero de Orden]], sala!K:K, 0))</f>
        <v>Tarjeta de crédito</v>
      </c>
      <c r="AA112" s="3">
        <f>'Conjunto de Datos'!D113</f>
        <v>45017</v>
      </c>
      <c r="AB112" t="str">
        <f>INDEX(sala!L:L, MATCH(Tabla8[[#This Row],[Numero de Orden]], sala!K:K, 0))</f>
        <v>Ecuador</v>
      </c>
      <c r="AC112" t="str">
        <f>'Conjunto de Datos'!N113</f>
        <v>Mesero_3</v>
      </c>
      <c r="AD112">
        <f>Tabla8[[#This Row],[Propina]]+Tabla8[[#This Row],[Precio Cena]]</f>
        <v>2086</v>
      </c>
      <c r="AE112" s="45">
        <f t="shared" si="2"/>
        <v>204</v>
      </c>
    </row>
    <row r="113" spans="1:31" x14ac:dyDescent="0.3">
      <c r="S113" t="str">
        <f>'Conjunto de Datos'!BB114</f>
        <v>552</v>
      </c>
      <c r="T113">
        <f>'Conjunto de Datos'!BF114</f>
        <v>112</v>
      </c>
      <c r="U113" s="7">
        <f>sala!I113</f>
        <v>3536</v>
      </c>
      <c r="V113" cm="1">
        <f t="array" ref="V113">SUM(IF(Cocina!A:A=Tabla8[[#This Row],[Numero de Orden]],Cocina!F:F*Cocina!G:G,0))</f>
        <v>20</v>
      </c>
      <c r="W113">
        <f>IF(Tabla8[[#This Row],[Cobrado]]="Cobrada",Tabla8[[#This Row],[Propina]]+Tabla8[[#This Row],[Precio Cena]],0)</f>
        <v>3556</v>
      </c>
      <c r="X113" t="str">
        <f>INDEX(sala!G:G, MATCH(Tabla8[[#This Row],[Numero de Orden]], sala!K:K, 0))</f>
        <v>Cena</v>
      </c>
      <c r="Y113" t="str">
        <f>'Conjunto de Datos'!J114</f>
        <v>Cobrada</v>
      </c>
      <c r="Z113" t="str">
        <f>INDEX(sala!H:H, MATCH(Tabla8[[#This Row],[Numero de Orden]], sala!K:K, 0))</f>
        <v>Efectivo</v>
      </c>
      <c r="AA113" s="3">
        <f>'Conjunto de Datos'!D114</f>
        <v>45017</v>
      </c>
      <c r="AB113" t="str">
        <f>INDEX(sala!L:L, MATCH(Tabla8[[#This Row],[Numero de Orden]], sala!K:K, 0))</f>
        <v>Perú</v>
      </c>
      <c r="AC113" t="str">
        <f>'Conjunto de Datos'!N114</f>
        <v>Mesero_2</v>
      </c>
      <c r="AD113">
        <f>Tabla8[[#This Row],[Propina]]+Tabla8[[#This Row],[Precio Cena]]</f>
        <v>3556</v>
      </c>
      <c r="AE113" s="45">
        <f t="shared" si="2"/>
        <v>20</v>
      </c>
    </row>
    <row r="114" spans="1:31" x14ac:dyDescent="0.3">
      <c r="S114" s="15" t="str">
        <f>'Conjunto de Datos'!BB115</f>
        <v>627</v>
      </c>
      <c r="T114" s="15">
        <f>'Conjunto de Datos'!BF115</f>
        <v>113</v>
      </c>
      <c r="U114" s="6">
        <f>sala!I114</f>
        <v>2974</v>
      </c>
      <c r="V114" cm="1">
        <f t="array" ref="V114">SUM(IF(Cocina!A:A=Tabla8[[#This Row],[Numero de Orden]],Cocina!F:F*Cocina!G:G,0))</f>
        <v>68</v>
      </c>
      <c r="W114">
        <f>IF(Tabla8[[#This Row],[Cobrado]]="Cobrada",Tabla8[[#This Row],[Propina]]+Tabla8[[#This Row],[Precio Cena]],0)</f>
        <v>3042</v>
      </c>
      <c r="X114" t="str">
        <f>INDEX(sala!G:G, MATCH(Tabla8[[#This Row],[Numero de Orden]], sala!K:K, 0))</f>
        <v>Almuerzo</v>
      </c>
      <c r="Y114" t="str">
        <f>'Conjunto de Datos'!J115</f>
        <v>Cobrada</v>
      </c>
      <c r="Z114" t="str">
        <f>INDEX(sala!H:H, MATCH(Tabla8[[#This Row],[Numero de Orden]], sala!K:K, 0))</f>
        <v>Tarjeta de crédito</v>
      </c>
      <c r="AA114" s="3">
        <f>'Conjunto de Datos'!D115</f>
        <v>45017</v>
      </c>
      <c r="AB114" t="str">
        <f>INDEX(sala!L:L, MATCH(Tabla8[[#This Row],[Numero de Orden]], sala!K:K, 0))</f>
        <v>Brasil</v>
      </c>
      <c r="AC114" t="str">
        <f>'Conjunto de Datos'!N115</f>
        <v>Mesero_3</v>
      </c>
      <c r="AD114">
        <f>Tabla8[[#This Row],[Propina]]+Tabla8[[#This Row],[Precio Cena]]</f>
        <v>3042</v>
      </c>
      <c r="AE114" s="45">
        <f t="shared" si="2"/>
        <v>68</v>
      </c>
    </row>
    <row r="115" spans="1:31" x14ac:dyDescent="0.3">
      <c r="S115" t="str">
        <f>'Conjunto de Datos'!BB116</f>
        <v>588</v>
      </c>
      <c r="T115">
        <f>'Conjunto de Datos'!BF116</f>
        <v>114</v>
      </c>
      <c r="U115" s="7">
        <f>sala!I115</f>
        <v>3881</v>
      </c>
      <c r="V115" cm="1">
        <f t="array" ref="V115">SUM(IF(Cocina!A:A=Tabla8[[#This Row],[Numero de Orden]],Cocina!F:F*Cocina!G:G,0))</f>
        <v>253</v>
      </c>
      <c r="W115">
        <f>IF(Tabla8[[#This Row],[Cobrado]]="Cobrada",Tabla8[[#This Row],[Propina]]+Tabla8[[#This Row],[Precio Cena]],0)</f>
        <v>4134</v>
      </c>
      <c r="X115" t="str">
        <f>INDEX(sala!G:G, MATCH(Tabla8[[#This Row],[Numero de Orden]], sala!K:K, 0))</f>
        <v>Almuerzo</v>
      </c>
      <c r="Y115" t="str">
        <f>'Conjunto de Datos'!J116</f>
        <v>Cobrada</v>
      </c>
      <c r="Z115" t="str">
        <f>INDEX(sala!H:H, MATCH(Tabla8[[#This Row],[Numero de Orden]], sala!K:K, 0))</f>
        <v>Tarjeta de crédito</v>
      </c>
      <c r="AA115" s="3">
        <f>'Conjunto de Datos'!D116</f>
        <v>45017</v>
      </c>
      <c r="AB115" t="str">
        <f>INDEX(sala!L:L, MATCH(Tabla8[[#This Row],[Numero de Orden]], sala!K:K, 0))</f>
        <v>Chile</v>
      </c>
      <c r="AC115" t="str">
        <f>'Conjunto de Datos'!N116</f>
        <v>Mesero_1</v>
      </c>
      <c r="AD115">
        <f>Tabla8[[#This Row],[Propina]]+Tabla8[[#This Row],[Precio Cena]]</f>
        <v>4134</v>
      </c>
      <c r="AE115" s="45">
        <f t="shared" si="2"/>
        <v>253</v>
      </c>
    </row>
    <row r="116" spans="1:31" x14ac:dyDescent="0.3">
      <c r="S116" s="15" t="str">
        <f>'Conjunto de Datos'!BB117</f>
        <v>313</v>
      </c>
      <c r="T116" s="15">
        <f>'Conjunto de Datos'!BF117</f>
        <v>115</v>
      </c>
      <c r="U116" s="6">
        <f>sala!I116</f>
        <v>4646</v>
      </c>
      <c r="V116" cm="1">
        <f t="array" ref="V116">SUM(IF(Cocina!A:A=Tabla8[[#This Row],[Numero de Orden]],Cocina!F:F*Cocina!G:G,0))</f>
        <v>237</v>
      </c>
      <c r="W116">
        <f>IF(Tabla8[[#This Row],[Cobrado]]="Cobrada",Tabla8[[#This Row],[Propina]]+Tabla8[[#This Row],[Precio Cena]],0)</f>
        <v>4883</v>
      </c>
      <c r="X116" t="str">
        <f>INDEX(sala!G:G, MATCH(Tabla8[[#This Row],[Numero de Orden]], sala!K:K, 0))</f>
        <v>Cena</v>
      </c>
      <c r="Y116" t="str">
        <f>'Conjunto de Datos'!J117</f>
        <v>Cobrada</v>
      </c>
      <c r="Z116" t="str">
        <f>INDEX(sala!H:H, MATCH(Tabla8[[#This Row],[Numero de Orden]], sala!K:K, 0))</f>
        <v>Tarjeta de débito</v>
      </c>
      <c r="AA116" s="3">
        <f>'Conjunto de Datos'!D117</f>
        <v>45017</v>
      </c>
      <c r="AB116" t="str">
        <f>INDEX(sala!L:L, MATCH(Tabla8[[#This Row],[Numero de Orden]], sala!K:K, 0))</f>
        <v>Uruguay</v>
      </c>
      <c r="AC116" t="str">
        <f>'Conjunto de Datos'!N117</f>
        <v>Mesero_1</v>
      </c>
      <c r="AD116">
        <f>Tabla8[[#This Row],[Propina]]+Tabla8[[#This Row],[Precio Cena]]</f>
        <v>4883</v>
      </c>
      <c r="AE116" s="45">
        <f t="shared" si="2"/>
        <v>237</v>
      </c>
    </row>
    <row r="117" spans="1:31" x14ac:dyDescent="0.3">
      <c r="S117" t="str">
        <f>'Conjunto de Datos'!BB118</f>
        <v>949</v>
      </c>
      <c r="T117">
        <f>'Conjunto de Datos'!BF118</f>
        <v>116</v>
      </c>
      <c r="U117" s="7">
        <f>sala!I117</f>
        <v>4769</v>
      </c>
      <c r="V117" cm="1">
        <f t="array" ref="V117">SUM(IF(Cocina!A:A=Tabla8[[#This Row],[Numero de Orden]],Cocina!F:F*Cocina!G:G,0))</f>
        <v>269</v>
      </c>
      <c r="W117">
        <f>IF(Tabla8[[#This Row],[Cobrado]]="Cobrada",Tabla8[[#This Row],[Propina]]+Tabla8[[#This Row],[Precio Cena]],0)</f>
        <v>5038</v>
      </c>
      <c r="X117" t="str">
        <f>INDEX(sala!G:G, MATCH(Tabla8[[#This Row],[Numero de Orden]], sala!K:K, 0))</f>
        <v>Almuerzo</v>
      </c>
      <c r="Y117" t="str">
        <f>'Conjunto de Datos'!J118</f>
        <v>Cobrada</v>
      </c>
      <c r="Z117" t="str">
        <f>INDEX(sala!H:H, MATCH(Tabla8[[#This Row],[Numero de Orden]], sala!K:K, 0))</f>
        <v>Tarjeta de crédito</v>
      </c>
      <c r="AA117" s="3">
        <f>'Conjunto de Datos'!D118</f>
        <v>45017</v>
      </c>
      <c r="AB117" t="str">
        <f>INDEX(sala!L:L, MATCH(Tabla8[[#This Row],[Numero de Orden]], sala!K:K, 0))</f>
        <v>Chile</v>
      </c>
      <c r="AC117" t="str">
        <f>'Conjunto de Datos'!N118</f>
        <v>Mesero_1</v>
      </c>
      <c r="AD117">
        <f>Tabla8[[#This Row],[Propina]]+Tabla8[[#This Row],[Precio Cena]]</f>
        <v>5038</v>
      </c>
      <c r="AE117" s="45">
        <f t="shared" si="2"/>
        <v>269</v>
      </c>
    </row>
    <row r="118" spans="1:31" x14ac:dyDescent="0.3">
      <c r="S118" s="15" t="str">
        <f>'Conjunto de Datos'!BB119</f>
        <v>863</v>
      </c>
      <c r="T118" s="15">
        <f>'Conjunto de Datos'!BF119</f>
        <v>117</v>
      </c>
      <c r="U118" s="6">
        <f>sala!I118</f>
        <v>1165</v>
      </c>
      <c r="V118" cm="1">
        <f t="array" ref="V118">SUM(IF(Cocina!A:A=Tabla8[[#This Row],[Numero de Orden]],Cocina!F:F*Cocina!G:G,0))</f>
        <v>70</v>
      </c>
      <c r="W118">
        <f>IF(Tabla8[[#This Row],[Cobrado]]="Cobrada",Tabla8[[#This Row],[Propina]]+Tabla8[[#This Row],[Precio Cena]],0)</f>
        <v>1235</v>
      </c>
      <c r="X118" t="str">
        <f>INDEX(sala!G:G, MATCH(Tabla8[[#This Row],[Numero de Orden]], sala!K:K, 0))</f>
        <v>Desayuno</v>
      </c>
      <c r="Y118" t="str">
        <f>'Conjunto de Datos'!J119</f>
        <v>Cobrada</v>
      </c>
      <c r="Z118" t="str">
        <f>INDEX(sala!H:H, MATCH(Tabla8[[#This Row],[Numero de Orden]], sala!K:K, 0))</f>
        <v>Tarjeta de crédito</v>
      </c>
      <c r="AA118" s="3">
        <f>'Conjunto de Datos'!D119</f>
        <v>45017</v>
      </c>
      <c r="AB118" t="str">
        <f>INDEX(sala!L:L, MATCH(Tabla8[[#This Row],[Numero de Orden]], sala!K:K, 0))</f>
        <v>Chile</v>
      </c>
      <c r="AC118" t="str">
        <f>'Conjunto de Datos'!N119</f>
        <v>Mesero_3</v>
      </c>
      <c r="AD118">
        <f>Tabla8[[#This Row],[Propina]]+Tabla8[[#This Row],[Precio Cena]]</f>
        <v>1235</v>
      </c>
      <c r="AE118" s="45">
        <f t="shared" si="2"/>
        <v>70</v>
      </c>
    </row>
    <row r="119" spans="1:31" x14ac:dyDescent="0.3">
      <c r="S119" t="str">
        <f>'Conjunto de Datos'!BB120</f>
        <v>140</v>
      </c>
      <c r="T119">
        <f>'Conjunto de Datos'!BF120</f>
        <v>118</v>
      </c>
      <c r="U119" s="7">
        <f>sala!I119</f>
        <v>4932</v>
      </c>
      <c r="V119" cm="1">
        <f t="array" ref="V119">SUM(IF(Cocina!A:A=Tabla8[[#This Row],[Numero de Orden]],Cocina!F:F*Cocina!G:G,0))</f>
        <v>209</v>
      </c>
      <c r="W119">
        <f>IF(Tabla8[[#This Row],[Cobrado]]="Cobrada",Tabla8[[#This Row],[Propina]]+Tabla8[[#This Row],[Precio Cena]],0)</f>
        <v>0</v>
      </c>
      <c r="X119" t="str">
        <f>INDEX(sala!G:G, MATCH(Tabla8[[#This Row],[Numero de Orden]], sala!K:K, 0))</f>
        <v>Cena</v>
      </c>
      <c r="Y119" t="str">
        <f>'Conjunto de Datos'!J120</f>
        <v>No Cobrada</v>
      </c>
      <c r="Z119" t="str">
        <f>INDEX(sala!H:H, MATCH(Tabla8[[#This Row],[Numero de Orden]], sala!K:K, 0))</f>
        <v>Tarjeta de débito</v>
      </c>
      <c r="AA119" s="3">
        <f>'Conjunto de Datos'!D120</f>
        <v>45017</v>
      </c>
      <c r="AB119" t="str">
        <f>INDEX(sala!L:L, MATCH(Tabla8[[#This Row],[Numero de Orden]], sala!K:K, 0))</f>
        <v>Bolivia</v>
      </c>
      <c r="AC119" t="str">
        <f>'Conjunto de Datos'!N120</f>
        <v>Mesero_5</v>
      </c>
      <c r="AD119">
        <f>Tabla8[[#This Row],[Propina]]+Tabla8[[#This Row],[Precio Cena]]</f>
        <v>5141</v>
      </c>
      <c r="AE119" s="45">
        <f t="shared" si="2"/>
        <v>0</v>
      </c>
    </row>
    <row r="120" spans="1:31" x14ac:dyDescent="0.3">
      <c r="S120" s="15" t="str">
        <f>'Conjunto de Datos'!BB121</f>
        <v>523</v>
      </c>
      <c r="T120" s="15">
        <f>'Conjunto de Datos'!BF121</f>
        <v>119</v>
      </c>
      <c r="U120" s="6">
        <f>sala!I120</f>
        <v>115</v>
      </c>
      <c r="V120" cm="1">
        <f t="array" ref="V120">SUM(IF(Cocina!A:A=Tabla8[[#This Row],[Numero de Orden]],Cocina!F:F*Cocina!G:G,0))</f>
        <v>134</v>
      </c>
      <c r="W120">
        <f>IF(Tabla8[[#This Row],[Cobrado]]="Cobrada",Tabla8[[#This Row],[Propina]]+Tabla8[[#This Row],[Precio Cena]],0)</f>
        <v>249</v>
      </c>
      <c r="X120" t="str">
        <f>INDEX(sala!G:G, MATCH(Tabla8[[#This Row],[Numero de Orden]], sala!K:K, 0))</f>
        <v>Desayuno</v>
      </c>
      <c r="Y120" t="str">
        <f>'Conjunto de Datos'!J121</f>
        <v>Cobrada</v>
      </c>
      <c r="Z120" t="str">
        <f>INDEX(sala!H:H, MATCH(Tabla8[[#This Row],[Numero de Orden]], sala!K:K, 0))</f>
        <v>Tarjeta de crédito</v>
      </c>
      <c r="AA120" s="3">
        <f>'Conjunto de Datos'!D121</f>
        <v>45018</v>
      </c>
      <c r="AB120" t="str">
        <f>INDEX(sala!L:L, MATCH(Tabla8[[#This Row],[Numero de Orden]], sala!K:K, 0))</f>
        <v>Perú</v>
      </c>
      <c r="AC120" t="str">
        <f>'Conjunto de Datos'!N121</f>
        <v>Mesero_2</v>
      </c>
      <c r="AD120">
        <f>Tabla8[[#This Row],[Propina]]+Tabla8[[#This Row],[Precio Cena]]</f>
        <v>249</v>
      </c>
      <c r="AE120" s="45">
        <f t="shared" si="2"/>
        <v>134</v>
      </c>
    </row>
    <row r="121" spans="1:31" x14ac:dyDescent="0.3">
      <c r="S121" t="str">
        <f>'Conjunto de Datos'!BB122</f>
        <v>916</v>
      </c>
      <c r="T121">
        <f>'Conjunto de Datos'!BF122</f>
        <v>120</v>
      </c>
      <c r="U121" s="7">
        <f>sala!I121</f>
        <v>1251</v>
      </c>
      <c r="V121" cm="1">
        <f t="array" ref="V121">SUM(IF(Cocina!A:A=Tabla8[[#This Row],[Numero de Orden]],Cocina!F:F*Cocina!G:G,0))</f>
        <v>145</v>
      </c>
      <c r="W121">
        <f>IF(Tabla8[[#This Row],[Cobrado]]="Cobrada",Tabla8[[#This Row],[Propina]]+Tabla8[[#This Row],[Precio Cena]],0)</f>
        <v>0</v>
      </c>
      <c r="X121" t="str">
        <f>INDEX(sala!G:G, MATCH(Tabla8[[#This Row],[Numero de Orden]], sala!K:K, 0))</f>
        <v>Almuerzo</v>
      </c>
      <c r="Y121" t="str">
        <f>'Conjunto de Datos'!J122</f>
        <v>No Cobrada</v>
      </c>
      <c r="Z121" t="str">
        <f>INDEX(sala!H:H, MATCH(Tabla8[[#This Row],[Numero de Orden]], sala!K:K, 0))</f>
        <v>Efectivo</v>
      </c>
      <c r="AA121" s="3">
        <f>'Conjunto de Datos'!D122</f>
        <v>45018</v>
      </c>
      <c r="AB121" t="str">
        <f>INDEX(sala!L:L, MATCH(Tabla8[[#This Row],[Numero de Orden]], sala!K:K, 0))</f>
        <v>Uruguay</v>
      </c>
      <c r="AC121" t="str">
        <f>'Conjunto de Datos'!N122</f>
        <v>Mesero_1</v>
      </c>
      <c r="AD121">
        <f>Tabla8[[#This Row],[Propina]]+Tabla8[[#This Row],[Precio Cena]]</f>
        <v>1396</v>
      </c>
      <c r="AE121" s="45">
        <f t="shared" si="2"/>
        <v>0</v>
      </c>
    </row>
    <row r="122" spans="1:31" x14ac:dyDescent="0.3">
      <c r="S122" s="15" t="str">
        <f>'Conjunto de Datos'!BB123</f>
        <v>416</v>
      </c>
      <c r="T122" s="15">
        <f>'Conjunto de Datos'!BF123</f>
        <v>121</v>
      </c>
      <c r="U122" s="6">
        <f>sala!I122</f>
        <v>123</v>
      </c>
      <c r="V122" cm="1">
        <f t="array" ref="V122">SUM(IF(Cocina!A:A=Tabla8[[#This Row],[Numero de Orden]],Cocina!F:F*Cocina!G:G,0))</f>
        <v>52</v>
      </c>
      <c r="W122">
        <f>IF(Tabla8[[#This Row],[Cobrado]]="Cobrada",Tabla8[[#This Row],[Propina]]+Tabla8[[#This Row],[Precio Cena]],0)</f>
        <v>175</v>
      </c>
      <c r="X122" t="str">
        <f>INDEX(sala!G:G, MATCH(Tabla8[[#This Row],[Numero de Orden]], sala!K:K, 0))</f>
        <v>Almuerzo</v>
      </c>
      <c r="Y122" t="str">
        <f>'Conjunto de Datos'!J123</f>
        <v>Cobrada</v>
      </c>
      <c r="Z122" t="str">
        <f>INDEX(sala!H:H, MATCH(Tabla8[[#This Row],[Numero de Orden]], sala!K:K, 0))</f>
        <v>Tarjeta de crédito</v>
      </c>
      <c r="AA122" s="3">
        <f>'Conjunto de Datos'!D123</f>
        <v>45018</v>
      </c>
      <c r="AB122" t="str">
        <f>INDEX(sala!L:L, MATCH(Tabla8[[#This Row],[Numero de Orden]], sala!K:K, 0))</f>
        <v>Paraguay</v>
      </c>
      <c r="AC122" t="str">
        <f>'Conjunto de Datos'!N123</f>
        <v>Mesero_4</v>
      </c>
      <c r="AD122">
        <f>Tabla8[[#This Row],[Propina]]+Tabla8[[#This Row],[Precio Cena]]</f>
        <v>175</v>
      </c>
      <c r="AE122" s="45">
        <f t="shared" si="2"/>
        <v>52</v>
      </c>
    </row>
    <row r="123" spans="1:31" x14ac:dyDescent="0.3">
      <c r="S123" t="str">
        <f>'Conjunto de Datos'!BB124</f>
        <v>346</v>
      </c>
      <c r="T123">
        <f>'Conjunto de Datos'!BF124</f>
        <v>122</v>
      </c>
      <c r="U123" s="7">
        <f>sala!I123</f>
        <v>2038</v>
      </c>
      <c r="V123" cm="1">
        <f t="array" ref="V123">SUM(IF(Cocina!A:A=Tabla8[[#This Row],[Numero de Orden]],Cocina!F:F*Cocina!G:G,0))</f>
        <v>105</v>
      </c>
      <c r="W123">
        <f>IF(Tabla8[[#This Row],[Cobrado]]="Cobrada",Tabla8[[#This Row],[Propina]]+Tabla8[[#This Row],[Precio Cena]],0)</f>
        <v>2143</v>
      </c>
      <c r="X123" t="str">
        <f>INDEX(sala!G:G, MATCH(Tabla8[[#This Row],[Numero de Orden]], sala!K:K, 0))</f>
        <v>Almuerzo</v>
      </c>
      <c r="Y123" t="str">
        <f>'Conjunto de Datos'!J124</f>
        <v>Cobrada</v>
      </c>
      <c r="Z123" t="str">
        <f>INDEX(sala!H:H, MATCH(Tabla8[[#This Row],[Numero de Orden]], sala!K:K, 0))</f>
        <v>Tarjeta de débito</v>
      </c>
      <c r="AA123" s="3">
        <f>'Conjunto de Datos'!D124</f>
        <v>45018</v>
      </c>
      <c r="AB123" t="str">
        <f>INDEX(sala!L:L, MATCH(Tabla8[[#This Row],[Numero de Orden]], sala!K:K, 0))</f>
        <v>Colombia</v>
      </c>
      <c r="AC123" t="str">
        <f>'Conjunto de Datos'!N124</f>
        <v>Mesero_1</v>
      </c>
      <c r="AD123">
        <f>Tabla8[[#This Row],[Propina]]+Tabla8[[#This Row],[Precio Cena]]</f>
        <v>2143</v>
      </c>
      <c r="AE123" s="45">
        <f t="shared" si="2"/>
        <v>105</v>
      </c>
    </row>
    <row r="124" spans="1:31" x14ac:dyDescent="0.3">
      <c r="S124" s="15" t="str">
        <f>'Conjunto de Datos'!BB125</f>
        <v>381</v>
      </c>
      <c r="T124" s="15">
        <f>'Conjunto de Datos'!BF125</f>
        <v>123</v>
      </c>
      <c r="U124" s="6">
        <f>sala!I124</f>
        <v>4688</v>
      </c>
      <c r="V124" cm="1">
        <f t="array" ref="V124">SUM(IF(Cocina!A:A=Tabla8[[#This Row],[Numero de Orden]],Cocina!F:F*Cocina!G:G,0))</f>
        <v>24</v>
      </c>
      <c r="W124">
        <f>IF(Tabla8[[#This Row],[Cobrado]]="Cobrada",Tabla8[[#This Row],[Propina]]+Tabla8[[#This Row],[Precio Cena]],0)</f>
        <v>4712</v>
      </c>
      <c r="X124" t="str">
        <f>INDEX(sala!G:G, MATCH(Tabla8[[#This Row],[Numero de Orden]], sala!K:K, 0))</f>
        <v>Almuerzo</v>
      </c>
      <c r="Y124" t="str">
        <f>'Conjunto de Datos'!J125</f>
        <v>Cobrada</v>
      </c>
      <c r="Z124" t="str">
        <f>INDEX(sala!H:H, MATCH(Tabla8[[#This Row],[Numero de Orden]], sala!K:K, 0))</f>
        <v>Tarjeta de débito</v>
      </c>
      <c r="AA124" s="3">
        <f>'Conjunto de Datos'!D125</f>
        <v>45018</v>
      </c>
      <c r="AB124" t="str">
        <f>INDEX(sala!L:L, MATCH(Tabla8[[#This Row],[Numero de Orden]], sala!K:K, 0))</f>
        <v>Argentina</v>
      </c>
      <c r="AC124" t="str">
        <f>'Conjunto de Datos'!N125</f>
        <v>Mesero_4</v>
      </c>
      <c r="AD124">
        <f>Tabla8[[#This Row],[Propina]]+Tabla8[[#This Row],[Precio Cena]]</f>
        <v>4712</v>
      </c>
      <c r="AE124" s="45">
        <f t="shared" si="2"/>
        <v>24</v>
      </c>
    </row>
    <row r="125" spans="1:31" x14ac:dyDescent="0.3">
      <c r="A125" s="16" t="s">
        <v>665</v>
      </c>
      <c r="B125" s="17" t="s">
        <v>668</v>
      </c>
      <c r="S125" t="str">
        <f>'Conjunto de Datos'!BB126</f>
        <v>791</v>
      </c>
      <c r="T125">
        <f>'Conjunto de Datos'!BF126</f>
        <v>124</v>
      </c>
      <c r="U125" s="7">
        <f>sala!I125</f>
        <v>1085</v>
      </c>
      <c r="V125" cm="1">
        <f t="array" ref="V125">SUM(IF(Cocina!A:A=Tabla8[[#This Row],[Numero de Orden]],Cocina!F:F*Cocina!G:G,0))</f>
        <v>222</v>
      </c>
      <c r="W125">
        <f>IF(Tabla8[[#This Row],[Cobrado]]="Cobrada",Tabla8[[#This Row],[Propina]]+Tabla8[[#This Row],[Precio Cena]],0)</f>
        <v>0</v>
      </c>
      <c r="X125" t="str">
        <f>INDEX(sala!G:G, MATCH(Tabla8[[#This Row],[Numero de Orden]], sala!K:K, 0))</f>
        <v>Almuerzo</v>
      </c>
      <c r="Y125" t="str">
        <f>'Conjunto de Datos'!J126</f>
        <v>No Cobrada</v>
      </c>
      <c r="Z125" t="str">
        <f>INDEX(sala!H:H, MATCH(Tabla8[[#This Row],[Numero de Orden]], sala!K:K, 0))</f>
        <v>Tarjeta de débito</v>
      </c>
      <c r="AA125" s="3">
        <f>'Conjunto de Datos'!D126</f>
        <v>45018</v>
      </c>
      <c r="AB125" t="str">
        <f>INDEX(sala!L:L, MATCH(Tabla8[[#This Row],[Numero de Orden]], sala!K:K, 0))</f>
        <v>España</v>
      </c>
      <c r="AC125" t="str">
        <f>'Conjunto de Datos'!N126</f>
        <v>Mesero_3</v>
      </c>
      <c r="AD125">
        <f>Tabla8[[#This Row],[Propina]]+Tabla8[[#This Row],[Precio Cena]]</f>
        <v>1307</v>
      </c>
      <c r="AE125" s="45">
        <f t="shared" si="2"/>
        <v>0</v>
      </c>
    </row>
    <row r="126" spans="1:31" x14ac:dyDescent="0.3">
      <c r="A126" s="20">
        <v>45017</v>
      </c>
      <c r="B126" s="28">
        <f>SUMIFS(AD:AD, Y:Y,"No Cobrada",AA:AA,A126)</f>
        <v>47914</v>
      </c>
      <c r="S126" s="15" t="str">
        <f>'Conjunto de Datos'!BB127</f>
        <v>697</v>
      </c>
      <c r="T126" s="15">
        <f>'Conjunto de Datos'!BF127</f>
        <v>125</v>
      </c>
      <c r="U126" s="6">
        <f>sala!I126</f>
        <v>2466</v>
      </c>
      <c r="V126" cm="1">
        <f t="array" ref="V126">SUM(IF(Cocina!A:A=Tabla8[[#This Row],[Numero de Orden]],Cocina!F:F*Cocina!G:G,0))</f>
        <v>184</v>
      </c>
      <c r="W126">
        <f>IF(Tabla8[[#This Row],[Cobrado]]="Cobrada",Tabla8[[#This Row],[Propina]]+Tabla8[[#This Row],[Precio Cena]],0)</f>
        <v>2650</v>
      </c>
      <c r="X126" t="str">
        <f>INDEX(sala!G:G, MATCH(Tabla8[[#This Row],[Numero de Orden]], sala!K:K, 0))</f>
        <v>Almuerzo</v>
      </c>
      <c r="Y126" t="str">
        <f>'Conjunto de Datos'!J127</f>
        <v>Cobrada</v>
      </c>
      <c r="Z126" t="str">
        <f>INDEX(sala!H:H, MATCH(Tabla8[[#This Row],[Numero de Orden]], sala!K:K, 0))</f>
        <v>Tarjeta de crédito</v>
      </c>
      <c r="AA126" s="3">
        <f>'Conjunto de Datos'!D127</f>
        <v>45018</v>
      </c>
      <c r="AB126" t="str">
        <f>INDEX(sala!L:L, MATCH(Tabla8[[#This Row],[Numero de Orden]], sala!K:K, 0))</f>
        <v>Bolivia</v>
      </c>
      <c r="AC126" t="str">
        <f>'Conjunto de Datos'!N127</f>
        <v>Mesero_3</v>
      </c>
      <c r="AD126">
        <f>Tabla8[[#This Row],[Propina]]+Tabla8[[#This Row],[Precio Cena]]</f>
        <v>2650</v>
      </c>
      <c r="AE126" s="45">
        <f t="shared" si="2"/>
        <v>184</v>
      </c>
    </row>
    <row r="127" spans="1:31" x14ac:dyDescent="0.3">
      <c r="A127" s="21">
        <v>45018</v>
      </c>
      <c r="B127" s="29">
        <f>SUMIFS(AD:AD, Y:Y,"No Cobrada",AA:AA,A127)</f>
        <v>79877</v>
      </c>
      <c r="S127" t="str">
        <f>'Conjunto de Datos'!BB128</f>
        <v>516</v>
      </c>
      <c r="T127">
        <f>'Conjunto de Datos'!BF128</f>
        <v>126</v>
      </c>
      <c r="U127" s="7">
        <f>sala!I127</f>
        <v>4182</v>
      </c>
      <c r="V127" cm="1">
        <f t="array" ref="V127">SUM(IF(Cocina!A:A=Tabla8[[#This Row],[Numero de Orden]],Cocina!F:F*Cocina!G:G,0))</f>
        <v>165</v>
      </c>
      <c r="W127">
        <f>IF(Tabla8[[#This Row],[Cobrado]]="Cobrada",Tabla8[[#This Row],[Propina]]+Tabla8[[#This Row],[Precio Cena]],0)</f>
        <v>4347</v>
      </c>
      <c r="X127" t="str">
        <f>INDEX(sala!G:G, MATCH(Tabla8[[#This Row],[Numero de Orden]], sala!K:K, 0))</f>
        <v>Almuerzo</v>
      </c>
      <c r="Y127" t="str">
        <f>'Conjunto de Datos'!J128</f>
        <v>Cobrada</v>
      </c>
      <c r="Z127" t="str">
        <f>INDEX(sala!H:H, MATCH(Tabla8[[#This Row],[Numero de Orden]], sala!K:K, 0))</f>
        <v>Tarjeta de crédito</v>
      </c>
      <c r="AA127" s="3">
        <f>'Conjunto de Datos'!D128</f>
        <v>45018</v>
      </c>
      <c r="AB127" t="str">
        <f>INDEX(sala!L:L, MATCH(Tabla8[[#This Row],[Numero de Orden]], sala!K:K, 0))</f>
        <v>Perú</v>
      </c>
      <c r="AC127" t="str">
        <f>'Conjunto de Datos'!N128</f>
        <v>Mesero_1</v>
      </c>
      <c r="AD127">
        <f>Tabla8[[#This Row],[Propina]]+Tabla8[[#This Row],[Precio Cena]]</f>
        <v>4347</v>
      </c>
      <c r="AE127" s="45">
        <f t="shared" si="2"/>
        <v>165</v>
      </c>
    </row>
    <row r="128" spans="1:31" x14ac:dyDescent="0.3">
      <c r="A128" s="20">
        <v>45019</v>
      </c>
      <c r="B128" s="28">
        <f t="shared" ref="B128:B132" si="5">SUMIFS(AD:AD, Y:Y,"No Cobrada",AA:AA,A128)</f>
        <v>37705</v>
      </c>
      <c r="S128" s="15" t="str">
        <f>'Conjunto de Datos'!BB129</f>
        <v>541</v>
      </c>
      <c r="T128" s="15">
        <f>'Conjunto de Datos'!BF129</f>
        <v>127</v>
      </c>
      <c r="U128" s="6">
        <f>sala!I128</f>
        <v>3282</v>
      </c>
      <c r="V128" cm="1">
        <f t="array" ref="V128">SUM(IF(Cocina!A:A=Tabla8[[#This Row],[Numero de Orden]],Cocina!F:F*Cocina!G:G,0))</f>
        <v>72</v>
      </c>
      <c r="W128">
        <f>IF(Tabla8[[#This Row],[Cobrado]]="Cobrada",Tabla8[[#This Row],[Propina]]+Tabla8[[#This Row],[Precio Cena]],0)</f>
        <v>3354</v>
      </c>
      <c r="X128" t="str">
        <f>INDEX(sala!G:G, MATCH(Tabla8[[#This Row],[Numero de Orden]], sala!K:K, 0))</f>
        <v>Almuerzo</v>
      </c>
      <c r="Y128" t="str">
        <f>'Conjunto de Datos'!J129</f>
        <v>Cobrada</v>
      </c>
      <c r="Z128" t="str">
        <f>INDEX(sala!H:H, MATCH(Tabla8[[#This Row],[Numero de Orden]], sala!K:K, 0))</f>
        <v>Tarjeta de crédito</v>
      </c>
      <c r="AA128" s="3">
        <f>'Conjunto de Datos'!D129</f>
        <v>45018</v>
      </c>
      <c r="AB128" t="str">
        <f>INDEX(sala!L:L, MATCH(Tabla8[[#This Row],[Numero de Orden]], sala!K:K, 0))</f>
        <v>Argentina</v>
      </c>
      <c r="AC128" t="str">
        <f>'Conjunto de Datos'!N129</f>
        <v>Mesero_4</v>
      </c>
      <c r="AD128">
        <f>Tabla8[[#This Row],[Propina]]+Tabla8[[#This Row],[Precio Cena]]</f>
        <v>3354</v>
      </c>
      <c r="AE128" s="45">
        <f t="shared" si="2"/>
        <v>72</v>
      </c>
    </row>
    <row r="129" spans="1:31" x14ac:dyDescent="0.3">
      <c r="A129" s="21">
        <v>45020</v>
      </c>
      <c r="B129" s="29">
        <f t="shared" si="5"/>
        <v>5142</v>
      </c>
      <c r="S129" t="str">
        <f>'Conjunto de Datos'!BB130</f>
        <v>830</v>
      </c>
      <c r="T129">
        <f>'Conjunto de Datos'!BF130</f>
        <v>128</v>
      </c>
      <c r="U129" s="7">
        <f>sala!I129</f>
        <v>4936</v>
      </c>
      <c r="V129" cm="1">
        <f t="array" ref="V129">SUM(IF(Cocina!A:A=Tabla8[[#This Row],[Numero de Orden]],Cocina!F:F*Cocina!G:G,0))</f>
        <v>239</v>
      </c>
      <c r="W129">
        <f>IF(Tabla8[[#This Row],[Cobrado]]="Cobrada",Tabla8[[#This Row],[Propina]]+Tabla8[[#This Row],[Precio Cena]],0)</f>
        <v>0</v>
      </c>
      <c r="X129" t="str">
        <f>INDEX(sala!G:G, MATCH(Tabla8[[#This Row],[Numero de Orden]], sala!K:K, 0))</f>
        <v>Almuerzo</v>
      </c>
      <c r="Y129" t="str">
        <f>'Conjunto de Datos'!J130</f>
        <v>No Cobrada</v>
      </c>
      <c r="Z129" t="str">
        <f>INDEX(sala!H:H, MATCH(Tabla8[[#This Row],[Numero de Orden]], sala!K:K, 0))</f>
        <v>Efectivo</v>
      </c>
      <c r="AA129" s="3">
        <f>'Conjunto de Datos'!D130</f>
        <v>45018</v>
      </c>
      <c r="AB129" t="str">
        <f>INDEX(sala!L:L, MATCH(Tabla8[[#This Row],[Numero de Orden]], sala!K:K, 0))</f>
        <v>Uruguay</v>
      </c>
      <c r="AC129" t="str">
        <f>'Conjunto de Datos'!N130</f>
        <v>Mesero_2</v>
      </c>
      <c r="AD129">
        <f>Tabla8[[#This Row],[Propina]]+Tabla8[[#This Row],[Precio Cena]]</f>
        <v>5175</v>
      </c>
      <c r="AE129" s="45">
        <f t="shared" si="2"/>
        <v>0</v>
      </c>
    </row>
    <row r="130" spans="1:31" x14ac:dyDescent="0.3">
      <c r="A130" s="20">
        <v>45021</v>
      </c>
      <c r="B130" s="28">
        <f t="shared" si="5"/>
        <v>26720</v>
      </c>
      <c r="S130" s="15" t="str">
        <f>'Conjunto de Datos'!BB131</f>
        <v>656</v>
      </c>
      <c r="T130" s="15">
        <f>'Conjunto de Datos'!BF131</f>
        <v>129</v>
      </c>
      <c r="U130" s="6">
        <f>sala!I130</f>
        <v>493</v>
      </c>
      <c r="V130" cm="1">
        <f t="array" ref="V130">SUM(IF(Cocina!A:A=Tabla8[[#This Row],[Numero de Orden]],Cocina!F:F*Cocina!G:G,0))</f>
        <v>106</v>
      </c>
      <c r="W130">
        <f>IF(Tabla8[[#This Row],[Cobrado]]="Cobrada",Tabla8[[#This Row],[Propina]]+Tabla8[[#This Row],[Precio Cena]],0)</f>
        <v>599</v>
      </c>
      <c r="X130" t="str">
        <f>INDEX(sala!G:G, MATCH(Tabla8[[#This Row],[Numero de Orden]], sala!K:K, 0))</f>
        <v>Almuerzo</v>
      </c>
      <c r="Y130" t="str">
        <f>'Conjunto de Datos'!J131</f>
        <v>Cobrada</v>
      </c>
      <c r="Z130" t="str">
        <f>INDEX(sala!H:H, MATCH(Tabla8[[#This Row],[Numero de Orden]], sala!K:K, 0))</f>
        <v>Tarjeta de crédito</v>
      </c>
      <c r="AA130" s="3">
        <f>'Conjunto de Datos'!D131</f>
        <v>45018</v>
      </c>
      <c r="AB130" t="str">
        <f>INDEX(sala!L:L, MATCH(Tabla8[[#This Row],[Numero de Orden]], sala!K:K, 0))</f>
        <v>Perú</v>
      </c>
      <c r="AC130" t="str">
        <f>'Conjunto de Datos'!N131</f>
        <v>Mesero_2</v>
      </c>
      <c r="AD130">
        <f>Tabla8[[#This Row],[Propina]]+Tabla8[[#This Row],[Precio Cena]]</f>
        <v>599</v>
      </c>
      <c r="AE130" s="45">
        <f t="shared" si="2"/>
        <v>106</v>
      </c>
    </row>
    <row r="131" spans="1:31" x14ac:dyDescent="0.3">
      <c r="A131" s="21">
        <v>45022</v>
      </c>
      <c r="B131" s="29">
        <f t="shared" si="5"/>
        <v>62383</v>
      </c>
      <c r="S131" t="str">
        <f>'Conjunto de Datos'!BB132</f>
        <v>486</v>
      </c>
      <c r="T131">
        <f>'Conjunto de Datos'!BF132</f>
        <v>130</v>
      </c>
      <c r="U131" s="7">
        <f>sala!I131</f>
        <v>3813</v>
      </c>
      <c r="V131" cm="1">
        <f t="array" ref="V131">SUM(IF(Cocina!A:A=Tabla8[[#This Row],[Numero de Orden]],Cocina!F:F*Cocina!G:G,0))</f>
        <v>35</v>
      </c>
      <c r="W131">
        <f>IF(Tabla8[[#This Row],[Cobrado]]="Cobrada",Tabla8[[#This Row],[Propina]]+Tabla8[[#This Row],[Precio Cena]],0)</f>
        <v>3848</v>
      </c>
      <c r="X131" t="str">
        <f>INDEX(sala!G:G, MATCH(Tabla8[[#This Row],[Numero de Orden]], sala!K:K, 0))</f>
        <v>Almuerzo</v>
      </c>
      <c r="Y131" t="str">
        <f>'Conjunto de Datos'!J132</f>
        <v>Cobrada</v>
      </c>
      <c r="Z131" t="str">
        <f>INDEX(sala!H:H, MATCH(Tabla8[[#This Row],[Numero de Orden]], sala!K:K, 0))</f>
        <v>Tarjeta de crédito</v>
      </c>
      <c r="AA131" s="3">
        <f>'Conjunto de Datos'!D132</f>
        <v>45018</v>
      </c>
      <c r="AB131" t="str">
        <f>INDEX(sala!L:L, MATCH(Tabla8[[#This Row],[Numero de Orden]], sala!K:K, 0))</f>
        <v>Colombia</v>
      </c>
      <c r="AC131" t="str">
        <f>'Conjunto de Datos'!N132</f>
        <v>Mesero_2</v>
      </c>
      <c r="AD131">
        <f>Tabla8[[#This Row],[Propina]]+Tabla8[[#This Row],[Precio Cena]]</f>
        <v>3848</v>
      </c>
      <c r="AE131" s="45">
        <f t="shared" si="2"/>
        <v>35</v>
      </c>
    </row>
    <row r="132" spans="1:31" x14ac:dyDescent="0.3">
      <c r="A132" s="20">
        <v>45023</v>
      </c>
      <c r="B132" s="28">
        <f t="shared" si="5"/>
        <v>29108</v>
      </c>
      <c r="S132" s="15" t="str">
        <f>'Conjunto de Datos'!BB133</f>
        <v>728</v>
      </c>
      <c r="T132" s="15">
        <f>'Conjunto de Datos'!BF133</f>
        <v>131</v>
      </c>
      <c r="U132" s="6">
        <f>sala!I132</f>
        <v>4241</v>
      </c>
      <c r="V132" cm="1">
        <f t="array" ref="V132">SUM(IF(Cocina!A:A=Tabla8[[#This Row],[Numero de Orden]],Cocina!F:F*Cocina!G:G,0))</f>
        <v>157</v>
      </c>
      <c r="W132">
        <f>IF(Tabla8[[#This Row],[Cobrado]]="Cobrada",Tabla8[[#This Row],[Propina]]+Tabla8[[#This Row],[Precio Cena]],0)</f>
        <v>4398</v>
      </c>
      <c r="X132" t="str">
        <f>INDEX(sala!G:G, MATCH(Tabla8[[#This Row],[Numero de Orden]], sala!K:K, 0))</f>
        <v>Almuerzo</v>
      </c>
      <c r="Y132" t="str">
        <f>'Conjunto de Datos'!J133</f>
        <v>Cobrada</v>
      </c>
      <c r="Z132" t="str">
        <f>INDEX(sala!H:H, MATCH(Tabla8[[#This Row],[Numero de Orden]], sala!K:K, 0))</f>
        <v>Tarjeta de crédito</v>
      </c>
      <c r="AA132" s="3">
        <f>'Conjunto de Datos'!D133</f>
        <v>45018</v>
      </c>
      <c r="AB132" t="str">
        <f>INDEX(sala!L:L, MATCH(Tabla8[[#This Row],[Numero de Orden]], sala!K:K, 0))</f>
        <v>Ecuador</v>
      </c>
      <c r="AC132" t="str">
        <f>'Conjunto de Datos'!N133</f>
        <v>Mesero_4</v>
      </c>
      <c r="AD132">
        <f>Tabla8[[#This Row],[Propina]]+Tabla8[[#This Row],[Precio Cena]]</f>
        <v>4398</v>
      </c>
      <c r="AE132" s="45">
        <f t="shared" ref="AE132:AE195" si="6">IF(Y132 = "Cobrada",V132,0)</f>
        <v>157</v>
      </c>
    </row>
    <row r="133" spans="1:31" x14ac:dyDescent="0.3">
      <c r="S133" t="str">
        <f>'Conjunto de Datos'!BB134</f>
        <v>774</v>
      </c>
      <c r="T133">
        <f>'Conjunto de Datos'!BF134</f>
        <v>132</v>
      </c>
      <c r="U133" s="7">
        <f>sala!I133</f>
        <v>3096</v>
      </c>
      <c r="V133" cm="1">
        <f t="array" ref="V133">SUM(IF(Cocina!A:A=Tabla8[[#This Row],[Numero de Orden]],Cocina!F:F*Cocina!G:G,0))</f>
        <v>206</v>
      </c>
      <c r="W133">
        <f>IF(Tabla8[[#This Row],[Cobrado]]="Cobrada",Tabla8[[#This Row],[Propina]]+Tabla8[[#This Row],[Precio Cena]],0)</f>
        <v>0</v>
      </c>
      <c r="X133" t="str">
        <f>INDEX(sala!G:G, MATCH(Tabla8[[#This Row],[Numero de Orden]], sala!K:K, 0))</f>
        <v>Cena</v>
      </c>
      <c r="Y133" t="str">
        <f>'Conjunto de Datos'!J134</f>
        <v>No Cobrada</v>
      </c>
      <c r="Z133" t="str">
        <f>INDEX(sala!H:H, MATCH(Tabla8[[#This Row],[Numero de Orden]], sala!K:K, 0))</f>
        <v>Tarjeta de débito</v>
      </c>
      <c r="AA133" s="3">
        <f>'Conjunto de Datos'!D134</f>
        <v>45018</v>
      </c>
      <c r="AB133" t="str">
        <f>INDEX(sala!L:L, MATCH(Tabla8[[#This Row],[Numero de Orden]], sala!K:K, 0))</f>
        <v>Bolivia</v>
      </c>
      <c r="AC133" t="str">
        <f>'Conjunto de Datos'!N134</f>
        <v>Mesero_3</v>
      </c>
      <c r="AD133">
        <f>Tabla8[[#This Row],[Propina]]+Tabla8[[#This Row],[Precio Cena]]</f>
        <v>3302</v>
      </c>
      <c r="AE133" s="45">
        <f t="shared" si="6"/>
        <v>0</v>
      </c>
    </row>
    <row r="134" spans="1:31" x14ac:dyDescent="0.3">
      <c r="S134" s="15" t="str">
        <f>'Conjunto de Datos'!BB135</f>
        <v>26</v>
      </c>
      <c r="T134" s="15">
        <f>'Conjunto de Datos'!BF135</f>
        <v>133</v>
      </c>
      <c r="U134" s="6">
        <f>sala!I134</f>
        <v>3974</v>
      </c>
      <c r="V134" cm="1">
        <f t="array" ref="V134">SUM(IF(Cocina!A:A=Tabla8[[#This Row],[Numero de Orden]],Cocina!F:F*Cocina!G:G,0))</f>
        <v>182</v>
      </c>
      <c r="W134">
        <f>IF(Tabla8[[#This Row],[Cobrado]]="Cobrada",Tabla8[[#This Row],[Propina]]+Tabla8[[#This Row],[Precio Cena]],0)</f>
        <v>4156</v>
      </c>
      <c r="X134" t="str">
        <f>INDEX(sala!G:G, MATCH(Tabla8[[#This Row],[Numero de Orden]], sala!K:K, 0))</f>
        <v>Almuerzo</v>
      </c>
      <c r="Y134" t="str">
        <f>'Conjunto de Datos'!J135</f>
        <v>Cobrada</v>
      </c>
      <c r="Z134" t="str">
        <f>INDEX(sala!H:H, MATCH(Tabla8[[#This Row],[Numero de Orden]], sala!K:K, 0))</f>
        <v>Tarjeta de crédito</v>
      </c>
      <c r="AA134" s="3">
        <f>'Conjunto de Datos'!D135</f>
        <v>45018</v>
      </c>
      <c r="AB134" t="str">
        <f>INDEX(sala!L:L, MATCH(Tabla8[[#This Row],[Numero de Orden]], sala!K:K, 0))</f>
        <v>Chile</v>
      </c>
      <c r="AC134" t="str">
        <f>'Conjunto de Datos'!N135</f>
        <v>Mesero_2</v>
      </c>
      <c r="AD134">
        <f>Tabla8[[#This Row],[Propina]]+Tabla8[[#This Row],[Precio Cena]]</f>
        <v>4156</v>
      </c>
      <c r="AE134" s="45">
        <f t="shared" si="6"/>
        <v>182</v>
      </c>
    </row>
    <row r="135" spans="1:31" x14ac:dyDescent="0.3">
      <c r="S135" t="str">
        <f>'Conjunto de Datos'!BB136</f>
        <v>273</v>
      </c>
      <c r="T135">
        <f>'Conjunto de Datos'!BF136</f>
        <v>134</v>
      </c>
      <c r="U135" s="7">
        <f>sala!I135</f>
        <v>301</v>
      </c>
      <c r="V135" cm="1">
        <f t="array" ref="V135">SUM(IF(Cocina!A:A=Tabla8[[#This Row],[Numero de Orden]],Cocina!F:F*Cocina!G:G,0))</f>
        <v>120</v>
      </c>
      <c r="W135">
        <f>IF(Tabla8[[#This Row],[Cobrado]]="Cobrada",Tabla8[[#This Row],[Propina]]+Tabla8[[#This Row],[Precio Cena]],0)</f>
        <v>421</v>
      </c>
      <c r="X135" t="str">
        <f>INDEX(sala!G:G, MATCH(Tabla8[[#This Row],[Numero de Orden]], sala!K:K, 0))</f>
        <v>Cena</v>
      </c>
      <c r="Y135" t="str">
        <f>'Conjunto de Datos'!J136</f>
        <v>Cobrada</v>
      </c>
      <c r="Z135" t="str">
        <f>INDEX(sala!H:H, MATCH(Tabla8[[#This Row],[Numero de Orden]], sala!K:K, 0))</f>
        <v>Tarjeta de crédito</v>
      </c>
      <c r="AA135" s="3">
        <f>'Conjunto de Datos'!D136</f>
        <v>45018</v>
      </c>
      <c r="AB135" t="str">
        <f>INDEX(sala!L:L, MATCH(Tabla8[[#This Row],[Numero de Orden]], sala!K:K, 0))</f>
        <v>Uruguay</v>
      </c>
      <c r="AC135" t="str">
        <f>'Conjunto de Datos'!N136</f>
        <v>Mesero_1</v>
      </c>
      <c r="AD135">
        <f>Tabla8[[#This Row],[Propina]]+Tabla8[[#This Row],[Precio Cena]]</f>
        <v>421</v>
      </c>
      <c r="AE135" s="45">
        <f t="shared" si="6"/>
        <v>120</v>
      </c>
    </row>
    <row r="136" spans="1:31" x14ac:dyDescent="0.3">
      <c r="S136" s="15" t="str">
        <f>'Conjunto de Datos'!BB137</f>
        <v>798</v>
      </c>
      <c r="T136" s="15">
        <f>'Conjunto de Datos'!BF137</f>
        <v>135</v>
      </c>
      <c r="U136" s="6">
        <f>sala!I136</f>
        <v>347</v>
      </c>
      <c r="V136" cm="1">
        <f t="array" ref="V136">SUM(IF(Cocina!A:A=Tabla8[[#This Row],[Numero de Orden]],Cocina!F:F*Cocina!G:G,0))</f>
        <v>260</v>
      </c>
      <c r="W136">
        <f>IF(Tabla8[[#This Row],[Cobrado]]="Cobrada",Tabla8[[#This Row],[Propina]]+Tabla8[[#This Row],[Precio Cena]],0)</f>
        <v>607</v>
      </c>
      <c r="X136" t="str">
        <f>INDEX(sala!G:G, MATCH(Tabla8[[#This Row],[Numero de Orden]], sala!K:K, 0))</f>
        <v>Cena</v>
      </c>
      <c r="Y136" t="str">
        <f>'Conjunto de Datos'!J137</f>
        <v>Cobrada</v>
      </c>
      <c r="Z136" t="str">
        <f>INDEX(sala!H:H, MATCH(Tabla8[[#This Row],[Numero de Orden]], sala!K:K, 0))</f>
        <v>Tarjeta de crédito</v>
      </c>
      <c r="AA136" s="3">
        <f>'Conjunto de Datos'!D137</f>
        <v>45018</v>
      </c>
      <c r="AB136" t="str">
        <f>INDEX(sala!L:L, MATCH(Tabla8[[#This Row],[Numero de Orden]], sala!K:K, 0))</f>
        <v>Brasil</v>
      </c>
      <c r="AC136" t="str">
        <f>'Conjunto de Datos'!N137</f>
        <v>Mesero_5</v>
      </c>
      <c r="AD136">
        <f>Tabla8[[#This Row],[Propina]]+Tabla8[[#This Row],[Precio Cena]]</f>
        <v>607</v>
      </c>
      <c r="AE136" s="45">
        <f t="shared" si="6"/>
        <v>260</v>
      </c>
    </row>
    <row r="137" spans="1:31" x14ac:dyDescent="0.3">
      <c r="S137" t="str">
        <f>'Conjunto de Datos'!BB138</f>
        <v>8</v>
      </c>
      <c r="T137">
        <f>'Conjunto de Datos'!BF138</f>
        <v>136</v>
      </c>
      <c r="U137" s="7">
        <f>sala!I137</f>
        <v>3025</v>
      </c>
      <c r="V137" cm="1">
        <f t="array" ref="V137">SUM(IF(Cocina!A:A=Tabla8[[#This Row],[Numero de Orden]],Cocina!F:F*Cocina!G:G,0))</f>
        <v>80</v>
      </c>
      <c r="W137">
        <f>IF(Tabla8[[#This Row],[Cobrado]]="Cobrada",Tabla8[[#This Row],[Propina]]+Tabla8[[#This Row],[Precio Cena]],0)</f>
        <v>3105</v>
      </c>
      <c r="X137" t="str">
        <f>INDEX(sala!G:G, MATCH(Tabla8[[#This Row],[Numero de Orden]], sala!K:K, 0))</f>
        <v>Almuerzo</v>
      </c>
      <c r="Y137" t="str">
        <f>'Conjunto de Datos'!J138</f>
        <v>Cobrada</v>
      </c>
      <c r="Z137" t="str">
        <f>INDEX(sala!H:H, MATCH(Tabla8[[#This Row],[Numero de Orden]], sala!K:K, 0))</f>
        <v>Tarjeta de crédito</v>
      </c>
      <c r="AA137" s="3">
        <f>'Conjunto de Datos'!D138</f>
        <v>45018</v>
      </c>
      <c r="AB137" t="str">
        <f>INDEX(sala!L:L, MATCH(Tabla8[[#This Row],[Numero de Orden]], sala!K:K, 0))</f>
        <v>Bolivia</v>
      </c>
      <c r="AC137" t="str">
        <f>'Conjunto de Datos'!N138</f>
        <v>Mesero_1</v>
      </c>
      <c r="AD137">
        <f>Tabla8[[#This Row],[Propina]]+Tabla8[[#This Row],[Precio Cena]]</f>
        <v>3105</v>
      </c>
      <c r="AE137" s="45">
        <f t="shared" si="6"/>
        <v>80</v>
      </c>
    </row>
    <row r="138" spans="1:31" x14ac:dyDescent="0.3">
      <c r="S138" s="15" t="str">
        <f>'Conjunto de Datos'!BB139</f>
        <v>31</v>
      </c>
      <c r="T138" s="15">
        <f>'Conjunto de Datos'!BF139</f>
        <v>137</v>
      </c>
      <c r="U138" s="6">
        <f>sala!I138</f>
        <v>124</v>
      </c>
      <c r="V138" cm="1">
        <f t="array" ref="V138">SUM(IF(Cocina!A:A=Tabla8[[#This Row],[Numero de Orden]],Cocina!F:F*Cocina!G:G,0))</f>
        <v>63</v>
      </c>
      <c r="W138">
        <f>IF(Tabla8[[#This Row],[Cobrado]]="Cobrada",Tabla8[[#This Row],[Propina]]+Tabla8[[#This Row],[Precio Cena]],0)</f>
        <v>187</v>
      </c>
      <c r="X138" t="str">
        <f>INDEX(sala!G:G, MATCH(Tabla8[[#This Row],[Numero de Orden]], sala!K:K, 0))</f>
        <v>Desayuno</v>
      </c>
      <c r="Y138" t="str">
        <f>'Conjunto de Datos'!J139</f>
        <v>Cobrada</v>
      </c>
      <c r="Z138" t="str">
        <f>INDEX(sala!H:H, MATCH(Tabla8[[#This Row],[Numero de Orden]], sala!K:K, 0))</f>
        <v>Tarjeta de crédito</v>
      </c>
      <c r="AA138" s="3">
        <f>'Conjunto de Datos'!D139</f>
        <v>45018</v>
      </c>
      <c r="AB138" t="str">
        <f>INDEX(sala!L:L, MATCH(Tabla8[[#This Row],[Numero de Orden]], sala!K:K, 0))</f>
        <v>Colombia</v>
      </c>
      <c r="AC138" t="str">
        <f>'Conjunto de Datos'!N139</f>
        <v>Mesero_4</v>
      </c>
      <c r="AD138">
        <f>Tabla8[[#This Row],[Propina]]+Tabla8[[#This Row],[Precio Cena]]</f>
        <v>187</v>
      </c>
      <c r="AE138" s="45">
        <f t="shared" si="6"/>
        <v>63</v>
      </c>
    </row>
    <row r="139" spans="1:31" x14ac:dyDescent="0.3">
      <c r="S139" t="str">
        <f>'Conjunto de Datos'!BB140</f>
        <v>658</v>
      </c>
      <c r="T139">
        <f>'Conjunto de Datos'!BF140</f>
        <v>138</v>
      </c>
      <c r="U139" s="7">
        <f>sala!I139</f>
        <v>3279</v>
      </c>
      <c r="V139" cm="1">
        <f t="array" ref="V139">SUM(IF(Cocina!A:A=Tabla8[[#This Row],[Numero de Orden]],Cocina!F:F*Cocina!G:G,0))</f>
        <v>238</v>
      </c>
      <c r="W139">
        <f>IF(Tabla8[[#This Row],[Cobrado]]="Cobrada",Tabla8[[#This Row],[Propina]]+Tabla8[[#This Row],[Precio Cena]],0)</f>
        <v>0</v>
      </c>
      <c r="X139" t="str">
        <f>INDEX(sala!G:G, MATCH(Tabla8[[#This Row],[Numero de Orden]], sala!K:K, 0))</f>
        <v>Desayuno</v>
      </c>
      <c r="Y139" t="str">
        <f>'Conjunto de Datos'!J140</f>
        <v>No Cobrada</v>
      </c>
      <c r="Z139" t="str">
        <f>INDEX(sala!H:H, MATCH(Tabla8[[#This Row],[Numero de Orden]], sala!K:K, 0))</f>
        <v>Tarjeta de débito</v>
      </c>
      <c r="AA139" s="3">
        <f>'Conjunto de Datos'!D140</f>
        <v>45018</v>
      </c>
      <c r="AB139" t="str">
        <f>INDEX(sala!L:L, MATCH(Tabla8[[#This Row],[Numero de Orden]], sala!K:K, 0))</f>
        <v>Venezuela</v>
      </c>
      <c r="AC139" t="str">
        <f>'Conjunto de Datos'!N140</f>
        <v>Mesero_2</v>
      </c>
      <c r="AD139">
        <f>Tabla8[[#This Row],[Propina]]+Tabla8[[#This Row],[Precio Cena]]</f>
        <v>3517</v>
      </c>
      <c r="AE139" s="45">
        <f t="shared" si="6"/>
        <v>0</v>
      </c>
    </row>
    <row r="140" spans="1:31" x14ac:dyDescent="0.3">
      <c r="S140" s="15" t="str">
        <f>'Conjunto de Datos'!BB141</f>
        <v>773</v>
      </c>
      <c r="T140" s="15">
        <f>'Conjunto de Datos'!BF141</f>
        <v>139</v>
      </c>
      <c r="U140" s="6">
        <f>sala!I140</f>
        <v>472</v>
      </c>
      <c r="V140" cm="1">
        <f t="array" ref="V140">SUM(IF(Cocina!A:A=Tabla8[[#This Row],[Numero de Orden]],Cocina!F:F*Cocina!G:G,0))</f>
        <v>35</v>
      </c>
      <c r="W140">
        <f>IF(Tabla8[[#This Row],[Cobrado]]="Cobrada",Tabla8[[#This Row],[Propina]]+Tabla8[[#This Row],[Precio Cena]],0)</f>
        <v>507</v>
      </c>
      <c r="X140" t="str">
        <f>INDEX(sala!G:G, MATCH(Tabla8[[#This Row],[Numero de Orden]], sala!K:K, 0))</f>
        <v>Almuerzo</v>
      </c>
      <c r="Y140" t="str">
        <f>'Conjunto de Datos'!J141</f>
        <v>Cobrada</v>
      </c>
      <c r="Z140" t="str">
        <f>INDEX(sala!H:H, MATCH(Tabla8[[#This Row],[Numero de Orden]], sala!K:K, 0))</f>
        <v>Tarjeta de crédito</v>
      </c>
      <c r="AA140" s="3">
        <f>'Conjunto de Datos'!D141</f>
        <v>45018</v>
      </c>
      <c r="AB140" t="str">
        <f>INDEX(sala!L:L, MATCH(Tabla8[[#This Row],[Numero de Orden]], sala!K:K, 0))</f>
        <v>Chile</v>
      </c>
      <c r="AC140" t="str">
        <f>'Conjunto de Datos'!N141</f>
        <v>Mesero_2</v>
      </c>
      <c r="AD140">
        <f>Tabla8[[#This Row],[Propina]]+Tabla8[[#This Row],[Precio Cena]]</f>
        <v>507</v>
      </c>
      <c r="AE140" s="45">
        <f t="shared" si="6"/>
        <v>35</v>
      </c>
    </row>
    <row r="141" spans="1:31" x14ac:dyDescent="0.3">
      <c r="S141" t="str">
        <f>'Conjunto de Datos'!BB142</f>
        <v>158</v>
      </c>
      <c r="T141">
        <f>'Conjunto de Datos'!BF142</f>
        <v>140</v>
      </c>
      <c r="U141" s="7">
        <f>sala!I141</f>
        <v>3213</v>
      </c>
      <c r="V141" cm="1">
        <f t="array" ref="V141">SUM(IF(Cocina!A:A=Tabla8[[#This Row],[Numero de Orden]],Cocina!F:F*Cocina!G:G,0))</f>
        <v>191</v>
      </c>
      <c r="W141">
        <f>IF(Tabla8[[#This Row],[Cobrado]]="Cobrada",Tabla8[[#This Row],[Propina]]+Tabla8[[#This Row],[Precio Cena]],0)</f>
        <v>3404</v>
      </c>
      <c r="X141" t="str">
        <f>INDEX(sala!G:G, MATCH(Tabla8[[#This Row],[Numero de Orden]], sala!K:K, 0))</f>
        <v>Almuerzo</v>
      </c>
      <c r="Y141" t="str">
        <f>'Conjunto de Datos'!J142</f>
        <v>Cobrada</v>
      </c>
      <c r="Z141" t="str">
        <f>INDEX(sala!H:H, MATCH(Tabla8[[#This Row],[Numero de Orden]], sala!K:K, 0))</f>
        <v>Efectivo</v>
      </c>
      <c r="AA141" s="3">
        <f>'Conjunto de Datos'!D142</f>
        <v>45018</v>
      </c>
      <c r="AB141" t="str">
        <f>INDEX(sala!L:L, MATCH(Tabla8[[#This Row],[Numero de Orden]], sala!K:K, 0))</f>
        <v>Paraguay</v>
      </c>
      <c r="AC141" t="str">
        <f>'Conjunto de Datos'!N142</f>
        <v>Mesero_2</v>
      </c>
      <c r="AD141">
        <f>Tabla8[[#This Row],[Propina]]+Tabla8[[#This Row],[Precio Cena]]</f>
        <v>3404</v>
      </c>
      <c r="AE141" s="45">
        <f t="shared" si="6"/>
        <v>191</v>
      </c>
    </row>
    <row r="142" spans="1:31" x14ac:dyDescent="0.3">
      <c r="S142" s="15" t="str">
        <f>'Conjunto de Datos'!BB143</f>
        <v>569</v>
      </c>
      <c r="T142" s="15">
        <f>'Conjunto de Datos'!BF143</f>
        <v>141</v>
      </c>
      <c r="U142" s="6">
        <f>sala!I142</f>
        <v>4156</v>
      </c>
      <c r="V142" cm="1">
        <f t="array" ref="V142">SUM(IF(Cocina!A:A=Tabla8[[#This Row],[Numero de Orden]],Cocina!F:F*Cocina!G:G,0))</f>
        <v>21</v>
      </c>
      <c r="W142">
        <f>IF(Tabla8[[#This Row],[Cobrado]]="Cobrada",Tabla8[[#This Row],[Propina]]+Tabla8[[#This Row],[Precio Cena]],0)</f>
        <v>4177</v>
      </c>
      <c r="X142" t="str">
        <f>INDEX(sala!G:G, MATCH(Tabla8[[#This Row],[Numero de Orden]], sala!K:K, 0))</f>
        <v>Desayuno</v>
      </c>
      <c r="Y142" t="str">
        <f>'Conjunto de Datos'!J143</f>
        <v>Cobrada</v>
      </c>
      <c r="Z142" t="str">
        <f>INDEX(sala!H:H, MATCH(Tabla8[[#This Row],[Numero de Orden]], sala!K:K, 0))</f>
        <v>Tarjeta de crédito</v>
      </c>
      <c r="AA142" s="3">
        <f>'Conjunto de Datos'!D143</f>
        <v>45018</v>
      </c>
      <c r="AB142" t="str">
        <f>INDEX(sala!L:L, MATCH(Tabla8[[#This Row],[Numero de Orden]], sala!K:K, 0))</f>
        <v>Ecuador</v>
      </c>
      <c r="AC142" t="str">
        <f>'Conjunto de Datos'!N143</f>
        <v>Mesero_3</v>
      </c>
      <c r="AD142">
        <f>Tabla8[[#This Row],[Propina]]+Tabla8[[#This Row],[Precio Cena]]</f>
        <v>4177</v>
      </c>
      <c r="AE142" s="45">
        <f t="shared" si="6"/>
        <v>21</v>
      </c>
    </row>
    <row r="143" spans="1:31" x14ac:dyDescent="0.3">
      <c r="S143" t="str">
        <f>'Conjunto de Datos'!BB144</f>
        <v>286</v>
      </c>
      <c r="T143">
        <f>'Conjunto de Datos'!BF144</f>
        <v>142</v>
      </c>
      <c r="U143" s="7">
        <f>sala!I143</f>
        <v>1629</v>
      </c>
      <c r="V143" cm="1">
        <f t="array" ref="V143">SUM(IF(Cocina!A:A=Tabla8[[#This Row],[Numero de Orden]],Cocina!F:F*Cocina!G:G,0))</f>
        <v>181</v>
      </c>
      <c r="W143">
        <f>IF(Tabla8[[#This Row],[Cobrado]]="Cobrada",Tabla8[[#This Row],[Propina]]+Tabla8[[#This Row],[Precio Cena]],0)</f>
        <v>1810</v>
      </c>
      <c r="X143" t="str">
        <f>INDEX(sala!G:G, MATCH(Tabla8[[#This Row],[Numero de Orden]], sala!K:K, 0))</f>
        <v>Almuerzo</v>
      </c>
      <c r="Y143" t="str">
        <f>'Conjunto de Datos'!J144</f>
        <v>Cobrada</v>
      </c>
      <c r="Z143" t="str">
        <f>INDEX(sala!H:H, MATCH(Tabla8[[#This Row],[Numero de Orden]], sala!K:K, 0))</f>
        <v>Tarjeta de crédito</v>
      </c>
      <c r="AA143" s="3">
        <f>'Conjunto de Datos'!D144</f>
        <v>45018</v>
      </c>
      <c r="AB143" t="str">
        <f>INDEX(sala!L:L, MATCH(Tabla8[[#This Row],[Numero de Orden]], sala!K:K, 0))</f>
        <v>Argentina</v>
      </c>
      <c r="AC143" t="str">
        <f>'Conjunto de Datos'!N144</f>
        <v>Mesero_4</v>
      </c>
      <c r="AD143">
        <f>Tabla8[[#This Row],[Propina]]+Tabla8[[#This Row],[Precio Cena]]</f>
        <v>1810</v>
      </c>
      <c r="AE143" s="45">
        <f t="shared" si="6"/>
        <v>181</v>
      </c>
    </row>
    <row r="144" spans="1:31" x14ac:dyDescent="0.3">
      <c r="S144" s="15" t="str">
        <f>'Conjunto de Datos'!BB145</f>
        <v>199</v>
      </c>
      <c r="T144" s="15">
        <f>'Conjunto de Datos'!BF145</f>
        <v>143</v>
      </c>
      <c r="U144" s="6">
        <f>sala!I144</f>
        <v>4826</v>
      </c>
      <c r="V144" cm="1">
        <f t="array" ref="V144">SUM(IF(Cocina!A:A=Tabla8[[#This Row],[Numero de Orden]],Cocina!F:F*Cocina!G:G,0))</f>
        <v>50</v>
      </c>
      <c r="W144">
        <f>IF(Tabla8[[#This Row],[Cobrado]]="Cobrada",Tabla8[[#This Row],[Propina]]+Tabla8[[#This Row],[Precio Cena]],0)</f>
        <v>4876</v>
      </c>
      <c r="X144" t="str">
        <f>INDEX(sala!G:G, MATCH(Tabla8[[#This Row],[Numero de Orden]], sala!K:K, 0))</f>
        <v>Almuerzo</v>
      </c>
      <c r="Y144" t="str">
        <f>'Conjunto de Datos'!J145</f>
        <v>Cobrada</v>
      </c>
      <c r="Z144" t="str">
        <f>INDEX(sala!H:H, MATCH(Tabla8[[#This Row],[Numero de Orden]], sala!K:K, 0))</f>
        <v>Efectivo</v>
      </c>
      <c r="AA144" s="3">
        <f>'Conjunto de Datos'!D145</f>
        <v>45018</v>
      </c>
      <c r="AB144" t="str">
        <f>INDEX(sala!L:L, MATCH(Tabla8[[#This Row],[Numero de Orden]], sala!K:K, 0))</f>
        <v>Perú</v>
      </c>
      <c r="AC144" t="str">
        <f>'Conjunto de Datos'!N145</f>
        <v>Mesero_4</v>
      </c>
      <c r="AD144">
        <f>Tabla8[[#This Row],[Propina]]+Tabla8[[#This Row],[Precio Cena]]</f>
        <v>4876</v>
      </c>
      <c r="AE144" s="45">
        <f t="shared" si="6"/>
        <v>50</v>
      </c>
    </row>
    <row r="145" spans="1:31" x14ac:dyDescent="0.3">
      <c r="S145" t="str">
        <f>'Conjunto de Datos'!BB146</f>
        <v>712</v>
      </c>
      <c r="T145">
        <f>'Conjunto de Datos'!BF146</f>
        <v>144</v>
      </c>
      <c r="U145" s="7">
        <f>sala!I145</f>
        <v>1122</v>
      </c>
      <c r="V145" cm="1">
        <f t="array" ref="V145">SUM(IF(Cocina!A:A=Tabla8[[#This Row],[Numero de Orden]],Cocina!F:F*Cocina!G:G,0))</f>
        <v>185</v>
      </c>
      <c r="W145">
        <f>IF(Tabla8[[#This Row],[Cobrado]]="Cobrada",Tabla8[[#This Row],[Propina]]+Tabla8[[#This Row],[Precio Cena]],0)</f>
        <v>1307</v>
      </c>
      <c r="X145" t="str">
        <f>INDEX(sala!G:G, MATCH(Tabla8[[#This Row],[Numero de Orden]], sala!K:K, 0))</f>
        <v>Cena</v>
      </c>
      <c r="Y145" t="str">
        <f>'Conjunto de Datos'!J146</f>
        <v>Cobrada</v>
      </c>
      <c r="Z145" t="str">
        <f>INDEX(sala!H:H, MATCH(Tabla8[[#This Row],[Numero de Orden]], sala!K:K, 0))</f>
        <v>Tarjeta de crédito</v>
      </c>
      <c r="AA145" s="3">
        <f>'Conjunto de Datos'!D146</f>
        <v>45018</v>
      </c>
      <c r="AB145" t="str">
        <f>INDEX(sala!L:L, MATCH(Tabla8[[#This Row],[Numero de Orden]], sala!K:K, 0))</f>
        <v>Perú</v>
      </c>
      <c r="AC145" t="str">
        <f>'Conjunto de Datos'!N146</f>
        <v>Mesero_4</v>
      </c>
      <c r="AD145">
        <f>Tabla8[[#This Row],[Propina]]+Tabla8[[#This Row],[Precio Cena]]</f>
        <v>1307</v>
      </c>
      <c r="AE145" s="45">
        <f t="shared" si="6"/>
        <v>185</v>
      </c>
    </row>
    <row r="146" spans="1:31" x14ac:dyDescent="0.3">
      <c r="S146" s="15" t="str">
        <f>'Conjunto de Datos'!BB147</f>
        <v>56</v>
      </c>
      <c r="T146" s="15">
        <f>'Conjunto de Datos'!BF147</f>
        <v>145</v>
      </c>
      <c r="U146" s="6">
        <f>sala!I146</f>
        <v>1132</v>
      </c>
      <c r="V146" cm="1">
        <f t="array" ref="V146">SUM(IF(Cocina!A:A=Tabla8[[#This Row],[Numero de Orden]],Cocina!F:F*Cocina!G:G,0))</f>
        <v>126</v>
      </c>
      <c r="W146">
        <f>IF(Tabla8[[#This Row],[Cobrado]]="Cobrada",Tabla8[[#This Row],[Propina]]+Tabla8[[#This Row],[Precio Cena]],0)</f>
        <v>0</v>
      </c>
      <c r="X146" t="str">
        <f>INDEX(sala!G:G, MATCH(Tabla8[[#This Row],[Numero de Orden]], sala!K:K, 0))</f>
        <v>Cena</v>
      </c>
      <c r="Y146" t="str">
        <f>'Conjunto de Datos'!J147</f>
        <v>No Cobrada</v>
      </c>
      <c r="Z146" t="str">
        <f>INDEX(sala!H:H, MATCH(Tabla8[[#This Row],[Numero de Orden]], sala!K:K, 0))</f>
        <v>Tarjeta de crédito</v>
      </c>
      <c r="AA146" s="3">
        <f>'Conjunto de Datos'!D147</f>
        <v>45018</v>
      </c>
      <c r="AB146" t="str">
        <f>INDEX(sala!L:L, MATCH(Tabla8[[#This Row],[Numero de Orden]], sala!K:K, 0))</f>
        <v>Venezuela</v>
      </c>
      <c r="AC146" t="str">
        <f>'Conjunto de Datos'!N147</f>
        <v>Mesero_2</v>
      </c>
      <c r="AD146">
        <f>Tabla8[[#This Row],[Propina]]+Tabla8[[#This Row],[Precio Cena]]</f>
        <v>1258</v>
      </c>
      <c r="AE146" s="45">
        <f t="shared" si="6"/>
        <v>0</v>
      </c>
    </row>
    <row r="147" spans="1:31" x14ac:dyDescent="0.3">
      <c r="S147" t="str">
        <f>'Conjunto de Datos'!BB148</f>
        <v>670</v>
      </c>
      <c r="T147">
        <f>'Conjunto de Datos'!BF148</f>
        <v>146</v>
      </c>
      <c r="U147" s="7">
        <f>sala!I147</f>
        <v>384</v>
      </c>
      <c r="V147" cm="1">
        <f t="array" ref="V147">SUM(IF(Cocina!A:A=Tabla8[[#This Row],[Numero de Orden]],Cocina!F:F*Cocina!G:G,0))</f>
        <v>62</v>
      </c>
      <c r="W147">
        <f>IF(Tabla8[[#This Row],[Cobrado]]="Cobrada",Tabla8[[#This Row],[Propina]]+Tabla8[[#This Row],[Precio Cena]],0)</f>
        <v>446</v>
      </c>
      <c r="X147" t="str">
        <f>INDEX(sala!G:G, MATCH(Tabla8[[#This Row],[Numero de Orden]], sala!K:K, 0))</f>
        <v>Almuerzo</v>
      </c>
      <c r="Y147" t="str">
        <f>'Conjunto de Datos'!J148</f>
        <v>Cobrada</v>
      </c>
      <c r="Z147" t="str">
        <f>INDEX(sala!H:H, MATCH(Tabla8[[#This Row],[Numero de Orden]], sala!K:K, 0))</f>
        <v>Tarjeta de crédito</v>
      </c>
      <c r="AA147" s="3">
        <f>'Conjunto de Datos'!D148</f>
        <v>45018</v>
      </c>
      <c r="AB147" t="str">
        <f>INDEX(sala!L:L, MATCH(Tabla8[[#This Row],[Numero de Orden]], sala!K:K, 0))</f>
        <v>Paraguay</v>
      </c>
      <c r="AC147" t="str">
        <f>'Conjunto de Datos'!N148</f>
        <v>Mesero_3</v>
      </c>
      <c r="AD147">
        <f>Tabla8[[#This Row],[Propina]]+Tabla8[[#This Row],[Precio Cena]]</f>
        <v>446</v>
      </c>
      <c r="AE147" s="45">
        <f t="shared" si="6"/>
        <v>62</v>
      </c>
    </row>
    <row r="148" spans="1:31" x14ac:dyDescent="0.3">
      <c r="S148" s="15" t="str">
        <f>'Conjunto de Datos'!BB149</f>
        <v>909</v>
      </c>
      <c r="T148" s="15">
        <f>'Conjunto de Datos'!BF149</f>
        <v>147</v>
      </c>
      <c r="U148" s="6">
        <f>sala!I148</f>
        <v>2714</v>
      </c>
      <c r="V148" cm="1">
        <f t="array" ref="V148">SUM(IF(Cocina!A:A=Tabla8[[#This Row],[Numero de Orden]],Cocina!F:F*Cocina!G:G,0))</f>
        <v>84</v>
      </c>
      <c r="W148">
        <f>IF(Tabla8[[#This Row],[Cobrado]]="Cobrada",Tabla8[[#This Row],[Propina]]+Tabla8[[#This Row],[Precio Cena]],0)</f>
        <v>2798</v>
      </c>
      <c r="X148" t="str">
        <f>INDEX(sala!G:G, MATCH(Tabla8[[#This Row],[Numero de Orden]], sala!K:K, 0))</f>
        <v>Desayuno</v>
      </c>
      <c r="Y148" t="str">
        <f>'Conjunto de Datos'!J149</f>
        <v>Cobrada</v>
      </c>
      <c r="Z148" t="str">
        <f>INDEX(sala!H:H, MATCH(Tabla8[[#This Row],[Numero de Orden]], sala!K:K, 0))</f>
        <v>Tarjeta de crédito</v>
      </c>
      <c r="AA148" s="3">
        <f>'Conjunto de Datos'!D149</f>
        <v>45018</v>
      </c>
      <c r="AB148" t="str">
        <f>INDEX(sala!L:L, MATCH(Tabla8[[#This Row],[Numero de Orden]], sala!K:K, 0))</f>
        <v>Colombia</v>
      </c>
      <c r="AC148" t="str">
        <f>'Conjunto de Datos'!N149</f>
        <v>Mesero_3</v>
      </c>
      <c r="AD148">
        <f>Tabla8[[#This Row],[Propina]]+Tabla8[[#This Row],[Precio Cena]]</f>
        <v>2798</v>
      </c>
      <c r="AE148" s="45">
        <f t="shared" si="6"/>
        <v>84</v>
      </c>
    </row>
    <row r="149" spans="1:31" x14ac:dyDescent="0.3">
      <c r="S149" t="str">
        <f>'Conjunto de Datos'!BB150</f>
        <v>402</v>
      </c>
      <c r="T149">
        <f>'Conjunto de Datos'!BF150</f>
        <v>148</v>
      </c>
      <c r="U149" s="7">
        <f>sala!I149</f>
        <v>4626</v>
      </c>
      <c r="V149" cm="1">
        <f t="array" ref="V149">SUM(IF(Cocina!A:A=Tabla8[[#This Row],[Numero de Orden]],Cocina!F:F*Cocina!G:G,0))</f>
        <v>212</v>
      </c>
      <c r="W149">
        <f>IF(Tabla8[[#This Row],[Cobrado]]="Cobrada",Tabla8[[#This Row],[Propina]]+Tabla8[[#This Row],[Precio Cena]],0)</f>
        <v>0</v>
      </c>
      <c r="X149" t="str">
        <f>INDEX(sala!G:G, MATCH(Tabla8[[#This Row],[Numero de Orden]], sala!K:K, 0))</f>
        <v>Almuerzo</v>
      </c>
      <c r="Y149" t="str">
        <f>'Conjunto de Datos'!J150</f>
        <v>No Cobrada</v>
      </c>
      <c r="Z149" t="str">
        <f>INDEX(sala!H:H, MATCH(Tabla8[[#This Row],[Numero de Orden]], sala!K:K, 0))</f>
        <v>Tarjeta de débito</v>
      </c>
      <c r="AA149" s="3">
        <f>'Conjunto de Datos'!D150</f>
        <v>45018</v>
      </c>
      <c r="AB149" t="str">
        <f>INDEX(sala!L:L, MATCH(Tabla8[[#This Row],[Numero de Orden]], sala!K:K, 0))</f>
        <v>Colombia</v>
      </c>
      <c r="AC149" t="str">
        <f>'Conjunto de Datos'!N150</f>
        <v>Mesero_3</v>
      </c>
      <c r="AD149">
        <f>Tabla8[[#This Row],[Propina]]+Tabla8[[#This Row],[Precio Cena]]</f>
        <v>4838</v>
      </c>
      <c r="AE149" s="45">
        <f t="shared" si="6"/>
        <v>0</v>
      </c>
    </row>
    <row r="150" spans="1:31" x14ac:dyDescent="0.3">
      <c r="S150" s="15" t="str">
        <f>'Conjunto de Datos'!BB151</f>
        <v>709</v>
      </c>
      <c r="T150" s="15">
        <f>'Conjunto de Datos'!BF151</f>
        <v>149</v>
      </c>
      <c r="U150" s="6">
        <f>sala!I150</f>
        <v>1592</v>
      </c>
      <c r="V150" cm="1">
        <f t="array" ref="V150">SUM(IF(Cocina!A:A=Tabla8[[#This Row],[Numero de Orden]],Cocina!F:F*Cocina!G:G,0))</f>
        <v>226</v>
      </c>
      <c r="W150">
        <f>IF(Tabla8[[#This Row],[Cobrado]]="Cobrada",Tabla8[[#This Row],[Propina]]+Tabla8[[#This Row],[Precio Cena]],0)</f>
        <v>1818</v>
      </c>
      <c r="X150" t="str">
        <f>INDEX(sala!G:G, MATCH(Tabla8[[#This Row],[Numero de Orden]], sala!K:K, 0))</f>
        <v>Desayuno</v>
      </c>
      <c r="Y150" t="str">
        <f>'Conjunto de Datos'!J151</f>
        <v>Cobrada</v>
      </c>
      <c r="Z150" t="str">
        <f>INDEX(sala!H:H, MATCH(Tabla8[[#This Row],[Numero de Orden]], sala!K:K, 0))</f>
        <v>Tarjeta de crédito</v>
      </c>
      <c r="AA150" s="3">
        <f>'Conjunto de Datos'!D151</f>
        <v>45018</v>
      </c>
      <c r="AB150" t="str">
        <f>INDEX(sala!L:L, MATCH(Tabla8[[#This Row],[Numero de Orden]], sala!K:K, 0))</f>
        <v>Brasil</v>
      </c>
      <c r="AC150" t="str">
        <f>'Conjunto de Datos'!N151</f>
        <v>Mesero_5</v>
      </c>
      <c r="AD150">
        <f>Tabla8[[#This Row],[Propina]]+Tabla8[[#This Row],[Precio Cena]]</f>
        <v>1818</v>
      </c>
      <c r="AE150" s="45">
        <f t="shared" si="6"/>
        <v>226</v>
      </c>
    </row>
    <row r="151" spans="1:31" x14ac:dyDescent="0.3">
      <c r="S151" t="str">
        <f>'Conjunto de Datos'!BB152</f>
        <v>533</v>
      </c>
      <c r="T151">
        <f>'Conjunto de Datos'!BF152</f>
        <v>150</v>
      </c>
      <c r="U151" s="7">
        <f>sala!I151</f>
        <v>4843</v>
      </c>
      <c r="V151" cm="1">
        <f t="array" ref="V151">SUM(IF(Cocina!A:A=Tabla8[[#This Row],[Numero de Orden]],Cocina!F:F*Cocina!G:G,0))</f>
        <v>150</v>
      </c>
      <c r="W151">
        <f>IF(Tabla8[[#This Row],[Cobrado]]="Cobrada",Tabla8[[#This Row],[Propina]]+Tabla8[[#This Row],[Precio Cena]],0)</f>
        <v>4993</v>
      </c>
      <c r="X151" t="str">
        <f>INDEX(sala!G:G, MATCH(Tabla8[[#This Row],[Numero de Orden]], sala!K:K, 0))</f>
        <v>Almuerzo</v>
      </c>
      <c r="Y151" t="str">
        <f>'Conjunto de Datos'!J152</f>
        <v>Cobrada</v>
      </c>
      <c r="Z151" t="str">
        <f>INDEX(sala!H:H, MATCH(Tabla8[[#This Row],[Numero de Orden]], sala!K:K, 0))</f>
        <v>Tarjeta de débito</v>
      </c>
      <c r="AA151" s="3">
        <f>'Conjunto de Datos'!D152</f>
        <v>45018</v>
      </c>
      <c r="AB151" t="str">
        <f>INDEX(sala!L:L, MATCH(Tabla8[[#This Row],[Numero de Orden]], sala!K:K, 0))</f>
        <v>Argentina</v>
      </c>
      <c r="AC151" t="str">
        <f>'Conjunto de Datos'!N152</f>
        <v>Mesero_1</v>
      </c>
      <c r="AD151">
        <f>Tabla8[[#This Row],[Propina]]+Tabla8[[#This Row],[Precio Cena]]</f>
        <v>4993</v>
      </c>
      <c r="AE151" s="45">
        <f t="shared" si="6"/>
        <v>150</v>
      </c>
    </row>
    <row r="152" spans="1:31" x14ac:dyDescent="0.3">
      <c r="A152" s="16" t="s">
        <v>669</v>
      </c>
      <c r="B152" s="17" t="s">
        <v>671</v>
      </c>
      <c r="S152" s="15" t="str">
        <f>'Conjunto de Datos'!BB153</f>
        <v>953</v>
      </c>
      <c r="T152" s="15">
        <f>'Conjunto de Datos'!BF153</f>
        <v>151</v>
      </c>
      <c r="U152" s="6">
        <f>sala!I152</f>
        <v>4151</v>
      </c>
      <c r="V152" cm="1">
        <f t="array" ref="V152">SUM(IF(Cocina!A:A=Tabla8[[#This Row],[Numero de Orden]],Cocina!F:F*Cocina!G:G,0))</f>
        <v>132</v>
      </c>
      <c r="W152">
        <f>IF(Tabla8[[#This Row],[Cobrado]]="Cobrada",Tabla8[[#This Row],[Propina]]+Tabla8[[#This Row],[Precio Cena]],0)</f>
        <v>4283</v>
      </c>
      <c r="X152" t="str">
        <f>INDEX(sala!G:G, MATCH(Tabla8[[#This Row],[Numero de Orden]], sala!K:K, 0))</f>
        <v>Cena</v>
      </c>
      <c r="Y152" t="str">
        <f>'Conjunto de Datos'!J153</f>
        <v>Cobrada</v>
      </c>
      <c r="Z152" t="str">
        <f>INDEX(sala!H:H, MATCH(Tabla8[[#This Row],[Numero de Orden]], sala!K:K, 0))</f>
        <v>Tarjeta de crédito</v>
      </c>
      <c r="AA152" s="3">
        <f>'Conjunto de Datos'!D153</f>
        <v>45018</v>
      </c>
      <c r="AB152" t="str">
        <f>INDEX(sala!L:L, MATCH(Tabla8[[#This Row],[Numero de Orden]], sala!K:K, 0))</f>
        <v>Ecuador</v>
      </c>
      <c r="AC152" t="str">
        <f>'Conjunto de Datos'!N153</f>
        <v>Mesero_4</v>
      </c>
      <c r="AD152">
        <f>Tabla8[[#This Row],[Propina]]+Tabla8[[#This Row],[Precio Cena]]</f>
        <v>4283</v>
      </c>
      <c r="AE152" s="45">
        <f t="shared" si="6"/>
        <v>132</v>
      </c>
    </row>
    <row r="153" spans="1:31" x14ac:dyDescent="0.3">
      <c r="A153" s="20" t="s">
        <v>73</v>
      </c>
      <c r="B153" s="18">
        <f>COUNTIFS(Y:Y,"No Cobrada", AC:AC,A153)</f>
        <v>13</v>
      </c>
      <c r="S153" t="str">
        <f>'Conjunto de Datos'!BB154</f>
        <v>380</v>
      </c>
      <c r="T153">
        <f>'Conjunto de Datos'!BF154</f>
        <v>152</v>
      </c>
      <c r="U153" s="7">
        <f>sala!I153</f>
        <v>2557</v>
      </c>
      <c r="V153" cm="1">
        <f t="array" ref="V153">SUM(IF(Cocina!A:A=Tabla8[[#This Row],[Numero de Orden]],Cocina!F:F*Cocina!G:G,0))</f>
        <v>56</v>
      </c>
      <c r="W153">
        <f>IF(Tabla8[[#This Row],[Cobrado]]="Cobrada",Tabla8[[#This Row],[Propina]]+Tabla8[[#This Row],[Precio Cena]],0)</f>
        <v>2613</v>
      </c>
      <c r="X153" t="str">
        <f>INDEX(sala!G:G, MATCH(Tabla8[[#This Row],[Numero de Orden]], sala!K:K, 0))</f>
        <v>Almuerzo</v>
      </c>
      <c r="Y153" t="str">
        <f>'Conjunto de Datos'!J154</f>
        <v>Cobrada</v>
      </c>
      <c r="Z153" t="str">
        <f>INDEX(sala!H:H, MATCH(Tabla8[[#This Row],[Numero de Orden]], sala!K:K, 0))</f>
        <v>Tarjeta de débito</v>
      </c>
      <c r="AA153" s="3">
        <f>'Conjunto de Datos'!D154</f>
        <v>45018</v>
      </c>
      <c r="AB153" t="str">
        <f>INDEX(sala!L:L, MATCH(Tabla8[[#This Row],[Numero de Orden]], sala!K:K, 0))</f>
        <v>Ecuador</v>
      </c>
      <c r="AC153" t="str">
        <f>'Conjunto de Datos'!N154</f>
        <v>Mesero_4</v>
      </c>
      <c r="AD153">
        <f>Tabla8[[#This Row],[Propina]]+Tabla8[[#This Row],[Precio Cena]]</f>
        <v>2613</v>
      </c>
      <c r="AE153" s="45">
        <f t="shared" si="6"/>
        <v>56</v>
      </c>
    </row>
    <row r="154" spans="1:31" x14ac:dyDescent="0.3">
      <c r="A154" s="21" t="s">
        <v>32</v>
      </c>
      <c r="B154" s="19">
        <f>COUNTIFS(Y:Y,"No Cobrada", AC:AC,A154)</f>
        <v>29</v>
      </c>
      <c r="S154" s="15" t="str">
        <f>'Conjunto de Datos'!BB155</f>
        <v>870</v>
      </c>
      <c r="T154" s="15">
        <f>'Conjunto de Datos'!BF155</f>
        <v>153</v>
      </c>
      <c r="U154" s="6">
        <f>sala!I154</f>
        <v>4284</v>
      </c>
      <c r="V154" cm="1">
        <f t="array" ref="V154">SUM(IF(Cocina!A:A=Tabla8[[#This Row],[Numero de Orden]],Cocina!F:F*Cocina!G:G,0))</f>
        <v>203</v>
      </c>
      <c r="W154">
        <f>IF(Tabla8[[#This Row],[Cobrado]]="Cobrada",Tabla8[[#This Row],[Propina]]+Tabla8[[#This Row],[Precio Cena]],0)</f>
        <v>4487</v>
      </c>
      <c r="X154" t="str">
        <f>INDEX(sala!G:G, MATCH(Tabla8[[#This Row],[Numero de Orden]], sala!K:K, 0))</f>
        <v>Desayuno</v>
      </c>
      <c r="Y154" t="str">
        <f>'Conjunto de Datos'!J155</f>
        <v>Cobrada</v>
      </c>
      <c r="Z154" t="str">
        <f>INDEX(sala!H:H, MATCH(Tabla8[[#This Row],[Numero de Orden]], sala!K:K, 0))</f>
        <v>Tarjeta de débito</v>
      </c>
      <c r="AA154" s="3">
        <f>'Conjunto de Datos'!D155</f>
        <v>45018</v>
      </c>
      <c r="AB154" t="str">
        <f>INDEX(sala!L:L, MATCH(Tabla8[[#This Row],[Numero de Orden]], sala!K:K, 0))</f>
        <v>Paraguay</v>
      </c>
      <c r="AC154" t="str">
        <f>'Conjunto de Datos'!N155</f>
        <v>Mesero_2</v>
      </c>
      <c r="AD154">
        <f>Tabla8[[#This Row],[Propina]]+Tabla8[[#This Row],[Precio Cena]]</f>
        <v>4487</v>
      </c>
      <c r="AE154" s="45">
        <f t="shared" si="6"/>
        <v>203</v>
      </c>
    </row>
    <row r="155" spans="1:31" x14ac:dyDescent="0.3">
      <c r="A155" s="20" t="s">
        <v>52</v>
      </c>
      <c r="B155" s="18">
        <f t="shared" ref="B155:B157" si="7">COUNTIFS(Y:Y,"No Cobrada", AC:AC,A155)</f>
        <v>25</v>
      </c>
      <c r="S155" t="str">
        <f>'Conjunto de Datos'!BB156</f>
        <v>964</v>
      </c>
      <c r="T155">
        <f>'Conjunto de Datos'!BF156</f>
        <v>154</v>
      </c>
      <c r="U155" s="7">
        <f>sala!I155</f>
        <v>172</v>
      </c>
      <c r="V155" cm="1">
        <f t="array" ref="V155">SUM(IF(Cocina!A:A=Tabla8[[#This Row],[Numero de Orden]],Cocina!F:F*Cocina!G:G,0))</f>
        <v>144</v>
      </c>
      <c r="W155">
        <f>IF(Tabla8[[#This Row],[Cobrado]]="Cobrada",Tabla8[[#This Row],[Propina]]+Tabla8[[#This Row],[Precio Cena]],0)</f>
        <v>316</v>
      </c>
      <c r="X155" t="str">
        <f>INDEX(sala!G:G, MATCH(Tabla8[[#This Row],[Numero de Orden]], sala!K:K, 0))</f>
        <v>Desayuno</v>
      </c>
      <c r="Y155" t="str">
        <f>'Conjunto de Datos'!J156</f>
        <v>Cobrada</v>
      </c>
      <c r="Z155" t="str">
        <f>INDEX(sala!H:H, MATCH(Tabla8[[#This Row],[Numero de Orden]], sala!K:K, 0))</f>
        <v>Tarjeta de crédito</v>
      </c>
      <c r="AA155" s="3">
        <f>'Conjunto de Datos'!D156</f>
        <v>45018</v>
      </c>
      <c r="AB155" t="str">
        <f>INDEX(sala!L:L, MATCH(Tabla8[[#This Row],[Numero de Orden]], sala!K:K, 0))</f>
        <v>Ecuador</v>
      </c>
      <c r="AC155" t="str">
        <f>'Conjunto de Datos'!N156</f>
        <v>Mesero_1</v>
      </c>
      <c r="AD155">
        <f>Tabla8[[#This Row],[Propina]]+Tabla8[[#This Row],[Precio Cena]]</f>
        <v>316</v>
      </c>
      <c r="AE155" s="45">
        <f t="shared" si="6"/>
        <v>144</v>
      </c>
    </row>
    <row r="156" spans="1:31" x14ac:dyDescent="0.3">
      <c r="A156" s="21" t="s">
        <v>14</v>
      </c>
      <c r="B156" s="19">
        <f t="shared" si="7"/>
        <v>14</v>
      </c>
      <c r="S156" s="15" t="str">
        <f>'Conjunto de Datos'!BB157</f>
        <v>939</v>
      </c>
      <c r="T156" s="15">
        <f>'Conjunto de Datos'!BF157</f>
        <v>155</v>
      </c>
      <c r="U156" s="6">
        <f>sala!I156</f>
        <v>2572</v>
      </c>
      <c r="V156" cm="1">
        <f t="array" ref="V156">SUM(IF(Cocina!A:A=Tabla8[[#This Row],[Numero de Orden]],Cocina!F:F*Cocina!G:G,0))</f>
        <v>136</v>
      </c>
      <c r="W156">
        <f>IF(Tabla8[[#This Row],[Cobrado]]="Cobrada",Tabla8[[#This Row],[Propina]]+Tabla8[[#This Row],[Precio Cena]],0)</f>
        <v>2708</v>
      </c>
      <c r="X156" t="str">
        <f>INDEX(sala!G:G, MATCH(Tabla8[[#This Row],[Numero de Orden]], sala!K:K, 0))</f>
        <v>Almuerzo</v>
      </c>
      <c r="Y156" t="str">
        <f>'Conjunto de Datos'!J157</f>
        <v>Cobrada</v>
      </c>
      <c r="Z156" t="str">
        <f>INDEX(sala!H:H, MATCH(Tabla8[[#This Row],[Numero de Orden]], sala!K:K, 0))</f>
        <v>Tarjeta de crédito</v>
      </c>
      <c r="AA156" s="3">
        <f>'Conjunto de Datos'!D157</f>
        <v>45018</v>
      </c>
      <c r="AB156" t="str">
        <f>INDEX(sala!L:L, MATCH(Tabla8[[#This Row],[Numero de Orden]], sala!K:K, 0))</f>
        <v>Venezuela</v>
      </c>
      <c r="AC156" t="str">
        <f>'Conjunto de Datos'!N157</f>
        <v>Mesero_5</v>
      </c>
      <c r="AD156">
        <f>Tabla8[[#This Row],[Propina]]+Tabla8[[#This Row],[Precio Cena]]</f>
        <v>2708</v>
      </c>
      <c r="AE156" s="45">
        <f t="shared" si="6"/>
        <v>136</v>
      </c>
    </row>
    <row r="157" spans="1:31" x14ac:dyDescent="0.3">
      <c r="A157" s="20" t="s">
        <v>21</v>
      </c>
      <c r="B157" s="18">
        <f t="shared" si="7"/>
        <v>18</v>
      </c>
      <c r="S157" t="str">
        <f>'Conjunto de Datos'!BB158</f>
        <v>536</v>
      </c>
      <c r="T157">
        <f>'Conjunto de Datos'!BF158</f>
        <v>156</v>
      </c>
      <c r="U157" s="7">
        <f>sala!I157</f>
        <v>1903</v>
      </c>
      <c r="V157" cm="1">
        <f t="array" ref="V157">SUM(IF(Cocina!A:A=Tabla8[[#This Row],[Numero de Orden]],Cocina!F:F*Cocina!G:G,0))</f>
        <v>56</v>
      </c>
      <c r="W157">
        <f>IF(Tabla8[[#This Row],[Cobrado]]="Cobrada",Tabla8[[#This Row],[Propina]]+Tabla8[[#This Row],[Precio Cena]],0)</f>
        <v>1959</v>
      </c>
      <c r="X157" t="str">
        <f>INDEX(sala!G:G, MATCH(Tabla8[[#This Row],[Numero de Orden]], sala!K:K, 0))</f>
        <v>Cena</v>
      </c>
      <c r="Y157" t="str">
        <f>'Conjunto de Datos'!J158</f>
        <v>Cobrada</v>
      </c>
      <c r="Z157" t="str">
        <f>INDEX(sala!H:H, MATCH(Tabla8[[#This Row],[Numero de Orden]], sala!K:K, 0))</f>
        <v>Tarjeta de crédito</v>
      </c>
      <c r="AA157" s="3">
        <f>'Conjunto de Datos'!D158</f>
        <v>45018</v>
      </c>
      <c r="AB157" t="str">
        <f>INDEX(sala!L:L, MATCH(Tabla8[[#This Row],[Numero de Orden]], sala!K:K, 0))</f>
        <v>España</v>
      </c>
      <c r="AC157" t="str">
        <f>'Conjunto de Datos'!N158</f>
        <v>Mesero_3</v>
      </c>
      <c r="AD157">
        <f>Tabla8[[#This Row],[Propina]]+Tabla8[[#This Row],[Precio Cena]]</f>
        <v>1959</v>
      </c>
      <c r="AE157" s="45">
        <f t="shared" si="6"/>
        <v>56</v>
      </c>
    </row>
    <row r="158" spans="1:31" ht="17.399999999999999" customHeight="1" x14ac:dyDescent="0.3">
      <c r="S158" s="15" t="str">
        <f>'Conjunto de Datos'!BB159</f>
        <v>5</v>
      </c>
      <c r="T158" s="15">
        <f>'Conjunto de Datos'!BF159</f>
        <v>157</v>
      </c>
      <c r="U158" s="6">
        <f>sala!I158</f>
        <v>2848</v>
      </c>
      <c r="V158" cm="1">
        <f t="array" ref="V158">SUM(IF(Cocina!A:A=Tabla8[[#This Row],[Numero de Orden]],Cocina!F:F*Cocina!G:G,0))</f>
        <v>271</v>
      </c>
      <c r="W158">
        <f>IF(Tabla8[[#This Row],[Cobrado]]="Cobrada",Tabla8[[#This Row],[Propina]]+Tabla8[[#This Row],[Precio Cena]],0)</f>
        <v>3119</v>
      </c>
      <c r="X158" t="str">
        <f>INDEX(sala!G:G, MATCH(Tabla8[[#This Row],[Numero de Orden]], sala!K:K, 0))</f>
        <v>Desayuno</v>
      </c>
      <c r="Y158" t="str">
        <f>'Conjunto de Datos'!J159</f>
        <v>Cobrada</v>
      </c>
      <c r="Z158" t="str">
        <f>INDEX(sala!H:H, MATCH(Tabla8[[#This Row],[Numero de Orden]], sala!K:K, 0))</f>
        <v>Tarjeta de crédito</v>
      </c>
      <c r="AA158" s="3">
        <f>'Conjunto de Datos'!D159</f>
        <v>45018</v>
      </c>
      <c r="AB158" t="str">
        <f>INDEX(sala!L:L, MATCH(Tabla8[[#This Row],[Numero de Orden]], sala!K:K, 0))</f>
        <v>Perú</v>
      </c>
      <c r="AC158" t="str">
        <f>'Conjunto de Datos'!N159</f>
        <v>Mesero_3</v>
      </c>
      <c r="AD158">
        <f>Tabla8[[#This Row],[Propina]]+Tabla8[[#This Row],[Precio Cena]]</f>
        <v>3119</v>
      </c>
      <c r="AE158" s="45">
        <f t="shared" si="6"/>
        <v>271</v>
      </c>
    </row>
    <row r="159" spans="1:31" x14ac:dyDescent="0.3">
      <c r="S159" t="str">
        <f>'Conjunto de Datos'!BB160</f>
        <v>115</v>
      </c>
      <c r="T159">
        <f>'Conjunto de Datos'!BF160</f>
        <v>158</v>
      </c>
      <c r="U159" s="7">
        <f>sala!I159</f>
        <v>4875</v>
      </c>
      <c r="V159" cm="1">
        <f t="array" ref="V159">SUM(IF(Cocina!A:A=Tabla8[[#This Row],[Numero de Orden]],Cocina!F:F*Cocina!G:G,0))</f>
        <v>310</v>
      </c>
      <c r="W159">
        <f>IF(Tabla8[[#This Row],[Cobrado]]="Cobrada",Tabla8[[#This Row],[Propina]]+Tabla8[[#This Row],[Precio Cena]],0)</f>
        <v>0</v>
      </c>
      <c r="X159" t="str">
        <f>INDEX(sala!G:G, MATCH(Tabla8[[#This Row],[Numero de Orden]], sala!K:K, 0))</f>
        <v>Almuerzo</v>
      </c>
      <c r="Y159" t="str">
        <f>'Conjunto de Datos'!J160</f>
        <v>No Cobrada</v>
      </c>
      <c r="Z159" t="str">
        <f>INDEX(sala!H:H, MATCH(Tabla8[[#This Row],[Numero de Orden]], sala!K:K, 0))</f>
        <v>Tarjeta de crédito</v>
      </c>
      <c r="AA159" s="3">
        <f>'Conjunto de Datos'!D160</f>
        <v>45018</v>
      </c>
      <c r="AB159" t="str">
        <f>INDEX(sala!L:L, MATCH(Tabla8[[#This Row],[Numero de Orden]], sala!K:K, 0))</f>
        <v>Chile</v>
      </c>
      <c r="AC159" t="str">
        <f>'Conjunto de Datos'!N160</f>
        <v>Mesero_3</v>
      </c>
      <c r="AD159">
        <f>Tabla8[[#This Row],[Propina]]+Tabla8[[#This Row],[Precio Cena]]</f>
        <v>5185</v>
      </c>
      <c r="AE159" s="45">
        <f t="shared" si="6"/>
        <v>0</v>
      </c>
    </row>
    <row r="160" spans="1:31" x14ac:dyDescent="0.3">
      <c r="S160" s="15" t="str">
        <f>'Conjunto de Datos'!BB161</f>
        <v>580</v>
      </c>
      <c r="T160" s="15">
        <f>'Conjunto de Datos'!BF161</f>
        <v>159</v>
      </c>
      <c r="U160" s="6">
        <f>sala!I160</f>
        <v>4781</v>
      </c>
      <c r="V160" cm="1">
        <f t="array" ref="V160">SUM(IF(Cocina!A:A=Tabla8[[#This Row],[Numero de Orden]],Cocina!F:F*Cocina!G:G,0))</f>
        <v>253</v>
      </c>
      <c r="W160">
        <f>IF(Tabla8[[#This Row],[Cobrado]]="Cobrada",Tabla8[[#This Row],[Propina]]+Tabla8[[#This Row],[Precio Cena]],0)</f>
        <v>5034</v>
      </c>
      <c r="X160" t="str">
        <f>INDEX(sala!G:G, MATCH(Tabla8[[#This Row],[Numero de Orden]], sala!K:K, 0))</f>
        <v>Desayuno</v>
      </c>
      <c r="Y160" t="str">
        <f>'Conjunto de Datos'!J161</f>
        <v>Cobrada</v>
      </c>
      <c r="Z160" t="str">
        <f>INDEX(sala!H:H, MATCH(Tabla8[[#This Row],[Numero de Orden]], sala!K:K, 0))</f>
        <v>Tarjeta de crédito</v>
      </c>
      <c r="AA160" s="3">
        <f>'Conjunto de Datos'!D161</f>
        <v>45018</v>
      </c>
      <c r="AB160" t="str">
        <f>INDEX(sala!L:L, MATCH(Tabla8[[#This Row],[Numero de Orden]], sala!K:K, 0))</f>
        <v>Brasil</v>
      </c>
      <c r="AC160" t="str">
        <f>'Conjunto de Datos'!N161</f>
        <v>Mesero_3</v>
      </c>
      <c r="AD160">
        <f>Tabla8[[#This Row],[Propina]]+Tabla8[[#This Row],[Precio Cena]]</f>
        <v>5034</v>
      </c>
      <c r="AE160" s="45">
        <f t="shared" si="6"/>
        <v>253</v>
      </c>
    </row>
    <row r="161" spans="19:31" x14ac:dyDescent="0.3">
      <c r="S161" t="str">
        <f>'Conjunto de Datos'!BB162</f>
        <v>788</v>
      </c>
      <c r="T161">
        <f>'Conjunto de Datos'!BF162</f>
        <v>160</v>
      </c>
      <c r="U161" s="7">
        <f>sala!I161</f>
        <v>2602</v>
      </c>
      <c r="V161" cm="1">
        <f t="array" ref="V161">SUM(IF(Cocina!A:A=Tabla8[[#This Row],[Numero de Orden]],Cocina!F:F*Cocina!G:G,0))</f>
        <v>156</v>
      </c>
      <c r="W161">
        <f>IF(Tabla8[[#This Row],[Cobrado]]="Cobrada",Tabla8[[#This Row],[Propina]]+Tabla8[[#This Row],[Precio Cena]],0)</f>
        <v>2758</v>
      </c>
      <c r="X161" t="str">
        <f>INDEX(sala!G:G, MATCH(Tabla8[[#This Row],[Numero de Orden]], sala!K:K, 0))</f>
        <v>Almuerzo</v>
      </c>
      <c r="Y161" t="str">
        <f>'Conjunto de Datos'!J162</f>
        <v>Cobrada</v>
      </c>
      <c r="Z161" t="str">
        <f>INDEX(sala!H:H, MATCH(Tabla8[[#This Row],[Numero de Orden]], sala!K:K, 0))</f>
        <v>Tarjeta de crédito</v>
      </c>
      <c r="AA161" s="3">
        <f>'Conjunto de Datos'!D162</f>
        <v>45018</v>
      </c>
      <c r="AB161" t="str">
        <f>INDEX(sala!L:L, MATCH(Tabla8[[#This Row],[Numero de Orden]], sala!K:K, 0))</f>
        <v>Colombia</v>
      </c>
      <c r="AC161" t="str">
        <f>'Conjunto de Datos'!N162</f>
        <v>Mesero_2</v>
      </c>
      <c r="AD161">
        <f>Tabla8[[#This Row],[Propina]]+Tabla8[[#This Row],[Precio Cena]]</f>
        <v>2758</v>
      </c>
      <c r="AE161" s="45">
        <f t="shared" si="6"/>
        <v>156</v>
      </c>
    </row>
    <row r="162" spans="19:31" x14ac:dyDescent="0.3">
      <c r="S162" s="15" t="str">
        <f>'Conjunto de Datos'!BB163</f>
        <v>892</v>
      </c>
      <c r="T162" s="15">
        <f>'Conjunto de Datos'!BF163</f>
        <v>161</v>
      </c>
      <c r="U162" s="6">
        <f>sala!I162</f>
        <v>1886</v>
      </c>
      <c r="V162" cm="1">
        <f t="array" ref="V162">SUM(IF(Cocina!A:A=Tabla8[[#This Row],[Numero de Orden]],Cocina!F:F*Cocina!G:G,0))</f>
        <v>84</v>
      </c>
      <c r="W162">
        <f>IF(Tabla8[[#This Row],[Cobrado]]="Cobrada",Tabla8[[#This Row],[Propina]]+Tabla8[[#This Row],[Precio Cena]],0)</f>
        <v>1970</v>
      </c>
      <c r="X162" t="str">
        <f>INDEX(sala!G:G, MATCH(Tabla8[[#This Row],[Numero de Orden]], sala!K:K, 0))</f>
        <v>Almuerzo</v>
      </c>
      <c r="Y162" t="str">
        <f>'Conjunto de Datos'!J163</f>
        <v>Cobrada</v>
      </c>
      <c r="Z162" t="str">
        <f>INDEX(sala!H:H, MATCH(Tabla8[[#This Row],[Numero de Orden]], sala!K:K, 0))</f>
        <v>Tarjeta de crédito</v>
      </c>
      <c r="AA162" s="3">
        <f>'Conjunto de Datos'!D163</f>
        <v>45018</v>
      </c>
      <c r="AB162" t="str">
        <f>INDEX(sala!L:L, MATCH(Tabla8[[#This Row],[Numero de Orden]], sala!K:K, 0))</f>
        <v>Paraguay</v>
      </c>
      <c r="AC162" t="str">
        <f>'Conjunto de Datos'!N163</f>
        <v>Mesero_2</v>
      </c>
      <c r="AD162">
        <f>Tabla8[[#This Row],[Propina]]+Tabla8[[#This Row],[Precio Cena]]</f>
        <v>1970</v>
      </c>
      <c r="AE162" s="45">
        <f t="shared" si="6"/>
        <v>84</v>
      </c>
    </row>
    <row r="163" spans="19:31" x14ac:dyDescent="0.3">
      <c r="S163" t="str">
        <f>'Conjunto de Datos'!BB164</f>
        <v>406</v>
      </c>
      <c r="T163">
        <f>'Conjunto de Datos'!BF164</f>
        <v>162</v>
      </c>
      <c r="U163" s="7">
        <f>sala!I163</f>
        <v>1755</v>
      </c>
      <c r="V163" cm="1">
        <f t="array" ref="V163">SUM(IF(Cocina!A:A=Tabla8[[#This Row],[Numero de Orden]],Cocina!F:F*Cocina!G:G,0))</f>
        <v>72</v>
      </c>
      <c r="W163">
        <f>IF(Tabla8[[#This Row],[Cobrado]]="Cobrada",Tabla8[[#This Row],[Propina]]+Tabla8[[#This Row],[Precio Cena]],0)</f>
        <v>1827</v>
      </c>
      <c r="X163" t="str">
        <f>INDEX(sala!G:G, MATCH(Tabla8[[#This Row],[Numero de Orden]], sala!K:K, 0))</f>
        <v>Almuerzo</v>
      </c>
      <c r="Y163" t="str">
        <f>'Conjunto de Datos'!J164</f>
        <v>Cobrada</v>
      </c>
      <c r="Z163" t="str">
        <f>INDEX(sala!H:H, MATCH(Tabla8[[#This Row],[Numero de Orden]], sala!K:K, 0))</f>
        <v>Tarjeta de crédito</v>
      </c>
      <c r="AA163" s="3">
        <f>'Conjunto de Datos'!D164</f>
        <v>45018</v>
      </c>
      <c r="AB163" t="str">
        <f>INDEX(sala!L:L, MATCH(Tabla8[[#This Row],[Numero de Orden]], sala!K:K, 0))</f>
        <v>Paraguay</v>
      </c>
      <c r="AC163" t="str">
        <f>'Conjunto de Datos'!N164</f>
        <v>Mesero_1</v>
      </c>
      <c r="AD163">
        <f>Tabla8[[#This Row],[Propina]]+Tabla8[[#This Row],[Precio Cena]]</f>
        <v>1827</v>
      </c>
      <c r="AE163" s="45">
        <f t="shared" si="6"/>
        <v>72</v>
      </c>
    </row>
    <row r="164" spans="19:31" x14ac:dyDescent="0.3">
      <c r="S164" s="15" t="str">
        <f>'Conjunto de Datos'!BB165</f>
        <v>295</v>
      </c>
      <c r="T164" s="15">
        <f>'Conjunto de Datos'!BF165</f>
        <v>163</v>
      </c>
      <c r="U164" s="6">
        <f>sala!I164</f>
        <v>1494</v>
      </c>
      <c r="V164" cm="1">
        <f t="array" ref="V164">SUM(IF(Cocina!A:A=Tabla8[[#This Row],[Numero de Orden]],Cocina!F:F*Cocina!G:G,0))</f>
        <v>271</v>
      </c>
      <c r="W164">
        <f>IF(Tabla8[[#This Row],[Cobrado]]="Cobrada",Tabla8[[#This Row],[Propina]]+Tabla8[[#This Row],[Precio Cena]],0)</f>
        <v>1765</v>
      </c>
      <c r="X164" t="str">
        <f>INDEX(sala!G:G, MATCH(Tabla8[[#This Row],[Numero de Orden]], sala!K:K, 0))</f>
        <v>Almuerzo</v>
      </c>
      <c r="Y164" t="str">
        <f>'Conjunto de Datos'!J165</f>
        <v>Cobrada</v>
      </c>
      <c r="Z164" t="str">
        <f>INDEX(sala!H:H, MATCH(Tabla8[[#This Row],[Numero de Orden]], sala!K:K, 0))</f>
        <v>Tarjeta de crédito</v>
      </c>
      <c r="AA164" s="3">
        <f>'Conjunto de Datos'!D165</f>
        <v>45018</v>
      </c>
      <c r="AB164" t="str">
        <f>INDEX(sala!L:L, MATCH(Tabla8[[#This Row],[Numero de Orden]], sala!K:K, 0))</f>
        <v>Chile</v>
      </c>
      <c r="AC164" t="str">
        <f>'Conjunto de Datos'!N165</f>
        <v>Mesero_5</v>
      </c>
      <c r="AD164">
        <f>Tabla8[[#This Row],[Propina]]+Tabla8[[#This Row],[Precio Cena]]</f>
        <v>1765</v>
      </c>
      <c r="AE164" s="45">
        <f t="shared" si="6"/>
        <v>271</v>
      </c>
    </row>
    <row r="165" spans="19:31" x14ac:dyDescent="0.3">
      <c r="S165" t="str">
        <f>'Conjunto de Datos'!BB166</f>
        <v>547</v>
      </c>
      <c r="T165">
        <f>'Conjunto de Datos'!BF166</f>
        <v>164</v>
      </c>
      <c r="U165" s="7">
        <f>sala!I165</f>
        <v>4753</v>
      </c>
      <c r="V165" cm="1">
        <f t="array" ref="V165">SUM(IF(Cocina!A:A=Tabla8[[#This Row],[Numero de Orden]],Cocina!F:F*Cocina!G:G,0))</f>
        <v>170</v>
      </c>
      <c r="W165">
        <f>IF(Tabla8[[#This Row],[Cobrado]]="Cobrada",Tabla8[[#This Row],[Propina]]+Tabla8[[#This Row],[Precio Cena]],0)</f>
        <v>4923</v>
      </c>
      <c r="X165" t="str">
        <f>INDEX(sala!G:G, MATCH(Tabla8[[#This Row],[Numero de Orden]], sala!K:K, 0))</f>
        <v>Cena</v>
      </c>
      <c r="Y165" t="str">
        <f>'Conjunto de Datos'!J166</f>
        <v>Cobrada</v>
      </c>
      <c r="Z165" t="str">
        <f>INDEX(sala!H:H, MATCH(Tabla8[[#This Row],[Numero de Orden]], sala!K:K, 0))</f>
        <v>Tarjeta de crédito</v>
      </c>
      <c r="AA165" s="3">
        <f>'Conjunto de Datos'!D166</f>
        <v>45018</v>
      </c>
      <c r="AB165" t="str">
        <f>INDEX(sala!L:L, MATCH(Tabla8[[#This Row],[Numero de Orden]], sala!K:K, 0))</f>
        <v>Colombia</v>
      </c>
      <c r="AC165" t="str">
        <f>'Conjunto de Datos'!N166</f>
        <v>Mesero_4</v>
      </c>
      <c r="AD165">
        <f>Tabla8[[#This Row],[Propina]]+Tabla8[[#This Row],[Precio Cena]]</f>
        <v>4923</v>
      </c>
      <c r="AE165" s="45">
        <f t="shared" si="6"/>
        <v>170</v>
      </c>
    </row>
    <row r="166" spans="19:31" x14ac:dyDescent="0.3">
      <c r="S166" s="15" t="str">
        <f>'Conjunto de Datos'!BB167</f>
        <v>156</v>
      </c>
      <c r="T166" s="15">
        <f>'Conjunto de Datos'!BF167</f>
        <v>165</v>
      </c>
      <c r="U166" s="6">
        <f>sala!I166</f>
        <v>419</v>
      </c>
      <c r="V166" cm="1">
        <f t="array" ref="V166">SUM(IF(Cocina!A:A=Tabla8[[#This Row],[Numero de Orden]],Cocina!F:F*Cocina!G:G,0))</f>
        <v>90</v>
      </c>
      <c r="W166">
        <f>IF(Tabla8[[#This Row],[Cobrado]]="Cobrada",Tabla8[[#This Row],[Propina]]+Tabla8[[#This Row],[Precio Cena]],0)</f>
        <v>509</v>
      </c>
      <c r="X166" t="str">
        <f>INDEX(sala!G:G, MATCH(Tabla8[[#This Row],[Numero de Orden]], sala!K:K, 0))</f>
        <v>Cena</v>
      </c>
      <c r="Y166" t="str">
        <f>'Conjunto de Datos'!J167</f>
        <v>Cobrada</v>
      </c>
      <c r="Z166" t="str">
        <f>INDEX(sala!H:H, MATCH(Tabla8[[#This Row],[Numero de Orden]], sala!K:K, 0))</f>
        <v>Tarjeta de crédito</v>
      </c>
      <c r="AA166" s="3">
        <f>'Conjunto de Datos'!D167</f>
        <v>45018</v>
      </c>
      <c r="AB166" t="str">
        <f>INDEX(sala!L:L, MATCH(Tabla8[[#This Row],[Numero de Orden]], sala!K:K, 0))</f>
        <v>Perú</v>
      </c>
      <c r="AC166" t="str">
        <f>'Conjunto de Datos'!N167</f>
        <v>Mesero_3</v>
      </c>
      <c r="AD166">
        <f>Tabla8[[#This Row],[Propina]]+Tabla8[[#This Row],[Precio Cena]]</f>
        <v>509</v>
      </c>
      <c r="AE166" s="45">
        <f t="shared" si="6"/>
        <v>90</v>
      </c>
    </row>
    <row r="167" spans="19:31" x14ac:dyDescent="0.3">
      <c r="S167" t="str">
        <f>'Conjunto de Datos'!BB168</f>
        <v>768</v>
      </c>
      <c r="T167">
        <f>'Conjunto de Datos'!BF168</f>
        <v>166</v>
      </c>
      <c r="U167" s="7">
        <f>sala!I167</f>
        <v>4395</v>
      </c>
      <c r="V167" cm="1">
        <f t="array" ref="V167">SUM(IF(Cocina!A:A=Tabla8[[#This Row],[Numero de Orden]],Cocina!F:F*Cocina!G:G,0))</f>
        <v>46</v>
      </c>
      <c r="W167">
        <f>IF(Tabla8[[#This Row],[Cobrado]]="Cobrada",Tabla8[[#This Row],[Propina]]+Tabla8[[#This Row],[Precio Cena]],0)</f>
        <v>4441</v>
      </c>
      <c r="X167" t="str">
        <f>INDEX(sala!G:G, MATCH(Tabla8[[#This Row],[Numero de Orden]], sala!K:K, 0))</f>
        <v>Almuerzo</v>
      </c>
      <c r="Y167" t="str">
        <f>'Conjunto de Datos'!J168</f>
        <v>Cobrada</v>
      </c>
      <c r="Z167" t="str">
        <f>INDEX(sala!H:H, MATCH(Tabla8[[#This Row],[Numero de Orden]], sala!K:K, 0))</f>
        <v>Efectivo</v>
      </c>
      <c r="AA167" s="3">
        <f>'Conjunto de Datos'!D168</f>
        <v>45018</v>
      </c>
      <c r="AB167" t="str">
        <f>INDEX(sala!L:L, MATCH(Tabla8[[#This Row],[Numero de Orden]], sala!K:K, 0))</f>
        <v>Perú</v>
      </c>
      <c r="AC167" t="str">
        <f>'Conjunto de Datos'!N168</f>
        <v>Mesero_4</v>
      </c>
      <c r="AD167">
        <f>Tabla8[[#This Row],[Propina]]+Tabla8[[#This Row],[Precio Cena]]</f>
        <v>4441</v>
      </c>
      <c r="AE167" s="45">
        <f t="shared" si="6"/>
        <v>46</v>
      </c>
    </row>
    <row r="168" spans="19:31" x14ac:dyDescent="0.3">
      <c r="S168" s="15" t="str">
        <f>'Conjunto de Datos'!BB169</f>
        <v>359</v>
      </c>
      <c r="T168" s="15">
        <f>'Conjunto de Datos'!BF169</f>
        <v>167</v>
      </c>
      <c r="U168" s="6">
        <f>sala!I168</f>
        <v>4274</v>
      </c>
      <c r="V168" cm="1">
        <f t="array" ref="V168">SUM(IF(Cocina!A:A=Tabla8[[#This Row],[Numero de Orden]],Cocina!F:F*Cocina!G:G,0))</f>
        <v>152</v>
      </c>
      <c r="W168">
        <f>IF(Tabla8[[#This Row],[Cobrado]]="Cobrada",Tabla8[[#This Row],[Propina]]+Tabla8[[#This Row],[Precio Cena]],0)</f>
        <v>4426</v>
      </c>
      <c r="X168" t="str">
        <f>INDEX(sala!G:G, MATCH(Tabla8[[#This Row],[Numero de Orden]], sala!K:K, 0))</f>
        <v>Almuerzo</v>
      </c>
      <c r="Y168" t="str">
        <f>'Conjunto de Datos'!J169</f>
        <v>Cobrada</v>
      </c>
      <c r="Z168" t="str">
        <f>INDEX(sala!H:H, MATCH(Tabla8[[#This Row],[Numero de Orden]], sala!K:K, 0))</f>
        <v>Tarjeta de débito</v>
      </c>
      <c r="AA168" s="3">
        <f>'Conjunto de Datos'!D169</f>
        <v>45018</v>
      </c>
      <c r="AB168" t="str">
        <f>INDEX(sala!L:L, MATCH(Tabla8[[#This Row],[Numero de Orden]], sala!K:K, 0))</f>
        <v>Argentina</v>
      </c>
      <c r="AC168" t="str">
        <f>'Conjunto de Datos'!N169</f>
        <v>Mesero_2</v>
      </c>
      <c r="AD168">
        <f>Tabla8[[#This Row],[Propina]]+Tabla8[[#This Row],[Precio Cena]]</f>
        <v>4426</v>
      </c>
      <c r="AE168" s="45">
        <f t="shared" si="6"/>
        <v>152</v>
      </c>
    </row>
    <row r="169" spans="19:31" x14ac:dyDescent="0.3">
      <c r="S169" t="str">
        <f>'Conjunto de Datos'!BB170</f>
        <v>131</v>
      </c>
      <c r="T169">
        <f>'Conjunto de Datos'!BF170</f>
        <v>168</v>
      </c>
      <c r="U169" s="7">
        <f>sala!I169</f>
        <v>1709</v>
      </c>
      <c r="V169" cm="1">
        <f t="array" ref="V169">SUM(IF(Cocina!A:A=Tabla8[[#This Row],[Numero de Orden]],Cocina!F:F*Cocina!G:G,0))</f>
        <v>44</v>
      </c>
      <c r="W169">
        <f>IF(Tabla8[[#This Row],[Cobrado]]="Cobrada",Tabla8[[#This Row],[Propina]]+Tabla8[[#This Row],[Precio Cena]],0)</f>
        <v>1753</v>
      </c>
      <c r="X169" t="str">
        <f>INDEX(sala!G:G, MATCH(Tabla8[[#This Row],[Numero de Orden]], sala!K:K, 0))</f>
        <v>Almuerzo</v>
      </c>
      <c r="Y169" t="str">
        <f>'Conjunto de Datos'!J170</f>
        <v>Cobrada</v>
      </c>
      <c r="Z169" t="str">
        <f>INDEX(sala!H:H, MATCH(Tabla8[[#This Row],[Numero de Orden]], sala!K:K, 0))</f>
        <v>Tarjeta de crédito</v>
      </c>
      <c r="AA169" s="3">
        <f>'Conjunto de Datos'!D170</f>
        <v>45018</v>
      </c>
      <c r="AB169" t="str">
        <f>INDEX(sala!L:L, MATCH(Tabla8[[#This Row],[Numero de Orden]], sala!K:K, 0))</f>
        <v>Venezuela</v>
      </c>
      <c r="AC169" t="str">
        <f>'Conjunto de Datos'!N170</f>
        <v>Mesero_1</v>
      </c>
      <c r="AD169">
        <f>Tabla8[[#This Row],[Propina]]+Tabla8[[#This Row],[Precio Cena]]</f>
        <v>1753</v>
      </c>
      <c r="AE169" s="45">
        <f t="shared" si="6"/>
        <v>44</v>
      </c>
    </row>
    <row r="170" spans="19:31" x14ac:dyDescent="0.3">
      <c r="S170" s="15" t="str">
        <f>'Conjunto de Datos'!BB171</f>
        <v>485</v>
      </c>
      <c r="T170" s="15">
        <f>'Conjunto de Datos'!BF171</f>
        <v>169</v>
      </c>
      <c r="U170" s="6">
        <f>sala!I170</f>
        <v>1662</v>
      </c>
      <c r="V170" cm="1">
        <f t="array" ref="V170">SUM(IF(Cocina!A:A=Tabla8[[#This Row],[Numero de Orden]],Cocina!F:F*Cocina!G:G,0))</f>
        <v>154</v>
      </c>
      <c r="W170">
        <f>IF(Tabla8[[#This Row],[Cobrado]]="Cobrada",Tabla8[[#This Row],[Propina]]+Tabla8[[#This Row],[Precio Cena]],0)</f>
        <v>1816</v>
      </c>
      <c r="X170" t="str">
        <f>INDEX(sala!G:G, MATCH(Tabla8[[#This Row],[Numero de Orden]], sala!K:K, 0))</f>
        <v>Almuerzo</v>
      </c>
      <c r="Y170" t="str">
        <f>'Conjunto de Datos'!J171</f>
        <v>Cobrada</v>
      </c>
      <c r="Z170" t="str">
        <f>INDEX(sala!H:H, MATCH(Tabla8[[#This Row],[Numero de Orden]], sala!K:K, 0))</f>
        <v>Tarjeta de débito</v>
      </c>
      <c r="AA170" s="3">
        <f>'Conjunto de Datos'!D171</f>
        <v>45018</v>
      </c>
      <c r="AB170" t="str">
        <f>INDEX(sala!L:L, MATCH(Tabla8[[#This Row],[Numero de Orden]], sala!K:K, 0))</f>
        <v>Paraguay</v>
      </c>
      <c r="AC170" t="str">
        <f>'Conjunto de Datos'!N171</f>
        <v>Mesero_3</v>
      </c>
      <c r="AD170">
        <f>Tabla8[[#This Row],[Propina]]+Tabla8[[#This Row],[Precio Cena]]</f>
        <v>1816</v>
      </c>
      <c r="AE170" s="45">
        <f t="shared" si="6"/>
        <v>154</v>
      </c>
    </row>
    <row r="171" spans="19:31" x14ac:dyDescent="0.3">
      <c r="S171" t="str">
        <f>'Conjunto de Datos'!BB172</f>
        <v>493</v>
      </c>
      <c r="T171">
        <f>'Conjunto de Datos'!BF172</f>
        <v>170</v>
      </c>
      <c r="U171" s="7">
        <f>sala!I171</f>
        <v>2598</v>
      </c>
      <c r="V171" cm="1">
        <f t="array" ref="V171">SUM(IF(Cocina!A:A=Tabla8[[#This Row],[Numero de Orden]],Cocina!F:F*Cocina!G:G,0))</f>
        <v>243</v>
      </c>
      <c r="W171">
        <f>IF(Tabla8[[#This Row],[Cobrado]]="Cobrada",Tabla8[[#This Row],[Propina]]+Tabla8[[#This Row],[Precio Cena]],0)</f>
        <v>2841</v>
      </c>
      <c r="X171" t="str">
        <f>INDEX(sala!G:G, MATCH(Tabla8[[#This Row],[Numero de Orden]], sala!K:K, 0))</f>
        <v>Cena</v>
      </c>
      <c r="Y171" t="str">
        <f>'Conjunto de Datos'!J172</f>
        <v>Cobrada</v>
      </c>
      <c r="Z171" t="str">
        <f>INDEX(sala!H:H, MATCH(Tabla8[[#This Row],[Numero de Orden]], sala!K:K, 0))</f>
        <v>Tarjeta de crédito</v>
      </c>
      <c r="AA171" s="3">
        <f>'Conjunto de Datos'!D172</f>
        <v>45018</v>
      </c>
      <c r="AB171" t="str">
        <f>INDEX(sala!L:L, MATCH(Tabla8[[#This Row],[Numero de Orden]], sala!K:K, 0))</f>
        <v>Colombia</v>
      </c>
      <c r="AC171" t="str">
        <f>'Conjunto de Datos'!N172</f>
        <v>Mesero_2</v>
      </c>
      <c r="AD171">
        <f>Tabla8[[#This Row],[Propina]]+Tabla8[[#This Row],[Precio Cena]]</f>
        <v>2841</v>
      </c>
      <c r="AE171" s="45">
        <f t="shared" si="6"/>
        <v>243</v>
      </c>
    </row>
    <row r="172" spans="19:31" x14ac:dyDescent="0.3">
      <c r="S172" s="15" t="str">
        <f>'Conjunto de Datos'!BB173</f>
        <v>282</v>
      </c>
      <c r="T172" s="15">
        <f>'Conjunto de Datos'!BF173</f>
        <v>171</v>
      </c>
      <c r="U172" s="6">
        <f>sala!I172</f>
        <v>4656</v>
      </c>
      <c r="V172" cm="1">
        <f t="array" ref="V172">SUM(IF(Cocina!A:A=Tabla8[[#This Row],[Numero de Orden]],Cocina!F:F*Cocina!G:G,0))</f>
        <v>139</v>
      </c>
      <c r="W172">
        <f>IF(Tabla8[[#This Row],[Cobrado]]="Cobrada",Tabla8[[#This Row],[Propina]]+Tabla8[[#This Row],[Precio Cena]],0)</f>
        <v>4795</v>
      </c>
      <c r="X172" t="str">
        <f>INDEX(sala!G:G, MATCH(Tabla8[[#This Row],[Numero de Orden]], sala!K:K, 0))</f>
        <v>Cena</v>
      </c>
      <c r="Y172" t="str">
        <f>'Conjunto de Datos'!J173</f>
        <v>Cobrada</v>
      </c>
      <c r="Z172" t="str">
        <f>INDEX(sala!H:H, MATCH(Tabla8[[#This Row],[Numero de Orden]], sala!K:K, 0))</f>
        <v>Tarjeta de crédito</v>
      </c>
      <c r="AA172" s="3">
        <f>'Conjunto de Datos'!D173</f>
        <v>45018</v>
      </c>
      <c r="AB172" t="str">
        <f>INDEX(sala!L:L, MATCH(Tabla8[[#This Row],[Numero de Orden]], sala!K:K, 0))</f>
        <v>Brasil</v>
      </c>
      <c r="AC172" t="str">
        <f>'Conjunto de Datos'!N173</f>
        <v>Mesero_2</v>
      </c>
      <c r="AD172">
        <f>Tabla8[[#This Row],[Propina]]+Tabla8[[#This Row],[Precio Cena]]</f>
        <v>4795</v>
      </c>
      <c r="AE172" s="45">
        <f t="shared" si="6"/>
        <v>139</v>
      </c>
    </row>
    <row r="173" spans="19:31" x14ac:dyDescent="0.3">
      <c r="S173" t="str">
        <f>'Conjunto de Datos'!BB174</f>
        <v>850</v>
      </c>
      <c r="T173">
        <f>'Conjunto de Datos'!BF174</f>
        <v>172</v>
      </c>
      <c r="U173" s="7">
        <f>sala!I173</f>
        <v>4517</v>
      </c>
      <c r="V173" cm="1">
        <f t="array" ref="V173">SUM(IF(Cocina!A:A=Tabla8[[#This Row],[Numero de Orden]],Cocina!F:F*Cocina!G:G,0))</f>
        <v>68</v>
      </c>
      <c r="W173">
        <f>IF(Tabla8[[#This Row],[Cobrado]]="Cobrada",Tabla8[[#This Row],[Propina]]+Tabla8[[#This Row],[Precio Cena]],0)</f>
        <v>4585</v>
      </c>
      <c r="X173" t="str">
        <f>INDEX(sala!G:G, MATCH(Tabla8[[#This Row],[Numero de Orden]], sala!K:K, 0))</f>
        <v>Almuerzo</v>
      </c>
      <c r="Y173" t="str">
        <f>'Conjunto de Datos'!J174</f>
        <v>Cobrada</v>
      </c>
      <c r="Z173" t="str">
        <f>INDEX(sala!H:H, MATCH(Tabla8[[#This Row],[Numero de Orden]], sala!K:K, 0))</f>
        <v>Tarjeta de crédito</v>
      </c>
      <c r="AA173" s="3">
        <f>'Conjunto de Datos'!D174</f>
        <v>45018</v>
      </c>
      <c r="AB173" t="str">
        <f>INDEX(sala!L:L, MATCH(Tabla8[[#This Row],[Numero de Orden]], sala!K:K, 0))</f>
        <v>Bolivia</v>
      </c>
      <c r="AC173" t="str">
        <f>'Conjunto de Datos'!N174</f>
        <v>Mesero_1</v>
      </c>
      <c r="AD173">
        <f>Tabla8[[#This Row],[Propina]]+Tabla8[[#This Row],[Precio Cena]]</f>
        <v>4585</v>
      </c>
      <c r="AE173" s="45">
        <f t="shared" si="6"/>
        <v>68</v>
      </c>
    </row>
    <row r="174" spans="19:31" x14ac:dyDescent="0.3">
      <c r="S174" s="15" t="str">
        <f>'Conjunto de Datos'!BB175</f>
        <v>301</v>
      </c>
      <c r="T174" s="15">
        <f>'Conjunto de Datos'!BF175</f>
        <v>173</v>
      </c>
      <c r="U174" s="6">
        <f>sala!I174</f>
        <v>4873</v>
      </c>
      <c r="V174" cm="1">
        <f t="array" ref="V174">SUM(IF(Cocina!A:A=Tabla8[[#This Row],[Numero de Orden]],Cocina!F:F*Cocina!G:G,0))</f>
        <v>177</v>
      </c>
      <c r="W174">
        <f>IF(Tabla8[[#This Row],[Cobrado]]="Cobrada",Tabla8[[#This Row],[Propina]]+Tabla8[[#This Row],[Precio Cena]],0)</f>
        <v>5050</v>
      </c>
      <c r="X174" t="str">
        <f>INDEX(sala!G:G, MATCH(Tabla8[[#This Row],[Numero de Orden]], sala!K:K, 0))</f>
        <v>Almuerzo</v>
      </c>
      <c r="Y174" t="str">
        <f>'Conjunto de Datos'!J175</f>
        <v>Cobrada</v>
      </c>
      <c r="Z174" t="str">
        <f>INDEX(sala!H:H, MATCH(Tabla8[[#This Row],[Numero de Orden]], sala!K:K, 0))</f>
        <v>Tarjeta de crédito</v>
      </c>
      <c r="AA174" s="3">
        <f>'Conjunto de Datos'!D175</f>
        <v>45018</v>
      </c>
      <c r="AB174" t="str">
        <f>INDEX(sala!L:L, MATCH(Tabla8[[#This Row],[Numero de Orden]], sala!K:K, 0))</f>
        <v>Chile</v>
      </c>
      <c r="AC174" t="str">
        <f>'Conjunto de Datos'!N175</f>
        <v>Mesero_4</v>
      </c>
      <c r="AD174">
        <f>Tabla8[[#This Row],[Propina]]+Tabla8[[#This Row],[Precio Cena]]</f>
        <v>5050</v>
      </c>
      <c r="AE174" s="45">
        <f t="shared" si="6"/>
        <v>177</v>
      </c>
    </row>
    <row r="175" spans="19:31" x14ac:dyDescent="0.3">
      <c r="S175" t="str">
        <f>'Conjunto de Datos'!BB176</f>
        <v>124</v>
      </c>
      <c r="T175">
        <f>'Conjunto de Datos'!BF176</f>
        <v>174</v>
      </c>
      <c r="U175" s="7">
        <f>sala!I175</f>
        <v>4824</v>
      </c>
      <c r="V175" cm="1">
        <f t="array" ref="V175">SUM(IF(Cocina!A:A=Tabla8[[#This Row],[Numero de Orden]],Cocina!F:F*Cocina!G:G,0))</f>
        <v>60</v>
      </c>
      <c r="W175">
        <f>IF(Tabla8[[#This Row],[Cobrado]]="Cobrada",Tabla8[[#This Row],[Propina]]+Tabla8[[#This Row],[Precio Cena]],0)</f>
        <v>4884</v>
      </c>
      <c r="X175" t="str">
        <f>INDEX(sala!G:G, MATCH(Tabla8[[#This Row],[Numero de Orden]], sala!K:K, 0))</f>
        <v>Almuerzo</v>
      </c>
      <c r="Y175" t="str">
        <f>'Conjunto de Datos'!J176</f>
        <v>Cobrada</v>
      </c>
      <c r="Z175" t="str">
        <f>INDEX(sala!H:H, MATCH(Tabla8[[#This Row],[Numero de Orden]], sala!K:K, 0))</f>
        <v>Tarjeta de crédito</v>
      </c>
      <c r="AA175" s="3">
        <f>'Conjunto de Datos'!D176</f>
        <v>45018</v>
      </c>
      <c r="AB175" t="str">
        <f>INDEX(sala!L:L, MATCH(Tabla8[[#This Row],[Numero de Orden]], sala!K:K, 0))</f>
        <v>Venezuela</v>
      </c>
      <c r="AC175" t="str">
        <f>'Conjunto de Datos'!N176</f>
        <v>Mesero_4</v>
      </c>
      <c r="AD175">
        <f>Tabla8[[#This Row],[Propina]]+Tabla8[[#This Row],[Precio Cena]]</f>
        <v>4884</v>
      </c>
      <c r="AE175" s="45">
        <f t="shared" si="6"/>
        <v>60</v>
      </c>
    </row>
    <row r="176" spans="19:31" x14ac:dyDescent="0.3">
      <c r="S176" s="15" t="str">
        <f>'Conjunto de Datos'!BB177</f>
        <v>747</v>
      </c>
      <c r="T176" s="15">
        <f>'Conjunto de Datos'!BF177</f>
        <v>175</v>
      </c>
      <c r="U176" s="6">
        <f>sala!I176</f>
        <v>2794</v>
      </c>
      <c r="V176" cm="1">
        <f t="array" ref="V176">SUM(IF(Cocina!A:A=Tabla8[[#This Row],[Numero de Orden]],Cocina!F:F*Cocina!G:G,0))</f>
        <v>144</v>
      </c>
      <c r="W176">
        <f>IF(Tabla8[[#This Row],[Cobrado]]="Cobrada",Tabla8[[#This Row],[Propina]]+Tabla8[[#This Row],[Precio Cena]],0)</f>
        <v>2938</v>
      </c>
      <c r="X176" t="str">
        <f>INDEX(sala!G:G, MATCH(Tabla8[[#This Row],[Numero de Orden]], sala!K:K, 0))</f>
        <v>Almuerzo</v>
      </c>
      <c r="Y176" t="str">
        <f>'Conjunto de Datos'!J177</f>
        <v>Cobrada</v>
      </c>
      <c r="Z176" t="str">
        <f>INDEX(sala!H:H, MATCH(Tabla8[[#This Row],[Numero de Orden]], sala!K:K, 0))</f>
        <v>Tarjeta de crédito</v>
      </c>
      <c r="AA176" s="3">
        <f>'Conjunto de Datos'!D177</f>
        <v>45018</v>
      </c>
      <c r="AB176" t="str">
        <f>INDEX(sala!L:L, MATCH(Tabla8[[#This Row],[Numero de Orden]], sala!K:K, 0))</f>
        <v>Colombia</v>
      </c>
      <c r="AC176" t="str">
        <f>'Conjunto de Datos'!N177</f>
        <v>Mesero_3</v>
      </c>
      <c r="AD176">
        <f>Tabla8[[#This Row],[Propina]]+Tabla8[[#This Row],[Precio Cena]]</f>
        <v>2938</v>
      </c>
      <c r="AE176" s="45">
        <f t="shared" si="6"/>
        <v>144</v>
      </c>
    </row>
    <row r="177" spans="1:31" x14ac:dyDescent="0.3">
      <c r="S177" t="str">
        <f>'Conjunto de Datos'!BB178</f>
        <v>741</v>
      </c>
      <c r="T177">
        <f>'Conjunto de Datos'!BF178</f>
        <v>176</v>
      </c>
      <c r="U177" s="7">
        <f>sala!I177</f>
        <v>305</v>
      </c>
      <c r="V177" cm="1">
        <f t="array" ref="V177">SUM(IF(Cocina!A:A=Tabla8[[#This Row],[Numero de Orden]],Cocina!F:F*Cocina!G:G,0))</f>
        <v>63</v>
      </c>
      <c r="W177">
        <f>IF(Tabla8[[#This Row],[Cobrado]]="Cobrada",Tabla8[[#This Row],[Propina]]+Tabla8[[#This Row],[Precio Cena]],0)</f>
        <v>368</v>
      </c>
      <c r="X177" t="str">
        <f>INDEX(sala!G:G, MATCH(Tabla8[[#This Row],[Numero de Orden]], sala!K:K, 0))</f>
        <v>Almuerzo</v>
      </c>
      <c r="Y177" t="str">
        <f>'Conjunto de Datos'!J178</f>
        <v>Cobrada</v>
      </c>
      <c r="Z177" t="str">
        <f>INDEX(sala!H:H, MATCH(Tabla8[[#This Row],[Numero de Orden]], sala!K:K, 0))</f>
        <v>Tarjeta de crédito</v>
      </c>
      <c r="AA177" s="3">
        <f>'Conjunto de Datos'!D178</f>
        <v>45018</v>
      </c>
      <c r="AB177" t="str">
        <f>INDEX(sala!L:L, MATCH(Tabla8[[#This Row],[Numero de Orden]], sala!K:K, 0))</f>
        <v>Chile</v>
      </c>
      <c r="AC177" t="str">
        <f>'Conjunto de Datos'!N178</f>
        <v>Mesero_2</v>
      </c>
      <c r="AD177">
        <f>Tabla8[[#This Row],[Propina]]+Tabla8[[#This Row],[Precio Cena]]</f>
        <v>368</v>
      </c>
      <c r="AE177" s="45">
        <f t="shared" si="6"/>
        <v>63</v>
      </c>
    </row>
    <row r="178" spans="1:31" x14ac:dyDescent="0.3">
      <c r="S178" s="15" t="str">
        <f>'Conjunto de Datos'!BB179</f>
        <v>610</v>
      </c>
      <c r="T178" s="15">
        <f>'Conjunto de Datos'!BF179</f>
        <v>177</v>
      </c>
      <c r="U178" s="6">
        <f>sala!I178</f>
        <v>1039</v>
      </c>
      <c r="V178" cm="1">
        <f t="array" ref="V178">SUM(IF(Cocina!A:A=Tabla8[[#This Row],[Numero de Orden]],Cocina!F:F*Cocina!G:G,0))</f>
        <v>173</v>
      </c>
      <c r="W178">
        <f>IF(Tabla8[[#This Row],[Cobrado]]="Cobrada",Tabla8[[#This Row],[Propina]]+Tabla8[[#This Row],[Precio Cena]],0)</f>
        <v>0</v>
      </c>
      <c r="X178" t="str">
        <f>INDEX(sala!G:G, MATCH(Tabla8[[#This Row],[Numero de Orden]], sala!K:K, 0))</f>
        <v>Cena</v>
      </c>
      <c r="Y178" t="str">
        <f>'Conjunto de Datos'!J179</f>
        <v>No Cobrada</v>
      </c>
      <c r="Z178" t="str">
        <f>INDEX(sala!H:H, MATCH(Tabla8[[#This Row],[Numero de Orden]], sala!K:K, 0))</f>
        <v>Tarjeta de crédito</v>
      </c>
      <c r="AA178" s="3">
        <f>'Conjunto de Datos'!D179</f>
        <v>45018</v>
      </c>
      <c r="AB178" t="str">
        <f>INDEX(sala!L:L, MATCH(Tabla8[[#This Row],[Numero de Orden]], sala!K:K, 0))</f>
        <v>Perú</v>
      </c>
      <c r="AC178" t="str">
        <f>'Conjunto de Datos'!N179</f>
        <v>Mesero_4</v>
      </c>
      <c r="AD178">
        <f>Tabla8[[#This Row],[Propina]]+Tabla8[[#This Row],[Precio Cena]]</f>
        <v>1212</v>
      </c>
      <c r="AE178" s="45">
        <f t="shared" si="6"/>
        <v>0</v>
      </c>
    </row>
    <row r="179" spans="1:31" x14ac:dyDescent="0.3">
      <c r="S179" t="str">
        <f>'Conjunto de Datos'!BB180</f>
        <v>681</v>
      </c>
      <c r="T179">
        <f>'Conjunto de Datos'!BF180</f>
        <v>178</v>
      </c>
      <c r="U179" s="7">
        <f>sala!I179</f>
        <v>316</v>
      </c>
      <c r="V179" cm="1">
        <f t="array" ref="V179">SUM(IF(Cocina!A:A=Tabla8[[#This Row],[Numero de Orden]],Cocina!F:F*Cocina!G:G,0))</f>
        <v>208</v>
      </c>
      <c r="W179">
        <f>IF(Tabla8[[#This Row],[Cobrado]]="Cobrada",Tabla8[[#This Row],[Propina]]+Tabla8[[#This Row],[Precio Cena]],0)</f>
        <v>524</v>
      </c>
      <c r="X179" t="str">
        <f>INDEX(sala!G:G, MATCH(Tabla8[[#This Row],[Numero de Orden]], sala!K:K, 0))</f>
        <v>Cena</v>
      </c>
      <c r="Y179" t="str">
        <f>'Conjunto de Datos'!J180</f>
        <v>Cobrada</v>
      </c>
      <c r="Z179" t="str">
        <f>INDEX(sala!H:H, MATCH(Tabla8[[#This Row],[Numero de Orden]], sala!K:K, 0))</f>
        <v>Tarjeta de crédito</v>
      </c>
      <c r="AA179" s="3">
        <f>'Conjunto de Datos'!D180</f>
        <v>45018</v>
      </c>
      <c r="AB179" t="str">
        <f>INDEX(sala!L:L, MATCH(Tabla8[[#This Row],[Numero de Orden]], sala!K:K, 0))</f>
        <v>Venezuela</v>
      </c>
      <c r="AC179" t="str">
        <f>'Conjunto de Datos'!N180</f>
        <v>Mesero_3</v>
      </c>
      <c r="AD179">
        <f>Tabla8[[#This Row],[Propina]]+Tabla8[[#This Row],[Precio Cena]]</f>
        <v>524</v>
      </c>
      <c r="AE179" s="45">
        <f t="shared" si="6"/>
        <v>208</v>
      </c>
    </row>
    <row r="180" spans="1:31" x14ac:dyDescent="0.3">
      <c r="S180" s="15" t="str">
        <f>'Conjunto de Datos'!BB181</f>
        <v>173</v>
      </c>
      <c r="T180" s="15">
        <f>'Conjunto de Datos'!BF181</f>
        <v>179</v>
      </c>
      <c r="U180" s="6">
        <f>sala!I180</f>
        <v>133</v>
      </c>
      <c r="V180" cm="1">
        <f t="array" ref="V180">SUM(IF(Cocina!A:A=Tabla8[[#This Row],[Numero de Orden]],Cocina!F:F*Cocina!G:G,0))</f>
        <v>62</v>
      </c>
      <c r="W180">
        <f>IF(Tabla8[[#This Row],[Cobrado]]="Cobrada",Tabla8[[#This Row],[Propina]]+Tabla8[[#This Row],[Precio Cena]],0)</f>
        <v>195</v>
      </c>
      <c r="X180" t="str">
        <f>INDEX(sala!G:G, MATCH(Tabla8[[#This Row],[Numero de Orden]], sala!K:K, 0))</f>
        <v>Desayuno</v>
      </c>
      <c r="Y180" t="str">
        <f>'Conjunto de Datos'!J181</f>
        <v>Cobrada</v>
      </c>
      <c r="Z180" t="str">
        <f>INDEX(sala!H:H, MATCH(Tabla8[[#This Row],[Numero de Orden]], sala!K:K, 0))</f>
        <v>Tarjeta de crédito</v>
      </c>
      <c r="AA180" s="3">
        <f>'Conjunto de Datos'!D181</f>
        <v>45018</v>
      </c>
      <c r="AB180" t="str">
        <f>INDEX(sala!L:L, MATCH(Tabla8[[#This Row],[Numero de Orden]], sala!K:K, 0))</f>
        <v>Colombia</v>
      </c>
      <c r="AC180" t="str">
        <f>'Conjunto de Datos'!N181</f>
        <v>Mesero_4</v>
      </c>
      <c r="AD180">
        <f>Tabla8[[#This Row],[Propina]]+Tabla8[[#This Row],[Precio Cena]]</f>
        <v>195</v>
      </c>
      <c r="AE180" s="45">
        <f t="shared" si="6"/>
        <v>62</v>
      </c>
    </row>
    <row r="181" spans="1:31" x14ac:dyDescent="0.3">
      <c r="S181" t="str">
        <f>'Conjunto de Datos'!BB182</f>
        <v>55</v>
      </c>
      <c r="T181">
        <f>'Conjunto de Datos'!BF182</f>
        <v>180</v>
      </c>
      <c r="U181" s="7">
        <f>sala!I181</f>
        <v>4661</v>
      </c>
      <c r="V181" cm="1">
        <f t="array" ref="V181">SUM(IF(Cocina!A:A=Tabla8[[#This Row],[Numero de Orden]],Cocina!F:F*Cocina!G:G,0))</f>
        <v>166</v>
      </c>
      <c r="W181">
        <f>IF(Tabla8[[#This Row],[Cobrado]]="Cobrada",Tabla8[[#This Row],[Propina]]+Tabla8[[#This Row],[Precio Cena]],0)</f>
        <v>4827</v>
      </c>
      <c r="X181" t="str">
        <f>INDEX(sala!G:G, MATCH(Tabla8[[#This Row],[Numero de Orden]], sala!K:K, 0))</f>
        <v>Cena</v>
      </c>
      <c r="Y181" t="str">
        <f>'Conjunto de Datos'!J182</f>
        <v>Cobrada</v>
      </c>
      <c r="Z181" t="str">
        <f>INDEX(sala!H:H, MATCH(Tabla8[[#This Row],[Numero de Orden]], sala!K:K, 0))</f>
        <v>Tarjeta de crédito</v>
      </c>
      <c r="AA181" s="3">
        <f>'Conjunto de Datos'!D182</f>
        <v>45018</v>
      </c>
      <c r="AB181" t="str">
        <f>INDEX(sala!L:L, MATCH(Tabla8[[#This Row],[Numero de Orden]], sala!K:K, 0))</f>
        <v>Brasil</v>
      </c>
      <c r="AC181" t="str">
        <f>'Conjunto de Datos'!N182</f>
        <v>Mesero_2</v>
      </c>
      <c r="AD181">
        <f>Tabla8[[#This Row],[Propina]]+Tabla8[[#This Row],[Precio Cena]]</f>
        <v>4827</v>
      </c>
      <c r="AE181" s="45">
        <f t="shared" si="6"/>
        <v>166</v>
      </c>
    </row>
    <row r="182" spans="1:31" x14ac:dyDescent="0.3">
      <c r="S182" s="15" t="str">
        <f>'Conjunto de Datos'!BB183</f>
        <v>653</v>
      </c>
      <c r="T182" s="15">
        <f>'Conjunto de Datos'!BF183</f>
        <v>181</v>
      </c>
      <c r="U182" s="6">
        <f>sala!I182</f>
        <v>4258</v>
      </c>
      <c r="V182" cm="1">
        <f t="array" ref="V182">SUM(IF(Cocina!A:A=Tabla8[[#This Row],[Numero de Orden]],Cocina!F:F*Cocina!G:G,0))</f>
        <v>27</v>
      </c>
      <c r="W182">
        <f>IF(Tabla8[[#This Row],[Cobrado]]="Cobrada",Tabla8[[#This Row],[Propina]]+Tabla8[[#This Row],[Precio Cena]],0)</f>
        <v>4285</v>
      </c>
      <c r="X182" t="str">
        <f>INDEX(sala!G:G, MATCH(Tabla8[[#This Row],[Numero de Orden]], sala!K:K, 0))</f>
        <v>Cena</v>
      </c>
      <c r="Y182" t="str">
        <f>'Conjunto de Datos'!J183</f>
        <v>Cobrada</v>
      </c>
      <c r="Z182" t="str">
        <f>INDEX(sala!H:H, MATCH(Tabla8[[#This Row],[Numero de Orden]], sala!K:K, 0))</f>
        <v>Tarjeta de crédito</v>
      </c>
      <c r="AA182" s="3">
        <f>'Conjunto de Datos'!D183</f>
        <v>45018</v>
      </c>
      <c r="AB182" t="str">
        <f>INDEX(sala!L:L, MATCH(Tabla8[[#This Row],[Numero de Orden]], sala!K:K, 0))</f>
        <v>Paraguay</v>
      </c>
      <c r="AC182" t="str">
        <f>'Conjunto de Datos'!N183</f>
        <v>Mesero_1</v>
      </c>
      <c r="AD182">
        <f>Tabla8[[#This Row],[Propina]]+Tabla8[[#This Row],[Precio Cena]]</f>
        <v>4285</v>
      </c>
      <c r="AE182" s="45">
        <f t="shared" si="6"/>
        <v>27</v>
      </c>
    </row>
    <row r="183" spans="1:31" x14ac:dyDescent="0.3">
      <c r="A183" s="16" t="s">
        <v>665</v>
      </c>
      <c r="B183" s="17" t="s">
        <v>670</v>
      </c>
      <c r="S183" t="str">
        <f>'Conjunto de Datos'!BB184</f>
        <v>628</v>
      </c>
      <c r="T183">
        <f>'Conjunto de Datos'!BF184</f>
        <v>182</v>
      </c>
      <c r="U183" s="7">
        <f>sala!I183</f>
        <v>3836</v>
      </c>
      <c r="V183" cm="1">
        <f t="array" ref="V183">SUM(IF(Cocina!A:A=Tabla8[[#This Row],[Numero de Orden]],Cocina!F:F*Cocina!G:G,0))</f>
        <v>38</v>
      </c>
      <c r="W183">
        <f>IF(Tabla8[[#This Row],[Cobrado]]="Cobrada",Tabla8[[#This Row],[Propina]]+Tabla8[[#This Row],[Precio Cena]],0)</f>
        <v>3874</v>
      </c>
      <c r="X183" t="str">
        <f>INDEX(sala!G:G, MATCH(Tabla8[[#This Row],[Numero de Orden]], sala!K:K, 0))</f>
        <v>Almuerzo</v>
      </c>
      <c r="Y183" t="str">
        <f>'Conjunto de Datos'!J184</f>
        <v>Cobrada</v>
      </c>
      <c r="Z183" t="str">
        <f>INDEX(sala!H:H, MATCH(Tabla8[[#This Row],[Numero de Orden]], sala!K:K, 0))</f>
        <v>Tarjeta de débito</v>
      </c>
      <c r="AA183" s="3">
        <f>'Conjunto de Datos'!D184</f>
        <v>45018</v>
      </c>
      <c r="AB183" t="str">
        <f>INDEX(sala!L:L, MATCH(Tabla8[[#This Row],[Numero de Orden]], sala!K:K, 0))</f>
        <v>Paraguay</v>
      </c>
      <c r="AC183" t="str">
        <f>'Conjunto de Datos'!N184</f>
        <v>Mesero_3</v>
      </c>
      <c r="AD183">
        <f>Tabla8[[#This Row],[Propina]]+Tabla8[[#This Row],[Precio Cena]]</f>
        <v>3874</v>
      </c>
      <c r="AE183" s="45">
        <f t="shared" si="6"/>
        <v>38</v>
      </c>
    </row>
    <row r="184" spans="1:31" x14ac:dyDescent="0.3">
      <c r="A184" s="20">
        <v>45017</v>
      </c>
      <c r="B184" s="18">
        <f t="shared" ref="B184:B190" si="8">COUNTIFS(Y:Y, "Cobrada",AA:AA,A184)</f>
        <v>103</v>
      </c>
      <c r="S184" s="15" t="str">
        <f>'Conjunto de Datos'!BB185</f>
        <v>715</v>
      </c>
      <c r="T184" s="15">
        <f>'Conjunto de Datos'!BF185</f>
        <v>183</v>
      </c>
      <c r="U184" s="6">
        <f>sala!I184</f>
        <v>1169</v>
      </c>
      <c r="V184" cm="1">
        <f t="array" ref="V184">SUM(IF(Cocina!A:A=Tabla8[[#This Row],[Numero de Orden]],Cocina!F:F*Cocina!G:G,0))</f>
        <v>255</v>
      </c>
      <c r="W184">
        <f>IF(Tabla8[[#This Row],[Cobrado]]="Cobrada",Tabla8[[#This Row],[Propina]]+Tabla8[[#This Row],[Precio Cena]],0)</f>
        <v>1424</v>
      </c>
      <c r="X184" t="str">
        <f>INDEX(sala!G:G, MATCH(Tabla8[[#This Row],[Numero de Orden]], sala!K:K, 0))</f>
        <v>Almuerzo</v>
      </c>
      <c r="Y184" t="str">
        <f>'Conjunto de Datos'!J185</f>
        <v>Cobrada</v>
      </c>
      <c r="Z184" t="str">
        <f>INDEX(sala!H:H, MATCH(Tabla8[[#This Row],[Numero de Orden]], sala!K:K, 0))</f>
        <v>Tarjeta de crédito</v>
      </c>
      <c r="AA184" s="3">
        <f>'Conjunto de Datos'!D185</f>
        <v>45018</v>
      </c>
      <c r="AB184" t="str">
        <f>INDEX(sala!L:L, MATCH(Tabla8[[#This Row],[Numero de Orden]], sala!K:K, 0))</f>
        <v>Uruguay</v>
      </c>
      <c r="AC184" t="str">
        <f>'Conjunto de Datos'!N185</f>
        <v>Mesero_1</v>
      </c>
      <c r="AD184">
        <f>Tabla8[[#This Row],[Propina]]+Tabla8[[#This Row],[Precio Cena]]</f>
        <v>1424</v>
      </c>
      <c r="AE184" s="45">
        <f t="shared" si="6"/>
        <v>255</v>
      </c>
    </row>
    <row r="185" spans="1:31" x14ac:dyDescent="0.3">
      <c r="A185" s="21">
        <v>45018</v>
      </c>
      <c r="B185" s="19">
        <f t="shared" si="8"/>
        <v>121</v>
      </c>
      <c r="S185" t="str">
        <f>'Conjunto de Datos'!BB186</f>
        <v>321</v>
      </c>
      <c r="T185">
        <f>'Conjunto de Datos'!BF186</f>
        <v>184</v>
      </c>
      <c r="U185" s="7">
        <f>sala!I185</f>
        <v>2424</v>
      </c>
      <c r="V185" cm="1">
        <f t="array" ref="V185">SUM(IF(Cocina!A:A=Tabla8[[#This Row],[Numero de Orden]],Cocina!F:F*Cocina!G:G,0))</f>
        <v>205</v>
      </c>
      <c r="W185">
        <f>IF(Tabla8[[#This Row],[Cobrado]]="Cobrada",Tabla8[[#This Row],[Propina]]+Tabla8[[#This Row],[Precio Cena]],0)</f>
        <v>2629</v>
      </c>
      <c r="X185" t="str">
        <f>INDEX(sala!G:G, MATCH(Tabla8[[#This Row],[Numero de Orden]], sala!K:K, 0))</f>
        <v>Almuerzo</v>
      </c>
      <c r="Y185" t="str">
        <f>'Conjunto de Datos'!J186</f>
        <v>Cobrada</v>
      </c>
      <c r="Z185" t="str">
        <f>INDEX(sala!H:H, MATCH(Tabla8[[#This Row],[Numero de Orden]], sala!K:K, 0))</f>
        <v>Tarjeta de crédito</v>
      </c>
      <c r="AA185" s="3">
        <f>'Conjunto de Datos'!D186</f>
        <v>45018</v>
      </c>
      <c r="AB185" t="str">
        <f>INDEX(sala!L:L, MATCH(Tabla8[[#This Row],[Numero de Orden]], sala!K:K, 0))</f>
        <v>Chile</v>
      </c>
      <c r="AC185" t="str">
        <f>'Conjunto de Datos'!N186</f>
        <v>Mesero_5</v>
      </c>
      <c r="AD185">
        <f>Tabla8[[#This Row],[Propina]]+Tabla8[[#This Row],[Precio Cena]]</f>
        <v>2629</v>
      </c>
      <c r="AE185" s="45">
        <f t="shared" si="6"/>
        <v>205</v>
      </c>
    </row>
    <row r="186" spans="1:31" x14ac:dyDescent="0.3">
      <c r="A186" s="20">
        <v>45019</v>
      </c>
      <c r="B186" s="18">
        <f t="shared" si="8"/>
        <v>47</v>
      </c>
      <c r="S186" s="15" t="str">
        <f>'Conjunto de Datos'!BB187</f>
        <v>670</v>
      </c>
      <c r="T186" s="15">
        <f>'Conjunto de Datos'!BF187</f>
        <v>185</v>
      </c>
      <c r="U186" s="6">
        <f>sala!I186</f>
        <v>2807</v>
      </c>
      <c r="V186" cm="1">
        <f t="array" ref="V186">SUM(IF(Cocina!A:A=Tabla8[[#This Row],[Numero de Orden]],Cocina!F:F*Cocina!G:G,0))</f>
        <v>91</v>
      </c>
      <c r="W186">
        <f>IF(Tabla8[[#This Row],[Cobrado]]="Cobrada",Tabla8[[#This Row],[Propina]]+Tabla8[[#This Row],[Precio Cena]],0)</f>
        <v>2898</v>
      </c>
      <c r="X186" t="str">
        <f>INDEX(sala!G:G, MATCH(Tabla8[[#This Row],[Numero de Orden]], sala!K:K, 0))</f>
        <v>Desayuno</v>
      </c>
      <c r="Y186" t="str">
        <f>'Conjunto de Datos'!J187</f>
        <v>Cobrada</v>
      </c>
      <c r="Z186" t="str">
        <f>INDEX(sala!H:H, MATCH(Tabla8[[#This Row],[Numero de Orden]], sala!K:K, 0))</f>
        <v>Tarjeta de crédito</v>
      </c>
      <c r="AA186" s="3">
        <f>'Conjunto de Datos'!D187</f>
        <v>45018</v>
      </c>
      <c r="AB186" t="str">
        <f>INDEX(sala!L:L, MATCH(Tabla8[[#This Row],[Numero de Orden]], sala!K:K, 0))</f>
        <v>Uruguay</v>
      </c>
      <c r="AC186" t="str">
        <f>'Conjunto de Datos'!N187</f>
        <v>Mesero_1</v>
      </c>
      <c r="AD186">
        <f>Tabla8[[#This Row],[Propina]]+Tabla8[[#This Row],[Precio Cena]]</f>
        <v>2898</v>
      </c>
      <c r="AE186" s="45">
        <f t="shared" si="6"/>
        <v>91</v>
      </c>
    </row>
    <row r="187" spans="1:31" x14ac:dyDescent="0.3">
      <c r="A187" s="21">
        <v>45020</v>
      </c>
      <c r="B187" s="19">
        <f t="shared" si="8"/>
        <v>58</v>
      </c>
      <c r="S187" t="str">
        <f>'Conjunto de Datos'!BB188</f>
        <v>442</v>
      </c>
      <c r="T187">
        <f>'Conjunto de Datos'!BF188</f>
        <v>186</v>
      </c>
      <c r="U187" s="7">
        <f>sala!I187</f>
        <v>1755</v>
      </c>
      <c r="V187" cm="1">
        <f t="array" ref="V187">SUM(IF(Cocina!A:A=Tabla8[[#This Row],[Numero de Orden]],Cocina!F:F*Cocina!G:G,0))</f>
        <v>270</v>
      </c>
      <c r="W187">
        <f>IF(Tabla8[[#This Row],[Cobrado]]="Cobrada",Tabla8[[#This Row],[Propina]]+Tabla8[[#This Row],[Precio Cena]],0)</f>
        <v>2025</v>
      </c>
      <c r="X187" t="str">
        <f>INDEX(sala!G:G, MATCH(Tabla8[[#This Row],[Numero de Orden]], sala!K:K, 0))</f>
        <v>Almuerzo</v>
      </c>
      <c r="Y187" t="str">
        <f>'Conjunto de Datos'!J188</f>
        <v>Cobrada</v>
      </c>
      <c r="Z187" t="str">
        <f>INDEX(sala!H:H, MATCH(Tabla8[[#This Row],[Numero de Orden]], sala!K:K, 0))</f>
        <v>Tarjeta de crédito</v>
      </c>
      <c r="AA187" s="3">
        <f>'Conjunto de Datos'!D188</f>
        <v>45018</v>
      </c>
      <c r="AB187" t="str">
        <f>INDEX(sala!L:L, MATCH(Tabla8[[#This Row],[Numero de Orden]], sala!K:K, 0))</f>
        <v>Colombia</v>
      </c>
      <c r="AC187" t="str">
        <f>'Conjunto de Datos'!N188</f>
        <v>Mesero_1</v>
      </c>
      <c r="AD187">
        <f>Tabla8[[#This Row],[Propina]]+Tabla8[[#This Row],[Precio Cena]]</f>
        <v>2025</v>
      </c>
      <c r="AE187" s="45">
        <f t="shared" si="6"/>
        <v>270</v>
      </c>
    </row>
    <row r="188" spans="1:31" x14ac:dyDescent="0.3">
      <c r="A188" s="20">
        <v>45021</v>
      </c>
      <c r="B188" s="18">
        <f t="shared" si="8"/>
        <v>78</v>
      </c>
      <c r="S188" s="15" t="str">
        <f>'Conjunto de Datos'!BB189</f>
        <v>752</v>
      </c>
      <c r="T188" s="15">
        <f>'Conjunto de Datos'!BF189</f>
        <v>187</v>
      </c>
      <c r="U188" s="6">
        <f>sala!I188</f>
        <v>174</v>
      </c>
      <c r="V188" cm="1">
        <f t="array" ref="V188">SUM(IF(Cocina!A:A=Tabla8[[#This Row],[Numero de Orden]],Cocina!F:F*Cocina!G:G,0))</f>
        <v>208</v>
      </c>
      <c r="W188">
        <f>IF(Tabla8[[#This Row],[Cobrado]]="Cobrada",Tabla8[[#This Row],[Propina]]+Tabla8[[#This Row],[Precio Cena]],0)</f>
        <v>382</v>
      </c>
      <c r="X188" t="str">
        <f>INDEX(sala!G:G, MATCH(Tabla8[[#This Row],[Numero de Orden]], sala!K:K, 0))</f>
        <v>Almuerzo</v>
      </c>
      <c r="Y188" t="str">
        <f>'Conjunto de Datos'!J189</f>
        <v>Cobrada</v>
      </c>
      <c r="Z188" t="str">
        <f>INDEX(sala!H:H, MATCH(Tabla8[[#This Row],[Numero de Orden]], sala!K:K, 0))</f>
        <v>Tarjeta de crédito</v>
      </c>
      <c r="AA188" s="3">
        <f>'Conjunto de Datos'!D189</f>
        <v>45018</v>
      </c>
      <c r="AB188" t="str">
        <f>INDEX(sala!L:L, MATCH(Tabla8[[#This Row],[Numero de Orden]], sala!K:K, 0))</f>
        <v>Venezuela</v>
      </c>
      <c r="AC188" t="str">
        <f>'Conjunto de Datos'!N189</f>
        <v>Mesero_4</v>
      </c>
      <c r="AD188">
        <f>Tabla8[[#This Row],[Propina]]+Tabla8[[#This Row],[Precio Cena]]</f>
        <v>382</v>
      </c>
      <c r="AE188" s="45">
        <f t="shared" si="6"/>
        <v>208</v>
      </c>
    </row>
    <row r="189" spans="1:31" x14ac:dyDescent="0.3">
      <c r="A189" s="21">
        <v>45022</v>
      </c>
      <c r="B189" s="19">
        <f t="shared" si="8"/>
        <v>155</v>
      </c>
      <c r="S189" t="str">
        <f>'Conjunto de Datos'!BB190</f>
        <v>727</v>
      </c>
      <c r="T189">
        <f>'Conjunto de Datos'!BF190</f>
        <v>188</v>
      </c>
      <c r="U189" s="7">
        <f>sala!I189</f>
        <v>1395</v>
      </c>
      <c r="V189" cm="1">
        <f t="array" ref="V189">SUM(IF(Cocina!A:A=Tabla8[[#This Row],[Numero de Orden]],Cocina!F:F*Cocina!G:G,0))</f>
        <v>83</v>
      </c>
      <c r="W189">
        <f>IF(Tabla8[[#This Row],[Cobrado]]="Cobrada",Tabla8[[#This Row],[Propina]]+Tabla8[[#This Row],[Precio Cena]],0)</f>
        <v>0</v>
      </c>
      <c r="X189" t="str">
        <f>INDEX(sala!G:G, MATCH(Tabla8[[#This Row],[Numero de Orden]], sala!K:K, 0))</f>
        <v>Desayuno</v>
      </c>
      <c r="Y189" t="str">
        <f>'Conjunto de Datos'!J190</f>
        <v>No Cobrada</v>
      </c>
      <c r="Z189" t="str">
        <f>INDEX(sala!H:H, MATCH(Tabla8[[#This Row],[Numero de Orden]], sala!K:K, 0))</f>
        <v>Tarjeta de crédito</v>
      </c>
      <c r="AA189" s="3">
        <f>'Conjunto de Datos'!D190</f>
        <v>45018</v>
      </c>
      <c r="AB189" t="str">
        <f>INDEX(sala!L:L, MATCH(Tabla8[[#This Row],[Numero de Orden]], sala!K:K, 0))</f>
        <v>Colombia</v>
      </c>
      <c r="AC189" t="str">
        <f>'Conjunto de Datos'!N190</f>
        <v>Mesero_3</v>
      </c>
      <c r="AD189">
        <f>Tabla8[[#This Row],[Propina]]+Tabla8[[#This Row],[Precio Cena]]</f>
        <v>1478</v>
      </c>
      <c r="AE189" s="45">
        <f t="shared" si="6"/>
        <v>0</v>
      </c>
    </row>
    <row r="190" spans="1:31" x14ac:dyDescent="0.3">
      <c r="A190" s="20">
        <v>45023</v>
      </c>
      <c r="B190" s="18">
        <f t="shared" si="8"/>
        <v>106</v>
      </c>
      <c r="S190" s="15" t="str">
        <f>'Conjunto de Datos'!BB191</f>
        <v>548</v>
      </c>
      <c r="T190" s="15">
        <f>'Conjunto de Datos'!BF191</f>
        <v>189</v>
      </c>
      <c r="U190" s="6">
        <f>sala!I190</f>
        <v>4166</v>
      </c>
      <c r="V190" cm="1">
        <f t="array" ref="V190">SUM(IF(Cocina!A:A=Tabla8[[#This Row],[Numero de Orden]],Cocina!F:F*Cocina!G:G,0))</f>
        <v>192</v>
      </c>
      <c r="W190">
        <f>IF(Tabla8[[#This Row],[Cobrado]]="Cobrada",Tabla8[[#This Row],[Propina]]+Tabla8[[#This Row],[Precio Cena]],0)</f>
        <v>4358</v>
      </c>
      <c r="X190" t="str">
        <f>INDEX(sala!G:G, MATCH(Tabla8[[#This Row],[Numero de Orden]], sala!K:K, 0))</f>
        <v>Almuerzo</v>
      </c>
      <c r="Y190" t="str">
        <f>'Conjunto de Datos'!J191</f>
        <v>Cobrada</v>
      </c>
      <c r="Z190" t="str">
        <f>INDEX(sala!H:H, MATCH(Tabla8[[#This Row],[Numero de Orden]], sala!K:K, 0))</f>
        <v>Tarjeta de crédito</v>
      </c>
      <c r="AA190" s="3">
        <f>'Conjunto de Datos'!D191</f>
        <v>45018</v>
      </c>
      <c r="AB190" t="str">
        <f>INDEX(sala!L:L, MATCH(Tabla8[[#This Row],[Numero de Orden]], sala!K:K, 0))</f>
        <v>España</v>
      </c>
      <c r="AC190" t="str">
        <f>'Conjunto de Datos'!N191</f>
        <v>Mesero_2</v>
      </c>
      <c r="AD190">
        <f>Tabla8[[#This Row],[Propina]]+Tabla8[[#This Row],[Precio Cena]]</f>
        <v>4358</v>
      </c>
      <c r="AE190" s="45">
        <f t="shared" si="6"/>
        <v>192</v>
      </c>
    </row>
    <row r="191" spans="1:31" x14ac:dyDescent="0.3">
      <c r="S191" t="str">
        <f>'Conjunto de Datos'!BB192</f>
        <v>709</v>
      </c>
      <c r="T191">
        <f>'Conjunto de Datos'!BF192</f>
        <v>190</v>
      </c>
      <c r="U191" s="7">
        <f>sala!I191</f>
        <v>3888</v>
      </c>
      <c r="V191" cm="1">
        <f t="array" ref="V191">SUM(IF(Cocina!A:A=Tabla8[[#This Row],[Numero de Orden]],Cocina!F:F*Cocina!G:G,0))</f>
        <v>202</v>
      </c>
      <c r="W191">
        <f>IF(Tabla8[[#This Row],[Cobrado]]="Cobrada",Tabla8[[#This Row],[Propina]]+Tabla8[[#This Row],[Precio Cena]],0)</f>
        <v>4090</v>
      </c>
      <c r="X191" t="str">
        <f>INDEX(sala!G:G, MATCH(Tabla8[[#This Row],[Numero de Orden]], sala!K:K, 0))</f>
        <v>Almuerzo</v>
      </c>
      <c r="Y191" t="str">
        <f>'Conjunto de Datos'!J192</f>
        <v>Cobrada</v>
      </c>
      <c r="Z191" t="str">
        <f>INDEX(sala!H:H, MATCH(Tabla8[[#This Row],[Numero de Orden]], sala!K:K, 0))</f>
        <v>Tarjeta de crédito</v>
      </c>
      <c r="AA191" s="3">
        <f>'Conjunto de Datos'!D192</f>
        <v>45018</v>
      </c>
      <c r="AB191" t="str">
        <f>INDEX(sala!L:L, MATCH(Tabla8[[#This Row],[Numero de Orden]], sala!K:K, 0))</f>
        <v>Colombia</v>
      </c>
      <c r="AC191" t="str">
        <f>'Conjunto de Datos'!N192</f>
        <v>Mesero_2</v>
      </c>
      <c r="AD191">
        <f>Tabla8[[#This Row],[Propina]]+Tabla8[[#This Row],[Precio Cena]]</f>
        <v>4090</v>
      </c>
      <c r="AE191" s="45">
        <f t="shared" si="6"/>
        <v>202</v>
      </c>
    </row>
    <row r="192" spans="1:31" x14ac:dyDescent="0.3">
      <c r="S192" s="15" t="str">
        <f>'Conjunto de Datos'!BB193</f>
        <v>30</v>
      </c>
      <c r="T192" s="15">
        <f>'Conjunto de Datos'!BF193</f>
        <v>191</v>
      </c>
      <c r="U192" s="6">
        <f>sala!I192</f>
        <v>2436</v>
      </c>
      <c r="V192" cm="1">
        <f t="array" ref="V192">SUM(IF(Cocina!A:A=Tabla8[[#This Row],[Numero de Orden]],Cocina!F:F*Cocina!G:G,0))</f>
        <v>162</v>
      </c>
      <c r="W192">
        <f>IF(Tabla8[[#This Row],[Cobrado]]="Cobrada",Tabla8[[#This Row],[Propina]]+Tabla8[[#This Row],[Precio Cena]],0)</f>
        <v>2598</v>
      </c>
      <c r="X192" t="str">
        <f>INDEX(sala!G:G, MATCH(Tabla8[[#This Row],[Numero de Orden]], sala!K:K, 0))</f>
        <v>Almuerzo</v>
      </c>
      <c r="Y192" t="str">
        <f>'Conjunto de Datos'!J193</f>
        <v>Cobrada</v>
      </c>
      <c r="Z192" t="str">
        <f>INDEX(sala!H:H, MATCH(Tabla8[[#This Row],[Numero de Orden]], sala!K:K, 0))</f>
        <v>Tarjeta de crédito</v>
      </c>
      <c r="AA192" s="3">
        <f>'Conjunto de Datos'!D193</f>
        <v>45018</v>
      </c>
      <c r="AB192" t="str">
        <f>INDEX(sala!L:L, MATCH(Tabla8[[#This Row],[Numero de Orden]], sala!K:K, 0))</f>
        <v>Paraguay</v>
      </c>
      <c r="AC192" t="str">
        <f>'Conjunto de Datos'!N193</f>
        <v>Mesero_2</v>
      </c>
      <c r="AD192">
        <f>Tabla8[[#This Row],[Propina]]+Tabla8[[#This Row],[Precio Cena]]</f>
        <v>2598</v>
      </c>
      <c r="AE192" s="45">
        <f t="shared" si="6"/>
        <v>162</v>
      </c>
    </row>
    <row r="193" spans="19:31" x14ac:dyDescent="0.3">
      <c r="S193" t="str">
        <f>'Conjunto de Datos'!BB194</f>
        <v>412</v>
      </c>
      <c r="T193">
        <f>'Conjunto de Datos'!BF194</f>
        <v>192</v>
      </c>
      <c r="U193" s="7">
        <f>sala!I193</f>
        <v>1599</v>
      </c>
      <c r="V193" cm="1">
        <f t="array" ref="V193">SUM(IF(Cocina!A:A=Tabla8[[#This Row],[Numero de Orden]],Cocina!F:F*Cocina!G:G,0))</f>
        <v>75</v>
      </c>
      <c r="W193">
        <f>IF(Tabla8[[#This Row],[Cobrado]]="Cobrada",Tabla8[[#This Row],[Propina]]+Tabla8[[#This Row],[Precio Cena]],0)</f>
        <v>1674</v>
      </c>
      <c r="X193" t="str">
        <f>INDEX(sala!G:G, MATCH(Tabla8[[#This Row],[Numero de Orden]], sala!K:K, 0))</f>
        <v>Desayuno</v>
      </c>
      <c r="Y193" t="str">
        <f>'Conjunto de Datos'!J194</f>
        <v>Cobrada</v>
      </c>
      <c r="Z193" t="str">
        <f>INDEX(sala!H:H, MATCH(Tabla8[[#This Row],[Numero de Orden]], sala!K:K, 0))</f>
        <v>Efectivo</v>
      </c>
      <c r="AA193" s="3">
        <f>'Conjunto de Datos'!D194</f>
        <v>45018</v>
      </c>
      <c r="AB193" t="str">
        <f>INDEX(sala!L:L, MATCH(Tabla8[[#This Row],[Numero de Orden]], sala!K:K, 0))</f>
        <v>Chile</v>
      </c>
      <c r="AC193" t="str">
        <f>'Conjunto de Datos'!N194</f>
        <v>Mesero_2</v>
      </c>
      <c r="AD193">
        <f>Tabla8[[#This Row],[Propina]]+Tabla8[[#This Row],[Precio Cena]]</f>
        <v>1674</v>
      </c>
      <c r="AE193" s="45">
        <f t="shared" si="6"/>
        <v>75</v>
      </c>
    </row>
    <row r="194" spans="19:31" x14ac:dyDescent="0.3">
      <c r="S194" s="15" t="str">
        <f>'Conjunto de Datos'!BB195</f>
        <v>646</v>
      </c>
      <c r="T194" s="15">
        <f>'Conjunto de Datos'!BF195</f>
        <v>193</v>
      </c>
      <c r="U194" s="6">
        <f>sala!I194</f>
        <v>2485</v>
      </c>
      <c r="V194" cm="1">
        <f t="array" ref="V194">SUM(IF(Cocina!A:A=Tabla8[[#This Row],[Numero de Orden]],Cocina!F:F*Cocina!G:G,0))</f>
        <v>220</v>
      </c>
      <c r="W194">
        <f>IF(Tabla8[[#This Row],[Cobrado]]="Cobrada",Tabla8[[#This Row],[Propina]]+Tabla8[[#This Row],[Precio Cena]],0)</f>
        <v>2705</v>
      </c>
      <c r="X194" t="str">
        <f>INDEX(sala!G:G, MATCH(Tabla8[[#This Row],[Numero de Orden]], sala!K:K, 0))</f>
        <v>Desayuno</v>
      </c>
      <c r="Y194" t="str">
        <f>'Conjunto de Datos'!J195</f>
        <v>Cobrada</v>
      </c>
      <c r="Z194" t="str">
        <f>INDEX(sala!H:H, MATCH(Tabla8[[#This Row],[Numero de Orden]], sala!K:K, 0))</f>
        <v>Tarjeta de crédito</v>
      </c>
      <c r="AA194" s="3">
        <f>'Conjunto de Datos'!D195</f>
        <v>45018</v>
      </c>
      <c r="AB194" t="str">
        <f>INDEX(sala!L:L, MATCH(Tabla8[[#This Row],[Numero de Orden]], sala!K:K, 0))</f>
        <v>Argentina</v>
      </c>
      <c r="AC194" t="str">
        <f>'Conjunto de Datos'!N195</f>
        <v>Mesero_5</v>
      </c>
      <c r="AD194">
        <f>Tabla8[[#This Row],[Propina]]+Tabla8[[#This Row],[Precio Cena]]</f>
        <v>2705</v>
      </c>
      <c r="AE194" s="45">
        <f t="shared" si="6"/>
        <v>220</v>
      </c>
    </row>
    <row r="195" spans="19:31" x14ac:dyDescent="0.3">
      <c r="S195" t="str">
        <f>'Conjunto de Datos'!BB196</f>
        <v>151</v>
      </c>
      <c r="T195">
        <f>'Conjunto de Datos'!BF196</f>
        <v>194</v>
      </c>
      <c r="U195" s="7">
        <f>sala!I195</f>
        <v>1141</v>
      </c>
      <c r="V195" cm="1">
        <f t="array" ref="V195">SUM(IF(Cocina!A:A=Tabla8[[#This Row],[Numero de Orden]],Cocina!F:F*Cocina!G:G,0))</f>
        <v>96</v>
      </c>
      <c r="W195">
        <f>IF(Tabla8[[#This Row],[Cobrado]]="Cobrada",Tabla8[[#This Row],[Propina]]+Tabla8[[#This Row],[Precio Cena]],0)</f>
        <v>1237</v>
      </c>
      <c r="X195" t="str">
        <f>INDEX(sala!G:G, MATCH(Tabla8[[#This Row],[Numero de Orden]], sala!K:K, 0))</f>
        <v>Almuerzo</v>
      </c>
      <c r="Y195" t="str">
        <f>'Conjunto de Datos'!J196</f>
        <v>Cobrada</v>
      </c>
      <c r="Z195" t="str">
        <f>INDEX(sala!H:H, MATCH(Tabla8[[#This Row],[Numero de Orden]], sala!K:K, 0))</f>
        <v>Tarjeta de débito</v>
      </c>
      <c r="AA195" s="3">
        <f>'Conjunto de Datos'!D196</f>
        <v>45018</v>
      </c>
      <c r="AB195" t="str">
        <f>INDEX(sala!L:L, MATCH(Tabla8[[#This Row],[Numero de Orden]], sala!K:K, 0))</f>
        <v>Perú</v>
      </c>
      <c r="AC195" t="str">
        <f>'Conjunto de Datos'!N196</f>
        <v>Mesero_5</v>
      </c>
      <c r="AD195">
        <f>Tabla8[[#This Row],[Propina]]+Tabla8[[#This Row],[Precio Cena]]</f>
        <v>1237</v>
      </c>
      <c r="AE195" s="45">
        <f t="shared" si="6"/>
        <v>96</v>
      </c>
    </row>
    <row r="196" spans="19:31" x14ac:dyDescent="0.3">
      <c r="S196" s="15" t="str">
        <f>'Conjunto de Datos'!BB197</f>
        <v>318</v>
      </c>
      <c r="T196" s="15">
        <f>'Conjunto de Datos'!BF197</f>
        <v>195</v>
      </c>
      <c r="U196" s="6">
        <f>sala!I196</f>
        <v>1006</v>
      </c>
      <c r="V196" cm="1">
        <f t="array" ref="V196">SUM(IF(Cocina!A:A=Tabla8[[#This Row],[Numero de Orden]],Cocina!F:F*Cocina!G:G,0))</f>
        <v>50</v>
      </c>
      <c r="W196">
        <f>IF(Tabla8[[#This Row],[Cobrado]]="Cobrada",Tabla8[[#This Row],[Propina]]+Tabla8[[#This Row],[Precio Cena]],0)</f>
        <v>1056</v>
      </c>
      <c r="X196" t="str">
        <f>INDEX(sala!G:G, MATCH(Tabla8[[#This Row],[Numero de Orden]], sala!K:K, 0))</f>
        <v>Almuerzo</v>
      </c>
      <c r="Y196" t="str">
        <f>'Conjunto de Datos'!J197</f>
        <v>Cobrada</v>
      </c>
      <c r="Z196" t="str">
        <f>INDEX(sala!H:H, MATCH(Tabla8[[#This Row],[Numero de Orden]], sala!K:K, 0))</f>
        <v>Tarjeta de débito</v>
      </c>
      <c r="AA196" s="3">
        <f>'Conjunto de Datos'!D197</f>
        <v>45018</v>
      </c>
      <c r="AB196" t="str">
        <f>INDEX(sala!L:L, MATCH(Tabla8[[#This Row],[Numero de Orden]], sala!K:K, 0))</f>
        <v>Colombia</v>
      </c>
      <c r="AC196" t="str">
        <f>'Conjunto de Datos'!N197</f>
        <v>Mesero_3</v>
      </c>
      <c r="AD196">
        <f>Tabla8[[#This Row],[Propina]]+Tabla8[[#This Row],[Precio Cena]]</f>
        <v>1056</v>
      </c>
      <c r="AE196" s="45">
        <f t="shared" ref="AE196:AE259" si="9">IF(Y196 = "Cobrada",V196,0)</f>
        <v>50</v>
      </c>
    </row>
    <row r="197" spans="19:31" x14ac:dyDescent="0.3">
      <c r="S197" t="str">
        <f>'Conjunto de Datos'!BB198</f>
        <v>965</v>
      </c>
      <c r="T197">
        <f>'Conjunto de Datos'!BF198</f>
        <v>196</v>
      </c>
      <c r="U197" s="7">
        <f>sala!I197</f>
        <v>4265</v>
      </c>
      <c r="V197" cm="1">
        <f t="array" ref="V197">SUM(IF(Cocina!A:A=Tabla8[[#This Row],[Numero de Orden]],Cocina!F:F*Cocina!G:G,0))</f>
        <v>191</v>
      </c>
      <c r="W197">
        <f>IF(Tabla8[[#This Row],[Cobrado]]="Cobrada",Tabla8[[#This Row],[Propina]]+Tabla8[[#This Row],[Precio Cena]],0)</f>
        <v>4456</v>
      </c>
      <c r="X197" t="str">
        <f>INDEX(sala!G:G, MATCH(Tabla8[[#This Row],[Numero de Orden]], sala!K:K, 0))</f>
        <v>Almuerzo</v>
      </c>
      <c r="Y197" t="str">
        <f>'Conjunto de Datos'!J198</f>
        <v>Cobrada</v>
      </c>
      <c r="Z197" t="str">
        <f>INDEX(sala!H:H, MATCH(Tabla8[[#This Row],[Numero de Orden]], sala!K:K, 0))</f>
        <v>Tarjeta de crédito</v>
      </c>
      <c r="AA197" s="3">
        <f>'Conjunto de Datos'!D198</f>
        <v>45018</v>
      </c>
      <c r="AB197" t="str">
        <f>INDEX(sala!L:L, MATCH(Tabla8[[#This Row],[Numero de Orden]], sala!K:K, 0))</f>
        <v>España</v>
      </c>
      <c r="AC197" t="str">
        <f>'Conjunto de Datos'!N198</f>
        <v>Mesero_2</v>
      </c>
      <c r="AD197">
        <f>Tabla8[[#This Row],[Propina]]+Tabla8[[#This Row],[Precio Cena]]</f>
        <v>4456</v>
      </c>
      <c r="AE197" s="45">
        <f t="shared" si="9"/>
        <v>191</v>
      </c>
    </row>
    <row r="198" spans="19:31" x14ac:dyDescent="0.3">
      <c r="S198" s="15" t="str">
        <f>'Conjunto de Datos'!BB199</f>
        <v>336</v>
      </c>
      <c r="T198" s="15">
        <f>'Conjunto de Datos'!BF199</f>
        <v>197</v>
      </c>
      <c r="U198" s="6">
        <f>sala!I198</f>
        <v>2011</v>
      </c>
      <c r="V198" cm="1">
        <f t="array" ref="V198">SUM(IF(Cocina!A:A=Tabla8[[#This Row],[Numero de Orden]],Cocina!F:F*Cocina!G:G,0))</f>
        <v>129</v>
      </c>
      <c r="W198">
        <f>IF(Tabla8[[#This Row],[Cobrado]]="Cobrada",Tabla8[[#This Row],[Propina]]+Tabla8[[#This Row],[Precio Cena]],0)</f>
        <v>2140</v>
      </c>
      <c r="X198" t="str">
        <f>INDEX(sala!G:G, MATCH(Tabla8[[#This Row],[Numero de Orden]], sala!K:K, 0))</f>
        <v>Desayuno</v>
      </c>
      <c r="Y198" t="str">
        <f>'Conjunto de Datos'!J199</f>
        <v>Cobrada</v>
      </c>
      <c r="Z198" t="str">
        <f>INDEX(sala!H:H, MATCH(Tabla8[[#This Row],[Numero de Orden]], sala!K:K, 0))</f>
        <v>Tarjeta de débito</v>
      </c>
      <c r="AA198" s="3">
        <f>'Conjunto de Datos'!D199</f>
        <v>45018</v>
      </c>
      <c r="AB198" t="str">
        <f>INDEX(sala!L:L, MATCH(Tabla8[[#This Row],[Numero de Orden]], sala!K:K, 0))</f>
        <v>Colombia</v>
      </c>
      <c r="AC198" t="str">
        <f>'Conjunto de Datos'!N199</f>
        <v>Mesero_2</v>
      </c>
      <c r="AD198">
        <f>Tabla8[[#This Row],[Propina]]+Tabla8[[#This Row],[Precio Cena]]</f>
        <v>2140</v>
      </c>
      <c r="AE198" s="45">
        <f t="shared" si="9"/>
        <v>129</v>
      </c>
    </row>
    <row r="199" spans="19:31" x14ac:dyDescent="0.3">
      <c r="S199" t="str">
        <f>'Conjunto de Datos'!BB200</f>
        <v>560</v>
      </c>
      <c r="T199">
        <f>'Conjunto de Datos'!BF200</f>
        <v>198</v>
      </c>
      <c r="U199" s="7">
        <f>sala!I199</f>
        <v>3672</v>
      </c>
      <c r="V199" cm="1">
        <f t="array" ref="V199">SUM(IF(Cocina!A:A=Tabla8[[#This Row],[Numero de Orden]],Cocina!F:F*Cocina!G:G,0))</f>
        <v>54</v>
      </c>
      <c r="W199">
        <f>IF(Tabla8[[#This Row],[Cobrado]]="Cobrada",Tabla8[[#This Row],[Propina]]+Tabla8[[#This Row],[Precio Cena]],0)</f>
        <v>3726</v>
      </c>
      <c r="X199" t="str">
        <f>INDEX(sala!G:G, MATCH(Tabla8[[#This Row],[Numero de Orden]], sala!K:K, 0))</f>
        <v>Almuerzo</v>
      </c>
      <c r="Y199" t="str">
        <f>'Conjunto de Datos'!J200</f>
        <v>Cobrada</v>
      </c>
      <c r="Z199" t="str">
        <f>INDEX(sala!H:H, MATCH(Tabla8[[#This Row],[Numero de Orden]], sala!K:K, 0))</f>
        <v>Tarjeta de crédito</v>
      </c>
      <c r="AA199" s="3">
        <f>'Conjunto de Datos'!D200</f>
        <v>45018</v>
      </c>
      <c r="AB199" t="str">
        <f>INDEX(sala!L:L, MATCH(Tabla8[[#This Row],[Numero de Orden]], sala!K:K, 0))</f>
        <v>España</v>
      </c>
      <c r="AC199" t="str">
        <f>'Conjunto de Datos'!N200</f>
        <v>Mesero_1</v>
      </c>
      <c r="AD199">
        <f>Tabla8[[#This Row],[Propina]]+Tabla8[[#This Row],[Precio Cena]]</f>
        <v>3726</v>
      </c>
      <c r="AE199" s="45">
        <f t="shared" si="9"/>
        <v>54</v>
      </c>
    </row>
    <row r="200" spans="19:31" x14ac:dyDescent="0.3">
      <c r="S200" s="15" t="str">
        <f>'Conjunto de Datos'!BB201</f>
        <v>367</v>
      </c>
      <c r="T200" s="15">
        <f>'Conjunto de Datos'!BF201</f>
        <v>199</v>
      </c>
      <c r="U200" s="6">
        <f>sala!I200</f>
        <v>1326</v>
      </c>
      <c r="V200" cm="1">
        <f t="array" ref="V200">SUM(IF(Cocina!A:A=Tabla8[[#This Row],[Numero de Orden]],Cocina!F:F*Cocina!G:G,0))</f>
        <v>261</v>
      </c>
      <c r="W200">
        <f>IF(Tabla8[[#This Row],[Cobrado]]="Cobrada",Tabla8[[#This Row],[Propina]]+Tabla8[[#This Row],[Precio Cena]],0)</f>
        <v>1587</v>
      </c>
      <c r="X200" t="str">
        <f>INDEX(sala!G:G, MATCH(Tabla8[[#This Row],[Numero de Orden]], sala!K:K, 0))</f>
        <v>Cena</v>
      </c>
      <c r="Y200" t="str">
        <f>'Conjunto de Datos'!J201</f>
        <v>Cobrada</v>
      </c>
      <c r="Z200" t="str">
        <f>INDEX(sala!H:H, MATCH(Tabla8[[#This Row],[Numero de Orden]], sala!K:K, 0))</f>
        <v>Tarjeta de débito</v>
      </c>
      <c r="AA200" s="3">
        <f>'Conjunto de Datos'!D201</f>
        <v>45018</v>
      </c>
      <c r="AB200" t="str">
        <f>INDEX(sala!L:L, MATCH(Tabla8[[#This Row],[Numero de Orden]], sala!K:K, 0))</f>
        <v>Paraguay</v>
      </c>
      <c r="AC200" t="str">
        <f>'Conjunto de Datos'!N201</f>
        <v>Mesero_2</v>
      </c>
      <c r="AD200">
        <f>Tabla8[[#This Row],[Propina]]+Tabla8[[#This Row],[Precio Cena]]</f>
        <v>1587</v>
      </c>
      <c r="AE200" s="45">
        <f t="shared" si="9"/>
        <v>261</v>
      </c>
    </row>
    <row r="201" spans="19:31" x14ac:dyDescent="0.3">
      <c r="S201" t="str">
        <f>'Conjunto de Datos'!BB202</f>
        <v>765</v>
      </c>
      <c r="T201">
        <f>'Conjunto de Datos'!BF202</f>
        <v>200</v>
      </c>
      <c r="U201" s="7">
        <f>sala!I201</f>
        <v>4873</v>
      </c>
      <c r="V201" cm="1">
        <f t="array" ref="V201">SUM(IF(Cocina!A:A=Tabla8[[#This Row],[Numero de Orden]],Cocina!F:F*Cocina!G:G,0))</f>
        <v>88</v>
      </c>
      <c r="W201">
        <f>IF(Tabla8[[#This Row],[Cobrado]]="Cobrada",Tabla8[[#This Row],[Propina]]+Tabla8[[#This Row],[Precio Cena]],0)</f>
        <v>4961</v>
      </c>
      <c r="X201" t="str">
        <f>INDEX(sala!G:G, MATCH(Tabla8[[#This Row],[Numero de Orden]], sala!K:K, 0))</f>
        <v>Almuerzo</v>
      </c>
      <c r="Y201" t="str">
        <f>'Conjunto de Datos'!J202</f>
        <v>Cobrada</v>
      </c>
      <c r="Z201" t="str">
        <f>INDEX(sala!H:H, MATCH(Tabla8[[#This Row],[Numero de Orden]], sala!K:K, 0))</f>
        <v>Tarjeta de crédito</v>
      </c>
      <c r="AA201" s="3">
        <f>'Conjunto de Datos'!D202</f>
        <v>45018</v>
      </c>
      <c r="AB201" t="str">
        <f>INDEX(sala!L:L, MATCH(Tabla8[[#This Row],[Numero de Orden]], sala!K:K, 0))</f>
        <v>Colombia</v>
      </c>
      <c r="AC201" t="str">
        <f>'Conjunto de Datos'!N202</f>
        <v>Mesero_3</v>
      </c>
      <c r="AD201">
        <f>Tabla8[[#This Row],[Propina]]+Tabla8[[#This Row],[Precio Cena]]</f>
        <v>4961</v>
      </c>
      <c r="AE201" s="45">
        <f t="shared" si="9"/>
        <v>88</v>
      </c>
    </row>
    <row r="202" spans="19:31" x14ac:dyDescent="0.3">
      <c r="S202" s="15" t="str">
        <f>'Conjunto de Datos'!BB203</f>
        <v>679</v>
      </c>
      <c r="T202" s="15">
        <f>'Conjunto de Datos'!BF203</f>
        <v>201</v>
      </c>
      <c r="U202" s="6">
        <f>sala!I202</f>
        <v>1984</v>
      </c>
      <c r="V202" cm="1">
        <f t="array" ref="V202">SUM(IF(Cocina!A:A=Tabla8[[#This Row],[Numero de Orden]],Cocina!F:F*Cocina!G:G,0))</f>
        <v>72</v>
      </c>
      <c r="W202">
        <f>IF(Tabla8[[#This Row],[Cobrado]]="Cobrada",Tabla8[[#This Row],[Propina]]+Tabla8[[#This Row],[Precio Cena]],0)</f>
        <v>2056</v>
      </c>
      <c r="X202" t="str">
        <f>INDEX(sala!G:G, MATCH(Tabla8[[#This Row],[Numero de Orden]], sala!K:K, 0))</f>
        <v>Cena</v>
      </c>
      <c r="Y202" t="str">
        <f>'Conjunto de Datos'!J203</f>
        <v>Cobrada</v>
      </c>
      <c r="Z202" t="str">
        <f>INDEX(sala!H:H, MATCH(Tabla8[[#This Row],[Numero de Orden]], sala!K:K, 0))</f>
        <v>Tarjeta de crédito</v>
      </c>
      <c r="AA202" s="3">
        <f>'Conjunto de Datos'!D203</f>
        <v>45018</v>
      </c>
      <c r="AB202" t="str">
        <f>INDEX(sala!L:L, MATCH(Tabla8[[#This Row],[Numero de Orden]], sala!K:K, 0))</f>
        <v>Perú</v>
      </c>
      <c r="AC202" t="str">
        <f>'Conjunto de Datos'!N203</f>
        <v>Mesero_1</v>
      </c>
      <c r="AD202">
        <f>Tabla8[[#This Row],[Propina]]+Tabla8[[#This Row],[Precio Cena]]</f>
        <v>2056</v>
      </c>
      <c r="AE202" s="45">
        <f t="shared" si="9"/>
        <v>72</v>
      </c>
    </row>
    <row r="203" spans="19:31" x14ac:dyDescent="0.3">
      <c r="S203" t="str">
        <f>'Conjunto de Datos'!BB204</f>
        <v>512</v>
      </c>
      <c r="T203">
        <f>'Conjunto de Datos'!BF204</f>
        <v>202</v>
      </c>
      <c r="U203" s="7">
        <f>sala!I203</f>
        <v>2419</v>
      </c>
      <c r="V203" cm="1">
        <f t="array" ref="V203">SUM(IF(Cocina!A:A=Tabla8[[#This Row],[Numero de Orden]],Cocina!F:F*Cocina!G:G,0))</f>
        <v>206</v>
      </c>
      <c r="W203">
        <f>IF(Tabla8[[#This Row],[Cobrado]]="Cobrada",Tabla8[[#This Row],[Propina]]+Tabla8[[#This Row],[Precio Cena]],0)</f>
        <v>0</v>
      </c>
      <c r="X203" t="str">
        <f>INDEX(sala!G:G, MATCH(Tabla8[[#This Row],[Numero de Orden]], sala!K:K, 0))</f>
        <v>Almuerzo</v>
      </c>
      <c r="Y203" t="str">
        <f>'Conjunto de Datos'!J204</f>
        <v>No Cobrada</v>
      </c>
      <c r="Z203" t="str">
        <f>INDEX(sala!H:H, MATCH(Tabla8[[#This Row],[Numero de Orden]], sala!K:K, 0))</f>
        <v>Tarjeta de crédito</v>
      </c>
      <c r="AA203" s="3">
        <f>'Conjunto de Datos'!D204</f>
        <v>45018</v>
      </c>
      <c r="AB203" t="str">
        <f>INDEX(sala!L:L, MATCH(Tabla8[[#This Row],[Numero de Orden]], sala!K:K, 0))</f>
        <v>Bolivia</v>
      </c>
      <c r="AC203" t="str">
        <f>'Conjunto de Datos'!N204</f>
        <v>Mesero_3</v>
      </c>
      <c r="AD203">
        <f>Tabla8[[#This Row],[Propina]]+Tabla8[[#This Row],[Precio Cena]]</f>
        <v>2625</v>
      </c>
      <c r="AE203" s="45">
        <f t="shared" si="9"/>
        <v>0</v>
      </c>
    </row>
    <row r="204" spans="19:31" x14ac:dyDescent="0.3">
      <c r="S204" s="15" t="str">
        <f>'Conjunto de Datos'!BB205</f>
        <v>701</v>
      </c>
      <c r="T204" s="15">
        <f>'Conjunto de Datos'!BF205</f>
        <v>203</v>
      </c>
      <c r="U204" s="6">
        <f>sala!I204</f>
        <v>4019</v>
      </c>
      <c r="V204" cm="1">
        <f t="array" ref="V204">SUM(IF(Cocina!A:A=Tabla8[[#This Row],[Numero de Orden]],Cocina!F:F*Cocina!G:G,0))</f>
        <v>156</v>
      </c>
      <c r="W204">
        <f>IF(Tabla8[[#This Row],[Cobrado]]="Cobrada",Tabla8[[#This Row],[Propina]]+Tabla8[[#This Row],[Precio Cena]],0)</f>
        <v>0</v>
      </c>
      <c r="X204" t="str">
        <f>INDEX(sala!G:G, MATCH(Tabla8[[#This Row],[Numero de Orden]], sala!K:K, 0))</f>
        <v>Almuerzo</v>
      </c>
      <c r="Y204" t="str">
        <f>'Conjunto de Datos'!J205</f>
        <v>No Cobrada</v>
      </c>
      <c r="Z204" t="str">
        <f>INDEX(sala!H:H, MATCH(Tabla8[[#This Row],[Numero de Orden]], sala!K:K, 0))</f>
        <v>Tarjeta de crédito</v>
      </c>
      <c r="AA204" s="3">
        <f>'Conjunto de Datos'!D205</f>
        <v>45018</v>
      </c>
      <c r="AB204" t="str">
        <f>INDEX(sala!L:L, MATCH(Tabla8[[#This Row],[Numero de Orden]], sala!K:K, 0))</f>
        <v>Perú</v>
      </c>
      <c r="AC204" t="str">
        <f>'Conjunto de Datos'!N205</f>
        <v>Mesero_1</v>
      </c>
      <c r="AD204">
        <f>Tabla8[[#This Row],[Propina]]+Tabla8[[#This Row],[Precio Cena]]</f>
        <v>4175</v>
      </c>
      <c r="AE204" s="45">
        <f t="shared" si="9"/>
        <v>0</v>
      </c>
    </row>
    <row r="205" spans="19:31" x14ac:dyDescent="0.3">
      <c r="S205" t="str">
        <f>'Conjunto de Datos'!BB206</f>
        <v>331</v>
      </c>
      <c r="T205">
        <f>'Conjunto de Datos'!BF206</f>
        <v>204</v>
      </c>
      <c r="U205" s="7">
        <f>sala!I205</f>
        <v>4956</v>
      </c>
      <c r="V205" cm="1">
        <f t="array" ref="V205">SUM(IF(Cocina!A:A=Tabla8[[#This Row],[Numero de Orden]],Cocina!F:F*Cocina!G:G,0))</f>
        <v>48</v>
      </c>
      <c r="W205">
        <f>IF(Tabla8[[#This Row],[Cobrado]]="Cobrada",Tabla8[[#This Row],[Propina]]+Tabla8[[#This Row],[Precio Cena]],0)</f>
        <v>5004</v>
      </c>
      <c r="X205" t="str">
        <f>INDEX(sala!G:G, MATCH(Tabla8[[#This Row],[Numero de Orden]], sala!K:K, 0))</f>
        <v>Almuerzo</v>
      </c>
      <c r="Y205" t="str">
        <f>'Conjunto de Datos'!J206</f>
        <v>Cobrada</v>
      </c>
      <c r="Z205" t="str">
        <f>INDEX(sala!H:H, MATCH(Tabla8[[#This Row],[Numero de Orden]], sala!K:K, 0))</f>
        <v>Efectivo</v>
      </c>
      <c r="AA205" s="3">
        <f>'Conjunto de Datos'!D206</f>
        <v>45018</v>
      </c>
      <c r="AB205" t="str">
        <f>INDEX(sala!L:L, MATCH(Tabla8[[#This Row],[Numero de Orden]], sala!K:K, 0))</f>
        <v>Uruguay</v>
      </c>
      <c r="AC205" t="str">
        <f>'Conjunto de Datos'!N206</f>
        <v>Mesero_1</v>
      </c>
      <c r="AD205">
        <f>Tabla8[[#This Row],[Propina]]+Tabla8[[#This Row],[Precio Cena]]</f>
        <v>5004</v>
      </c>
      <c r="AE205" s="45">
        <f t="shared" si="9"/>
        <v>48</v>
      </c>
    </row>
    <row r="206" spans="19:31" x14ac:dyDescent="0.3">
      <c r="S206" s="15" t="str">
        <f>'Conjunto de Datos'!BB207</f>
        <v>83</v>
      </c>
      <c r="T206" s="15">
        <f>'Conjunto de Datos'!BF207</f>
        <v>205</v>
      </c>
      <c r="U206" s="6">
        <f>sala!I206</f>
        <v>2649</v>
      </c>
      <c r="V206" cm="1">
        <f t="array" ref="V206">SUM(IF(Cocina!A:A=Tabla8[[#This Row],[Numero de Orden]],Cocina!F:F*Cocina!G:G,0))</f>
        <v>61</v>
      </c>
      <c r="W206">
        <f>IF(Tabla8[[#This Row],[Cobrado]]="Cobrada",Tabla8[[#This Row],[Propina]]+Tabla8[[#This Row],[Precio Cena]],0)</f>
        <v>2710</v>
      </c>
      <c r="X206" t="str">
        <f>INDEX(sala!G:G, MATCH(Tabla8[[#This Row],[Numero de Orden]], sala!K:K, 0))</f>
        <v>Almuerzo</v>
      </c>
      <c r="Y206" t="str">
        <f>'Conjunto de Datos'!J207</f>
        <v>Cobrada</v>
      </c>
      <c r="Z206" t="str">
        <f>INDEX(sala!H:H, MATCH(Tabla8[[#This Row],[Numero de Orden]], sala!K:K, 0))</f>
        <v>Tarjeta de débito</v>
      </c>
      <c r="AA206" s="3">
        <f>'Conjunto de Datos'!D207</f>
        <v>45018</v>
      </c>
      <c r="AB206" t="str">
        <f>INDEX(sala!L:L, MATCH(Tabla8[[#This Row],[Numero de Orden]], sala!K:K, 0))</f>
        <v>Chile</v>
      </c>
      <c r="AC206" t="str">
        <f>'Conjunto de Datos'!N207</f>
        <v>Mesero_2</v>
      </c>
      <c r="AD206">
        <f>Tabla8[[#This Row],[Propina]]+Tabla8[[#This Row],[Precio Cena]]</f>
        <v>2710</v>
      </c>
      <c r="AE206" s="45">
        <f t="shared" si="9"/>
        <v>61</v>
      </c>
    </row>
    <row r="207" spans="19:31" x14ac:dyDescent="0.3">
      <c r="S207" t="str">
        <f>'Conjunto de Datos'!BB208</f>
        <v>339</v>
      </c>
      <c r="T207">
        <f>'Conjunto de Datos'!BF208</f>
        <v>206</v>
      </c>
      <c r="U207" s="7">
        <f>sala!I207</f>
        <v>3696</v>
      </c>
      <c r="V207" cm="1">
        <f t="array" ref="V207">SUM(IF(Cocina!A:A=Tabla8[[#This Row],[Numero de Orden]],Cocina!F:F*Cocina!G:G,0))</f>
        <v>30</v>
      </c>
      <c r="W207">
        <f>IF(Tabla8[[#This Row],[Cobrado]]="Cobrada",Tabla8[[#This Row],[Propina]]+Tabla8[[#This Row],[Precio Cena]],0)</f>
        <v>3726</v>
      </c>
      <c r="X207" t="str">
        <f>INDEX(sala!G:G, MATCH(Tabla8[[#This Row],[Numero de Orden]], sala!K:K, 0))</f>
        <v>Almuerzo</v>
      </c>
      <c r="Y207" t="str">
        <f>'Conjunto de Datos'!J208</f>
        <v>Cobrada</v>
      </c>
      <c r="Z207" t="str">
        <f>INDEX(sala!H:H, MATCH(Tabla8[[#This Row],[Numero de Orden]], sala!K:K, 0))</f>
        <v>Tarjeta de crédito</v>
      </c>
      <c r="AA207" s="3">
        <f>'Conjunto de Datos'!D208</f>
        <v>45018</v>
      </c>
      <c r="AB207" t="str">
        <f>INDEX(sala!L:L, MATCH(Tabla8[[#This Row],[Numero de Orden]], sala!K:K, 0))</f>
        <v>Bolivia</v>
      </c>
      <c r="AC207" t="str">
        <f>'Conjunto de Datos'!N208</f>
        <v>Mesero_4</v>
      </c>
      <c r="AD207">
        <f>Tabla8[[#This Row],[Propina]]+Tabla8[[#This Row],[Precio Cena]]</f>
        <v>3726</v>
      </c>
      <c r="AE207" s="45">
        <f t="shared" si="9"/>
        <v>30</v>
      </c>
    </row>
    <row r="208" spans="19:31" x14ac:dyDescent="0.3">
      <c r="S208" s="15" t="str">
        <f>'Conjunto de Datos'!BB209</f>
        <v>323</v>
      </c>
      <c r="T208" s="15">
        <f>'Conjunto de Datos'!BF209</f>
        <v>207</v>
      </c>
      <c r="U208" s="6">
        <f>sala!I208</f>
        <v>4654</v>
      </c>
      <c r="V208" cm="1">
        <f t="array" ref="V208">SUM(IF(Cocina!A:A=Tabla8[[#This Row],[Numero de Orden]],Cocina!F:F*Cocina!G:G,0))</f>
        <v>180</v>
      </c>
      <c r="W208">
        <f>IF(Tabla8[[#This Row],[Cobrado]]="Cobrada",Tabla8[[#This Row],[Propina]]+Tabla8[[#This Row],[Precio Cena]],0)</f>
        <v>0</v>
      </c>
      <c r="X208" t="str">
        <f>INDEX(sala!G:G, MATCH(Tabla8[[#This Row],[Numero de Orden]], sala!K:K, 0))</f>
        <v>Cena</v>
      </c>
      <c r="Y208" t="str">
        <f>'Conjunto de Datos'!J209</f>
        <v>No Cobrada</v>
      </c>
      <c r="Z208" t="str">
        <f>INDEX(sala!H:H, MATCH(Tabla8[[#This Row],[Numero de Orden]], sala!K:K, 0))</f>
        <v>Tarjeta de crédito</v>
      </c>
      <c r="AA208" s="3">
        <f>'Conjunto de Datos'!D209</f>
        <v>45018</v>
      </c>
      <c r="AB208" t="str">
        <f>INDEX(sala!L:L, MATCH(Tabla8[[#This Row],[Numero de Orden]], sala!K:K, 0))</f>
        <v>Brasil</v>
      </c>
      <c r="AC208" t="str">
        <f>'Conjunto de Datos'!N209</f>
        <v>Mesero_5</v>
      </c>
      <c r="AD208">
        <f>Tabla8[[#This Row],[Propina]]+Tabla8[[#This Row],[Precio Cena]]</f>
        <v>4834</v>
      </c>
      <c r="AE208" s="45">
        <f t="shared" si="9"/>
        <v>0</v>
      </c>
    </row>
    <row r="209" spans="1:31" x14ac:dyDescent="0.3">
      <c r="S209" t="str">
        <f>'Conjunto de Datos'!BB210</f>
        <v>678</v>
      </c>
      <c r="T209">
        <f>'Conjunto de Datos'!BF210</f>
        <v>208</v>
      </c>
      <c r="U209" s="7">
        <f>sala!I209</f>
        <v>367</v>
      </c>
      <c r="V209" cm="1">
        <f t="array" ref="V209">SUM(IF(Cocina!A:A=Tabla8[[#This Row],[Numero de Orden]],Cocina!F:F*Cocina!G:G,0))</f>
        <v>180</v>
      </c>
      <c r="W209">
        <f>IF(Tabla8[[#This Row],[Cobrado]]="Cobrada",Tabla8[[#This Row],[Propina]]+Tabla8[[#This Row],[Precio Cena]],0)</f>
        <v>547</v>
      </c>
      <c r="X209" t="str">
        <f>INDEX(sala!G:G, MATCH(Tabla8[[#This Row],[Numero de Orden]], sala!K:K, 0))</f>
        <v>Almuerzo</v>
      </c>
      <c r="Y209" t="str">
        <f>'Conjunto de Datos'!J210</f>
        <v>Cobrada</v>
      </c>
      <c r="Z209" t="str">
        <f>INDEX(sala!H:H, MATCH(Tabla8[[#This Row],[Numero de Orden]], sala!K:K, 0))</f>
        <v>Tarjeta de débito</v>
      </c>
      <c r="AA209" s="3">
        <f>'Conjunto de Datos'!D210</f>
        <v>45018</v>
      </c>
      <c r="AB209" t="str">
        <f>INDEX(sala!L:L, MATCH(Tabla8[[#This Row],[Numero de Orden]], sala!K:K, 0))</f>
        <v>Perú</v>
      </c>
      <c r="AC209" t="str">
        <f>'Conjunto de Datos'!N210</f>
        <v>Mesero_1</v>
      </c>
      <c r="AD209">
        <f>Tabla8[[#This Row],[Propina]]+Tabla8[[#This Row],[Precio Cena]]</f>
        <v>547</v>
      </c>
      <c r="AE209" s="45">
        <f t="shared" si="9"/>
        <v>180</v>
      </c>
    </row>
    <row r="210" spans="1:31" x14ac:dyDescent="0.3">
      <c r="S210" s="15" t="str">
        <f>'Conjunto de Datos'!BB211</f>
        <v>74</v>
      </c>
      <c r="T210" s="15">
        <f>'Conjunto de Datos'!BF211</f>
        <v>209</v>
      </c>
      <c r="U210" s="6">
        <f>sala!I210</f>
        <v>3449</v>
      </c>
      <c r="V210" cm="1">
        <f t="array" ref="V210">SUM(IF(Cocina!A:A=Tabla8[[#This Row],[Numero de Orden]],Cocina!F:F*Cocina!G:G,0))</f>
        <v>214</v>
      </c>
      <c r="W210">
        <f>IF(Tabla8[[#This Row],[Cobrado]]="Cobrada",Tabla8[[#This Row],[Propina]]+Tabla8[[#This Row],[Precio Cena]],0)</f>
        <v>0</v>
      </c>
      <c r="X210" t="str">
        <f>INDEX(sala!G:G, MATCH(Tabla8[[#This Row],[Numero de Orden]], sala!K:K, 0))</f>
        <v>Cena</v>
      </c>
      <c r="Y210" t="str">
        <f>'Conjunto de Datos'!J211</f>
        <v>No Cobrada</v>
      </c>
      <c r="Z210" t="str">
        <f>INDEX(sala!H:H, MATCH(Tabla8[[#This Row],[Numero de Orden]], sala!K:K, 0))</f>
        <v>Efectivo</v>
      </c>
      <c r="AA210" s="3">
        <f>'Conjunto de Datos'!D211</f>
        <v>45018</v>
      </c>
      <c r="AB210" t="str">
        <f>INDEX(sala!L:L, MATCH(Tabla8[[#This Row],[Numero de Orden]], sala!K:K, 0))</f>
        <v>Bolivia</v>
      </c>
      <c r="AC210" t="str">
        <f>'Conjunto de Datos'!N211</f>
        <v>Mesero_1</v>
      </c>
      <c r="AD210">
        <f>Tabla8[[#This Row],[Propina]]+Tabla8[[#This Row],[Precio Cena]]</f>
        <v>3663</v>
      </c>
      <c r="AE210" s="45">
        <f t="shared" si="9"/>
        <v>0</v>
      </c>
    </row>
    <row r="211" spans="1:31" x14ac:dyDescent="0.3">
      <c r="S211" t="str">
        <f>'Conjunto de Datos'!BB212</f>
        <v>146</v>
      </c>
      <c r="T211">
        <f>'Conjunto de Datos'!BF212</f>
        <v>210</v>
      </c>
      <c r="U211" s="7">
        <f>sala!I211</f>
        <v>1467</v>
      </c>
      <c r="V211" cm="1">
        <f t="array" ref="V211">SUM(IF(Cocina!A:A=Tabla8[[#This Row],[Numero de Orden]],Cocina!F:F*Cocina!G:G,0))</f>
        <v>195</v>
      </c>
      <c r="W211">
        <f>IF(Tabla8[[#This Row],[Cobrado]]="Cobrada",Tabla8[[#This Row],[Propina]]+Tabla8[[#This Row],[Precio Cena]],0)</f>
        <v>0</v>
      </c>
      <c r="X211" t="str">
        <f>INDEX(sala!G:G, MATCH(Tabla8[[#This Row],[Numero de Orden]], sala!K:K, 0))</f>
        <v>Desayuno</v>
      </c>
      <c r="Y211" t="str">
        <f>'Conjunto de Datos'!J212</f>
        <v>No Cobrada</v>
      </c>
      <c r="Z211" t="str">
        <f>INDEX(sala!H:H, MATCH(Tabla8[[#This Row],[Numero de Orden]], sala!K:K, 0))</f>
        <v>Tarjeta de crédito</v>
      </c>
      <c r="AA211" s="3">
        <f>'Conjunto de Datos'!D212</f>
        <v>45018</v>
      </c>
      <c r="AB211" t="str">
        <f>INDEX(sala!L:L, MATCH(Tabla8[[#This Row],[Numero de Orden]], sala!K:K, 0))</f>
        <v>Venezuela</v>
      </c>
      <c r="AC211" t="str">
        <f>'Conjunto de Datos'!N212</f>
        <v>Mesero_2</v>
      </c>
      <c r="AD211">
        <f>Tabla8[[#This Row],[Propina]]+Tabla8[[#This Row],[Precio Cena]]</f>
        <v>1662</v>
      </c>
      <c r="AE211" s="45">
        <f t="shared" si="9"/>
        <v>0</v>
      </c>
    </row>
    <row r="212" spans="1:31" x14ac:dyDescent="0.3">
      <c r="S212" s="15" t="str">
        <f>'Conjunto de Datos'!BB213</f>
        <v>212</v>
      </c>
      <c r="T212" s="15">
        <f>'Conjunto de Datos'!BF213</f>
        <v>211</v>
      </c>
      <c r="U212" s="6">
        <f>sala!I212</f>
        <v>1113</v>
      </c>
      <c r="V212" cm="1">
        <f t="array" ref="V212">SUM(IF(Cocina!A:A=Tabla8[[#This Row],[Numero de Orden]],Cocina!F:F*Cocina!G:G,0))</f>
        <v>169</v>
      </c>
      <c r="W212">
        <f>IF(Tabla8[[#This Row],[Cobrado]]="Cobrada",Tabla8[[#This Row],[Propina]]+Tabla8[[#This Row],[Precio Cena]],0)</f>
        <v>0</v>
      </c>
      <c r="X212" t="str">
        <f>INDEX(sala!G:G, MATCH(Tabla8[[#This Row],[Numero de Orden]], sala!K:K, 0))</f>
        <v>Almuerzo</v>
      </c>
      <c r="Y212" t="str">
        <f>'Conjunto de Datos'!J213</f>
        <v>No Cobrada</v>
      </c>
      <c r="Z212" t="str">
        <f>INDEX(sala!H:H, MATCH(Tabla8[[#This Row],[Numero de Orden]], sala!K:K, 0))</f>
        <v>Tarjeta de débito</v>
      </c>
      <c r="AA212" s="3">
        <f>'Conjunto de Datos'!D213</f>
        <v>45018</v>
      </c>
      <c r="AB212" t="str">
        <f>INDEX(sala!L:L, MATCH(Tabla8[[#This Row],[Numero de Orden]], sala!K:K, 0))</f>
        <v>Argentina</v>
      </c>
      <c r="AC212" t="str">
        <f>'Conjunto de Datos'!N213</f>
        <v>Mesero_1</v>
      </c>
      <c r="AD212">
        <f>Tabla8[[#This Row],[Propina]]+Tabla8[[#This Row],[Precio Cena]]</f>
        <v>1282</v>
      </c>
      <c r="AE212" s="45">
        <f t="shared" si="9"/>
        <v>0</v>
      </c>
    </row>
    <row r="213" spans="1:31" x14ac:dyDescent="0.3">
      <c r="S213" t="str">
        <f>'Conjunto de Datos'!BB214</f>
        <v>36</v>
      </c>
      <c r="T213">
        <f>'Conjunto de Datos'!BF214</f>
        <v>212</v>
      </c>
      <c r="U213" s="7">
        <f>sala!I213</f>
        <v>1885</v>
      </c>
      <c r="V213" cm="1">
        <f t="array" ref="V213">SUM(IF(Cocina!A:A=Tabla8[[#This Row],[Numero de Orden]],Cocina!F:F*Cocina!G:G,0))</f>
        <v>245</v>
      </c>
      <c r="W213">
        <f>IF(Tabla8[[#This Row],[Cobrado]]="Cobrada",Tabla8[[#This Row],[Propina]]+Tabla8[[#This Row],[Precio Cena]],0)</f>
        <v>0</v>
      </c>
      <c r="X213" t="str">
        <f>INDEX(sala!G:G, MATCH(Tabla8[[#This Row],[Numero de Orden]], sala!K:K, 0))</f>
        <v>Almuerzo</v>
      </c>
      <c r="Y213" t="str">
        <f>'Conjunto de Datos'!J214</f>
        <v>No Cobrada</v>
      </c>
      <c r="Z213" t="str">
        <f>INDEX(sala!H:H, MATCH(Tabla8[[#This Row],[Numero de Orden]], sala!K:K, 0))</f>
        <v>Tarjeta de débito</v>
      </c>
      <c r="AA213" s="3">
        <f>'Conjunto de Datos'!D214</f>
        <v>45018</v>
      </c>
      <c r="AB213" t="str">
        <f>INDEX(sala!L:L, MATCH(Tabla8[[#This Row],[Numero de Orden]], sala!K:K, 0))</f>
        <v>Perú</v>
      </c>
      <c r="AC213" t="str">
        <f>'Conjunto de Datos'!N214</f>
        <v>Mesero_4</v>
      </c>
      <c r="AD213">
        <f>Tabla8[[#This Row],[Propina]]+Tabla8[[#This Row],[Precio Cena]]</f>
        <v>2130</v>
      </c>
      <c r="AE213" s="45">
        <f t="shared" si="9"/>
        <v>0</v>
      </c>
    </row>
    <row r="214" spans="1:31" x14ac:dyDescent="0.3">
      <c r="S214" s="15" t="str">
        <f>'Conjunto de Datos'!BB215</f>
        <v>3</v>
      </c>
      <c r="T214" s="15">
        <f>'Conjunto de Datos'!BF215</f>
        <v>213</v>
      </c>
      <c r="U214" s="6">
        <f>sala!I214</f>
        <v>281</v>
      </c>
      <c r="V214" cm="1">
        <f t="array" ref="V214">SUM(IF(Cocina!A:A=Tabla8[[#This Row],[Numero de Orden]],Cocina!F:F*Cocina!G:G,0))</f>
        <v>87</v>
      </c>
      <c r="W214">
        <f>IF(Tabla8[[#This Row],[Cobrado]]="Cobrada",Tabla8[[#This Row],[Propina]]+Tabla8[[#This Row],[Precio Cena]],0)</f>
        <v>368</v>
      </c>
      <c r="X214" t="str">
        <f>INDEX(sala!G:G, MATCH(Tabla8[[#This Row],[Numero de Orden]], sala!K:K, 0))</f>
        <v>Almuerzo</v>
      </c>
      <c r="Y214" t="str">
        <f>'Conjunto de Datos'!J215</f>
        <v>Cobrada</v>
      </c>
      <c r="Z214" t="str">
        <f>INDEX(sala!H:H, MATCH(Tabla8[[#This Row],[Numero de Orden]], sala!K:K, 0))</f>
        <v>Tarjeta de crédito</v>
      </c>
      <c r="AA214" s="3">
        <f>'Conjunto de Datos'!D215</f>
        <v>45018</v>
      </c>
      <c r="AB214" t="str">
        <f>INDEX(sala!L:L, MATCH(Tabla8[[#This Row],[Numero de Orden]], sala!K:K, 0))</f>
        <v>Perú</v>
      </c>
      <c r="AC214" t="str">
        <f>'Conjunto de Datos'!N215</f>
        <v>Mesero_5</v>
      </c>
      <c r="AD214">
        <f>Tabla8[[#This Row],[Propina]]+Tabla8[[#This Row],[Precio Cena]]</f>
        <v>368</v>
      </c>
      <c r="AE214" s="45">
        <f t="shared" si="9"/>
        <v>87</v>
      </c>
    </row>
    <row r="215" spans="1:31" x14ac:dyDescent="0.3">
      <c r="S215" t="str">
        <f>'Conjunto de Datos'!BB216</f>
        <v>176</v>
      </c>
      <c r="T215">
        <f>'Conjunto de Datos'!BF216</f>
        <v>214</v>
      </c>
      <c r="U215" s="7">
        <f>sala!I215</f>
        <v>3339</v>
      </c>
      <c r="V215" cm="1">
        <f t="array" ref="V215">SUM(IF(Cocina!A:A=Tabla8[[#This Row],[Numero de Orden]],Cocina!F:F*Cocina!G:G,0))</f>
        <v>228</v>
      </c>
      <c r="W215">
        <f>IF(Tabla8[[#This Row],[Cobrado]]="Cobrada",Tabla8[[#This Row],[Propina]]+Tabla8[[#This Row],[Precio Cena]],0)</f>
        <v>3567</v>
      </c>
      <c r="X215" t="str">
        <f>INDEX(sala!G:G, MATCH(Tabla8[[#This Row],[Numero de Orden]], sala!K:K, 0))</f>
        <v>Almuerzo</v>
      </c>
      <c r="Y215" t="str">
        <f>'Conjunto de Datos'!J216</f>
        <v>Cobrada</v>
      </c>
      <c r="Z215" t="str">
        <f>INDEX(sala!H:H, MATCH(Tabla8[[#This Row],[Numero de Orden]], sala!K:K, 0))</f>
        <v>Tarjeta de débito</v>
      </c>
      <c r="AA215" s="3">
        <f>'Conjunto de Datos'!D216</f>
        <v>45018</v>
      </c>
      <c r="AB215" t="str">
        <f>INDEX(sala!L:L, MATCH(Tabla8[[#This Row],[Numero de Orden]], sala!K:K, 0))</f>
        <v>Argentina</v>
      </c>
      <c r="AC215" t="str">
        <f>'Conjunto de Datos'!N216</f>
        <v>Mesero_1</v>
      </c>
      <c r="AD215">
        <f>Tabla8[[#This Row],[Propina]]+Tabla8[[#This Row],[Precio Cena]]</f>
        <v>3567</v>
      </c>
      <c r="AE215" s="45">
        <f t="shared" si="9"/>
        <v>228</v>
      </c>
    </row>
    <row r="216" spans="1:31" x14ac:dyDescent="0.3">
      <c r="A216" s="16" t="s">
        <v>665</v>
      </c>
      <c r="B216" s="17" t="s">
        <v>672</v>
      </c>
      <c r="S216" s="15" t="str">
        <f>'Conjunto de Datos'!BB217</f>
        <v>551</v>
      </c>
      <c r="T216" s="15">
        <f>'Conjunto de Datos'!BF217</f>
        <v>215</v>
      </c>
      <c r="U216" s="6">
        <f>sala!I216</f>
        <v>3564</v>
      </c>
      <c r="V216" cm="1">
        <f t="array" ref="V216">SUM(IF(Cocina!A:A=Tabla8[[#This Row],[Numero de Orden]],Cocina!F:F*Cocina!G:G,0))</f>
        <v>158</v>
      </c>
      <c r="W216">
        <f>IF(Tabla8[[#This Row],[Cobrado]]="Cobrada",Tabla8[[#This Row],[Propina]]+Tabla8[[#This Row],[Precio Cena]],0)</f>
        <v>3722</v>
      </c>
      <c r="X216" t="str">
        <f>INDEX(sala!G:G, MATCH(Tabla8[[#This Row],[Numero de Orden]], sala!K:K, 0))</f>
        <v>Almuerzo</v>
      </c>
      <c r="Y216" t="str">
        <f>'Conjunto de Datos'!J217</f>
        <v>Cobrada</v>
      </c>
      <c r="Z216" t="str">
        <f>INDEX(sala!H:H, MATCH(Tabla8[[#This Row],[Numero de Orden]], sala!K:K, 0))</f>
        <v>Tarjeta de débito</v>
      </c>
      <c r="AA216" s="3">
        <f>'Conjunto de Datos'!D217</f>
        <v>45018</v>
      </c>
      <c r="AB216" t="str">
        <f>INDEX(sala!L:L, MATCH(Tabla8[[#This Row],[Numero de Orden]], sala!K:K, 0))</f>
        <v>Uruguay</v>
      </c>
      <c r="AC216" t="str">
        <f>'Conjunto de Datos'!N217</f>
        <v>Mesero_3</v>
      </c>
      <c r="AD216">
        <f>Tabla8[[#This Row],[Propina]]+Tabla8[[#This Row],[Precio Cena]]</f>
        <v>3722</v>
      </c>
      <c r="AE216" s="45">
        <f t="shared" si="9"/>
        <v>158</v>
      </c>
    </row>
    <row r="217" spans="1:31" x14ac:dyDescent="0.3">
      <c r="A217" s="20">
        <v>45017</v>
      </c>
      <c r="B217" s="25">
        <f>SUMIFS(W:W, Y:Y,"Cobrada", AA:AA,A217)</f>
        <v>284822</v>
      </c>
      <c r="S217" t="str">
        <f>'Conjunto de Datos'!BB218</f>
        <v>240</v>
      </c>
      <c r="T217">
        <f>'Conjunto de Datos'!BF218</f>
        <v>216</v>
      </c>
      <c r="U217" s="7">
        <f>sala!I217</f>
        <v>3569</v>
      </c>
      <c r="V217" cm="1">
        <f t="array" ref="V217">SUM(IF(Cocina!A:A=Tabla8[[#This Row],[Numero de Orden]],Cocina!F:F*Cocina!G:G,0))</f>
        <v>142</v>
      </c>
      <c r="W217">
        <f>IF(Tabla8[[#This Row],[Cobrado]]="Cobrada",Tabla8[[#This Row],[Propina]]+Tabla8[[#This Row],[Precio Cena]],0)</f>
        <v>3711</v>
      </c>
      <c r="X217" t="str">
        <f>INDEX(sala!G:G, MATCH(Tabla8[[#This Row],[Numero de Orden]], sala!K:K, 0))</f>
        <v>Almuerzo</v>
      </c>
      <c r="Y217" t="str">
        <f>'Conjunto de Datos'!J218</f>
        <v>Cobrada</v>
      </c>
      <c r="Z217" t="str">
        <f>INDEX(sala!H:H, MATCH(Tabla8[[#This Row],[Numero de Orden]], sala!K:K, 0))</f>
        <v>Tarjeta de crédito</v>
      </c>
      <c r="AA217" s="3">
        <f>'Conjunto de Datos'!D218</f>
        <v>45018</v>
      </c>
      <c r="AB217" t="str">
        <f>INDEX(sala!L:L, MATCH(Tabla8[[#This Row],[Numero de Orden]], sala!K:K, 0))</f>
        <v>Uruguay</v>
      </c>
      <c r="AC217" t="str">
        <f>'Conjunto de Datos'!N218</f>
        <v>Mesero_2</v>
      </c>
      <c r="AD217">
        <f>Tabla8[[#This Row],[Propina]]+Tabla8[[#This Row],[Precio Cena]]</f>
        <v>3711</v>
      </c>
      <c r="AE217" s="45">
        <f t="shared" si="9"/>
        <v>142</v>
      </c>
    </row>
    <row r="218" spans="1:31" x14ac:dyDescent="0.3">
      <c r="A218" s="21">
        <v>45018</v>
      </c>
      <c r="B218" s="26">
        <f>SUMIFS(W:W, Y:Y,"Cobrada", AA:AA,A218)</f>
        <v>346917</v>
      </c>
      <c r="S218" s="15" t="str">
        <f>'Conjunto de Datos'!BB219</f>
        <v>124</v>
      </c>
      <c r="T218" s="15">
        <f>'Conjunto de Datos'!BF219</f>
        <v>217</v>
      </c>
      <c r="U218" s="6">
        <f>sala!I218</f>
        <v>3117</v>
      </c>
      <c r="V218" cm="1">
        <f t="array" ref="V218">SUM(IF(Cocina!A:A=Tabla8[[#This Row],[Numero de Orden]],Cocina!F:F*Cocina!G:G,0))</f>
        <v>96</v>
      </c>
      <c r="W218">
        <f>IF(Tabla8[[#This Row],[Cobrado]]="Cobrada",Tabla8[[#This Row],[Propina]]+Tabla8[[#This Row],[Precio Cena]],0)</f>
        <v>3213</v>
      </c>
      <c r="X218" t="str">
        <f>INDEX(sala!G:G, MATCH(Tabla8[[#This Row],[Numero de Orden]], sala!K:K, 0))</f>
        <v>Cena</v>
      </c>
      <c r="Y218" t="str">
        <f>'Conjunto de Datos'!J219</f>
        <v>Cobrada</v>
      </c>
      <c r="Z218" t="str">
        <f>INDEX(sala!H:H, MATCH(Tabla8[[#This Row],[Numero de Orden]], sala!K:K, 0))</f>
        <v>Tarjeta de crédito</v>
      </c>
      <c r="AA218" s="3">
        <f>'Conjunto de Datos'!D219</f>
        <v>45018</v>
      </c>
      <c r="AB218" t="str">
        <f>INDEX(sala!L:L, MATCH(Tabla8[[#This Row],[Numero de Orden]], sala!K:K, 0))</f>
        <v>Colombia</v>
      </c>
      <c r="AC218" t="str">
        <f>'Conjunto de Datos'!N219</f>
        <v>Mesero_3</v>
      </c>
      <c r="AD218">
        <f>Tabla8[[#This Row],[Propina]]+Tabla8[[#This Row],[Precio Cena]]</f>
        <v>3213</v>
      </c>
      <c r="AE218" s="45">
        <f t="shared" si="9"/>
        <v>96</v>
      </c>
    </row>
    <row r="219" spans="1:31" x14ac:dyDescent="0.3">
      <c r="A219" s="20">
        <v>45019</v>
      </c>
      <c r="B219" s="25">
        <f t="shared" ref="B219:B223" si="10">SUMIFS(W:W, Y:Y,"Cobrada", AA:AA,A219)</f>
        <v>124839</v>
      </c>
      <c r="S219" t="str">
        <f>'Conjunto de Datos'!BB220</f>
        <v>759</v>
      </c>
      <c r="T219">
        <f>'Conjunto de Datos'!BF220</f>
        <v>218</v>
      </c>
      <c r="U219" s="7">
        <f>sala!I219</f>
        <v>2334</v>
      </c>
      <c r="V219" cm="1">
        <f t="array" ref="V219">SUM(IF(Cocina!A:A=Tabla8[[#This Row],[Numero de Orden]],Cocina!F:F*Cocina!G:G,0))</f>
        <v>184</v>
      </c>
      <c r="W219">
        <f>IF(Tabla8[[#This Row],[Cobrado]]="Cobrada",Tabla8[[#This Row],[Propina]]+Tabla8[[#This Row],[Precio Cena]],0)</f>
        <v>2518</v>
      </c>
      <c r="X219" t="str">
        <f>INDEX(sala!G:G, MATCH(Tabla8[[#This Row],[Numero de Orden]], sala!K:K, 0))</f>
        <v>Almuerzo</v>
      </c>
      <c r="Y219" t="str">
        <f>'Conjunto de Datos'!J220</f>
        <v>Cobrada</v>
      </c>
      <c r="Z219" t="str">
        <f>INDEX(sala!H:H, MATCH(Tabla8[[#This Row],[Numero de Orden]], sala!K:K, 0))</f>
        <v>Tarjeta de crédito</v>
      </c>
      <c r="AA219" s="3">
        <f>'Conjunto de Datos'!D220</f>
        <v>45018</v>
      </c>
      <c r="AB219" t="str">
        <f>INDEX(sala!L:L, MATCH(Tabla8[[#This Row],[Numero de Orden]], sala!K:K, 0))</f>
        <v>Argentina</v>
      </c>
      <c r="AC219" t="str">
        <f>'Conjunto de Datos'!N220</f>
        <v>Mesero_5</v>
      </c>
      <c r="AD219">
        <f>Tabla8[[#This Row],[Propina]]+Tabla8[[#This Row],[Precio Cena]]</f>
        <v>2518</v>
      </c>
      <c r="AE219" s="45">
        <f t="shared" si="9"/>
        <v>184</v>
      </c>
    </row>
    <row r="220" spans="1:31" x14ac:dyDescent="0.3">
      <c r="A220" s="21">
        <v>45020</v>
      </c>
      <c r="B220" s="26">
        <f t="shared" si="10"/>
        <v>164192</v>
      </c>
      <c r="S220" s="15" t="str">
        <f>'Conjunto de Datos'!BB221</f>
        <v>959</v>
      </c>
      <c r="T220" s="15">
        <f>'Conjunto de Datos'!BF221</f>
        <v>219</v>
      </c>
      <c r="U220" s="6">
        <f>sala!I220</f>
        <v>4696</v>
      </c>
      <c r="V220" cm="1">
        <f t="array" ref="V220">SUM(IF(Cocina!A:A=Tabla8[[#This Row],[Numero de Orden]],Cocina!F:F*Cocina!G:G,0))</f>
        <v>139</v>
      </c>
      <c r="W220">
        <f>IF(Tabla8[[#This Row],[Cobrado]]="Cobrada",Tabla8[[#This Row],[Propina]]+Tabla8[[#This Row],[Precio Cena]],0)</f>
        <v>4835</v>
      </c>
      <c r="X220" t="str">
        <f>INDEX(sala!G:G, MATCH(Tabla8[[#This Row],[Numero de Orden]], sala!K:K, 0))</f>
        <v>Almuerzo</v>
      </c>
      <c r="Y220" t="str">
        <f>'Conjunto de Datos'!J221</f>
        <v>Cobrada</v>
      </c>
      <c r="Z220" t="str">
        <f>INDEX(sala!H:H, MATCH(Tabla8[[#This Row],[Numero de Orden]], sala!K:K, 0))</f>
        <v>Tarjeta de crédito</v>
      </c>
      <c r="AA220" s="3">
        <f>'Conjunto de Datos'!D221</f>
        <v>45018</v>
      </c>
      <c r="AB220" t="str">
        <f>INDEX(sala!L:L, MATCH(Tabla8[[#This Row],[Numero de Orden]], sala!K:K, 0))</f>
        <v>Venezuela</v>
      </c>
      <c r="AC220" t="str">
        <f>'Conjunto de Datos'!N221</f>
        <v>Mesero_3</v>
      </c>
      <c r="AD220">
        <f>Tabla8[[#This Row],[Propina]]+Tabla8[[#This Row],[Precio Cena]]</f>
        <v>4835</v>
      </c>
      <c r="AE220" s="45">
        <f t="shared" si="9"/>
        <v>139</v>
      </c>
    </row>
    <row r="221" spans="1:31" x14ac:dyDescent="0.3">
      <c r="A221" s="20">
        <v>45021</v>
      </c>
      <c r="B221" s="25">
        <f t="shared" si="10"/>
        <v>198753</v>
      </c>
      <c r="S221" t="str">
        <f>'Conjunto de Datos'!BB222</f>
        <v>151</v>
      </c>
      <c r="T221">
        <f>'Conjunto de Datos'!BF222</f>
        <v>220</v>
      </c>
      <c r="U221" s="7">
        <f>sala!I221</f>
        <v>485</v>
      </c>
      <c r="V221" cm="1">
        <f t="array" ref="V221">SUM(IF(Cocina!A:A=Tabla8[[#This Row],[Numero de Orden]],Cocina!F:F*Cocina!G:G,0))</f>
        <v>24</v>
      </c>
      <c r="W221">
        <f>IF(Tabla8[[#This Row],[Cobrado]]="Cobrada",Tabla8[[#This Row],[Propina]]+Tabla8[[#This Row],[Precio Cena]],0)</f>
        <v>509</v>
      </c>
      <c r="X221" t="str">
        <f>INDEX(sala!G:G, MATCH(Tabla8[[#This Row],[Numero de Orden]], sala!K:K, 0))</f>
        <v>Almuerzo</v>
      </c>
      <c r="Y221" t="str">
        <f>'Conjunto de Datos'!J222</f>
        <v>Cobrada</v>
      </c>
      <c r="Z221" t="str">
        <f>INDEX(sala!H:H, MATCH(Tabla8[[#This Row],[Numero de Orden]], sala!K:K, 0))</f>
        <v>Tarjeta de crédito</v>
      </c>
      <c r="AA221" s="3">
        <f>'Conjunto de Datos'!D222</f>
        <v>45018</v>
      </c>
      <c r="AB221" t="str">
        <f>INDEX(sala!L:L, MATCH(Tabla8[[#This Row],[Numero de Orden]], sala!K:K, 0))</f>
        <v>Ecuador</v>
      </c>
      <c r="AC221" t="str">
        <f>'Conjunto de Datos'!N222</f>
        <v>Mesero_5</v>
      </c>
      <c r="AD221">
        <f>Tabla8[[#This Row],[Propina]]+Tabla8[[#This Row],[Precio Cena]]</f>
        <v>509</v>
      </c>
      <c r="AE221" s="45">
        <f t="shared" si="9"/>
        <v>24</v>
      </c>
    </row>
    <row r="222" spans="1:31" x14ac:dyDescent="0.3">
      <c r="A222" s="21">
        <v>45022</v>
      </c>
      <c r="B222" s="26">
        <f t="shared" si="10"/>
        <v>449942</v>
      </c>
      <c r="S222" s="15" t="str">
        <f>'Conjunto de Datos'!BB223</f>
        <v>744</v>
      </c>
      <c r="T222" s="15">
        <f>'Conjunto de Datos'!BF223</f>
        <v>221</v>
      </c>
      <c r="U222" s="6">
        <f>sala!I222</f>
        <v>1783</v>
      </c>
      <c r="V222" cm="1">
        <f t="array" ref="V222">SUM(IF(Cocina!A:A=Tabla8[[#This Row],[Numero de Orden]],Cocina!F:F*Cocina!G:G,0))</f>
        <v>193</v>
      </c>
      <c r="W222">
        <f>IF(Tabla8[[#This Row],[Cobrado]]="Cobrada",Tabla8[[#This Row],[Propina]]+Tabla8[[#This Row],[Precio Cena]],0)</f>
        <v>0</v>
      </c>
      <c r="X222" t="str">
        <f>INDEX(sala!G:G, MATCH(Tabla8[[#This Row],[Numero de Orden]], sala!K:K, 0))</f>
        <v>Almuerzo</v>
      </c>
      <c r="Y222" t="str">
        <f>'Conjunto de Datos'!J223</f>
        <v>No Cobrada</v>
      </c>
      <c r="Z222" t="str">
        <f>INDEX(sala!H:H, MATCH(Tabla8[[#This Row],[Numero de Orden]], sala!K:K, 0))</f>
        <v>Tarjeta de crédito</v>
      </c>
      <c r="AA222" s="3">
        <f>'Conjunto de Datos'!D223</f>
        <v>45018</v>
      </c>
      <c r="AB222" t="str">
        <f>INDEX(sala!L:L, MATCH(Tabla8[[#This Row],[Numero de Orden]], sala!K:K, 0))</f>
        <v>Chile</v>
      </c>
      <c r="AC222" t="str">
        <f>'Conjunto de Datos'!N223</f>
        <v>Mesero_3</v>
      </c>
      <c r="AD222">
        <f>Tabla8[[#This Row],[Propina]]+Tabla8[[#This Row],[Precio Cena]]</f>
        <v>1976</v>
      </c>
      <c r="AE222" s="45">
        <f t="shared" si="9"/>
        <v>0</v>
      </c>
    </row>
    <row r="223" spans="1:31" x14ac:dyDescent="0.3">
      <c r="A223" s="20">
        <v>45023</v>
      </c>
      <c r="B223" s="25">
        <f t="shared" si="10"/>
        <v>289978</v>
      </c>
      <c r="S223" t="str">
        <f>'Conjunto de Datos'!BB224</f>
        <v>189</v>
      </c>
      <c r="T223">
        <f>'Conjunto de Datos'!BF224</f>
        <v>222</v>
      </c>
      <c r="U223" s="7">
        <f>sala!I223</f>
        <v>3258</v>
      </c>
      <c r="V223" cm="1">
        <f t="array" ref="V223">SUM(IF(Cocina!A:A=Tabla8[[#This Row],[Numero de Orden]],Cocina!F:F*Cocina!G:G,0))</f>
        <v>97</v>
      </c>
      <c r="W223">
        <f>IF(Tabla8[[#This Row],[Cobrado]]="Cobrada",Tabla8[[#This Row],[Propina]]+Tabla8[[#This Row],[Precio Cena]],0)</f>
        <v>3355</v>
      </c>
      <c r="X223" t="str">
        <f>INDEX(sala!G:G, MATCH(Tabla8[[#This Row],[Numero de Orden]], sala!K:K, 0))</f>
        <v>Cena</v>
      </c>
      <c r="Y223" t="str">
        <f>'Conjunto de Datos'!J224</f>
        <v>Cobrada</v>
      </c>
      <c r="Z223" t="str">
        <f>INDEX(sala!H:H, MATCH(Tabla8[[#This Row],[Numero de Orden]], sala!K:K, 0))</f>
        <v>Tarjeta de débito</v>
      </c>
      <c r="AA223" s="3">
        <f>'Conjunto de Datos'!D224</f>
        <v>45018</v>
      </c>
      <c r="AB223" t="str">
        <f>INDEX(sala!L:L, MATCH(Tabla8[[#This Row],[Numero de Orden]], sala!K:K, 0))</f>
        <v>Ecuador</v>
      </c>
      <c r="AC223" t="str">
        <f>'Conjunto de Datos'!N224</f>
        <v>Mesero_5</v>
      </c>
      <c r="AD223">
        <f>Tabla8[[#This Row],[Propina]]+Tabla8[[#This Row],[Precio Cena]]</f>
        <v>3355</v>
      </c>
      <c r="AE223" s="45">
        <f t="shared" si="9"/>
        <v>97</v>
      </c>
    </row>
    <row r="224" spans="1:31" x14ac:dyDescent="0.3">
      <c r="S224" s="15" t="str">
        <f>'Conjunto de Datos'!BB225</f>
        <v>576</v>
      </c>
      <c r="T224" s="15">
        <f>'Conjunto de Datos'!BF225</f>
        <v>223</v>
      </c>
      <c r="U224" s="6">
        <f>sala!I224</f>
        <v>4962</v>
      </c>
      <c r="V224" cm="1">
        <f t="array" ref="V224">SUM(IF(Cocina!A:A=Tabla8[[#This Row],[Numero de Orden]],Cocina!F:F*Cocina!G:G,0))</f>
        <v>32</v>
      </c>
      <c r="W224">
        <f>IF(Tabla8[[#This Row],[Cobrado]]="Cobrada",Tabla8[[#This Row],[Propina]]+Tabla8[[#This Row],[Precio Cena]],0)</f>
        <v>4994</v>
      </c>
      <c r="X224" t="str">
        <f>INDEX(sala!G:G, MATCH(Tabla8[[#This Row],[Numero de Orden]], sala!K:K, 0))</f>
        <v>Cena</v>
      </c>
      <c r="Y224" t="str">
        <f>'Conjunto de Datos'!J225</f>
        <v>Cobrada</v>
      </c>
      <c r="Z224" t="str">
        <f>INDEX(sala!H:H, MATCH(Tabla8[[#This Row],[Numero de Orden]], sala!K:K, 0))</f>
        <v>Tarjeta de crédito</v>
      </c>
      <c r="AA224" s="3">
        <f>'Conjunto de Datos'!D225</f>
        <v>45018</v>
      </c>
      <c r="AB224" t="str">
        <f>INDEX(sala!L:L, MATCH(Tabla8[[#This Row],[Numero de Orden]], sala!K:K, 0))</f>
        <v>Argentina</v>
      </c>
      <c r="AC224" t="str">
        <f>'Conjunto de Datos'!N225</f>
        <v>Mesero_5</v>
      </c>
      <c r="AD224">
        <f>Tabla8[[#This Row],[Propina]]+Tabla8[[#This Row],[Precio Cena]]</f>
        <v>4994</v>
      </c>
      <c r="AE224" s="45">
        <f t="shared" si="9"/>
        <v>32</v>
      </c>
    </row>
    <row r="225" spans="19:31" x14ac:dyDescent="0.3">
      <c r="S225" t="str">
        <f>'Conjunto de Datos'!BB226</f>
        <v>474</v>
      </c>
      <c r="T225">
        <f>'Conjunto de Datos'!BF226</f>
        <v>224</v>
      </c>
      <c r="U225" s="7">
        <f>sala!I225</f>
        <v>1761</v>
      </c>
      <c r="V225" cm="1">
        <f t="array" ref="V225">SUM(IF(Cocina!A:A=Tabla8[[#This Row],[Numero de Orden]],Cocina!F:F*Cocina!G:G,0))</f>
        <v>52</v>
      </c>
      <c r="W225">
        <f>IF(Tabla8[[#This Row],[Cobrado]]="Cobrada",Tabla8[[#This Row],[Propina]]+Tabla8[[#This Row],[Precio Cena]],0)</f>
        <v>1813</v>
      </c>
      <c r="X225" t="str">
        <f>INDEX(sala!G:G, MATCH(Tabla8[[#This Row],[Numero de Orden]], sala!K:K, 0))</f>
        <v>Almuerzo</v>
      </c>
      <c r="Y225" t="str">
        <f>'Conjunto de Datos'!J226</f>
        <v>Cobrada</v>
      </c>
      <c r="Z225" t="str">
        <f>INDEX(sala!H:H, MATCH(Tabla8[[#This Row],[Numero de Orden]], sala!K:K, 0))</f>
        <v>Tarjeta de crédito</v>
      </c>
      <c r="AA225" s="3">
        <f>'Conjunto de Datos'!D226</f>
        <v>45018</v>
      </c>
      <c r="AB225" t="str">
        <f>INDEX(sala!L:L, MATCH(Tabla8[[#This Row],[Numero de Orden]], sala!K:K, 0))</f>
        <v>Bolivia</v>
      </c>
      <c r="AC225" t="str">
        <f>'Conjunto de Datos'!N226</f>
        <v>Mesero_3</v>
      </c>
      <c r="AD225">
        <f>Tabla8[[#This Row],[Propina]]+Tabla8[[#This Row],[Precio Cena]]</f>
        <v>1813</v>
      </c>
      <c r="AE225" s="45">
        <f t="shared" si="9"/>
        <v>52</v>
      </c>
    </row>
    <row r="226" spans="19:31" x14ac:dyDescent="0.3">
      <c r="S226" s="15" t="str">
        <f>'Conjunto de Datos'!BB227</f>
        <v>990</v>
      </c>
      <c r="T226" s="15">
        <f>'Conjunto de Datos'!BF227</f>
        <v>225</v>
      </c>
      <c r="U226" s="6">
        <f>sala!I226</f>
        <v>3502</v>
      </c>
      <c r="V226" cm="1">
        <f t="array" ref="V226">SUM(IF(Cocina!A:A=Tabla8[[#This Row],[Numero de Orden]],Cocina!F:F*Cocina!G:G,0))</f>
        <v>168</v>
      </c>
      <c r="W226">
        <f>IF(Tabla8[[#This Row],[Cobrado]]="Cobrada",Tabla8[[#This Row],[Propina]]+Tabla8[[#This Row],[Precio Cena]],0)</f>
        <v>0</v>
      </c>
      <c r="X226" t="str">
        <f>INDEX(sala!G:G, MATCH(Tabla8[[#This Row],[Numero de Orden]], sala!K:K, 0))</f>
        <v>Desayuno</v>
      </c>
      <c r="Y226" t="str">
        <f>'Conjunto de Datos'!J227</f>
        <v>No Cobrada</v>
      </c>
      <c r="Z226" t="str">
        <f>INDEX(sala!H:H, MATCH(Tabla8[[#This Row],[Numero de Orden]], sala!K:K, 0))</f>
        <v>Tarjeta de crédito</v>
      </c>
      <c r="AA226" s="3">
        <f>'Conjunto de Datos'!D227</f>
        <v>45018</v>
      </c>
      <c r="AB226" t="str">
        <f>INDEX(sala!L:L, MATCH(Tabla8[[#This Row],[Numero de Orden]], sala!K:K, 0))</f>
        <v>Perú</v>
      </c>
      <c r="AC226" t="str">
        <f>'Conjunto de Datos'!N227</f>
        <v>Mesero_3</v>
      </c>
      <c r="AD226">
        <f>Tabla8[[#This Row],[Propina]]+Tabla8[[#This Row],[Precio Cena]]</f>
        <v>3670</v>
      </c>
      <c r="AE226" s="45">
        <f t="shared" si="9"/>
        <v>0</v>
      </c>
    </row>
    <row r="227" spans="19:31" x14ac:dyDescent="0.3">
      <c r="S227" t="str">
        <f>'Conjunto de Datos'!BB228</f>
        <v>67</v>
      </c>
      <c r="T227">
        <f>'Conjunto de Datos'!BF228</f>
        <v>226</v>
      </c>
      <c r="U227" s="7">
        <f>sala!I227</f>
        <v>3948</v>
      </c>
      <c r="V227" cm="1">
        <f t="array" ref="V227">SUM(IF(Cocina!A:A=Tabla8[[#This Row],[Numero de Orden]],Cocina!F:F*Cocina!G:G,0))</f>
        <v>171</v>
      </c>
      <c r="W227">
        <f>IF(Tabla8[[#This Row],[Cobrado]]="Cobrada",Tabla8[[#This Row],[Propina]]+Tabla8[[#This Row],[Precio Cena]],0)</f>
        <v>4119</v>
      </c>
      <c r="X227" t="str">
        <f>INDEX(sala!G:G, MATCH(Tabla8[[#This Row],[Numero de Orden]], sala!K:K, 0))</f>
        <v>Cena</v>
      </c>
      <c r="Y227" t="str">
        <f>'Conjunto de Datos'!J228</f>
        <v>Cobrada</v>
      </c>
      <c r="Z227" t="str">
        <f>INDEX(sala!H:H, MATCH(Tabla8[[#This Row],[Numero de Orden]], sala!K:K, 0))</f>
        <v>Tarjeta de crédito</v>
      </c>
      <c r="AA227" s="3">
        <f>'Conjunto de Datos'!D228</f>
        <v>45018</v>
      </c>
      <c r="AB227" t="str">
        <f>INDEX(sala!L:L, MATCH(Tabla8[[#This Row],[Numero de Orden]], sala!K:K, 0))</f>
        <v>Venezuela</v>
      </c>
      <c r="AC227" t="str">
        <f>'Conjunto de Datos'!N228</f>
        <v>Mesero_1</v>
      </c>
      <c r="AD227">
        <f>Tabla8[[#This Row],[Propina]]+Tabla8[[#This Row],[Precio Cena]]</f>
        <v>4119</v>
      </c>
      <c r="AE227" s="45">
        <f t="shared" si="9"/>
        <v>171</v>
      </c>
    </row>
    <row r="228" spans="19:31" x14ac:dyDescent="0.3">
      <c r="S228" s="15" t="str">
        <f>'Conjunto de Datos'!BB229</f>
        <v>378</v>
      </c>
      <c r="T228" s="15">
        <f>'Conjunto de Datos'!BF229</f>
        <v>227</v>
      </c>
      <c r="U228" s="6">
        <f>sala!I228</f>
        <v>4105</v>
      </c>
      <c r="V228" cm="1">
        <f t="array" ref="V228">SUM(IF(Cocina!A:A=Tabla8[[#This Row],[Numero de Orden]],Cocina!F:F*Cocina!G:G,0))</f>
        <v>211</v>
      </c>
      <c r="W228">
        <f>IF(Tabla8[[#This Row],[Cobrado]]="Cobrada",Tabla8[[#This Row],[Propina]]+Tabla8[[#This Row],[Precio Cena]],0)</f>
        <v>4316</v>
      </c>
      <c r="X228" t="str">
        <f>INDEX(sala!G:G, MATCH(Tabla8[[#This Row],[Numero de Orden]], sala!K:K, 0))</f>
        <v>Almuerzo</v>
      </c>
      <c r="Y228" t="str">
        <f>'Conjunto de Datos'!J229</f>
        <v>Cobrada</v>
      </c>
      <c r="Z228" t="str">
        <f>INDEX(sala!H:H, MATCH(Tabla8[[#This Row],[Numero de Orden]], sala!K:K, 0))</f>
        <v>Tarjeta de crédito</v>
      </c>
      <c r="AA228" s="3">
        <f>'Conjunto de Datos'!D229</f>
        <v>45018</v>
      </c>
      <c r="AB228" t="str">
        <f>INDEX(sala!L:L, MATCH(Tabla8[[#This Row],[Numero de Orden]], sala!K:K, 0))</f>
        <v>Chile</v>
      </c>
      <c r="AC228" t="str">
        <f>'Conjunto de Datos'!N229</f>
        <v>Mesero_5</v>
      </c>
      <c r="AD228">
        <f>Tabla8[[#This Row],[Propina]]+Tabla8[[#This Row],[Precio Cena]]</f>
        <v>4316</v>
      </c>
      <c r="AE228" s="45">
        <f t="shared" si="9"/>
        <v>211</v>
      </c>
    </row>
    <row r="229" spans="19:31" x14ac:dyDescent="0.3">
      <c r="S229" t="str">
        <f>'Conjunto de Datos'!BB230</f>
        <v>445</v>
      </c>
      <c r="T229">
        <f>'Conjunto de Datos'!BF230</f>
        <v>228</v>
      </c>
      <c r="U229" s="7">
        <f>sala!I229</f>
        <v>1066</v>
      </c>
      <c r="V229" cm="1">
        <f t="array" ref="V229">SUM(IF(Cocina!A:A=Tabla8[[#This Row],[Numero de Orden]],Cocina!F:F*Cocina!G:G,0))</f>
        <v>69</v>
      </c>
      <c r="W229">
        <f>IF(Tabla8[[#This Row],[Cobrado]]="Cobrada",Tabla8[[#This Row],[Propina]]+Tabla8[[#This Row],[Precio Cena]],0)</f>
        <v>1135</v>
      </c>
      <c r="X229" t="str">
        <f>INDEX(sala!G:G, MATCH(Tabla8[[#This Row],[Numero de Orden]], sala!K:K, 0))</f>
        <v>Almuerzo</v>
      </c>
      <c r="Y229" t="str">
        <f>'Conjunto de Datos'!J230</f>
        <v>Cobrada</v>
      </c>
      <c r="Z229" t="str">
        <f>INDEX(sala!H:H, MATCH(Tabla8[[#This Row],[Numero de Orden]], sala!K:K, 0))</f>
        <v>Tarjeta de crédito</v>
      </c>
      <c r="AA229" s="3">
        <f>'Conjunto de Datos'!D230</f>
        <v>45018</v>
      </c>
      <c r="AB229" t="str">
        <f>INDEX(sala!L:L, MATCH(Tabla8[[#This Row],[Numero de Orden]], sala!K:K, 0))</f>
        <v>Ecuador</v>
      </c>
      <c r="AC229" t="str">
        <f>'Conjunto de Datos'!N230</f>
        <v>Mesero_3</v>
      </c>
      <c r="AD229">
        <f>Tabla8[[#This Row],[Propina]]+Tabla8[[#This Row],[Precio Cena]]</f>
        <v>1135</v>
      </c>
      <c r="AE229" s="45">
        <f t="shared" si="9"/>
        <v>69</v>
      </c>
    </row>
    <row r="230" spans="19:31" x14ac:dyDescent="0.3">
      <c r="S230" s="15" t="str">
        <f>'Conjunto de Datos'!BB231</f>
        <v>984</v>
      </c>
      <c r="T230" s="15">
        <f>'Conjunto de Datos'!BF231</f>
        <v>229</v>
      </c>
      <c r="U230" s="6">
        <f>sala!I230</f>
        <v>2858</v>
      </c>
      <c r="V230" cm="1">
        <f t="array" ref="V230">SUM(IF(Cocina!A:A=Tabla8[[#This Row],[Numero de Orden]],Cocina!F:F*Cocina!G:G,0))</f>
        <v>124</v>
      </c>
      <c r="W230">
        <f>IF(Tabla8[[#This Row],[Cobrado]]="Cobrada",Tabla8[[#This Row],[Propina]]+Tabla8[[#This Row],[Precio Cena]],0)</f>
        <v>0</v>
      </c>
      <c r="X230" t="str">
        <f>INDEX(sala!G:G, MATCH(Tabla8[[#This Row],[Numero de Orden]], sala!K:K, 0))</f>
        <v>Cena</v>
      </c>
      <c r="Y230" t="str">
        <f>'Conjunto de Datos'!J231</f>
        <v>No Cobrada</v>
      </c>
      <c r="Z230" t="str">
        <f>INDEX(sala!H:H, MATCH(Tabla8[[#This Row],[Numero de Orden]], sala!K:K, 0))</f>
        <v>Tarjeta de crédito</v>
      </c>
      <c r="AA230" s="3">
        <f>'Conjunto de Datos'!D231</f>
        <v>45018</v>
      </c>
      <c r="AB230" t="str">
        <f>INDEX(sala!L:L, MATCH(Tabla8[[#This Row],[Numero de Orden]], sala!K:K, 0))</f>
        <v>Bolivia</v>
      </c>
      <c r="AC230" t="str">
        <f>'Conjunto de Datos'!N231</f>
        <v>Mesero_2</v>
      </c>
      <c r="AD230">
        <f>Tabla8[[#This Row],[Propina]]+Tabla8[[#This Row],[Precio Cena]]</f>
        <v>2982</v>
      </c>
      <c r="AE230" s="45">
        <f t="shared" si="9"/>
        <v>0</v>
      </c>
    </row>
    <row r="231" spans="19:31" x14ac:dyDescent="0.3">
      <c r="S231" t="str">
        <f>'Conjunto de Datos'!BB232</f>
        <v>167</v>
      </c>
      <c r="T231">
        <f>'Conjunto de Datos'!BF232</f>
        <v>230</v>
      </c>
      <c r="U231" s="7">
        <f>sala!I231</f>
        <v>1584</v>
      </c>
      <c r="V231" cm="1">
        <f t="array" ref="V231">SUM(IF(Cocina!A:A=Tabla8[[#This Row],[Numero de Orden]],Cocina!F:F*Cocina!G:G,0))</f>
        <v>214</v>
      </c>
      <c r="W231">
        <f>IF(Tabla8[[#This Row],[Cobrado]]="Cobrada",Tabla8[[#This Row],[Propina]]+Tabla8[[#This Row],[Precio Cena]],0)</f>
        <v>1798</v>
      </c>
      <c r="X231" t="str">
        <f>INDEX(sala!G:G, MATCH(Tabla8[[#This Row],[Numero de Orden]], sala!K:K, 0))</f>
        <v>Almuerzo</v>
      </c>
      <c r="Y231" t="str">
        <f>'Conjunto de Datos'!J232</f>
        <v>Cobrada</v>
      </c>
      <c r="Z231" t="str">
        <f>INDEX(sala!H:H, MATCH(Tabla8[[#This Row],[Numero de Orden]], sala!K:K, 0))</f>
        <v>Tarjeta de crédito</v>
      </c>
      <c r="AA231" s="3">
        <f>'Conjunto de Datos'!D232</f>
        <v>45018</v>
      </c>
      <c r="AB231" t="str">
        <f>INDEX(sala!L:L, MATCH(Tabla8[[#This Row],[Numero de Orden]], sala!K:K, 0))</f>
        <v>Venezuela</v>
      </c>
      <c r="AC231" t="str">
        <f>'Conjunto de Datos'!N232</f>
        <v>Mesero_2</v>
      </c>
      <c r="AD231">
        <f>Tabla8[[#This Row],[Propina]]+Tabla8[[#This Row],[Precio Cena]]</f>
        <v>1798</v>
      </c>
      <c r="AE231" s="45">
        <f t="shared" si="9"/>
        <v>214</v>
      </c>
    </row>
    <row r="232" spans="19:31" x14ac:dyDescent="0.3">
      <c r="S232" s="15" t="str">
        <f>'Conjunto de Datos'!BB233</f>
        <v>877</v>
      </c>
      <c r="T232" s="15">
        <f>'Conjunto de Datos'!BF233</f>
        <v>231</v>
      </c>
      <c r="U232" s="6">
        <f>sala!I232</f>
        <v>491</v>
      </c>
      <c r="V232" cm="1">
        <f t="array" ref="V232">SUM(IF(Cocina!A:A=Tabla8[[#This Row],[Numero de Orden]],Cocina!F:F*Cocina!G:G,0))</f>
        <v>208</v>
      </c>
      <c r="W232">
        <f>IF(Tabla8[[#This Row],[Cobrado]]="Cobrada",Tabla8[[#This Row],[Propina]]+Tabla8[[#This Row],[Precio Cena]],0)</f>
        <v>0</v>
      </c>
      <c r="X232" t="str">
        <f>INDEX(sala!G:G, MATCH(Tabla8[[#This Row],[Numero de Orden]], sala!K:K, 0))</f>
        <v>Almuerzo</v>
      </c>
      <c r="Y232" t="str">
        <f>'Conjunto de Datos'!J233</f>
        <v>No Cobrada</v>
      </c>
      <c r="Z232" t="str">
        <f>INDEX(sala!H:H, MATCH(Tabla8[[#This Row],[Numero de Orden]], sala!K:K, 0))</f>
        <v>Tarjeta de crédito</v>
      </c>
      <c r="AA232" s="3">
        <f>'Conjunto de Datos'!D233</f>
        <v>45018</v>
      </c>
      <c r="AB232" t="str">
        <f>INDEX(sala!L:L, MATCH(Tabla8[[#This Row],[Numero de Orden]], sala!K:K, 0))</f>
        <v>Perú</v>
      </c>
      <c r="AC232" t="str">
        <f>'Conjunto de Datos'!N233</f>
        <v>Mesero_2</v>
      </c>
      <c r="AD232">
        <f>Tabla8[[#This Row],[Propina]]+Tabla8[[#This Row],[Precio Cena]]</f>
        <v>699</v>
      </c>
      <c r="AE232" s="45">
        <f t="shared" si="9"/>
        <v>0</v>
      </c>
    </row>
    <row r="233" spans="19:31" x14ac:dyDescent="0.3">
      <c r="S233" t="str">
        <f>'Conjunto de Datos'!BB234</f>
        <v>494</v>
      </c>
      <c r="T233">
        <f>'Conjunto de Datos'!BF234</f>
        <v>232</v>
      </c>
      <c r="U233" s="7">
        <f>sala!I233</f>
        <v>1543</v>
      </c>
      <c r="V233" cm="1">
        <f t="array" ref="V233">SUM(IF(Cocina!A:A=Tabla8[[#This Row],[Numero de Orden]],Cocina!F:F*Cocina!G:G,0))</f>
        <v>190</v>
      </c>
      <c r="W233">
        <f>IF(Tabla8[[#This Row],[Cobrado]]="Cobrada",Tabla8[[#This Row],[Propina]]+Tabla8[[#This Row],[Precio Cena]],0)</f>
        <v>0</v>
      </c>
      <c r="X233" t="str">
        <f>INDEX(sala!G:G, MATCH(Tabla8[[#This Row],[Numero de Orden]], sala!K:K, 0))</f>
        <v>Almuerzo</v>
      </c>
      <c r="Y233" t="str">
        <f>'Conjunto de Datos'!J234</f>
        <v>No Cobrada</v>
      </c>
      <c r="Z233" t="str">
        <f>INDEX(sala!H:H, MATCH(Tabla8[[#This Row],[Numero de Orden]], sala!K:K, 0))</f>
        <v>Tarjeta de crédito</v>
      </c>
      <c r="AA233" s="3">
        <f>'Conjunto de Datos'!D234</f>
        <v>45018</v>
      </c>
      <c r="AB233" t="str">
        <f>INDEX(sala!L:L, MATCH(Tabla8[[#This Row],[Numero de Orden]], sala!K:K, 0))</f>
        <v>Argentina</v>
      </c>
      <c r="AC233" t="str">
        <f>'Conjunto de Datos'!N234</f>
        <v>Mesero_1</v>
      </c>
      <c r="AD233">
        <f>Tabla8[[#This Row],[Propina]]+Tabla8[[#This Row],[Precio Cena]]</f>
        <v>1733</v>
      </c>
      <c r="AE233" s="45">
        <f t="shared" si="9"/>
        <v>0</v>
      </c>
    </row>
    <row r="234" spans="19:31" x14ac:dyDescent="0.3">
      <c r="S234" s="15" t="str">
        <f>'Conjunto de Datos'!BB235</f>
        <v>881</v>
      </c>
      <c r="T234" s="15">
        <f>'Conjunto de Datos'!BF235</f>
        <v>233</v>
      </c>
      <c r="U234" s="6">
        <f>sala!I234</f>
        <v>4564</v>
      </c>
      <c r="V234" cm="1">
        <f t="array" ref="V234">SUM(IF(Cocina!A:A=Tabla8[[#This Row],[Numero de Orden]],Cocina!F:F*Cocina!G:G,0))</f>
        <v>38</v>
      </c>
      <c r="W234">
        <f>IF(Tabla8[[#This Row],[Cobrado]]="Cobrada",Tabla8[[#This Row],[Propina]]+Tabla8[[#This Row],[Precio Cena]],0)</f>
        <v>4602</v>
      </c>
      <c r="X234" t="str">
        <f>INDEX(sala!G:G, MATCH(Tabla8[[#This Row],[Numero de Orden]], sala!K:K, 0))</f>
        <v>Desayuno</v>
      </c>
      <c r="Y234" t="str">
        <f>'Conjunto de Datos'!J235</f>
        <v>Cobrada</v>
      </c>
      <c r="Z234" t="str">
        <f>INDEX(sala!H:H, MATCH(Tabla8[[#This Row],[Numero de Orden]], sala!K:K, 0))</f>
        <v>Tarjeta de débito</v>
      </c>
      <c r="AA234" s="3">
        <f>'Conjunto de Datos'!D235</f>
        <v>45018</v>
      </c>
      <c r="AB234" t="str">
        <f>INDEX(sala!L:L, MATCH(Tabla8[[#This Row],[Numero de Orden]], sala!K:K, 0))</f>
        <v>Argentina</v>
      </c>
      <c r="AC234" t="str">
        <f>'Conjunto de Datos'!N235</f>
        <v>Mesero_2</v>
      </c>
      <c r="AD234">
        <f>Tabla8[[#This Row],[Propina]]+Tabla8[[#This Row],[Precio Cena]]</f>
        <v>4602</v>
      </c>
      <c r="AE234" s="45">
        <f t="shared" si="9"/>
        <v>38</v>
      </c>
    </row>
    <row r="235" spans="19:31" x14ac:dyDescent="0.3">
      <c r="S235" t="str">
        <f>'Conjunto de Datos'!BB236</f>
        <v>264</v>
      </c>
      <c r="T235">
        <f>'Conjunto de Datos'!BF236</f>
        <v>234</v>
      </c>
      <c r="U235" s="7">
        <f>sala!I235</f>
        <v>1022</v>
      </c>
      <c r="V235" cm="1">
        <f t="array" ref="V235">SUM(IF(Cocina!A:A=Tabla8[[#This Row],[Numero de Orden]],Cocina!F:F*Cocina!G:G,0))</f>
        <v>225</v>
      </c>
      <c r="W235">
        <f>IF(Tabla8[[#This Row],[Cobrado]]="Cobrada",Tabla8[[#This Row],[Propina]]+Tabla8[[#This Row],[Precio Cena]],0)</f>
        <v>1247</v>
      </c>
      <c r="X235" t="str">
        <f>INDEX(sala!G:G, MATCH(Tabla8[[#This Row],[Numero de Orden]], sala!K:K, 0))</f>
        <v>Desayuno</v>
      </c>
      <c r="Y235" t="str">
        <f>'Conjunto de Datos'!J236</f>
        <v>Cobrada</v>
      </c>
      <c r="Z235" t="str">
        <f>INDEX(sala!H:H, MATCH(Tabla8[[#This Row],[Numero de Orden]], sala!K:K, 0))</f>
        <v>Tarjeta de crédito</v>
      </c>
      <c r="AA235" s="3">
        <f>'Conjunto de Datos'!D236</f>
        <v>45018</v>
      </c>
      <c r="AB235" t="str">
        <f>INDEX(sala!L:L, MATCH(Tabla8[[#This Row],[Numero de Orden]], sala!K:K, 0))</f>
        <v>Brasil</v>
      </c>
      <c r="AC235" t="str">
        <f>'Conjunto de Datos'!N236</f>
        <v>Mesero_3</v>
      </c>
      <c r="AD235">
        <f>Tabla8[[#This Row],[Propina]]+Tabla8[[#This Row],[Precio Cena]]</f>
        <v>1247</v>
      </c>
      <c r="AE235" s="45">
        <f t="shared" si="9"/>
        <v>225</v>
      </c>
    </row>
    <row r="236" spans="19:31" x14ac:dyDescent="0.3">
      <c r="S236" s="15" t="str">
        <f>'Conjunto de Datos'!BB237</f>
        <v>230</v>
      </c>
      <c r="T236" s="15">
        <f>'Conjunto de Datos'!BF237</f>
        <v>235</v>
      </c>
      <c r="U236" s="6">
        <f>sala!I236</f>
        <v>2637</v>
      </c>
      <c r="V236" cm="1">
        <f t="array" ref="V236">SUM(IF(Cocina!A:A=Tabla8[[#This Row],[Numero de Orden]],Cocina!F:F*Cocina!G:G,0))</f>
        <v>33</v>
      </c>
      <c r="W236">
        <f>IF(Tabla8[[#This Row],[Cobrado]]="Cobrada",Tabla8[[#This Row],[Propina]]+Tabla8[[#This Row],[Precio Cena]],0)</f>
        <v>2670</v>
      </c>
      <c r="X236" t="str">
        <f>INDEX(sala!G:G, MATCH(Tabla8[[#This Row],[Numero de Orden]], sala!K:K, 0))</f>
        <v>Cena</v>
      </c>
      <c r="Y236" t="str">
        <f>'Conjunto de Datos'!J237</f>
        <v>Cobrada</v>
      </c>
      <c r="Z236" t="str">
        <f>INDEX(sala!H:H, MATCH(Tabla8[[#This Row],[Numero de Orden]], sala!K:K, 0))</f>
        <v>Tarjeta de crédito</v>
      </c>
      <c r="AA236" s="3">
        <f>'Conjunto de Datos'!D237</f>
        <v>45018</v>
      </c>
      <c r="AB236" t="str">
        <f>INDEX(sala!L:L, MATCH(Tabla8[[#This Row],[Numero de Orden]], sala!K:K, 0))</f>
        <v>España</v>
      </c>
      <c r="AC236" t="str">
        <f>'Conjunto de Datos'!N237</f>
        <v>Mesero_3</v>
      </c>
      <c r="AD236">
        <f>Tabla8[[#This Row],[Propina]]+Tabla8[[#This Row],[Precio Cena]]</f>
        <v>2670</v>
      </c>
      <c r="AE236" s="45">
        <f t="shared" si="9"/>
        <v>33</v>
      </c>
    </row>
    <row r="237" spans="19:31" x14ac:dyDescent="0.3">
      <c r="S237" t="str">
        <f>'Conjunto de Datos'!BB238</f>
        <v>142</v>
      </c>
      <c r="T237">
        <f>'Conjunto de Datos'!BF238</f>
        <v>236</v>
      </c>
      <c r="U237" s="7">
        <f>sala!I237</f>
        <v>3981</v>
      </c>
      <c r="V237" cm="1">
        <f t="array" ref="V237">SUM(IF(Cocina!A:A=Tabla8[[#This Row],[Numero de Orden]],Cocina!F:F*Cocina!G:G,0))</f>
        <v>255</v>
      </c>
      <c r="W237">
        <f>IF(Tabla8[[#This Row],[Cobrado]]="Cobrada",Tabla8[[#This Row],[Propina]]+Tabla8[[#This Row],[Precio Cena]],0)</f>
        <v>0</v>
      </c>
      <c r="X237" t="str">
        <f>INDEX(sala!G:G, MATCH(Tabla8[[#This Row],[Numero de Orden]], sala!K:K, 0))</f>
        <v>Almuerzo</v>
      </c>
      <c r="Y237" t="str">
        <f>'Conjunto de Datos'!J238</f>
        <v>No Cobrada</v>
      </c>
      <c r="Z237" t="str">
        <f>INDEX(sala!H:H, MATCH(Tabla8[[#This Row],[Numero de Orden]], sala!K:K, 0))</f>
        <v>Tarjeta de crédito</v>
      </c>
      <c r="AA237" s="3">
        <f>'Conjunto de Datos'!D238</f>
        <v>45018</v>
      </c>
      <c r="AB237" t="str">
        <f>INDEX(sala!L:L, MATCH(Tabla8[[#This Row],[Numero de Orden]], sala!K:K, 0))</f>
        <v>Argentina</v>
      </c>
      <c r="AC237" t="str">
        <f>'Conjunto de Datos'!N238</f>
        <v>Mesero_3</v>
      </c>
      <c r="AD237">
        <f>Tabla8[[#This Row],[Propina]]+Tabla8[[#This Row],[Precio Cena]]</f>
        <v>4236</v>
      </c>
      <c r="AE237" s="45">
        <f t="shared" si="9"/>
        <v>0</v>
      </c>
    </row>
    <row r="238" spans="19:31" x14ac:dyDescent="0.3">
      <c r="S238" s="15" t="str">
        <f>'Conjunto de Datos'!BB239</f>
        <v>55</v>
      </c>
      <c r="T238" s="15">
        <f>'Conjunto de Datos'!BF239</f>
        <v>237</v>
      </c>
      <c r="U238" s="6">
        <f>sala!I238</f>
        <v>1315</v>
      </c>
      <c r="V238" cm="1">
        <f t="array" ref="V238">SUM(IF(Cocina!A:A=Tabla8[[#This Row],[Numero de Orden]],Cocina!F:F*Cocina!G:G,0))</f>
        <v>106</v>
      </c>
      <c r="W238">
        <f>IF(Tabla8[[#This Row],[Cobrado]]="Cobrada",Tabla8[[#This Row],[Propina]]+Tabla8[[#This Row],[Precio Cena]],0)</f>
        <v>1421</v>
      </c>
      <c r="X238" t="str">
        <f>INDEX(sala!G:G, MATCH(Tabla8[[#This Row],[Numero de Orden]], sala!K:K, 0))</f>
        <v>Almuerzo</v>
      </c>
      <c r="Y238" t="str">
        <f>'Conjunto de Datos'!J239</f>
        <v>Cobrada</v>
      </c>
      <c r="Z238" t="str">
        <f>INDEX(sala!H:H, MATCH(Tabla8[[#This Row],[Numero de Orden]], sala!K:K, 0))</f>
        <v>Tarjeta de crédito</v>
      </c>
      <c r="AA238" s="3">
        <f>'Conjunto de Datos'!D239</f>
        <v>45018</v>
      </c>
      <c r="AB238" t="str">
        <f>INDEX(sala!L:L, MATCH(Tabla8[[#This Row],[Numero de Orden]], sala!K:K, 0))</f>
        <v>Perú</v>
      </c>
      <c r="AC238" t="str">
        <f>'Conjunto de Datos'!N239</f>
        <v>Mesero_2</v>
      </c>
      <c r="AD238">
        <f>Tabla8[[#This Row],[Propina]]+Tabla8[[#This Row],[Precio Cena]]</f>
        <v>1421</v>
      </c>
      <c r="AE238" s="45">
        <f t="shared" si="9"/>
        <v>106</v>
      </c>
    </row>
    <row r="239" spans="19:31" x14ac:dyDescent="0.3">
      <c r="S239" t="str">
        <f>'Conjunto de Datos'!BB240</f>
        <v>599</v>
      </c>
      <c r="T239">
        <f>'Conjunto de Datos'!BF240</f>
        <v>238</v>
      </c>
      <c r="U239" s="7">
        <f>sala!I239</f>
        <v>3302</v>
      </c>
      <c r="V239" cm="1">
        <f t="array" ref="V239">SUM(IF(Cocina!A:A=Tabla8[[#This Row],[Numero de Orden]],Cocina!F:F*Cocina!G:G,0))</f>
        <v>72</v>
      </c>
      <c r="W239">
        <f>IF(Tabla8[[#This Row],[Cobrado]]="Cobrada",Tabla8[[#This Row],[Propina]]+Tabla8[[#This Row],[Precio Cena]],0)</f>
        <v>3374</v>
      </c>
      <c r="X239" t="str">
        <f>INDEX(sala!G:G, MATCH(Tabla8[[#This Row],[Numero de Orden]], sala!K:K, 0))</f>
        <v>Desayuno</v>
      </c>
      <c r="Y239" t="str">
        <f>'Conjunto de Datos'!J240</f>
        <v>Cobrada</v>
      </c>
      <c r="Z239" t="str">
        <f>INDEX(sala!H:H, MATCH(Tabla8[[#This Row],[Numero de Orden]], sala!K:K, 0))</f>
        <v>Tarjeta de crédito</v>
      </c>
      <c r="AA239" s="3">
        <f>'Conjunto de Datos'!D240</f>
        <v>45018</v>
      </c>
      <c r="AB239" t="str">
        <f>INDEX(sala!L:L, MATCH(Tabla8[[#This Row],[Numero de Orden]], sala!K:K, 0))</f>
        <v>Brasil</v>
      </c>
      <c r="AC239" t="str">
        <f>'Conjunto de Datos'!N240</f>
        <v>Mesero_2</v>
      </c>
      <c r="AD239">
        <f>Tabla8[[#This Row],[Propina]]+Tabla8[[#This Row],[Precio Cena]]</f>
        <v>3374</v>
      </c>
      <c r="AE239" s="45">
        <f t="shared" si="9"/>
        <v>72</v>
      </c>
    </row>
    <row r="240" spans="19:31" x14ac:dyDescent="0.3">
      <c r="S240" s="15" t="str">
        <f>'Conjunto de Datos'!BB241</f>
        <v>856</v>
      </c>
      <c r="T240" s="15">
        <f>'Conjunto de Datos'!BF241</f>
        <v>239</v>
      </c>
      <c r="U240" s="6">
        <f>sala!I240</f>
        <v>1176</v>
      </c>
      <c r="V240" cm="1">
        <f t="array" ref="V240">SUM(IF(Cocina!A:A=Tabla8[[#This Row],[Numero de Orden]],Cocina!F:F*Cocina!G:G,0))</f>
        <v>74</v>
      </c>
      <c r="W240">
        <f>IF(Tabla8[[#This Row],[Cobrado]]="Cobrada",Tabla8[[#This Row],[Propina]]+Tabla8[[#This Row],[Precio Cena]],0)</f>
        <v>1250</v>
      </c>
      <c r="X240" t="str">
        <f>INDEX(sala!G:G, MATCH(Tabla8[[#This Row],[Numero de Orden]], sala!K:K, 0))</f>
        <v>Almuerzo</v>
      </c>
      <c r="Y240" t="str">
        <f>'Conjunto de Datos'!J241</f>
        <v>Cobrada</v>
      </c>
      <c r="Z240" t="str">
        <f>INDEX(sala!H:H, MATCH(Tabla8[[#This Row],[Numero de Orden]], sala!K:K, 0))</f>
        <v>Efectivo</v>
      </c>
      <c r="AA240" s="3">
        <f>'Conjunto de Datos'!D241</f>
        <v>45018</v>
      </c>
      <c r="AB240" t="str">
        <f>INDEX(sala!L:L, MATCH(Tabla8[[#This Row],[Numero de Orden]], sala!K:K, 0))</f>
        <v>Brasil</v>
      </c>
      <c r="AC240" t="str">
        <f>'Conjunto de Datos'!N241</f>
        <v>Mesero_4</v>
      </c>
      <c r="AD240">
        <f>Tabla8[[#This Row],[Propina]]+Tabla8[[#This Row],[Precio Cena]]</f>
        <v>1250</v>
      </c>
      <c r="AE240" s="45">
        <f t="shared" si="9"/>
        <v>74</v>
      </c>
    </row>
    <row r="241" spans="1:31" x14ac:dyDescent="0.3">
      <c r="S241" t="str">
        <f>'Conjunto de Datos'!BB242</f>
        <v>722</v>
      </c>
      <c r="T241">
        <f>'Conjunto de Datos'!BF242</f>
        <v>240</v>
      </c>
      <c r="U241" s="7">
        <f>sala!I241</f>
        <v>3381</v>
      </c>
      <c r="V241" cm="1">
        <f t="array" ref="V241">SUM(IF(Cocina!A:A=Tabla8[[#This Row],[Numero de Orden]],Cocina!F:F*Cocina!G:G,0))</f>
        <v>294</v>
      </c>
      <c r="W241">
        <f>IF(Tabla8[[#This Row],[Cobrado]]="Cobrada",Tabla8[[#This Row],[Propina]]+Tabla8[[#This Row],[Precio Cena]],0)</f>
        <v>3675</v>
      </c>
      <c r="X241" t="str">
        <f>INDEX(sala!G:G, MATCH(Tabla8[[#This Row],[Numero de Orden]], sala!K:K, 0))</f>
        <v>Almuerzo</v>
      </c>
      <c r="Y241" t="str">
        <f>'Conjunto de Datos'!J242</f>
        <v>Cobrada</v>
      </c>
      <c r="Z241" t="str">
        <f>INDEX(sala!H:H, MATCH(Tabla8[[#This Row],[Numero de Orden]], sala!K:K, 0))</f>
        <v>Tarjeta de débito</v>
      </c>
      <c r="AA241" s="3">
        <f>'Conjunto de Datos'!D242</f>
        <v>45018</v>
      </c>
      <c r="AB241" t="str">
        <f>INDEX(sala!L:L, MATCH(Tabla8[[#This Row],[Numero de Orden]], sala!K:K, 0))</f>
        <v>Perú</v>
      </c>
      <c r="AC241" t="str">
        <f>'Conjunto de Datos'!N242</f>
        <v>Mesero_3</v>
      </c>
      <c r="AD241">
        <f>Tabla8[[#This Row],[Propina]]+Tabla8[[#This Row],[Precio Cena]]</f>
        <v>3675</v>
      </c>
      <c r="AE241" s="45">
        <f t="shared" si="9"/>
        <v>294</v>
      </c>
    </row>
    <row r="242" spans="1:31" x14ac:dyDescent="0.3">
      <c r="S242" s="15" t="str">
        <f>'Conjunto de Datos'!BB243</f>
        <v>935</v>
      </c>
      <c r="T242" s="15">
        <f>'Conjunto de Datos'!BF243</f>
        <v>241</v>
      </c>
      <c r="U242" s="6">
        <f>sala!I242</f>
        <v>3897</v>
      </c>
      <c r="V242" cm="1">
        <f t="array" ref="V242">SUM(IF(Cocina!A:A=Tabla8[[#This Row],[Numero de Orden]],Cocina!F:F*Cocina!G:G,0))</f>
        <v>18</v>
      </c>
      <c r="W242">
        <f>IF(Tabla8[[#This Row],[Cobrado]]="Cobrada",Tabla8[[#This Row],[Propina]]+Tabla8[[#This Row],[Precio Cena]],0)</f>
        <v>3915</v>
      </c>
      <c r="X242" t="str">
        <f>INDEX(sala!G:G, MATCH(Tabla8[[#This Row],[Numero de Orden]], sala!K:K, 0))</f>
        <v>Almuerzo</v>
      </c>
      <c r="Y242" t="str">
        <f>'Conjunto de Datos'!J243</f>
        <v>Cobrada</v>
      </c>
      <c r="Z242" t="str">
        <f>INDEX(sala!H:H, MATCH(Tabla8[[#This Row],[Numero de Orden]], sala!K:K, 0))</f>
        <v>Tarjeta de crédito</v>
      </c>
      <c r="AA242" s="3">
        <f>'Conjunto de Datos'!D243</f>
        <v>45018</v>
      </c>
      <c r="AB242" t="str">
        <f>INDEX(sala!L:L, MATCH(Tabla8[[#This Row],[Numero de Orden]], sala!K:K, 0))</f>
        <v>Brasil</v>
      </c>
      <c r="AC242" t="str">
        <f>'Conjunto de Datos'!N243</f>
        <v>Mesero_5</v>
      </c>
      <c r="AD242">
        <f>Tabla8[[#This Row],[Propina]]+Tabla8[[#This Row],[Precio Cena]]</f>
        <v>3915</v>
      </c>
      <c r="AE242" s="45">
        <f t="shared" si="9"/>
        <v>18</v>
      </c>
    </row>
    <row r="243" spans="1:31" x14ac:dyDescent="0.3">
      <c r="S243" t="str">
        <f>'Conjunto de Datos'!BB244</f>
        <v>961</v>
      </c>
      <c r="T243">
        <f>'Conjunto de Datos'!BF244</f>
        <v>242</v>
      </c>
      <c r="U243" s="7">
        <f>sala!I243</f>
        <v>3129</v>
      </c>
      <c r="V243" cm="1">
        <f t="array" ref="V243">SUM(IF(Cocina!A:A=Tabla8[[#This Row],[Numero de Orden]],Cocina!F:F*Cocina!G:G,0))</f>
        <v>134</v>
      </c>
      <c r="W243">
        <f>IF(Tabla8[[#This Row],[Cobrado]]="Cobrada",Tabla8[[#This Row],[Propina]]+Tabla8[[#This Row],[Precio Cena]],0)</f>
        <v>0</v>
      </c>
      <c r="X243" t="str">
        <f>INDEX(sala!G:G, MATCH(Tabla8[[#This Row],[Numero de Orden]], sala!K:K, 0))</f>
        <v>Almuerzo</v>
      </c>
      <c r="Y243" t="str">
        <f>'Conjunto de Datos'!J244</f>
        <v>No Cobrada</v>
      </c>
      <c r="Z243" t="str">
        <f>INDEX(sala!H:H, MATCH(Tabla8[[#This Row],[Numero de Orden]], sala!K:K, 0))</f>
        <v>Tarjeta de crédito</v>
      </c>
      <c r="AA243" s="3">
        <f>'Conjunto de Datos'!D244</f>
        <v>45018</v>
      </c>
      <c r="AB243" t="str">
        <f>INDEX(sala!L:L, MATCH(Tabla8[[#This Row],[Numero de Orden]], sala!K:K, 0))</f>
        <v>Venezuela</v>
      </c>
      <c r="AC243" t="str">
        <f>'Conjunto de Datos'!N244</f>
        <v>Mesero_2</v>
      </c>
      <c r="AD243">
        <f>Tabla8[[#This Row],[Propina]]+Tabla8[[#This Row],[Precio Cena]]</f>
        <v>3263</v>
      </c>
      <c r="AE243" s="45">
        <f t="shared" si="9"/>
        <v>0</v>
      </c>
    </row>
    <row r="244" spans="1:31" x14ac:dyDescent="0.3">
      <c r="S244" s="15" t="str">
        <f>'Conjunto de Datos'!BB245</f>
        <v>924</v>
      </c>
      <c r="T244" s="15">
        <f>'Conjunto de Datos'!BF245</f>
        <v>243</v>
      </c>
      <c r="U244" s="6">
        <f>sala!I244</f>
        <v>2145</v>
      </c>
      <c r="V244" cm="1">
        <f t="array" ref="V244">SUM(IF(Cocina!A:A=Tabla8[[#This Row],[Numero de Orden]],Cocina!F:F*Cocina!G:G,0))</f>
        <v>120</v>
      </c>
      <c r="W244">
        <f>IF(Tabla8[[#This Row],[Cobrado]]="Cobrada",Tabla8[[#This Row],[Propina]]+Tabla8[[#This Row],[Precio Cena]],0)</f>
        <v>2265</v>
      </c>
      <c r="X244" t="str">
        <f>INDEX(sala!G:G, MATCH(Tabla8[[#This Row],[Numero de Orden]], sala!K:K, 0))</f>
        <v>Almuerzo</v>
      </c>
      <c r="Y244" t="str">
        <f>'Conjunto de Datos'!J245</f>
        <v>Cobrada</v>
      </c>
      <c r="Z244" t="str">
        <f>INDEX(sala!H:H, MATCH(Tabla8[[#This Row],[Numero de Orden]], sala!K:K, 0))</f>
        <v>Tarjeta de crédito</v>
      </c>
      <c r="AA244" s="3">
        <f>'Conjunto de Datos'!D245</f>
        <v>45018</v>
      </c>
      <c r="AB244" t="str">
        <f>INDEX(sala!L:L, MATCH(Tabla8[[#This Row],[Numero de Orden]], sala!K:K, 0))</f>
        <v>España</v>
      </c>
      <c r="AC244" t="str">
        <f>'Conjunto de Datos'!N245</f>
        <v>Mesero_2</v>
      </c>
      <c r="AD244">
        <f>Tabla8[[#This Row],[Propina]]+Tabla8[[#This Row],[Precio Cena]]</f>
        <v>2265</v>
      </c>
      <c r="AE244" s="45">
        <f t="shared" si="9"/>
        <v>120</v>
      </c>
    </row>
    <row r="245" spans="1:31" x14ac:dyDescent="0.3">
      <c r="S245" t="str">
        <f>'Conjunto de Datos'!BB246</f>
        <v>390</v>
      </c>
      <c r="T245">
        <f>'Conjunto de Datos'!BF246</f>
        <v>244</v>
      </c>
      <c r="U245" s="7">
        <f>sala!I245</f>
        <v>1765</v>
      </c>
      <c r="V245" cm="1">
        <f t="array" ref="V245">SUM(IF(Cocina!A:A=Tabla8[[#This Row],[Numero de Orden]],Cocina!F:F*Cocina!G:G,0))</f>
        <v>158</v>
      </c>
      <c r="W245">
        <f>IF(Tabla8[[#This Row],[Cobrado]]="Cobrada",Tabla8[[#This Row],[Propina]]+Tabla8[[#This Row],[Precio Cena]],0)</f>
        <v>1923</v>
      </c>
      <c r="X245" t="str">
        <f>INDEX(sala!G:G, MATCH(Tabla8[[#This Row],[Numero de Orden]], sala!K:K, 0))</f>
        <v>Almuerzo</v>
      </c>
      <c r="Y245" t="str">
        <f>'Conjunto de Datos'!J246</f>
        <v>Cobrada</v>
      </c>
      <c r="Z245" t="str">
        <f>INDEX(sala!H:H, MATCH(Tabla8[[#This Row],[Numero de Orden]], sala!K:K, 0))</f>
        <v>Efectivo</v>
      </c>
      <c r="AA245" s="3">
        <f>'Conjunto de Datos'!D246</f>
        <v>45018</v>
      </c>
      <c r="AB245" t="str">
        <f>INDEX(sala!L:L, MATCH(Tabla8[[#This Row],[Numero de Orden]], sala!K:K, 0))</f>
        <v>Perú</v>
      </c>
      <c r="AC245" t="str">
        <f>'Conjunto de Datos'!N246</f>
        <v>Mesero_3</v>
      </c>
      <c r="AD245">
        <f>Tabla8[[#This Row],[Propina]]+Tabla8[[#This Row],[Precio Cena]]</f>
        <v>1923</v>
      </c>
      <c r="AE245" s="45">
        <f t="shared" si="9"/>
        <v>158</v>
      </c>
    </row>
    <row r="246" spans="1:31" x14ac:dyDescent="0.3">
      <c r="S246" s="15" t="str">
        <f>'Conjunto de Datos'!BB247</f>
        <v>579</v>
      </c>
      <c r="T246" s="15">
        <f>'Conjunto de Datos'!BF247</f>
        <v>245</v>
      </c>
      <c r="U246" s="6">
        <f>sala!I246</f>
        <v>1482</v>
      </c>
      <c r="V246" cm="1">
        <f t="array" ref="V246">SUM(IF(Cocina!A:A=Tabla8[[#This Row],[Numero de Orden]],Cocina!F:F*Cocina!G:G,0))</f>
        <v>273</v>
      </c>
      <c r="W246">
        <f>IF(Tabla8[[#This Row],[Cobrado]]="Cobrada",Tabla8[[#This Row],[Propina]]+Tabla8[[#This Row],[Precio Cena]],0)</f>
        <v>1755</v>
      </c>
      <c r="X246" t="str">
        <f>INDEX(sala!G:G, MATCH(Tabla8[[#This Row],[Numero de Orden]], sala!K:K, 0))</f>
        <v>Almuerzo</v>
      </c>
      <c r="Y246" t="str">
        <f>'Conjunto de Datos'!J247</f>
        <v>Cobrada</v>
      </c>
      <c r="Z246" t="str">
        <f>INDEX(sala!H:H, MATCH(Tabla8[[#This Row],[Numero de Orden]], sala!K:K, 0))</f>
        <v>Tarjeta de crédito</v>
      </c>
      <c r="AA246" s="3">
        <f>'Conjunto de Datos'!D247</f>
        <v>45018</v>
      </c>
      <c r="AB246" t="str">
        <f>INDEX(sala!L:L, MATCH(Tabla8[[#This Row],[Numero de Orden]], sala!K:K, 0))</f>
        <v>Bolivia</v>
      </c>
      <c r="AC246" t="str">
        <f>'Conjunto de Datos'!N247</f>
        <v>Mesero_1</v>
      </c>
      <c r="AD246">
        <f>Tabla8[[#This Row],[Propina]]+Tabla8[[#This Row],[Precio Cena]]</f>
        <v>1755</v>
      </c>
      <c r="AE246" s="45">
        <f t="shared" si="9"/>
        <v>273</v>
      </c>
    </row>
    <row r="247" spans="1:31" x14ac:dyDescent="0.3">
      <c r="S247" t="str">
        <f>'Conjunto de Datos'!BB248</f>
        <v>961</v>
      </c>
      <c r="T247">
        <f>'Conjunto de Datos'!BF248</f>
        <v>246</v>
      </c>
      <c r="U247" s="7">
        <f>sala!I247</f>
        <v>4275</v>
      </c>
      <c r="V247" cm="1">
        <f t="array" ref="V247">SUM(IF(Cocina!A:A=Tabla8[[#This Row],[Numero de Orden]],Cocina!F:F*Cocina!G:G,0))</f>
        <v>327</v>
      </c>
      <c r="W247">
        <f>IF(Tabla8[[#This Row],[Cobrado]]="Cobrada",Tabla8[[#This Row],[Propina]]+Tabla8[[#This Row],[Precio Cena]],0)</f>
        <v>0</v>
      </c>
      <c r="X247" t="str">
        <f>INDEX(sala!G:G, MATCH(Tabla8[[#This Row],[Numero de Orden]], sala!K:K, 0))</f>
        <v>Almuerzo</v>
      </c>
      <c r="Y247" t="str">
        <f>'Conjunto de Datos'!J248</f>
        <v>No Cobrada</v>
      </c>
      <c r="Z247" t="str">
        <f>INDEX(sala!H:H, MATCH(Tabla8[[#This Row],[Numero de Orden]], sala!K:K, 0))</f>
        <v>Tarjeta de crédito</v>
      </c>
      <c r="AA247" s="3">
        <f>'Conjunto de Datos'!D248</f>
        <v>45018</v>
      </c>
      <c r="AB247" t="str">
        <f>INDEX(sala!L:L, MATCH(Tabla8[[#This Row],[Numero de Orden]], sala!K:K, 0))</f>
        <v>Bolivia</v>
      </c>
      <c r="AC247" t="str">
        <f>'Conjunto de Datos'!N248</f>
        <v>Mesero_2</v>
      </c>
      <c r="AD247">
        <f>Tabla8[[#This Row],[Propina]]+Tabla8[[#This Row],[Precio Cena]]</f>
        <v>4602</v>
      </c>
      <c r="AE247" s="45">
        <f t="shared" si="9"/>
        <v>0</v>
      </c>
    </row>
    <row r="248" spans="1:31" x14ac:dyDescent="0.3">
      <c r="S248" s="15" t="str">
        <f>'Conjunto de Datos'!BB249</f>
        <v>788</v>
      </c>
      <c r="T248" s="15">
        <f>'Conjunto de Datos'!BF249</f>
        <v>247</v>
      </c>
      <c r="U248" s="6">
        <f>sala!I248</f>
        <v>4907</v>
      </c>
      <c r="V248" cm="1">
        <f t="array" ref="V248">SUM(IF(Cocina!A:A=Tabla8[[#This Row],[Numero de Orden]],Cocina!F:F*Cocina!G:G,0))</f>
        <v>66</v>
      </c>
      <c r="W248">
        <f>IF(Tabla8[[#This Row],[Cobrado]]="Cobrada",Tabla8[[#This Row],[Propina]]+Tabla8[[#This Row],[Precio Cena]],0)</f>
        <v>4973</v>
      </c>
      <c r="X248" t="str">
        <f>INDEX(sala!G:G, MATCH(Tabla8[[#This Row],[Numero de Orden]], sala!K:K, 0))</f>
        <v>Almuerzo</v>
      </c>
      <c r="Y248" t="str">
        <f>'Conjunto de Datos'!J249</f>
        <v>Cobrada</v>
      </c>
      <c r="Z248" t="str">
        <f>INDEX(sala!H:H, MATCH(Tabla8[[#This Row],[Numero de Orden]], sala!K:K, 0))</f>
        <v>Tarjeta de crédito</v>
      </c>
      <c r="AA248" s="3">
        <f>'Conjunto de Datos'!D249</f>
        <v>45018</v>
      </c>
      <c r="AB248" t="str">
        <f>INDEX(sala!L:L, MATCH(Tabla8[[#This Row],[Numero de Orden]], sala!K:K, 0))</f>
        <v>Ecuador</v>
      </c>
      <c r="AC248" t="str">
        <f>'Conjunto de Datos'!N249</f>
        <v>Mesero_2</v>
      </c>
      <c r="AD248">
        <f>Tabla8[[#This Row],[Propina]]+Tabla8[[#This Row],[Precio Cena]]</f>
        <v>4973</v>
      </c>
      <c r="AE248" s="45">
        <f t="shared" si="9"/>
        <v>66</v>
      </c>
    </row>
    <row r="249" spans="1:31" x14ac:dyDescent="0.3">
      <c r="A249" s="16" t="s">
        <v>669</v>
      </c>
      <c r="B249" s="17" t="s">
        <v>674</v>
      </c>
      <c r="S249" t="str">
        <f>'Conjunto de Datos'!BB250</f>
        <v>567</v>
      </c>
      <c r="T249">
        <f>'Conjunto de Datos'!BF250</f>
        <v>248</v>
      </c>
      <c r="U249" s="7">
        <f>sala!I249</f>
        <v>1869</v>
      </c>
      <c r="V249" cm="1">
        <f t="array" ref="V249">SUM(IF(Cocina!A:A=Tabla8[[#This Row],[Numero de Orden]],Cocina!F:F*Cocina!G:G,0))</f>
        <v>225</v>
      </c>
      <c r="W249">
        <f>IF(Tabla8[[#This Row],[Cobrado]]="Cobrada",Tabla8[[#This Row],[Propina]]+Tabla8[[#This Row],[Precio Cena]],0)</f>
        <v>2094</v>
      </c>
      <c r="X249" t="str">
        <f>INDEX(sala!G:G, MATCH(Tabla8[[#This Row],[Numero de Orden]], sala!K:K, 0))</f>
        <v>Almuerzo</v>
      </c>
      <c r="Y249" t="str">
        <f>'Conjunto de Datos'!J250</f>
        <v>Cobrada</v>
      </c>
      <c r="Z249" t="str">
        <f>INDEX(sala!H:H, MATCH(Tabla8[[#This Row],[Numero de Orden]], sala!K:K, 0))</f>
        <v>Tarjeta de débito</v>
      </c>
      <c r="AA249" s="3">
        <f>'Conjunto de Datos'!D250</f>
        <v>45018</v>
      </c>
      <c r="AB249" t="str">
        <f>INDEX(sala!L:L, MATCH(Tabla8[[#This Row],[Numero de Orden]], sala!K:K, 0))</f>
        <v>Chile</v>
      </c>
      <c r="AC249" t="str">
        <f>'Conjunto de Datos'!N250</f>
        <v>Mesero_2</v>
      </c>
      <c r="AD249">
        <f>Tabla8[[#This Row],[Propina]]+Tabla8[[#This Row],[Precio Cena]]</f>
        <v>2094</v>
      </c>
      <c r="AE249" s="45">
        <f t="shared" si="9"/>
        <v>225</v>
      </c>
    </row>
    <row r="250" spans="1:31" x14ac:dyDescent="0.3">
      <c r="A250" s="20" t="s">
        <v>73</v>
      </c>
      <c r="B250" s="18">
        <f>COUNTIFS(Y:Y,"Cobrada", AC:AC,A250)</f>
        <v>125</v>
      </c>
      <c r="S250" s="15" t="str">
        <f>'Conjunto de Datos'!BB251</f>
        <v>927</v>
      </c>
      <c r="T250" s="15">
        <f>'Conjunto de Datos'!BF251</f>
        <v>249</v>
      </c>
      <c r="U250" s="6">
        <f>sala!I250</f>
        <v>4771</v>
      </c>
      <c r="V250" cm="1">
        <f t="array" ref="V250">SUM(IF(Cocina!A:A=Tabla8[[#This Row],[Numero de Orden]],Cocina!F:F*Cocina!G:G,0))</f>
        <v>80</v>
      </c>
      <c r="W250">
        <f>IF(Tabla8[[#This Row],[Cobrado]]="Cobrada",Tabla8[[#This Row],[Propina]]+Tabla8[[#This Row],[Precio Cena]],0)</f>
        <v>4851</v>
      </c>
      <c r="X250" t="str">
        <f>INDEX(sala!G:G, MATCH(Tabla8[[#This Row],[Numero de Orden]], sala!K:K, 0))</f>
        <v>Cena</v>
      </c>
      <c r="Y250" t="str">
        <f>'Conjunto de Datos'!J251</f>
        <v>Cobrada</v>
      </c>
      <c r="Z250" t="str">
        <f>INDEX(sala!H:H, MATCH(Tabla8[[#This Row],[Numero de Orden]], sala!K:K, 0))</f>
        <v>Tarjeta de crédito</v>
      </c>
      <c r="AA250" s="3">
        <f>'Conjunto de Datos'!D251</f>
        <v>45018</v>
      </c>
      <c r="AB250" t="str">
        <f>INDEX(sala!L:L, MATCH(Tabla8[[#This Row],[Numero de Orden]], sala!K:K, 0))</f>
        <v>España</v>
      </c>
      <c r="AC250" t="str">
        <f>'Conjunto de Datos'!N251</f>
        <v>Mesero_2</v>
      </c>
      <c r="AD250">
        <f>Tabla8[[#This Row],[Propina]]+Tabla8[[#This Row],[Precio Cena]]</f>
        <v>4851</v>
      </c>
      <c r="AE250" s="45">
        <f t="shared" si="9"/>
        <v>80</v>
      </c>
    </row>
    <row r="251" spans="1:31" x14ac:dyDescent="0.3">
      <c r="A251" s="21" t="s">
        <v>32</v>
      </c>
      <c r="B251" s="19">
        <f>COUNTIFS(Y:Y,"Cobrada", AC:AC,A251)</f>
        <v>163</v>
      </c>
      <c r="S251" t="str">
        <f>'Conjunto de Datos'!BB252</f>
        <v>539</v>
      </c>
      <c r="T251">
        <f>'Conjunto de Datos'!BF252</f>
        <v>250</v>
      </c>
      <c r="U251" s="7">
        <f>sala!I251</f>
        <v>2321</v>
      </c>
      <c r="V251" cm="1">
        <f t="array" ref="V251">SUM(IF(Cocina!A:A=Tabla8[[#This Row],[Numero de Orden]],Cocina!F:F*Cocina!G:G,0))</f>
        <v>20</v>
      </c>
      <c r="W251">
        <f>IF(Tabla8[[#This Row],[Cobrado]]="Cobrada",Tabla8[[#This Row],[Propina]]+Tabla8[[#This Row],[Precio Cena]],0)</f>
        <v>2341</v>
      </c>
      <c r="X251" t="str">
        <f>INDEX(sala!G:G, MATCH(Tabla8[[#This Row],[Numero de Orden]], sala!K:K, 0))</f>
        <v>Almuerzo</v>
      </c>
      <c r="Y251" t="str">
        <f>'Conjunto de Datos'!J252</f>
        <v>Cobrada</v>
      </c>
      <c r="Z251" t="str">
        <f>INDEX(sala!H:H, MATCH(Tabla8[[#This Row],[Numero de Orden]], sala!K:K, 0))</f>
        <v>Tarjeta de crédito</v>
      </c>
      <c r="AA251" s="3">
        <f>'Conjunto de Datos'!D252</f>
        <v>45018</v>
      </c>
      <c r="AB251" t="str">
        <f>INDEX(sala!L:L, MATCH(Tabla8[[#This Row],[Numero de Orden]], sala!K:K, 0))</f>
        <v>España</v>
      </c>
      <c r="AC251" t="str">
        <f>'Conjunto de Datos'!N252</f>
        <v>Mesero_4</v>
      </c>
      <c r="AD251">
        <f>Tabla8[[#This Row],[Propina]]+Tabla8[[#This Row],[Precio Cena]]</f>
        <v>2341</v>
      </c>
      <c r="AE251" s="45">
        <f t="shared" si="9"/>
        <v>20</v>
      </c>
    </row>
    <row r="252" spans="1:31" x14ac:dyDescent="0.3">
      <c r="A252" s="20" t="s">
        <v>52</v>
      </c>
      <c r="B252" s="18">
        <f>COUNTIFS(Y:Y,"Cobrada", AC:AC,A252)</f>
        <v>133</v>
      </c>
      <c r="S252" s="15" t="str">
        <f>'Conjunto de Datos'!BB253</f>
        <v>872</v>
      </c>
      <c r="T252" s="15">
        <f>'Conjunto de Datos'!BF253</f>
        <v>251</v>
      </c>
      <c r="U252" s="6">
        <f>sala!I252</f>
        <v>1369</v>
      </c>
      <c r="V252" cm="1">
        <f t="array" ref="V252">SUM(IF(Cocina!A:A=Tabla8[[#This Row],[Numero de Orden]],Cocina!F:F*Cocina!G:G,0))</f>
        <v>109</v>
      </c>
      <c r="W252">
        <f>IF(Tabla8[[#This Row],[Cobrado]]="Cobrada",Tabla8[[#This Row],[Propina]]+Tabla8[[#This Row],[Precio Cena]],0)</f>
        <v>1478</v>
      </c>
      <c r="X252" t="str">
        <f>INDEX(sala!G:G, MATCH(Tabla8[[#This Row],[Numero de Orden]], sala!K:K, 0))</f>
        <v>Almuerzo</v>
      </c>
      <c r="Y252" t="str">
        <f>'Conjunto de Datos'!J253</f>
        <v>Cobrada</v>
      </c>
      <c r="Z252" t="str">
        <f>INDEX(sala!H:H, MATCH(Tabla8[[#This Row],[Numero de Orden]], sala!K:K, 0))</f>
        <v>Tarjeta de crédito</v>
      </c>
      <c r="AA252" s="3">
        <f>'Conjunto de Datos'!D253</f>
        <v>45018</v>
      </c>
      <c r="AB252" t="str">
        <f>INDEX(sala!L:L, MATCH(Tabla8[[#This Row],[Numero de Orden]], sala!K:K, 0))</f>
        <v>Uruguay</v>
      </c>
      <c r="AC252" t="str">
        <f>'Conjunto de Datos'!N253</f>
        <v>Mesero_1</v>
      </c>
      <c r="AD252">
        <f>Tabla8[[#This Row],[Propina]]+Tabla8[[#This Row],[Precio Cena]]</f>
        <v>1478</v>
      </c>
      <c r="AE252" s="45">
        <f t="shared" si="9"/>
        <v>109</v>
      </c>
    </row>
    <row r="253" spans="1:31" x14ac:dyDescent="0.3">
      <c r="A253" s="21" t="s">
        <v>14</v>
      </c>
      <c r="B253" s="19">
        <f>COUNTIFS(Y:Y,"Cobrada", AC:AC,A253)</f>
        <v>135</v>
      </c>
      <c r="S253" t="str">
        <f>'Conjunto de Datos'!BB254</f>
        <v>425</v>
      </c>
      <c r="T253">
        <f>'Conjunto de Datos'!BF254</f>
        <v>252</v>
      </c>
      <c r="U253" s="7">
        <f>sala!I253</f>
        <v>4381</v>
      </c>
      <c r="V253" cm="1">
        <f t="array" ref="V253">SUM(IF(Cocina!A:A=Tabla8[[#This Row],[Numero de Orden]],Cocina!F:F*Cocina!G:G,0))</f>
        <v>102</v>
      </c>
      <c r="W253">
        <f>IF(Tabla8[[#This Row],[Cobrado]]="Cobrada",Tabla8[[#This Row],[Propina]]+Tabla8[[#This Row],[Precio Cena]],0)</f>
        <v>4483</v>
      </c>
      <c r="X253" t="str">
        <f>INDEX(sala!G:G, MATCH(Tabla8[[#This Row],[Numero de Orden]], sala!K:K, 0))</f>
        <v>Almuerzo</v>
      </c>
      <c r="Y253" t="str">
        <f>'Conjunto de Datos'!J254</f>
        <v>Cobrada</v>
      </c>
      <c r="Z253" t="str">
        <f>INDEX(sala!H:H, MATCH(Tabla8[[#This Row],[Numero de Orden]], sala!K:K, 0))</f>
        <v>Tarjeta de crédito</v>
      </c>
      <c r="AA253" s="3">
        <f>'Conjunto de Datos'!D254</f>
        <v>45018</v>
      </c>
      <c r="AB253" t="str">
        <f>INDEX(sala!L:L, MATCH(Tabla8[[#This Row],[Numero de Orden]], sala!K:K, 0))</f>
        <v>Colombia</v>
      </c>
      <c r="AC253" t="str">
        <f>'Conjunto de Datos'!N254</f>
        <v>Mesero_4</v>
      </c>
      <c r="AD253">
        <f>Tabla8[[#This Row],[Propina]]+Tabla8[[#This Row],[Precio Cena]]</f>
        <v>4483</v>
      </c>
      <c r="AE253" s="45">
        <f t="shared" si="9"/>
        <v>102</v>
      </c>
    </row>
    <row r="254" spans="1:31" x14ac:dyDescent="0.3">
      <c r="A254" s="20" t="s">
        <v>21</v>
      </c>
      <c r="B254" s="18">
        <f>COUNTIFS(Y:Y,"Cobrada", AC:AC,A254)</f>
        <v>112</v>
      </c>
      <c r="S254" s="15" t="str">
        <f>'Conjunto de Datos'!BB255</f>
        <v>700</v>
      </c>
      <c r="T254" s="15">
        <f>'Conjunto de Datos'!BF255</f>
        <v>253</v>
      </c>
      <c r="U254" s="6">
        <f>sala!I254</f>
        <v>3469</v>
      </c>
      <c r="V254" cm="1">
        <f t="array" ref="V254">SUM(IF(Cocina!A:A=Tabla8[[#This Row],[Numero de Orden]],Cocina!F:F*Cocina!G:G,0))</f>
        <v>154</v>
      </c>
      <c r="W254">
        <f>IF(Tabla8[[#This Row],[Cobrado]]="Cobrada",Tabla8[[#This Row],[Propina]]+Tabla8[[#This Row],[Precio Cena]],0)</f>
        <v>3623</v>
      </c>
      <c r="X254" t="str">
        <f>INDEX(sala!G:G, MATCH(Tabla8[[#This Row],[Numero de Orden]], sala!K:K, 0))</f>
        <v>Cena</v>
      </c>
      <c r="Y254" t="str">
        <f>'Conjunto de Datos'!J255</f>
        <v>Cobrada</v>
      </c>
      <c r="Z254" t="str">
        <f>INDEX(sala!H:H, MATCH(Tabla8[[#This Row],[Numero de Orden]], sala!K:K, 0))</f>
        <v>Tarjeta de crédito</v>
      </c>
      <c r="AA254" s="3">
        <f>'Conjunto de Datos'!D255</f>
        <v>45018</v>
      </c>
      <c r="AB254" t="str">
        <f>INDEX(sala!L:L, MATCH(Tabla8[[#This Row],[Numero de Orden]], sala!K:K, 0))</f>
        <v>Argentina</v>
      </c>
      <c r="AC254" t="str">
        <f>'Conjunto de Datos'!N255</f>
        <v>Mesero_3</v>
      </c>
      <c r="AD254">
        <f>Tabla8[[#This Row],[Propina]]+Tabla8[[#This Row],[Precio Cena]]</f>
        <v>3623</v>
      </c>
      <c r="AE254" s="45">
        <f t="shared" si="9"/>
        <v>154</v>
      </c>
    </row>
    <row r="255" spans="1:31" x14ac:dyDescent="0.3">
      <c r="S255" t="str">
        <f>'Conjunto de Datos'!BB256</f>
        <v>665</v>
      </c>
      <c r="T255">
        <f>'Conjunto de Datos'!BF256</f>
        <v>254</v>
      </c>
      <c r="U255" s="7">
        <f>sala!I255</f>
        <v>3643</v>
      </c>
      <c r="V255" cm="1">
        <f t="array" ref="V255">SUM(IF(Cocina!A:A=Tabla8[[#This Row],[Numero de Orden]],Cocina!F:F*Cocina!G:G,0))</f>
        <v>297</v>
      </c>
      <c r="W255">
        <f>IF(Tabla8[[#This Row],[Cobrado]]="Cobrada",Tabla8[[#This Row],[Propina]]+Tabla8[[#This Row],[Precio Cena]],0)</f>
        <v>3940</v>
      </c>
      <c r="X255" t="str">
        <f>INDEX(sala!G:G, MATCH(Tabla8[[#This Row],[Numero de Orden]], sala!K:K, 0))</f>
        <v>Cena</v>
      </c>
      <c r="Y255" t="str">
        <f>'Conjunto de Datos'!J256</f>
        <v>Cobrada</v>
      </c>
      <c r="Z255" t="str">
        <f>INDEX(sala!H:H, MATCH(Tabla8[[#This Row],[Numero de Orden]], sala!K:K, 0))</f>
        <v>Tarjeta de crédito</v>
      </c>
      <c r="AA255" s="3">
        <f>'Conjunto de Datos'!D256</f>
        <v>45018</v>
      </c>
      <c r="AB255" t="str">
        <f>INDEX(sala!L:L, MATCH(Tabla8[[#This Row],[Numero de Orden]], sala!K:K, 0))</f>
        <v>Paraguay</v>
      </c>
      <c r="AC255" t="str">
        <f>'Conjunto de Datos'!N256</f>
        <v>Mesero_1</v>
      </c>
      <c r="AD255">
        <f>Tabla8[[#This Row],[Propina]]+Tabla8[[#This Row],[Precio Cena]]</f>
        <v>3940</v>
      </c>
      <c r="AE255" s="45">
        <f t="shared" si="9"/>
        <v>297</v>
      </c>
    </row>
    <row r="256" spans="1:31" x14ac:dyDescent="0.3">
      <c r="S256" s="15" t="str">
        <f>'Conjunto de Datos'!BB257</f>
        <v>978</v>
      </c>
      <c r="T256" s="15">
        <f>'Conjunto de Datos'!BF257</f>
        <v>255</v>
      </c>
      <c r="U256" s="6">
        <f>sala!I256</f>
        <v>1334</v>
      </c>
      <c r="V256" cm="1">
        <f t="array" ref="V256">SUM(IF(Cocina!A:A=Tabla8[[#This Row],[Numero de Orden]],Cocina!F:F*Cocina!G:G,0))</f>
        <v>25</v>
      </c>
      <c r="W256">
        <f>IF(Tabla8[[#This Row],[Cobrado]]="Cobrada",Tabla8[[#This Row],[Propina]]+Tabla8[[#This Row],[Precio Cena]],0)</f>
        <v>1359</v>
      </c>
      <c r="X256" t="str">
        <f>INDEX(sala!G:G, MATCH(Tabla8[[#This Row],[Numero de Orden]], sala!K:K, 0))</f>
        <v>Cena</v>
      </c>
      <c r="Y256" t="str">
        <f>'Conjunto de Datos'!J257</f>
        <v>Cobrada</v>
      </c>
      <c r="Z256" t="str">
        <f>INDEX(sala!H:H, MATCH(Tabla8[[#This Row],[Numero de Orden]], sala!K:K, 0))</f>
        <v>Efectivo</v>
      </c>
      <c r="AA256" s="3">
        <f>'Conjunto de Datos'!D257</f>
        <v>45018</v>
      </c>
      <c r="AB256" t="str">
        <f>INDEX(sala!L:L, MATCH(Tabla8[[#This Row],[Numero de Orden]], sala!K:K, 0))</f>
        <v>Uruguay</v>
      </c>
      <c r="AC256" t="str">
        <f>'Conjunto de Datos'!N257</f>
        <v>Mesero_2</v>
      </c>
      <c r="AD256">
        <f>Tabla8[[#This Row],[Propina]]+Tabla8[[#This Row],[Precio Cena]]</f>
        <v>1359</v>
      </c>
      <c r="AE256" s="45">
        <f t="shared" si="9"/>
        <v>25</v>
      </c>
    </row>
    <row r="257" spans="19:31" x14ac:dyDescent="0.3">
      <c r="S257" t="str">
        <f>'Conjunto de Datos'!BB258</f>
        <v>577</v>
      </c>
      <c r="T257">
        <f>'Conjunto de Datos'!BF258</f>
        <v>256</v>
      </c>
      <c r="U257" s="7">
        <f>sala!I257</f>
        <v>4988</v>
      </c>
      <c r="V257" cm="1">
        <f t="array" ref="V257">SUM(IF(Cocina!A:A=Tabla8[[#This Row],[Numero de Orden]],Cocina!F:F*Cocina!G:G,0))</f>
        <v>21</v>
      </c>
      <c r="W257">
        <f>IF(Tabla8[[#This Row],[Cobrado]]="Cobrada",Tabla8[[#This Row],[Propina]]+Tabla8[[#This Row],[Precio Cena]],0)</f>
        <v>5009</v>
      </c>
      <c r="X257" t="str">
        <f>INDEX(sala!G:G, MATCH(Tabla8[[#This Row],[Numero de Orden]], sala!K:K, 0))</f>
        <v>Desayuno</v>
      </c>
      <c r="Y257" t="str">
        <f>'Conjunto de Datos'!J258</f>
        <v>Cobrada</v>
      </c>
      <c r="Z257" t="str">
        <f>INDEX(sala!H:H, MATCH(Tabla8[[#This Row],[Numero de Orden]], sala!K:K, 0))</f>
        <v>Efectivo</v>
      </c>
      <c r="AA257" s="3">
        <f>'Conjunto de Datos'!D258</f>
        <v>45018</v>
      </c>
      <c r="AB257" t="str">
        <f>INDEX(sala!L:L, MATCH(Tabla8[[#This Row],[Numero de Orden]], sala!K:K, 0))</f>
        <v>Argentina</v>
      </c>
      <c r="AC257" t="str">
        <f>'Conjunto de Datos'!N258</f>
        <v>Mesero_5</v>
      </c>
      <c r="AD257">
        <f>Tabla8[[#This Row],[Propina]]+Tabla8[[#This Row],[Precio Cena]]</f>
        <v>5009</v>
      </c>
      <c r="AE257" s="45">
        <f t="shared" si="9"/>
        <v>21</v>
      </c>
    </row>
    <row r="258" spans="19:31" x14ac:dyDescent="0.3">
      <c r="S258" s="15" t="str">
        <f>'Conjunto de Datos'!BB259</f>
        <v>429</v>
      </c>
      <c r="T258" s="15">
        <f>'Conjunto de Datos'!BF259</f>
        <v>257</v>
      </c>
      <c r="U258" s="6">
        <f>sala!I258</f>
        <v>2678</v>
      </c>
      <c r="V258" cm="1">
        <f t="array" ref="V258">SUM(IF(Cocina!A:A=Tabla8[[#This Row],[Numero de Orden]],Cocina!F:F*Cocina!G:G,0))</f>
        <v>46</v>
      </c>
      <c r="W258">
        <f>IF(Tabla8[[#This Row],[Cobrado]]="Cobrada",Tabla8[[#This Row],[Propina]]+Tabla8[[#This Row],[Precio Cena]],0)</f>
        <v>2724</v>
      </c>
      <c r="X258" t="str">
        <f>INDEX(sala!G:G, MATCH(Tabla8[[#This Row],[Numero de Orden]], sala!K:K, 0))</f>
        <v>Almuerzo</v>
      </c>
      <c r="Y258" t="str">
        <f>'Conjunto de Datos'!J259</f>
        <v>Cobrada</v>
      </c>
      <c r="Z258" t="str">
        <f>INDEX(sala!H:H, MATCH(Tabla8[[#This Row],[Numero de Orden]], sala!K:K, 0))</f>
        <v>Tarjeta de crédito</v>
      </c>
      <c r="AA258" s="3">
        <f>'Conjunto de Datos'!D259</f>
        <v>45018</v>
      </c>
      <c r="AB258" t="str">
        <f>INDEX(sala!L:L, MATCH(Tabla8[[#This Row],[Numero de Orden]], sala!K:K, 0))</f>
        <v>Ecuador</v>
      </c>
      <c r="AC258" t="str">
        <f>'Conjunto de Datos'!N259</f>
        <v>Mesero_2</v>
      </c>
      <c r="AD258">
        <f>Tabla8[[#This Row],[Propina]]+Tabla8[[#This Row],[Precio Cena]]</f>
        <v>2724</v>
      </c>
      <c r="AE258" s="45">
        <f t="shared" si="9"/>
        <v>46</v>
      </c>
    </row>
    <row r="259" spans="19:31" x14ac:dyDescent="0.3">
      <c r="S259" t="str">
        <f>'Conjunto de Datos'!BB260</f>
        <v>811</v>
      </c>
      <c r="T259">
        <f>'Conjunto de Datos'!BF260</f>
        <v>258</v>
      </c>
      <c r="U259" s="7">
        <f>sala!I259</f>
        <v>4799</v>
      </c>
      <c r="V259" cm="1">
        <f t="array" ref="V259">SUM(IF(Cocina!A:A=Tabla8[[#This Row],[Numero de Orden]],Cocina!F:F*Cocina!G:G,0))</f>
        <v>117</v>
      </c>
      <c r="W259">
        <f>IF(Tabla8[[#This Row],[Cobrado]]="Cobrada",Tabla8[[#This Row],[Propina]]+Tabla8[[#This Row],[Precio Cena]],0)</f>
        <v>4916</v>
      </c>
      <c r="X259" t="str">
        <f>INDEX(sala!G:G, MATCH(Tabla8[[#This Row],[Numero de Orden]], sala!K:K, 0))</f>
        <v>Desayuno</v>
      </c>
      <c r="Y259" t="str">
        <f>'Conjunto de Datos'!J260</f>
        <v>Cobrada</v>
      </c>
      <c r="Z259" t="str">
        <f>INDEX(sala!H:H, MATCH(Tabla8[[#This Row],[Numero de Orden]], sala!K:K, 0))</f>
        <v>Tarjeta de crédito</v>
      </c>
      <c r="AA259" s="3">
        <f>'Conjunto de Datos'!D260</f>
        <v>45018</v>
      </c>
      <c r="AB259" t="str">
        <f>INDEX(sala!L:L, MATCH(Tabla8[[#This Row],[Numero de Orden]], sala!K:K, 0))</f>
        <v>Bolivia</v>
      </c>
      <c r="AC259" t="str">
        <f>'Conjunto de Datos'!N260</f>
        <v>Mesero_2</v>
      </c>
      <c r="AD259">
        <f>Tabla8[[#This Row],[Propina]]+Tabla8[[#This Row],[Precio Cena]]</f>
        <v>4916</v>
      </c>
      <c r="AE259" s="45">
        <f t="shared" si="9"/>
        <v>117</v>
      </c>
    </row>
    <row r="260" spans="19:31" x14ac:dyDescent="0.3">
      <c r="S260" s="15" t="str">
        <f>'Conjunto de Datos'!BB261</f>
        <v>553</v>
      </c>
      <c r="T260" s="15">
        <f>'Conjunto de Datos'!BF261</f>
        <v>259</v>
      </c>
      <c r="U260" s="6">
        <f>sala!I260</f>
        <v>4672</v>
      </c>
      <c r="V260" cm="1">
        <f t="array" ref="V260">SUM(IF(Cocina!A:A=Tabla8[[#This Row],[Numero de Orden]],Cocina!F:F*Cocina!G:G,0))</f>
        <v>81</v>
      </c>
      <c r="W260">
        <f>IF(Tabla8[[#This Row],[Cobrado]]="Cobrada",Tabla8[[#This Row],[Propina]]+Tabla8[[#This Row],[Precio Cena]],0)</f>
        <v>4753</v>
      </c>
      <c r="X260" t="str">
        <f>INDEX(sala!G:G, MATCH(Tabla8[[#This Row],[Numero de Orden]], sala!K:K, 0))</f>
        <v>Almuerzo</v>
      </c>
      <c r="Y260" t="str">
        <f>'Conjunto de Datos'!J261</f>
        <v>Cobrada</v>
      </c>
      <c r="Z260" t="str">
        <f>INDEX(sala!H:H, MATCH(Tabla8[[#This Row],[Numero de Orden]], sala!K:K, 0))</f>
        <v>Tarjeta de crédito</v>
      </c>
      <c r="AA260" s="3">
        <f>'Conjunto de Datos'!D261</f>
        <v>45018</v>
      </c>
      <c r="AB260" t="str">
        <f>INDEX(sala!L:L, MATCH(Tabla8[[#This Row],[Numero de Orden]], sala!K:K, 0))</f>
        <v>Venezuela</v>
      </c>
      <c r="AC260" t="str">
        <f>'Conjunto de Datos'!N261</f>
        <v>Mesero_1</v>
      </c>
      <c r="AD260">
        <f>Tabla8[[#This Row],[Propina]]+Tabla8[[#This Row],[Precio Cena]]</f>
        <v>4753</v>
      </c>
      <c r="AE260" s="45">
        <f t="shared" ref="AE260:AE323" si="11">IF(Y260 = "Cobrada",V260,0)</f>
        <v>81</v>
      </c>
    </row>
    <row r="261" spans="19:31" x14ac:dyDescent="0.3">
      <c r="S261" t="str">
        <f>'Conjunto de Datos'!BB262</f>
        <v>228</v>
      </c>
      <c r="T261">
        <f>'Conjunto de Datos'!BF262</f>
        <v>260</v>
      </c>
      <c r="U261" s="7">
        <f>sala!I261</f>
        <v>4755</v>
      </c>
      <c r="V261" cm="1">
        <f t="array" ref="V261">SUM(IF(Cocina!A:A=Tabla8[[#This Row],[Numero de Orden]],Cocina!F:F*Cocina!G:G,0))</f>
        <v>69</v>
      </c>
      <c r="W261">
        <f>IF(Tabla8[[#This Row],[Cobrado]]="Cobrada",Tabla8[[#This Row],[Propina]]+Tabla8[[#This Row],[Precio Cena]],0)</f>
        <v>4824</v>
      </c>
      <c r="X261" t="str">
        <f>INDEX(sala!G:G, MATCH(Tabla8[[#This Row],[Numero de Orden]], sala!K:K, 0))</f>
        <v>Almuerzo</v>
      </c>
      <c r="Y261" t="str">
        <f>'Conjunto de Datos'!J262</f>
        <v>Cobrada</v>
      </c>
      <c r="Z261" t="str">
        <f>INDEX(sala!H:H, MATCH(Tabla8[[#This Row],[Numero de Orden]], sala!K:K, 0))</f>
        <v>Efectivo</v>
      </c>
      <c r="AA261" s="3">
        <f>'Conjunto de Datos'!D262</f>
        <v>45018</v>
      </c>
      <c r="AB261" t="str">
        <f>INDEX(sala!L:L, MATCH(Tabla8[[#This Row],[Numero de Orden]], sala!K:K, 0))</f>
        <v>Uruguay</v>
      </c>
      <c r="AC261" t="str">
        <f>'Conjunto de Datos'!N262</f>
        <v>Mesero_5</v>
      </c>
      <c r="AD261">
        <f>Tabla8[[#This Row],[Propina]]+Tabla8[[#This Row],[Precio Cena]]</f>
        <v>4824</v>
      </c>
      <c r="AE261" s="45">
        <f t="shared" si="11"/>
        <v>69</v>
      </c>
    </row>
    <row r="262" spans="19:31" x14ac:dyDescent="0.3">
      <c r="S262" s="15" t="str">
        <f>'Conjunto de Datos'!BB263</f>
        <v>249</v>
      </c>
      <c r="T262" s="15">
        <f>'Conjunto de Datos'!BF263</f>
        <v>261</v>
      </c>
      <c r="U262" s="6">
        <f>sala!I262</f>
        <v>3242</v>
      </c>
      <c r="V262" cm="1">
        <f t="array" ref="V262">SUM(IF(Cocina!A:A=Tabla8[[#This Row],[Numero de Orden]],Cocina!F:F*Cocina!G:G,0))</f>
        <v>154</v>
      </c>
      <c r="W262">
        <f>IF(Tabla8[[#This Row],[Cobrado]]="Cobrada",Tabla8[[#This Row],[Propina]]+Tabla8[[#This Row],[Precio Cena]],0)</f>
        <v>3396</v>
      </c>
      <c r="X262" t="str">
        <f>INDEX(sala!G:G, MATCH(Tabla8[[#This Row],[Numero de Orden]], sala!K:K, 0))</f>
        <v>Almuerzo</v>
      </c>
      <c r="Y262" t="str">
        <f>'Conjunto de Datos'!J263</f>
        <v>Cobrada</v>
      </c>
      <c r="Z262" t="str">
        <f>INDEX(sala!H:H, MATCH(Tabla8[[#This Row],[Numero de Orden]], sala!K:K, 0))</f>
        <v>Tarjeta de crédito</v>
      </c>
      <c r="AA262" s="3">
        <f>'Conjunto de Datos'!D263</f>
        <v>45018</v>
      </c>
      <c r="AB262" t="str">
        <f>INDEX(sala!L:L, MATCH(Tabla8[[#This Row],[Numero de Orden]], sala!K:K, 0))</f>
        <v>Chile</v>
      </c>
      <c r="AC262" t="str">
        <f>'Conjunto de Datos'!N263</f>
        <v>Mesero_4</v>
      </c>
      <c r="AD262">
        <f>Tabla8[[#This Row],[Propina]]+Tabla8[[#This Row],[Precio Cena]]</f>
        <v>3396</v>
      </c>
      <c r="AE262" s="45">
        <f t="shared" si="11"/>
        <v>154</v>
      </c>
    </row>
    <row r="263" spans="19:31" x14ac:dyDescent="0.3">
      <c r="S263" t="str">
        <f>'Conjunto de Datos'!BB264</f>
        <v>326</v>
      </c>
      <c r="T263">
        <f>'Conjunto de Datos'!BF264</f>
        <v>262</v>
      </c>
      <c r="U263" s="7">
        <f>sala!I263</f>
        <v>4283</v>
      </c>
      <c r="V263" cm="1">
        <f t="array" ref="V263">SUM(IF(Cocina!A:A=Tabla8[[#This Row],[Numero de Orden]],Cocina!F:F*Cocina!G:G,0))</f>
        <v>115</v>
      </c>
      <c r="W263">
        <f>IF(Tabla8[[#This Row],[Cobrado]]="Cobrada",Tabla8[[#This Row],[Propina]]+Tabla8[[#This Row],[Precio Cena]],0)</f>
        <v>4398</v>
      </c>
      <c r="X263" t="str">
        <f>INDEX(sala!G:G, MATCH(Tabla8[[#This Row],[Numero de Orden]], sala!K:K, 0))</f>
        <v>Almuerzo</v>
      </c>
      <c r="Y263" t="str">
        <f>'Conjunto de Datos'!J264</f>
        <v>Cobrada</v>
      </c>
      <c r="Z263" t="str">
        <f>INDEX(sala!H:H, MATCH(Tabla8[[#This Row],[Numero de Orden]], sala!K:K, 0))</f>
        <v>Tarjeta de crédito</v>
      </c>
      <c r="AA263" s="3">
        <f>'Conjunto de Datos'!D264</f>
        <v>45018</v>
      </c>
      <c r="AB263" t="str">
        <f>INDEX(sala!L:L, MATCH(Tabla8[[#This Row],[Numero de Orden]], sala!K:K, 0))</f>
        <v>Venezuela</v>
      </c>
      <c r="AC263" t="str">
        <f>'Conjunto de Datos'!N264</f>
        <v>Mesero_2</v>
      </c>
      <c r="AD263">
        <f>Tabla8[[#This Row],[Propina]]+Tabla8[[#This Row],[Precio Cena]]</f>
        <v>4398</v>
      </c>
      <c r="AE263" s="45">
        <f t="shared" si="11"/>
        <v>115</v>
      </c>
    </row>
    <row r="264" spans="19:31" x14ac:dyDescent="0.3">
      <c r="S264" s="15" t="str">
        <f>'Conjunto de Datos'!BB265</f>
        <v>697</v>
      </c>
      <c r="T264" s="15">
        <f>'Conjunto de Datos'!BF265</f>
        <v>263</v>
      </c>
      <c r="U264" s="6">
        <f>sala!I264</f>
        <v>4296</v>
      </c>
      <c r="V264" cm="1">
        <f t="array" ref="V264">SUM(IF(Cocina!A:A=Tabla8[[#This Row],[Numero de Orden]],Cocina!F:F*Cocina!G:G,0))</f>
        <v>121</v>
      </c>
      <c r="W264">
        <f>IF(Tabla8[[#This Row],[Cobrado]]="Cobrada",Tabla8[[#This Row],[Propina]]+Tabla8[[#This Row],[Precio Cena]],0)</f>
        <v>4417</v>
      </c>
      <c r="X264" t="str">
        <f>INDEX(sala!G:G, MATCH(Tabla8[[#This Row],[Numero de Orden]], sala!K:K, 0))</f>
        <v>Desayuno</v>
      </c>
      <c r="Y264" t="str">
        <f>'Conjunto de Datos'!J265</f>
        <v>Cobrada</v>
      </c>
      <c r="Z264" t="str">
        <f>INDEX(sala!H:H, MATCH(Tabla8[[#This Row],[Numero de Orden]], sala!K:K, 0))</f>
        <v>Tarjeta de crédito</v>
      </c>
      <c r="AA264" s="3">
        <f>'Conjunto de Datos'!D265</f>
        <v>45018</v>
      </c>
      <c r="AB264" t="str">
        <f>INDEX(sala!L:L, MATCH(Tabla8[[#This Row],[Numero de Orden]], sala!K:K, 0))</f>
        <v>Uruguay</v>
      </c>
      <c r="AC264" t="str">
        <f>'Conjunto de Datos'!N265</f>
        <v>Mesero_1</v>
      </c>
      <c r="AD264">
        <f>Tabla8[[#This Row],[Propina]]+Tabla8[[#This Row],[Precio Cena]]</f>
        <v>4417</v>
      </c>
      <c r="AE264" s="45">
        <f t="shared" si="11"/>
        <v>121</v>
      </c>
    </row>
    <row r="265" spans="19:31" x14ac:dyDescent="0.3">
      <c r="S265" t="str">
        <f>'Conjunto de Datos'!BB266</f>
        <v>281</v>
      </c>
      <c r="T265">
        <f>'Conjunto de Datos'!BF266</f>
        <v>264</v>
      </c>
      <c r="U265" s="7">
        <f>sala!I265</f>
        <v>4921</v>
      </c>
      <c r="V265" cm="1">
        <f t="array" ref="V265">SUM(IF(Cocina!A:A=Tabla8[[#This Row],[Numero de Orden]],Cocina!F:F*Cocina!G:G,0))</f>
        <v>182</v>
      </c>
      <c r="W265">
        <f>IF(Tabla8[[#This Row],[Cobrado]]="Cobrada",Tabla8[[#This Row],[Propina]]+Tabla8[[#This Row],[Precio Cena]],0)</f>
        <v>0</v>
      </c>
      <c r="X265" t="str">
        <f>INDEX(sala!G:G, MATCH(Tabla8[[#This Row],[Numero de Orden]], sala!K:K, 0))</f>
        <v>Almuerzo</v>
      </c>
      <c r="Y265" t="str">
        <f>'Conjunto de Datos'!J266</f>
        <v>No Cobrada</v>
      </c>
      <c r="Z265" t="str">
        <f>INDEX(sala!H:H, MATCH(Tabla8[[#This Row],[Numero de Orden]], sala!K:K, 0))</f>
        <v>Tarjeta de crédito</v>
      </c>
      <c r="AA265" s="3">
        <f>'Conjunto de Datos'!D266</f>
        <v>45018</v>
      </c>
      <c r="AB265" t="str">
        <f>INDEX(sala!L:L, MATCH(Tabla8[[#This Row],[Numero de Orden]], sala!K:K, 0))</f>
        <v>Bolivia</v>
      </c>
      <c r="AC265" t="str">
        <f>'Conjunto de Datos'!N266</f>
        <v>Mesero_1</v>
      </c>
      <c r="AD265">
        <f>Tabla8[[#This Row],[Propina]]+Tabla8[[#This Row],[Precio Cena]]</f>
        <v>5103</v>
      </c>
      <c r="AE265" s="45">
        <f t="shared" si="11"/>
        <v>0</v>
      </c>
    </row>
    <row r="266" spans="19:31" x14ac:dyDescent="0.3">
      <c r="S266" s="15" t="str">
        <f>'Conjunto de Datos'!BB267</f>
        <v>686</v>
      </c>
      <c r="T266" s="15">
        <f>'Conjunto de Datos'!BF267</f>
        <v>265</v>
      </c>
      <c r="U266" s="6">
        <f>sala!I266</f>
        <v>2148</v>
      </c>
      <c r="V266" cm="1">
        <f t="array" ref="V266">SUM(IF(Cocina!A:A=Tabla8[[#This Row],[Numero de Orden]],Cocina!F:F*Cocina!G:G,0))</f>
        <v>171</v>
      </c>
      <c r="W266">
        <f>IF(Tabla8[[#This Row],[Cobrado]]="Cobrada",Tabla8[[#This Row],[Propina]]+Tabla8[[#This Row],[Precio Cena]],0)</f>
        <v>2319</v>
      </c>
      <c r="X266" t="str">
        <f>INDEX(sala!G:G, MATCH(Tabla8[[#This Row],[Numero de Orden]], sala!K:K, 0))</f>
        <v>Desayuno</v>
      </c>
      <c r="Y266" t="str">
        <f>'Conjunto de Datos'!J267</f>
        <v>Cobrada</v>
      </c>
      <c r="Z266" t="str">
        <f>INDEX(sala!H:H, MATCH(Tabla8[[#This Row],[Numero de Orden]], sala!K:K, 0))</f>
        <v>Tarjeta de débito</v>
      </c>
      <c r="AA266" s="3">
        <f>'Conjunto de Datos'!D267</f>
        <v>45018</v>
      </c>
      <c r="AB266" t="str">
        <f>INDEX(sala!L:L, MATCH(Tabla8[[#This Row],[Numero de Orden]], sala!K:K, 0))</f>
        <v>Chile</v>
      </c>
      <c r="AC266" t="str">
        <f>'Conjunto de Datos'!N267</f>
        <v>Mesero_2</v>
      </c>
      <c r="AD266">
        <f>Tabla8[[#This Row],[Propina]]+Tabla8[[#This Row],[Precio Cena]]</f>
        <v>2319</v>
      </c>
      <c r="AE266" s="45">
        <f t="shared" si="11"/>
        <v>171</v>
      </c>
    </row>
    <row r="267" spans="19:31" x14ac:dyDescent="0.3">
      <c r="S267" t="str">
        <f>'Conjunto de Datos'!BB268</f>
        <v>418</v>
      </c>
      <c r="T267">
        <f>'Conjunto de Datos'!BF268</f>
        <v>266</v>
      </c>
      <c r="U267" s="7">
        <f>sala!I267</f>
        <v>2475</v>
      </c>
      <c r="V267" cm="1">
        <f t="array" ref="V267">SUM(IF(Cocina!A:A=Tabla8[[#This Row],[Numero de Orden]],Cocina!F:F*Cocina!G:G,0))</f>
        <v>99</v>
      </c>
      <c r="W267">
        <f>IF(Tabla8[[#This Row],[Cobrado]]="Cobrada",Tabla8[[#This Row],[Propina]]+Tabla8[[#This Row],[Precio Cena]],0)</f>
        <v>0</v>
      </c>
      <c r="X267" t="str">
        <f>INDEX(sala!G:G, MATCH(Tabla8[[#This Row],[Numero de Orden]], sala!K:K, 0))</f>
        <v>Almuerzo</v>
      </c>
      <c r="Y267" t="str">
        <f>'Conjunto de Datos'!J268</f>
        <v>No Cobrada</v>
      </c>
      <c r="Z267" t="str">
        <f>INDEX(sala!H:H, MATCH(Tabla8[[#This Row],[Numero de Orden]], sala!K:K, 0))</f>
        <v>Tarjeta de crédito</v>
      </c>
      <c r="AA267" s="3">
        <f>'Conjunto de Datos'!D268</f>
        <v>45018</v>
      </c>
      <c r="AB267" t="str">
        <f>INDEX(sala!L:L, MATCH(Tabla8[[#This Row],[Numero de Orden]], sala!K:K, 0))</f>
        <v>Paraguay</v>
      </c>
      <c r="AC267" t="str">
        <f>'Conjunto de Datos'!N268</f>
        <v>Mesero_2</v>
      </c>
      <c r="AD267">
        <f>Tabla8[[#This Row],[Propina]]+Tabla8[[#This Row],[Precio Cena]]</f>
        <v>2574</v>
      </c>
      <c r="AE267" s="45">
        <f t="shared" si="11"/>
        <v>0</v>
      </c>
    </row>
    <row r="268" spans="19:31" x14ac:dyDescent="0.3">
      <c r="S268" s="15" t="str">
        <f>'Conjunto de Datos'!BB269</f>
        <v>397</v>
      </c>
      <c r="T268" s="15">
        <f>'Conjunto de Datos'!BF269</f>
        <v>267</v>
      </c>
      <c r="U268" s="6">
        <f>sala!I268</f>
        <v>4466</v>
      </c>
      <c r="V268" cm="1">
        <f t="array" ref="V268">SUM(IF(Cocina!A:A=Tabla8[[#This Row],[Numero de Orden]],Cocina!F:F*Cocina!G:G,0))</f>
        <v>118</v>
      </c>
      <c r="W268">
        <f>IF(Tabla8[[#This Row],[Cobrado]]="Cobrada",Tabla8[[#This Row],[Propina]]+Tabla8[[#This Row],[Precio Cena]],0)</f>
        <v>4584</v>
      </c>
      <c r="X268" t="str">
        <f>INDEX(sala!G:G, MATCH(Tabla8[[#This Row],[Numero de Orden]], sala!K:K, 0))</f>
        <v>Cena</v>
      </c>
      <c r="Y268" t="str">
        <f>'Conjunto de Datos'!J269</f>
        <v>Cobrada</v>
      </c>
      <c r="Z268" t="str">
        <f>INDEX(sala!H:H, MATCH(Tabla8[[#This Row],[Numero de Orden]], sala!K:K, 0))</f>
        <v>Tarjeta de crédito</v>
      </c>
      <c r="AA268" s="3">
        <f>'Conjunto de Datos'!D269</f>
        <v>45019</v>
      </c>
      <c r="AB268" t="str">
        <f>INDEX(sala!L:L, MATCH(Tabla8[[#This Row],[Numero de Orden]], sala!K:K, 0))</f>
        <v>España</v>
      </c>
      <c r="AC268" t="str">
        <f>'Conjunto de Datos'!N269</f>
        <v>Mesero_2</v>
      </c>
      <c r="AD268">
        <f>Tabla8[[#This Row],[Propina]]+Tabla8[[#This Row],[Precio Cena]]</f>
        <v>4584</v>
      </c>
      <c r="AE268" s="45">
        <f t="shared" si="11"/>
        <v>118</v>
      </c>
    </row>
    <row r="269" spans="19:31" x14ac:dyDescent="0.3">
      <c r="S269" t="str">
        <f>'Conjunto de Datos'!BB270</f>
        <v>477</v>
      </c>
      <c r="T269">
        <f>'Conjunto de Datos'!BF270</f>
        <v>268</v>
      </c>
      <c r="U269" s="7">
        <f>sala!I269</f>
        <v>2316</v>
      </c>
      <c r="V269" cm="1">
        <f t="array" ref="V269">SUM(IF(Cocina!A:A=Tabla8[[#This Row],[Numero de Orden]],Cocina!F:F*Cocina!G:G,0))</f>
        <v>68</v>
      </c>
      <c r="W269">
        <f>IF(Tabla8[[#This Row],[Cobrado]]="Cobrada",Tabla8[[#This Row],[Propina]]+Tabla8[[#This Row],[Precio Cena]],0)</f>
        <v>2384</v>
      </c>
      <c r="X269" t="str">
        <f>INDEX(sala!G:G, MATCH(Tabla8[[#This Row],[Numero de Orden]], sala!K:K, 0))</f>
        <v>Almuerzo</v>
      </c>
      <c r="Y269" t="str">
        <f>'Conjunto de Datos'!J270</f>
        <v>Cobrada</v>
      </c>
      <c r="Z269" t="str">
        <f>INDEX(sala!H:H, MATCH(Tabla8[[#This Row],[Numero de Orden]], sala!K:K, 0))</f>
        <v>Tarjeta de débito</v>
      </c>
      <c r="AA269" s="3">
        <f>'Conjunto de Datos'!D270</f>
        <v>45019</v>
      </c>
      <c r="AB269" t="str">
        <f>INDEX(sala!L:L, MATCH(Tabla8[[#This Row],[Numero de Orden]], sala!K:K, 0))</f>
        <v>Uruguay</v>
      </c>
      <c r="AC269" t="str">
        <f>'Conjunto de Datos'!N270</f>
        <v>Mesero_3</v>
      </c>
      <c r="AD269">
        <f>Tabla8[[#This Row],[Propina]]+Tabla8[[#This Row],[Precio Cena]]</f>
        <v>2384</v>
      </c>
      <c r="AE269" s="45">
        <f t="shared" si="11"/>
        <v>68</v>
      </c>
    </row>
    <row r="270" spans="19:31" x14ac:dyDescent="0.3">
      <c r="S270" s="15" t="str">
        <f>'Conjunto de Datos'!BB271</f>
        <v>300</v>
      </c>
      <c r="T270" s="15">
        <f>'Conjunto de Datos'!BF271</f>
        <v>269</v>
      </c>
      <c r="U270" s="6">
        <f>sala!I270</f>
        <v>3917</v>
      </c>
      <c r="V270" cm="1">
        <f t="array" ref="V270">SUM(IF(Cocina!A:A=Tabla8[[#This Row],[Numero de Orden]],Cocina!F:F*Cocina!G:G,0))</f>
        <v>250</v>
      </c>
      <c r="W270">
        <f>IF(Tabla8[[#This Row],[Cobrado]]="Cobrada",Tabla8[[#This Row],[Propina]]+Tabla8[[#This Row],[Precio Cena]],0)</f>
        <v>0</v>
      </c>
      <c r="X270" t="str">
        <f>INDEX(sala!G:G, MATCH(Tabla8[[#This Row],[Numero de Orden]], sala!K:K, 0))</f>
        <v>Almuerzo</v>
      </c>
      <c r="Y270" t="str">
        <f>'Conjunto de Datos'!J271</f>
        <v>No Cobrada</v>
      </c>
      <c r="Z270" t="str">
        <f>INDEX(sala!H:H, MATCH(Tabla8[[#This Row],[Numero de Orden]], sala!K:K, 0))</f>
        <v>Tarjeta de débito</v>
      </c>
      <c r="AA270" s="3">
        <f>'Conjunto de Datos'!D271</f>
        <v>45019</v>
      </c>
      <c r="AB270" t="str">
        <f>INDEX(sala!L:L, MATCH(Tabla8[[#This Row],[Numero de Orden]], sala!K:K, 0))</f>
        <v>Venezuela</v>
      </c>
      <c r="AC270" t="str">
        <f>'Conjunto de Datos'!N271</f>
        <v>Mesero_2</v>
      </c>
      <c r="AD270">
        <f>Tabla8[[#This Row],[Propina]]+Tabla8[[#This Row],[Precio Cena]]</f>
        <v>4167</v>
      </c>
      <c r="AE270" s="45">
        <f t="shared" si="11"/>
        <v>0</v>
      </c>
    </row>
    <row r="271" spans="19:31" x14ac:dyDescent="0.3">
      <c r="S271" t="str">
        <f>'Conjunto de Datos'!BB272</f>
        <v>775</v>
      </c>
      <c r="T271">
        <f>'Conjunto de Datos'!BF272</f>
        <v>270</v>
      </c>
      <c r="U271" s="7">
        <f>sala!I271</f>
        <v>1013</v>
      </c>
      <c r="V271" cm="1">
        <f t="array" ref="V271">SUM(IF(Cocina!A:A=Tabla8[[#This Row],[Numero de Orden]],Cocina!F:F*Cocina!G:G,0))</f>
        <v>102</v>
      </c>
      <c r="W271">
        <f>IF(Tabla8[[#This Row],[Cobrado]]="Cobrada",Tabla8[[#This Row],[Propina]]+Tabla8[[#This Row],[Precio Cena]],0)</f>
        <v>1115</v>
      </c>
      <c r="X271" t="str">
        <f>INDEX(sala!G:G, MATCH(Tabla8[[#This Row],[Numero de Orden]], sala!K:K, 0))</f>
        <v>Almuerzo</v>
      </c>
      <c r="Y271" t="str">
        <f>'Conjunto de Datos'!J272</f>
        <v>Cobrada</v>
      </c>
      <c r="Z271" t="str">
        <f>INDEX(sala!H:H, MATCH(Tabla8[[#This Row],[Numero de Orden]], sala!K:K, 0))</f>
        <v>Tarjeta de crédito</v>
      </c>
      <c r="AA271" s="3">
        <f>'Conjunto de Datos'!D272</f>
        <v>45019</v>
      </c>
      <c r="AB271" t="str">
        <f>INDEX(sala!L:L, MATCH(Tabla8[[#This Row],[Numero de Orden]], sala!K:K, 0))</f>
        <v>Ecuador</v>
      </c>
      <c r="AC271" t="str">
        <f>'Conjunto de Datos'!N272</f>
        <v>Mesero_4</v>
      </c>
      <c r="AD271">
        <f>Tabla8[[#This Row],[Propina]]+Tabla8[[#This Row],[Precio Cena]]</f>
        <v>1115</v>
      </c>
      <c r="AE271" s="45">
        <f t="shared" si="11"/>
        <v>102</v>
      </c>
    </row>
    <row r="272" spans="19:31" x14ac:dyDescent="0.3">
      <c r="S272" s="15" t="str">
        <f>'Conjunto de Datos'!BB273</f>
        <v>928</v>
      </c>
      <c r="T272" s="15">
        <f>'Conjunto de Datos'!BF273</f>
        <v>271</v>
      </c>
      <c r="U272" s="6">
        <f>sala!I272</f>
        <v>1611</v>
      </c>
      <c r="V272" cm="1">
        <f t="array" ref="V272">SUM(IF(Cocina!A:A=Tabla8[[#This Row],[Numero de Orden]],Cocina!F:F*Cocina!G:G,0))</f>
        <v>44</v>
      </c>
      <c r="W272">
        <f>IF(Tabla8[[#This Row],[Cobrado]]="Cobrada",Tabla8[[#This Row],[Propina]]+Tabla8[[#This Row],[Precio Cena]],0)</f>
        <v>1655</v>
      </c>
      <c r="X272" t="str">
        <f>INDEX(sala!G:G, MATCH(Tabla8[[#This Row],[Numero de Orden]], sala!K:K, 0))</f>
        <v>Almuerzo</v>
      </c>
      <c r="Y272" t="str">
        <f>'Conjunto de Datos'!J273</f>
        <v>Cobrada</v>
      </c>
      <c r="Z272" t="str">
        <f>INDEX(sala!H:H, MATCH(Tabla8[[#This Row],[Numero de Orden]], sala!K:K, 0))</f>
        <v>Tarjeta de crédito</v>
      </c>
      <c r="AA272" s="3">
        <f>'Conjunto de Datos'!D273</f>
        <v>45019</v>
      </c>
      <c r="AB272" t="str">
        <f>INDEX(sala!L:L, MATCH(Tabla8[[#This Row],[Numero de Orden]], sala!K:K, 0))</f>
        <v>Bolivia</v>
      </c>
      <c r="AC272" t="str">
        <f>'Conjunto de Datos'!N273</f>
        <v>Mesero_3</v>
      </c>
      <c r="AD272">
        <f>Tabla8[[#This Row],[Propina]]+Tabla8[[#This Row],[Precio Cena]]</f>
        <v>1655</v>
      </c>
      <c r="AE272" s="45">
        <f t="shared" si="11"/>
        <v>44</v>
      </c>
    </row>
    <row r="273" spans="1:31" x14ac:dyDescent="0.3">
      <c r="S273" t="str">
        <f>'Conjunto de Datos'!BB274</f>
        <v>132</v>
      </c>
      <c r="T273">
        <f>'Conjunto de Datos'!BF274</f>
        <v>272</v>
      </c>
      <c r="U273" s="7">
        <f>sala!I273</f>
        <v>4273</v>
      </c>
      <c r="V273" cm="1">
        <f t="array" ref="V273">SUM(IF(Cocina!A:A=Tabla8[[#This Row],[Numero de Orden]],Cocina!F:F*Cocina!G:G,0))</f>
        <v>83</v>
      </c>
      <c r="W273">
        <f>IF(Tabla8[[#This Row],[Cobrado]]="Cobrada",Tabla8[[#This Row],[Propina]]+Tabla8[[#This Row],[Precio Cena]],0)</f>
        <v>4356</v>
      </c>
      <c r="X273" t="str">
        <f>INDEX(sala!G:G, MATCH(Tabla8[[#This Row],[Numero de Orden]], sala!K:K, 0))</f>
        <v>Almuerzo</v>
      </c>
      <c r="Y273" t="str">
        <f>'Conjunto de Datos'!J274</f>
        <v>Cobrada</v>
      </c>
      <c r="Z273" t="str">
        <f>INDEX(sala!H:H, MATCH(Tabla8[[#This Row],[Numero de Orden]], sala!K:K, 0))</f>
        <v>Tarjeta de crédito</v>
      </c>
      <c r="AA273" s="3">
        <f>'Conjunto de Datos'!D274</f>
        <v>45019</v>
      </c>
      <c r="AB273" t="str">
        <f>INDEX(sala!L:L, MATCH(Tabla8[[#This Row],[Numero de Orden]], sala!K:K, 0))</f>
        <v>España</v>
      </c>
      <c r="AC273" t="str">
        <f>'Conjunto de Datos'!N274</f>
        <v>Mesero_4</v>
      </c>
      <c r="AD273">
        <f>Tabla8[[#This Row],[Propina]]+Tabla8[[#This Row],[Precio Cena]]</f>
        <v>4356</v>
      </c>
      <c r="AE273" s="45">
        <f t="shared" si="11"/>
        <v>83</v>
      </c>
    </row>
    <row r="274" spans="1:31" x14ac:dyDescent="0.3">
      <c r="S274" s="15" t="str">
        <f>'Conjunto de Datos'!BB275</f>
        <v>709</v>
      </c>
      <c r="T274" s="15">
        <f>'Conjunto de Datos'!BF275</f>
        <v>273</v>
      </c>
      <c r="U274" s="6">
        <f>sala!I274</f>
        <v>363</v>
      </c>
      <c r="V274" cm="1">
        <f t="array" ref="V274">SUM(IF(Cocina!A:A=Tabla8[[#This Row],[Numero de Orden]],Cocina!F:F*Cocina!G:G,0))</f>
        <v>123</v>
      </c>
      <c r="W274">
        <f>IF(Tabla8[[#This Row],[Cobrado]]="Cobrada",Tabla8[[#This Row],[Propina]]+Tabla8[[#This Row],[Precio Cena]],0)</f>
        <v>486</v>
      </c>
      <c r="X274" t="str">
        <f>INDEX(sala!G:G, MATCH(Tabla8[[#This Row],[Numero de Orden]], sala!K:K, 0))</f>
        <v>Almuerzo</v>
      </c>
      <c r="Y274" t="str">
        <f>'Conjunto de Datos'!J275</f>
        <v>Cobrada</v>
      </c>
      <c r="Z274" t="str">
        <f>INDEX(sala!H:H, MATCH(Tabla8[[#This Row],[Numero de Orden]], sala!K:K, 0))</f>
        <v>Efectivo</v>
      </c>
      <c r="AA274" s="3">
        <f>'Conjunto de Datos'!D275</f>
        <v>45019</v>
      </c>
      <c r="AB274" t="str">
        <f>INDEX(sala!L:L, MATCH(Tabla8[[#This Row],[Numero de Orden]], sala!K:K, 0))</f>
        <v>Colombia</v>
      </c>
      <c r="AC274" t="str">
        <f>'Conjunto de Datos'!N275</f>
        <v>Mesero_2</v>
      </c>
      <c r="AD274">
        <f>Tabla8[[#This Row],[Propina]]+Tabla8[[#This Row],[Precio Cena]]</f>
        <v>486</v>
      </c>
      <c r="AE274" s="45">
        <f t="shared" si="11"/>
        <v>123</v>
      </c>
    </row>
    <row r="275" spans="1:31" x14ac:dyDescent="0.3">
      <c r="S275" t="str">
        <f>'Conjunto de Datos'!BB276</f>
        <v>53</v>
      </c>
      <c r="T275">
        <f>'Conjunto de Datos'!BF276</f>
        <v>274</v>
      </c>
      <c r="U275" s="7">
        <f>sala!I275</f>
        <v>1993</v>
      </c>
      <c r="V275" cm="1">
        <f t="array" ref="V275">SUM(IF(Cocina!A:A=Tabla8[[#This Row],[Numero de Orden]],Cocina!F:F*Cocina!G:G,0))</f>
        <v>116</v>
      </c>
      <c r="W275">
        <f>IF(Tabla8[[#This Row],[Cobrado]]="Cobrada",Tabla8[[#This Row],[Propina]]+Tabla8[[#This Row],[Precio Cena]],0)</f>
        <v>2109</v>
      </c>
      <c r="X275" t="str">
        <f>INDEX(sala!G:G, MATCH(Tabla8[[#This Row],[Numero de Orden]], sala!K:K, 0))</f>
        <v>Almuerzo</v>
      </c>
      <c r="Y275" t="str">
        <f>'Conjunto de Datos'!J276</f>
        <v>Cobrada</v>
      </c>
      <c r="Z275" t="str">
        <f>INDEX(sala!H:H, MATCH(Tabla8[[#This Row],[Numero de Orden]], sala!K:K, 0))</f>
        <v>Tarjeta de débito</v>
      </c>
      <c r="AA275" s="3">
        <f>'Conjunto de Datos'!D276</f>
        <v>45019</v>
      </c>
      <c r="AB275" t="str">
        <f>INDEX(sala!L:L, MATCH(Tabla8[[#This Row],[Numero de Orden]], sala!K:K, 0))</f>
        <v>Brasil</v>
      </c>
      <c r="AC275" t="str">
        <f>'Conjunto de Datos'!N276</f>
        <v>Mesero_1</v>
      </c>
      <c r="AD275">
        <f>Tabla8[[#This Row],[Propina]]+Tabla8[[#This Row],[Precio Cena]]</f>
        <v>2109</v>
      </c>
      <c r="AE275" s="45">
        <f t="shared" si="11"/>
        <v>116</v>
      </c>
    </row>
    <row r="276" spans="1:31" x14ac:dyDescent="0.3">
      <c r="S276" s="15" t="str">
        <f>'Conjunto de Datos'!BB277</f>
        <v>765</v>
      </c>
      <c r="T276" s="15">
        <f>'Conjunto de Datos'!BF277</f>
        <v>275</v>
      </c>
      <c r="U276" s="6">
        <f>sala!I276</f>
        <v>4967</v>
      </c>
      <c r="V276" cm="1">
        <f t="array" ref="V276">SUM(IF(Cocina!A:A=Tabla8[[#This Row],[Numero de Orden]],Cocina!F:F*Cocina!G:G,0))</f>
        <v>121</v>
      </c>
      <c r="W276">
        <f>IF(Tabla8[[#This Row],[Cobrado]]="Cobrada",Tabla8[[#This Row],[Propina]]+Tabla8[[#This Row],[Precio Cena]],0)</f>
        <v>5088</v>
      </c>
      <c r="X276" t="str">
        <f>INDEX(sala!G:G, MATCH(Tabla8[[#This Row],[Numero de Orden]], sala!K:K, 0))</f>
        <v>Almuerzo</v>
      </c>
      <c r="Y276" t="str">
        <f>'Conjunto de Datos'!J277</f>
        <v>Cobrada</v>
      </c>
      <c r="Z276" t="str">
        <f>INDEX(sala!H:H, MATCH(Tabla8[[#This Row],[Numero de Orden]], sala!K:K, 0))</f>
        <v>Tarjeta de crédito</v>
      </c>
      <c r="AA276" s="3">
        <f>'Conjunto de Datos'!D277</f>
        <v>45019</v>
      </c>
      <c r="AB276" t="str">
        <f>INDEX(sala!L:L, MATCH(Tabla8[[#This Row],[Numero de Orden]], sala!K:K, 0))</f>
        <v>Bolivia</v>
      </c>
      <c r="AC276" t="str">
        <f>'Conjunto de Datos'!N277</f>
        <v>Mesero_2</v>
      </c>
      <c r="AD276">
        <f>Tabla8[[#This Row],[Propina]]+Tabla8[[#This Row],[Precio Cena]]</f>
        <v>5088</v>
      </c>
      <c r="AE276" s="45">
        <f t="shared" si="11"/>
        <v>121</v>
      </c>
    </row>
    <row r="277" spans="1:31" x14ac:dyDescent="0.3">
      <c r="A277" s="16" t="s">
        <v>669</v>
      </c>
      <c r="B277" s="17" t="s">
        <v>675</v>
      </c>
      <c r="S277" t="str">
        <f>'Conjunto de Datos'!BB278</f>
        <v>673</v>
      </c>
      <c r="T277">
        <f>'Conjunto de Datos'!BF278</f>
        <v>276</v>
      </c>
      <c r="U277" s="7">
        <f>sala!I277</f>
        <v>2098</v>
      </c>
      <c r="V277" cm="1">
        <f t="array" ref="V277">SUM(IF(Cocina!A:A=Tabla8[[#This Row],[Numero de Orden]],Cocina!F:F*Cocina!G:G,0))</f>
        <v>70</v>
      </c>
      <c r="W277">
        <f>IF(Tabla8[[#This Row],[Cobrado]]="Cobrada",Tabla8[[#This Row],[Propina]]+Tabla8[[#This Row],[Precio Cena]],0)</f>
        <v>2168</v>
      </c>
      <c r="X277" t="str">
        <f>INDEX(sala!G:G, MATCH(Tabla8[[#This Row],[Numero de Orden]], sala!K:K, 0))</f>
        <v>Almuerzo</v>
      </c>
      <c r="Y277" t="str">
        <f>'Conjunto de Datos'!J278</f>
        <v>Cobrada</v>
      </c>
      <c r="Z277" t="str">
        <f>INDEX(sala!H:H, MATCH(Tabla8[[#This Row],[Numero de Orden]], sala!K:K, 0))</f>
        <v>Tarjeta de débito</v>
      </c>
      <c r="AA277" s="3">
        <f>'Conjunto de Datos'!D278</f>
        <v>45019</v>
      </c>
      <c r="AB277" t="str">
        <f>INDEX(sala!L:L, MATCH(Tabla8[[#This Row],[Numero de Orden]], sala!K:K, 0))</f>
        <v>Ecuador</v>
      </c>
      <c r="AC277" t="str">
        <f>'Conjunto de Datos'!N278</f>
        <v>Mesero_4</v>
      </c>
      <c r="AD277">
        <f>Tabla8[[#This Row],[Propina]]+Tabla8[[#This Row],[Precio Cena]]</f>
        <v>2168</v>
      </c>
      <c r="AE277" s="45">
        <f t="shared" si="11"/>
        <v>70</v>
      </c>
    </row>
    <row r="278" spans="1:31" x14ac:dyDescent="0.3">
      <c r="A278" s="20" t="s">
        <v>73</v>
      </c>
      <c r="B278" s="18">
        <f>COUNTIF(AC:AC,A278)</f>
        <v>138</v>
      </c>
      <c r="S278" s="15" t="str">
        <f>'Conjunto de Datos'!BB279</f>
        <v>243</v>
      </c>
      <c r="T278" s="15">
        <f>'Conjunto de Datos'!BF279</f>
        <v>277</v>
      </c>
      <c r="U278" s="6">
        <f>sala!I278</f>
        <v>1029</v>
      </c>
      <c r="V278" cm="1">
        <f t="array" ref="V278">SUM(IF(Cocina!A:A=Tabla8[[#This Row],[Numero de Orden]],Cocina!F:F*Cocina!G:G,0))</f>
        <v>93</v>
      </c>
      <c r="W278">
        <f>IF(Tabla8[[#This Row],[Cobrado]]="Cobrada",Tabla8[[#This Row],[Propina]]+Tabla8[[#This Row],[Precio Cena]],0)</f>
        <v>1122</v>
      </c>
      <c r="X278" t="str">
        <f>INDEX(sala!G:G, MATCH(Tabla8[[#This Row],[Numero de Orden]], sala!K:K, 0))</f>
        <v>Almuerzo</v>
      </c>
      <c r="Y278" t="str">
        <f>'Conjunto de Datos'!J279</f>
        <v>Cobrada</v>
      </c>
      <c r="Z278" t="str">
        <f>INDEX(sala!H:H, MATCH(Tabla8[[#This Row],[Numero de Orden]], sala!K:K, 0))</f>
        <v>Tarjeta de crédito</v>
      </c>
      <c r="AA278" s="3">
        <f>'Conjunto de Datos'!D279</f>
        <v>45019</v>
      </c>
      <c r="AB278" t="str">
        <f>INDEX(sala!L:L, MATCH(Tabla8[[#This Row],[Numero de Orden]], sala!K:K, 0))</f>
        <v>España</v>
      </c>
      <c r="AC278" t="str">
        <f>'Conjunto de Datos'!N279</f>
        <v>Mesero_5</v>
      </c>
      <c r="AD278">
        <f>Tabla8[[#This Row],[Propina]]+Tabla8[[#This Row],[Precio Cena]]</f>
        <v>1122</v>
      </c>
      <c r="AE278" s="45">
        <f t="shared" si="11"/>
        <v>93</v>
      </c>
    </row>
    <row r="279" spans="1:31" x14ac:dyDescent="0.3">
      <c r="A279" s="21" t="s">
        <v>32</v>
      </c>
      <c r="B279" s="19">
        <f>COUNTIF(AC:AC,A279)</f>
        <v>192</v>
      </c>
      <c r="S279" t="str">
        <f>'Conjunto de Datos'!BB280</f>
        <v>999</v>
      </c>
      <c r="T279">
        <f>'Conjunto de Datos'!BF280</f>
        <v>278</v>
      </c>
      <c r="U279" s="7">
        <f>sala!I279</f>
        <v>4136</v>
      </c>
      <c r="V279" cm="1">
        <f t="array" ref="V279">SUM(IF(Cocina!A:A=Tabla8[[#This Row],[Numero de Orden]],Cocina!F:F*Cocina!G:G,0))</f>
        <v>141</v>
      </c>
      <c r="W279">
        <f>IF(Tabla8[[#This Row],[Cobrado]]="Cobrada",Tabla8[[#This Row],[Propina]]+Tabla8[[#This Row],[Precio Cena]],0)</f>
        <v>4277</v>
      </c>
      <c r="X279" t="str">
        <f>INDEX(sala!G:G, MATCH(Tabla8[[#This Row],[Numero de Orden]], sala!K:K, 0))</f>
        <v>Almuerzo</v>
      </c>
      <c r="Y279" t="str">
        <f>'Conjunto de Datos'!J280</f>
        <v>Cobrada</v>
      </c>
      <c r="Z279" t="str">
        <f>INDEX(sala!H:H, MATCH(Tabla8[[#This Row],[Numero de Orden]], sala!K:K, 0))</f>
        <v>Efectivo</v>
      </c>
      <c r="AA279" s="3">
        <f>'Conjunto de Datos'!D280</f>
        <v>45019</v>
      </c>
      <c r="AB279" t="str">
        <f>INDEX(sala!L:L, MATCH(Tabla8[[#This Row],[Numero de Orden]], sala!K:K, 0))</f>
        <v>Venezuela</v>
      </c>
      <c r="AC279" t="str">
        <f>'Conjunto de Datos'!N280</f>
        <v>Mesero_3</v>
      </c>
      <c r="AD279">
        <f>Tabla8[[#This Row],[Propina]]+Tabla8[[#This Row],[Precio Cena]]</f>
        <v>4277</v>
      </c>
      <c r="AE279" s="45">
        <f t="shared" si="11"/>
        <v>141</v>
      </c>
    </row>
    <row r="280" spans="1:31" x14ac:dyDescent="0.3">
      <c r="A280" s="20" t="s">
        <v>52</v>
      </c>
      <c r="B280" s="18">
        <f t="shared" ref="B280:B282" si="12">COUNTIF(AC:AC,A280)</f>
        <v>158</v>
      </c>
      <c r="S280" s="15" t="str">
        <f>'Conjunto de Datos'!BB281</f>
        <v>510</v>
      </c>
      <c r="T280" s="15">
        <f>'Conjunto de Datos'!BF281</f>
        <v>279</v>
      </c>
      <c r="U280" s="6">
        <f>sala!I280</f>
        <v>4353</v>
      </c>
      <c r="V280" cm="1">
        <f t="array" ref="V280">SUM(IF(Cocina!A:A=Tabla8[[#This Row],[Numero de Orden]],Cocina!F:F*Cocina!G:G,0))</f>
        <v>201</v>
      </c>
      <c r="W280">
        <f>IF(Tabla8[[#This Row],[Cobrado]]="Cobrada",Tabla8[[#This Row],[Propina]]+Tabla8[[#This Row],[Precio Cena]],0)</f>
        <v>0</v>
      </c>
      <c r="X280" t="str">
        <f>INDEX(sala!G:G, MATCH(Tabla8[[#This Row],[Numero de Orden]], sala!K:K, 0))</f>
        <v>Cena</v>
      </c>
      <c r="Y280" t="str">
        <f>'Conjunto de Datos'!J281</f>
        <v>No Cobrada</v>
      </c>
      <c r="Z280" t="str">
        <f>INDEX(sala!H:H, MATCH(Tabla8[[#This Row],[Numero de Orden]], sala!K:K, 0))</f>
        <v>Tarjeta de crédito</v>
      </c>
      <c r="AA280" s="3">
        <f>'Conjunto de Datos'!D281</f>
        <v>45019</v>
      </c>
      <c r="AB280" t="str">
        <f>INDEX(sala!L:L, MATCH(Tabla8[[#This Row],[Numero de Orden]], sala!K:K, 0))</f>
        <v>Venezuela</v>
      </c>
      <c r="AC280" t="str">
        <f>'Conjunto de Datos'!N281</f>
        <v>Mesero_2</v>
      </c>
      <c r="AD280">
        <f>Tabla8[[#This Row],[Propina]]+Tabla8[[#This Row],[Precio Cena]]</f>
        <v>4554</v>
      </c>
      <c r="AE280" s="45">
        <f t="shared" si="11"/>
        <v>0</v>
      </c>
    </row>
    <row r="281" spans="1:31" x14ac:dyDescent="0.3">
      <c r="A281" s="21" t="s">
        <v>14</v>
      </c>
      <c r="B281" s="19">
        <f t="shared" si="12"/>
        <v>149</v>
      </c>
      <c r="S281" t="str">
        <f>'Conjunto de Datos'!BB282</f>
        <v>730</v>
      </c>
      <c r="T281">
        <f>'Conjunto de Datos'!BF282</f>
        <v>280</v>
      </c>
      <c r="U281" s="7">
        <f>sala!I281</f>
        <v>3608</v>
      </c>
      <c r="V281" cm="1">
        <f t="array" ref="V281">SUM(IF(Cocina!A:A=Tabla8[[#This Row],[Numero de Orden]],Cocina!F:F*Cocina!G:G,0))</f>
        <v>117</v>
      </c>
      <c r="W281">
        <f>IF(Tabla8[[#This Row],[Cobrado]]="Cobrada",Tabla8[[#This Row],[Propina]]+Tabla8[[#This Row],[Precio Cena]],0)</f>
        <v>3725</v>
      </c>
      <c r="X281" t="str">
        <f>INDEX(sala!G:G, MATCH(Tabla8[[#This Row],[Numero de Orden]], sala!K:K, 0))</f>
        <v>Almuerzo</v>
      </c>
      <c r="Y281" t="str">
        <f>'Conjunto de Datos'!J282</f>
        <v>Cobrada</v>
      </c>
      <c r="Z281" t="str">
        <f>INDEX(sala!H:H, MATCH(Tabla8[[#This Row],[Numero de Orden]], sala!K:K, 0))</f>
        <v>Tarjeta de crédito</v>
      </c>
      <c r="AA281" s="3">
        <f>'Conjunto de Datos'!D282</f>
        <v>45019</v>
      </c>
      <c r="AB281" t="str">
        <f>INDEX(sala!L:L, MATCH(Tabla8[[#This Row],[Numero de Orden]], sala!K:K, 0))</f>
        <v>Ecuador</v>
      </c>
      <c r="AC281" t="str">
        <f>'Conjunto de Datos'!N282</f>
        <v>Mesero_5</v>
      </c>
      <c r="AD281">
        <f>Tabla8[[#This Row],[Propina]]+Tabla8[[#This Row],[Precio Cena]]</f>
        <v>3725</v>
      </c>
      <c r="AE281" s="45">
        <f t="shared" si="11"/>
        <v>117</v>
      </c>
    </row>
    <row r="282" spans="1:31" x14ac:dyDescent="0.3">
      <c r="A282" s="20" t="s">
        <v>21</v>
      </c>
      <c r="B282" s="18">
        <f t="shared" si="12"/>
        <v>130</v>
      </c>
      <c r="S282" s="15" t="str">
        <f>'Conjunto de Datos'!BB283</f>
        <v>617</v>
      </c>
      <c r="T282" s="15">
        <f>'Conjunto de Datos'!BF283</f>
        <v>281</v>
      </c>
      <c r="U282" s="6">
        <f>sala!I282</f>
        <v>443</v>
      </c>
      <c r="V282" cm="1">
        <f t="array" ref="V282">SUM(IF(Cocina!A:A=Tabla8[[#This Row],[Numero de Orden]],Cocina!F:F*Cocina!G:G,0))</f>
        <v>66</v>
      </c>
      <c r="W282">
        <f>IF(Tabla8[[#This Row],[Cobrado]]="Cobrada",Tabla8[[#This Row],[Propina]]+Tabla8[[#This Row],[Precio Cena]],0)</f>
        <v>509</v>
      </c>
      <c r="X282" t="str">
        <f>INDEX(sala!G:G, MATCH(Tabla8[[#This Row],[Numero de Orden]], sala!K:K, 0))</f>
        <v>Desayuno</v>
      </c>
      <c r="Y282" t="str">
        <f>'Conjunto de Datos'!J283</f>
        <v>Cobrada</v>
      </c>
      <c r="Z282" t="str">
        <f>INDEX(sala!H:H, MATCH(Tabla8[[#This Row],[Numero de Orden]], sala!K:K, 0))</f>
        <v>Efectivo</v>
      </c>
      <c r="AA282" s="3">
        <f>'Conjunto de Datos'!D283</f>
        <v>45019</v>
      </c>
      <c r="AB282" t="str">
        <f>INDEX(sala!L:L, MATCH(Tabla8[[#This Row],[Numero de Orden]], sala!K:K, 0))</f>
        <v>Perú</v>
      </c>
      <c r="AC282" t="str">
        <f>'Conjunto de Datos'!N283</f>
        <v>Mesero_4</v>
      </c>
      <c r="AD282">
        <f>Tabla8[[#This Row],[Propina]]+Tabla8[[#This Row],[Precio Cena]]</f>
        <v>509</v>
      </c>
      <c r="AE282" s="45">
        <f t="shared" si="11"/>
        <v>66</v>
      </c>
    </row>
    <row r="283" spans="1:31" x14ac:dyDescent="0.3">
      <c r="S283" t="str">
        <f>'Conjunto de Datos'!BB284</f>
        <v>827</v>
      </c>
      <c r="T283">
        <f>'Conjunto de Datos'!BF284</f>
        <v>282</v>
      </c>
      <c r="U283" s="7">
        <f>sala!I283</f>
        <v>1905</v>
      </c>
      <c r="V283" cm="1">
        <f t="array" ref="V283">SUM(IF(Cocina!A:A=Tabla8[[#This Row],[Numero de Orden]],Cocina!F:F*Cocina!G:G,0))</f>
        <v>74</v>
      </c>
      <c r="W283">
        <f>IF(Tabla8[[#This Row],[Cobrado]]="Cobrada",Tabla8[[#This Row],[Propina]]+Tabla8[[#This Row],[Precio Cena]],0)</f>
        <v>1979</v>
      </c>
      <c r="X283" t="str">
        <f>INDEX(sala!G:G, MATCH(Tabla8[[#This Row],[Numero de Orden]], sala!K:K, 0))</f>
        <v>Almuerzo</v>
      </c>
      <c r="Y283" t="str">
        <f>'Conjunto de Datos'!J284</f>
        <v>Cobrada</v>
      </c>
      <c r="Z283" t="str">
        <f>INDEX(sala!H:H, MATCH(Tabla8[[#This Row],[Numero de Orden]], sala!K:K, 0))</f>
        <v>Tarjeta de crédito</v>
      </c>
      <c r="AA283" s="3">
        <f>'Conjunto de Datos'!D284</f>
        <v>45019</v>
      </c>
      <c r="AB283" t="str">
        <f>INDEX(sala!L:L, MATCH(Tabla8[[#This Row],[Numero de Orden]], sala!K:K, 0))</f>
        <v>Uruguay</v>
      </c>
      <c r="AC283" t="str">
        <f>'Conjunto de Datos'!N284</f>
        <v>Mesero_4</v>
      </c>
      <c r="AD283">
        <f>Tabla8[[#This Row],[Propina]]+Tabla8[[#This Row],[Precio Cena]]</f>
        <v>1979</v>
      </c>
      <c r="AE283" s="45">
        <f t="shared" si="11"/>
        <v>74</v>
      </c>
    </row>
    <row r="284" spans="1:31" x14ac:dyDescent="0.3">
      <c r="S284" s="15" t="str">
        <f>'Conjunto de Datos'!BB285</f>
        <v>184</v>
      </c>
      <c r="T284" s="15">
        <f>'Conjunto de Datos'!BF285</f>
        <v>283</v>
      </c>
      <c r="U284" s="6">
        <f>sala!I284</f>
        <v>4307</v>
      </c>
      <c r="V284" cm="1">
        <f t="array" ref="V284">SUM(IF(Cocina!A:A=Tabla8[[#This Row],[Numero de Orden]],Cocina!F:F*Cocina!G:G,0))</f>
        <v>78</v>
      </c>
      <c r="W284">
        <f>IF(Tabla8[[#This Row],[Cobrado]]="Cobrada",Tabla8[[#This Row],[Propina]]+Tabla8[[#This Row],[Precio Cena]],0)</f>
        <v>4385</v>
      </c>
      <c r="X284" t="str">
        <f>INDEX(sala!G:G, MATCH(Tabla8[[#This Row],[Numero de Orden]], sala!K:K, 0))</f>
        <v>Cena</v>
      </c>
      <c r="Y284" t="str">
        <f>'Conjunto de Datos'!J285</f>
        <v>Cobrada</v>
      </c>
      <c r="Z284" t="str">
        <f>INDEX(sala!H:H, MATCH(Tabla8[[#This Row],[Numero de Orden]], sala!K:K, 0))</f>
        <v>Tarjeta de crédito</v>
      </c>
      <c r="AA284" s="3">
        <f>'Conjunto de Datos'!D285</f>
        <v>45019</v>
      </c>
      <c r="AB284" t="str">
        <f>INDEX(sala!L:L, MATCH(Tabla8[[#This Row],[Numero de Orden]], sala!K:K, 0))</f>
        <v>Brasil</v>
      </c>
      <c r="AC284" t="str">
        <f>'Conjunto de Datos'!N285</f>
        <v>Mesero_5</v>
      </c>
      <c r="AD284">
        <f>Tabla8[[#This Row],[Propina]]+Tabla8[[#This Row],[Precio Cena]]</f>
        <v>4385</v>
      </c>
      <c r="AE284" s="45">
        <f t="shared" si="11"/>
        <v>78</v>
      </c>
    </row>
    <row r="285" spans="1:31" x14ac:dyDescent="0.3">
      <c r="S285" t="str">
        <f>'Conjunto de Datos'!BB286</f>
        <v>345</v>
      </c>
      <c r="T285">
        <f>'Conjunto de Datos'!BF286</f>
        <v>284</v>
      </c>
      <c r="U285" s="7">
        <f>sala!I285</f>
        <v>2999</v>
      </c>
      <c r="V285" cm="1">
        <f t="array" ref="V285">SUM(IF(Cocina!A:A=Tabla8[[#This Row],[Numero de Orden]],Cocina!F:F*Cocina!G:G,0))</f>
        <v>158</v>
      </c>
      <c r="W285">
        <f>IF(Tabla8[[#This Row],[Cobrado]]="Cobrada",Tabla8[[#This Row],[Propina]]+Tabla8[[#This Row],[Precio Cena]],0)</f>
        <v>0</v>
      </c>
      <c r="X285" t="str">
        <f>INDEX(sala!G:G, MATCH(Tabla8[[#This Row],[Numero de Orden]], sala!K:K, 0))</f>
        <v>Almuerzo</v>
      </c>
      <c r="Y285" t="str">
        <f>'Conjunto de Datos'!J286</f>
        <v>No Cobrada</v>
      </c>
      <c r="Z285" t="str">
        <f>INDEX(sala!H:H, MATCH(Tabla8[[#This Row],[Numero de Orden]], sala!K:K, 0))</f>
        <v>Tarjeta de débito</v>
      </c>
      <c r="AA285" s="3">
        <f>'Conjunto de Datos'!D286</f>
        <v>45019</v>
      </c>
      <c r="AB285" t="str">
        <f>INDEX(sala!L:L, MATCH(Tabla8[[#This Row],[Numero de Orden]], sala!K:K, 0))</f>
        <v>Perú</v>
      </c>
      <c r="AC285" t="str">
        <f>'Conjunto de Datos'!N286</f>
        <v>Mesero_5</v>
      </c>
      <c r="AD285">
        <f>Tabla8[[#This Row],[Propina]]+Tabla8[[#This Row],[Precio Cena]]</f>
        <v>3157</v>
      </c>
      <c r="AE285" s="45">
        <f t="shared" si="11"/>
        <v>0</v>
      </c>
    </row>
    <row r="286" spans="1:31" x14ac:dyDescent="0.3">
      <c r="S286" s="15" t="str">
        <f>'Conjunto de Datos'!BB287</f>
        <v>277</v>
      </c>
      <c r="T286" s="15">
        <f>'Conjunto de Datos'!BF287</f>
        <v>285</v>
      </c>
      <c r="U286" s="6">
        <f>sala!I286</f>
        <v>1094</v>
      </c>
      <c r="V286" cm="1">
        <f t="array" ref="V286">SUM(IF(Cocina!A:A=Tabla8[[#This Row],[Numero de Orden]],Cocina!F:F*Cocina!G:G,0))</f>
        <v>42</v>
      </c>
      <c r="W286">
        <f>IF(Tabla8[[#This Row],[Cobrado]]="Cobrada",Tabla8[[#This Row],[Propina]]+Tabla8[[#This Row],[Precio Cena]],0)</f>
        <v>1136</v>
      </c>
      <c r="X286" t="str">
        <f>INDEX(sala!G:G, MATCH(Tabla8[[#This Row],[Numero de Orden]], sala!K:K, 0))</f>
        <v>Almuerzo</v>
      </c>
      <c r="Y286" t="str">
        <f>'Conjunto de Datos'!J287</f>
        <v>Cobrada</v>
      </c>
      <c r="Z286" t="str">
        <f>INDEX(sala!H:H, MATCH(Tabla8[[#This Row],[Numero de Orden]], sala!K:K, 0))</f>
        <v>Tarjeta de débito</v>
      </c>
      <c r="AA286" s="3">
        <f>'Conjunto de Datos'!D287</f>
        <v>45019</v>
      </c>
      <c r="AB286" t="str">
        <f>INDEX(sala!L:L, MATCH(Tabla8[[#This Row],[Numero de Orden]], sala!K:K, 0))</f>
        <v>España</v>
      </c>
      <c r="AC286" t="str">
        <f>'Conjunto de Datos'!N287</f>
        <v>Mesero_4</v>
      </c>
      <c r="AD286">
        <f>Tabla8[[#This Row],[Propina]]+Tabla8[[#This Row],[Precio Cena]]</f>
        <v>1136</v>
      </c>
      <c r="AE286" s="45">
        <f t="shared" si="11"/>
        <v>42</v>
      </c>
    </row>
    <row r="287" spans="1:31" x14ac:dyDescent="0.3">
      <c r="S287" t="str">
        <f>'Conjunto de Datos'!BB288</f>
        <v>244</v>
      </c>
      <c r="T287">
        <f>'Conjunto de Datos'!BF288</f>
        <v>286</v>
      </c>
      <c r="U287" s="7">
        <f>sala!I287</f>
        <v>4196</v>
      </c>
      <c r="V287" cm="1">
        <f t="array" ref="V287">SUM(IF(Cocina!A:A=Tabla8[[#This Row],[Numero de Orden]],Cocina!F:F*Cocina!G:G,0))</f>
        <v>68</v>
      </c>
      <c r="W287">
        <f>IF(Tabla8[[#This Row],[Cobrado]]="Cobrada",Tabla8[[#This Row],[Propina]]+Tabla8[[#This Row],[Precio Cena]],0)</f>
        <v>4264</v>
      </c>
      <c r="X287" t="str">
        <f>INDEX(sala!G:G, MATCH(Tabla8[[#This Row],[Numero de Orden]], sala!K:K, 0))</f>
        <v>Almuerzo</v>
      </c>
      <c r="Y287" t="str">
        <f>'Conjunto de Datos'!J288</f>
        <v>Cobrada</v>
      </c>
      <c r="Z287" t="str">
        <f>INDEX(sala!H:H, MATCH(Tabla8[[#This Row],[Numero de Orden]], sala!K:K, 0))</f>
        <v>Tarjeta de crédito</v>
      </c>
      <c r="AA287" s="3">
        <f>'Conjunto de Datos'!D288</f>
        <v>45019</v>
      </c>
      <c r="AB287" t="str">
        <f>INDEX(sala!L:L, MATCH(Tabla8[[#This Row],[Numero de Orden]], sala!K:K, 0))</f>
        <v>Argentina</v>
      </c>
      <c r="AC287" t="str">
        <f>'Conjunto de Datos'!N288</f>
        <v>Mesero_3</v>
      </c>
      <c r="AD287">
        <f>Tabla8[[#This Row],[Propina]]+Tabla8[[#This Row],[Precio Cena]]</f>
        <v>4264</v>
      </c>
      <c r="AE287" s="45">
        <f t="shared" si="11"/>
        <v>68</v>
      </c>
    </row>
    <row r="288" spans="1:31" x14ac:dyDescent="0.3">
      <c r="S288" s="15" t="str">
        <f>'Conjunto de Datos'!BB289</f>
        <v>286</v>
      </c>
      <c r="T288" s="15">
        <f>'Conjunto de Datos'!BF289</f>
        <v>287</v>
      </c>
      <c r="U288" s="6">
        <f>sala!I288</f>
        <v>3167</v>
      </c>
      <c r="V288" cm="1">
        <f t="array" ref="V288">SUM(IF(Cocina!A:A=Tabla8[[#This Row],[Numero de Orden]],Cocina!F:F*Cocina!G:G,0))</f>
        <v>202</v>
      </c>
      <c r="W288">
        <f>IF(Tabla8[[#This Row],[Cobrado]]="Cobrada",Tabla8[[#This Row],[Propina]]+Tabla8[[#This Row],[Precio Cena]],0)</f>
        <v>0</v>
      </c>
      <c r="X288" t="str">
        <f>INDEX(sala!G:G, MATCH(Tabla8[[#This Row],[Numero de Orden]], sala!K:K, 0))</f>
        <v>Almuerzo</v>
      </c>
      <c r="Y288" t="str">
        <f>'Conjunto de Datos'!J289</f>
        <v>No Cobrada</v>
      </c>
      <c r="Z288" t="str">
        <f>INDEX(sala!H:H, MATCH(Tabla8[[#This Row],[Numero de Orden]], sala!K:K, 0))</f>
        <v>Tarjeta de débito</v>
      </c>
      <c r="AA288" s="3">
        <f>'Conjunto de Datos'!D289</f>
        <v>45019</v>
      </c>
      <c r="AB288" t="str">
        <f>INDEX(sala!L:L, MATCH(Tabla8[[#This Row],[Numero de Orden]], sala!K:K, 0))</f>
        <v>Colombia</v>
      </c>
      <c r="AC288" t="str">
        <f>'Conjunto de Datos'!N289</f>
        <v>Mesero_5</v>
      </c>
      <c r="AD288">
        <f>Tabla8[[#This Row],[Propina]]+Tabla8[[#This Row],[Precio Cena]]</f>
        <v>3369</v>
      </c>
      <c r="AE288" s="45">
        <f t="shared" si="11"/>
        <v>0</v>
      </c>
    </row>
    <row r="289" spans="19:31" x14ac:dyDescent="0.3">
      <c r="S289" t="str">
        <f>'Conjunto de Datos'!BB290</f>
        <v>981</v>
      </c>
      <c r="T289">
        <f>'Conjunto de Datos'!BF290</f>
        <v>288</v>
      </c>
      <c r="U289" s="7">
        <f>sala!I289</f>
        <v>133</v>
      </c>
      <c r="V289" cm="1">
        <f t="array" ref="V289">SUM(IF(Cocina!A:A=Tabla8[[#This Row],[Numero de Orden]],Cocina!F:F*Cocina!G:G,0))</f>
        <v>86</v>
      </c>
      <c r="W289">
        <f>IF(Tabla8[[#This Row],[Cobrado]]="Cobrada",Tabla8[[#This Row],[Propina]]+Tabla8[[#This Row],[Precio Cena]],0)</f>
        <v>219</v>
      </c>
      <c r="X289" t="str">
        <f>INDEX(sala!G:G, MATCH(Tabla8[[#This Row],[Numero de Orden]], sala!K:K, 0))</f>
        <v>Cena</v>
      </c>
      <c r="Y289" t="str">
        <f>'Conjunto de Datos'!J290</f>
        <v>Cobrada</v>
      </c>
      <c r="Z289" t="str">
        <f>INDEX(sala!H:H, MATCH(Tabla8[[#This Row],[Numero de Orden]], sala!K:K, 0))</f>
        <v>Tarjeta de crédito</v>
      </c>
      <c r="AA289" s="3">
        <f>'Conjunto de Datos'!D290</f>
        <v>45019</v>
      </c>
      <c r="AB289" t="str">
        <f>INDEX(sala!L:L, MATCH(Tabla8[[#This Row],[Numero de Orden]], sala!K:K, 0))</f>
        <v>Uruguay</v>
      </c>
      <c r="AC289" t="str">
        <f>'Conjunto de Datos'!N290</f>
        <v>Mesero_5</v>
      </c>
      <c r="AD289">
        <f>Tabla8[[#This Row],[Propina]]+Tabla8[[#This Row],[Precio Cena]]</f>
        <v>219</v>
      </c>
      <c r="AE289" s="45">
        <f t="shared" si="11"/>
        <v>86</v>
      </c>
    </row>
    <row r="290" spans="19:31" x14ac:dyDescent="0.3">
      <c r="S290" s="15" t="str">
        <f>'Conjunto de Datos'!BB291</f>
        <v>24</v>
      </c>
      <c r="T290" s="15">
        <f>'Conjunto de Datos'!BF291</f>
        <v>289</v>
      </c>
      <c r="U290" s="6">
        <f>sala!I290</f>
        <v>2656</v>
      </c>
      <c r="V290" cm="1">
        <f t="array" ref="V290">SUM(IF(Cocina!A:A=Tabla8[[#This Row],[Numero de Orden]],Cocina!F:F*Cocina!G:G,0))</f>
        <v>138</v>
      </c>
      <c r="W290">
        <f>IF(Tabla8[[#This Row],[Cobrado]]="Cobrada",Tabla8[[#This Row],[Propina]]+Tabla8[[#This Row],[Precio Cena]],0)</f>
        <v>2794</v>
      </c>
      <c r="X290" t="str">
        <f>INDEX(sala!G:G, MATCH(Tabla8[[#This Row],[Numero de Orden]], sala!K:K, 0))</f>
        <v>Almuerzo</v>
      </c>
      <c r="Y290" t="str">
        <f>'Conjunto de Datos'!J291</f>
        <v>Cobrada</v>
      </c>
      <c r="Z290" t="str">
        <f>INDEX(sala!H:H, MATCH(Tabla8[[#This Row],[Numero de Orden]], sala!K:K, 0))</f>
        <v>Tarjeta de débito</v>
      </c>
      <c r="AA290" s="3">
        <f>'Conjunto de Datos'!D291</f>
        <v>45019</v>
      </c>
      <c r="AB290" t="str">
        <f>INDEX(sala!L:L, MATCH(Tabla8[[#This Row],[Numero de Orden]], sala!K:K, 0))</f>
        <v>España</v>
      </c>
      <c r="AC290" t="str">
        <f>'Conjunto de Datos'!N291</f>
        <v>Mesero_5</v>
      </c>
      <c r="AD290">
        <f>Tabla8[[#This Row],[Propina]]+Tabla8[[#This Row],[Precio Cena]]</f>
        <v>2794</v>
      </c>
      <c r="AE290" s="45">
        <f t="shared" si="11"/>
        <v>138</v>
      </c>
    </row>
    <row r="291" spans="19:31" x14ac:dyDescent="0.3">
      <c r="S291" t="str">
        <f>'Conjunto de Datos'!BB292</f>
        <v>26</v>
      </c>
      <c r="T291">
        <f>'Conjunto de Datos'!BF292</f>
        <v>290</v>
      </c>
      <c r="U291" s="7">
        <f>sala!I291</f>
        <v>1459</v>
      </c>
      <c r="V291" cm="1">
        <f t="array" ref="V291">SUM(IF(Cocina!A:A=Tabla8[[#This Row],[Numero de Orden]],Cocina!F:F*Cocina!G:G,0))</f>
        <v>40</v>
      </c>
      <c r="W291">
        <f>IF(Tabla8[[#This Row],[Cobrado]]="Cobrada",Tabla8[[#This Row],[Propina]]+Tabla8[[#This Row],[Precio Cena]],0)</f>
        <v>1499</v>
      </c>
      <c r="X291" t="str">
        <f>INDEX(sala!G:G, MATCH(Tabla8[[#This Row],[Numero de Orden]], sala!K:K, 0))</f>
        <v>Almuerzo</v>
      </c>
      <c r="Y291" t="str">
        <f>'Conjunto de Datos'!J292</f>
        <v>Cobrada</v>
      </c>
      <c r="Z291" t="str">
        <f>INDEX(sala!H:H, MATCH(Tabla8[[#This Row],[Numero de Orden]], sala!K:K, 0))</f>
        <v>Tarjeta de crédito</v>
      </c>
      <c r="AA291" s="3">
        <f>'Conjunto de Datos'!D292</f>
        <v>45019</v>
      </c>
      <c r="AB291" t="str">
        <f>INDEX(sala!L:L, MATCH(Tabla8[[#This Row],[Numero de Orden]], sala!K:K, 0))</f>
        <v>España</v>
      </c>
      <c r="AC291" t="str">
        <f>'Conjunto de Datos'!N292</f>
        <v>Mesero_3</v>
      </c>
      <c r="AD291">
        <f>Tabla8[[#This Row],[Propina]]+Tabla8[[#This Row],[Precio Cena]]</f>
        <v>1499</v>
      </c>
      <c r="AE291" s="45">
        <f t="shared" si="11"/>
        <v>40</v>
      </c>
    </row>
    <row r="292" spans="19:31" x14ac:dyDescent="0.3">
      <c r="S292" s="15" t="str">
        <f>'Conjunto de Datos'!BB293</f>
        <v>463</v>
      </c>
      <c r="T292" s="15">
        <f>'Conjunto de Datos'!BF293</f>
        <v>291</v>
      </c>
      <c r="U292" s="6">
        <f>sala!I292</f>
        <v>1544</v>
      </c>
      <c r="V292" cm="1">
        <f t="array" ref="V292">SUM(IF(Cocina!A:A=Tabla8[[#This Row],[Numero de Orden]],Cocina!F:F*Cocina!G:G,0))</f>
        <v>260</v>
      </c>
      <c r="W292">
        <f>IF(Tabla8[[#This Row],[Cobrado]]="Cobrada",Tabla8[[#This Row],[Propina]]+Tabla8[[#This Row],[Precio Cena]],0)</f>
        <v>1804</v>
      </c>
      <c r="X292" t="str">
        <f>INDEX(sala!G:G, MATCH(Tabla8[[#This Row],[Numero de Orden]], sala!K:K, 0))</f>
        <v>Desayuno</v>
      </c>
      <c r="Y292" t="str">
        <f>'Conjunto de Datos'!J293</f>
        <v>Cobrada</v>
      </c>
      <c r="Z292" t="str">
        <f>INDEX(sala!H:H, MATCH(Tabla8[[#This Row],[Numero de Orden]], sala!K:K, 0))</f>
        <v>Efectivo</v>
      </c>
      <c r="AA292" s="3">
        <f>'Conjunto de Datos'!D293</f>
        <v>45019</v>
      </c>
      <c r="AB292" t="str">
        <f>INDEX(sala!L:L, MATCH(Tabla8[[#This Row],[Numero de Orden]], sala!K:K, 0))</f>
        <v>Bolivia</v>
      </c>
      <c r="AC292" t="str">
        <f>'Conjunto de Datos'!N293</f>
        <v>Mesero_2</v>
      </c>
      <c r="AD292">
        <f>Tabla8[[#This Row],[Propina]]+Tabla8[[#This Row],[Precio Cena]]</f>
        <v>1804</v>
      </c>
      <c r="AE292" s="45">
        <f t="shared" si="11"/>
        <v>260</v>
      </c>
    </row>
    <row r="293" spans="19:31" x14ac:dyDescent="0.3">
      <c r="S293" t="str">
        <f>'Conjunto de Datos'!BB294</f>
        <v>746</v>
      </c>
      <c r="T293">
        <f>'Conjunto de Datos'!BF294</f>
        <v>292</v>
      </c>
      <c r="U293" s="7">
        <f>sala!I293</f>
        <v>2972</v>
      </c>
      <c r="V293" cm="1">
        <f t="array" ref="V293">SUM(IF(Cocina!A:A=Tabla8[[#This Row],[Numero de Orden]],Cocina!F:F*Cocina!G:G,0))</f>
        <v>84</v>
      </c>
      <c r="W293">
        <f>IF(Tabla8[[#This Row],[Cobrado]]="Cobrada",Tabla8[[#This Row],[Propina]]+Tabla8[[#This Row],[Precio Cena]],0)</f>
        <v>3056</v>
      </c>
      <c r="X293" t="str">
        <f>INDEX(sala!G:G, MATCH(Tabla8[[#This Row],[Numero de Orden]], sala!K:K, 0))</f>
        <v>Cena</v>
      </c>
      <c r="Y293" t="str">
        <f>'Conjunto de Datos'!J294</f>
        <v>Cobrada</v>
      </c>
      <c r="Z293" t="str">
        <f>INDEX(sala!H:H, MATCH(Tabla8[[#This Row],[Numero de Orden]], sala!K:K, 0))</f>
        <v>Tarjeta de débito</v>
      </c>
      <c r="AA293" s="3">
        <f>'Conjunto de Datos'!D294</f>
        <v>45019</v>
      </c>
      <c r="AB293" t="str">
        <f>INDEX(sala!L:L, MATCH(Tabla8[[#This Row],[Numero de Orden]], sala!K:K, 0))</f>
        <v>Argentina</v>
      </c>
      <c r="AC293" t="str">
        <f>'Conjunto de Datos'!N294</f>
        <v>Mesero_3</v>
      </c>
      <c r="AD293">
        <f>Tabla8[[#This Row],[Propina]]+Tabla8[[#This Row],[Precio Cena]]</f>
        <v>3056</v>
      </c>
      <c r="AE293" s="45">
        <f t="shared" si="11"/>
        <v>84</v>
      </c>
    </row>
    <row r="294" spans="19:31" x14ac:dyDescent="0.3">
      <c r="S294" s="15" t="str">
        <f>'Conjunto de Datos'!BB295</f>
        <v>409</v>
      </c>
      <c r="T294" s="15">
        <f>'Conjunto de Datos'!BF295</f>
        <v>293</v>
      </c>
      <c r="U294" s="6">
        <f>sala!I294</f>
        <v>3311</v>
      </c>
      <c r="V294" cm="1">
        <f t="array" ref="V294">SUM(IF(Cocina!A:A=Tabla8[[#This Row],[Numero de Orden]],Cocina!F:F*Cocina!G:G,0))</f>
        <v>216</v>
      </c>
      <c r="W294">
        <f>IF(Tabla8[[#This Row],[Cobrado]]="Cobrada",Tabla8[[#This Row],[Propina]]+Tabla8[[#This Row],[Precio Cena]],0)</f>
        <v>0</v>
      </c>
      <c r="X294" t="str">
        <f>INDEX(sala!G:G, MATCH(Tabla8[[#This Row],[Numero de Orden]], sala!K:K, 0))</f>
        <v>Almuerzo</v>
      </c>
      <c r="Y294" t="str">
        <f>'Conjunto de Datos'!J295</f>
        <v>No Cobrada</v>
      </c>
      <c r="Z294" t="str">
        <f>INDEX(sala!H:H, MATCH(Tabla8[[#This Row],[Numero de Orden]], sala!K:K, 0))</f>
        <v>Tarjeta de débito</v>
      </c>
      <c r="AA294" s="3">
        <f>'Conjunto de Datos'!D295</f>
        <v>45019</v>
      </c>
      <c r="AB294" t="str">
        <f>INDEX(sala!L:L, MATCH(Tabla8[[#This Row],[Numero de Orden]], sala!K:K, 0))</f>
        <v>Argentina</v>
      </c>
      <c r="AC294" t="str">
        <f>'Conjunto de Datos'!N295</f>
        <v>Mesero_3</v>
      </c>
      <c r="AD294">
        <f>Tabla8[[#This Row],[Propina]]+Tabla8[[#This Row],[Precio Cena]]</f>
        <v>3527</v>
      </c>
      <c r="AE294" s="45">
        <f t="shared" si="11"/>
        <v>0</v>
      </c>
    </row>
    <row r="295" spans="19:31" x14ac:dyDescent="0.3">
      <c r="S295" t="str">
        <f>'Conjunto de Datos'!BB296</f>
        <v>339</v>
      </c>
      <c r="T295">
        <f>'Conjunto de Datos'!BF296</f>
        <v>294</v>
      </c>
      <c r="U295" s="7">
        <f>sala!I295</f>
        <v>2036</v>
      </c>
      <c r="V295" cm="1">
        <f t="array" ref="V295">SUM(IF(Cocina!A:A=Tabla8[[#This Row],[Numero de Orden]],Cocina!F:F*Cocina!G:G,0))</f>
        <v>326</v>
      </c>
      <c r="W295">
        <f>IF(Tabla8[[#This Row],[Cobrado]]="Cobrada",Tabla8[[#This Row],[Propina]]+Tabla8[[#This Row],[Precio Cena]],0)</f>
        <v>2362</v>
      </c>
      <c r="X295" t="str">
        <f>INDEX(sala!G:G, MATCH(Tabla8[[#This Row],[Numero de Orden]], sala!K:K, 0))</f>
        <v>Desayuno</v>
      </c>
      <c r="Y295" t="str">
        <f>'Conjunto de Datos'!J296</f>
        <v>Cobrada</v>
      </c>
      <c r="Z295" t="str">
        <f>INDEX(sala!H:H, MATCH(Tabla8[[#This Row],[Numero de Orden]], sala!K:K, 0))</f>
        <v>Tarjeta de crédito</v>
      </c>
      <c r="AA295" s="3">
        <f>'Conjunto de Datos'!D296</f>
        <v>45019</v>
      </c>
      <c r="AB295" t="str">
        <f>INDEX(sala!L:L, MATCH(Tabla8[[#This Row],[Numero de Orden]], sala!K:K, 0))</f>
        <v>Colombia</v>
      </c>
      <c r="AC295" t="str">
        <f>'Conjunto de Datos'!N296</f>
        <v>Mesero_2</v>
      </c>
      <c r="AD295">
        <f>Tabla8[[#This Row],[Propina]]+Tabla8[[#This Row],[Precio Cena]]</f>
        <v>2362</v>
      </c>
      <c r="AE295" s="45">
        <f t="shared" si="11"/>
        <v>326</v>
      </c>
    </row>
    <row r="296" spans="19:31" x14ac:dyDescent="0.3">
      <c r="S296" s="15" t="str">
        <f>'Conjunto de Datos'!BB297</f>
        <v>729</v>
      </c>
      <c r="T296" s="15">
        <f>'Conjunto de Datos'!BF297</f>
        <v>295</v>
      </c>
      <c r="U296" s="6">
        <f>sala!I296</f>
        <v>4642</v>
      </c>
      <c r="V296" cm="1">
        <f t="array" ref="V296">SUM(IF(Cocina!A:A=Tabla8[[#This Row],[Numero de Orden]],Cocina!F:F*Cocina!G:G,0))</f>
        <v>247</v>
      </c>
      <c r="W296">
        <f>IF(Tabla8[[#This Row],[Cobrado]]="Cobrada",Tabla8[[#This Row],[Propina]]+Tabla8[[#This Row],[Precio Cena]],0)</f>
        <v>0</v>
      </c>
      <c r="X296" t="str">
        <f>INDEX(sala!G:G, MATCH(Tabla8[[#This Row],[Numero de Orden]], sala!K:K, 0))</f>
        <v>Almuerzo</v>
      </c>
      <c r="Y296" t="str">
        <f>'Conjunto de Datos'!J297</f>
        <v>No Cobrada</v>
      </c>
      <c r="Z296" t="str">
        <f>INDEX(sala!H:H, MATCH(Tabla8[[#This Row],[Numero de Orden]], sala!K:K, 0))</f>
        <v>Tarjeta de crédito</v>
      </c>
      <c r="AA296" s="3">
        <f>'Conjunto de Datos'!D297</f>
        <v>45019</v>
      </c>
      <c r="AB296" t="str">
        <f>INDEX(sala!L:L, MATCH(Tabla8[[#This Row],[Numero de Orden]], sala!K:K, 0))</f>
        <v>Uruguay</v>
      </c>
      <c r="AC296" t="str">
        <f>'Conjunto de Datos'!N297</f>
        <v>Mesero_2</v>
      </c>
      <c r="AD296">
        <f>Tabla8[[#This Row],[Propina]]+Tabla8[[#This Row],[Precio Cena]]</f>
        <v>4889</v>
      </c>
      <c r="AE296" s="45">
        <f t="shared" si="11"/>
        <v>0</v>
      </c>
    </row>
    <row r="297" spans="19:31" x14ac:dyDescent="0.3">
      <c r="S297" t="str">
        <f>'Conjunto de Datos'!BB298</f>
        <v>565</v>
      </c>
      <c r="T297">
        <f>'Conjunto de Datos'!BF298</f>
        <v>296</v>
      </c>
      <c r="U297" s="7">
        <f>sala!I297</f>
        <v>2907</v>
      </c>
      <c r="V297" cm="1">
        <f t="array" ref="V297">SUM(IF(Cocina!A:A=Tabla8[[#This Row],[Numero de Orden]],Cocina!F:F*Cocina!G:G,0))</f>
        <v>59</v>
      </c>
      <c r="W297">
        <f>IF(Tabla8[[#This Row],[Cobrado]]="Cobrada",Tabla8[[#This Row],[Propina]]+Tabla8[[#This Row],[Precio Cena]],0)</f>
        <v>2966</v>
      </c>
      <c r="X297" t="str">
        <f>INDEX(sala!G:G, MATCH(Tabla8[[#This Row],[Numero de Orden]], sala!K:K, 0))</f>
        <v>Cena</v>
      </c>
      <c r="Y297" t="str">
        <f>'Conjunto de Datos'!J298</f>
        <v>Cobrada</v>
      </c>
      <c r="Z297" t="str">
        <f>INDEX(sala!H:H, MATCH(Tabla8[[#This Row],[Numero de Orden]], sala!K:K, 0))</f>
        <v>Tarjeta de crédito</v>
      </c>
      <c r="AA297" s="3">
        <f>'Conjunto de Datos'!D298</f>
        <v>45019</v>
      </c>
      <c r="AB297" t="str">
        <f>INDEX(sala!L:L, MATCH(Tabla8[[#This Row],[Numero de Orden]], sala!K:K, 0))</f>
        <v>España</v>
      </c>
      <c r="AC297" t="str">
        <f>'Conjunto de Datos'!N298</f>
        <v>Mesero_2</v>
      </c>
      <c r="AD297">
        <f>Tabla8[[#This Row],[Propina]]+Tabla8[[#This Row],[Precio Cena]]</f>
        <v>2966</v>
      </c>
      <c r="AE297" s="45">
        <f t="shared" si="11"/>
        <v>59</v>
      </c>
    </row>
    <row r="298" spans="19:31" x14ac:dyDescent="0.3">
      <c r="S298" s="15" t="str">
        <f>'Conjunto de Datos'!BB299</f>
        <v>873</v>
      </c>
      <c r="T298" s="15">
        <f>'Conjunto de Datos'!BF299</f>
        <v>297</v>
      </c>
      <c r="U298" s="6">
        <f>sala!I298</f>
        <v>4346</v>
      </c>
      <c r="V298" cm="1">
        <f t="array" ref="V298">SUM(IF(Cocina!A:A=Tabla8[[#This Row],[Numero de Orden]],Cocina!F:F*Cocina!G:G,0))</f>
        <v>175</v>
      </c>
      <c r="W298">
        <f>IF(Tabla8[[#This Row],[Cobrado]]="Cobrada",Tabla8[[#This Row],[Propina]]+Tabla8[[#This Row],[Precio Cena]],0)</f>
        <v>4521</v>
      </c>
      <c r="X298" t="str">
        <f>INDEX(sala!G:G, MATCH(Tabla8[[#This Row],[Numero de Orden]], sala!K:K, 0))</f>
        <v>Almuerzo</v>
      </c>
      <c r="Y298" t="str">
        <f>'Conjunto de Datos'!J299</f>
        <v>Cobrada</v>
      </c>
      <c r="Z298" t="str">
        <f>INDEX(sala!H:H, MATCH(Tabla8[[#This Row],[Numero de Orden]], sala!K:K, 0))</f>
        <v>Tarjeta de crédito</v>
      </c>
      <c r="AA298" s="3">
        <f>'Conjunto de Datos'!D299</f>
        <v>45019</v>
      </c>
      <c r="AB298" t="str">
        <f>INDEX(sala!L:L, MATCH(Tabla8[[#This Row],[Numero de Orden]], sala!K:K, 0))</f>
        <v>España</v>
      </c>
      <c r="AC298" t="str">
        <f>'Conjunto de Datos'!N299</f>
        <v>Mesero_1</v>
      </c>
      <c r="AD298">
        <f>Tabla8[[#This Row],[Propina]]+Tabla8[[#This Row],[Precio Cena]]</f>
        <v>4521</v>
      </c>
      <c r="AE298" s="45">
        <f t="shared" si="11"/>
        <v>175</v>
      </c>
    </row>
    <row r="299" spans="19:31" x14ac:dyDescent="0.3">
      <c r="S299" t="str">
        <f>'Conjunto de Datos'!BB300</f>
        <v>195</v>
      </c>
      <c r="T299">
        <f>'Conjunto de Datos'!BF300</f>
        <v>298</v>
      </c>
      <c r="U299" s="7">
        <f>sala!I299</f>
        <v>2324</v>
      </c>
      <c r="V299" cm="1">
        <f t="array" ref="V299">SUM(IF(Cocina!A:A=Tabla8[[#This Row],[Numero de Orden]],Cocina!F:F*Cocina!G:G,0))</f>
        <v>255</v>
      </c>
      <c r="W299">
        <f>IF(Tabla8[[#This Row],[Cobrado]]="Cobrada",Tabla8[[#This Row],[Propina]]+Tabla8[[#This Row],[Precio Cena]],0)</f>
        <v>0</v>
      </c>
      <c r="X299" t="str">
        <f>INDEX(sala!G:G, MATCH(Tabla8[[#This Row],[Numero de Orden]], sala!K:K, 0))</f>
        <v>Desayuno</v>
      </c>
      <c r="Y299" t="str">
        <f>'Conjunto de Datos'!J300</f>
        <v>No Cobrada</v>
      </c>
      <c r="Z299" t="str">
        <f>INDEX(sala!H:H, MATCH(Tabla8[[#This Row],[Numero de Orden]], sala!K:K, 0))</f>
        <v>Tarjeta de crédito</v>
      </c>
      <c r="AA299" s="3">
        <f>'Conjunto de Datos'!D300</f>
        <v>45019</v>
      </c>
      <c r="AB299" t="str">
        <f>INDEX(sala!L:L, MATCH(Tabla8[[#This Row],[Numero de Orden]], sala!K:K, 0))</f>
        <v>Bolivia</v>
      </c>
      <c r="AC299" t="str">
        <f>'Conjunto de Datos'!N300</f>
        <v>Mesero_5</v>
      </c>
      <c r="AD299">
        <f>Tabla8[[#This Row],[Propina]]+Tabla8[[#This Row],[Precio Cena]]</f>
        <v>2579</v>
      </c>
      <c r="AE299" s="45">
        <f t="shared" si="11"/>
        <v>0</v>
      </c>
    </row>
    <row r="300" spans="19:31" x14ac:dyDescent="0.3">
      <c r="S300" s="15" t="str">
        <f>'Conjunto de Datos'!BB301</f>
        <v>211</v>
      </c>
      <c r="T300" s="15">
        <f>'Conjunto de Datos'!BF301</f>
        <v>299</v>
      </c>
      <c r="U300" s="6">
        <f>sala!I300</f>
        <v>2968</v>
      </c>
      <c r="V300" cm="1">
        <f t="array" ref="V300">SUM(IF(Cocina!A:A=Tabla8[[#This Row],[Numero de Orden]],Cocina!F:F*Cocina!G:G,0))</f>
        <v>182</v>
      </c>
      <c r="W300">
        <f>IF(Tabla8[[#This Row],[Cobrado]]="Cobrada",Tabla8[[#This Row],[Propina]]+Tabla8[[#This Row],[Precio Cena]],0)</f>
        <v>0</v>
      </c>
      <c r="X300" t="str">
        <f>INDEX(sala!G:G, MATCH(Tabla8[[#This Row],[Numero de Orden]], sala!K:K, 0))</f>
        <v>Cena</v>
      </c>
      <c r="Y300" t="str">
        <f>'Conjunto de Datos'!J301</f>
        <v>No Cobrada</v>
      </c>
      <c r="Z300" t="str">
        <f>INDEX(sala!H:H, MATCH(Tabla8[[#This Row],[Numero de Orden]], sala!K:K, 0))</f>
        <v>Efectivo</v>
      </c>
      <c r="AA300" s="3">
        <f>'Conjunto de Datos'!D301</f>
        <v>45019</v>
      </c>
      <c r="AB300" t="str">
        <f>INDEX(sala!L:L, MATCH(Tabla8[[#This Row],[Numero de Orden]], sala!K:K, 0))</f>
        <v>Uruguay</v>
      </c>
      <c r="AC300" t="str">
        <f>'Conjunto de Datos'!N301</f>
        <v>Mesero_5</v>
      </c>
      <c r="AD300">
        <f>Tabla8[[#This Row],[Propina]]+Tabla8[[#This Row],[Precio Cena]]</f>
        <v>3150</v>
      </c>
      <c r="AE300" s="45">
        <f t="shared" si="11"/>
        <v>0</v>
      </c>
    </row>
    <row r="301" spans="19:31" x14ac:dyDescent="0.3">
      <c r="S301" t="str">
        <f>'Conjunto de Datos'!BB302</f>
        <v>516</v>
      </c>
      <c r="T301">
        <f>'Conjunto de Datos'!BF302</f>
        <v>300</v>
      </c>
      <c r="U301" s="7">
        <f>sala!I301</f>
        <v>3838</v>
      </c>
      <c r="V301" cm="1">
        <f t="array" ref="V301">SUM(IF(Cocina!A:A=Tabla8[[#This Row],[Numero de Orden]],Cocina!F:F*Cocina!G:G,0))</f>
        <v>290</v>
      </c>
      <c r="W301">
        <f>IF(Tabla8[[#This Row],[Cobrado]]="Cobrada",Tabla8[[#This Row],[Propina]]+Tabla8[[#This Row],[Precio Cena]],0)</f>
        <v>4128</v>
      </c>
      <c r="X301" t="str">
        <f>INDEX(sala!G:G, MATCH(Tabla8[[#This Row],[Numero de Orden]], sala!K:K, 0))</f>
        <v>Desayuno</v>
      </c>
      <c r="Y301" t="str">
        <f>'Conjunto de Datos'!J302</f>
        <v>Cobrada</v>
      </c>
      <c r="Z301" t="str">
        <f>INDEX(sala!H:H, MATCH(Tabla8[[#This Row],[Numero de Orden]], sala!K:K, 0))</f>
        <v>Tarjeta de crédito</v>
      </c>
      <c r="AA301" s="3">
        <f>'Conjunto de Datos'!D302</f>
        <v>45019</v>
      </c>
      <c r="AB301" t="str">
        <f>INDEX(sala!L:L, MATCH(Tabla8[[#This Row],[Numero de Orden]], sala!K:K, 0))</f>
        <v>Paraguay</v>
      </c>
      <c r="AC301" t="str">
        <f>'Conjunto de Datos'!N302</f>
        <v>Mesero_2</v>
      </c>
      <c r="AD301">
        <f>Tabla8[[#This Row],[Propina]]+Tabla8[[#This Row],[Precio Cena]]</f>
        <v>4128</v>
      </c>
      <c r="AE301" s="45">
        <f t="shared" si="11"/>
        <v>290</v>
      </c>
    </row>
    <row r="302" spans="19:31" x14ac:dyDescent="0.3">
      <c r="S302" s="15" t="str">
        <f>'Conjunto de Datos'!BB303</f>
        <v>385</v>
      </c>
      <c r="T302" s="15">
        <f>'Conjunto de Datos'!BF303</f>
        <v>301</v>
      </c>
      <c r="U302" s="6">
        <f>sala!I302</f>
        <v>1652</v>
      </c>
      <c r="V302" cm="1">
        <f t="array" ref="V302">SUM(IF(Cocina!A:A=Tabla8[[#This Row],[Numero de Orden]],Cocina!F:F*Cocina!G:G,0))</f>
        <v>223</v>
      </c>
      <c r="W302">
        <f>IF(Tabla8[[#This Row],[Cobrado]]="Cobrada",Tabla8[[#This Row],[Propina]]+Tabla8[[#This Row],[Precio Cena]],0)</f>
        <v>0</v>
      </c>
      <c r="X302" t="str">
        <f>INDEX(sala!G:G, MATCH(Tabla8[[#This Row],[Numero de Orden]], sala!K:K, 0))</f>
        <v>Almuerzo</v>
      </c>
      <c r="Y302" t="str">
        <f>'Conjunto de Datos'!J303</f>
        <v>No Cobrada</v>
      </c>
      <c r="Z302" t="str">
        <f>INDEX(sala!H:H, MATCH(Tabla8[[#This Row],[Numero de Orden]], sala!K:K, 0))</f>
        <v>Tarjeta de crédito</v>
      </c>
      <c r="AA302" s="3">
        <f>'Conjunto de Datos'!D303</f>
        <v>45019</v>
      </c>
      <c r="AB302" t="str">
        <f>INDEX(sala!L:L, MATCH(Tabla8[[#This Row],[Numero de Orden]], sala!K:K, 0))</f>
        <v>Uruguay</v>
      </c>
      <c r="AC302" t="str">
        <f>'Conjunto de Datos'!N303</f>
        <v>Mesero_5</v>
      </c>
      <c r="AD302">
        <f>Tabla8[[#This Row],[Propina]]+Tabla8[[#This Row],[Precio Cena]]</f>
        <v>1875</v>
      </c>
      <c r="AE302" s="45">
        <f t="shared" si="11"/>
        <v>0</v>
      </c>
    </row>
    <row r="303" spans="19:31" x14ac:dyDescent="0.3">
      <c r="S303" t="str">
        <f>'Conjunto de Datos'!BB304</f>
        <v>929</v>
      </c>
      <c r="T303">
        <f>'Conjunto de Datos'!BF304</f>
        <v>302</v>
      </c>
      <c r="U303" s="7">
        <f>sala!I303</f>
        <v>3989</v>
      </c>
      <c r="V303" cm="1">
        <f t="array" ref="V303">SUM(IF(Cocina!A:A=Tabla8[[#This Row],[Numero de Orden]],Cocina!F:F*Cocina!G:G,0))</f>
        <v>96</v>
      </c>
      <c r="W303">
        <f>IF(Tabla8[[#This Row],[Cobrado]]="Cobrada",Tabla8[[#This Row],[Propina]]+Tabla8[[#This Row],[Precio Cena]],0)</f>
        <v>4085</v>
      </c>
      <c r="X303" t="str">
        <f>INDEX(sala!G:G, MATCH(Tabla8[[#This Row],[Numero de Orden]], sala!K:K, 0))</f>
        <v>Desayuno</v>
      </c>
      <c r="Y303" t="str">
        <f>'Conjunto de Datos'!J304</f>
        <v>Cobrada</v>
      </c>
      <c r="Z303" t="str">
        <f>INDEX(sala!H:H, MATCH(Tabla8[[#This Row],[Numero de Orden]], sala!K:K, 0))</f>
        <v>Tarjeta de crédito</v>
      </c>
      <c r="AA303" s="3">
        <f>'Conjunto de Datos'!D304</f>
        <v>45019</v>
      </c>
      <c r="AB303" t="str">
        <f>INDEX(sala!L:L, MATCH(Tabla8[[#This Row],[Numero de Orden]], sala!K:K, 0))</f>
        <v>Colombia</v>
      </c>
      <c r="AC303" t="str">
        <f>'Conjunto de Datos'!N304</f>
        <v>Mesero_1</v>
      </c>
      <c r="AD303">
        <f>Tabla8[[#This Row],[Propina]]+Tabla8[[#This Row],[Precio Cena]]</f>
        <v>4085</v>
      </c>
      <c r="AE303" s="45">
        <f t="shared" si="11"/>
        <v>96</v>
      </c>
    </row>
    <row r="304" spans="19:31" x14ac:dyDescent="0.3">
      <c r="S304" s="15" t="str">
        <f>'Conjunto de Datos'!BB305</f>
        <v>986</v>
      </c>
      <c r="T304" s="15">
        <f>'Conjunto de Datos'!BF305</f>
        <v>303</v>
      </c>
      <c r="U304" s="6">
        <f>sala!I304</f>
        <v>1649</v>
      </c>
      <c r="V304" cm="1">
        <f t="array" ref="V304">SUM(IF(Cocina!A:A=Tabla8[[#This Row],[Numero de Orden]],Cocina!F:F*Cocina!G:G,0))</f>
        <v>210</v>
      </c>
      <c r="W304">
        <f>IF(Tabla8[[#This Row],[Cobrado]]="Cobrada",Tabla8[[#This Row],[Propina]]+Tabla8[[#This Row],[Precio Cena]],0)</f>
        <v>1859</v>
      </c>
      <c r="X304" t="str">
        <f>INDEX(sala!G:G, MATCH(Tabla8[[#This Row],[Numero de Orden]], sala!K:K, 0))</f>
        <v>Desayuno</v>
      </c>
      <c r="Y304" t="str">
        <f>'Conjunto de Datos'!J305</f>
        <v>Cobrada</v>
      </c>
      <c r="Z304" t="str">
        <f>INDEX(sala!H:H, MATCH(Tabla8[[#This Row],[Numero de Orden]], sala!K:K, 0))</f>
        <v>Tarjeta de débito</v>
      </c>
      <c r="AA304" s="3">
        <f>'Conjunto de Datos'!D305</f>
        <v>45019</v>
      </c>
      <c r="AB304" t="str">
        <f>INDEX(sala!L:L, MATCH(Tabla8[[#This Row],[Numero de Orden]], sala!K:K, 0))</f>
        <v>Brasil</v>
      </c>
      <c r="AC304" t="str">
        <f>'Conjunto de Datos'!N305</f>
        <v>Mesero_5</v>
      </c>
      <c r="AD304">
        <f>Tabla8[[#This Row],[Propina]]+Tabla8[[#This Row],[Precio Cena]]</f>
        <v>1859</v>
      </c>
      <c r="AE304" s="45">
        <f t="shared" si="11"/>
        <v>210</v>
      </c>
    </row>
    <row r="305" spans="19:31" x14ac:dyDescent="0.3">
      <c r="S305" t="str">
        <f>'Conjunto de Datos'!BB306</f>
        <v>994</v>
      </c>
      <c r="T305">
        <f>'Conjunto de Datos'!BF306</f>
        <v>304</v>
      </c>
      <c r="U305" s="7">
        <f>sala!I305</f>
        <v>2205</v>
      </c>
      <c r="V305" cm="1">
        <f t="array" ref="V305">SUM(IF(Cocina!A:A=Tabla8[[#This Row],[Numero de Orden]],Cocina!F:F*Cocina!G:G,0))</f>
        <v>279</v>
      </c>
      <c r="W305">
        <f>IF(Tabla8[[#This Row],[Cobrado]]="Cobrada",Tabla8[[#This Row],[Propina]]+Tabla8[[#This Row],[Precio Cena]],0)</f>
        <v>0</v>
      </c>
      <c r="X305" t="str">
        <f>INDEX(sala!G:G, MATCH(Tabla8[[#This Row],[Numero de Orden]], sala!K:K, 0))</f>
        <v>Almuerzo</v>
      </c>
      <c r="Y305" t="str">
        <f>'Conjunto de Datos'!J306</f>
        <v>No Cobrada</v>
      </c>
      <c r="Z305" t="str">
        <f>INDEX(sala!H:H, MATCH(Tabla8[[#This Row],[Numero de Orden]], sala!K:K, 0))</f>
        <v>Tarjeta de crédito</v>
      </c>
      <c r="AA305" s="3">
        <f>'Conjunto de Datos'!D306</f>
        <v>45019</v>
      </c>
      <c r="AB305" t="str">
        <f>INDEX(sala!L:L, MATCH(Tabla8[[#This Row],[Numero de Orden]], sala!K:K, 0))</f>
        <v>Colombia</v>
      </c>
      <c r="AC305" t="str">
        <f>'Conjunto de Datos'!N306</f>
        <v>Mesero_1</v>
      </c>
      <c r="AD305">
        <f>Tabla8[[#This Row],[Propina]]+Tabla8[[#This Row],[Precio Cena]]</f>
        <v>2484</v>
      </c>
      <c r="AE305" s="45">
        <f t="shared" si="11"/>
        <v>0</v>
      </c>
    </row>
    <row r="306" spans="19:31" x14ac:dyDescent="0.3">
      <c r="S306" s="15" t="str">
        <f>'Conjunto de Datos'!BB307</f>
        <v>648</v>
      </c>
      <c r="T306" s="15">
        <f>'Conjunto de Datos'!BF307</f>
        <v>305</v>
      </c>
      <c r="U306" s="6">
        <f>sala!I306</f>
        <v>3792</v>
      </c>
      <c r="V306" cm="1">
        <f t="array" ref="V306">SUM(IF(Cocina!A:A=Tabla8[[#This Row],[Numero de Orden]],Cocina!F:F*Cocina!G:G,0))</f>
        <v>128</v>
      </c>
      <c r="W306">
        <f>IF(Tabla8[[#This Row],[Cobrado]]="Cobrada",Tabla8[[#This Row],[Propina]]+Tabla8[[#This Row],[Precio Cena]],0)</f>
        <v>3920</v>
      </c>
      <c r="X306" t="str">
        <f>INDEX(sala!G:G, MATCH(Tabla8[[#This Row],[Numero de Orden]], sala!K:K, 0))</f>
        <v>Almuerzo</v>
      </c>
      <c r="Y306" t="str">
        <f>'Conjunto de Datos'!J307</f>
        <v>Cobrada</v>
      </c>
      <c r="Z306" t="str">
        <f>INDEX(sala!H:H, MATCH(Tabla8[[#This Row],[Numero de Orden]], sala!K:K, 0))</f>
        <v>Tarjeta de crédito</v>
      </c>
      <c r="AA306" s="3">
        <f>'Conjunto de Datos'!D307</f>
        <v>45019</v>
      </c>
      <c r="AB306" t="str">
        <f>INDEX(sala!L:L, MATCH(Tabla8[[#This Row],[Numero de Orden]], sala!K:K, 0))</f>
        <v>Chile</v>
      </c>
      <c r="AC306" t="str">
        <f>'Conjunto de Datos'!N307</f>
        <v>Mesero_1</v>
      </c>
      <c r="AD306">
        <f>Tabla8[[#This Row],[Propina]]+Tabla8[[#This Row],[Precio Cena]]</f>
        <v>3920</v>
      </c>
      <c r="AE306" s="45">
        <f t="shared" si="11"/>
        <v>128</v>
      </c>
    </row>
    <row r="307" spans="19:31" x14ac:dyDescent="0.3">
      <c r="S307" t="str">
        <f>'Conjunto de Datos'!BB308</f>
        <v>702</v>
      </c>
      <c r="T307">
        <f>'Conjunto de Datos'!BF308</f>
        <v>306</v>
      </c>
      <c r="U307" s="7">
        <f>sala!I307</f>
        <v>1696</v>
      </c>
      <c r="V307" cm="1">
        <f t="array" ref="V307">SUM(IF(Cocina!A:A=Tabla8[[#This Row],[Numero de Orden]],Cocina!F:F*Cocina!G:G,0))</f>
        <v>32</v>
      </c>
      <c r="W307">
        <f>IF(Tabla8[[#This Row],[Cobrado]]="Cobrada",Tabla8[[#This Row],[Propina]]+Tabla8[[#This Row],[Precio Cena]],0)</f>
        <v>1728</v>
      </c>
      <c r="X307" t="str">
        <f>INDEX(sala!G:G, MATCH(Tabla8[[#This Row],[Numero de Orden]], sala!K:K, 0))</f>
        <v>Almuerzo</v>
      </c>
      <c r="Y307" t="str">
        <f>'Conjunto de Datos'!J308</f>
        <v>Cobrada</v>
      </c>
      <c r="Z307" t="str">
        <f>INDEX(sala!H:H, MATCH(Tabla8[[#This Row],[Numero de Orden]], sala!K:K, 0))</f>
        <v>Tarjeta de crédito</v>
      </c>
      <c r="AA307" s="3">
        <f>'Conjunto de Datos'!D308</f>
        <v>45019</v>
      </c>
      <c r="AB307" t="str">
        <f>INDEX(sala!L:L, MATCH(Tabla8[[#This Row],[Numero de Orden]], sala!K:K, 0))</f>
        <v>Chile</v>
      </c>
      <c r="AC307" t="str">
        <f>'Conjunto de Datos'!N308</f>
        <v>Mesero_5</v>
      </c>
      <c r="AD307">
        <f>Tabla8[[#This Row],[Propina]]+Tabla8[[#This Row],[Precio Cena]]</f>
        <v>1728</v>
      </c>
      <c r="AE307" s="45">
        <f t="shared" si="11"/>
        <v>32</v>
      </c>
    </row>
    <row r="308" spans="19:31" x14ac:dyDescent="0.3">
      <c r="S308" s="15" t="str">
        <f>'Conjunto de Datos'!BB309</f>
        <v>175</v>
      </c>
      <c r="T308" s="15">
        <f>'Conjunto de Datos'!BF309</f>
        <v>307</v>
      </c>
      <c r="U308" s="6">
        <f>sala!I308</f>
        <v>3166</v>
      </c>
      <c r="V308" cm="1">
        <f t="array" ref="V308">SUM(IF(Cocina!A:A=Tabla8[[#This Row],[Numero de Orden]],Cocina!F:F*Cocina!G:G,0))</f>
        <v>63</v>
      </c>
      <c r="W308">
        <f>IF(Tabla8[[#This Row],[Cobrado]]="Cobrada",Tabla8[[#This Row],[Propina]]+Tabla8[[#This Row],[Precio Cena]],0)</f>
        <v>3229</v>
      </c>
      <c r="X308" t="str">
        <f>INDEX(sala!G:G, MATCH(Tabla8[[#This Row],[Numero de Orden]], sala!K:K, 0))</f>
        <v>Almuerzo</v>
      </c>
      <c r="Y308" t="str">
        <f>'Conjunto de Datos'!J309</f>
        <v>Cobrada</v>
      </c>
      <c r="Z308" t="str">
        <f>INDEX(sala!H:H, MATCH(Tabla8[[#This Row],[Numero de Orden]], sala!K:K, 0))</f>
        <v>Efectivo</v>
      </c>
      <c r="AA308" s="3">
        <f>'Conjunto de Datos'!D309</f>
        <v>45019</v>
      </c>
      <c r="AB308" t="str">
        <f>INDEX(sala!L:L, MATCH(Tabla8[[#This Row],[Numero de Orden]], sala!K:K, 0))</f>
        <v>Perú</v>
      </c>
      <c r="AC308" t="str">
        <f>'Conjunto de Datos'!N309</f>
        <v>Mesero_1</v>
      </c>
      <c r="AD308">
        <f>Tabla8[[#This Row],[Propina]]+Tabla8[[#This Row],[Precio Cena]]</f>
        <v>3229</v>
      </c>
      <c r="AE308" s="45">
        <f t="shared" si="11"/>
        <v>63</v>
      </c>
    </row>
    <row r="309" spans="19:31" x14ac:dyDescent="0.3">
      <c r="S309" t="str">
        <f>'Conjunto de Datos'!BB310</f>
        <v>846</v>
      </c>
      <c r="T309">
        <f>'Conjunto de Datos'!BF310</f>
        <v>308</v>
      </c>
      <c r="U309" s="7">
        <f>sala!I309</f>
        <v>3379</v>
      </c>
      <c r="V309" cm="1">
        <f t="array" ref="V309">SUM(IF(Cocina!A:A=Tabla8[[#This Row],[Numero de Orden]],Cocina!F:F*Cocina!G:G,0))</f>
        <v>222</v>
      </c>
      <c r="W309">
        <f>IF(Tabla8[[#This Row],[Cobrado]]="Cobrada",Tabla8[[#This Row],[Propina]]+Tabla8[[#This Row],[Precio Cena]],0)</f>
        <v>0</v>
      </c>
      <c r="X309" t="str">
        <f>INDEX(sala!G:G, MATCH(Tabla8[[#This Row],[Numero de Orden]], sala!K:K, 0))</f>
        <v>Almuerzo</v>
      </c>
      <c r="Y309" t="str">
        <f>'Conjunto de Datos'!J310</f>
        <v>No Cobrada</v>
      </c>
      <c r="Z309" t="str">
        <f>INDEX(sala!H:H, MATCH(Tabla8[[#This Row],[Numero de Orden]], sala!K:K, 0))</f>
        <v>Tarjeta de crédito</v>
      </c>
      <c r="AA309" s="3">
        <f>'Conjunto de Datos'!D310</f>
        <v>45019</v>
      </c>
      <c r="AB309" t="str">
        <f>INDEX(sala!L:L, MATCH(Tabla8[[#This Row],[Numero de Orden]], sala!K:K, 0))</f>
        <v>Uruguay</v>
      </c>
      <c r="AC309" t="str">
        <f>'Conjunto de Datos'!N310</f>
        <v>Mesero_2</v>
      </c>
      <c r="AD309">
        <f>Tabla8[[#This Row],[Propina]]+Tabla8[[#This Row],[Precio Cena]]</f>
        <v>3601</v>
      </c>
      <c r="AE309" s="45">
        <f t="shared" si="11"/>
        <v>0</v>
      </c>
    </row>
    <row r="310" spans="19:31" x14ac:dyDescent="0.3">
      <c r="S310" s="15" t="str">
        <f>'Conjunto de Datos'!BB311</f>
        <v>620</v>
      </c>
      <c r="T310" s="15">
        <f>'Conjunto de Datos'!BF311</f>
        <v>309</v>
      </c>
      <c r="U310" s="6">
        <f>sala!I310</f>
        <v>3609</v>
      </c>
      <c r="V310" cm="1">
        <f t="array" ref="V310">SUM(IF(Cocina!A:A=Tabla8[[#This Row],[Numero de Orden]],Cocina!F:F*Cocina!G:G,0))</f>
        <v>172</v>
      </c>
      <c r="W310">
        <f>IF(Tabla8[[#This Row],[Cobrado]]="Cobrada",Tabla8[[#This Row],[Propina]]+Tabla8[[#This Row],[Precio Cena]],0)</f>
        <v>3781</v>
      </c>
      <c r="X310" t="str">
        <f>INDEX(sala!G:G, MATCH(Tabla8[[#This Row],[Numero de Orden]], sala!K:K, 0))</f>
        <v>Almuerzo</v>
      </c>
      <c r="Y310" t="str">
        <f>'Conjunto de Datos'!J311</f>
        <v>Cobrada</v>
      </c>
      <c r="Z310" t="str">
        <f>INDEX(sala!H:H, MATCH(Tabla8[[#This Row],[Numero de Orden]], sala!K:K, 0))</f>
        <v>Tarjeta de crédito</v>
      </c>
      <c r="AA310" s="3">
        <f>'Conjunto de Datos'!D311</f>
        <v>45019</v>
      </c>
      <c r="AB310" t="str">
        <f>INDEX(sala!L:L, MATCH(Tabla8[[#This Row],[Numero de Orden]], sala!K:K, 0))</f>
        <v>Argentina</v>
      </c>
      <c r="AC310" t="str">
        <f>'Conjunto de Datos'!N311</f>
        <v>Mesero_1</v>
      </c>
      <c r="AD310">
        <f>Tabla8[[#This Row],[Propina]]+Tabla8[[#This Row],[Precio Cena]]</f>
        <v>3781</v>
      </c>
      <c r="AE310" s="45">
        <f t="shared" si="11"/>
        <v>172</v>
      </c>
    </row>
    <row r="311" spans="19:31" x14ac:dyDescent="0.3">
      <c r="S311" t="str">
        <f>'Conjunto de Datos'!BB312</f>
        <v>672</v>
      </c>
      <c r="T311">
        <f>'Conjunto de Datos'!BF312</f>
        <v>310</v>
      </c>
      <c r="U311" s="7">
        <f>sala!I311</f>
        <v>1147</v>
      </c>
      <c r="V311" cm="1">
        <f t="array" ref="V311">SUM(IF(Cocina!A:A=Tabla8[[#This Row],[Numero de Orden]],Cocina!F:F*Cocina!G:G,0))</f>
        <v>138</v>
      </c>
      <c r="W311">
        <f>IF(Tabla8[[#This Row],[Cobrado]]="Cobrada",Tabla8[[#This Row],[Propina]]+Tabla8[[#This Row],[Precio Cena]],0)</f>
        <v>1285</v>
      </c>
      <c r="X311" t="str">
        <f>INDEX(sala!G:G, MATCH(Tabla8[[#This Row],[Numero de Orden]], sala!K:K, 0))</f>
        <v>Cena</v>
      </c>
      <c r="Y311" t="str">
        <f>'Conjunto de Datos'!J312</f>
        <v>Cobrada</v>
      </c>
      <c r="Z311" t="str">
        <f>INDEX(sala!H:H, MATCH(Tabla8[[#This Row],[Numero de Orden]], sala!K:K, 0))</f>
        <v>Tarjeta de crédito</v>
      </c>
      <c r="AA311" s="3">
        <f>'Conjunto de Datos'!D312</f>
        <v>45019</v>
      </c>
      <c r="AB311" t="str">
        <f>INDEX(sala!L:L, MATCH(Tabla8[[#This Row],[Numero de Orden]], sala!K:K, 0))</f>
        <v>Uruguay</v>
      </c>
      <c r="AC311" t="str">
        <f>'Conjunto de Datos'!N312</f>
        <v>Mesero_5</v>
      </c>
      <c r="AD311">
        <f>Tabla8[[#This Row],[Propina]]+Tabla8[[#This Row],[Precio Cena]]</f>
        <v>1285</v>
      </c>
      <c r="AE311" s="45">
        <f t="shared" si="11"/>
        <v>138</v>
      </c>
    </row>
    <row r="312" spans="19:31" x14ac:dyDescent="0.3">
      <c r="S312" s="15" t="str">
        <f>'Conjunto de Datos'!BB313</f>
        <v>735</v>
      </c>
      <c r="T312" s="15">
        <f>'Conjunto de Datos'!BF313</f>
        <v>311</v>
      </c>
      <c r="U312" s="6">
        <f>sala!I312</f>
        <v>3927</v>
      </c>
      <c r="V312" cm="1">
        <f t="array" ref="V312">SUM(IF(Cocina!A:A=Tabla8[[#This Row],[Numero de Orden]],Cocina!F:F*Cocina!G:G,0))</f>
        <v>53</v>
      </c>
      <c r="W312">
        <f>IF(Tabla8[[#This Row],[Cobrado]]="Cobrada",Tabla8[[#This Row],[Propina]]+Tabla8[[#This Row],[Precio Cena]],0)</f>
        <v>3980</v>
      </c>
      <c r="X312" t="str">
        <f>INDEX(sala!G:G, MATCH(Tabla8[[#This Row],[Numero de Orden]], sala!K:K, 0))</f>
        <v>Desayuno</v>
      </c>
      <c r="Y312" t="str">
        <f>'Conjunto de Datos'!J313</f>
        <v>Cobrada</v>
      </c>
      <c r="Z312" t="str">
        <f>INDEX(sala!H:H, MATCH(Tabla8[[#This Row],[Numero de Orden]], sala!K:K, 0))</f>
        <v>Efectivo</v>
      </c>
      <c r="AA312" s="3">
        <f>'Conjunto de Datos'!D313</f>
        <v>45019</v>
      </c>
      <c r="AB312" t="str">
        <f>INDEX(sala!L:L, MATCH(Tabla8[[#This Row],[Numero de Orden]], sala!K:K, 0))</f>
        <v>Paraguay</v>
      </c>
      <c r="AC312" t="str">
        <f>'Conjunto de Datos'!N313</f>
        <v>Mesero_3</v>
      </c>
      <c r="AD312">
        <f>Tabla8[[#This Row],[Propina]]+Tabla8[[#This Row],[Precio Cena]]</f>
        <v>3980</v>
      </c>
      <c r="AE312" s="45">
        <f t="shared" si="11"/>
        <v>53</v>
      </c>
    </row>
    <row r="313" spans="19:31" x14ac:dyDescent="0.3">
      <c r="S313" t="str">
        <f>'Conjunto de Datos'!BB314</f>
        <v>268</v>
      </c>
      <c r="T313">
        <f>'Conjunto de Datos'!BF314</f>
        <v>312</v>
      </c>
      <c r="U313" s="7">
        <f>sala!I313</f>
        <v>3089</v>
      </c>
      <c r="V313" cm="1">
        <f t="array" ref="V313">SUM(IF(Cocina!A:A=Tabla8[[#This Row],[Numero de Orden]],Cocina!F:F*Cocina!G:G,0))</f>
        <v>134</v>
      </c>
      <c r="W313">
        <f>IF(Tabla8[[#This Row],[Cobrado]]="Cobrada",Tabla8[[#This Row],[Propina]]+Tabla8[[#This Row],[Precio Cena]],0)</f>
        <v>3223</v>
      </c>
      <c r="X313" t="str">
        <f>INDEX(sala!G:G, MATCH(Tabla8[[#This Row],[Numero de Orden]], sala!K:K, 0))</f>
        <v>Almuerzo</v>
      </c>
      <c r="Y313" t="str">
        <f>'Conjunto de Datos'!J314</f>
        <v>Cobrada</v>
      </c>
      <c r="Z313" t="str">
        <f>INDEX(sala!H:H, MATCH(Tabla8[[#This Row],[Numero de Orden]], sala!K:K, 0))</f>
        <v>Tarjeta de crédito</v>
      </c>
      <c r="AA313" s="3">
        <f>'Conjunto de Datos'!D314</f>
        <v>45019</v>
      </c>
      <c r="AB313" t="str">
        <f>INDEX(sala!L:L, MATCH(Tabla8[[#This Row],[Numero de Orden]], sala!K:K, 0))</f>
        <v>Uruguay</v>
      </c>
      <c r="AC313" t="str">
        <f>'Conjunto de Datos'!N314</f>
        <v>Mesero_3</v>
      </c>
      <c r="AD313">
        <f>Tabla8[[#This Row],[Propina]]+Tabla8[[#This Row],[Precio Cena]]</f>
        <v>3223</v>
      </c>
      <c r="AE313" s="45">
        <f t="shared" si="11"/>
        <v>134</v>
      </c>
    </row>
    <row r="314" spans="19:31" x14ac:dyDescent="0.3">
      <c r="S314" s="15" t="str">
        <f>'Conjunto de Datos'!BB315</f>
        <v>974</v>
      </c>
      <c r="T314" s="15">
        <f>'Conjunto de Datos'!BF315</f>
        <v>313</v>
      </c>
      <c r="U314" s="6">
        <f>sala!I314</f>
        <v>4314</v>
      </c>
      <c r="V314" cm="1">
        <f t="array" ref="V314">SUM(IF(Cocina!A:A=Tabla8[[#This Row],[Numero de Orden]],Cocina!F:F*Cocina!G:G,0))</f>
        <v>232</v>
      </c>
      <c r="W314">
        <f>IF(Tabla8[[#This Row],[Cobrado]]="Cobrada",Tabla8[[#This Row],[Propina]]+Tabla8[[#This Row],[Precio Cena]],0)</f>
        <v>4546</v>
      </c>
      <c r="X314" t="str">
        <f>INDEX(sala!G:G, MATCH(Tabla8[[#This Row],[Numero de Orden]], sala!K:K, 0))</f>
        <v>Desayuno</v>
      </c>
      <c r="Y314" t="str">
        <f>'Conjunto de Datos'!J315</f>
        <v>Cobrada</v>
      </c>
      <c r="Z314" t="str">
        <f>INDEX(sala!H:H, MATCH(Tabla8[[#This Row],[Numero de Orden]], sala!K:K, 0))</f>
        <v>Tarjeta de débito</v>
      </c>
      <c r="AA314" s="3">
        <f>'Conjunto de Datos'!D315</f>
        <v>45019</v>
      </c>
      <c r="AB314" t="str">
        <f>INDEX(sala!L:L, MATCH(Tabla8[[#This Row],[Numero de Orden]], sala!K:K, 0))</f>
        <v>España</v>
      </c>
      <c r="AC314" t="str">
        <f>'Conjunto de Datos'!N315</f>
        <v>Mesero_1</v>
      </c>
      <c r="AD314">
        <f>Tabla8[[#This Row],[Propina]]+Tabla8[[#This Row],[Precio Cena]]</f>
        <v>4546</v>
      </c>
      <c r="AE314" s="45">
        <f t="shared" si="11"/>
        <v>232</v>
      </c>
    </row>
    <row r="315" spans="19:31" x14ac:dyDescent="0.3">
      <c r="S315" t="str">
        <f>'Conjunto de Datos'!BB316</f>
        <v>161</v>
      </c>
      <c r="T315">
        <f>'Conjunto de Datos'!BF316</f>
        <v>314</v>
      </c>
      <c r="U315" s="7">
        <f>sala!I315</f>
        <v>3218</v>
      </c>
      <c r="V315" cm="1">
        <f t="array" ref="V315">SUM(IF(Cocina!A:A=Tabla8[[#This Row],[Numero de Orden]],Cocina!F:F*Cocina!G:G,0))</f>
        <v>27</v>
      </c>
      <c r="W315">
        <f>IF(Tabla8[[#This Row],[Cobrado]]="Cobrada",Tabla8[[#This Row],[Propina]]+Tabla8[[#This Row],[Precio Cena]],0)</f>
        <v>3245</v>
      </c>
      <c r="X315" t="str">
        <f>INDEX(sala!G:G, MATCH(Tabla8[[#This Row],[Numero de Orden]], sala!K:K, 0))</f>
        <v>Almuerzo</v>
      </c>
      <c r="Y315" t="str">
        <f>'Conjunto de Datos'!J316</f>
        <v>Cobrada</v>
      </c>
      <c r="Z315" t="str">
        <f>INDEX(sala!H:H, MATCH(Tabla8[[#This Row],[Numero de Orden]], sala!K:K, 0))</f>
        <v>Tarjeta de débito</v>
      </c>
      <c r="AA315" s="3">
        <f>'Conjunto de Datos'!D316</f>
        <v>45019</v>
      </c>
      <c r="AB315" t="str">
        <f>INDEX(sala!L:L, MATCH(Tabla8[[#This Row],[Numero de Orden]], sala!K:K, 0))</f>
        <v>Chile</v>
      </c>
      <c r="AC315" t="str">
        <f>'Conjunto de Datos'!N316</f>
        <v>Mesero_4</v>
      </c>
      <c r="AD315">
        <f>Tabla8[[#This Row],[Propina]]+Tabla8[[#This Row],[Precio Cena]]</f>
        <v>3245</v>
      </c>
      <c r="AE315" s="45">
        <f t="shared" si="11"/>
        <v>27</v>
      </c>
    </row>
    <row r="316" spans="19:31" x14ac:dyDescent="0.3">
      <c r="S316" s="15" t="str">
        <f>'Conjunto de Datos'!BB317</f>
        <v>600</v>
      </c>
      <c r="T316" s="15">
        <f>'Conjunto de Datos'!BF317</f>
        <v>315</v>
      </c>
      <c r="U316" s="6">
        <f>sala!I316</f>
        <v>206</v>
      </c>
      <c r="V316" cm="1">
        <f t="array" ref="V316">SUM(IF(Cocina!A:A=Tabla8[[#This Row],[Numero de Orden]],Cocina!F:F*Cocina!G:G,0))</f>
        <v>161</v>
      </c>
      <c r="W316">
        <f>IF(Tabla8[[#This Row],[Cobrado]]="Cobrada",Tabla8[[#This Row],[Propina]]+Tabla8[[#This Row],[Precio Cena]],0)</f>
        <v>367</v>
      </c>
      <c r="X316" t="str">
        <f>INDEX(sala!G:G, MATCH(Tabla8[[#This Row],[Numero de Orden]], sala!K:K, 0))</f>
        <v>Almuerzo</v>
      </c>
      <c r="Y316" t="str">
        <f>'Conjunto de Datos'!J317</f>
        <v>Cobrada</v>
      </c>
      <c r="Z316" t="str">
        <f>INDEX(sala!H:H, MATCH(Tabla8[[#This Row],[Numero de Orden]], sala!K:K, 0))</f>
        <v>Tarjeta de crédito</v>
      </c>
      <c r="AA316" s="3">
        <f>'Conjunto de Datos'!D317</f>
        <v>45019</v>
      </c>
      <c r="AB316" t="str">
        <f>INDEX(sala!L:L, MATCH(Tabla8[[#This Row],[Numero de Orden]], sala!K:K, 0))</f>
        <v>Chile</v>
      </c>
      <c r="AC316" t="str">
        <f>'Conjunto de Datos'!N317</f>
        <v>Mesero_2</v>
      </c>
      <c r="AD316">
        <f>Tabla8[[#This Row],[Propina]]+Tabla8[[#This Row],[Precio Cena]]</f>
        <v>367</v>
      </c>
      <c r="AE316" s="45">
        <f t="shared" si="11"/>
        <v>161</v>
      </c>
    </row>
    <row r="317" spans="19:31" x14ac:dyDescent="0.3">
      <c r="S317" t="str">
        <f>'Conjunto de Datos'!BB318</f>
        <v>654</v>
      </c>
      <c r="T317">
        <f>'Conjunto de Datos'!BF318</f>
        <v>316</v>
      </c>
      <c r="U317" s="7">
        <f>sala!I317</f>
        <v>3113</v>
      </c>
      <c r="V317" cm="1">
        <f t="array" ref="V317">SUM(IF(Cocina!A:A=Tabla8[[#This Row],[Numero de Orden]],Cocina!F:F*Cocina!G:G,0))</f>
        <v>160</v>
      </c>
      <c r="W317">
        <f>IF(Tabla8[[#This Row],[Cobrado]]="Cobrada",Tabla8[[#This Row],[Propina]]+Tabla8[[#This Row],[Precio Cena]],0)</f>
        <v>3273</v>
      </c>
      <c r="X317" t="str">
        <f>INDEX(sala!G:G, MATCH(Tabla8[[#This Row],[Numero de Orden]], sala!K:K, 0))</f>
        <v>Desayuno</v>
      </c>
      <c r="Y317" t="str">
        <f>'Conjunto de Datos'!J318</f>
        <v>Cobrada</v>
      </c>
      <c r="Z317" t="str">
        <f>INDEX(sala!H:H, MATCH(Tabla8[[#This Row],[Numero de Orden]], sala!K:K, 0))</f>
        <v>Tarjeta de crédito</v>
      </c>
      <c r="AA317" s="3">
        <f>'Conjunto de Datos'!D318</f>
        <v>45019</v>
      </c>
      <c r="AB317" t="str">
        <f>INDEX(sala!L:L, MATCH(Tabla8[[#This Row],[Numero de Orden]], sala!K:K, 0))</f>
        <v>Perú</v>
      </c>
      <c r="AC317" t="str">
        <f>'Conjunto de Datos'!N318</f>
        <v>Mesero_5</v>
      </c>
      <c r="AD317">
        <f>Tabla8[[#This Row],[Propina]]+Tabla8[[#This Row],[Precio Cena]]</f>
        <v>3273</v>
      </c>
      <c r="AE317" s="45">
        <f t="shared" si="11"/>
        <v>160</v>
      </c>
    </row>
    <row r="318" spans="19:31" x14ac:dyDescent="0.3">
      <c r="S318" s="15" t="str">
        <f>'Conjunto de Datos'!BB319</f>
        <v>440</v>
      </c>
      <c r="T318" s="15">
        <f>'Conjunto de Datos'!BF319</f>
        <v>317</v>
      </c>
      <c r="U318" s="6">
        <f>sala!I318</f>
        <v>2455</v>
      </c>
      <c r="V318" cm="1">
        <f t="array" ref="V318">SUM(IF(Cocina!A:A=Tabla8[[#This Row],[Numero de Orden]],Cocina!F:F*Cocina!G:G,0))</f>
        <v>178</v>
      </c>
      <c r="W318">
        <f>IF(Tabla8[[#This Row],[Cobrado]]="Cobrada",Tabla8[[#This Row],[Propina]]+Tabla8[[#This Row],[Precio Cena]],0)</f>
        <v>2633</v>
      </c>
      <c r="X318" t="str">
        <f>INDEX(sala!G:G, MATCH(Tabla8[[#This Row],[Numero de Orden]], sala!K:K, 0))</f>
        <v>Desayuno</v>
      </c>
      <c r="Y318" t="str">
        <f>'Conjunto de Datos'!J319</f>
        <v>Cobrada</v>
      </c>
      <c r="Z318" t="str">
        <f>INDEX(sala!H:H, MATCH(Tabla8[[#This Row],[Numero de Orden]], sala!K:K, 0))</f>
        <v>Efectivo</v>
      </c>
      <c r="AA318" s="3">
        <f>'Conjunto de Datos'!D319</f>
        <v>45019</v>
      </c>
      <c r="AB318" t="str">
        <f>INDEX(sala!L:L, MATCH(Tabla8[[#This Row],[Numero de Orden]], sala!K:K, 0))</f>
        <v>Uruguay</v>
      </c>
      <c r="AC318" t="str">
        <f>'Conjunto de Datos'!N319</f>
        <v>Mesero_2</v>
      </c>
      <c r="AD318">
        <f>Tabla8[[#This Row],[Propina]]+Tabla8[[#This Row],[Precio Cena]]</f>
        <v>2633</v>
      </c>
      <c r="AE318" s="45">
        <f t="shared" si="11"/>
        <v>178</v>
      </c>
    </row>
    <row r="319" spans="19:31" x14ac:dyDescent="0.3">
      <c r="S319" t="str">
        <f>'Conjunto de Datos'!BB320</f>
        <v>269</v>
      </c>
      <c r="T319">
        <f>'Conjunto de Datos'!BF320</f>
        <v>318</v>
      </c>
      <c r="U319" s="7">
        <f>sala!I319</f>
        <v>1008</v>
      </c>
      <c r="V319" cm="1">
        <f t="array" ref="V319">SUM(IF(Cocina!A:A=Tabla8[[#This Row],[Numero de Orden]],Cocina!F:F*Cocina!G:G,0))</f>
        <v>29</v>
      </c>
      <c r="W319">
        <f>IF(Tabla8[[#This Row],[Cobrado]]="Cobrada",Tabla8[[#This Row],[Propina]]+Tabla8[[#This Row],[Precio Cena]],0)</f>
        <v>1037</v>
      </c>
      <c r="X319" t="str">
        <f>INDEX(sala!G:G, MATCH(Tabla8[[#This Row],[Numero de Orden]], sala!K:K, 0))</f>
        <v>Cena</v>
      </c>
      <c r="Y319" t="str">
        <f>'Conjunto de Datos'!J320</f>
        <v>Cobrada</v>
      </c>
      <c r="Z319" t="str">
        <f>INDEX(sala!H:H, MATCH(Tabla8[[#This Row],[Numero de Orden]], sala!K:K, 0))</f>
        <v>Tarjeta de crédito</v>
      </c>
      <c r="AA319" s="3">
        <f>'Conjunto de Datos'!D320</f>
        <v>45019</v>
      </c>
      <c r="AB319" t="str">
        <f>INDEX(sala!L:L, MATCH(Tabla8[[#This Row],[Numero de Orden]], sala!K:K, 0))</f>
        <v>Venezuela</v>
      </c>
      <c r="AC319" t="str">
        <f>'Conjunto de Datos'!N320</f>
        <v>Mesero_3</v>
      </c>
      <c r="AD319">
        <f>Tabla8[[#This Row],[Propina]]+Tabla8[[#This Row],[Precio Cena]]</f>
        <v>1037</v>
      </c>
      <c r="AE319" s="45">
        <f t="shared" si="11"/>
        <v>29</v>
      </c>
    </row>
    <row r="320" spans="19:31" x14ac:dyDescent="0.3">
      <c r="S320" s="15" t="str">
        <f>'Conjunto de Datos'!BB321</f>
        <v>12</v>
      </c>
      <c r="T320" s="15">
        <f>'Conjunto de Datos'!BF321</f>
        <v>319</v>
      </c>
      <c r="U320" s="6">
        <f>sala!I320</f>
        <v>3005</v>
      </c>
      <c r="V320" cm="1">
        <f t="array" ref="V320">SUM(IF(Cocina!A:A=Tabla8[[#This Row],[Numero de Orden]],Cocina!F:F*Cocina!G:G,0))</f>
        <v>268</v>
      </c>
      <c r="W320">
        <f>IF(Tabla8[[#This Row],[Cobrado]]="Cobrada",Tabla8[[#This Row],[Propina]]+Tabla8[[#This Row],[Precio Cena]],0)</f>
        <v>3273</v>
      </c>
      <c r="X320" t="str">
        <f>INDEX(sala!G:G, MATCH(Tabla8[[#This Row],[Numero de Orden]], sala!K:K, 0))</f>
        <v>Almuerzo</v>
      </c>
      <c r="Y320" t="str">
        <f>'Conjunto de Datos'!J321</f>
        <v>Cobrada</v>
      </c>
      <c r="Z320" t="str">
        <f>INDEX(sala!H:H, MATCH(Tabla8[[#This Row],[Numero de Orden]], sala!K:K, 0))</f>
        <v>Efectivo</v>
      </c>
      <c r="AA320" s="3">
        <f>'Conjunto de Datos'!D321</f>
        <v>45019</v>
      </c>
      <c r="AB320" t="str">
        <f>INDEX(sala!L:L, MATCH(Tabla8[[#This Row],[Numero de Orden]], sala!K:K, 0))</f>
        <v>Bolivia</v>
      </c>
      <c r="AC320" t="str">
        <f>'Conjunto de Datos'!N321</f>
        <v>Mesero_1</v>
      </c>
      <c r="AD320">
        <f>Tabla8[[#This Row],[Propina]]+Tabla8[[#This Row],[Precio Cena]]</f>
        <v>3273</v>
      </c>
      <c r="AE320" s="45">
        <f t="shared" si="11"/>
        <v>268</v>
      </c>
    </row>
    <row r="321" spans="19:31" x14ac:dyDescent="0.3">
      <c r="S321" t="str">
        <f>'Conjunto de Datos'!BB322</f>
        <v>294</v>
      </c>
      <c r="T321">
        <f>'Conjunto de Datos'!BF322</f>
        <v>320</v>
      </c>
      <c r="U321" s="7">
        <f>sala!I321</f>
        <v>4402</v>
      </c>
      <c r="V321" cm="1">
        <f t="array" ref="V321">SUM(IF(Cocina!A:A=Tabla8[[#This Row],[Numero de Orden]],Cocina!F:F*Cocina!G:G,0))</f>
        <v>98</v>
      </c>
      <c r="W321">
        <f>IF(Tabla8[[#This Row],[Cobrado]]="Cobrada",Tabla8[[#This Row],[Propina]]+Tabla8[[#This Row],[Precio Cena]],0)</f>
        <v>4500</v>
      </c>
      <c r="X321" t="str">
        <f>INDEX(sala!G:G, MATCH(Tabla8[[#This Row],[Numero de Orden]], sala!K:K, 0))</f>
        <v>Almuerzo</v>
      </c>
      <c r="Y321" t="str">
        <f>'Conjunto de Datos'!J322</f>
        <v>Cobrada</v>
      </c>
      <c r="Z321" t="str">
        <f>INDEX(sala!H:H, MATCH(Tabla8[[#This Row],[Numero de Orden]], sala!K:K, 0))</f>
        <v>Tarjeta de débito</v>
      </c>
      <c r="AA321" s="3">
        <f>'Conjunto de Datos'!D322</f>
        <v>45019</v>
      </c>
      <c r="AB321" t="str">
        <f>INDEX(sala!L:L, MATCH(Tabla8[[#This Row],[Numero de Orden]], sala!K:K, 0))</f>
        <v>España</v>
      </c>
      <c r="AC321" t="str">
        <f>'Conjunto de Datos'!N322</f>
        <v>Mesero_3</v>
      </c>
      <c r="AD321">
        <f>Tabla8[[#This Row],[Propina]]+Tabla8[[#This Row],[Precio Cena]]</f>
        <v>4500</v>
      </c>
      <c r="AE321" s="45">
        <f t="shared" si="11"/>
        <v>98</v>
      </c>
    </row>
    <row r="322" spans="19:31" x14ac:dyDescent="0.3">
      <c r="S322" s="15" t="str">
        <f>'Conjunto de Datos'!BB323</f>
        <v>659</v>
      </c>
      <c r="T322" s="15">
        <f>'Conjunto de Datos'!BF323</f>
        <v>321</v>
      </c>
      <c r="U322" s="6">
        <f>sala!I322</f>
        <v>2359</v>
      </c>
      <c r="V322" cm="1">
        <f t="array" ref="V322">SUM(IF(Cocina!A:A=Tabla8[[#This Row],[Numero de Orden]],Cocina!F:F*Cocina!G:G,0))</f>
        <v>141</v>
      </c>
      <c r="W322">
        <f>IF(Tabla8[[#This Row],[Cobrado]]="Cobrada",Tabla8[[#This Row],[Propina]]+Tabla8[[#This Row],[Precio Cena]],0)</f>
        <v>2500</v>
      </c>
      <c r="X322" t="str">
        <f>INDEX(sala!G:G, MATCH(Tabla8[[#This Row],[Numero de Orden]], sala!K:K, 0))</f>
        <v>Almuerzo</v>
      </c>
      <c r="Y322" t="str">
        <f>'Conjunto de Datos'!J323</f>
        <v>Cobrada</v>
      </c>
      <c r="Z322" t="str">
        <f>INDEX(sala!H:H, MATCH(Tabla8[[#This Row],[Numero de Orden]], sala!K:K, 0))</f>
        <v>Tarjeta de crédito</v>
      </c>
      <c r="AA322" s="3">
        <f>'Conjunto de Datos'!D323</f>
        <v>45019</v>
      </c>
      <c r="AB322" t="str">
        <f>INDEX(sala!L:L, MATCH(Tabla8[[#This Row],[Numero de Orden]], sala!K:K, 0))</f>
        <v>Venezuela</v>
      </c>
      <c r="AC322" t="str">
        <f>'Conjunto de Datos'!N323</f>
        <v>Mesero_1</v>
      </c>
      <c r="AD322">
        <f>Tabla8[[#This Row],[Propina]]+Tabla8[[#This Row],[Precio Cena]]</f>
        <v>2500</v>
      </c>
      <c r="AE322" s="45">
        <f t="shared" si="11"/>
        <v>141</v>
      </c>
    </row>
    <row r="323" spans="19:31" x14ac:dyDescent="0.3">
      <c r="S323" t="str">
        <f>'Conjunto de Datos'!BB324</f>
        <v>47</v>
      </c>
      <c r="T323">
        <f>'Conjunto de Datos'!BF324</f>
        <v>322</v>
      </c>
      <c r="U323" s="7">
        <f>sala!I323</f>
        <v>2469</v>
      </c>
      <c r="V323" cm="1">
        <f t="array" ref="V323">SUM(IF(Cocina!A:A=Tabla8[[#This Row],[Numero de Orden]],Cocina!F:F*Cocina!G:G,0))</f>
        <v>85</v>
      </c>
      <c r="W323">
        <f>IF(Tabla8[[#This Row],[Cobrado]]="Cobrada",Tabla8[[#This Row],[Propina]]+Tabla8[[#This Row],[Precio Cena]],0)</f>
        <v>2554</v>
      </c>
      <c r="X323" t="str">
        <f>INDEX(sala!G:G, MATCH(Tabla8[[#This Row],[Numero de Orden]], sala!K:K, 0))</f>
        <v>Cena</v>
      </c>
      <c r="Y323" t="str">
        <f>'Conjunto de Datos'!J324</f>
        <v>Cobrada</v>
      </c>
      <c r="Z323" t="str">
        <f>INDEX(sala!H:H, MATCH(Tabla8[[#This Row],[Numero de Orden]], sala!K:K, 0))</f>
        <v>Tarjeta de crédito</v>
      </c>
      <c r="AA323" s="3">
        <f>'Conjunto de Datos'!D324</f>
        <v>45019</v>
      </c>
      <c r="AB323" t="str">
        <f>INDEX(sala!L:L, MATCH(Tabla8[[#This Row],[Numero de Orden]], sala!K:K, 0))</f>
        <v>Ecuador</v>
      </c>
      <c r="AC323" t="str">
        <f>'Conjunto de Datos'!N324</f>
        <v>Mesero_2</v>
      </c>
      <c r="AD323">
        <f>Tabla8[[#This Row],[Propina]]+Tabla8[[#This Row],[Precio Cena]]</f>
        <v>2554</v>
      </c>
      <c r="AE323" s="45">
        <f t="shared" si="11"/>
        <v>85</v>
      </c>
    </row>
    <row r="324" spans="19:31" x14ac:dyDescent="0.3">
      <c r="S324" s="15" t="str">
        <f>'Conjunto de Datos'!BB325</f>
        <v>544</v>
      </c>
      <c r="T324" s="15">
        <f>'Conjunto de Datos'!BF325</f>
        <v>323</v>
      </c>
      <c r="U324" s="6">
        <f>sala!I324</f>
        <v>443</v>
      </c>
      <c r="V324" cm="1">
        <f t="array" ref="V324">SUM(IF(Cocina!A:A=Tabla8[[#This Row],[Numero de Orden]],Cocina!F:F*Cocina!G:G,0))</f>
        <v>208</v>
      </c>
      <c r="W324">
        <f>IF(Tabla8[[#This Row],[Cobrado]]="Cobrada",Tabla8[[#This Row],[Propina]]+Tabla8[[#This Row],[Precio Cena]],0)</f>
        <v>651</v>
      </c>
      <c r="X324" t="str">
        <f>INDEX(sala!G:G, MATCH(Tabla8[[#This Row],[Numero de Orden]], sala!K:K, 0))</f>
        <v>Desayuno</v>
      </c>
      <c r="Y324" t="str">
        <f>'Conjunto de Datos'!J325</f>
        <v>Cobrada</v>
      </c>
      <c r="Z324" t="str">
        <f>INDEX(sala!H:H, MATCH(Tabla8[[#This Row],[Numero de Orden]], sala!K:K, 0))</f>
        <v>Efectivo</v>
      </c>
      <c r="AA324" s="3">
        <f>'Conjunto de Datos'!D325</f>
        <v>45019</v>
      </c>
      <c r="AB324" t="str">
        <f>INDEX(sala!L:L, MATCH(Tabla8[[#This Row],[Numero de Orden]], sala!K:K, 0))</f>
        <v>Chile</v>
      </c>
      <c r="AC324" t="str">
        <f>'Conjunto de Datos'!N325</f>
        <v>Mesero_5</v>
      </c>
      <c r="AD324">
        <f>Tabla8[[#This Row],[Propina]]+Tabla8[[#This Row],[Precio Cena]]</f>
        <v>651</v>
      </c>
      <c r="AE324" s="45">
        <f t="shared" ref="AE324:AE387" si="13">IF(Y324 = "Cobrada",V324,0)</f>
        <v>208</v>
      </c>
    </row>
    <row r="325" spans="19:31" x14ac:dyDescent="0.3">
      <c r="S325" t="str">
        <f>'Conjunto de Datos'!BB326</f>
        <v>633</v>
      </c>
      <c r="T325">
        <f>'Conjunto de Datos'!BF326</f>
        <v>324</v>
      </c>
      <c r="U325" s="7">
        <f>sala!I325</f>
        <v>216</v>
      </c>
      <c r="V325" cm="1">
        <f t="array" ref="V325">SUM(IF(Cocina!A:A=Tabla8[[#This Row],[Numero de Orden]],Cocina!F:F*Cocina!G:G,0))</f>
        <v>137</v>
      </c>
      <c r="W325">
        <f>IF(Tabla8[[#This Row],[Cobrado]]="Cobrada",Tabla8[[#This Row],[Propina]]+Tabla8[[#This Row],[Precio Cena]],0)</f>
        <v>0</v>
      </c>
      <c r="X325" t="str">
        <f>INDEX(sala!G:G, MATCH(Tabla8[[#This Row],[Numero de Orden]], sala!K:K, 0))</f>
        <v>Cena</v>
      </c>
      <c r="Y325" t="str">
        <f>'Conjunto de Datos'!J326</f>
        <v>No Cobrada</v>
      </c>
      <c r="Z325" t="str">
        <f>INDEX(sala!H:H, MATCH(Tabla8[[#This Row],[Numero de Orden]], sala!K:K, 0))</f>
        <v>Tarjeta de crédito</v>
      </c>
      <c r="AA325" s="3">
        <f>'Conjunto de Datos'!D326</f>
        <v>45019</v>
      </c>
      <c r="AB325" t="str">
        <f>INDEX(sala!L:L, MATCH(Tabla8[[#This Row],[Numero de Orden]], sala!K:K, 0))</f>
        <v>Perú</v>
      </c>
      <c r="AC325" t="str">
        <f>'Conjunto de Datos'!N326</f>
        <v>Mesero_1</v>
      </c>
      <c r="AD325">
        <f>Tabla8[[#This Row],[Propina]]+Tabla8[[#This Row],[Precio Cena]]</f>
        <v>353</v>
      </c>
      <c r="AE325" s="45">
        <f t="shared" si="13"/>
        <v>0</v>
      </c>
    </row>
    <row r="326" spans="19:31" x14ac:dyDescent="0.3">
      <c r="S326" s="15" t="str">
        <f>'Conjunto de Datos'!BB327</f>
        <v>154</v>
      </c>
      <c r="T326" s="15">
        <f>'Conjunto de Datos'!BF327</f>
        <v>325</v>
      </c>
      <c r="U326" s="6">
        <f>sala!I326</f>
        <v>325</v>
      </c>
      <c r="V326" cm="1">
        <f t="array" ref="V326">SUM(IF(Cocina!A:A=Tabla8[[#This Row],[Numero de Orden]],Cocina!F:F*Cocina!G:G,0))</f>
        <v>154</v>
      </c>
      <c r="W326">
        <f>IF(Tabla8[[#This Row],[Cobrado]]="Cobrada",Tabla8[[#This Row],[Propina]]+Tabla8[[#This Row],[Precio Cena]],0)</f>
        <v>479</v>
      </c>
      <c r="X326" t="str">
        <f>INDEX(sala!G:G, MATCH(Tabla8[[#This Row],[Numero de Orden]], sala!K:K, 0))</f>
        <v>Almuerzo</v>
      </c>
      <c r="Y326" t="str">
        <f>'Conjunto de Datos'!J327</f>
        <v>Cobrada</v>
      </c>
      <c r="Z326" t="str">
        <f>INDEX(sala!H:H, MATCH(Tabla8[[#This Row],[Numero de Orden]], sala!K:K, 0))</f>
        <v>Tarjeta de crédito</v>
      </c>
      <c r="AA326" s="3">
        <f>'Conjunto de Datos'!D327</f>
        <v>45019</v>
      </c>
      <c r="AB326" t="str">
        <f>INDEX(sala!L:L, MATCH(Tabla8[[#This Row],[Numero de Orden]], sala!K:K, 0))</f>
        <v>Perú</v>
      </c>
      <c r="AC326" t="str">
        <f>'Conjunto de Datos'!N327</f>
        <v>Mesero_2</v>
      </c>
      <c r="AD326">
        <f>Tabla8[[#This Row],[Propina]]+Tabla8[[#This Row],[Precio Cena]]</f>
        <v>479</v>
      </c>
      <c r="AE326" s="45">
        <f t="shared" si="13"/>
        <v>154</v>
      </c>
    </row>
    <row r="327" spans="19:31" x14ac:dyDescent="0.3">
      <c r="S327" t="str">
        <f>'Conjunto de Datos'!BB328</f>
        <v>489</v>
      </c>
      <c r="T327">
        <f>'Conjunto de Datos'!BF328</f>
        <v>326</v>
      </c>
      <c r="U327" s="7">
        <f>sala!I327</f>
        <v>1385</v>
      </c>
      <c r="V327" cm="1">
        <f t="array" ref="V327">SUM(IF(Cocina!A:A=Tabla8[[#This Row],[Numero de Orden]],Cocina!F:F*Cocina!G:G,0))</f>
        <v>81</v>
      </c>
      <c r="W327">
        <f>IF(Tabla8[[#This Row],[Cobrado]]="Cobrada",Tabla8[[#This Row],[Propina]]+Tabla8[[#This Row],[Precio Cena]],0)</f>
        <v>1466</v>
      </c>
      <c r="X327" t="str">
        <f>INDEX(sala!G:G, MATCH(Tabla8[[#This Row],[Numero de Orden]], sala!K:K, 0))</f>
        <v>Desayuno</v>
      </c>
      <c r="Y327" t="str">
        <f>'Conjunto de Datos'!J328</f>
        <v>Cobrada</v>
      </c>
      <c r="Z327" t="str">
        <f>INDEX(sala!H:H, MATCH(Tabla8[[#This Row],[Numero de Orden]], sala!K:K, 0))</f>
        <v>Tarjeta de débito</v>
      </c>
      <c r="AA327" s="3">
        <f>'Conjunto de Datos'!D328</f>
        <v>45020</v>
      </c>
      <c r="AB327" t="str">
        <f>INDEX(sala!L:L, MATCH(Tabla8[[#This Row],[Numero de Orden]], sala!K:K, 0))</f>
        <v>Perú</v>
      </c>
      <c r="AC327" t="str">
        <f>'Conjunto de Datos'!N328</f>
        <v>Mesero_1</v>
      </c>
      <c r="AD327">
        <f>Tabla8[[#This Row],[Propina]]+Tabla8[[#This Row],[Precio Cena]]</f>
        <v>1466</v>
      </c>
      <c r="AE327" s="45">
        <f t="shared" si="13"/>
        <v>81</v>
      </c>
    </row>
    <row r="328" spans="19:31" x14ac:dyDescent="0.3">
      <c r="S328" s="15" t="str">
        <f>'Conjunto de Datos'!BB329</f>
        <v>336</v>
      </c>
      <c r="T328" s="15">
        <f>'Conjunto de Datos'!BF329</f>
        <v>327</v>
      </c>
      <c r="U328" s="6">
        <f>sala!I328</f>
        <v>1508</v>
      </c>
      <c r="V328" cm="1">
        <f t="array" ref="V328">SUM(IF(Cocina!A:A=Tabla8[[#This Row],[Numero de Orden]],Cocina!F:F*Cocina!G:G,0))</f>
        <v>147</v>
      </c>
      <c r="W328">
        <f>IF(Tabla8[[#This Row],[Cobrado]]="Cobrada",Tabla8[[#This Row],[Propina]]+Tabla8[[#This Row],[Precio Cena]],0)</f>
        <v>1655</v>
      </c>
      <c r="X328" t="str">
        <f>INDEX(sala!G:G, MATCH(Tabla8[[#This Row],[Numero de Orden]], sala!K:K, 0))</f>
        <v>Cena</v>
      </c>
      <c r="Y328" t="str">
        <f>'Conjunto de Datos'!J329</f>
        <v>Cobrada</v>
      </c>
      <c r="Z328" t="str">
        <f>INDEX(sala!H:H, MATCH(Tabla8[[#This Row],[Numero de Orden]], sala!K:K, 0))</f>
        <v>Tarjeta de crédito</v>
      </c>
      <c r="AA328" s="3">
        <f>'Conjunto de Datos'!D329</f>
        <v>45020</v>
      </c>
      <c r="AB328" t="str">
        <f>INDEX(sala!L:L, MATCH(Tabla8[[#This Row],[Numero de Orden]], sala!K:K, 0))</f>
        <v>Colombia</v>
      </c>
      <c r="AC328" t="str">
        <f>'Conjunto de Datos'!N329</f>
        <v>Mesero_5</v>
      </c>
      <c r="AD328">
        <f>Tabla8[[#This Row],[Propina]]+Tabla8[[#This Row],[Precio Cena]]</f>
        <v>1655</v>
      </c>
      <c r="AE328" s="45">
        <f t="shared" si="13"/>
        <v>147</v>
      </c>
    </row>
    <row r="329" spans="19:31" x14ac:dyDescent="0.3">
      <c r="S329" t="str">
        <f>'Conjunto de Datos'!BB330</f>
        <v>350</v>
      </c>
      <c r="T329">
        <f>'Conjunto de Datos'!BF330</f>
        <v>328</v>
      </c>
      <c r="U329" s="7">
        <f>sala!I329</f>
        <v>1385</v>
      </c>
      <c r="V329" cm="1">
        <f t="array" ref="V329">SUM(IF(Cocina!A:A=Tabla8[[#This Row],[Numero de Orden]],Cocina!F:F*Cocina!G:G,0))</f>
        <v>35</v>
      </c>
      <c r="W329">
        <f>IF(Tabla8[[#This Row],[Cobrado]]="Cobrada",Tabla8[[#This Row],[Propina]]+Tabla8[[#This Row],[Precio Cena]],0)</f>
        <v>1420</v>
      </c>
      <c r="X329" t="str">
        <f>INDEX(sala!G:G, MATCH(Tabla8[[#This Row],[Numero de Orden]], sala!K:K, 0))</f>
        <v>Cena</v>
      </c>
      <c r="Y329" t="str">
        <f>'Conjunto de Datos'!J330</f>
        <v>Cobrada</v>
      </c>
      <c r="Z329" t="str">
        <f>INDEX(sala!H:H, MATCH(Tabla8[[#This Row],[Numero de Orden]], sala!K:K, 0))</f>
        <v>Tarjeta de crédito</v>
      </c>
      <c r="AA329" s="3">
        <f>'Conjunto de Datos'!D330</f>
        <v>45020</v>
      </c>
      <c r="AB329" t="str">
        <f>INDEX(sala!L:L, MATCH(Tabla8[[#This Row],[Numero de Orden]], sala!K:K, 0))</f>
        <v>Chile</v>
      </c>
      <c r="AC329" t="str">
        <f>'Conjunto de Datos'!N330</f>
        <v>Mesero_2</v>
      </c>
      <c r="AD329">
        <f>Tabla8[[#This Row],[Propina]]+Tabla8[[#This Row],[Precio Cena]]</f>
        <v>1420</v>
      </c>
      <c r="AE329" s="45">
        <f t="shared" si="13"/>
        <v>35</v>
      </c>
    </row>
    <row r="330" spans="19:31" x14ac:dyDescent="0.3">
      <c r="S330" s="15" t="str">
        <f>'Conjunto de Datos'!BB331</f>
        <v>797</v>
      </c>
      <c r="T330" s="15">
        <f>'Conjunto de Datos'!BF331</f>
        <v>329</v>
      </c>
      <c r="U330" s="6">
        <f>sala!I330</f>
        <v>3889</v>
      </c>
      <c r="V330" cm="1">
        <f t="array" ref="V330">SUM(IF(Cocina!A:A=Tabla8[[#This Row],[Numero de Orden]],Cocina!F:F*Cocina!G:G,0))</f>
        <v>207</v>
      </c>
      <c r="W330">
        <f>IF(Tabla8[[#This Row],[Cobrado]]="Cobrada",Tabla8[[#This Row],[Propina]]+Tabla8[[#This Row],[Precio Cena]],0)</f>
        <v>4096</v>
      </c>
      <c r="X330" t="str">
        <f>INDEX(sala!G:G, MATCH(Tabla8[[#This Row],[Numero de Orden]], sala!K:K, 0))</f>
        <v>Almuerzo</v>
      </c>
      <c r="Y330" t="str">
        <f>'Conjunto de Datos'!J331</f>
        <v>Cobrada</v>
      </c>
      <c r="Z330" t="str">
        <f>INDEX(sala!H:H, MATCH(Tabla8[[#This Row],[Numero de Orden]], sala!K:K, 0))</f>
        <v>Tarjeta de crédito</v>
      </c>
      <c r="AA330" s="3">
        <f>'Conjunto de Datos'!D331</f>
        <v>45020</v>
      </c>
      <c r="AB330" t="str">
        <f>INDEX(sala!L:L, MATCH(Tabla8[[#This Row],[Numero de Orden]], sala!K:K, 0))</f>
        <v>Bolivia</v>
      </c>
      <c r="AC330" t="str">
        <f>'Conjunto de Datos'!N331</f>
        <v>Mesero_2</v>
      </c>
      <c r="AD330">
        <f>Tabla8[[#This Row],[Propina]]+Tabla8[[#This Row],[Precio Cena]]</f>
        <v>4096</v>
      </c>
      <c r="AE330" s="45">
        <f t="shared" si="13"/>
        <v>207</v>
      </c>
    </row>
    <row r="331" spans="19:31" x14ac:dyDescent="0.3">
      <c r="S331" t="str">
        <f>'Conjunto de Datos'!BB332</f>
        <v>436</v>
      </c>
      <c r="T331">
        <f>'Conjunto de Datos'!BF332</f>
        <v>330</v>
      </c>
      <c r="U331" s="7">
        <f>sala!I331</f>
        <v>3217</v>
      </c>
      <c r="V331" cm="1">
        <f t="array" ref="V331">SUM(IF(Cocina!A:A=Tabla8[[#This Row],[Numero de Orden]],Cocina!F:F*Cocina!G:G,0))</f>
        <v>217</v>
      </c>
      <c r="W331">
        <f>IF(Tabla8[[#This Row],[Cobrado]]="Cobrada",Tabla8[[#This Row],[Propina]]+Tabla8[[#This Row],[Precio Cena]],0)</f>
        <v>3434</v>
      </c>
      <c r="X331" t="str">
        <f>INDEX(sala!G:G, MATCH(Tabla8[[#This Row],[Numero de Orden]], sala!K:K, 0))</f>
        <v>Desayuno</v>
      </c>
      <c r="Y331" t="str">
        <f>'Conjunto de Datos'!J332</f>
        <v>Cobrada</v>
      </c>
      <c r="Z331" t="str">
        <f>INDEX(sala!H:H, MATCH(Tabla8[[#This Row],[Numero de Orden]], sala!K:K, 0))</f>
        <v>Tarjeta de crédito</v>
      </c>
      <c r="AA331" s="3">
        <f>'Conjunto de Datos'!D332</f>
        <v>45020</v>
      </c>
      <c r="AB331" t="str">
        <f>INDEX(sala!L:L, MATCH(Tabla8[[#This Row],[Numero de Orden]], sala!K:K, 0))</f>
        <v>Bolivia</v>
      </c>
      <c r="AC331" t="str">
        <f>'Conjunto de Datos'!N332</f>
        <v>Mesero_3</v>
      </c>
      <c r="AD331">
        <f>Tabla8[[#This Row],[Propina]]+Tabla8[[#This Row],[Precio Cena]]</f>
        <v>3434</v>
      </c>
      <c r="AE331" s="45">
        <f t="shared" si="13"/>
        <v>217</v>
      </c>
    </row>
    <row r="332" spans="19:31" x14ac:dyDescent="0.3">
      <c r="S332" s="15" t="str">
        <f>'Conjunto de Datos'!BB333</f>
        <v>597</v>
      </c>
      <c r="T332" s="15">
        <f>'Conjunto de Datos'!BF333</f>
        <v>331</v>
      </c>
      <c r="U332" s="6">
        <f>sala!I332</f>
        <v>3661</v>
      </c>
      <c r="V332" cm="1">
        <f t="array" ref="V332">SUM(IF(Cocina!A:A=Tabla8[[#This Row],[Numero de Orden]],Cocina!F:F*Cocina!G:G,0))</f>
        <v>173</v>
      </c>
      <c r="W332">
        <f>IF(Tabla8[[#This Row],[Cobrado]]="Cobrada",Tabla8[[#This Row],[Propina]]+Tabla8[[#This Row],[Precio Cena]],0)</f>
        <v>3834</v>
      </c>
      <c r="X332" t="str">
        <f>INDEX(sala!G:G, MATCH(Tabla8[[#This Row],[Numero de Orden]], sala!K:K, 0))</f>
        <v>Cena</v>
      </c>
      <c r="Y332" t="str">
        <f>'Conjunto de Datos'!J333</f>
        <v>Cobrada</v>
      </c>
      <c r="Z332" t="str">
        <f>INDEX(sala!H:H, MATCH(Tabla8[[#This Row],[Numero de Orden]], sala!K:K, 0))</f>
        <v>Tarjeta de débito</v>
      </c>
      <c r="AA332" s="3">
        <f>'Conjunto de Datos'!D333</f>
        <v>45020</v>
      </c>
      <c r="AB332" t="str">
        <f>INDEX(sala!L:L, MATCH(Tabla8[[#This Row],[Numero de Orden]], sala!K:K, 0))</f>
        <v>Paraguay</v>
      </c>
      <c r="AC332" t="str">
        <f>'Conjunto de Datos'!N333</f>
        <v>Mesero_4</v>
      </c>
      <c r="AD332">
        <f>Tabla8[[#This Row],[Propina]]+Tabla8[[#This Row],[Precio Cena]]</f>
        <v>3834</v>
      </c>
      <c r="AE332" s="45">
        <f t="shared" si="13"/>
        <v>173</v>
      </c>
    </row>
    <row r="333" spans="19:31" x14ac:dyDescent="0.3">
      <c r="S333" t="str">
        <f>'Conjunto de Datos'!BB334</f>
        <v>823</v>
      </c>
      <c r="T333">
        <f>'Conjunto de Datos'!BF334</f>
        <v>332</v>
      </c>
      <c r="U333" s="7">
        <f>sala!I333</f>
        <v>2521</v>
      </c>
      <c r="V333" cm="1">
        <f t="array" ref="V333">SUM(IF(Cocina!A:A=Tabla8[[#This Row],[Numero de Orden]],Cocina!F:F*Cocina!G:G,0))</f>
        <v>120</v>
      </c>
      <c r="W333">
        <f>IF(Tabla8[[#This Row],[Cobrado]]="Cobrada",Tabla8[[#This Row],[Propina]]+Tabla8[[#This Row],[Precio Cena]],0)</f>
        <v>2641</v>
      </c>
      <c r="X333" t="str">
        <f>INDEX(sala!G:G, MATCH(Tabla8[[#This Row],[Numero de Orden]], sala!K:K, 0))</f>
        <v>Almuerzo</v>
      </c>
      <c r="Y333" t="str">
        <f>'Conjunto de Datos'!J334</f>
        <v>Cobrada</v>
      </c>
      <c r="Z333" t="str">
        <f>INDEX(sala!H:H, MATCH(Tabla8[[#This Row],[Numero de Orden]], sala!K:K, 0))</f>
        <v>Tarjeta de débito</v>
      </c>
      <c r="AA333" s="3">
        <f>'Conjunto de Datos'!D334</f>
        <v>45020</v>
      </c>
      <c r="AB333" t="str">
        <f>INDEX(sala!L:L, MATCH(Tabla8[[#This Row],[Numero de Orden]], sala!K:K, 0))</f>
        <v>Argentina</v>
      </c>
      <c r="AC333" t="str">
        <f>'Conjunto de Datos'!N334</f>
        <v>Mesero_2</v>
      </c>
      <c r="AD333">
        <f>Tabla8[[#This Row],[Propina]]+Tabla8[[#This Row],[Precio Cena]]</f>
        <v>2641</v>
      </c>
      <c r="AE333" s="45">
        <f t="shared" si="13"/>
        <v>120</v>
      </c>
    </row>
    <row r="334" spans="19:31" x14ac:dyDescent="0.3">
      <c r="S334" s="15" t="str">
        <f>'Conjunto de Datos'!BB335</f>
        <v>690</v>
      </c>
      <c r="T334" s="15">
        <f>'Conjunto de Datos'!BF335</f>
        <v>333</v>
      </c>
      <c r="U334" s="6">
        <f>sala!I334</f>
        <v>1319</v>
      </c>
      <c r="V334" cm="1">
        <f t="array" ref="V334">SUM(IF(Cocina!A:A=Tabla8[[#This Row],[Numero de Orden]],Cocina!F:F*Cocina!G:G,0))</f>
        <v>72</v>
      </c>
      <c r="W334">
        <f>IF(Tabla8[[#This Row],[Cobrado]]="Cobrada",Tabla8[[#This Row],[Propina]]+Tabla8[[#This Row],[Precio Cena]],0)</f>
        <v>1391</v>
      </c>
      <c r="X334" t="str">
        <f>INDEX(sala!G:G, MATCH(Tabla8[[#This Row],[Numero de Orden]], sala!K:K, 0))</f>
        <v>Cena</v>
      </c>
      <c r="Y334" t="str">
        <f>'Conjunto de Datos'!J335</f>
        <v>Cobrada</v>
      </c>
      <c r="Z334" t="str">
        <f>INDEX(sala!H:H, MATCH(Tabla8[[#This Row],[Numero de Orden]], sala!K:K, 0))</f>
        <v>Tarjeta de crédito</v>
      </c>
      <c r="AA334" s="3">
        <f>'Conjunto de Datos'!D335</f>
        <v>45020</v>
      </c>
      <c r="AB334" t="str">
        <f>INDEX(sala!L:L, MATCH(Tabla8[[#This Row],[Numero de Orden]], sala!K:K, 0))</f>
        <v>Paraguay</v>
      </c>
      <c r="AC334" t="str">
        <f>'Conjunto de Datos'!N335</f>
        <v>Mesero_4</v>
      </c>
      <c r="AD334">
        <f>Tabla8[[#This Row],[Propina]]+Tabla8[[#This Row],[Precio Cena]]</f>
        <v>1391</v>
      </c>
      <c r="AE334" s="45">
        <f t="shared" si="13"/>
        <v>72</v>
      </c>
    </row>
    <row r="335" spans="19:31" x14ac:dyDescent="0.3">
      <c r="S335" t="str">
        <f>'Conjunto de Datos'!BB336</f>
        <v>216</v>
      </c>
      <c r="T335">
        <f>'Conjunto de Datos'!BF336</f>
        <v>334</v>
      </c>
      <c r="U335" s="7">
        <f>sala!I335</f>
        <v>175</v>
      </c>
      <c r="V335" cm="1">
        <f t="array" ref="V335">SUM(IF(Cocina!A:A=Tabla8[[#This Row],[Numero de Orden]],Cocina!F:F*Cocina!G:G,0))</f>
        <v>173</v>
      </c>
      <c r="W335">
        <f>IF(Tabla8[[#This Row],[Cobrado]]="Cobrada",Tabla8[[#This Row],[Propina]]+Tabla8[[#This Row],[Precio Cena]],0)</f>
        <v>348</v>
      </c>
      <c r="X335" t="str">
        <f>INDEX(sala!G:G, MATCH(Tabla8[[#This Row],[Numero de Orden]], sala!K:K, 0))</f>
        <v>Desayuno</v>
      </c>
      <c r="Y335" t="str">
        <f>'Conjunto de Datos'!J336</f>
        <v>Cobrada</v>
      </c>
      <c r="Z335" t="str">
        <f>INDEX(sala!H:H, MATCH(Tabla8[[#This Row],[Numero de Orden]], sala!K:K, 0))</f>
        <v>Tarjeta de crédito</v>
      </c>
      <c r="AA335" s="3">
        <f>'Conjunto de Datos'!D336</f>
        <v>45020</v>
      </c>
      <c r="AB335" t="str">
        <f>INDEX(sala!L:L, MATCH(Tabla8[[#This Row],[Numero de Orden]], sala!K:K, 0))</f>
        <v>Argentina</v>
      </c>
      <c r="AC335" t="str">
        <f>'Conjunto de Datos'!N336</f>
        <v>Mesero_1</v>
      </c>
      <c r="AD335">
        <f>Tabla8[[#This Row],[Propina]]+Tabla8[[#This Row],[Precio Cena]]</f>
        <v>348</v>
      </c>
      <c r="AE335" s="45">
        <f t="shared" si="13"/>
        <v>173</v>
      </c>
    </row>
    <row r="336" spans="19:31" x14ac:dyDescent="0.3">
      <c r="S336" s="15" t="str">
        <f>'Conjunto de Datos'!BB337</f>
        <v>546</v>
      </c>
      <c r="T336" s="15">
        <f>'Conjunto de Datos'!BF337</f>
        <v>335</v>
      </c>
      <c r="U336" s="6">
        <f>sala!I336</f>
        <v>4156</v>
      </c>
      <c r="V336" cm="1">
        <f t="array" ref="V336">SUM(IF(Cocina!A:A=Tabla8[[#This Row],[Numero de Orden]],Cocina!F:F*Cocina!G:G,0))</f>
        <v>114</v>
      </c>
      <c r="W336">
        <f>IF(Tabla8[[#This Row],[Cobrado]]="Cobrada",Tabla8[[#This Row],[Propina]]+Tabla8[[#This Row],[Precio Cena]],0)</f>
        <v>4270</v>
      </c>
      <c r="X336" t="str">
        <f>INDEX(sala!G:G, MATCH(Tabla8[[#This Row],[Numero de Orden]], sala!K:K, 0))</f>
        <v>Almuerzo</v>
      </c>
      <c r="Y336" t="str">
        <f>'Conjunto de Datos'!J337</f>
        <v>Cobrada</v>
      </c>
      <c r="Z336" t="str">
        <f>INDEX(sala!H:H, MATCH(Tabla8[[#This Row],[Numero de Orden]], sala!K:K, 0))</f>
        <v>Tarjeta de débito</v>
      </c>
      <c r="AA336" s="3">
        <f>'Conjunto de Datos'!D337</f>
        <v>45020</v>
      </c>
      <c r="AB336" t="str">
        <f>INDEX(sala!L:L, MATCH(Tabla8[[#This Row],[Numero de Orden]], sala!K:K, 0))</f>
        <v>Brasil</v>
      </c>
      <c r="AC336" t="str">
        <f>'Conjunto de Datos'!N337</f>
        <v>Mesero_4</v>
      </c>
      <c r="AD336">
        <f>Tabla8[[#This Row],[Propina]]+Tabla8[[#This Row],[Precio Cena]]</f>
        <v>4270</v>
      </c>
      <c r="AE336" s="45">
        <f t="shared" si="13"/>
        <v>114</v>
      </c>
    </row>
    <row r="337" spans="19:31" x14ac:dyDescent="0.3">
      <c r="S337" t="str">
        <f>'Conjunto de Datos'!BB338</f>
        <v>524</v>
      </c>
      <c r="T337">
        <f>'Conjunto de Datos'!BF338</f>
        <v>336</v>
      </c>
      <c r="U337" s="7">
        <f>sala!I337</f>
        <v>1793</v>
      </c>
      <c r="V337" cm="1">
        <f t="array" ref="V337">SUM(IF(Cocina!A:A=Tabla8[[#This Row],[Numero de Orden]],Cocina!F:F*Cocina!G:G,0))</f>
        <v>158</v>
      </c>
      <c r="W337">
        <f>IF(Tabla8[[#This Row],[Cobrado]]="Cobrada",Tabla8[[#This Row],[Propina]]+Tabla8[[#This Row],[Precio Cena]],0)</f>
        <v>1951</v>
      </c>
      <c r="X337" t="str">
        <f>INDEX(sala!G:G, MATCH(Tabla8[[#This Row],[Numero de Orden]], sala!K:K, 0))</f>
        <v>Cena</v>
      </c>
      <c r="Y337" t="str">
        <f>'Conjunto de Datos'!J338</f>
        <v>Cobrada</v>
      </c>
      <c r="Z337" t="str">
        <f>INDEX(sala!H:H, MATCH(Tabla8[[#This Row],[Numero de Orden]], sala!K:K, 0))</f>
        <v>Tarjeta de crédito</v>
      </c>
      <c r="AA337" s="3">
        <f>'Conjunto de Datos'!D338</f>
        <v>45020</v>
      </c>
      <c r="AB337" t="str">
        <f>INDEX(sala!L:L, MATCH(Tabla8[[#This Row],[Numero de Orden]], sala!K:K, 0))</f>
        <v>Argentina</v>
      </c>
      <c r="AC337" t="str">
        <f>'Conjunto de Datos'!N338</f>
        <v>Mesero_2</v>
      </c>
      <c r="AD337">
        <f>Tabla8[[#This Row],[Propina]]+Tabla8[[#This Row],[Precio Cena]]</f>
        <v>1951</v>
      </c>
      <c r="AE337" s="45">
        <f t="shared" si="13"/>
        <v>158</v>
      </c>
    </row>
    <row r="338" spans="19:31" x14ac:dyDescent="0.3">
      <c r="S338" s="15" t="str">
        <f>'Conjunto de Datos'!BB339</f>
        <v>193</v>
      </c>
      <c r="T338" s="15">
        <f>'Conjunto de Datos'!BF339</f>
        <v>337</v>
      </c>
      <c r="U338" s="6">
        <f>sala!I338</f>
        <v>1928</v>
      </c>
      <c r="V338" cm="1">
        <f t="array" ref="V338">SUM(IF(Cocina!A:A=Tabla8[[#This Row],[Numero de Orden]],Cocina!F:F*Cocina!G:G,0))</f>
        <v>100</v>
      </c>
      <c r="W338">
        <f>IF(Tabla8[[#This Row],[Cobrado]]="Cobrada",Tabla8[[#This Row],[Propina]]+Tabla8[[#This Row],[Precio Cena]],0)</f>
        <v>2028</v>
      </c>
      <c r="X338" t="str">
        <f>INDEX(sala!G:G, MATCH(Tabla8[[#This Row],[Numero de Orden]], sala!K:K, 0))</f>
        <v>Cena</v>
      </c>
      <c r="Y338" t="str">
        <f>'Conjunto de Datos'!J339</f>
        <v>Cobrada</v>
      </c>
      <c r="Z338" t="str">
        <f>INDEX(sala!H:H, MATCH(Tabla8[[#This Row],[Numero de Orden]], sala!K:K, 0))</f>
        <v>Tarjeta de crédito</v>
      </c>
      <c r="AA338" s="3">
        <f>'Conjunto de Datos'!D339</f>
        <v>45020</v>
      </c>
      <c r="AB338" t="str">
        <f>INDEX(sala!L:L, MATCH(Tabla8[[#This Row],[Numero de Orden]], sala!K:K, 0))</f>
        <v>Brasil</v>
      </c>
      <c r="AC338" t="str">
        <f>'Conjunto de Datos'!N339</f>
        <v>Mesero_5</v>
      </c>
      <c r="AD338">
        <f>Tabla8[[#This Row],[Propina]]+Tabla8[[#This Row],[Precio Cena]]</f>
        <v>2028</v>
      </c>
      <c r="AE338" s="45">
        <f t="shared" si="13"/>
        <v>100</v>
      </c>
    </row>
    <row r="339" spans="19:31" x14ac:dyDescent="0.3">
      <c r="S339" t="str">
        <f>'Conjunto de Datos'!BB340</f>
        <v>794</v>
      </c>
      <c r="T339">
        <f>'Conjunto de Datos'!BF340</f>
        <v>338</v>
      </c>
      <c r="U339" s="7">
        <f>sala!I339</f>
        <v>3062</v>
      </c>
      <c r="V339" cm="1">
        <f t="array" ref="V339">SUM(IF(Cocina!A:A=Tabla8[[#This Row],[Numero de Orden]],Cocina!F:F*Cocina!G:G,0))</f>
        <v>279</v>
      </c>
      <c r="W339">
        <f>IF(Tabla8[[#This Row],[Cobrado]]="Cobrada",Tabla8[[#This Row],[Propina]]+Tabla8[[#This Row],[Precio Cena]],0)</f>
        <v>3341</v>
      </c>
      <c r="X339" t="str">
        <f>INDEX(sala!G:G, MATCH(Tabla8[[#This Row],[Numero de Orden]], sala!K:K, 0))</f>
        <v>Almuerzo</v>
      </c>
      <c r="Y339" t="str">
        <f>'Conjunto de Datos'!J340</f>
        <v>Cobrada</v>
      </c>
      <c r="Z339" t="str">
        <f>INDEX(sala!H:H, MATCH(Tabla8[[#This Row],[Numero de Orden]], sala!K:K, 0))</f>
        <v>Tarjeta de débito</v>
      </c>
      <c r="AA339" s="3">
        <f>'Conjunto de Datos'!D340</f>
        <v>45020</v>
      </c>
      <c r="AB339" t="str">
        <f>INDEX(sala!L:L, MATCH(Tabla8[[#This Row],[Numero de Orden]], sala!K:K, 0))</f>
        <v>Ecuador</v>
      </c>
      <c r="AC339" t="str">
        <f>'Conjunto de Datos'!N340</f>
        <v>Mesero_5</v>
      </c>
      <c r="AD339">
        <f>Tabla8[[#This Row],[Propina]]+Tabla8[[#This Row],[Precio Cena]]</f>
        <v>3341</v>
      </c>
      <c r="AE339" s="45">
        <f t="shared" si="13"/>
        <v>279</v>
      </c>
    </row>
    <row r="340" spans="19:31" x14ac:dyDescent="0.3">
      <c r="S340" s="15" t="str">
        <f>'Conjunto de Datos'!BB341</f>
        <v>602</v>
      </c>
      <c r="T340" s="15">
        <f>'Conjunto de Datos'!BF341</f>
        <v>339</v>
      </c>
      <c r="U340" s="6">
        <f>sala!I340</f>
        <v>196</v>
      </c>
      <c r="V340" cm="1">
        <f t="array" ref="V340">SUM(IF(Cocina!A:A=Tabla8[[#This Row],[Numero de Orden]],Cocina!F:F*Cocina!G:G,0))</f>
        <v>104</v>
      </c>
      <c r="W340">
        <f>IF(Tabla8[[#This Row],[Cobrado]]="Cobrada",Tabla8[[#This Row],[Propina]]+Tabla8[[#This Row],[Precio Cena]],0)</f>
        <v>300</v>
      </c>
      <c r="X340" t="str">
        <f>INDEX(sala!G:G, MATCH(Tabla8[[#This Row],[Numero de Orden]], sala!K:K, 0))</f>
        <v>Desayuno</v>
      </c>
      <c r="Y340" t="str">
        <f>'Conjunto de Datos'!J341</f>
        <v>Cobrada</v>
      </c>
      <c r="Z340" t="str">
        <f>INDEX(sala!H:H, MATCH(Tabla8[[#This Row],[Numero de Orden]], sala!K:K, 0))</f>
        <v>Tarjeta de débito</v>
      </c>
      <c r="AA340" s="3">
        <f>'Conjunto de Datos'!D341</f>
        <v>45020</v>
      </c>
      <c r="AB340" t="str">
        <f>INDEX(sala!L:L, MATCH(Tabla8[[#This Row],[Numero de Orden]], sala!K:K, 0))</f>
        <v>Perú</v>
      </c>
      <c r="AC340" t="str">
        <f>'Conjunto de Datos'!N341</f>
        <v>Mesero_3</v>
      </c>
      <c r="AD340">
        <f>Tabla8[[#This Row],[Propina]]+Tabla8[[#This Row],[Precio Cena]]</f>
        <v>300</v>
      </c>
      <c r="AE340" s="45">
        <f t="shared" si="13"/>
        <v>104</v>
      </c>
    </row>
    <row r="341" spans="19:31" x14ac:dyDescent="0.3">
      <c r="S341" t="str">
        <f>'Conjunto de Datos'!BB342</f>
        <v>296</v>
      </c>
      <c r="T341">
        <f>'Conjunto de Datos'!BF342</f>
        <v>340</v>
      </c>
      <c r="U341" s="7">
        <f>sala!I341</f>
        <v>3852</v>
      </c>
      <c r="V341" cm="1">
        <f t="array" ref="V341">SUM(IF(Cocina!A:A=Tabla8[[#This Row],[Numero de Orden]],Cocina!F:F*Cocina!G:G,0))</f>
        <v>164</v>
      </c>
      <c r="W341">
        <f>IF(Tabla8[[#This Row],[Cobrado]]="Cobrada",Tabla8[[#This Row],[Propina]]+Tabla8[[#This Row],[Precio Cena]],0)</f>
        <v>4016</v>
      </c>
      <c r="X341" t="str">
        <f>INDEX(sala!G:G, MATCH(Tabla8[[#This Row],[Numero de Orden]], sala!K:K, 0))</f>
        <v>Almuerzo</v>
      </c>
      <c r="Y341" t="str">
        <f>'Conjunto de Datos'!J342</f>
        <v>Cobrada</v>
      </c>
      <c r="Z341" t="str">
        <f>INDEX(sala!H:H, MATCH(Tabla8[[#This Row],[Numero de Orden]], sala!K:K, 0))</f>
        <v>Tarjeta de crédito</v>
      </c>
      <c r="AA341" s="3">
        <f>'Conjunto de Datos'!D342</f>
        <v>45020</v>
      </c>
      <c r="AB341" t="str">
        <f>INDEX(sala!L:L, MATCH(Tabla8[[#This Row],[Numero de Orden]], sala!K:K, 0))</f>
        <v>España</v>
      </c>
      <c r="AC341" t="str">
        <f>'Conjunto de Datos'!N342</f>
        <v>Mesero_3</v>
      </c>
      <c r="AD341">
        <f>Tabla8[[#This Row],[Propina]]+Tabla8[[#This Row],[Precio Cena]]</f>
        <v>4016</v>
      </c>
      <c r="AE341" s="45">
        <f t="shared" si="13"/>
        <v>164</v>
      </c>
    </row>
    <row r="342" spans="19:31" x14ac:dyDescent="0.3">
      <c r="S342" s="15" t="str">
        <f>'Conjunto de Datos'!BB343</f>
        <v>568</v>
      </c>
      <c r="T342" s="15">
        <f>'Conjunto de Datos'!BF343</f>
        <v>341</v>
      </c>
      <c r="U342" s="6">
        <f>sala!I342</f>
        <v>4705</v>
      </c>
      <c r="V342" cm="1">
        <f t="array" ref="V342">SUM(IF(Cocina!A:A=Tabla8[[#This Row],[Numero de Orden]],Cocina!F:F*Cocina!G:G,0))</f>
        <v>177</v>
      </c>
      <c r="W342">
        <f>IF(Tabla8[[#This Row],[Cobrado]]="Cobrada",Tabla8[[#This Row],[Propina]]+Tabla8[[#This Row],[Precio Cena]],0)</f>
        <v>4882</v>
      </c>
      <c r="X342" t="str">
        <f>INDEX(sala!G:G, MATCH(Tabla8[[#This Row],[Numero de Orden]], sala!K:K, 0))</f>
        <v>Desayuno</v>
      </c>
      <c r="Y342" t="str">
        <f>'Conjunto de Datos'!J343</f>
        <v>Cobrada</v>
      </c>
      <c r="Z342" t="str">
        <f>INDEX(sala!H:H, MATCH(Tabla8[[#This Row],[Numero de Orden]], sala!K:K, 0))</f>
        <v>Tarjeta de crédito</v>
      </c>
      <c r="AA342" s="3">
        <f>'Conjunto de Datos'!D343</f>
        <v>45020</v>
      </c>
      <c r="AB342" t="str">
        <f>INDEX(sala!L:L, MATCH(Tabla8[[#This Row],[Numero de Orden]], sala!K:K, 0))</f>
        <v>Perú</v>
      </c>
      <c r="AC342" t="str">
        <f>'Conjunto de Datos'!N343</f>
        <v>Mesero_3</v>
      </c>
      <c r="AD342">
        <f>Tabla8[[#This Row],[Propina]]+Tabla8[[#This Row],[Precio Cena]]</f>
        <v>4882</v>
      </c>
      <c r="AE342" s="45">
        <f t="shared" si="13"/>
        <v>177</v>
      </c>
    </row>
    <row r="343" spans="19:31" x14ac:dyDescent="0.3">
      <c r="S343" t="str">
        <f>'Conjunto de Datos'!BB344</f>
        <v>897</v>
      </c>
      <c r="T343">
        <f>'Conjunto de Datos'!BF344</f>
        <v>342</v>
      </c>
      <c r="U343" s="7">
        <f>sala!I343</f>
        <v>2006</v>
      </c>
      <c r="V343" cm="1">
        <f t="array" ref="V343">SUM(IF(Cocina!A:A=Tabla8[[#This Row],[Numero de Orden]],Cocina!F:F*Cocina!G:G,0))</f>
        <v>102</v>
      </c>
      <c r="W343">
        <f>IF(Tabla8[[#This Row],[Cobrado]]="Cobrada",Tabla8[[#This Row],[Propina]]+Tabla8[[#This Row],[Precio Cena]],0)</f>
        <v>2108</v>
      </c>
      <c r="X343" t="str">
        <f>INDEX(sala!G:G, MATCH(Tabla8[[#This Row],[Numero de Orden]], sala!K:K, 0))</f>
        <v>Desayuno</v>
      </c>
      <c r="Y343" t="str">
        <f>'Conjunto de Datos'!J344</f>
        <v>Cobrada</v>
      </c>
      <c r="Z343" t="str">
        <f>INDEX(sala!H:H, MATCH(Tabla8[[#This Row],[Numero de Orden]], sala!K:K, 0))</f>
        <v>Tarjeta de crédito</v>
      </c>
      <c r="AA343" s="3">
        <f>'Conjunto de Datos'!D344</f>
        <v>45020</v>
      </c>
      <c r="AB343" t="str">
        <f>INDEX(sala!L:L, MATCH(Tabla8[[#This Row],[Numero de Orden]], sala!K:K, 0))</f>
        <v>Bolivia</v>
      </c>
      <c r="AC343" t="str">
        <f>'Conjunto de Datos'!N344</f>
        <v>Mesero_3</v>
      </c>
      <c r="AD343">
        <f>Tabla8[[#This Row],[Propina]]+Tabla8[[#This Row],[Precio Cena]]</f>
        <v>2108</v>
      </c>
      <c r="AE343" s="45">
        <f t="shared" si="13"/>
        <v>102</v>
      </c>
    </row>
    <row r="344" spans="19:31" x14ac:dyDescent="0.3">
      <c r="S344" s="15" t="str">
        <f>'Conjunto de Datos'!BB345</f>
        <v>816</v>
      </c>
      <c r="T344" s="15">
        <f>'Conjunto de Datos'!BF345</f>
        <v>343</v>
      </c>
      <c r="U344" s="6">
        <f>sala!I344</f>
        <v>2301</v>
      </c>
      <c r="V344" cm="1">
        <f t="array" ref="V344">SUM(IF(Cocina!A:A=Tabla8[[#This Row],[Numero de Orden]],Cocina!F:F*Cocina!G:G,0))</f>
        <v>137</v>
      </c>
      <c r="W344">
        <f>IF(Tabla8[[#This Row],[Cobrado]]="Cobrada",Tabla8[[#This Row],[Propina]]+Tabla8[[#This Row],[Precio Cena]],0)</f>
        <v>2438</v>
      </c>
      <c r="X344" t="str">
        <f>INDEX(sala!G:G, MATCH(Tabla8[[#This Row],[Numero de Orden]], sala!K:K, 0))</f>
        <v>Almuerzo</v>
      </c>
      <c r="Y344" t="str">
        <f>'Conjunto de Datos'!J345</f>
        <v>Cobrada</v>
      </c>
      <c r="Z344" t="str">
        <f>INDEX(sala!H:H, MATCH(Tabla8[[#This Row],[Numero de Orden]], sala!K:K, 0))</f>
        <v>Tarjeta de crédito</v>
      </c>
      <c r="AA344" s="3">
        <f>'Conjunto de Datos'!D345</f>
        <v>45020</v>
      </c>
      <c r="AB344" t="str">
        <f>INDEX(sala!L:L, MATCH(Tabla8[[#This Row],[Numero de Orden]], sala!K:K, 0))</f>
        <v>Perú</v>
      </c>
      <c r="AC344" t="str">
        <f>'Conjunto de Datos'!N345</f>
        <v>Mesero_5</v>
      </c>
      <c r="AD344">
        <f>Tabla8[[#This Row],[Propina]]+Tabla8[[#This Row],[Precio Cena]]</f>
        <v>2438</v>
      </c>
      <c r="AE344" s="45">
        <f t="shared" si="13"/>
        <v>137</v>
      </c>
    </row>
    <row r="345" spans="19:31" x14ac:dyDescent="0.3">
      <c r="S345" t="str">
        <f>'Conjunto de Datos'!BB346</f>
        <v>221</v>
      </c>
      <c r="T345">
        <f>'Conjunto de Datos'!BF346</f>
        <v>344</v>
      </c>
      <c r="U345" s="7">
        <f>sala!I345</f>
        <v>3301</v>
      </c>
      <c r="V345" cm="1">
        <f t="array" ref="V345">SUM(IF(Cocina!A:A=Tabla8[[#This Row],[Numero de Orden]],Cocina!F:F*Cocina!G:G,0))</f>
        <v>183</v>
      </c>
      <c r="W345">
        <f>IF(Tabla8[[#This Row],[Cobrado]]="Cobrada",Tabla8[[#This Row],[Propina]]+Tabla8[[#This Row],[Precio Cena]],0)</f>
        <v>3484</v>
      </c>
      <c r="X345" t="str">
        <f>INDEX(sala!G:G, MATCH(Tabla8[[#This Row],[Numero de Orden]], sala!K:K, 0))</f>
        <v>Almuerzo</v>
      </c>
      <c r="Y345" t="str">
        <f>'Conjunto de Datos'!J346</f>
        <v>Cobrada</v>
      </c>
      <c r="Z345" t="str">
        <f>INDEX(sala!H:H, MATCH(Tabla8[[#This Row],[Numero de Orden]], sala!K:K, 0))</f>
        <v>Tarjeta de crédito</v>
      </c>
      <c r="AA345" s="3">
        <f>'Conjunto de Datos'!D346</f>
        <v>45020</v>
      </c>
      <c r="AB345" t="str">
        <f>INDEX(sala!L:L, MATCH(Tabla8[[#This Row],[Numero de Orden]], sala!K:K, 0))</f>
        <v>Chile</v>
      </c>
      <c r="AC345" t="str">
        <f>'Conjunto de Datos'!N346</f>
        <v>Mesero_2</v>
      </c>
      <c r="AD345">
        <f>Tabla8[[#This Row],[Propina]]+Tabla8[[#This Row],[Precio Cena]]</f>
        <v>3484</v>
      </c>
      <c r="AE345" s="45">
        <f t="shared" si="13"/>
        <v>183</v>
      </c>
    </row>
    <row r="346" spans="19:31" x14ac:dyDescent="0.3">
      <c r="S346" s="15" t="str">
        <f>'Conjunto de Datos'!BB347</f>
        <v>755</v>
      </c>
      <c r="T346" s="15">
        <f>'Conjunto de Datos'!BF347</f>
        <v>345</v>
      </c>
      <c r="U346" s="6">
        <f>sala!I346</f>
        <v>1398</v>
      </c>
      <c r="V346" cm="1">
        <f t="array" ref="V346">SUM(IF(Cocina!A:A=Tabla8[[#This Row],[Numero de Orden]],Cocina!F:F*Cocina!G:G,0))</f>
        <v>38</v>
      </c>
      <c r="W346">
        <f>IF(Tabla8[[#This Row],[Cobrado]]="Cobrada",Tabla8[[#This Row],[Propina]]+Tabla8[[#This Row],[Precio Cena]],0)</f>
        <v>1436</v>
      </c>
      <c r="X346" t="str">
        <f>INDEX(sala!G:G, MATCH(Tabla8[[#This Row],[Numero de Orden]], sala!K:K, 0))</f>
        <v>Almuerzo</v>
      </c>
      <c r="Y346" t="str">
        <f>'Conjunto de Datos'!J347</f>
        <v>Cobrada</v>
      </c>
      <c r="Z346" t="str">
        <f>INDEX(sala!H:H, MATCH(Tabla8[[#This Row],[Numero de Orden]], sala!K:K, 0))</f>
        <v>Tarjeta de crédito</v>
      </c>
      <c r="AA346" s="3">
        <f>'Conjunto de Datos'!D347</f>
        <v>45020</v>
      </c>
      <c r="AB346" t="str">
        <f>INDEX(sala!L:L, MATCH(Tabla8[[#This Row],[Numero de Orden]], sala!K:K, 0))</f>
        <v>Chile</v>
      </c>
      <c r="AC346" t="str">
        <f>'Conjunto de Datos'!N347</f>
        <v>Mesero_4</v>
      </c>
      <c r="AD346">
        <f>Tabla8[[#This Row],[Propina]]+Tabla8[[#This Row],[Precio Cena]]</f>
        <v>1436</v>
      </c>
      <c r="AE346" s="45">
        <f t="shared" si="13"/>
        <v>38</v>
      </c>
    </row>
    <row r="347" spans="19:31" x14ac:dyDescent="0.3">
      <c r="S347" t="str">
        <f>'Conjunto de Datos'!BB348</f>
        <v>289</v>
      </c>
      <c r="T347">
        <f>'Conjunto de Datos'!BF348</f>
        <v>346</v>
      </c>
      <c r="U347" s="7">
        <f>sala!I347</f>
        <v>3593</v>
      </c>
      <c r="V347" cm="1">
        <f t="array" ref="V347">SUM(IF(Cocina!A:A=Tabla8[[#This Row],[Numero de Orden]],Cocina!F:F*Cocina!G:G,0))</f>
        <v>72</v>
      </c>
      <c r="W347">
        <f>IF(Tabla8[[#This Row],[Cobrado]]="Cobrada",Tabla8[[#This Row],[Propina]]+Tabla8[[#This Row],[Precio Cena]],0)</f>
        <v>3665</v>
      </c>
      <c r="X347" t="str">
        <f>INDEX(sala!G:G, MATCH(Tabla8[[#This Row],[Numero de Orden]], sala!K:K, 0))</f>
        <v>Almuerzo</v>
      </c>
      <c r="Y347" t="str">
        <f>'Conjunto de Datos'!J348</f>
        <v>Cobrada</v>
      </c>
      <c r="Z347" t="str">
        <f>INDEX(sala!H:H, MATCH(Tabla8[[#This Row],[Numero de Orden]], sala!K:K, 0))</f>
        <v>Tarjeta de débito</v>
      </c>
      <c r="AA347" s="3">
        <f>'Conjunto de Datos'!D348</f>
        <v>45020</v>
      </c>
      <c r="AB347" t="str">
        <f>INDEX(sala!L:L, MATCH(Tabla8[[#This Row],[Numero de Orden]], sala!K:K, 0))</f>
        <v>Argentina</v>
      </c>
      <c r="AC347" t="str">
        <f>'Conjunto de Datos'!N348</f>
        <v>Mesero_5</v>
      </c>
      <c r="AD347">
        <f>Tabla8[[#This Row],[Propina]]+Tabla8[[#This Row],[Precio Cena]]</f>
        <v>3665</v>
      </c>
      <c r="AE347" s="45">
        <f t="shared" si="13"/>
        <v>72</v>
      </c>
    </row>
    <row r="348" spans="19:31" x14ac:dyDescent="0.3">
      <c r="S348" s="15" t="str">
        <f>'Conjunto de Datos'!BB349</f>
        <v>476</v>
      </c>
      <c r="T348" s="15">
        <f>'Conjunto de Datos'!BF349</f>
        <v>347</v>
      </c>
      <c r="U348" s="6">
        <f>sala!I348</f>
        <v>4852</v>
      </c>
      <c r="V348" cm="1">
        <f t="array" ref="V348">SUM(IF(Cocina!A:A=Tabla8[[#This Row],[Numero de Orden]],Cocina!F:F*Cocina!G:G,0))</f>
        <v>70</v>
      </c>
      <c r="W348">
        <f>IF(Tabla8[[#This Row],[Cobrado]]="Cobrada",Tabla8[[#This Row],[Propina]]+Tabla8[[#This Row],[Precio Cena]],0)</f>
        <v>4922</v>
      </c>
      <c r="X348" t="str">
        <f>INDEX(sala!G:G, MATCH(Tabla8[[#This Row],[Numero de Orden]], sala!K:K, 0))</f>
        <v>Almuerzo</v>
      </c>
      <c r="Y348" t="str">
        <f>'Conjunto de Datos'!J349</f>
        <v>Cobrada</v>
      </c>
      <c r="Z348" t="str">
        <f>INDEX(sala!H:H, MATCH(Tabla8[[#This Row],[Numero de Orden]], sala!K:K, 0))</f>
        <v>Tarjeta de crédito</v>
      </c>
      <c r="AA348" s="3">
        <f>'Conjunto de Datos'!D349</f>
        <v>45020</v>
      </c>
      <c r="AB348" t="str">
        <f>INDEX(sala!L:L, MATCH(Tabla8[[#This Row],[Numero de Orden]], sala!K:K, 0))</f>
        <v>Chile</v>
      </c>
      <c r="AC348" t="str">
        <f>'Conjunto de Datos'!N349</f>
        <v>Mesero_4</v>
      </c>
      <c r="AD348">
        <f>Tabla8[[#This Row],[Propina]]+Tabla8[[#This Row],[Precio Cena]]</f>
        <v>4922</v>
      </c>
      <c r="AE348" s="45">
        <f t="shared" si="13"/>
        <v>70</v>
      </c>
    </row>
    <row r="349" spans="19:31" x14ac:dyDescent="0.3">
      <c r="S349" t="str">
        <f>'Conjunto de Datos'!BB350</f>
        <v>940</v>
      </c>
      <c r="T349">
        <f>'Conjunto de Datos'!BF350</f>
        <v>348</v>
      </c>
      <c r="U349" s="7">
        <f>sala!I349</f>
        <v>3078</v>
      </c>
      <c r="V349" cm="1">
        <f t="array" ref="V349">SUM(IF(Cocina!A:A=Tabla8[[#This Row],[Numero de Orden]],Cocina!F:F*Cocina!G:G,0))</f>
        <v>86</v>
      </c>
      <c r="W349">
        <f>IF(Tabla8[[#This Row],[Cobrado]]="Cobrada",Tabla8[[#This Row],[Propina]]+Tabla8[[#This Row],[Precio Cena]],0)</f>
        <v>3164</v>
      </c>
      <c r="X349" t="str">
        <f>INDEX(sala!G:G, MATCH(Tabla8[[#This Row],[Numero de Orden]], sala!K:K, 0))</f>
        <v>Almuerzo</v>
      </c>
      <c r="Y349" t="str">
        <f>'Conjunto de Datos'!J350</f>
        <v>Cobrada</v>
      </c>
      <c r="Z349" t="str">
        <f>INDEX(sala!H:H, MATCH(Tabla8[[#This Row],[Numero de Orden]], sala!K:K, 0))</f>
        <v>Tarjeta de crédito</v>
      </c>
      <c r="AA349" s="3">
        <f>'Conjunto de Datos'!D350</f>
        <v>45020</v>
      </c>
      <c r="AB349" t="str">
        <f>INDEX(sala!L:L, MATCH(Tabla8[[#This Row],[Numero de Orden]], sala!K:K, 0))</f>
        <v>Paraguay</v>
      </c>
      <c r="AC349" t="str">
        <f>'Conjunto de Datos'!N350</f>
        <v>Mesero_2</v>
      </c>
      <c r="AD349">
        <f>Tabla8[[#This Row],[Propina]]+Tabla8[[#This Row],[Precio Cena]]</f>
        <v>3164</v>
      </c>
      <c r="AE349" s="45">
        <f t="shared" si="13"/>
        <v>86</v>
      </c>
    </row>
    <row r="350" spans="19:31" x14ac:dyDescent="0.3">
      <c r="S350" s="15" t="str">
        <f>'Conjunto de Datos'!BB351</f>
        <v>707</v>
      </c>
      <c r="T350" s="15">
        <f>'Conjunto de Datos'!BF351</f>
        <v>349</v>
      </c>
      <c r="U350" s="6">
        <f>sala!I350</f>
        <v>4063</v>
      </c>
      <c r="V350" cm="1">
        <f t="array" ref="V350">SUM(IF(Cocina!A:A=Tabla8[[#This Row],[Numero de Orden]],Cocina!F:F*Cocina!G:G,0))</f>
        <v>152</v>
      </c>
      <c r="W350">
        <f>IF(Tabla8[[#This Row],[Cobrado]]="Cobrada",Tabla8[[#This Row],[Propina]]+Tabla8[[#This Row],[Precio Cena]],0)</f>
        <v>4215</v>
      </c>
      <c r="X350" t="str">
        <f>INDEX(sala!G:G, MATCH(Tabla8[[#This Row],[Numero de Orden]], sala!K:K, 0))</f>
        <v>Desayuno</v>
      </c>
      <c r="Y350" t="str">
        <f>'Conjunto de Datos'!J351</f>
        <v>Cobrada</v>
      </c>
      <c r="Z350" t="str">
        <f>INDEX(sala!H:H, MATCH(Tabla8[[#This Row],[Numero de Orden]], sala!K:K, 0))</f>
        <v>Tarjeta de crédito</v>
      </c>
      <c r="AA350" s="3">
        <f>'Conjunto de Datos'!D351</f>
        <v>45020</v>
      </c>
      <c r="AB350" t="str">
        <f>INDEX(sala!L:L, MATCH(Tabla8[[#This Row],[Numero de Orden]], sala!K:K, 0))</f>
        <v>Brasil</v>
      </c>
      <c r="AC350" t="str">
        <f>'Conjunto de Datos'!N351</f>
        <v>Mesero_5</v>
      </c>
      <c r="AD350">
        <f>Tabla8[[#This Row],[Propina]]+Tabla8[[#This Row],[Precio Cena]]</f>
        <v>4215</v>
      </c>
      <c r="AE350" s="45">
        <f t="shared" si="13"/>
        <v>152</v>
      </c>
    </row>
    <row r="351" spans="19:31" x14ac:dyDescent="0.3">
      <c r="S351" t="str">
        <f>'Conjunto de Datos'!BB352</f>
        <v>644</v>
      </c>
      <c r="T351">
        <f>'Conjunto de Datos'!BF352</f>
        <v>350</v>
      </c>
      <c r="U351" s="7">
        <f>sala!I351</f>
        <v>3621</v>
      </c>
      <c r="V351" cm="1">
        <f t="array" ref="V351">SUM(IF(Cocina!A:A=Tabla8[[#This Row],[Numero de Orden]],Cocina!F:F*Cocina!G:G,0))</f>
        <v>143</v>
      </c>
      <c r="W351">
        <f>IF(Tabla8[[#This Row],[Cobrado]]="Cobrada",Tabla8[[#This Row],[Propina]]+Tabla8[[#This Row],[Precio Cena]],0)</f>
        <v>3764</v>
      </c>
      <c r="X351" t="str">
        <f>INDEX(sala!G:G, MATCH(Tabla8[[#This Row],[Numero de Orden]], sala!K:K, 0))</f>
        <v>Desayuno</v>
      </c>
      <c r="Y351" t="str">
        <f>'Conjunto de Datos'!J352</f>
        <v>Cobrada</v>
      </c>
      <c r="Z351" t="str">
        <f>INDEX(sala!H:H, MATCH(Tabla8[[#This Row],[Numero de Orden]], sala!K:K, 0))</f>
        <v>Tarjeta de débito</v>
      </c>
      <c r="AA351" s="3">
        <f>'Conjunto de Datos'!D352</f>
        <v>45020</v>
      </c>
      <c r="AB351" t="str">
        <f>INDEX(sala!L:L, MATCH(Tabla8[[#This Row],[Numero de Orden]], sala!K:K, 0))</f>
        <v>Colombia</v>
      </c>
      <c r="AC351" t="str">
        <f>'Conjunto de Datos'!N352</f>
        <v>Mesero_5</v>
      </c>
      <c r="AD351">
        <f>Tabla8[[#This Row],[Propina]]+Tabla8[[#This Row],[Precio Cena]]</f>
        <v>3764</v>
      </c>
      <c r="AE351" s="45">
        <f t="shared" si="13"/>
        <v>143</v>
      </c>
    </row>
    <row r="352" spans="19:31" x14ac:dyDescent="0.3">
      <c r="S352" s="15" t="str">
        <f>'Conjunto de Datos'!BB353</f>
        <v>619</v>
      </c>
      <c r="T352" s="15">
        <f>'Conjunto de Datos'!BF353</f>
        <v>351</v>
      </c>
      <c r="U352" s="6">
        <f>sala!I352</f>
        <v>4893</v>
      </c>
      <c r="V352" cm="1">
        <f t="array" ref="V352">SUM(IF(Cocina!A:A=Tabla8[[#This Row],[Numero de Orden]],Cocina!F:F*Cocina!G:G,0))</f>
        <v>201</v>
      </c>
      <c r="W352">
        <f>IF(Tabla8[[#This Row],[Cobrado]]="Cobrada",Tabla8[[#This Row],[Propina]]+Tabla8[[#This Row],[Precio Cena]],0)</f>
        <v>5094</v>
      </c>
      <c r="X352" t="str">
        <f>INDEX(sala!G:G, MATCH(Tabla8[[#This Row],[Numero de Orden]], sala!K:K, 0))</f>
        <v>Desayuno</v>
      </c>
      <c r="Y352" t="str">
        <f>'Conjunto de Datos'!J353</f>
        <v>Cobrada</v>
      </c>
      <c r="Z352" t="str">
        <f>INDEX(sala!H:H, MATCH(Tabla8[[#This Row],[Numero de Orden]], sala!K:K, 0))</f>
        <v>Tarjeta de crédito</v>
      </c>
      <c r="AA352" s="3">
        <f>'Conjunto de Datos'!D353</f>
        <v>45020</v>
      </c>
      <c r="AB352" t="str">
        <f>INDEX(sala!L:L, MATCH(Tabla8[[#This Row],[Numero de Orden]], sala!K:K, 0))</f>
        <v>Brasil</v>
      </c>
      <c r="AC352" t="str">
        <f>'Conjunto de Datos'!N353</f>
        <v>Mesero_1</v>
      </c>
      <c r="AD352">
        <f>Tabla8[[#This Row],[Propina]]+Tabla8[[#This Row],[Precio Cena]]</f>
        <v>5094</v>
      </c>
      <c r="AE352" s="45">
        <f t="shared" si="13"/>
        <v>201</v>
      </c>
    </row>
    <row r="353" spans="19:31" x14ac:dyDescent="0.3">
      <c r="S353" t="str">
        <f>'Conjunto de Datos'!BB354</f>
        <v>780</v>
      </c>
      <c r="T353">
        <f>'Conjunto de Datos'!BF354</f>
        <v>352</v>
      </c>
      <c r="U353" s="7">
        <f>sala!I353</f>
        <v>1755</v>
      </c>
      <c r="V353" cm="1">
        <f t="array" ref="V353">SUM(IF(Cocina!A:A=Tabla8[[#This Row],[Numero de Orden]],Cocina!F:F*Cocina!G:G,0))</f>
        <v>99</v>
      </c>
      <c r="W353">
        <f>IF(Tabla8[[#This Row],[Cobrado]]="Cobrada",Tabla8[[#This Row],[Propina]]+Tabla8[[#This Row],[Precio Cena]],0)</f>
        <v>1854</v>
      </c>
      <c r="X353" t="str">
        <f>INDEX(sala!G:G, MATCH(Tabla8[[#This Row],[Numero de Orden]], sala!K:K, 0))</f>
        <v>Desayuno</v>
      </c>
      <c r="Y353" t="str">
        <f>'Conjunto de Datos'!J354</f>
        <v>Cobrada</v>
      </c>
      <c r="Z353" t="str">
        <f>INDEX(sala!H:H, MATCH(Tabla8[[#This Row],[Numero de Orden]], sala!K:K, 0))</f>
        <v>Efectivo</v>
      </c>
      <c r="AA353" s="3">
        <f>'Conjunto de Datos'!D354</f>
        <v>45020</v>
      </c>
      <c r="AB353" t="str">
        <f>INDEX(sala!L:L, MATCH(Tabla8[[#This Row],[Numero de Orden]], sala!K:K, 0))</f>
        <v>Paraguay</v>
      </c>
      <c r="AC353" t="str">
        <f>'Conjunto de Datos'!N354</f>
        <v>Mesero_3</v>
      </c>
      <c r="AD353">
        <f>Tabla8[[#This Row],[Propina]]+Tabla8[[#This Row],[Precio Cena]]</f>
        <v>1854</v>
      </c>
      <c r="AE353" s="45">
        <f t="shared" si="13"/>
        <v>99</v>
      </c>
    </row>
    <row r="354" spans="19:31" x14ac:dyDescent="0.3">
      <c r="S354" s="15" t="str">
        <f>'Conjunto de Datos'!BB355</f>
        <v>833</v>
      </c>
      <c r="T354" s="15">
        <f>'Conjunto de Datos'!BF355</f>
        <v>353</v>
      </c>
      <c r="U354" s="6">
        <f>sala!I354</f>
        <v>2737</v>
      </c>
      <c r="V354" cm="1">
        <f t="array" ref="V354">SUM(IF(Cocina!A:A=Tabla8[[#This Row],[Numero de Orden]],Cocina!F:F*Cocina!G:G,0))</f>
        <v>212</v>
      </c>
      <c r="W354">
        <f>IF(Tabla8[[#This Row],[Cobrado]]="Cobrada",Tabla8[[#This Row],[Propina]]+Tabla8[[#This Row],[Precio Cena]],0)</f>
        <v>2949</v>
      </c>
      <c r="X354" t="str">
        <f>INDEX(sala!G:G, MATCH(Tabla8[[#This Row],[Numero de Orden]], sala!K:K, 0))</f>
        <v>Cena</v>
      </c>
      <c r="Y354" t="str">
        <f>'Conjunto de Datos'!J355</f>
        <v>Cobrada</v>
      </c>
      <c r="Z354" t="str">
        <f>INDEX(sala!H:H, MATCH(Tabla8[[#This Row],[Numero de Orden]], sala!K:K, 0))</f>
        <v>Tarjeta de crédito</v>
      </c>
      <c r="AA354" s="3">
        <f>'Conjunto de Datos'!D355</f>
        <v>45020</v>
      </c>
      <c r="AB354" t="str">
        <f>INDEX(sala!L:L, MATCH(Tabla8[[#This Row],[Numero de Orden]], sala!K:K, 0))</f>
        <v>Brasil</v>
      </c>
      <c r="AC354" t="str">
        <f>'Conjunto de Datos'!N355</f>
        <v>Mesero_5</v>
      </c>
      <c r="AD354">
        <f>Tabla8[[#This Row],[Propina]]+Tabla8[[#This Row],[Precio Cena]]</f>
        <v>2949</v>
      </c>
      <c r="AE354" s="45">
        <f t="shared" si="13"/>
        <v>212</v>
      </c>
    </row>
    <row r="355" spans="19:31" x14ac:dyDescent="0.3">
      <c r="S355" t="str">
        <f>'Conjunto de Datos'!BB356</f>
        <v>899</v>
      </c>
      <c r="T355">
        <f>'Conjunto de Datos'!BF356</f>
        <v>354</v>
      </c>
      <c r="U355" s="7">
        <f>sala!I355</f>
        <v>2958</v>
      </c>
      <c r="V355" cm="1">
        <f t="array" ref="V355">SUM(IF(Cocina!A:A=Tabla8[[#This Row],[Numero de Orden]],Cocina!F:F*Cocina!G:G,0))</f>
        <v>181</v>
      </c>
      <c r="W355">
        <f>IF(Tabla8[[#This Row],[Cobrado]]="Cobrada",Tabla8[[#This Row],[Propina]]+Tabla8[[#This Row],[Precio Cena]],0)</f>
        <v>3139</v>
      </c>
      <c r="X355" t="str">
        <f>INDEX(sala!G:G, MATCH(Tabla8[[#This Row],[Numero de Orden]], sala!K:K, 0))</f>
        <v>Desayuno</v>
      </c>
      <c r="Y355" t="str">
        <f>'Conjunto de Datos'!J356</f>
        <v>Cobrada</v>
      </c>
      <c r="Z355" t="str">
        <f>INDEX(sala!H:H, MATCH(Tabla8[[#This Row],[Numero de Orden]], sala!K:K, 0))</f>
        <v>Tarjeta de crédito</v>
      </c>
      <c r="AA355" s="3">
        <f>'Conjunto de Datos'!D356</f>
        <v>45020</v>
      </c>
      <c r="AB355" t="str">
        <f>INDEX(sala!L:L, MATCH(Tabla8[[#This Row],[Numero de Orden]], sala!K:K, 0))</f>
        <v>Paraguay</v>
      </c>
      <c r="AC355" t="str">
        <f>'Conjunto de Datos'!N356</f>
        <v>Mesero_5</v>
      </c>
      <c r="AD355">
        <f>Tabla8[[#This Row],[Propina]]+Tabla8[[#This Row],[Precio Cena]]</f>
        <v>3139</v>
      </c>
      <c r="AE355" s="45">
        <f t="shared" si="13"/>
        <v>181</v>
      </c>
    </row>
    <row r="356" spans="19:31" x14ac:dyDescent="0.3">
      <c r="S356" s="15" t="str">
        <f>'Conjunto de Datos'!BB357</f>
        <v>523</v>
      </c>
      <c r="T356" s="15">
        <f>'Conjunto de Datos'!BF357</f>
        <v>355</v>
      </c>
      <c r="U356" s="6">
        <f>sala!I356</f>
        <v>3053</v>
      </c>
      <c r="V356" cm="1">
        <f t="array" ref="V356">SUM(IF(Cocina!A:A=Tabla8[[#This Row],[Numero de Orden]],Cocina!F:F*Cocina!G:G,0))</f>
        <v>26</v>
      </c>
      <c r="W356">
        <f>IF(Tabla8[[#This Row],[Cobrado]]="Cobrada",Tabla8[[#This Row],[Propina]]+Tabla8[[#This Row],[Precio Cena]],0)</f>
        <v>3079</v>
      </c>
      <c r="X356" t="str">
        <f>INDEX(sala!G:G, MATCH(Tabla8[[#This Row],[Numero de Orden]], sala!K:K, 0))</f>
        <v>Desayuno</v>
      </c>
      <c r="Y356" t="str">
        <f>'Conjunto de Datos'!J357</f>
        <v>Cobrada</v>
      </c>
      <c r="Z356" t="str">
        <f>INDEX(sala!H:H, MATCH(Tabla8[[#This Row],[Numero de Orden]], sala!K:K, 0))</f>
        <v>Tarjeta de crédito</v>
      </c>
      <c r="AA356" s="3">
        <f>'Conjunto de Datos'!D357</f>
        <v>45020</v>
      </c>
      <c r="AB356" t="str">
        <f>INDEX(sala!L:L, MATCH(Tabla8[[#This Row],[Numero de Orden]], sala!K:K, 0))</f>
        <v>España</v>
      </c>
      <c r="AC356" t="str">
        <f>'Conjunto de Datos'!N357</f>
        <v>Mesero_5</v>
      </c>
      <c r="AD356">
        <f>Tabla8[[#This Row],[Propina]]+Tabla8[[#This Row],[Precio Cena]]</f>
        <v>3079</v>
      </c>
      <c r="AE356" s="45">
        <f t="shared" si="13"/>
        <v>26</v>
      </c>
    </row>
    <row r="357" spans="19:31" x14ac:dyDescent="0.3">
      <c r="S357" t="str">
        <f>'Conjunto de Datos'!BB358</f>
        <v>498</v>
      </c>
      <c r="T357">
        <f>'Conjunto de Datos'!BF358</f>
        <v>356</v>
      </c>
      <c r="U357" s="7">
        <f>sala!I357</f>
        <v>2892</v>
      </c>
      <c r="V357" cm="1">
        <f t="array" ref="V357">SUM(IF(Cocina!A:A=Tabla8[[#This Row],[Numero de Orden]],Cocina!F:F*Cocina!G:G,0))</f>
        <v>36</v>
      </c>
      <c r="W357">
        <f>IF(Tabla8[[#This Row],[Cobrado]]="Cobrada",Tabla8[[#This Row],[Propina]]+Tabla8[[#This Row],[Precio Cena]],0)</f>
        <v>2928</v>
      </c>
      <c r="X357" t="str">
        <f>INDEX(sala!G:G, MATCH(Tabla8[[#This Row],[Numero de Orden]], sala!K:K, 0))</f>
        <v>Desayuno</v>
      </c>
      <c r="Y357" t="str">
        <f>'Conjunto de Datos'!J358</f>
        <v>Cobrada</v>
      </c>
      <c r="Z357" t="str">
        <f>INDEX(sala!H:H, MATCH(Tabla8[[#This Row],[Numero de Orden]], sala!K:K, 0))</f>
        <v>Tarjeta de crédito</v>
      </c>
      <c r="AA357" s="3">
        <f>'Conjunto de Datos'!D358</f>
        <v>45020</v>
      </c>
      <c r="AB357" t="str">
        <f>INDEX(sala!L:L, MATCH(Tabla8[[#This Row],[Numero de Orden]], sala!K:K, 0))</f>
        <v>Brasil</v>
      </c>
      <c r="AC357" t="str">
        <f>'Conjunto de Datos'!N358</f>
        <v>Mesero_3</v>
      </c>
      <c r="AD357">
        <f>Tabla8[[#This Row],[Propina]]+Tabla8[[#This Row],[Precio Cena]]</f>
        <v>2928</v>
      </c>
      <c r="AE357" s="45">
        <f t="shared" si="13"/>
        <v>36</v>
      </c>
    </row>
    <row r="358" spans="19:31" x14ac:dyDescent="0.3">
      <c r="S358" s="15" t="str">
        <f>'Conjunto de Datos'!BB359</f>
        <v>470</v>
      </c>
      <c r="T358" s="15">
        <f>'Conjunto de Datos'!BF359</f>
        <v>357</v>
      </c>
      <c r="U358" s="6">
        <f>sala!I358</f>
        <v>2687</v>
      </c>
      <c r="V358" cm="1">
        <f t="array" ref="V358">SUM(IF(Cocina!A:A=Tabla8[[#This Row],[Numero de Orden]],Cocina!F:F*Cocina!G:G,0))</f>
        <v>168</v>
      </c>
      <c r="W358">
        <f>IF(Tabla8[[#This Row],[Cobrado]]="Cobrada",Tabla8[[#This Row],[Propina]]+Tabla8[[#This Row],[Precio Cena]],0)</f>
        <v>2855</v>
      </c>
      <c r="X358" t="str">
        <f>INDEX(sala!G:G, MATCH(Tabla8[[#This Row],[Numero de Orden]], sala!K:K, 0))</f>
        <v>Desayuno</v>
      </c>
      <c r="Y358" t="str">
        <f>'Conjunto de Datos'!J359</f>
        <v>Cobrada</v>
      </c>
      <c r="Z358" t="str">
        <f>INDEX(sala!H:H, MATCH(Tabla8[[#This Row],[Numero de Orden]], sala!K:K, 0))</f>
        <v>Tarjeta de débito</v>
      </c>
      <c r="AA358" s="3">
        <f>'Conjunto de Datos'!D359</f>
        <v>45020</v>
      </c>
      <c r="AB358" t="str">
        <f>INDEX(sala!L:L, MATCH(Tabla8[[#This Row],[Numero de Orden]], sala!K:K, 0))</f>
        <v>Chile</v>
      </c>
      <c r="AC358" t="str">
        <f>'Conjunto de Datos'!N359</f>
        <v>Mesero_3</v>
      </c>
      <c r="AD358">
        <f>Tabla8[[#This Row],[Propina]]+Tabla8[[#This Row],[Precio Cena]]</f>
        <v>2855</v>
      </c>
      <c r="AE358" s="45">
        <f t="shared" si="13"/>
        <v>168</v>
      </c>
    </row>
    <row r="359" spans="19:31" x14ac:dyDescent="0.3">
      <c r="S359" t="str">
        <f>'Conjunto de Datos'!BB360</f>
        <v>827</v>
      </c>
      <c r="T359">
        <f>'Conjunto de Datos'!BF360</f>
        <v>358</v>
      </c>
      <c r="U359" s="7">
        <f>sala!I359</f>
        <v>421</v>
      </c>
      <c r="V359" cm="1">
        <f t="array" ref="V359">SUM(IF(Cocina!A:A=Tabla8[[#This Row],[Numero de Orden]],Cocina!F:F*Cocina!G:G,0))</f>
        <v>166</v>
      </c>
      <c r="W359">
        <f>IF(Tabla8[[#This Row],[Cobrado]]="Cobrada",Tabla8[[#This Row],[Propina]]+Tabla8[[#This Row],[Precio Cena]],0)</f>
        <v>587</v>
      </c>
      <c r="X359" t="str">
        <f>INDEX(sala!G:G, MATCH(Tabla8[[#This Row],[Numero de Orden]], sala!K:K, 0))</f>
        <v>Cena</v>
      </c>
      <c r="Y359" t="str">
        <f>'Conjunto de Datos'!J360</f>
        <v>Cobrada</v>
      </c>
      <c r="Z359" t="str">
        <f>INDEX(sala!H:H, MATCH(Tabla8[[#This Row],[Numero de Orden]], sala!K:K, 0))</f>
        <v>Tarjeta de crédito</v>
      </c>
      <c r="AA359" s="3">
        <f>'Conjunto de Datos'!D360</f>
        <v>45020</v>
      </c>
      <c r="AB359" t="str">
        <f>INDEX(sala!L:L, MATCH(Tabla8[[#This Row],[Numero de Orden]], sala!K:K, 0))</f>
        <v>Uruguay</v>
      </c>
      <c r="AC359" t="str">
        <f>'Conjunto de Datos'!N360</f>
        <v>Mesero_5</v>
      </c>
      <c r="AD359">
        <f>Tabla8[[#This Row],[Propina]]+Tabla8[[#This Row],[Precio Cena]]</f>
        <v>587</v>
      </c>
      <c r="AE359" s="45">
        <f t="shared" si="13"/>
        <v>166</v>
      </c>
    </row>
    <row r="360" spans="19:31" x14ac:dyDescent="0.3">
      <c r="S360" s="15" t="str">
        <f>'Conjunto de Datos'!BB361</f>
        <v>92</v>
      </c>
      <c r="T360" s="15">
        <f>'Conjunto de Datos'!BF361</f>
        <v>359</v>
      </c>
      <c r="U360" s="6">
        <f>sala!I360</f>
        <v>122</v>
      </c>
      <c r="V360" cm="1">
        <f t="array" ref="V360">SUM(IF(Cocina!A:A=Tabla8[[#This Row],[Numero de Orden]],Cocina!F:F*Cocina!G:G,0))</f>
        <v>190</v>
      </c>
      <c r="W360">
        <f>IF(Tabla8[[#This Row],[Cobrado]]="Cobrada",Tabla8[[#This Row],[Propina]]+Tabla8[[#This Row],[Precio Cena]],0)</f>
        <v>312</v>
      </c>
      <c r="X360" t="str">
        <f>INDEX(sala!G:G, MATCH(Tabla8[[#This Row],[Numero de Orden]], sala!K:K, 0))</f>
        <v>Almuerzo</v>
      </c>
      <c r="Y360" t="str">
        <f>'Conjunto de Datos'!J361</f>
        <v>Cobrada</v>
      </c>
      <c r="Z360" t="str">
        <f>INDEX(sala!H:H, MATCH(Tabla8[[#This Row],[Numero de Orden]], sala!K:K, 0))</f>
        <v>Tarjeta de crédito</v>
      </c>
      <c r="AA360" s="3">
        <f>'Conjunto de Datos'!D361</f>
        <v>45020</v>
      </c>
      <c r="AB360" t="str">
        <f>INDEX(sala!L:L, MATCH(Tabla8[[#This Row],[Numero de Orden]], sala!K:K, 0))</f>
        <v>Perú</v>
      </c>
      <c r="AC360" t="str">
        <f>'Conjunto de Datos'!N361</f>
        <v>Mesero_2</v>
      </c>
      <c r="AD360">
        <f>Tabla8[[#This Row],[Propina]]+Tabla8[[#This Row],[Precio Cena]]</f>
        <v>312</v>
      </c>
      <c r="AE360" s="45">
        <f t="shared" si="13"/>
        <v>190</v>
      </c>
    </row>
    <row r="361" spans="19:31" x14ac:dyDescent="0.3">
      <c r="S361" t="str">
        <f>'Conjunto de Datos'!BB362</f>
        <v>191</v>
      </c>
      <c r="T361">
        <f>'Conjunto de Datos'!BF362</f>
        <v>360</v>
      </c>
      <c r="U361" s="7">
        <f>sala!I361</f>
        <v>3926</v>
      </c>
      <c r="V361" cm="1">
        <f t="array" ref="V361">SUM(IF(Cocina!A:A=Tabla8[[#This Row],[Numero de Orden]],Cocina!F:F*Cocina!G:G,0))</f>
        <v>233</v>
      </c>
      <c r="W361">
        <f>IF(Tabla8[[#This Row],[Cobrado]]="Cobrada",Tabla8[[#This Row],[Propina]]+Tabla8[[#This Row],[Precio Cena]],0)</f>
        <v>4159</v>
      </c>
      <c r="X361" t="str">
        <f>INDEX(sala!G:G, MATCH(Tabla8[[#This Row],[Numero de Orden]], sala!K:K, 0))</f>
        <v>Almuerzo</v>
      </c>
      <c r="Y361" t="str">
        <f>'Conjunto de Datos'!J362</f>
        <v>Cobrada</v>
      </c>
      <c r="Z361" t="str">
        <f>INDEX(sala!H:H, MATCH(Tabla8[[#This Row],[Numero de Orden]], sala!K:K, 0))</f>
        <v>Tarjeta de crédito</v>
      </c>
      <c r="AA361" s="3">
        <f>'Conjunto de Datos'!D362</f>
        <v>45020</v>
      </c>
      <c r="AB361" t="str">
        <f>INDEX(sala!L:L, MATCH(Tabla8[[#This Row],[Numero de Orden]], sala!K:K, 0))</f>
        <v>Perú</v>
      </c>
      <c r="AC361" t="str">
        <f>'Conjunto de Datos'!N362</f>
        <v>Mesero_3</v>
      </c>
      <c r="AD361">
        <f>Tabla8[[#This Row],[Propina]]+Tabla8[[#This Row],[Precio Cena]]</f>
        <v>4159</v>
      </c>
      <c r="AE361" s="45">
        <f t="shared" si="13"/>
        <v>233</v>
      </c>
    </row>
    <row r="362" spans="19:31" x14ac:dyDescent="0.3">
      <c r="S362" s="15" t="str">
        <f>'Conjunto de Datos'!BB363</f>
        <v>183</v>
      </c>
      <c r="T362" s="15">
        <f>'Conjunto de Datos'!BF363</f>
        <v>361</v>
      </c>
      <c r="U362" s="6">
        <f>sala!I362</f>
        <v>4173</v>
      </c>
      <c r="V362" cm="1">
        <f t="array" ref="V362">SUM(IF(Cocina!A:A=Tabla8[[#This Row],[Numero de Orden]],Cocina!F:F*Cocina!G:G,0))</f>
        <v>101</v>
      </c>
      <c r="W362">
        <f>IF(Tabla8[[#This Row],[Cobrado]]="Cobrada",Tabla8[[#This Row],[Propina]]+Tabla8[[#This Row],[Precio Cena]],0)</f>
        <v>4274</v>
      </c>
      <c r="X362" t="str">
        <f>INDEX(sala!G:G, MATCH(Tabla8[[#This Row],[Numero de Orden]], sala!K:K, 0))</f>
        <v>Cena</v>
      </c>
      <c r="Y362" t="str">
        <f>'Conjunto de Datos'!J363</f>
        <v>Cobrada</v>
      </c>
      <c r="Z362" t="str">
        <f>INDEX(sala!H:H, MATCH(Tabla8[[#This Row],[Numero de Orden]], sala!K:K, 0))</f>
        <v>Efectivo</v>
      </c>
      <c r="AA362" s="3">
        <f>'Conjunto de Datos'!D363</f>
        <v>45020</v>
      </c>
      <c r="AB362" t="str">
        <f>INDEX(sala!L:L, MATCH(Tabla8[[#This Row],[Numero de Orden]], sala!K:K, 0))</f>
        <v>Colombia</v>
      </c>
      <c r="AC362" t="str">
        <f>'Conjunto de Datos'!N363</f>
        <v>Mesero_2</v>
      </c>
      <c r="AD362">
        <f>Tabla8[[#This Row],[Propina]]+Tabla8[[#This Row],[Precio Cena]]</f>
        <v>4274</v>
      </c>
      <c r="AE362" s="45">
        <f t="shared" si="13"/>
        <v>101</v>
      </c>
    </row>
    <row r="363" spans="19:31" x14ac:dyDescent="0.3">
      <c r="S363" t="str">
        <f>'Conjunto de Datos'!BB364</f>
        <v>681</v>
      </c>
      <c r="T363">
        <f>'Conjunto de Datos'!BF364</f>
        <v>362</v>
      </c>
      <c r="U363" s="7">
        <f>sala!I363</f>
        <v>4721</v>
      </c>
      <c r="V363" cm="1">
        <f t="array" ref="V363">SUM(IF(Cocina!A:A=Tabla8[[#This Row],[Numero de Orden]],Cocina!F:F*Cocina!G:G,0))</f>
        <v>62</v>
      </c>
      <c r="W363">
        <f>IF(Tabla8[[#This Row],[Cobrado]]="Cobrada",Tabla8[[#This Row],[Propina]]+Tabla8[[#This Row],[Precio Cena]],0)</f>
        <v>4783</v>
      </c>
      <c r="X363" t="str">
        <f>INDEX(sala!G:G, MATCH(Tabla8[[#This Row],[Numero de Orden]], sala!K:K, 0))</f>
        <v>Almuerzo</v>
      </c>
      <c r="Y363" t="str">
        <f>'Conjunto de Datos'!J364</f>
        <v>Cobrada</v>
      </c>
      <c r="Z363" t="str">
        <f>INDEX(sala!H:H, MATCH(Tabla8[[#This Row],[Numero de Orden]], sala!K:K, 0))</f>
        <v>Tarjeta de crédito</v>
      </c>
      <c r="AA363" s="3">
        <f>'Conjunto de Datos'!D364</f>
        <v>45020</v>
      </c>
      <c r="AB363" t="str">
        <f>INDEX(sala!L:L, MATCH(Tabla8[[#This Row],[Numero de Orden]], sala!K:K, 0))</f>
        <v>Uruguay</v>
      </c>
      <c r="AC363" t="str">
        <f>'Conjunto de Datos'!N364</f>
        <v>Mesero_1</v>
      </c>
      <c r="AD363">
        <f>Tabla8[[#This Row],[Propina]]+Tabla8[[#This Row],[Precio Cena]]</f>
        <v>4783</v>
      </c>
      <c r="AE363" s="45">
        <f t="shared" si="13"/>
        <v>62</v>
      </c>
    </row>
    <row r="364" spans="19:31" x14ac:dyDescent="0.3">
      <c r="S364" s="15" t="str">
        <f>'Conjunto de Datos'!BB365</f>
        <v>499</v>
      </c>
      <c r="T364" s="15">
        <f>'Conjunto de Datos'!BF365</f>
        <v>363</v>
      </c>
      <c r="U364" s="6">
        <f>sala!I364</f>
        <v>4902</v>
      </c>
      <c r="V364" cm="1">
        <f t="array" ref="V364">SUM(IF(Cocina!A:A=Tabla8[[#This Row],[Numero de Orden]],Cocina!F:F*Cocina!G:G,0))</f>
        <v>240</v>
      </c>
      <c r="W364">
        <f>IF(Tabla8[[#This Row],[Cobrado]]="Cobrada",Tabla8[[#This Row],[Propina]]+Tabla8[[#This Row],[Precio Cena]],0)</f>
        <v>0</v>
      </c>
      <c r="X364" t="str">
        <f>INDEX(sala!G:G, MATCH(Tabla8[[#This Row],[Numero de Orden]], sala!K:K, 0))</f>
        <v>Almuerzo</v>
      </c>
      <c r="Y364" t="str">
        <f>'Conjunto de Datos'!J365</f>
        <v>No Cobrada</v>
      </c>
      <c r="Z364" t="str">
        <f>INDEX(sala!H:H, MATCH(Tabla8[[#This Row],[Numero de Orden]], sala!K:K, 0))</f>
        <v>Tarjeta de crédito</v>
      </c>
      <c r="AA364" s="3">
        <f>'Conjunto de Datos'!D365</f>
        <v>45020</v>
      </c>
      <c r="AB364" t="str">
        <f>INDEX(sala!L:L, MATCH(Tabla8[[#This Row],[Numero de Orden]], sala!K:K, 0))</f>
        <v>Brasil</v>
      </c>
      <c r="AC364" t="str">
        <f>'Conjunto de Datos'!N365</f>
        <v>Mesero_3</v>
      </c>
      <c r="AD364">
        <f>Tabla8[[#This Row],[Propina]]+Tabla8[[#This Row],[Precio Cena]]</f>
        <v>5142</v>
      </c>
      <c r="AE364" s="45">
        <f t="shared" si="13"/>
        <v>0</v>
      </c>
    </row>
    <row r="365" spans="19:31" x14ac:dyDescent="0.3">
      <c r="S365" t="str">
        <f>'Conjunto de Datos'!BB366</f>
        <v>495</v>
      </c>
      <c r="T365">
        <f>'Conjunto de Datos'!BF366</f>
        <v>364</v>
      </c>
      <c r="U365" s="7">
        <f>sala!I365</f>
        <v>4828</v>
      </c>
      <c r="V365" cm="1">
        <f t="array" ref="V365">SUM(IF(Cocina!A:A=Tabla8[[#This Row],[Numero de Orden]],Cocina!F:F*Cocina!G:G,0))</f>
        <v>157</v>
      </c>
      <c r="W365">
        <f>IF(Tabla8[[#This Row],[Cobrado]]="Cobrada",Tabla8[[#This Row],[Propina]]+Tabla8[[#This Row],[Precio Cena]],0)</f>
        <v>4985</v>
      </c>
      <c r="X365" t="str">
        <f>INDEX(sala!G:G, MATCH(Tabla8[[#This Row],[Numero de Orden]], sala!K:K, 0))</f>
        <v>Almuerzo</v>
      </c>
      <c r="Y365" t="str">
        <f>'Conjunto de Datos'!J366</f>
        <v>Cobrada</v>
      </c>
      <c r="Z365" t="str">
        <f>INDEX(sala!H:H, MATCH(Tabla8[[#This Row],[Numero de Orden]], sala!K:K, 0))</f>
        <v>Tarjeta de débito</v>
      </c>
      <c r="AA365" s="3">
        <f>'Conjunto de Datos'!D366</f>
        <v>45020</v>
      </c>
      <c r="AB365" t="str">
        <f>INDEX(sala!L:L, MATCH(Tabla8[[#This Row],[Numero de Orden]], sala!K:K, 0))</f>
        <v>Brasil</v>
      </c>
      <c r="AC365" t="str">
        <f>'Conjunto de Datos'!N366</f>
        <v>Mesero_5</v>
      </c>
      <c r="AD365">
        <f>Tabla8[[#This Row],[Propina]]+Tabla8[[#This Row],[Precio Cena]]</f>
        <v>4985</v>
      </c>
      <c r="AE365" s="45">
        <f t="shared" si="13"/>
        <v>157</v>
      </c>
    </row>
    <row r="366" spans="19:31" x14ac:dyDescent="0.3">
      <c r="S366" s="15" t="str">
        <f>'Conjunto de Datos'!BB367</f>
        <v>54</v>
      </c>
      <c r="T366" s="15">
        <f>'Conjunto de Datos'!BF367</f>
        <v>365</v>
      </c>
      <c r="U366" s="6">
        <f>sala!I366</f>
        <v>3497</v>
      </c>
      <c r="V366" cm="1">
        <f t="array" ref="V366">SUM(IF(Cocina!A:A=Tabla8[[#This Row],[Numero de Orden]],Cocina!F:F*Cocina!G:G,0))</f>
        <v>108</v>
      </c>
      <c r="W366">
        <f>IF(Tabla8[[#This Row],[Cobrado]]="Cobrada",Tabla8[[#This Row],[Propina]]+Tabla8[[#This Row],[Precio Cena]],0)</f>
        <v>3605</v>
      </c>
      <c r="X366" t="str">
        <f>INDEX(sala!G:G, MATCH(Tabla8[[#This Row],[Numero de Orden]], sala!K:K, 0))</f>
        <v>Almuerzo</v>
      </c>
      <c r="Y366" t="str">
        <f>'Conjunto de Datos'!J367</f>
        <v>Cobrada</v>
      </c>
      <c r="Z366" t="str">
        <f>INDEX(sala!H:H, MATCH(Tabla8[[#This Row],[Numero de Orden]], sala!K:K, 0))</f>
        <v>Efectivo</v>
      </c>
      <c r="AA366" s="3">
        <f>'Conjunto de Datos'!D367</f>
        <v>45020</v>
      </c>
      <c r="AB366" t="str">
        <f>INDEX(sala!L:L, MATCH(Tabla8[[#This Row],[Numero de Orden]], sala!K:K, 0))</f>
        <v>Chile</v>
      </c>
      <c r="AC366" t="str">
        <f>'Conjunto de Datos'!N367</f>
        <v>Mesero_3</v>
      </c>
      <c r="AD366">
        <f>Tabla8[[#This Row],[Propina]]+Tabla8[[#This Row],[Precio Cena]]</f>
        <v>3605</v>
      </c>
      <c r="AE366" s="45">
        <f t="shared" si="13"/>
        <v>108</v>
      </c>
    </row>
    <row r="367" spans="19:31" x14ac:dyDescent="0.3">
      <c r="S367" t="str">
        <f>'Conjunto de Datos'!BB368</f>
        <v>923</v>
      </c>
      <c r="T367">
        <f>'Conjunto de Datos'!BF368</f>
        <v>366</v>
      </c>
      <c r="U367" s="7">
        <f>sala!I367</f>
        <v>1057</v>
      </c>
      <c r="V367" cm="1">
        <f t="array" ref="V367">SUM(IF(Cocina!A:A=Tabla8[[#This Row],[Numero de Orden]],Cocina!F:F*Cocina!G:G,0))</f>
        <v>239</v>
      </c>
      <c r="W367">
        <f>IF(Tabla8[[#This Row],[Cobrado]]="Cobrada",Tabla8[[#This Row],[Propina]]+Tabla8[[#This Row],[Precio Cena]],0)</f>
        <v>1296</v>
      </c>
      <c r="X367" t="str">
        <f>INDEX(sala!G:G, MATCH(Tabla8[[#This Row],[Numero de Orden]], sala!K:K, 0))</f>
        <v>Almuerzo</v>
      </c>
      <c r="Y367" t="str">
        <f>'Conjunto de Datos'!J368</f>
        <v>Cobrada</v>
      </c>
      <c r="Z367" t="str">
        <f>INDEX(sala!H:H, MATCH(Tabla8[[#This Row],[Numero de Orden]], sala!K:K, 0))</f>
        <v>Efectivo</v>
      </c>
      <c r="AA367" s="3">
        <f>'Conjunto de Datos'!D368</f>
        <v>45020</v>
      </c>
      <c r="AB367" t="str">
        <f>INDEX(sala!L:L, MATCH(Tabla8[[#This Row],[Numero de Orden]], sala!K:K, 0))</f>
        <v>Chile</v>
      </c>
      <c r="AC367" t="str">
        <f>'Conjunto de Datos'!N368</f>
        <v>Mesero_3</v>
      </c>
      <c r="AD367">
        <f>Tabla8[[#This Row],[Propina]]+Tabla8[[#This Row],[Precio Cena]]</f>
        <v>1296</v>
      </c>
      <c r="AE367" s="45">
        <f t="shared" si="13"/>
        <v>239</v>
      </c>
    </row>
    <row r="368" spans="19:31" x14ac:dyDescent="0.3">
      <c r="S368" s="15" t="str">
        <f>'Conjunto de Datos'!BB369</f>
        <v>453</v>
      </c>
      <c r="T368" s="15">
        <f>'Conjunto de Datos'!BF369</f>
        <v>367</v>
      </c>
      <c r="U368" s="6">
        <f>sala!I368</f>
        <v>1262</v>
      </c>
      <c r="V368" cm="1">
        <f t="array" ref="V368">SUM(IF(Cocina!A:A=Tabla8[[#This Row],[Numero de Orden]],Cocina!F:F*Cocina!G:G,0))</f>
        <v>101</v>
      </c>
      <c r="W368">
        <f>IF(Tabla8[[#This Row],[Cobrado]]="Cobrada",Tabla8[[#This Row],[Propina]]+Tabla8[[#This Row],[Precio Cena]],0)</f>
        <v>1363</v>
      </c>
      <c r="X368" t="str">
        <f>INDEX(sala!G:G, MATCH(Tabla8[[#This Row],[Numero de Orden]], sala!K:K, 0))</f>
        <v>Cena</v>
      </c>
      <c r="Y368" t="str">
        <f>'Conjunto de Datos'!J369</f>
        <v>Cobrada</v>
      </c>
      <c r="Z368" t="str">
        <f>INDEX(sala!H:H, MATCH(Tabla8[[#This Row],[Numero de Orden]], sala!K:K, 0))</f>
        <v>Tarjeta de crédito</v>
      </c>
      <c r="AA368" s="3">
        <f>'Conjunto de Datos'!D369</f>
        <v>45020</v>
      </c>
      <c r="AB368" t="str">
        <f>INDEX(sala!L:L, MATCH(Tabla8[[#This Row],[Numero de Orden]], sala!K:K, 0))</f>
        <v>Chile</v>
      </c>
      <c r="AC368" t="str">
        <f>'Conjunto de Datos'!N369</f>
        <v>Mesero_3</v>
      </c>
      <c r="AD368">
        <f>Tabla8[[#This Row],[Propina]]+Tabla8[[#This Row],[Precio Cena]]</f>
        <v>1363</v>
      </c>
      <c r="AE368" s="45">
        <f t="shared" si="13"/>
        <v>101</v>
      </c>
    </row>
    <row r="369" spans="19:31" x14ac:dyDescent="0.3">
      <c r="S369" t="str">
        <f>'Conjunto de Datos'!BB370</f>
        <v>14</v>
      </c>
      <c r="T369">
        <f>'Conjunto de Datos'!BF370</f>
        <v>368</v>
      </c>
      <c r="U369" s="7">
        <f>sala!I369</f>
        <v>3765</v>
      </c>
      <c r="V369" cm="1">
        <f t="array" ref="V369">SUM(IF(Cocina!A:A=Tabla8[[#This Row],[Numero de Orden]],Cocina!F:F*Cocina!G:G,0))</f>
        <v>123</v>
      </c>
      <c r="W369">
        <f>IF(Tabla8[[#This Row],[Cobrado]]="Cobrada",Tabla8[[#This Row],[Propina]]+Tabla8[[#This Row],[Precio Cena]],0)</f>
        <v>3888</v>
      </c>
      <c r="X369" t="str">
        <f>INDEX(sala!G:G, MATCH(Tabla8[[#This Row],[Numero de Orden]], sala!K:K, 0))</f>
        <v>Desayuno</v>
      </c>
      <c r="Y369" t="str">
        <f>'Conjunto de Datos'!J370</f>
        <v>Cobrada</v>
      </c>
      <c r="Z369" t="str">
        <f>INDEX(sala!H:H, MATCH(Tabla8[[#This Row],[Numero de Orden]], sala!K:K, 0))</f>
        <v>Tarjeta de débito</v>
      </c>
      <c r="AA369" s="3">
        <f>'Conjunto de Datos'!D370</f>
        <v>45020</v>
      </c>
      <c r="AB369" t="str">
        <f>INDEX(sala!L:L, MATCH(Tabla8[[#This Row],[Numero de Orden]], sala!K:K, 0))</f>
        <v>Colombia</v>
      </c>
      <c r="AC369" t="str">
        <f>'Conjunto de Datos'!N370</f>
        <v>Mesero_1</v>
      </c>
      <c r="AD369">
        <f>Tabla8[[#This Row],[Propina]]+Tabla8[[#This Row],[Precio Cena]]</f>
        <v>3888</v>
      </c>
      <c r="AE369" s="45">
        <f t="shared" si="13"/>
        <v>123</v>
      </c>
    </row>
    <row r="370" spans="19:31" x14ac:dyDescent="0.3">
      <c r="S370" s="15" t="str">
        <f>'Conjunto de Datos'!BB371</f>
        <v>611</v>
      </c>
      <c r="T370" s="15">
        <f>'Conjunto de Datos'!BF371</f>
        <v>369</v>
      </c>
      <c r="U370" s="6">
        <f>sala!I370</f>
        <v>3483</v>
      </c>
      <c r="V370" cm="1">
        <f t="array" ref="V370">SUM(IF(Cocina!A:A=Tabla8[[#This Row],[Numero de Orden]],Cocina!F:F*Cocina!G:G,0))</f>
        <v>242</v>
      </c>
      <c r="W370">
        <f>IF(Tabla8[[#This Row],[Cobrado]]="Cobrada",Tabla8[[#This Row],[Propina]]+Tabla8[[#This Row],[Precio Cena]],0)</f>
        <v>3725</v>
      </c>
      <c r="X370" t="str">
        <f>INDEX(sala!G:G, MATCH(Tabla8[[#This Row],[Numero de Orden]], sala!K:K, 0))</f>
        <v>Almuerzo</v>
      </c>
      <c r="Y370" t="str">
        <f>'Conjunto de Datos'!J371</f>
        <v>Cobrada</v>
      </c>
      <c r="Z370" t="str">
        <f>INDEX(sala!H:H, MATCH(Tabla8[[#This Row],[Numero de Orden]], sala!K:K, 0))</f>
        <v>Tarjeta de crédito</v>
      </c>
      <c r="AA370" s="3">
        <f>'Conjunto de Datos'!D371</f>
        <v>45020</v>
      </c>
      <c r="AB370" t="str">
        <f>INDEX(sala!L:L, MATCH(Tabla8[[#This Row],[Numero de Orden]], sala!K:K, 0))</f>
        <v>Uruguay</v>
      </c>
      <c r="AC370" t="str">
        <f>'Conjunto de Datos'!N371</f>
        <v>Mesero_5</v>
      </c>
      <c r="AD370">
        <f>Tabla8[[#This Row],[Propina]]+Tabla8[[#This Row],[Precio Cena]]</f>
        <v>3725</v>
      </c>
      <c r="AE370" s="45">
        <f t="shared" si="13"/>
        <v>242</v>
      </c>
    </row>
    <row r="371" spans="19:31" x14ac:dyDescent="0.3">
      <c r="S371" t="str">
        <f>'Conjunto de Datos'!BB372</f>
        <v>666</v>
      </c>
      <c r="T371">
        <f>'Conjunto de Datos'!BF372</f>
        <v>370</v>
      </c>
      <c r="U371" s="7">
        <f>sala!I371</f>
        <v>4779</v>
      </c>
      <c r="V371" cm="1">
        <f t="array" ref="V371">SUM(IF(Cocina!A:A=Tabla8[[#This Row],[Numero de Orden]],Cocina!F:F*Cocina!G:G,0))</f>
        <v>72</v>
      </c>
      <c r="W371">
        <f>IF(Tabla8[[#This Row],[Cobrado]]="Cobrada",Tabla8[[#This Row],[Propina]]+Tabla8[[#This Row],[Precio Cena]],0)</f>
        <v>4851</v>
      </c>
      <c r="X371" t="str">
        <f>INDEX(sala!G:G, MATCH(Tabla8[[#This Row],[Numero de Orden]], sala!K:K, 0))</f>
        <v>Almuerzo</v>
      </c>
      <c r="Y371" t="str">
        <f>'Conjunto de Datos'!J372</f>
        <v>Cobrada</v>
      </c>
      <c r="Z371" t="str">
        <f>INDEX(sala!H:H, MATCH(Tabla8[[#This Row],[Numero de Orden]], sala!K:K, 0))</f>
        <v>Tarjeta de crédito</v>
      </c>
      <c r="AA371" s="3">
        <f>'Conjunto de Datos'!D372</f>
        <v>45020</v>
      </c>
      <c r="AB371" t="str">
        <f>INDEX(sala!L:L, MATCH(Tabla8[[#This Row],[Numero de Orden]], sala!K:K, 0))</f>
        <v>Uruguay</v>
      </c>
      <c r="AC371" t="str">
        <f>'Conjunto de Datos'!N372</f>
        <v>Mesero_3</v>
      </c>
      <c r="AD371">
        <f>Tabla8[[#This Row],[Propina]]+Tabla8[[#This Row],[Precio Cena]]</f>
        <v>4851</v>
      </c>
      <c r="AE371" s="45">
        <f t="shared" si="13"/>
        <v>72</v>
      </c>
    </row>
    <row r="372" spans="19:31" x14ac:dyDescent="0.3">
      <c r="S372" s="15" t="str">
        <f>'Conjunto de Datos'!BB373</f>
        <v>505</v>
      </c>
      <c r="T372" s="15">
        <f>'Conjunto de Datos'!BF373</f>
        <v>371</v>
      </c>
      <c r="U372" s="6">
        <f>sala!I372</f>
        <v>3251</v>
      </c>
      <c r="V372" cm="1">
        <f t="array" ref="V372">SUM(IF(Cocina!A:A=Tabla8[[#This Row],[Numero de Orden]],Cocina!F:F*Cocina!G:G,0))</f>
        <v>200</v>
      </c>
      <c r="W372">
        <f>IF(Tabla8[[#This Row],[Cobrado]]="Cobrada",Tabla8[[#This Row],[Propina]]+Tabla8[[#This Row],[Precio Cena]],0)</f>
        <v>3451</v>
      </c>
      <c r="X372" t="str">
        <f>INDEX(sala!G:G, MATCH(Tabla8[[#This Row],[Numero de Orden]], sala!K:K, 0))</f>
        <v>Cena</v>
      </c>
      <c r="Y372" t="str">
        <f>'Conjunto de Datos'!J373</f>
        <v>Cobrada</v>
      </c>
      <c r="Z372" t="str">
        <f>INDEX(sala!H:H, MATCH(Tabla8[[#This Row],[Numero de Orden]], sala!K:K, 0))</f>
        <v>Tarjeta de crédito</v>
      </c>
      <c r="AA372" s="3">
        <f>'Conjunto de Datos'!D373</f>
        <v>45020</v>
      </c>
      <c r="AB372" t="str">
        <f>INDEX(sala!L:L, MATCH(Tabla8[[#This Row],[Numero de Orden]], sala!K:K, 0))</f>
        <v>Ecuador</v>
      </c>
      <c r="AC372" t="str">
        <f>'Conjunto de Datos'!N373</f>
        <v>Mesero_4</v>
      </c>
      <c r="AD372">
        <f>Tabla8[[#This Row],[Propina]]+Tabla8[[#This Row],[Precio Cena]]</f>
        <v>3451</v>
      </c>
      <c r="AE372" s="45">
        <f t="shared" si="13"/>
        <v>200</v>
      </c>
    </row>
    <row r="373" spans="19:31" x14ac:dyDescent="0.3">
      <c r="S373" t="str">
        <f>'Conjunto de Datos'!BB374</f>
        <v>858</v>
      </c>
      <c r="T373">
        <f>'Conjunto de Datos'!BF374</f>
        <v>372</v>
      </c>
      <c r="U373" s="7">
        <f>sala!I373</f>
        <v>1717</v>
      </c>
      <c r="V373" cm="1">
        <f t="array" ref="V373">SUM(IF(Cocina!A:A=Tabla8[[#This Row],[Numero de Orden]],Cocina!F:F*Cocina!G:G,0))</f>
        <v>36</v>
      </c>
      <c r="W373">
        <f>IF(Tabla8[[#This Row],[Cobrado]]="Cobrada",Tabla8[[#This Row],[Propina]]+Tabla8[[#This Row],[Precio Cena]],0)</f>
        <v>1753</v>
      </c>
      <c r="X373" t="str">
        <f>INDEX(sala!G:G, MATCH(Tabla8[[#This Row],[Numero de Orden]], sala!K:K, 0))</f>
        <v>Almuerzo</v>
      </c>
      <c r="Y373" t="str">
        <f>'Conjunto de Datos'!J374</f>
        <v>Cobrada</v>
      </c>
      <c r="Z373" t="str">
        <f>INDEX(sala!H:H, MATCH(Tabla8[[#This Row],[Numero de Orden]], sala!K:K, 0))</f>
        <v>Tarjeta de crédito</v>
      </c>
      <c r="AA373" s="3">
        <f>'Conjunto de Datos'!D374</f>
        <v>45020</v>
      </c>
      <c r="AB373" t="str">
        <f>INDEX(sala!L:L, MATCH(Tabla8[[#This Row],[Numero de Orden]], sala!K:K, 0))</f>
        <v>Brasil</v>
      </c>
      <c r="AC373" t="str">
        <f>'Conjunto de Datos'!N374</f>
        <v>Mesero_2</v>
      </c>
      <c r="AD373">
        <f>Tabla8[[#This Row],[Propina]]+Tabla8[[#This Row],[Precio Cena]]</f>
        <v>1753</v>
      </c>
      <c r="AE373" s="45">
        <f t="shared" si="13"/>
        <v>36</v>
      </c>
    </row>
    <row r="374" spans="19:31" x14ac:dyDescent="0.3">
      <c r="S374" s="15" t="str">
        <f>'Conjunto de Datos'!BB375</f>
        <v>882</v>
      </c>
      <c r="T374" s="15">
        <f>'Conjunto de Datos'!BF375</f>
        <v>373</v>
      </c>
      <c r="U374" s="6">
        <f>sala!I374</f>
        <v>2662</v>
      </c>
      <c r="V374" cm="1">
        <f t="array" ref="V374">SUM(IF(Cocina!A:A=Tabla8[[#This Row],[Numero de Orden]],Cocina!F:F*Cocina!G:G,0))</f>
        <v>160</v>
      </c>
      <c r="W374">
        <f>IF(Tabla8[[#This Row],[Cobrado]]="Cobrada",Tabla8[[#This Row],[Propina]]+Tabla8[[#This Row],[Precio Cena]],0)</f>
        <v>2822</v>
      </c>
      <c r="X374" t="str">
        <f>INDEX(sala!G:G, MATCH(Tabla8[[#This Row],[Numero de Orden]], sala!K:K, 0))</f>
        <v>Desayuno</v>
      </c>
      <c r="Y374" t="str">
        <f>'Conjunto de Datos'!J375</f>
        <v>Cobrada</v>
      </c>
      <c r="Z374" t="str">
        <f>INDEX(sala!H:H, MATCH(Tabla8[[#This Row],[Numero de Orden]], sala!K:K, 0))</f>
        <v>Tarjeta de débito</v>
      </c>
      <c r="AA374" s="3">
        <f>'Conjunto de Datos'!D375</f>
        <v>45020</v>
      </c>
      <c r="AB374" t="str">
        <f>INDEX(sala!L:L, MATCH(Tabla8[[#This Row],[Numero de Orden]], sala!K:K, 0))</f>
        <v>Argentina</v>
      </c>
      <c r="AC374" t="str">
        <f>'Conjunto de Datos'!N375</f>
        <v>Mesero_5</v>
      </c>
      <c r="AD374">
        <f>Tabla8[[#This Row],[Propina]]+Tabla8[[#This Row],[Precio Cena]]</f>
        <v>2822</v>
      </c>
      <c r="AE374" s="45">
        <f t="shared" si="13"/>
        <v>160</v>
      </c>
    </row>
    <row r="375" spans="19:31" x14ac:dyDescent="0.3">
      <c r="S375" t="str">
        <f>'Conjunto de Datos'!BB376</f>
        <v>275</v>
      </c>
      <c r="T375">
        <f>'Conjunto de Datos'!BF376</f>
        <v>374</v>
      </c>
      <c r="U375" s="7">
        <f>sala!I375</f>
        <v>3335</v>
      </c>
      <c r="V375" cm="1">
        <f t="array" ref="V375">SUM(IF(Cocina!A:A=Tabla8[[#This Row],[Numero de Orden]],Cocina!F:F*Cocina!G:G,0))</f>
        <v>35</v>
      </c>
      <c r="W375">
        <f>IF(Tabla8[[#This Row],[Cobrado]]="Cobrada",Tabla8[[#This Row],[Propina]]+Tabla8[[#This Row],[Precio Cena]],0)</f>
        <v>3370</v>
      </c>
      <c r="X375" t="str">
        <f>INDEX(sala!G:G, MATCH(Tabla8[[#This Row],[Numero de Orden]], sala!K:K, 0))</f>
        <v>Almuerzo</v>
      </c>
      <c r="Y375" t="str">
        <f>'Conjunto de Datos'!J376</f>
        <v>Cobrada</v>
      </c>
      <c r="Z375" t="str">
        <f>INDEX(sala!H:H, MATCH(Tabla8[[#This Row],[Numero de Orden]], sala!K:K, 0))</f>
        <v>Tarjeta de crédito</v>
      </c>
      <c r="AA375" s="3">
        <f>'Conjunto de Datos'!D376</f>
        <v>45020</v>
      </c>
      <c r="AB375" t="str">
        <f>INDEX(sala!L:L, MATCH(Tabla8[[#This Row],[Numero de Orden]], sala!K:K, 0))</f>
        <v>Paraguay</v>
      </c>
      <c r="AC375" t="str">
        <f>'Conjunto de Datos'!N376</f>
        <v>Mesero_2</v>
      </c>
      <c r="AD375">
        <f>Tabla8[[#This Row],[Propina]]+Tabla8[[#This Row],[Precio Cena]]</f>
        <v>3370</v>
      </c>
      <c r="AE375" s="45">
        <f t="shared" si="13"/>
        <v>35</v>
      </c>
    </row>
    <row r="376" spans="19:31" x14ac:dyDescent="0.3">
      <c r="S376" s="15" t="str">
        <f>'Conjunto de Datos'!BB377</f>
        <v>871</v>
      </c>
      <c r="T376" s="15">
        <f>'Conjunto de Datos'!BF377</f>
        <v>375</v>
      </c>
      <c r="U376" s="6">
        <f>sala!I376</f>
        <v>223</v>
      </c>
      <c r="V376" cm="1">
        <f t="array" ref="V376">SUM(IF(Cocina!A:A=Tabla8[[#This Row],[Numero de Orden]],Cocina!F:F*Cocina!G:G,0))</f>
        <v>93</v>
      </c>
      <c r="W376">
        <f>IF(Tabla8[[#This Row],[Cobrado]]="Cobrada",Tabla8[[#This Row],[Propina]]+Tabla8[[#This Row],[Precio Cena]],0)</f>
        <v>316</v>
      </c>
      <c r="X376" t="str">
        <f>INDEX(sala!G:G, MATCH(Tabla8[[#This Row],[Numero de Orden]], sala!K:K, 0))</f>
        <v>Almuerzo</v>
      </c>
      <c r="Y376" t="str">
        <f>'Conjunto de Datos'!J377</f>
        <v>Cobrada</v>
      </c>
      <c r="Z376" t="str">
        <f>INDEX(sala!H:H, MATCH(Tabla8[[#This Row],[Numero de Orden]], sala!K:K, 0))</f>
        <v>Tarjeta de crédito</v>
      </c>
      <c r="AA376" s="3">
        <f>'Conjunto de Datos'!D377</f>
        <v>45020</v>
      </c>
      <c r="AB376" t="str">
        <f>INDEX(sala!L:L, MATCH(Tabla8[[#This Row],[Numero de Orden]], sala!K:K, 0))</f>
        <v>España</v>
      </c>
      <c r="AC376" t="str">
        <f>'Conjunto de Datos'!N377</f>
        <v>Mesero_3</v>
      </c>
      <c r="AD376">
        <f>Tabla8[[#This Row],[Propina]]+Tabla8[[#This Row],[Precio Cena]]</f>
        <v>316</v>
      </c>
      <c r="AE376" s="45">
        <f t="shared" si="13"/>
        <v>93</v>
      </c>
    </row>
    <row r="377" spans="19:31" x14ac:dyDescent="0.3">
      <c r="S377" t="str">
        <f>'Conjunto de Datos'!BB378</f>
        <v>183</v>
      </c>
      <c r="T377">
        <f>'Conjunto de Datos'!BF378</f>
        <v>376</v>
      </c>
      <c r="U377" s="7">
        <f>sala!I377</f>
        <v>2751</v>
      </c>
      <c r="V377" cm="1">
        <f t="array" ref="V377">SUM(IF(Cocina!A:A=Tabla8[[#This Row],[Numero de Orden]],Cocina!F:F*Cocina!G:G,0))</f>
        <v>46</v>
      </c>
      <c r="W377">
        <f>IF(Tabla8[[#This Row],[Cobrado]]="Cobrada",Tabla8[[#This Row],[Propina]]+Tabla8[[#This Row],[Precio Cena]],0)</f>
        <v>2797</v>
      </c>
      <c r="X377" t="str">
        <f>INDEX(sala!G:G, MATCH(Tabla8[[#This Row],[Numero de Orden]], sala!K:K, 0))</f>
        <v>Almuerzo</v>
      </c>
      <c r="Y377" t="str">
        <f>'Conjunto de Datos'!J378</f>
        <v>Cobrada</v>
      </c>
      <c r="Z377" t="str">
        <f>INDEX(sala!H:H, MATCH(Tabla8[[#This Row],[Numero de Orden]], sala!K:K, 0))</f>
        <v>Efectivo</v>
      </c>
      <c r="AA377" s="3">
        <f>'Conjunto de Datos'!D378</f>
        <v>45020</v>
      </c>
      <c r="AB377" t="str">
        <f>INDEX(sala!L:L, MATCH(Tabla8[[#This Row],[Numero de Orden]], sala!K:K, 0))</f>
        <v>Ecuador</v>
      </c>
      <c r="AC377" t="str">
        <f>'Conjunto de Datos'!N378</f>
        <v>Mesero_1</v>
      </c>
      <c r="AD377">
        <f>Tabla8[[#This Row],[Propina]]+Tabla8[[#This Row],[Precio Cena]]</f>
        <v>2797</v>
      </c>
      <c r="AE377" s="45">
        <f t="shared" si="13"/>
        <v>46</v>
      </c>
    </row>
    <row r="378" spans="19:31" x14ac:dyDescent="0.3">
      <c r="S378" s="15" t="str">
        <f>'Conjunto de Datos'!BB379</f>
        <v>841</v>
      </c>
      <c r="T378" s="15">
        <f>'Conjunto de Datos'!BF379</f>
        <v>377</v>
      </c>
      <c r="U378" s="6">
        <f>sala!I378</f>
        <v>1496</v>
      </c>
      <c r="V378" cm="1">
        <f t="array" ref="V378">SUM(IF(Cocina!A:A=Tabla8[[#This Row],[Numero de Orden]],Cocina!F:F*Cocina!G:G,0))</f>
        <v>100</v>
      </c>
      <c r="W378">
        <f>IF(Tabla8[[#This Row],[Cobrado]]="Cobrada",Tabla8[[#This Row],[Propina]]+Tabla8[[#This Row],[Precio Cena]],0)</f>
        <v>1596</v>
      </c>
      <c r="X378" t="str">
        <f>INDEX(sala!G:G, MATCH(Tabla8[[#This Row],[Numero de Orden]], sala!K:K, 0))</f>
        <v>Almuerzo</v>
      </c>
      <c r="Y378" t="str">
        <f>'Conjunto de Datos'!J379</f>
        <v>Cobrada</v>
      </c>
      <c r="Z378" t="str">
        <f>INDEX(sala!H:H, MATCH(Tabla8[[#This Row],[Numero de Orden]], sala!K:K, 0))</f>
        <v>Tarjeta de crédito</v>
      </c>
      <c r="AA378" s="3">
        <f>'Conjunto de Datos'!D379</f>
        <v>45020</v>
      </c>
      <c r="AB378" t="str">
        <f>INDEX(sala!L:L, MATCH(Tabla8[[#This Row],[Numero de Orden]], sala!K:K, 0))</f>
        <v>Paraguay</v>
      </c>
      <c r="AC378" t="str">
        <f>'Conjunto de Datos'!N379</f>
        <v>Mesero_4</v>
      </c>
      <c r="AD378">
        <f>Tabla8[[#This Row],[Propina]]+Tabla8[[#This Row],[Precio Cena]]</f>
        <v>1596</v>
      </c>
      <c r="AE378" s="45">
        <f t="shared" si="13"/>
        <v>100</v>
      </c>
    </row>
    <row r="379" spans="19:31" x14ac:dyDescent="0.3">
      <c r="S379" t="str">
        <f>'Conjunto de Datos'!BB380</f>
        <v>789</v>
      </c>
      <c r="T379">
        <f>'Conjunto de Datos'!BF380</f>
        <v>378</v>
      </c>
      <c r="U379" s="7">
        <f>sala!I379</f>
        <v>4031</v>
      </c>
      <c r="V379" cm="1">
        <f t="array" ref="V379">SUM(IF(Cocina!A:A=Tabla8[[#This Row],[Numero de Orden]],Cocina!F:F*Cocina!G:G,0))</f>
        <v>49</v>
      </c>
      <c r="W379">
        <f>IF(Tabla8[[#This Row],[Cobrado]]="Cobrada",Tabla8[[#This Row],[Propina]]+Tabla8[[#This Row],[Precio Cena]],0)</f>
        <v>4080</v>
      </c>
      <c r="X379" t="str">
        <f>INDEX(sala!G:G, MATCH(Tabla8[[#This Row],[Numero de Orden]], sala!K:K, 0))</f>
        <v>Almuerzo</v>
      </c>
      <c r="Y379" t="str">
        <f>'Conjunto de Datos'!J380</f>
        <v>Cobrada</v>
      </c>
      <c r="Z379" t="str">
        <f>INDEX(sala!H:H, MATCH(Tabla8[[#This Row],[Numero de Orden]], sala!K:K, 0))</f>
        <v>Efectivo</v>
      </c>
      <c r="AA379" s="3">
        <f>'Conjunto de Datos'!D380</f>
        <v>45020</v>
      </c>
      <c r="AB379" t="str">
        <f>INDEX(sala!L:L, MATCH(Tabla8[[#This Row],[Numero de Orden]], sala!K:K, 0))</f>
        <v>Perú</v>
      </c>
      <c r="AC379" t="str">
        <f>'Conjunto de Datos'!N380</f>
        <v>Mesero_1</v>
      </c>
      <c r="AD379">
        <f>Tabla8[[#This Row],[Propina]]+Tabla8[[#This Row],[Precio Cena]]</f>
        <v>4080</v>
      </c>
      <c r="AE379" s="45">
        <f t="shared" si="13"/>
        <v>49</v>
      </c>
    </row>
    <row r="380" spans="19:31" x14ac:dyDescent="0.3">
      <c r="S380" s="15" t="str">
        <f>'Conjunto de Datos'!BB381</f>
        <v>442</v>
      </c>
      <c r="T380" s="15">
        <f>'Conjunto de Datos'!BF381</f>
        <v>379</v>
      </c>
      <c r="U380" s="6">
        <f>sala!I380</f>
        <v>1061</v>
      </c>
      <c r="V380" cm="1">
        <f t="array" ref="V380">SUM(IF(Cocina!A:A=Tabla8[[#This Row],[Numero de Orden]],Cocina!F:F*Cocina!G:G,0))</f>
        <v>70</v>
      </c>
      <c r="W380">
        <f>IF(Tabla8[[#This Row],[Cobrado]]="Cobrada",Tabla8[[#This Row],[Propina]]+Tabla8[[#This Row],[Precio Cena]],0)</f>
        <v>1131</v>
      </c>
      <c r="X380" t="str">
        <f>INDEX(sala!G:G, MATCH(Tabla8[[#This Row],[Numero de Orden]], sala!K:K, 0))</f>
        <v>Desayuno</v>
      </c>
      <c r="Y380" t="str">
        <f>'Conjunto de Datos'!J381</f>
        <v>Cobrada</v>
      </c>
      <c r="Z380" t="str">
        <f>INDEX(sala!H:H, MATCH(Tabla8[[#This Row],[Numero de Orden]], sala!K:K, 0))</f>
        <v>Tarjeta de crédito</v>
      </c>
      <c r="AA380" s="3">
        <f>'Conjunto de Datos'!D381</f>
        <v>45020</v>
      </c>
      <c r="AB380" t="str">
        <f>INDEX(sala!L:L, MATCH(Tabla8[[#This Row],[Numero de Orden]], sala!K:K, 0))</f>
        <v>Chile</v>
      </c>
      <c r="AC380" t="str">
        <f>'Conjunto de Datos'!N381</f>
        <v>Mesero_3</v>
      </c>
      <c r="AD380">
        <f>Tabla8[[#This Row],[Propina]]+Tabla8[[#This Row],[Precio Cena]]</f>
        <v>1131</v>
      </c>
      <c r="AE380" s="45">
        <f t="shared" si="13"/>
        <v>70</v>
      </c>
    </row>
    <row r="381" spans="19:31" x14ac:dyDescent="0.3">
      <c r="S381" t="str">
        <f>'Conjunto de Datos'!BB382</f>
        <v>964</v>
      </c>
      <c r="T381">
        <f>'Conjunto de Datos'!BF382</f>
        <v>380</v>
      </c>
      <c r="U381" s="7">
        <f>sala!I381</f>
        <v>2253</v>
      </c>
      <c r="V381" cm="1">
        <f t="array" ref="V381">SUM(IF(Cocina!A:A=Tabla8[[#This Row],[Numero de Orden]],Cocina!F:F*Cocina!G:G,0))</f>
        <v>137</v>
      </c>
      <c r="W381">
        <f>IF(Tabla8[[#This Row],[Cobrado]]="Cobrada",Tabla8[[#This Row],[Propina]]+Tabla8[[#This Row],[Precio Cena]],0)</f>
        <v>2390</v>
      </c>
      <c r="X381" t="str">
        <f>INDEX(sala!G:G, MATCH(Tabla8[[#This Row],[Numero de Orden]], sala!K:K, 0))</f>
        <v>Cena</v>
      </c>
      <c r="Y381" t="str">
        <f>'Conjunto de Datos'!J382</f>
        <v>Cobrada</v>
      </c>
      <c r="Z381" t="str">
        <f>INDEX(sala!H:H, MATCH(Tabla8[[#This Row],[Numero de Orden]], sala!K:K, 0))</f>
        <v>Tarjeta de débito</v>
      </c>
      <c r="AA381" s="3">
        <f>'Conjunto de Datos'!D382</f>
        <v>45020</v>
      </c>
      <c r="AB381" t="str">
        <f>INDEX(sala!L:L, MATCH(Tabla8[[#This Row],[Numero de Orden]], sala!K:K, 0))</f>
        <v>Argentina</v>
      </c>
      <c r="AC381" t="str">
        <f>'Conjunto de Datos'!N382</f>
        <v>Mesero_3</v>
      </c>
      <c r="AD381">
        <f>Tabla8[[#This Row],[Propina]]+Tabla8[[#This Row],[Precio Cena]]</f>
        <v>2390</v>
      </c>
      <c r="AE381" s="45">
        <f t="shared" si="13"/>
        <v>137</v>
      </c>
    </row>
    <row r="382" spans="19:31" x14ac:dyDescent="0.3">
      <c r="S382" s="15" t="str">
        <f>'Conjunto de Datos'!BB383</f>
        <v>141</v>
      </c>
      <c r="T382" s="15">
        <f>'Conjunto de Datos'!BF383</f>
        <v>381</v>
      </c>
      <c r="U382" s="6">
        <f>sala!I382</f>
        <v>2769</v>
      </c>
      <c r="V382" cm="1">
        <f t="array" ref="V382">SUM(IF(Cocina!A:A=Tabla8[[#This Row],[Numero de Orden]],Cocina!F:F*Cocina!G:G,0))</f>
        <v>144</v>
      </c>
      <c r="W382">
        <f>IF(Tabla8[[#This Row],[Cobrado]]="Cobrada",Tabla8[[#This Row],[Propina]]+Tabla8[[#This Row],[Precio Cena]],0)</f>
        <v>2913</v>
      </c>
      <c r="X382" t="str">
        <f>INDEX(sala!G:G, MATCH(Tabla8[[#This Row],[Numero de Orden]], sala!K:K, 0))</f>
        <v>Desayuno</v>
      </c>
      <c r="Y382" t="str">
        <f>'Conjunto de Datos'!J383</f>
        <v>Cobrada</v>
      </c>
      <c r="Z382" t="str">
        <f>INDEX(sala!H:H, MATCH(Tabla8[[#This Row],[Numero de Orden]], sala!K:K, 0))</f>
        <v>Tarjeta de débito</v>
      </c>
      <c r="AA382" s="3">
        <f>'Conjunto de Datos'!D383</f>
        <v>45020</v>
      </c>
      <c r="AB382" t="str">
        <f>INDEX(sala!L:L, MATCH(Tabla8[[#This Row],[Numero de Orden]], sala!K:K, 0))</f>
        <v>Uruguay</v>
      </c>
      <c r="AC382" t="str">
        <f>'Conjunto de Datos'!N383</f>
        <v>Mesero_1</v>
      </c>
      <c r="AD382">
        <f>Tabla8[[#This Row],[Propina]]+Tabla8[[#This Row],[Precio Cena]]</f>
        <v>2913</v>
      </c>
      <c r="AE382" s="45">
        <f t="shared" si="13"/>
        <v>144</v>
      </c>
    </row>
    <row r="383" spans="19:31" x14ac:dyDescent="0.3">
      <c r="S383" t="str">
        <f>'Conjunto de Datos'!BB384</f>
        <v>742</v>
      </c>
      <c r="T383">
        <f>'Conjunto de Datos'!BF384</f>
        <v>382</v>
      </c>
      <c r="U383" s="7">
        <f>sala!I383</f>
        <v>198</v>
      </c>
      <c r="V383" cm="1">
        <f t="array" ref="V383">SUM(IF(Cocina!A:A=Tabla8[[#This Row],[Numero de Orden]],Cocina!F:F*Cocina!G:G,0))</f>
        <v>87</v>
      </c>
      <c r="W383">
        <f>IF(Tabla8[[#This Row],[Cobrado]]="Cobrada",Tabla8[[#This Row],[Propina]]+Tabla8[[#This Row],[Precio Cena]],0)</f>
        <v>285</v>
      </c>
      <c r="X383" t="str">
        <f>INDEX(sala!G:G, MATCH(Tabla8[[#This Row],[Numero de Orden]], sala!K:K, 0))</f>
        <v>Cena</v>
      </c>
      <c r="Y383" t="str">
        <f>'Conjunto de Datos'!J384</f>
        <v>Cobrada</v>
      </c>
      <c r="Z383" t="str">
        <f>INDEX(sala!H:H, MATCH(Tabla8[[#This Row],[Numero de Orden]], sala!K:K, 0))</f>
        <v>Tarjeta de débito</v>
      </c>
      <c r="AA383" s="3">
        <f>'Conjunto de Datos'!D384</f>
        <v>45020</v>
      </c>
      <c r="AB383" t="str">
        <f>INDEX(sala!L:L, MATCH(Tabla8[[#This Row],[Numero de Orden]], sala!K:K, 0))</f>
        <v>Ecuador</v>
      </c>
      <c r="AC383" t="str">
        <f>'Conjunto de Datos'!N384</f>
        <v>Mesero_2</v>
      </c>
      <c r="AD383">
        <f>Tabla8[[#This Row],[Propina]]+Tabla8[[#This Row],[Precio Cena]]</f>
        <v>285</v>
      </c>
      <c r="AE383" s="45">
        <f t="shared" si="13"/>
        <v>87</v>
      </c>
    </row>
    <row r="384" spans="19:31" x14ac:dyDescent="0.3">
      <c r="S384" s="15" t="str">
        <f>'Conjunto de Datos'!BB385</f>
        <v>992</v>
      </c>
      <c r="T384" s="15">
        <f>'Conjunto de Datos'!BF385</f>
        <v>383</v>
      </c>
      <c r="U384" s="6">
        <f>sala!I384</f>
        <v>3133</v>
      </c>
      <c r="V384" cm="1">
        <f t="array" ref="V384">SUM(IF(Cocina!A:A=Tabla8[[#This Row],[Numero de Orden]],Cocina!F:F*Cocina!G:G,0))</f>
        <v>108</v>
      </c>
      <c r="W384">
        <f>IF(Tabla8[[#This Row],[Cobrado]]="Cobrada",Tabla8[[#This Row],[Propina]]+Tabla8[[#This Row],[Precio Cena]],0)</f>
        <v>3241</v>
      </c>
      <c r="X384" t="str">
        <f>INDEX(sala!G:G, MATCH(Tabla8[[#This Row],[Numero de Orden]], sala!K:K, 0))</f>
        <v>Almuerzo</v>
      </c>
      <c r="Y384" t="str">
        <f>'Conjunto de Datos'!J385</f>
        <v>Cobrada</v>
      </c>
      <c r="Z384" t="str">
        <f>INDEX(sala!H:H, MATCH(Tabla8[[#This Row],[Numero de Orden]], sala!K:K, 0))</f>
        <v>Tarjeta de crédito</v>
      </c>
      <c r="AA384" s="3">
        <f>'Conjunto de Datos'!D385</f>
        <v>45020</v>
      </c>
      <c r="AB384" t="str">
        <f>INDEX(sala!L:L, MATCH(Tabla8[[#This Row],[Numero de Orden]], sala!K:K, 0))</f>
        <v>Chile</v>
      </c>
      <c r="AC384" t="str">
        <f>'Conjunto de Datos'!N385</f>
        <v>Mesero_4</v>
      </c>
      <c r="AD384">
        <f>Tabla8[[#This Row],[Propina]]+Tabla8[[#This Row],[Precio Cena]]</f>
        <v>3241</v>
      </c>
      <c r="AE384" s="45">
        <f t="shared" si="13"/>
        <v>108</v>
      </c>
    </row>
    <row r="385" spans="19:31" x14ac:dyDescent="0.3">
      <c r="S385" t="str">
        <f>'Conjunto de Datos'!BB386</f>
        <v>622</v>
      </c>
      <c r="T385">
        <f>'Conjunto de Datos'!BF386</f>
        <v>384</v>
      </c>
      <c r="U385" s="7">
        <f>sala!I385</f>
        <v>3932</v>
      </c>
      <c r="V385" cm="1">
        <f t="array" ref="V385">SUM(IF(Cocina!A:A=Tabla8[[#This Row],[Numero de Orden]],Cocina!F:F*Cocina!G:G,0))</f>
        <v>120</v>
      </c>
      <c r="W385">
        <f>IF(Tabla8[[#This Row],[Cobrado]]="Cobrada",Tabla8[[#This Row],[Propina]]+Tabla8[[#This Row],[Precio Cena]],0)</f>
        <v>4052</v>
      </c>
      <c r="X385" t="str">
        <f>INDEX(sala!G:G, MATCH(Tabla8[[#This Row],[Numero de Orden]], sala!K:K, 0))</f>
        <v>Desayuno</v>
      </c>
      <c r="Y385" t="str">
        <f>'Conjunto de Datos'!J386</f>
        <v>Cobrada</v>
      </c>
      <c r="Z385" t="str">
        <f>INDEX(sala!H:H, MATCH(Tabla8[[#This Row],[Numero de Orden]], sala!K:K, 0))</f>
        <v>Tarjeta de débito</v>
      </c>
      <c r="AA385" s="3">
        <f>'Conjunto de Datos'!D386</f>
        <v>45020</v>
      </c>
      <c r="AB385" t="str">
        <f>INDEX(sala!L:L, MATCH(Tabla8[[#This Row],[Numero de Orden]], sala!K:K, 0))</f>
        <v>Venezuela</v>
      </c>
      <c r="AC385" t="str">
        <f>'Conjunto de Datos'!N386</f>
        <v>Mesero_1</v>
      </c>
      <c r="AD385">
        <f>Tabla8[[#This Row],[Propina]]+Tabla8[[#This Row],[Precio Cena]]</f>
        <v>4052</v>
      </c>
      <c r="AE385" s="45">
        <f t="shared" si="13"/>
        <v>120</v>
      </c>
    </row>
    <row r="386" spans="19:31" x14ac:dyDescent="0.3">
      <c r="S386" s="15" t="str">
        <f>'Conjunto de Datos'!BB387</f>
        <v>508</v>
      </c>
      <c r="T386" s="15">
        <f>'Conjunto de Datos'!BF387</f>
        <v>385</v>
      </c>
      <c r="U386" s="6">
        <f>sala!I386</f>
        <v>1114</v>
      </c>
      <c r="V386" cm="1">
        <f t="array" ref="V386">SUM(IF(Cocina!A:A=Tabla8[[#This Row],[Numero de Orden]],Cocina!F:F*Cocina!G:G,0))</f>
        <v>60</v>
      </c>
      <c r="W386">
        <f>IF(Tabla8[[#This Row],[Cobrado]]="Cobrada",Tabla8[[#This Row],[Propina]]+Tabla8[[#This Row],[Precio Cena]],0)</f>
        <v>1174</v>
      </c>
      <c r="X386" t="str">
        <f>INDEX(sala!G:G, MATCH(Tabla8[[#This Row],[Numero de Orden]], sala!K:K, 0))</f>
        <v>Desayuno</v>
      </c>
      <c r="Y386" t="str">
        <f>'Conjunto de Datos'!J387</f>
        <v>Cobrada</v>
      </c>
      <c r="Z386" t="str">
        <f>INDEX(sala!H:H, MATCH(Tabla8[[#This Row],[Numero de Orden]], sala!K:K, 0))</f>
        <v>Tarjeta de crédito</v>
      </c>
      <c r="AA386" s="3">
        <f>'Conjunto de Datos'!D387</f>
        <v>45021</v>
      </c>
      <c r="AB386" t="str">
        <f>INDEX(sala!L:L, MATCH(Tabla8[[#This Row],[Numero de Orden]], sala!K:K, 0))</f>
        <v>España</v>
      </c>
      <c r="AC386" t="str">
        <f>'Conjunto de Datos'!N387</f>
        <v>Mesero_3</v>
      </c>
      <c r="AD386">
        <f>Tabla8[[#This Row],[Propina]]+Tabla8[[#This Row],[Precio Cena]]</f>
        <v>1174</v>
      </c>
      <c r="AE386" s="45">
        <f t="shared" si="13"/>
        <v>60</v>
      </c>
    </row>
    <row r="387" spans="19:31" x14ac:dyDescent="0.3">
      <c r="S387" t="str">
        <f>'Conjunto de Datos'!BB388</f>
        <v>436</v>
      </c>
      <c r="T387">
        <f>'Conjunto de Datos'!BF388</f>
        <v>386</v>
      </c>
      <c r="U387" s="7">
        <f>sala!I387</f>
        <v>2896</v>
      </c>
      <c r="V387" cm="1">
        <f t="array" ref="V387">SUM(IF(Cocina!A:A=Tabla8[[#This Row],[Numero de Orden]],Cocina!F:F*Cocina!G:G,0))</f>
        <v>99</v>
      </c>
      <c r="W387">
        <f>IF(Tabla8[[#This Row],[Cobrado]]="Cobrada",Tabla8[[#This Row],[Propina]]+Tabla8[[#This Row],[Precio Cena]],0)</f>
        <v>2995</v>
      </c>
      <c r="X387" t="str">
        <f>INDEX(sala!G:G, MATCH(Tabla8[[#This Row],[Numero de Orden]], sala!K:K, 0))</f>
        <v>Almuerzo</v>
      </c>
      <c r="Y387" t="str">
        <f>'Conjunto de Datos'!J388</f>
        <v>Cobrada</v>
      </c>
      <c r="Z387" t="str">
        <f>INDEX(sala!H:H, MATCH(Tabla8[[#This Row],[Numero de Orden]], sala!K:K, 0))</f>
        <v>Tarjeta de débito</v>
      </c>
      <c r="AA387" s="3">
        <f>'Conjunto de Datos'!D388</f>
        <v>45021</v>
      </c>
      <c r="AB387" t="str">
        <f>INDEX(sala!L:L, MATCH(Tabla8[[#This Row],[Numero de Orden]], sala!K:K, 0))</f>
        <v>Venezuela</v>
      </c>
      <c r="AC387" t="str">
        <f>'Conjunto de Datos'!N388</f>
        <v>Mesero_4</v>
      </c>
      <c r="AD387">
        <f>Tabla8[[#This Row],[Propina]]+Tabla8[[#This Row],[Precio Cena]]</f>
        <v>2995</v>
      </c>
      <c r="AE387" s="45">
        <f t="shared" si="13"/>
        <v>99</v>
      </c>
    </row>
    <row r="388" spans="19:31" x14ac:dyDescent="0.3">
      <c r="S388" s="15" t="str">
        <f>'Conjunto de Datos'!BB389</f>
        <v>676</v>
      </c>
      <c r="T388" s="15">
        <f>'Conjunto de Datos'!BF389</f>
        <v>387</v>
      </c>
      <c r="U388" s="6">
        <f>sala!I388</f>
        <v>2084</v>
      </c>
      <c r="V388" cm="1">
        <f t="array" ref="V388">SUM(IF(Cocina!A:A=Tabla8[[#This Row],[Numero de Orden]],Cocina!F:F*Cocina!G:G,0))</f>
        <v>93</v>
      </c>
      <c r="W388">
        <f>IF(Tabla8[[#This Row],[Cobrado]]="Cobrada",Tabla8[[#This Row],[Propina]]+Tabla8[[#This Row],[Precio Cena]],0)</f>
        <v>2177</v>
      </c>
      <c r="X388" t="str">
        <f>INDEX(sala!G:G, MATCH(Tabla8[[#This Row],[Numero de Orden]], sala!K:K, 0))</f>
        <v>Almuerzo</v>
      </c>
      <c r="Y388" t="str">
        <f>'Conjunto de Datos'!J389</f>
        <v>Cobrada</v>
      </c>
      <c r="Z388" t="str">
        <f>INDEX(sala!H:H, MATCH(Tabla8[[#This Row],[Numero de Orden]], sala!K:K, 0))</f>
        <v>Efectivo</v>
      </c>
      <c r="AA388" s="3">
        <f>'Conjunto de Datos'!D389</f>
        <v>45021</v>
      </c>
      <c r="AB388" t="str">
        <f>INDEX(sala!L:L, MATCH(Tabla8[[#This Row],[Numero de Orden]], sala!K:K, 0))</f>
        <v>Venezuela</v>
      </c>
      <c r="AC388" t="str">
        <f>'Conjunto de Datos'!N389</f>
        <v>Mesero_5</v>
      </c>
      <c r="AD388">
        <f>Tabla8[[#This Row],[Propina]]+Tabla8[[#This Row],[Precio Cena]]</f>
        <v>2177</v>
      </c>
      <c r="AE388" s="45">
        <f t="shared" ref="AE388:AE451" si="14">IF(Y388 = "Cobrada",V388,0)</f>
        <v>93</v>
      </c>
    </row>
    <row r="389" spans="19:31" x14ac:dyDescent="0.3">
      <c r="S389" t="str">
        <f>'Conjunto de Datos'!BB390</f>
        <v>768</v>
      </c>
      <c r="T389">
        <f>'Conjunto de Datos'!BF390</f>
        <v>388</v>
      </c>
      <c r="U389" s="7">
        <f>sala!I389</f>
        <v>2703</v>
      </c>
      <c r="V389" cm="1">
        <f t="array" ref="V389">SUM(IF(Cocina!A:A=Tabla8[[#This Row],[Numero de Orden]],Cocina!F:F*Cocina!G:G,0))</f>
        <v>291</v>
      </c>
      <c r="W389">
        <f>IF(Tabla8[[#This Row],[Cobrado]]="Cobrada",Tabla8[[#This Row],[Propina]]+Tabla8[[#This Row],[Precio Cena]],0)</f>
        <v>2994</v>
      </c>
      <c r="X389" t="str">
        <f>INDEX(sala!G:G, MATCH(Tabla8[[#This Row],[Numero de Orden]], sala!K:K, 0))</f>
        <v>Almuerzo</v>
      </c>
      <c r="Y389" t="str">
        <f>'Conjunto de Datos'!J390</f>
        <v>Cobrada</v>
      </c>
      <c r="Z389" t="str">
        <f>INDEX(sala!H:H, MATCH(Tabla8[[#This Row],[Numero de Orden]], sala!K:K, 0))</f>
        <v>Tarjeta de crédito</v>
      </c>
      <c r="AA389" s="3">
        <f>'Conjunto de Datos'!D390</f>
        <v>45021</v>
      </c>
      <c r="AB389" t="str">
        <f>INDEX(sala!L:L, MATCH(Tabla8[[#This Row],[Numero de Orden]], sala!K:K, 0))</f>
        <v>España</v>
      </c>
      <c r="AC389" t="str">
        <f>'Conjunto de Datos'!N390</f>
        <v>Mesero_2</v>
      </c>
      <c r="AD389">
        <f>Tabla8[[#This Row],[Propina]]+Tabla8[[#This Row],[Precio Cena]]</f>
        <v>2994</v>
      </c>
      <c r="AE389" s="45">
        <f t="shared" si="14"/>
        <v>291</v>
      </c>
    </row>
    <row r="390" spans="19:31" x14ac:dyDescent="0.3">
      <c r="S390" s="15" t="str">
        <f>'Conjunto de Datos'!BB391</f>
        <v>667</v>
      </c>
      <c r="T390" s="15">
        <f>'Conjunto de Datos'!BF391</f>
        <v>389</v>
      </c>
      <c r="U390" s="6">
        <f>sala!I390</f>
        <v>3914</v>
      </c>
      <c r="V390" cm="1">
        <f t="array" ref="V390">SUM(IF(Cocina!A:A=Tabla8[[#This Row],[Numero de Orden]],Cocina!F:F*Cocina!G:G,0))</f>
        <v>33</v>
      </c>
      <c r="W390">
        <f>IF(Tabla8[[#This Row],[Cobrado]]="Cobrada",Tabla8[[#This Row],[Propina]]+Tabla8[[#This Row],[Precio Cena]],0)</f>
        <v>3947</v>
      </c>
      <c r="X390" t="str">
        <f>INDEX(sala!G:G, MATCH(Tabla8[[#This Row],[Numero de Orden]], sala!K:K, 0))</f>
        <v>Almuerzo</v>
      </c>
      <c r="Y390" t="str">
        <f>'Conjunto de Datos'!J391</f>
        <v>Cobrada</v>
      </c>
      <c r="Z390" t="str">
        <f>INDEX(sala!H:H, MATCH(Tabla8[[#This Row],[Numero de Orden]], sala!K:K, 0))</f>
        <v>Tarjeta de crédito</v>
      </c>
      <c r="AA390" s="3">
        <f>'Conjunto de Datos'!D391</f>
        <v>45021</v>
      </c>
      <c r="AB390" t="str">
        <f>INDEX(sala!L:L, MATCH(Tabla8[[#This Row],[Numero de Orden]], sala!K:K, 0))</f>
        <v>Venezuela</v>
      </c>
      <c r="AC390" t="str">
        <f>'Conjunto de Datos'!N391</f>
        <v>Mesero_3</v>
      </c>
      <c r="AD390">
        <f>Tabla8[[#This Row],[Propina]]+Tabla8[[#This Row],[Precio Cena]]</f>
        <v>3947</v>
      </c>
      <c r="AE390" s="45">
        <f t="shared" si="14"/>
        <v>33</v>
      </c>
    </row>
    <row r="391" spans="19:31" x14ac:dyDescent="0.3">
      <c r="S391" t="str">
        <f>'Conjunto de Datos'!BB392</f>
        <v>874</v>
      </c>
      <c r="T391">
        <f>'Conjunto de Datos'!BF392</f>
        <v>390</v>
      </c>
      <c r="U391" s="7">
        <f>sala!I391</f>
        <v>4268</v>
      </c>
      <c r="V391" cm="1">
        <f t="array" ref="V391">SUM(IF(Cocina!A:A=Tabla8[[#This Row],[Numero de Orden]],Cocina!F:F*Cocina!G:G,0))</f>
        <v>143</v>
      </c>
      <c r="W391">
        <f>IF(Tabla8[[#This Row],[Cobrado]]="Cobrada",Tabla8[[#This Row],[Propina]]+Tabla8[[#This Row],[Precio Cena]],0)</f>
        <v>4411</v>
      </c>
      <c r="X391" t="str">
        <f>INDEX(sala!G:G, MATCH(Tabla8[[#This Row],[Numero de Orden]], sala!K:K, 0))</f>
        <v>Almuerzo</v>
      </c>
      <c r="Y391" t="str">
        <f>'Conjunto de Datos'!J392</f>
        <v>Cobrada</v>
      </c>
      <c r="Z391" t="str">
        <f>INDEX(sala!H:H, MATCH(Tabla8[[#This Row],[Numero de Orden]], sala!K:K, 0))</f>
        <v>Tarjeta de crédito</v>
      </c>
      <c r="AA391" s="3">
        <f>'Conjunto de Datos'!D392</f>
        <v>45021</v>
      </c>
      <c r="AB391" t="str">
        <f>INDEX(sala!L:L, MATCH(Tabla8[[#This Row],[Numero de Orden]], sala!K:K, 0))</f>
        <v>Chile</v>
      </c>
      <c r="AC391" t="str">
        <f>'Conjunto de Datos'!N392</f>
        <v>Mesero_3</v>
      </c>
      <c r="AD391">
        <f>Tabla8[[#This Row],[Propina]]+Tabla8[[#This Row],[Precio Cena]]</f>
        <v>4411</v>
      </c>
      <c r="AE391" s="45">
        <f t="shared" si="14"/>
        <v>143</v>
      </c>
    </row>
    <row r="392" spans="19:31" x14ac:dyDescent="0.3">
      <c r="S392" s="15" t="str">
        <f>'Conjunto de Datos'!BB393</f>
        <v>609</v>
      </c>
      <c r="T392" s="15">
        <f>'Conjunto de Datos'!BF393</f>
        <v>391</v>
      </c>
      <c r="U392" s="6">
        <f>sala!I392</f>
        <v>486</v>
      </c>
      <c r="V392" cm="1">
        <f t="array" ref="V392">SUM(IF(Cocina!A:A=Tabla8[[#This Row],[Numero de Orden]],Cocina!F:F*Cocina!G:G,0))</f>
        <v>22</v>
      </c>
      <c r="W392">
        <f>IF(Tabla8[[#This Row],[Cobrado]]="Cobrada",Tabla8[[#This Row],[Propina]]+Tabla8[[#This Row],[Precio Cena]],0)</f>
        <v>508</v>
      </c>
      <c r="X392" t="str">
        <f>INDEX(sala!G:G, MATCH(Tabla8[[#This Row],[Numero de Orden]], sala!K:K, 0))</f>
        <v>Almuerzo</v>
      </c>
      <c r="Y392" t="str">
        <f>'Conjunto de Datos'!J393</f>
        <v>Cobrada</v>
      </c>
      <c r="Z392" t="str">
        <f>INDEX(sala!H:H, MATCH(Tabla8[[#This Row],[Numero de Orden]], sala!K:K, 0))</f>
        <v>Tarjeta de crédito</v>
      </c>
      <c r="AA392" s="3">
        <f>'Conjunto de Datos'!D393</f>
        <v>45021</v>
      </c>
      <c r="AB392" t="str">
        <f>INDEX(sala!L:L, MATCH(Tabla8[[#This Row],[Numero de Orden]], sala!K:K, 0))</f>
        <v>Ecuador</v>
      </c>
      <c r="AC392" t="str">
        <f>'Conjunto de Datos'!N393</f>
        <v>Mesero_3</v>
      </c>
      <c r="AD392">
        <f>Tabla8[[#This Row],[Propina]]+Tabla8[[#This Row],[Precio Cena]]</f>
        <v>508</v>
      </c>
      <c r="AE392" s="45">
        <f t="shared" si="14"/>
        <v>22</v>
      </c>
    </row>
    <row r="393" spans="19:31" x14ac:dyDescent="0.3">
      <c r="S393" t="str">
        <f>'Conjunto de Datos'!BB394</f>
        <v>471</v>
      </c>
      <c r="T393">
        <f>'Conjunto de Datos'!BF394</f>
        <v>392</v>
      </c>
      <c r="U393" s="7">
        <f>sala!I393</f>
        <v>3273</v>
      </c>
      <c r="V393" cm="1">
        <f t="array" ref="V393">SUM(IF(Cocina!A:A=Tabla8[[#This Row],[Numero de Orden]],Cocina!F:F*Cocina!G:G,0))</f>
        <v>120</v>
      </c>
      <c r="W393">
        <f>IF(Tabla8[[#This Row],[Cobrado]]="Cobrada",Tabla8[[#This Row],[Propina]]+Tabla8[[#This Row],[Precio Cena]],0)</f>
        <v>3393</v>
      </c>
      <c r="X393" t="str">
        <f>INDEX(sala!G:G, MATCH(Tabla8[[#This Row],[Numero de Orden]], sala!K:K, 0))</f>
        <v>Almuerzo</v>
      </c>
      <c r="Y393" t="str">
        <f>'Conjunto de Datos'!J394</f>
        <v>Cobrada</v>
      </c>
      <c r="Z393" t="str">
        <f>INDEX(sala!H:H, MATCH(Tabla8[[#This Row],[Numero de Orden]], sala!K:K, 0))</f>
        <v>Tarjeta de crédito</v>
      </c>
      <c r="AA393" s="3">
        <f>'Conjunto de Datos'!D394</f>
        <v>45021</v>
      </c>
      <c r="AB393" t="str">
        <f>INDEX(sala!L:L, MATCH(Tabla8[[#This Row],[Numero de Orden]], sala!K:K, 0))</f>
        <v>Bolivia</v>
      </c>
      <c r="AC393" t="str">
        <f>'Conjunto de Datos'!N394</f>
        <v>Mesero_2</v>
      </c>
      <c r="AD393">
        <f>Tabla8[[#This Row],[Propina]]+Tabla8[[#This Row],[Precio Cena]]</f>
        <v>3393</v>
      </c>
      <c r="AE393" s="45">
        <f t="shared" si="14"/>
        <v>120</v>
      </c>
    </row>
    <row r="394" spans="19:31" x14ac:dyDescent="0.3">
      <c r="S394" s="15" t="str">
        <f>'Conjunto de Datos'!BB395</f>
        <v>196</v>
      </c>
      <c r="T394" s="15">
        <f>'Conjunto de Datos'!BF395</f>
        <v>393</v>
      </c>
      <c r="U394" s="6">
        <f>sala!I394</f>
        <v>1254</v>
      </c>
      <c r="V394" cm="1">
        <f t="array" ref="V394">SUM(IF(Cocina!A:A=Tabla8[[#This Row],[Numero de Orden]],Cocina!F:F*Cocina!G:G,0))</f>
        <v>208</v>
      </c>
      <c r="W394">
        <f>IF(Tabla8[[#This Row],[Cobrado]]="Cobrada",Tabla8[[#This Row],[Propina]]+Tabla8[[#This Row],[Precio Cena]],0)</f>
        <v>1462</v>
      </c>
      <c r="X394" t="str">
        <f>INDEX(sala!G:G, MATCH(Tabla8[[#This Row],[Numero de Orden]], sala!K:K, 0))</f>
        <v>Almuerzo</v>
      </c>
      <c r="Y394" t="str">
        <f>'Conjunto de Datos'!J395</f>
        <v>Cobrada</v>
      </c>
      <c r="Z394" t="str">
        <f>INDEX(sala!H:H, MATCH(Tabla8[[#This Row],[Numero de Orden]], sala!K:K, 0))</f>
        <v>Tarjeta de crédito</v>
      </c>
      <c r="AA394" s="3">
        <f>'Conjunto de Datos'!D395</f>
        <v>45021</v>
      </c>
      <c r="AB394" t="str">
        <f>INDEX(sala!L:L, MATCH(Tabla8[[#This Row],[Numero de Orden]], sala!K:K, 0))</f>
        <v>Colombia</v>
      </c>
      <c r="AC394" t="str">
        <f>'Conjunto de Datos'!N395</f>
        <v>Mesero_4</v>
      </c>
      <c r="AD394">
        <f>Tabla8[[#This Row],[Propina]]+Tabla8[[#This Row],[Precio Cena]]</f>
        <v>1462</v>
      </c>
      <c r="AE394" s="45">
        <f t="shared" si="14"/>
        <v>208</v>
      </c>
    </row>
    <row r="395" spans="19:31" x14ac:dyDescent="0.3">
      <c r="S395" t="str">
        <f>'Conjunto de Datos'!BB396</f>
        <v>740</v>
      </c>
      <c r="T395">
        <f>'Conjunto de Datos'!BF396</f>
        <v>394</v>
      </c>
      <c r="U395" s="7">
        <f>sala!I395</f>
        <v>1805</v>
      </c>
      <c r="V395" cm="1">
        <f t="array" ref="V395">SUM(IF(Cocina!A:A=Tabla8[[#This Row],[Numero de Orden]],Cocina!F:F*Cocina!G:G,0))</f>
        <v>77</v>
      </c>
      <c r="W395">
        <f>IF(Tabla8[[#This Row],[Cobrado]]="Cobrada",Tabla8[[#This Row],[Propina]]+Tabla8[[#This Row],[Precio Cena]],0)</f>
        <v>1882</v>
      </c>
      <c r="X395" t="str">
        <f>INDEX(sala!G:G, MATCH(Tabla8[[#This Row],[Numero de Orden]], sala!K:K, 0))</f>
        <v>Almuerzo</v>
      </c>
      <c r="Y395" t="str">
        <f>'Conjunto de Datos'!J396</f>
        <v>Cobrada</v>
      </c>
      <c r="Z395" t="str">
        <f>INDEX(sala!H:H, MATCH(Tabla8[[#This Row],[Numero de Orden]], sala!K:K, 0))</f>
        <v>Tarjeta de crédito</v>
      </c>
      <c r="AA395" s="3">
        <f>'Conjunto de Datos'!D396</f>
        <v>45021</v>
      </c>
      <c r="AB395" t="str">
        <f>INDEX(sala!L:L, MATCH(Tabla8[[#This Row],[Numero de Orden]], sala!K:K, 0))</f>
        <v>Brasil</v>
      </c>
      <c r="AC395" t="str">
        <f>'Conjunto de Datos'!N396</f>
        <v>Mesero_3</v>
      </c>
      <c r="AD395">
        <f>Tabla8[[#This Row],[Propina]]+Tabla8[[#This Row],[Precio Cena]]</f>
        <v>1882</v>
      </c>
      <c r="AE395" s="45">
        <f t="shared" si="14"/>
        <v>77</v>
      </c>
    </row>
    <row r="396" spans="19:31" x14ac:dyDescent="0.3">
      <c r="S396" s="15" t="str">
        <f>'Conjunto de Datos'!BB397</f>
        <v>563</v>
      </c>
      <c r="T396" s="15">
        <f>'Conjunto de Datos'!BF397</f>
        <v>395</v>
      </c>
      <c r="U396" s="6">
        <f>sala!I396</f>
        <v>409</v>
      </c>
      <c r="V396" cm="1">
        <f t="array" ref="V396">SUM(IF(Cocina!A:A=Tabla8[[#This Row],[Numero de Orden]],Cocina!F:F*Cocina!G:G,0))</f>
        <v>38</v>
      </c>
      <c r="W396">
        <f>IF(Tabla8[[#This Row],[Cobrado]]="Cobrada",Tabla8[[#This Row],[Propina]]+Tabla8[[#This Row],[Precio Cena]],0)</f>
        <v>447</v>
      </c>
      <c r="X396" t="str">
        <f>INDEX(sala!G:G, MATCH(Tabla8[[#This Row],[Numero de Orden]], sala!K:K, 0))</f>
        <v>Almuerzo</v>
      </c>
      <c r="Y396" t="str">
        <f>'Conjunto de Datos'!J397</f>
        <v>Cobrada</v>
      </c>
      <c r="Z396" t="str">
        <f>INDEX(sala!H:H, MATCH(Tabla8[[#This Row],[Numero de Orden]], sala!K:K, 0))</f>
        <v>Tarjeta de débito</v>
      </c>
      <c r="AA396" s="3">
        <f>'Conjunto de Datos'!D397</f>
        <v>45021</v>
      </c>
      <c r="AB396" t="str">
        <f>INDEX(sala!L:L, MATCH(Tabla8[[#This Row],[Numero de Orden]], sala!K:K, 0))</f>
        <v>Ecuador</v>
      </c>
      <c r="AC396" t="str">
        <f>'Conjunto de Datos'!N397</f>
        <v>Mesero_2</v>
      </c>
      <c r="AD396">
        <f>Tabla8[[#This Row],[Propina]]+Tabla8[[#This Row],[Precio Cena]]</f>
        <v>447</v>
      </c>
      <c r="AE396" s="45">
        <f t="shared" si="14"/>
        <v>38</v>
      </c>
    </row>
    <row r="397" spans="19:31" x14ac:dyDescent="0.3">
      <c r="S397" t="str">
        <f>'Conjunto de Datos'!BB398</f>
        <v>991</v>
      </c>
      <c r="T397">
        <f>'Conjunto de Datos'!BF398</f>
        <v>396</v>
      </c>
      <c r="U397" s="7">
        <f>sala!I397</f>
        <v>345</v>
      </c>
      <c r="V397" cm="1">
        <f t="array" ref="V397">SUM(IF(Cocina!A:A=Tabla8[[#This Row],[Numero de Orden]],Cocina!F:F*Cocina!G:G,0))</f>
        <v>83</v>
      </c>
      <c r="W397">
        <f>IF(Tabla8[[#This Row],[Cobrado]]="Cobrada",Tabla8[[#This Row],[Propina]]+Tabla8[[#This Row],[Precio Cena]],0)</f>
        <v>428</v>
      </c>
      <c r="X397" t="str">
        <f>INDEX(sala!G:G, MATCH(Tabla8[[#This Row],[Numero de Orden]], sala!K:K, 0))</f>
        <v>Cena</v>
      </c>
      <c r="Y397" t="str">
        <f>'Conjunto de Datos'!J398</f>
        <v>Cobrada</v>
      </c>
      <c r="Z397" t="str">
        <f>INDEX(sala!H:H, MATCH(Tabla8[[#This Row],[Numero de Orden]], sala!K:K, 0))</f>
        <v>Efectivo</v>
      </c>
      <c r="AA397" s="3">
        <f>'Conjunto de Datos'!D398</f>
        <v>45021</v>
      </c>
      <c r="AB397" t="str">
        <f>INDEX(sala!L:L, MATCH(Tabla8[[#This Row],[Numero de Orden]], sala!K:K, 0))</f>
        <v>Perú</v>
      </c>
      <c r="AC397" t="str">
        <f>'Conjunto de Datos'!N398</f>
        <v>Mesero_2</v>
      </c>
      <c r="AD397">
        <f>Tabla8[[#This Row],[Propina]]+Tabla8[[#This Row],[Precio Cena]]</f>
        <v>428</v>
      </c>
      <c r="AE397" s="45">
        <f t="shared" si="14"/>
        <v>83</v>
      </c>
    </row>
    <row r="398" spans="19:31" x14ac:dyDescent="0.3">
      <c r="S398" s="15" t="str">
        <f>'Conjunto de Datos'!BB399</f>
        <v>289</v>
      </c>
      <c r="T398" s="15">
        <f>'Conjunto de Datos'!BF399</f>
        <v>397</v>
      </c>
      <c r="U398" s="6">
        <f>sala!I398</f>
        <v>3779</v>
      </c>
      <c r="V398" cm="1">
        <f t="array" ref="V398">SUM(IF(Cocina!A:A=Tabla8[[#This Row],[Numero de Orden]],Cocina!F:F*Cocina!G:G,0))</f>
        <v>147</v>
      </c>
      <c r="W398">
        <f>IF(Tabla8[[#This Row],[Cobrado]]="Cobrada",Tabla8[[#This Row],[Propina]]+Tabla8[[#This Row],[Precio Cena]],0)</f>
        <v>3926</v>
      </c>
      <c r="X398" t="str">
        <f>INDEX(sala!G:G, MATCH(Tabla8[[#This Row],[Numero de Orden]], sala!K:K, 0))</f>
        <v>Desayuno</v>
      </c>
      <c r="Y398" t="str">
        <f>'Conjunto de Datos'!J399</f>
        <v>Cobrada</v>
      </c>
      <c r="Z398" t="str">
        <f>INDEX(sala!H:H, MATCH(Tabla8[[#This Row],[Numero de Orden]], sala!K:K, 0))</f>
        <v>Tarjeta de débito</v>
      </c>
      <c r="AA398" s="3">
        <f>'Conjunto de Datos'!D399</f>
        <v>45021</v>
      </c>
      <c r="AB398" t="str">
        <f>INDEX(sala!L:L, MATCH(Tabla8[[#This Row],[Numero de Orden]], sala!K:K, 0))</f>
        <v>Chile</v>
      </c>
      <c r="AC398" t="str">
        <f>'Conjunto de Datos'!N399</f>
        <v>Mesero_4</v>
      </c>
      <c r="AD398">
        <f>Tabla8[[#This Row],[Propina]]+Tabla8[[#This Row],[Precio Cena]]</f>
        <v>3926</v>
      </c>
      <c r="AE398" s="45">
        <f t="shared" si="14"/>
        <v>147</v>
      </c>
    </row>
    <row r="399" spans="19:31" x14ac:dyDescent="0.3">
      <c r="S399" t="str">
        <f>'Conjunto de Datos'!BB400</f>
        <v>330</v>
      </c>
      <c r="T399">
        <f>'Conjunto de Datos'!BF400</f>
        <v>398</v>
      </c>
      <c r="U399" s="7">
        <f>sala!I399</f>
        <v>4896</v>
      </c>
      <c r="V399" cm="1">
        <f t="array" ref="V399">SUM(IF(Cocina!A:A=Tabla8[[#This Row],[Numero de Orden]],Cocina!F:F*Cocina!G:G,0))</f>
        <v>122</v>
      </c>
      <c r="W399">
        <f>IF(Tabla8[[#This Row],[Cobrado]]="Cobrada",Tabla8[[#This Row],[Propina]]+Tabla8[[#This Row],[Precio Cena]],0)</f>
        <v>5018</v>
      </c>
      <c r="X399" t="str">
        <f>INDEX(sala!G:G, MATCH(Tabla8[[#This Row],[Numero de Orden]], sala!K:K, 0))</f>
        <v>Desayuno</v>
      </c>
      <c r="Y399" t="str">
        <f>'Conjunto de Datos'!J400</f>
        <v>Cobrada</v>
      </c>
      <c r="Z399" t="str">
        <f>INDEX(sala!H:H, MATCH(Tabla8[[#This Row],[Numero de Orden]], sala!K:K, 0))</f>
        <v>Tarjeta de crédito</v>
      </c>
      <c r="AA399" s="3">
        <f>'Conjunto de Datos'!D400</f>
        <v>45021</v>
      </c>
      <c r="AB399" t="str">
        <f>INDEX(sala!L:L, MATCH(Tabla8[[#This Row],[Numero de Orden]], sala!K:K, 0))</f>
        <v>Perú</v>
      </c>
      <c r="AC399" t="str">
        <f>'Conjunto de Datos'!N400</f>
        <v>Mesero_1</v>
      </c>
      <c r="AD399">
        <f>Tabla8[[#This Row],[Propina]]+Tabla8[[#This Row],[Precio Cena]]</f>
        <v>5018</v>
      </c>
      <c r="AE399" s="45">
        <f t="shared" si="14"/>
        <v>122</v>
      </c>
    </row>
    <row r="400" spans="19:31" x14ac:dyDescent="0.3">
      <c r="S400" s="15" t="str">
        <f>'Conjunto de Datos'!BB401</f>
        <v>943</v>
      </c>
      <c r="T400" s="15">
        <f>'Conjunto de Datos'!BF401</f>
        <v>399</v>
      </c>
      <c r="U400" s="6">
        <f>sala!I400</f>
        <v>2732</v>
      </c>
      <c r="V400" cm="1">
        <f t="array" ref="V400">SUM(IF(Cocina!A:A=Tabla8[[#This Row],[Numero de Orden]],Cocina!F:F*Cocina!G:G,0))</f>
        <v>207</v>
      </c>
      <c r="W400">
        <f>IF(Tabla8[[#This Row],[Cobrado]]="Cobrada",Tabla8[[#This Row],[Propina]]+Tabla8[[#This Row],[Precio Cena]],0)</f>
        <v>2939</v>
      </c>
      <c r="X400" t="str">
        <f>INDEX(sala!G:G, MATCH(Tabla8[[#This Row],[Numero de Orden]], sala!K:K, 0))</f>
        <v>Almuerzo</v>
      </c>
      <c r="Y400" t="str">
        <f>'Conjunto de Datos'!J401</f>
        <v>Cobrada</v>
      </c>
      <c r="Z400" t="str">
        <f>INDEX(sala!H:H, MATCH(Tabla8[[#This Row],[Numero de Orden]], sala!K:K, 0))</f>
        <v>Tarjeta de crédito</v>
      </c>
      <c r="AA400" s="3">
        <f>'Conjunto de Datos'!D401</f>
        <v>45021</v>
      </c>
      <c r="AB400" t="str">
        <f>INDEX(sala!L:L, MATCH(Tabla8[[#This Row],[Numero de Orden]], sala!K:K, 0))</f>
        <v>España</v>
      </c>
      <c r="AC400" t="str">
        <f>'Conjunto de Datos'!N401</f>
        <v>Mesero_5</v>
      </c>
      <c r="AD400">
        <f>Tabla8[[#This Row],[Propina]]+Tabla8[[#This Row],[Precio Cena]]</f>
        <v>2939</v>
      </c>
      <c r="AE400" s="45">
        <f t="shared" si="14"/>
        <v>207</v>
      </c>
    </row>
    <row r="401" spans="19:31" x14ac:dyDescent="0.3">
      <c r="S401" t="str">
        <f>'Conjunto de Datos'!BB402</f>
        <v>285</v>
      </c>
      <c r="T401">
        <f>'Conjunto de Datos'!BF402</f>
        <v>400</v>
      </c>
      <c r="U401" s="7">
        <f>sala!I401</f>
        <v>4296</v>
      </c>
      <c r="V401" cm="1">
        <f t="array" ref="V401">SUM(IF(Cocina!A:A=Tabla8[[#This Row],[Numero de Orden]],Cocina!F:F*Cocina!G:G,0))</f>
        <v>198</v>
      </c>
      <c r="W401">
        <f>IF(Tabla8[[#This Row],[Cobrado]]="Cobrada",Tabla8[[#This Row],[Propina]]+Tabla8[[#This Row],[Precio Cena]],0)</f>
        <v>4494</v>
      </c>
      <c r="X401" t="str">
        <f>INDEX(sala!G:G, MATCH(Tabla8[[#This Row],[Numero de Orden]], sala!K:K, 0))</f>
        <v>Almuerzo</v>
      </c>
      <c r="Y401" t="str">
        <f>'Conjunto de Datos'!J402</f>
        <v>Cobrada</v>
      </c>
      <c r="Z401" t="str">
        <f>INDEX(sala!H:H, MATCH(Tabla8[[#This Row],[Numero de Orden]], sala!K:K, 0))</f>
        <v>Tarjeta de crédito</v>
      </c>
      <c r="AA401" s="3">
        <f>'Conjunto de Datos'!D402</f>
        <v>45021</v>
      </c>
      <c r="AB401" t="str">
        <f>INDEX(sala!L:L, MATCH(Tabla8[[#This Row],[Numero de Orden]], sala!K:K, 0))</f>
        <v>Brasil</v>
      </c>
      <c r="AC401" t="str">
        <f>'Conjunto de Datos'!N402</f>
        <v>Mesero_4</v>
      </c>
      <c r="AD401">
        <f>Tabla8[[#This Row],[Propina]]+Tabla8[[#This Row],[Precio Cena]]</f>
        <v>4494</v>
      </c>
      <c r="AE401" s="45">
        <f t="shared" si="14"/>
        <v>198</v>
      </c>
    </row>
    <row r="402" spans="19:31" x14ac:dyDescent="0.3">
      <c r="S402" s="15" t="str">
        <f>'Conjunto de Datos'!BB403</f>
        <v>12</v>
      </c>
      <c r="T402" s="15">
        <f>'Conjunto de Datos'!BF403</f>
        <v>401</v>
      </c>
      <c r="U402" s="6">
        <f>sala!I402</f>
        <v>1587</v>
      </c>
      <c r="V402" cm="1">
        <f t="array" ref="V402">SUM(IF(Cocina!A:A=Tabla8[[#This Row],[Numero de Orden]],Cocina!F:F*Cocina!G:G,0))</f>
        <v>42</v>
      </c>
      <c r="W402">
        <f>IF(Tabla8[[#This Row],[Cobrado]]="Cobrada",Tabla8[[#This Row],[Propina]]+Tabla8[[#This Row],[Precio Cena]],0)</f>
        <v>1629</v>
      </c>
      <c r="X402" t="str">
        <f>INDEX(sala!G:G, MATCH(Tabla8[[#This Row],[Numero de Orden]], sala!K:K, 0))</f>
        <v>Almuerzo</v>
      </c>
      <c r="Y402" t="str">
        <f>'Conjunto de Datos'!J403</f>
        <v>Cobrada</v>
      </c>
      <c r="Z402" t="str">
        <f>INDEX(sala!H:H, MATCH(Tabla8[[#This Row],[Numero de Orden]], sala!K:K, 0))</f>
        <v>Tarjeta de crédito</v>
      </c>
      <c r="AA402" s="3">
        <f>'Conjunto de Datos'!D403</f>
        <v>45021</v>
      </c>
      <c r="AB402" t="str">
        <f>INDEX(sala!L:L, MATCH(Tabla8[[#This Row],[Numero de Orden]], sala!K:K, 0))</f>
        <v>Paraguay</v>
      </c>
      <c r="AC402" t="str">
        <f>'Conjunto de Datos'!N403</f>
        <v>Mesero_2</v>
      </c>
      <c r="AD402">
        <f>Tabla8[[#This Row],[Propina]]+Tabla8[[#This Row],[Precio Cena]]</f>
        <v>1629</v>
      </c>
      <c r="AE402" s="45">
        <f t="shared" si="14"/>
        <v>42</v>
      </c>
    </row>
    <row r="403" spans="19:31" x14ac:dyDescent="0.3">
      <c r="S403" t="str">
        <f>'Conjunto de Datos'!BB404</f>
        <v>905</v>
      </c>
      <c r="T403">
        <f>'Conjunto de Datos'!BF404</f>
        <v>402</v>
      </c>
      <c r="U403" s="7">
        <f>sala!I403</f>
        <v>3102</v>
      </c>
      <c r="V403" cm="1">
        <f t="array" ref="V403">SUM(IF(Cocina!A:A=Tabla8[[#This Row],[Numero de Orden]],Cocina!F:F*Cocina!G:G,0))</f>
        <v>151</v>
      </c>
      <c r="W403">
        <f>IF(Tabla8[[#This Row],[Cobrado]]="Cobrada",Tabla8[[#This Row],[Propina]]+Tabla8[[#This Row],[Precio Cena]],0)</f>
        <v>3253</v>
      </c>
      <c r="X403" t="str">
        <f>INDEX(sala!G:G, MATCH(Tabla8[[#This Row],[Numero de Orden]], sala!K:K, 0))</f>
        <v>Almuerzo</v>
      </c>
      <c r="Y403" t="str">
        <f>'Conjunto de Datos'!J404</f>
        <v>Cobrada</v>
      </c>
      <c r="Z403" t="str">
        <f>INDEX(sala!H:H, MATCH(Tabla8[[#This Row],[Numero de Orden]], sala!K:K, 0))</f>
        <v>Tarjeta de crédito</v>
      </c>
      <c r="AA403" s="3">
        <f>'Conjunto de Datos'!D404</f>
        <v>45021</v>
      </c>
      <c r="AB403" t="str">
        <f>INDEX(sala!L:L, MATCH(Tabla8[[#This Row],[Numero de Orden]], sala!K:K, 0))</f>
        <v>Colombia</v>
      </c>
      <c r="AC403" t="str">
        <f>'Conjunto de Datos'!N404</f>
        <v>Mesero_3</v>
      </c>
      <c r="AD403">
        <f>Tabla8[[#This Row],[Propina]]+Tabla8[[#This Row],[Precio Cena]]</f>
        <v>3253</v>
      </c>
      <c r="AE403" s="45">
        <f t="shared" si="14"/>
        <v>151</v>
      </c>
    </row>
    <row r="404" spans="19:31" x14ac:dyDescent="0.3">
      <c r="S404" s="15" t="str">
        <f>'Conjunto de Datos'!BB405</f>
        <v>543</v>
      </c>
      <c r="T404" s="15">
        <f>'Conjunto de Datos'!BF405</f>
        <v>403</v>
      </c>
      <c r="U404" s="6">
        <f>sala!I404</f>
        <v>1476</v>
      </c>
      <c r="V404" cm="1">
        <f t="array" ref="V404">SUM(IF(Cocina!A:A=Tabla8[[#This Row],[Numero de Orden]],Cocina!F:F*Cocina!G:G,0))</f>
        <v>190</v>
      </c>
      <c r="W404">
        <f>IF(Tabla8[[#This Row],[Cobrado]]="Cobrada",Tabla8[[#This Row],[Propina]]+Tabla8[[#This Row],[Precio Cena]],0)</f>
        <v>1666</v>
      </c>
      <c r="X404" t="str">
        <f>INDEX(sala!G:G, MATCH(Tabla8[[#This Row],[Numero de Orden]], sala!K:K, 0))</f>
        <v>Almuerzo</v>
      </c>
      <c r="Y404" t="str">
        <f>'Conjunto de Datos'!J405</f>
        <v>Cobrada</v>
      </c>
      <c r="Z404" t="str">
        <f>INDEX(sala!H:H, MATCH(Tabla8[[#This Row],[Numero de Orden]], sala!K:K, 0))</f>
        <v>Tarjeta de crédito</v>
      </c>
      <c r="AA404" s="3">
        <f>'Conjunto de Datos'!D405</f>
        <v>45021</v>
      </c>
      <c r="AB404" t="str">
        <f>INDEX(sala!L:L, MATCH(Tabla8[[#This Row],[Numero de Orden]], sala!K:K, 0))</f>
        <v>Chile</v>
      </c>
      <c r="AC404" t="str">
        <f>'Conjunto de Datos'!N405</f>
        <v>Mesero_1</v>
      </c>
      <c r="AD404">
        <f>Tabla8[[#This Row],[Propina]]+Tabla8[[#This Row],[Precio Cena]]</f>
        <v>1666</v>
      </c>
      <c r="AE404" s="45">
        <f t="shared" si="14"/>
        <v>190</v>
      </c>
    </row>
    <row r="405" spans="19:31" x14ac:dyDescent="0.3">
      <c r="S405" t="str">
        <f>'Conjunto de Datos'!BB406</f>
        <v>897</v>
      </c>
      <c r="T405">
        <f>'Conjunto de Datos'!BF406</f>
        <v>404</v>
      </c>
      <c r="U405" s="7">
        <f>sala!I405</f>
        <v>3256</v>
      </c>
      <c r="V405" cm="1">
        <f t="array" ref="V405">SUM(IF(Cocina!A:A=Tabla8[[#This Row],[Numero de Orden]],Cocina!F:F*Cocina!G:G,0))</f>
        <v>182</v>
      </c>
      <c r="W405">
        <f>IF(Tabla8[[#This Row],[Cobrado]]="Cobrada",Tabla8[[#This Row],[Propina]]+Tabla8[[#This Row],[Precio Cena]],0)</f>
        <v>3438</v>
      </c>
      <c r="X405" t="str">
        <f>INDEX(sala!G:G, MATCH(Tabla8[[#This Row],[Numero de Orden]], sala!K:K, 0))</f>
        <v>Almuerzo</v>
      </c>
      <c r="Y405" t="str">
        <f>'Conjunto de Datos'!J406</f>
        <v>Cobrada</v>
      </c>
      <c r="Z405" t="str">
        <f>INDEX(sala!H:H, MATCH(Tabla8[[#This Row],[Numero de Orden]], sala!K:K, 0))</f>
        <v>Tarjeta de crédito</v>
      </c>
      <c r="AA405" s="3">
        <f>'Conjunto de Datos'!D406</f>
        <v>45021</v>
      </c>
      <c r="AB405" t="str">
        <f>INDEX(sala!L:L, MATCH(Tabla8[[#This Row],[Numero de Orden]], sala!K:K, 0))</f>
        <v>España</v>
      </c>
      <c r="AC405" t="str">
        <f>'Conjunto de Datos'!N406</f>
        <v>Mesero_5</v>
      </c>
      <c r="AD405">
        <f>Tabla8[[#This Row],[Propina]]+Tabla8[[#This Row],[Precio Cena]]</f>
        <v>3438</v>
      </c>
      <c r="AE405" s="45">
        <f t="shared" si="14"/>
        <v>182</v>
      </c>
    </row>
    <row r="406" spans="19:31" x14ac:dyDescent="0.3">
      <c r="S406" s="15" t="str">
        <f>'Conjunto de Datos'!BB407</f>
        <v>239</v>
      </c>
      <c r="T406" s="15">
        <f>'Conjunto de Datos'!BF407</f>
        <v>405</v>
      </c>
      <c r="U406" s="6">
        <f>sala!I406</f>
        <v>1456</v>
      </c>
      <c r="V406" cm="1">
        <f t="array" ref="V406">SUM(IF(Cocina!A:A=Tabla8[[#This Row],[Numero de Orden]],Cocina!F:F*Cocina!G:G,0))</f>
        <v>106</v>
      </c>
      <c r="W406">
        <f>IF(Tabla8[[#This Row],[Cobrado]]="Cobrada",Tabla8[[#This Row],[Propina]]+Tabla8[[#This Row],[Precio Cena]],0)</f>
        <v>1562</v>
      </c>
      <c r="X406" t="str">
        <f>INDEX(sala!G:G, MATCH(Tabla8[[#This Row],[Numero de Orden]], sala!K:K, 0))</f>
        <v>Cena</v>
      </c>
      <c r="Y406" t="str">
        <f>'Conjunto de Datos'!J407</f>
        <v>Cobrada</v>
      </c>
      <c r="Z406" t="str">
        <f>INDEX(sala!H:H, MATCH(Tabla8[[#This Row],[Numero de Orden]], sala!K:K, 0))</f>
        <v>Tarjeta de crédito</v>
      </c>
      <c r="AA406" s="3">
        <f>'Conjunto de Datos'!D407</f>
        <v>45021</v>
      </c>
      <c r="AB406" t="str">
        <f>INDEX(sala!L:L, MATCH(Tabla8[[#This Row],[Numero de Orden]], sala!K:K, 0))</f>
        <v>Argentina</v>
      </c>
      <c r="AC406" t="str">
        <f>'Conjunto de Datos'!N407</f>
        <v>Mesero_2</v>
      </c>
      <c r="AD406">
        <f>Tabla8[[#This Row],[Propina]]+Tabla8[[#This Row],[Precio Cena]]</f>
        <v>1562</v>
      </c>
      <c r="AE406" s="45">
        <f t="shared" si="14"/>
        <v>106</v>
      </c>
    </row>
    <row r="407" spans="19:31" x14ac:dyDescent="0.3">
      <c r="S407" t="str">
        <f>'Conjunto de Datos'!BB408</f>
        <v>927</v>
      </c>
      <c r="T407">
        <f>'Conjunto de Datos'!BF408</f>
        <v>406</v>
      </c>
      <c r="U407" s="7">
        <f>sala!I407</f>
        <v>3403</v>
      </c>
      <c r="V407" cm="1">
        <f t="array" ref="V407">SUM(IF(Cocina!A:A=Tabla8[[#This Row],[Numero de Orden]],Cocina!F:F*Cocina!G:G,0))</f>
        <v>155</v>
      </c>
      <c r="W407">
        <f>IF(Tabla8[[#This Row],[Cobrado]]="Cobrada",Tabla8[[#This Row],[Propina]]+Tabla8[[#This Row],[Precio Cena]],0)</f>
        <v>3558</v>
      </c>
      <c r="X407" t="str">
        <f>INDEX(sala!G:G, MATCH(Tabla8[[#This Row],[Numero de Orden]], sala!K:K, 0))</f>
        <v>Cena</v>
      </c>
      <c r="Y407" t="str">
        <f>'Conjunto de Datos'!J408</f>
        <v>Cobrada</v>
      </c>
      <c r="Z407" t="str">
        <f>INDEX(sala!H:H, MATCH(Tabla8[[#This Row],[Numero de Orden]], sala!K:K, 0))</f>
        <v>Efectivo</v>
      </c>
      <c r="AA407" s="3">
        <f>'Conjunto de Datos'!D408</f>
        <v>45021</v>
      </c>
      <c r="AB407" t="str">
        <f>INDEX(sala!L:L, MATCH(Tabla8[[#This Row],[Numero de Orden]], sala!K:K, 0))</f>
        <v>España</v>
      </c>
      <c r="AC407" t="str">
        <f>'Conjunto de Datos'!N408</f>
        <v>Mesero_2</v>
      </c>
      <c r="AD407">
        <f>Tabla8[[#This Row],[Propina]]+Tabla8[[#This Row],[Precio Cena]]</f>
        <v>3558</v>
      </c>
      <c r="AE407" s="45">
        <f t="shared" si="14"/>
        <v>155</v>
      </c>
    </row>
    <row r="408" spans="19:31" x14ac:dyDescent="0.3">
      <c r="S408" s="15" t="str">
        <f>'Conjunto de Datos'!BB409</f>
        <v>315</v>
      </c>
      <c r="T408" s="15">
        <f>'Conjunto de Datos'!BF409</f>
        <v>407</v>
      </c>
      <c r="U408" s="6">
        <f>sala!I408</f>
        <v>2298</v>
      </c>
      <c r="V408" cm="1">
        <f t="array" ref="V408">SUM(IF(Cocina!A:A=Tabla8[[#This Row],[Numero de Orden]],Cocina!F:F*Cocina!G:G,0))</f>
        <v>95</v>
      </c>
      <c r="W408">
        <f>IF(Tabla8[[#This Row],[Cobrado]]="Cobrada",Tabla8[[#This Row],[Propina]]+Tabla8[[#This Row],[Precio Cena]],0)</f>
        <v>2393</v>
      </c>
      <c r="X408" t="str">
        <f>INDEX(sala!G:G, MATCH(Tabla8[[#This Row],[Numero de Orden]], sala!K:K, 0))</f>
        <v>Desayuno</v>
      </c>
      <c r="Y408" t="str">
        <f>'Conjunto de Datos'!J409</f>
        <v>Cobrada</v>
      </c>
      <c r="Z408" t="str">
        <f>INDEX(sala!H:H, MATCH(Tabla8[[#This Row],[Numero de Orden]], sala!K:K, 0))</f>
        <v>Tarjeta de débito</v>
      </c>
      <c r="AA408" s="3">
        <f>'Conjunto de Datos'!D409</f>
        <v>45021</v>
      </c>
      <c r="AB408" t="str">
        <f>INDEX(sala!L:L, MATCH(Tabla8[[#This Row],[Numero de Orden]], sala!K:K, 0))</f>
        <v>Ecuador</v>
      </c>
      <c r="AC408" t="str">
        <f>'Conjunto de Datos'!N409</f>
        <v>Mesero_4</v>
      </c>
      <c r="AD408">
        <f>Tabla8[[#This Row],[Propina]]+Tabla8[[#This Row],[Precio Cena]]</f>
        <v>2393</v>
      </c>
      <c r="AE408" s="45">
        <f t="shared" si="14"/>
        <v>95</v>
      </c>
    </row>
    <row r="409" spans="19:31" x14ac:dyDescent="0.3">
      <c r="S409" t="str">
        <f>'Conjunto de Datos'!BB410</f>
        <v>195</v>
      </c>
      <c r="T409">
        <f>'Conjunto de Datos'!BF410</f>
        <v>408</v>
      </c>
      <c r="U409" s="7">
        <f>sala!I409</f>
        <v>1014</v>
      </c>
      <c r="V409" cm="1">
        <f t="array" ref="V409">SUM(IF(Cocina!A:A=Tabla8[[#This Row],[Numero de Orden]],Cocina!F:F*Cocina!G:G,0))</f>
        <v>131</v>
      </c>
      <c r="W409">
        <f>IF(Tabla8[[#This Row],[Cobrado]]="Cobrada",Tabla8[[#This Row],[Propina]]+Tabla8[[#This Row],[Precio Cena]],0)</f>
        <v>1145</v>
      </c>
      <c r="X409" t="str">
        <f>INDEX(sala!G:G, MATCH(Tabla8[[#This Row],[Numero de Orden]], sala!K:K, 0))</f>
        <v>Almuerzo</v>
      </c>
      <c r="Y409" t="str">
        <f>'Conjunto de Datos'!J410</f>
        <v>Cobrada</v>
      </c>
      <c r="Z409" t="str">
        <f>INDEX(sala!H:H, MATCH(Tabla8[[#This Row],[Numero de Orden]], sala!K:K, 0))</f>
        <v>Tarjeta de crédito</v>
      </c>
      <c r="AA409" s="3">
        <f>'Conjunto de Datos'!D410</f>
        <v>45021</v>
      </c>
      <c r="AB409" t="str">
        <f>INDEX(sala!L:L, MATCH(Tabla8[[#This Row],[Numero de Orden]], sala!K:K, 0))</f>
        <v>Chile</v>
      </c>
      <c r="AC409" t="str">
        <f>'Conjunto de Datos'!N410</f>
        <v>Mesero_2</v>
      </c>
      <c r="AD409">
        <f>Tabla8[[#This Row],[Propina]]+Tabla8[[#This Row],[Precio Cena]]</f>
        <v>1145</v>
      </c>
      <c r="AE409" s="45">
        <f t="shared" si="14"/>
        <v>131</v>
      </c>
    </row>
    <row r="410" spans="19:31" x14ac:dyDescent="0.3">
      <c r="S410" s="15" t="str">
        <f>'Conjunto de Datos'!BB411</f>
        <v>166</v>
      </c>
      <c r="T410" s="15">
        <f>'Conjunto de Datos'!BF411</f>
        <v>409</v>
      </c>
      <c r="U410" s="6">
        <f>sala!I410</f>
        <v>487</v>
      </c>
      <c r="V410" cm="1">
        <f t="array" ref="V410">SUM(IF(Cocina!A:A=Tabla8[[#This Row],[Numero de Orden]],Cocina!F:F*Cocina!G:G,0))</f>
        <v>203</v>
      </c>
      <c r="W410">
        <f>IF(Tabla8[[#This Row],[Cobrado]]="Cobrada",Tabla8[[#This Row],[Propina]]+Tabla8[[#This Row],[Precio Cena]],0)</f>
        <v>0</v>
      </c>
      <c r="X410" t="str">
        <f>INDEX(sala!G:G, MATCH(Tabla8[[#This Row],[Numero de Orden]], sala!K:K, 0))</f>
        <v>Almuerzo</v>
      </c>
      <c r="Y410" t="str">
        <f>'Conjunto de Datos'!J411</f>
        <v>No Cobrada</v>
      </c>
      <c r="Z410" t="str">
        <f>INDEX(sala!H:H, MATCH(Tabla8[[#This Row],[Numero de Orden]], sala!K:K, 0))</f>
        <v>Tarjeta de crédito</v>
      </c>
      <c r="AA410" s="3">
        <f>'Conjunto de Datos'!D411</f>
        <v>45021</v>
      </c>
      <c r="AB410" t="str">
        <f>INDEX(sala!L:L, MATCH(Tabla8[[#This Row],[Numero de Orden]], sala!K:K, 0))</f>
        <v>Chile</v>
      </c>
      <c r="AC410" t="str">
        <f>'Conjunto de Datos'!N411</f>
        <v>Mesero_1</v>
      </c>
      <c r="AD410">
        <f>Tabla8[[#This Row],[Propina]]+Tabla8[[#This Row],[Precio Cena]]</f>
        <v>690</v>
      </c>
      <c r="AE410" s="45">
        <f t="shared" si="14"/>
        <v>0</v>
      </c>
    </row>
    <row r="411" spans="19:31" x14ac:dyDescent="0.3">
      <c r="S411" t="str">
        <f>'Conjunto de Datos'!BB412</f>
        <v>157</v>
      </c>
      <c r="T411">
        <f>'Conjunto de Datos'!BF412</f>
        <v>410</v>
      </c>
      <c r="U411" s="7">
        <f>sala!I411</f>
        <v>4365</v>
      </c>
      <c r="V411" cm="1">
        <f t="array" ref="V411">SUM(IF(Cocina!A:A=Tabla8[[#This Row],[Numero de Orden]],Cocina!F:F*Cocina!G:G,0))</f>
        <v>56</v>
      </c>
      <c r="W411">
        <f>IF(Tabla8[[#This Row],[Cobrado]]="Cobrada",Tabla8[[#This Row],[Propina]]+Tabla8[[#This Row],[Precio Cena]],0)</f>
        <v>4421</v>
      </c>
      <c r="X411" t="str">
        <f>INDEX(sala!G:G, MATCH(Tabla8[[#This Row],[Numero de Orden]], sala!K:K, 0))</f>
        <v>Cena</v>
      </c>
      <c r="Y411" t="str">
        <f>'Conjunto de Datos'!J412</f>
        <v>Cobrada</v>
      </c>
      <c r="Z411" t="str">
        <f>INDEX(sala!H:H, MATCH(Tabla8[[#This Row],[Numero de Orden]], sala!K:K, 0))</f>
        <v>Tarjeta de crédito</v>
      </c>
      <c r="AA411" s="3">
        <f>'Conjunto de Datos'!D412</f>
        <v>45021</v>
      </c>
      <c r="AB411" t="str">
        <f>INDEX(sala!L:L, MATCH(Tabla8[[#This Row],[Numero de Orden]], sala!K:K, 0))</f>
        <v>Perú</v>
      </c>
      <c r="AC411" t="str">
        <f>'Conjunto de Datos'!N412</f>
        <v>Mesero_4</v>
      </c>
      <c r="AD411">
        <f>Tabla8[[#This Row],[Propina]]+Tabla8[[#This Row],[Precio Cena]]</f>
        <v>4421</v>
      </c>
      <c r="AE411" s="45">
        <f t="shared" si="14"/>
        <v>56</v>
      </c>
    </row>
    <row r="412" spans="19:31" x14ac:dyDescent="0.3">
      <c r="S412" s="15" t="str">
        <f>'Conjunto de Datos'!BB413</f>
        <v>212</v>
      </c>
      <c r="T412" s="15">
        <f>'Conjunto de Datos'!BF413</f>
        <v>411</v>
      </c>
      <c r="U412" s="6">
        <f>sala!I412</f>
        <v>2188</v>
      </c>
      <c r="V412" cm="1">
        <f t="array" ref="V412">SUM(IF(Cocina!A:A=Tabla8[[#This Row],[Numero de Orden]],Cocina!F:F*Cocina!G:G,0))</f>
        <v>219</v>
      </c>
      <c r="W412">
        <f>IF(Tabla8[[#This Row],[Cobrado]]="Cobrada",Tabla8[[#This Row],[Propina]]+Tabla8[[#This Row],[Precio Cena]],0)</f>
        <v>2407</v>
      </c>
      <c r="X412" t="str">
        <f>INDEX(sala!G:G, MATCH(Tabla8[[#This Row],[Numero de Orden]], sala!K:K, 0))</f>
        <v>Almuerzo</v>
      </c>
      <c r="Y412" t="str">
        <f>'Conjunto de Datos'!J413</f>
        <v>Cobrada</v>
      </c>
      <c r="Z412" t="str">
        <f>INDEX(sala!H:H, MATCH(Tabla8[[#This Row],[Numero de Orden]], sala!K:K, 0))</f>
        <v>Tarjeta de débito</v>
      </c>
      <c r="AA412" s="3">
        <f>'Conjunto de Datos'!D413</f>
        <v>45021</v>
      </c>
      <c r="AB412" t="str">
        <f>INDEX(sala!L:L, MATCH(Tabla8[[#This Row],[Numero de Orden]], sala!K:K, 0))</f>
        <v>Colombia</v>
      </c>
      <c r="AC412" t="str">
        <f>'Conjunto de Datos'!N413</f>
        <v>Mesero_1</v>
      </c>
      <c r="AD412">
        <f>Tabla8[[#This Row],[Propina]]+Tabla8[[#This Row],[Precio Cena]]</f>
        <v>2407</v>
      </c>
      <c r="AE412" s="45">
        <f t="shared" si="14"/>
        <v>219</v>
      </c>
    </row>
    <row r="413" spans="19:31" x14ac:dyDescent="0.3">
      <c r="S413" t="str">
        <f>'Conjunto de Datos'!BB414</f>
        <v>912</v>
      </c>
      <c r="T413">
        <f>'Conjunto de Datos'!BF414</f>
        <v>412</v>
      </c>
      <c r="U413" s="7">
        <f>sala!I413</f>
        <v>1294</v>
      </c>
      <c r="V413" cm="1">
        <f t="array" ref="V413">SUM(IF(Cocina!A:A=Tabla8[[#This Row],[Numero de Orden]],Cocina!F:F*Cocina!G:G,0))</f>
        <v>93</v>
      </c>
      <c r="W413">
        <f>IF(Tabla8[[#This Row],[Cobrado]]="Cobrada",Tabla8[[#This Row],[Propina]]+Tabla8[[#This Row],[Precio Cena]],0)</f>
        <v>1387</v>
      </c>
      <c r="X413" t="str">
        <f>INDEX(sala!G:G, MATCH(Tabla8[[#This Row],[Numero de Orden]], sala!K:K, 0))</f>
        <v>Cena</v>
      </c>
      <c r="Y413" t="str">
        <f>'Conjunto de Datos'!J414</f>
        <v>Cobrada</v>
      </c>
      <c r="Z413" t="str">
        <f>INDEX(sala!H:H, MATCH(Tabla8[[#This Row],[Numero de Orden]], sala!K:K, 0))</f>
        <v>Tarjeta de crédito</v>
      </c>
      <c r="AA413" s="3">
        <f>'Conjunto de Datos'!D414</f>
        <v>45021</v>
      </c>
      <c r="AB413" t="str">
        <f>INDEX(sala!L:L, MATCH(Tabla8[[#This Row],[Numero de Orden]], sala!K:K, 0))</f>
        <v>Perú</v>
      </c>
      <c r="AC413" t="str">
        <f>'Conjunto de Datos'!N414</f>
        <v>Mesero_5</v>
      </c>
      <c r="AD413">
        <f>Tabla8[[#This Row],[Propina]]+Tabla8[[#This Row],[Precio Cena]]</f>
        <v>1387</v>
      </c>
      <c r="AE413" s="45">
        <f t="shared" si="14"/>
        <v>93</v>
      </c>
    </row>
    <row r="414" spans="19:31" x14ac:dyDescent="0.3">
      <c r="S414" s="15" t="str">
        <f>'Conjunto de Datos'!BB415</f>
        <v>736</v>
      </c>
      <c r="T414" s="15">
        <f>'Conjunto de Datos'!BF415</f>
        <v>413</v>
      </c>
      <c r="U414" s="6">
        <f>sala!I414</f>
        <v>2301</v>
      </c>
      <c r="V414" cm="1">
        <f t="array" ref="V414">SUM(IF(Cocina!A:A=Tabla8[[#This Row],[Numero de Orden]],Cocina!F:F*Cocina!G:G,0))</f>
        <v>35</v>
      </c>
      <c r="W414">
        <f>IF(Tabla8[[#This Row],[Cobrado]]="Cobrada",Tabla8[[#This Row],[Propina]]+Tabla8[[#This Row],[Precio Cena]],0)</f>
        <v>2336</v>
      </c>
      <c r="X414" t="str">
        <f>INDEX(sala!G:G, MATCH(Tabla8[[#This Row],[Numero de Orden]], sala!K:K, 0))</f>
        <v>Cena</v>
      </c>
      <c r="Y414" t="str">
        <f>'Conjunto de Datos'!J415</f>
        <v>Cobrada</v>
      </c>
      <c r="Z414" t="str">
        <f>INDEX(sala!H:H, MATCH(Tabla8[[#This Row],[Numero de Orden]], sala!K:K, 0))</f>
        <v>Tarjeta de crédito</v>
      </c>
      <c r="AA414" s="3">
        <f>'Conjunto de Datos'!D415</f>
        <v>45021</v>
      </c>
      <c r="AB414" t="str">
        <f>INDEX(sala!L:L, MATCH(Tabla8[[#This Row],[Numero de Orden]], sala!K:K, 0))</f>
        <v>Argentina</v>
      </c>
      <c r="AC414" t="str">
        <f>'Conjunto de Datos'!N415</f>
        <v>Mesero_4</v>
      </c>
      <c r="AD414">
        <f>Tabla8[[#This Row],[Propina]]+Tabla8[[#This Row],[Precio Cena]]</f>
        <v>2336</v>
      </c>
      <c r="AE414" s="45">
        <f t="shared" si="14"/>
        <v>35</v>
      </c>
    </row>
    <row r="415" spans="19:31" x14ac:dyDescent="0.3">
      <c r="S415" t="str">
        <f>'Conjunto de Datos'!BB416</f>
        <v>328</v>
      </c>
      <c r="T415">
        <f>'Conjunto de Datos'!BF416</f>
        <v>414</v>
      </c>
      <c r="U415" s="7">
        <f>sala!I415</f>
        <v>1317</v>
      </c>
      <c r="V415" cm="1">
        <f t="array" ref="V415">SUM(IF(Cocina!A:A=Tabla8[[#This Row],[Numero de Orden]],Cocina!F:F*Cocina!G:G,0))</f>
        <v>33</v>
      </c>
      <c r="W415">
        <f>IF(Tabla8[[#This Row],[Cobrado]]="Cobrada",Tabla8[[#This Row],[Propina]]+Tabla8[[#This Row],[Precio Cena]],0)</f>
        <v>1350</v>
      </c>
      <c r="X415" t="str">
        <f>INDEX(sala!G:G, MATCH(Tabla8[[#This Row],[Numero de Orden]], sala!K:K, 0))</f>
        <v>Desayuno</v>
      </c>
      <c r="Y415" t="str">
        <f>'Conjunto de Datos'!J416</f>
        <v>Cobrada</v>
      </c>
      <c r="Z415" t="str">
        <f>INDEX(sala!H:H, MATCH(Tabla8[[#This Row],[Numero de Orden]], sala!K:K, 0))</f>
        <v>Tarjeta de crédito</v>
      </c>
      <c r="AA415" s="3">
        <f>'Conjunto de Datos'!D416</f>
        <v>45021</v>
      </c>
      <c r="AB415" t="str">
        <f>INDEX(sala!L:L, MATCH(Tabla8[[#This Row],[Numero de Orden]], sala!K:K, 0))</f>
        <v>España</v>
      </c>
      <c r="AC415" t="str">
        <f>'Conjunto de Datos'!N416</f>
        <v>Mesero_5</v>
      </c>
      <c r="AD415">
        <f>Tabla8[[#This Row],[Propina]]+Tabla8[[#This Row],[Precio Cena]]</f>
        <v>1350</v>
      </c>
      <c r="AE415" s="45">
        <f t="shared" si="14"/>
        <v>33</v>
      </c>
    </row>
    <row r="416" spans="19:31" x14ac:dyDescent="0.3">
      <c r="S416" s="15" t="str">
        <f>'Conjunto de Datos'!BB417</f>
        <v>919</v>
      </c>
      <c r="T416" s="15">
        <f>'Conjunto de Datos'!BF417</f>
        <v>415</v>
      </c>
      <c r="U416" s="6">
        <f>sala!I416</f>
        <v>2051</v>
      </c>
      <c r="V416" cm="1">
        <f t="array" ref="V416">SUM(IF(Cocina!A:A=Tabla8[[#This Row],[Numero de Orden]],Cocina!F:F*Cocina!G:G,0))</f>
        <v>158</v>
      </c>
      <c r="W416">
        <f>IF(Tabla8[[#This Row],[Cobrado]]="Cobrada",Tabla8[[#This Row],[Propina]]+Tabla8[[#This Row],[Precio Cena]],0)</f>
        <v>2209</v>
      </c>
      <c r="X416" t="str">
        <f>INDEX(sala!G:G, MATCH(Tabla8[[#This Row],[Numero de Orden]], sala!K:K, 0))</f>
        <v>Cena</v>
      </c>
      <c r="Y416" t="str">
        <f>'Conjunto de Datos'!J417</f>
        <v>Cobrada</v>
      </c>
      <c r="Z416" t="str">
        <f>INDEX(sala!H:H, MATCH(Tabla8[[#This Row],[Numero de Orden]], sala!K:K, 0))</f>
        <v>Tarjeta de crédito</v>
      </c>
      <c r="AA416" s="3">
        <f>'Conjunto de Datos'!D417</f>
        <v>45021</v>
      </c>
      <c r="AB416" t="str">
        <f>INDEX(sala!L:L, MATCH(Tabla8[[#This Row],[Numero de Orden]], sala!K:K, 0))</f>
        <v>Brasil</v>
      </c>
      <c r="AC416" t="str">
        <f>'Conjunto de Datos'!N417</f>
        <v>Mesero_4</v>
      </c>
      <c r="AD416">
        <f>Tabla8[[#This Row],[Propina]]+Tabla8[[#This Row],[Precio Cena]]</f>
        <v>2209</v>
      </c>
      <c r="AE416" s="45">
        <f t="shared" si="14"/>
        <v>158</v>
      </c>
    </row>
    <row r="417" spans="19:31" x14ac:dyDescent="0.3">
      <c r="S417" t="str">
        <f>'Conjunto de Datos'!BB418</f>
        <v>958</v>
      </c>
      <c r="T417">
        <f>'Conjunto de Datos'!BF418</f>
        <v>416</v>
      </c>
      <c r="U417" s="7">
        <f>sala!I417</f>
        <v>129</v>
      </c>
      <c r="V417" cm="1">
        <f t="array" ref="V417">SUM(IF(Cocina!A:A=Tabla8[[#This Row],[Numero de Orden]],Cocina!F:F*Cocina!G:G,0))</f>
        <v>25</v>
      </c>
      <c r="W417">
        <f>IF(Tabla8[[#This Row],[Cobrado]]="Cobrada",Tabla8[[#This Row],[Propina]]+Tabla8[[#This Row],[Precio Cena]],0)</f>
        <v>154</v>
      </c>
      <c r="X417" t="str">
        <f>INDEX(sala!G:G, MATCH(Tabla8[[#This Row],[Numero de Orden]], sala!K:K, 0))</f>
        <v>Cena</v>
      </c>
      <c r="Y417" t="str">
        <f>'Conjunto de Datos'!J418</f>
        <v>Cobrada</v>
      </c>
      <c r="Z417" t="str">
        <f>INDEX(sala!H:H, MATCH(Tabla8[[#This Row],[Numero de Orden]], sala!K:K, 0))</f>
        <v>Tarjeta de crédito</v>
      </c>
      <c r="AA417" s="3">
        <f>'Conjunto de Datos'!D418</f>
        <v>45021</v>
      </c>
      <c r="AB417" t="str">
        <f>INDEX(sala!L:L, MATCH(Tabla8[[#This Row],[Numero de Orden]], sala!K:K, 0))</f>
        <v>Uruguay</v>
      </c>
      <c r="AC417" t="str">
        <f>'Conjunto de Datos'!N418</f>
        <v>Mesero_1</v>
      </c>
      <c r="AD417">
        <f>Tabla8[[#This Row],[Propina]]+Tabla8[[#This Row],[Precio Cena]]</f>
        <v>154</v>
      </c>
      <c r="AE417" s="45">
        <f t="shared" si="14"/>
        <v>25</v>
      </c>
    </row>
    <row r="418" spans="19:31" x14ac:dyDescent="0.3">
      <c r="S418" s="15" t="str">
        <f>'Conjunto de Datos'!BB419</f>
        <v>395</v>
      </c>
      <c r="T418" s="15">
        <f>'Conjunto de Datos'!BF419</f>
        <v>417</v>
      </c>
      <c r="U418" s="6">
        <f>sala!I418</f>
        <v>3508</v>
      </c>
      <c r="V418" cm="1">
        <f t="array" ref="V418">SUM(IF(Cocina!A:A=Tabla8[[#This Row],[Numero de Orden]],Cocina!F:F*Cocina!G:G,0))</f>
        <v>142</v>
      </c>
      <c r="W418">
        <f>IF(Tabla8[[#This Row],[Cobrado]]="Cobrada",Tabla8[[#This Row],[Propina]]+Tabla8[[#This Row],[Precio Cena]],0)</f>
        <v>0</v>
      </c>
      <c r="X418" t="str">
        <f>INDEX(sala!G:G, MATCH(Tabla8[[#This Row],[Numero de Orden]], sala!K:K, 0))</f>
        <v>Cena</v>
      </c>
      <c r="Y418" t="str">
        <f>'Conjunto de Datos'!J419</f>
        <v>No Cobrada</v>
      </c>
      <c r="Z418" t="str">
        <f>INDEX(sala!H:H, MATCH(Tabla8[[#This Row],[Numero de Orden]], sala!K:K, 0))</f>
        <v>Tarjeta de crédito</v>
      </c>
      <c r="AA418" s="3">
        <f>'Conjunto de Datos'!D419</f>
        <v>45021</v>
      </c>
      <c r="AB418" t="str">
        <f>INDEX(sala!L:L, MATCH(Tabla8[[#This Row],[Numero de Orden]], sala!K:K, 0))</f>
        <v>Venezuela</v>
      </c>
      <c r="AC418" t="str">
        <f>'Conjunto de Datos'!N419</f>
        <v>Mesero_2</v>
      </c>
      <c r="AD418">
        <f>Tabla8[[#This Row],[Propina]]+Tabla8[[#This Row],[Precio Cena]]</f>
        <v>3650</v>
      </c>
      <c r="AE418" s="45">
        <f t="shared" si="14"/>
        <v>0</v>
      </c>
    </row>
    <row r="419" spans="19:31" x14ac:dyDescent="0.3">
      <c r="S419" t="str">
        <f>'Conjunto de Datos'!BB420</f>
        <v>287</v>
      </c>
      <c r="T419">
        <f>'Conjunto de Datos'!BF420</f>
        <v>418</v>
      </c>
      <c r="U419" s="7">
        <f>sala!I419</f>
        <v>3551</v>
      </c>
      <c r="V419" cm="1">
        <f t="array" ref="V419">SUM(IF(Cocina!A:A=Tabla8[[#This Row],[Numero de Orden]],Cocina!F:F*Cocina!G:G,0))</f>
        <v>118</v>
      </c>
      <c r="W419">
        <f>IF(Tabla8[[#This Row],[Cobrado]]="Cobrada",Tabla8[[#This Row],[Propina]]+Tabla8[[#This Row],[Precio Cena]],0)</f>
        <v>3669</v>
      </c>
      <c r="X419" t="str">
        <f>INDEX(sala!G:G, MATCH(Tabla8[[#This Row],[Numero de Orden]], sala!K:K, 0))</f>
        <v>Cena</v>
      </c>
      <c r="Y419" t="str">
        <f>'Conjunto de Datos'!J420</f>
        <v>Cobrada</v>
      </c>
      <c r="Z419" t="str">
        <f>INDEX(sala!H:H, MATCH(Tabla8[[#This Row],[Numero de Orden]], sala!K:K, 0))</f>
        <v>Tarjeta de crédito</v>
      </c>
      <c r="AA419" s="3">
        <f>'Conjunto de Datos'!D420</f>
        <v>45021</v>
      </c>
      <c r="AB419" t="str">
        <f>INDEX(sala!L:L, MATCH(Tabla8[[#This Row],[Numero de Orden]], sala!K:K, 0))</f>
        <v>España</v>
      </c>
      <c r="AC419" t="str">
        <f>'Conjunto de Datos'!N420</f>
        <v>Mesero_3</v>
      </c>
      <c r="AD419">
        <f>Tabla8[[#This Row],[Propina]]+Tabla8[[#This Row],[Precio Cena]]</f>
        <v>3669</v>
      </c>
      <c r="AE419" s="45">
        <f t="shared" si="14"/>
        <v>118</v>
      </c>
    </row>
    <row r="420" spans="19:31" x14ac:dyDescent="0.3">
      <c r="S420" s="15" t="str">
        <f>'Conjunto de Datos'!BB421</f>
        <v>479</v>
      </c>
      <c r="T420" s="15">
        <f>'Conjunto de Datos'!BF421</f>
        <v>419</v>
      </c>
      <c r="U420" s="6">
        <f>sala!I420</f>
        <v>1409</v>
      </c>
      <c r="V420" cm="1">
        <f t="array" ref="V420">SUM(IF(Cocina!A:A=Tabla8[[#This Row],[Numero de Orden]],Cocina!F:F*Cocina!G:G,0))</f>
        <v>67</v>
      </c>
      <c r="W420">
        <f>IF(Tabla8[[#This Row],[Cobrado]]="Cobrada",Tabla8[[#This Row],[Propina]]+Tabla8[[#This Row],[Precio Cena]],0)</f>
        <v>1476</v>
      </c>
      <c r="X420" t="str">
        <f>INDEX(sala!G:G, MATCH(Tabla8[[#This Row],[Numero de Orden]], sala!K:K, 0))</f>
        <v>Almuerzo</v>
      </c>
      <c r="Y420" t="str">
        <f>'Conjunto de Datos'!J421</f>
        <v>Cobrada</v>
      </c>
      <c r="Z420" t="str">
        <f>INDEX(sala!H:H, MATCH(Tabla8[[#This Row],[Numero de Orden]], sala!K:K, 0))</f>
        <v>Tarjeta de crédito</v>
      </c>
      <c r="AA420" s="3">
        <f>'Conjunto de Datos'!D421</f>
        <v>45021</v>
      </c>
      <c r="AB420" t="str">
        <f>INDEX(sala!L:L, MATCH(Tabla8[[#This Row],[Numero de Orden]], sala!K:K, 0))</f>
        <v>Argentina</v>
      </c>
      <c r="AC420" t="str">
        <f>'Conjunto de Datos'!N421</f>
        <v>Mesero_5</v>
      </c>
      <c r="AD420">
        <f>Tabla8[[#This Row],[Propina]]+Tabla8[[#This Row],[Precio Cena]]</f>
        <v>1476</v>
      </c>
      <c r="AE420" s="45">
        <f t="shared" si="14"/>
        <v>67</v>
      </c>
    </row>
    <row r="421" spans="19:31" x14ac:dyDescent="0.3">
      <c r="S421" t="str">
        <f>'Conjunto de Datos'!BB422</f>
        <v>33</v>
      </c>
      <c r="T421">
        <f>'Conjunto de Datos'!BF422</f>
        <v>420</v>
      </c>
      <c r="U421" s="7">
        <f>sala!I421</f>
        <v>3149</v>
      </c>
      <c r="V421" cm="1">
        <f t="array" ref="V421">SUM(IF(Cocina!A:A=Tabla8[[#This Row],[Numero de Orden]],Cocina!F:F*Cocina!G:G,0))</f>
        <v>242</v>
      </c>
      <c r="W421">
        <f>IF(Tabla8[[#This Row],[Cobrado]]="Cobrada",Tabla8[[#This Row],[Propina]]+Tabla8[[#This Row],[Precio Cena]],0)</f>
        <v>3391</v>
      </c>
      <c r="X421" t="str">
        <f>INDEX(sala!G:G, MATCH(Tabla8[[#This Row],[Numero de Orden]], sala!K:K, 0))</f>
        <v>Almuerzo</v>
      </c>
      <c r="Y421" t="str">
        <f>'Conjunto de Datos'!J422</f>
        <v>Cobrada</v>
      </c>
      <c r="Z421" t="str">
        <f>INDEX(sala!H:H, MATCH(Tabla8[[#This Row],[Numero de Orden]], sala!K:K, 0))</f>
        <v>Tarjeta de crédito</v>
      </c>
      <c r="AA421" s="3">
        <f>'Conjunto de Datos'!D422</f>
        <v>45021</v>
      </c>
      <c r="AB421" t="str">
        <f>INDEX(sala!L:L, MATCH(Tabla8[[#This Row],[Numero de Orden]], sala!K:K, 0))</f>
        <v>Bolivia</v>
      </c>
      <c r="AC421" t="str">
        <f>'Conjunto de Datos'!N422</f>
        <v>Mesero_2</v>
      </c>
      <c r="AD421">
        <f>Tabla8[[#This Row],[Propina]]+Tabla8[[#This Row],[Precio Cena]]</f>
        <v>3391</v>
      </c>
      <c r="AE421" s="45">
        <f t="shared" si="14"/>
        <v>242</v>
      </c>
    </row>
    <row r="422" spans="19:31" x14ac:dyDescent="0.3">
      <c r="S422" s="15" t="str">
        <f>'Conjunto de Datos'!BB423</f>
        <v>160</v>
      </c>
      <c r="T422" s="15">
        <f>'Conjunto de Datos'!BF423</f>
        <v>421</v>
      </c>
      <c r="U422" s="6">
        <f>sala!I422</f>
        <v>1757</v>
      </c>
      <c r="V422" cm="1">
        <f t="array" ref="V422">SUM(IF(Cocina!A:A=Tabla8[[#This Row],[Numero de Orden]],Cocina!F:F*Cocina!G:G,0))</f>
        <v>85</v>
      </c>
      <c r="W422">
        <f>IF(Tabla8[[#This Row],[Cobrado]]="Cobrada",Tabla8[[#This Row],[Propina]]+Tabla8[[#This Row],[Precio Cena]],0)</f>
        <v>1842</v>
      </c>
      <c r="X422" t="str">
        <f>INDEX(sala!G:G, MATCH(Tabla8[[#This Row],[Numero de Orden]], sala!K:K, 0))</f>
        <v>Almuerzo</v>
      </c>
      <c r="Y422" t="str">
        <f>'Conjunto de Datos'!J423</f>
        <v>Cobrada</v>
      </c>
      <c r="Z422" t="str">
        <f>INDEX(sala!H:H, MATCH(Tabla8[[#This Row],[Numero de Orden]], sala!K:K, 0))</f>
        <v>Tarjeta de crédito</v>
      </c>
      <c r="AA422" s="3">
        <f>'Conjunto de Datos'!D423</f>
        <v>45021</v>
      </c>
      <c r="AB422" t="str">
        <f>INDEX(sala!L:L, MATCH(Tabla8[[#This Row],[Numero de Orden]], sala!K:K, 0))</f>
        <v>Chile</v>
      </c>
      <c r="AC422" t="str">
        <f>'Conjunto de Datos'!N423</f>
        <v>Mesero_1</v>
      </c>
      <c r="AD422">
        <f>Tabla8[[#This Row],[Propina]]+Tabla8[[#This Row],[Precio Cena]]</f>
        <v>1842</v>
      </c>
      <c r="AE422" s="45">
        <f t="shared" si="14"/>
        <v>85</v>
      </c>
    </row>
    <row r="423" spans="19:31" x14ac:dyDescent="0.3">
      <c r="S423" t="str">
        <f>'Conjunto de Datos'!BB424</f>
        <v>109</v>
      </c>
      <c r="T423">
        <f>'Conjunto de Datos'!BF424</f>
        <v>422</v>
      </c>
      <c r="U423" s="7">
        <f>sala!I423</f>
        <v>3972</v>
      </c>
      <c r="V423" cm="1">
        <f t="array" ref="V423">SUM(IF(Cocina!A:A=Tabla8[[#This Row],[Numero de Orden]],Cocina!F:F*Cocina!G:G,0))</f>
        <v>88</v>
      </c>
      <c r="W423">
        <f>IF(Tabla8[[#This Row],[Cobrado]]="Cobrada",Tabla8[[#This Row],[Propina]]+Tabla8[[#This Row],[Precio Cena]],0)</f>
        <v>4060</v>
      </c>
      <c r="X423" t="str">
        <f>INDEX(sala!G:G, MATCH(Tabla8[[#This Row],[Numero de Orden]], sala!K:K, 0))</f>
        <v>Almuerzo</v>
      </c>
      <c r="Y423" t="str">
        <f>'Conjunto de Datos'!J424</f>
        <v>Cobrada</v>
      </c>
      <c r="Z423" t="str">
        <f>INDEX(sala!H:H, MATCH(Tabla8[[#This Row],[Numero de Orden]], sala!K:K, 0))</f>
        <v>Tarjeta de crédito</v>
      </c>
      <c r="AA423" s="3">
        <f>'Conjunto de Datos'!D424</f>
        <v>45021</v>
      </c>
      <c r="AB423" t="str">
        <f>INDEX(sala!L:L, MATCH(Tabla8[[#This Row],[Numero de Orden]], sala!K:K, 0))</f>
        <v>España</v>
      </c>
      <c r="AC423" t="str">
        <f>'Conjunto de Datos'!N424</f>
        <v>Mesero_2</v>
      </c>
      <c r="AD423">
        <f>Tabla8[[#This Row],[Propina]]+Tabla8[[#This Row],[Precio Cena]]</f>
        <v>4060</v>
      </c>
      <c r="AE423" s="45">
        <f t="shared" si="14"/>
        <v>88</v>
      </c>
    </row>
    <row r="424" spans="19:31" x14ac:dyDescent="0.3">
      <c r="S424" s="15" t="str">
        <f>'Conjunto de Datos'!BB425</f>
        <v>151</v>
      </c>
      <c r="T424" s="15">
        <f>'Conjunto de Datos'!BF425</f>
        <v>423</v>
      </c>
      <c r="U424" s="6">
        <f>sala!I424</f>
        <v>3413</v>
      </c>
      <c r="V424" cm="1">
        <f t="array" ref="V424">SUM(IF(Cocina!A:A=Tabla8[[#This Row],[Numero de Orden]],Cocina!F:F*Cocina!G:G,0))</f>
        <v>152</v>
      </c>
      <c r="W424">
        <f>IF(Tabla8[[#This Row],[Cobrado]]="Cobrada",Tabla8[[#This Row],[Propina]]+Tabla8[[#This Row],[Precio Cena]],0)</f>
        <v>3565</v>
      </c>
      <c r="X424" t="str">
        <f>INDEX(sala!G:G, MATCH(Tabla8[[#This Row],[Numero de Orden]], sala!K:K, 0))</f>
        <v>Almuerzo</v>
      </c>
      <c r="Y424" t="str">
        <f>'Conjunto de Datos'!J425</f>
        <v>Cobrada</v>
      </c>
      <c r="Z424" t="str">
        <f>INDEX(sala!H:H, MATCH(Tabla8[[#This Row],[Numero de Orden]], sala!K:K, 0))</f>
        <v>Efectivo</v>
      </c>
      <c r="AA424" s="3">
        <f>'Conjunto de Datos'!D425</f>
        <v>45021</v>
      </c>
      <c r="AB424" t="str">
        <f>INDEX(sala!L:L, MATCH(Tabla8[[#This Row],[Numero de Orden]], sala!K:K, 0))</f>
        <v>Ecuador</v>
      </c>
      <c r="AC424" t="str">
        <f>'Conjunto de Datos'!N425</f>
        <v>Mesero_1</v>
      </c>
      <c r="AD424">
        <f>Tabla8[[#This Row],[Propina]]+Tabla8[[#This Row],[Precio Cena]]</f>
        <v>3565</v>
      </c>
      <c r="AE424" s="45">
        <f t="shared" si="14"/>
        <v>152</v>
      </c>
    </row>
    <row r="425" spans="19:31" x14ac:dyDescent="0.3">
      <c r="S425" t="str">
        <f>'Conjunto de Datos'!BB426</f>
        <v>342</v>
      </c>
      <c r="T425">
        <f>'Conjunto de Datos'!BF426</f>
        <v>424</v>
      </c>
      <c r="U425" s="7">
        <f>sala!I425</f>
        <v>1102</v>
      </c>
      <c r="V425" cm="1">
        <f t="array" ref="V425">SUM(IF(Cocina!A:A=Tabla8[[#This Row],[Numero de Orden]],Cocina!F:F*Cocina!G:G,0))</f>
        <v>147</v>
      </c>
      <c r="W425">
        <f>IF(Tabla8[[#This Row],[Cobrado]]="Cobrada",Tabla8[[#This Row],[Propina]]+Tabla8[[#This Row],[Precio Cena]],0)</f>
        <v>1249</v>
      </c>
      <c r="X425" t="str">
        <f>INDEX(sala!G:G, MATCH(Tabla8[[#This Row],[Numero de Orden]], sala!K:K, 0))</f>
        <v>Cena</v>
      </c>
      <c r="Y425" t="str">
        <f>'Conjunto de Datos'!J426</f>
        <v>Cobrada</v>
      </c>
      <c r="Z425" t="str">
        <f>INDEX(sala!H:H, MATCH(Tabla8[[#This Row],[Numero de Orden]], sala!K:K, 0))</f>
        <v>Efectivo</v>
      </c>
      <c r="AA425" s="3">
        <f>'Conjunto de Datos'!D426</f>
        <v>45021</v>
      </c>
      <c r="AB425" t="str">
        <f>INDEX(sala!L:L, MATCH(Tabla8[[#This Row],[Numero de Orden]], sala!K:K, 0))</f>
        <v>Colombia</v>
      </c>
      <c r="AC425" t="str">
        <f>'Conjunto de Datos'!N426</f>
        <v>Mesero_2</v>
      </c>
      <c r="AD425">
        <f>Tabla8[[#This Row],[Propina]]+Tabla8[[#This Row],[Precio Cena]]</f>
        <v>1249</v>
      </c>
      <c r="AE425" s="45">
        <f t="shared" si="14"/>
        <v>147</v>
      </c>
    </row>
    <row r="426" spans="19:31" x14ac:dyDescent="0.3">
      <c r="S426" s="15" t="str">
        <f>'Conjunto de Datos'!BB427</f>
        <v>332</v>
      </c>
      <c r="T426" s="15">
        <f>'Conjunto de Datos'!BF427</f>
        <v>425</v>
      </c>
      <c r="U426" s="6">
        <f>sala!I426</f>
        <v>4943</v>
      </c>
      <c r="V426" cm="1">
        <f t="array" ref="V426">SUM(IF(Cocina!A:A=Tabla8[[#This Row],[Numero de Orden]],Cocina!F:F*Cocina!G:G,0))</f>
        <v>19</v>
      </c>
      <c r="W426">
        <f>IF(Tabla8[[#This Row],[Cobrado]]="Cobrada",Tabla8[[#This Row],[Propina]]+Tabla8[[#This Row],[Precio Cena]],0)</f>
        <v>4962</v>
      </c>
      <c r="X426" t="str">
        <f>INDEX(sala!G:G, MATCH(Tabla8[[#This Row],[Numero de Orden]], sala!K:K, 0))</f>
        <v>Almuerzo</v>
      </c>
      <c r="Y426" t="str">
        <f>'Conjunto de Datos'!J427</f>
        <v>Cobrada</v>
      </c>
      <c r="Z426" t="str">
        <f>INDEX(sala!H:H, MATCH(Tabla8[[#This Row],[Numero de Orden]], sala!K:K, 0))</f>
        <v>Tarjeta de crédito</v>
      </c>
      <c r="AA426" s="3">
        <f>'Conjunto de Datos'!D427</f>
        <v>45021</v>
      </c>
      <c r="AB426" t="str">
        <f>INDEX(sala!L:L, MATCH(Tabla8[[#This Row],[Numero de Orden]], sala!K:K, 0))</f>
        <v>Perú</v>
      </c>
      <c r="AC426" t="str">
        <f>'Conjunto de Datos'!N427</f>
        <v>Mesero_2</v>
      </c>
      <c r="AD426">
        <f>Tabla8[[#This Row],[Propina]]+Tabla8[[#This Row],[Precio Cena]]</f>
        <v>4962</v>
      </c>
      <c r="AE426" s="45">
        <f t="shared" si="14"/>
        <v>19</v>
      </c>
    </row>
    <row r="427" spans="19:31" x14ac:dyDescent="0.3">
      <c r="S427" t="str">
        <f>'Conjunto de Datos'!BB428</f>
        <v>689</v>
      </c>
      <c r="T427">
        <f>'Conjunto de Datos'!BF428</f>
        <v>426</v>
      </c>
      <c r="U427" s="7">
        <f>sala!I427</f>
        <v>478</v>
      </c>
      <c r="V427" cm="1">
        <f t="array" ref="V427">SUM(IF(Cocina!A:A=Tabla8[[#This Row],[Numero de Orden]],Cocina!F:F*Cocina!G:G,0))</f>
        <v>247</v>
      </c>
      <c r="W427">
        <f>IF(Tabla8[[#This Row],[Cobrado]]="Cobrada",Tabla8[[#This Row],[Propina]]+Tabla8[[#This Row],[Precio Cena]],0)</f>
        <v>0</v>
      </c>
      <c r="X427" t="str">
        <f>INDEX(sala!G:G, MATCH(Tabla8[[#This Row],[Numero de Orden]], sala!K:K, 0))</f>
        <v>Almuerzo</v>
      </c>
      <c r="Y427" t="str">
        <f>'Conjunto de Datos'!J428</f>
        <v>No Cobrada</v>
      </c>
      <c r="Z427" t="str">
        <f>INDEX(sala!H:H, MATCH(Tabla8[[#This Row],[Numero de Orden]], sala!K:K, 0))</f>
        <v>Tarjeta de crédito</v>
      </c>
      <c r="AA427" s="3">
        <f>'Conjunto de Datos'!D428</f>
        <v>45021</v>
      </c>
      <c r="AB427" t="str">
        <f>INDEX(sala!L:L, MATCH(Tabla8[[#This Row],[Numero de Orden]], sala!K:K, 0))</f>
        <v>Brasil</v>
      </c>
      <c r="AC427" t="str">
        <f>'Conjunto de Datos'!N428</f>
        <v>Mesero_4</v>
      </c>
      <c r="AD427">
        <f>Tabla8[[#This Row],[Propina]]+Tabla8[[#This Row],[Precio Cena]]</f>
        <v>725</v>
      </c>
      <c r="AE427" s="45">
        <f t="shared" si="14"/>
        <v>0</v>
      </c>
    </row>
    <row r="428" spans="19:31" x14ac:dyDescent="0.3">
      <c r="S428" s="15" t="str">
        <f>'Conjunto de Datos'!BB429</f>
        <v>953</v>
      </c>
      <c r="T428" s="15">
        <f>'Conjunto de Datos'!BF429</f>
        <v>427</v>
      </c>
      <c r="U428" s="6">
        <f>sala!I428</f>
        <v>4374</v>
      </c>
      <c r="V428" cm="1">
        <f t="array" ref="V428">SUM(IF(Cocina!A:A=Tabla8[[#This Row],[Numero de Orden]],Cocina!F:F*Cocina!G:G,0))</f>
        <v>206</v>
      </c>
      <c r="W428">
        <f>IF(Tabla8[[#This Row],[Cobrado]]="Cobrada",Tabla8[[#This Row],[Propina]]+Tabla8[[#This Row],[Precio Cena]],0)</f>
        <v>0</v>
      </c>
      <c r="X428" t="str">
        <f>INDEX(sala!G:G, MATCH(Tabla8[[#This Row],[Numero de Orden]], sala!K:K, 0))</f>
        <v>Almuerzo</v>
      </c>
      <c r="Y428" t="str">
        <f>'Conjunto de Datos'!J429</f>
        <v>No Cobrada</v>
      </c>
      <c r="Z428" t="str">
        <f>INDEX(sala!H:H, MATCH(Tabla8[[#This Row],[Numero de Orden]], sala!K:K, 0))</f>
        <v>Efectivo</v>
      </c>
      <c r="AA428" s="3">
        <f>'Conjunto de Datos'!D429</f>
        <v>45021</v>
      </c>
      <c r="AB428" t="str">
        <f>INDEX(sala!L:L, MATCH(Tabla8[[#This Row],[Numero de Orden]], sala!K:K, 0))</f>
        <v>Bolivia</v>
      </c>
      <c r="AC428" t="str">
        <f>'Conjunto de Datos'!N429</f>
        <v>Mesero_2</v>
      </c>
      <c r="AD428">
        <f>Tabla8[[#This Row],[Propina]]+Tabla8[[#This Row],[Precio Cena]]</f>
        <v>4580</v>
      </c>
      <c r="AE428" s="45">
        <f t="shared" si="14"/>
        <v>0</v>
      </c>
    </row>
    <row r="429" spans="19:31" x14ac:dyDescent="0.3">
      <c r="S429" t="str">
        <f>'Conjunto de Datos'!BB430</f>
        <v>518</v>
      </c>
      <c r="T429">
        <f>'Conjunto de Datos'!BF430</f>
        <v>428</v>
      </c>
      <c r="U429" s="7">
        <f>sala!I429</f>
        <v>156</v>
      </c>
      <c r="V429" cm="1">
        <f t="array" ref="V429">SUM(IF(Cocina!A:A=Tabla8[[#This Row],[Numero de Orden]],Cocina!F:F*Cocina!G:G,0))</f>
        <v>175</v>
      </c>
      <c r="W429">
        <f>IF(Tabla8[[#This Row],[Cobrado]]="Cobrada",Tabla8[[#This Row],[Propina]]+Tabla8[[#This Row],[Precio Cena]],0)</f>
        <v>0</v>
      </c>
      <c r="X429" t="str">
        <f>INDEX(sala!G:G, MATCH(Tabla8[[#This Row],[Numero de Orden]], sala!K:K, 0))</f>
        <v>Desayuno</v>
      </c>
      <c r="Y429" t="str">
        <f>'Conjunto de Datos'!J430</f>
        <v>No Cobrada</v>
      </c>
      <c r="Z429" t="str">
        <f>INDEX(sala!H:H, MATCH(Tabla8[[#This Row],[Numero de Orden]], sala!K:K, 0))</f>
        <v>Tarjeta de crédito</v>
      </c>
      <c r="AA429" s="3">
        <f>'Conjunto de Datos'!D430</f>
        <v>45021</v>
      </c>
      <c r="AB429" t="str">
        <f>INDEX(sala!L:L, MATCH(Tabla8[[#This Row],[Numero de Orden]], sala!K:K, 0))</f>
        <v>Ecuador</v>
      </c>
      <c r="AC429" t="str">
        <f>'Conjunto de Datos'!N430</f>
        <v>Mesero_4</v>
      </c>
      <c r="AD429">
        <f>Tabla8[[#This Row],[Propina]]+Tabla8[[#This Row],[Precio Cena]]</f>
        <v>331</v>
      </c>
      <c r="AE429" s="45">
        <f t="shared" si="14"/>
        <v>0</v>
      </c>
    </row>
    <row r="430" spans="19:31" x14ac:dyDescent="0.3">
      <c r="S430" s="15" t="str">
        <f>'Conjunto de Datos'!BB431</f>
        <v>348</v>
      </c>
      <c r="T430" s="15">
        <f>'Conjunto de Datos'!BF431</f>
        <v>429</v>
      </c>
      <c r="U430" s="6">
        <f>sala!I430</f>
        <v>1095</v>
      </c>
      <c r="V430" cm="1">
        <f t="array" ref="V430">SUM(IF(Cocina!A:A=Tabla8[[#This Row],[Numero de Orden]],Cocina!F:F*Cocina!G:G,0))</f>
        <v>78</v>
      </c>
      <c r="W430">
        <f>IF(Tabla8[[#This Row],[Cobrado]]="Cobrada",Tabla8[[#This Row],[Propina]]+Tabla8[[#This Row],[Precio Cena]],0)</f>
        <v>1173</v>
      </c>
      <c r="X430" t="str">
        <f>INDEX(sala!G:G, MATCH(Tabla8[[#This Row],[Numero de Orden]], sala!K:K, 0))</f>
        <v>Almuerzo</v>
      </c>
      <c r="Y430" t="str">
        <f>'Conjunto de Datos'!J431</f>
        <v>Cobrada</v>
      </c>
      <c r="Z430" t="str">
        <f>INDEX(sala!H:H, MATCH(Tabla8[[#This Row],[Numero de Orden]], sala!K:K, 0))</f>
        <v>Tarjeta de crédito</v>
      </c>
      <c r="AA430" s="3">
        <f>'Conjunto de Datos'!D431</f>
        <v>45021</v>
      </c>
      <c r="AB430" t="str">
        <f>INDEX(sala!L:L, MATCH(Tabla8[[#This Row],[Numero de Orden]], sala!K:K, 0))</f>
        <v>Brasil</v>
      </c>
      <c r="AC430" t="str">
        <f>'Conjunto de Datos'!N431</f>
        <v>Mesero_4</v>
      </c>
      <c r="AD430">
        <f>Tabla8[[#This Row],[Propina]]+Tabla8[[#This Row],[Precio Cena]]</f>
        <v>1173</v>
      </c>
      <c r="AE430" s="45">
        <f t="shared" si="14"/>
        <v>78</v>
      </c>
    </row>
    <row r="431" spans="19:31" x14ac:dyDescent="0.3">
      <c r="S431" t="str">
        <f>'Conjunto de Datos'!BB432</f>
        <v>259</v>
      </c>
      <c r="T431">
        <f>'Conjunto de Datos'!BF432</f>
        <v>430</v>
      </c>
      <c r="U431" s="7">
        <f>sala!I431</f>
        <v>4209</v>
      </c>
      <c r="V431" cm="1">
        <f t="array" ref="V431">SUM(IF(Cocina!A:A=Tabla8[[#This Row],[Numero de Orden]],Cocina!F:F*Cocina!G:G,0))</f>
        <v>25</v>
      </c>
      <c r="W431">
        <f>IF(Tabla8[[#This Row],[Cobrado]]="Cobrada",Tabla8[[#This Row],[Propina]]+Tabla8[[#This Row],[Precio Cena]],0)</f>
        <v>4234</v>
      </c>
      <c r="X431" t="str">
        <f>INDEX(sala!G:G, MATCH(Tabla8[[#This Row],[Numero de Orden]], sala!K:K, 0))</f>
        <v>Almuerzo</v>
      </c>
      <c r="Y431" t="str">
        <f>'Conjunto de Datos'!J432</f>
        <v>Cobrada</v>
      </c>
      <c r="Z431" t="str">
        <f>INDEX(sala!H:H, MATCH(Tabla8[[#This Row],[Numero de Orden]], sala!K:K, 0))</f>
        <v>Tarjeta de débito</v>
      </c>
      <c r="AA431" s="3">
        <f>'Conjunto de Datos'!D432</f>
        <v>45021</v>
      </c>
      <c r="AB431" t="str">
        <f>INDEX(sala!L:L, MATCH(Tabla8[[#This Row],[Numero de Orden]], sala!K:K, 0))</f>
        <v>Venezuela</v>
      </c>
      <c r="AC431" t="str">
        <f>'Conjunto de Datos'!N432</f>
        <v>Mesero_4</v>
      </c>
      <c r="AD431">
        <f>Tabla8[[#This Row],[Propina]]+Tabla8[[#This Row],[Precio Cena]]</f>
        <v>4234</v>
      </c>
      <c r="AE431" s="45">
        <f t="shared" si="14"/>
        <v>25</v>
      </c>
    </row>
    <row r="432" spans="19:31" x14ac:dyDescent="0.3">
      <c r="S432" s="15" t="str">
        <f>'Conjunto de Datos'!BB433</f>
        <v>243</v>
      </c>
      <c r="T432" s="15">
        <f>'Conjunto de Datos'!BF433</f>
        <v>431</v>
      </c>
      <c r="U432" s="6">
        <f>sala!I432</f>
        <v>3982</v>
      </c>
      <c r="V432" cm="1">
        <f t="array" ref="V432">SUM(IF(Cocina!A:A=Tabla8[[#This Row],[Numero de Orden]],Cocina!F:F*Cocina!G:G,0))</f>
        <v>60</v>
      </c>
      <c r="W432">
        <f>IF(Tabla8[[#This Row],[Cobrado]]="Cobrada",Tabla8[[#This Row],[Propina]]+Tabla8[[#This Row],[Precio Cena]],0)</f>
        <v>4042</v>
      </c>
      <c r="X432" t="str">
        <f>INDEX(sala!G:G, MATCH(Tabla8[[#This Row],[Numero de Orden]], sala!K:K, 0))</f>
        <v>Almuerzo</v>
      </c>
      <c r="Y432" t="str">
        <f>'Conjunto de Datos'!J433</f>
        <v>Cobrada</v>
      </c>
      <c r="Z432" t="str">
        <f>INDEX(sala!H:H, MATCH(Tabla8[[#This Row],[Numero de Orden]], sala!K:K, 0))</f>
        <v>Tarjeta de crédito</v>
      </c>
      <c r="AA432" s="3">
        <f>'Conjunto de Datos'!D433</f>
        <v>45021</v>
      </c>
      <c r="AB432" t="str">
        <f>INDEX(sala!L:L, MATCH(Tabla8[[#This Row],[Numero de Orden]], sala!K:K, 0))</f>
        <v>Argentina</v>
      </c>
      <c r="AC432" t="str">
        <f>'Conjunto de Datos'!N433</f>
        <v>Mesero_5</v>
      </c>
      <c r="AD432">
        <f>Tabla8[[#This Row],[Propina]]+Tabla8[[#This Row],[Precio Cena]]</f>
        <v>4042</v>
      </c>
      <c r="AE432" s="45">
        <f t="shared" si="14"/>
        <v>60</v>
      </c>
    </row>
    <row r="433" spans="19:31" x14ac:dyDescent="0.3">
      <c r="S433" t="str">
        <f>'Conjunto de Datos'!BB434</f>
        <v>869</v>
      </c>
      <c r="T433">
        <f>'Conjunto de Datos'!BF434</f>
        <v>432</v>
      </c>
      <c r="U433" s="7">
        <f>sala!I433</f>
        <v>1871</v>
      </c>
      <c r="V433" cm="1">
        <f t="array" ref="V433">SUM(IF(Cocina!A:A=Tabla8[[#This Row],[Numero de Orden]],Cocina!F:F*Cocina!G:G,0))</f>
        <v>109</v>
      </c>
      <c r="W433">
        <f>IF(Tabla8[[#This Row],[Cobrado]]="Cobrada",Tabla8[[#This Row],[Propina]]+Tabla8[[#This Row],[Precio Cena]],0)</f>
        <v>1980</v>
      </c>
      <c r="X433" t="str">
        <f>INDEX(sala!G:G, MATCH(Tabla8[[#This Row],[Numero de Orden]], sala!K:K, 0))</f>
        <v>Cena</v>
      </c>
      <c r="Y433" t="str">
        <f>'Conjunto de Datos'!J434</f>
        <v>Cobrada</v>
      </c>
      <c r="Z433" t="str">
        <f>INDEX(sala!H:H, MATCH(Tabla8[[#This Row],[Numero de Orden]], sala!K:K, 0))</f>
        <v>Tarjeta de crédito</v>
      </c>
      <c r="AA433" s="3">
        <f>'Conjunto de Datos'!D434</f>
        <v>45021</v>
      </c>
      <c r="AB433" t="str">
        <f>INDEX(sala!L:L, MATCH(Tabla8[[#This Row],[Numero de Orden]], sala!K:K, 0))</f>
        <v>Colombia</v>
      </c>
      <c r="AC433" t="str">
        <f>'Conjunto de Datos'!N434</f>
        <v>Mesero_4</v>
      </c>
      <c r="AD433">
        <f>Tabla8[[#This Row],[Propina]]+Tabla8[[#This Row],[Precio Cena]]</f>
        <v>1980</v>
      </c>
      <c r="AE433" s="45">
        <f t="shared" si="14"/>
        <v>109</v>
      </c>
    </row>
    <row r="434" spans="19:31" x14ac:dyDescent="0.3">
      <c r="S434" s="15" t="str">
        <f>'Conjunto de Datos'!BB435</f>
        <v>306</v>
      </c>
      <c r="T434" s="15">
        <f>'Conjunto de Datos'!BF435</f>
        <v>433</v>
      </c>
      <c r="U434" s="6">
        <f>sala!I434</f>
        <v>4577</v>
      </c>
      <c r="V434" cm="1">
        <f t="array" ref="V434">SUM(IF(Cocina!A:A=Tabla8[[#This Row],[Numero de Orden]],Cocina!F:F*Cocina!G:G,0))</f>
        <v>102</v>
      </c>
      <c r="W434">
        <f>IF(Tabla8[[#This Row],[Cobrado]]="Cobrada",Tabla8[[#This Row],[Propina]]+Tabla8[[#This Row],[Precio Cena]],0)</f>
        <v>4679</v>
      </c>
      <c r="X434" t="str">
        <f>INDEX(sala!G:G, MATCH(Tabla8[[#This Row],[Numero de Orden]], sala!K:K, 0))</f>
        <v>Almuerzo</v>
      </c>
      <c r="Y434" t="str">
        <f>'Conjunto de Datos'!J435</f>
        <v>Cobrada</v>
      </c>
      <c r="Z434" t="str">
        <f>INDEX(sala!H:H, MATCH(Tabla8[[#This Row],[Numero de Orden]], sala!K:K, 0))</f>
        <v>Tarjeta de crédito</v>
      </c>
      <c r="AA434" s="3">
        <f>'Conjunto de Datos'!D435</f>
        <v>45021</v>
      </c>
      <c r="AB434" t="str">
        <f>INDEX(sala!L:L, MATCH(Tabla8[[#This Row],[Numero de Orden]], sala!K:K, 0))</f>
        <v>Bolivia</v>
      </c>
      <c r="AC434" t="str">
        <f>'Conjunto de Datos'!N435</f>
        <v>Mesero_4</v>
      </c>
      <c r="AD434">
        <f>Tabla8[[#This Row],[Propina]]+Tabla8[[#This Row],[Precio Cena]]</f>
        <v>4679</v>
      </c>
      <c r="AE434" s="45">
        <f t="shared" si="14"/>
        <v>102</v>
      </c>
    </row>
    <row r="435" spans="19:31" x14ac:dyDescent="0.3">
      <c r="S435" t="str">
        <f>'Conjunto de Datos'!BB436</f>
        <v>842</v>
      </c>
      <c r="T435">
        <f>'Conjunto de Datos'!BF436</f>
        <v>434</v>
      </c>
      <c r="U435" s="7">
        <f>sala!I435</f>
        <v>3715</v>
      </c>
      <c r="V435" cm="1">
        <f t="array" ref="V435">SUM(IF(Cocina!A:A=Tabla8[[#This Row],[Numero de Orden]],Cocina!F:F*Cocina!G:G,0))</f>
        <v>96</v>
      </c>
      <c r="W435">
        <f>IF(Tabla8[[#This Row],[Cobrado]]="Cobrada",Tabla8[[#This Row],[Propina]]+Tabla8[[#This Row],[Precio Cena]],0)</f>
        <v>3811</v>
      </c>
      <c r="X435" t="str">
        <f>INDEX(sala!G:G, MATCH(Tabla8[[#This Row],[Numero de Orden]], sala!K:K, 0))</f>
        <v>Almuerzo</v>
      </c>
      <c r="Y435" t="str">
        <f>'Conjunto de Datos'!J436</f>
        <v>Cobrada</v>
      </c>
      <c r="Z435" t="str">
        <f>INDEX(sala!H:H, MATCH(Tabla8[[#This Row],[Numero de Orden]], sala!K:K, 0))</f>
        <v>Tarjeta de crédito</v>
      </c>
      <c r="AA435" s="3">
        <f>'Conjunto de Datos'!D436</f>
        <v>45021</v>
      </c>
      <c r="AB435" t="str">
        <f>INDEX(sala!L:L, MATCH(Tabla8[[#This Row],[Numero de Orden]], sala!K:K, 0))</f>
        <v>Bolivia</v>
      </c>
      <c r="AC435" t="str">
        <f>'Conjunto de Datos'!N436</f>
        <v>Mesero_4</v>
      </c>
      <c r="AD435">
        <f>Tabla8[[#This Row],[Propina]]+Tabla8[[#This Row],[Precio Cena]]</f>
        <v>3811</v>
      </c>
      <c r="AE435" s="45">
        <f t="shared" si="14"/>
        <v>96</v>
      </c>
    </row>
    <row r="436" spans="19:31" x14ac:dyDescent="0.3">
      <c r="S436" s="15" t="str">
        <f>'Conjunto de Datos'!BB437</f>
        <v>349</v>
      </c>
      <c r="T436" s="15">
        <f>'Conjunto de Datos'!BF437</f>
        <v>435</v>
      </c>
      <c r="U436" s="6">
        <f>sala!I436</f>
        <v>3048</v>
      </c>
      <c r="V436" cm="1">
        <f t="array" ref="V436">SUM(IF(Cocina!A:A=Tabla8[[#This Row],[Numero de Orden]],Cocina!F:F*Cocina!G:G,0))</f>
        <v>154</v>
      </c>
      <c r="W436">
        <f>IF(Tabla8[[#This Row],[Cobrado]]="Cobrada",Tabla8[[#This Row],[Propina]]+Tabla8[[#This Row],[Precio Cena]],0)</f>
        <v>3202</v>
      </c>
      <c r="X436" t="str">
        <f>INDEX(sala!G:G, MATCH(Tabla8[[#This Row],[Numero de Orden]], sala!K:K, 0))</f>
        <v>Almuerzo</v>
      </c>
      <c r="Y436" t="str">
        <f>'Conjunto de Datos'!J437</f>
        <v>Cobrada</v>
      </c>
      <c r="Z436" t="str">
        <f>INDEX(sala!H:H, MATCH(Tabla8[[#This Row],[Numero de Orden]], sala!K:K, 0))</f>
        <v>Tarjeta de crédito</v>
      </c>
      <c r="AA436" s="3">
        <f>'Conjunto de Datos'!D437</f>
        <v>45021</v>
      </c>
      <c r="AB436" t="str">
        <f>INDEX(sala!L:L, MATCH(Tabla8[[#This Row],[Numero de Orden]], sala!K:K, 0))</f>
        <v>España</v>
      </c>
      <c r="AC436" t="str">
        <f>'Conjunto de Datos'!N437</f>
        <v>Mesero_5</v>
      </c>
      <c r="AD436">
        <f>Tabla8[[#This Row],[Propina]]+Tabla8[[#This Row],[Precio Cena]]</f>
        <v>3202</v>
      </c>
      <c r="AE436" s="45">
        <f t="shared" si="14"/>
        <v>154</v>
      </c>
    </row>
    <row r="437" spans="19:31" x14ac:dyDescent="0.3">
      <c r="S437" t="str">
        <f>'Conjunto de Datos'!BB438</f>
        <v>316</v>
      </c>
      <c r="T437">
        <f>'Conjunto de Datos'!BF438</f>
        <v>436</v>
      </c>
      <c r="U437" s="7">
        <f>sala!I437</f>
        <v>1014</v>
      </c>
      <c r="V437" cm="1">
        <f t="array" ref="V437">SUM(IF(Cocina!A:A=Tabla8[[#This Row],[Numero de Orden]],Cocina!F:F*Cocina!G:G,0))</f>
        <v>56</v>
      </c>
      <c r="W437">
        <f>IF(Tabla8[[#This Row],[Cobrado]]="Cobrada",Tabla8[[#This Row],[Propina]]+Tabla8[[#This Row],[Precio Cena]],0)</f>
        <v>1070</v>
      </c>
      <c r="X437" t="str">
        <f>INDEX(sala!G:G, MATCH(Tabla8[[#This Row],[Numero de Orden]], sala!K:K, 0))</f>
        <v>Almuerzo</v>
      </c>
      <c r="Y437" t="str">
        <f>'Conjunto de Datos'!J438</f>
        <v>Cobrada</v>
      </c>
      <c r="Z437" t="str">
        <f>INDEX(sala!H:H, MATCH(Tabla8[[#This Row],[Numero de Orden]], sala!K:K, 0))</f>
        <v>Tarjeta de crédito</v>
      </c>
      <c r="AA437" s="3">
        <f>'Conjunto de Datos'!D438</f>
        <v>45021</v>
      </c>
      <c r="AB437" t="str">
        <f>INDEX(sala!L:L, MATCH(Tabla8[[#This Row],[Numero de Orden]], sala!K:K, 0))</f>
        <v>Brasil</v>
      </c>
      <c r="AC437" t="str">
        <f>'Conjunto de Datos'!N438</f>
        <v>Mesero_5</v>
      </c>
      <c r="AD437">
        <f>Tabla8[[#This Row],[Propina]]+Tabla8[[#This Row],[Precio Cena]]</f>
        <v>1070</v>
      </c>
      <c r="AE437" s="45">
        <f t="shared" si="14"/>
        <v>56</v>
      </c>
    </row>
    <row r="438" spans="19:31" x14ac:dyDescent="0.3">
      <c r="S438" s="15" t="str">
        <f>'Conjunto de Datos'!BB439</f>
        <v>600</v>
      </c>
      <c r="T438" s="15">
        <f>'Conjunto de Datos'!BF439</f>
        <v>437</v>
      </c>
      <c r="U438" s="6">
        <f>sala!I438</f>
        <v>1256</v>
      </c>
      <c r="V438" cm="1">
        <f t="array" ref="V438">SUM(IF(Cocina!A:A=Tabla8[[#This Row],[Numero de Orden]],Cocina!F:F*Cocina!G:G,0))</f>
        <v>70</v>
      </c>
      <c r="W438">
        <f>IF(Tabla8[[#This Row],[Cobrado]]="Cobrada",Tabla8[[#This Row],[Propina]]+Tabla8[[#This Row],[Precio Cena]],0)</f>
        <v>1326</v>
      </c>
      <c r="X438" t="str">
        <f>INDEX(sala!G:G, MATCH(Tabla8[[#This Row],[Numero de Orden]], sala!K:K, 0))</f>
        <v>Almuerzo</v>
      </c>
      <c r="Y438" t="str">
        <f>'Conjunto de Datos'!J439</f>
        <v>Cobrada</v>
      </c>
      <c r="Z438" t="str">
        <f>INDEX(sala!H:H, MATCH(Tabla8[[#This Row],[Numero de Orden]], sala!K:K, 0))</f>
        <v>Tarjeta de crédito</v>
      </c>
      <c r="AA438" s="3">
        <f>'Conjunto de Datos'!D439</f>
        <v>45021</v>
      </c>
      <c r="AB438" t="str">
        <f>INDEX(sala!L:L, MATCH(Tabla8[[#This Row],[Numero de Orden]], sala!K:K, 0))</f>
        <v>Paraguay</v>
      </c>
      <c r="AC438" t="str">
        <f>'Conjunto de Datos'!N439</f>
        <v>Mesero_3</v>
      </c>
      <c r="AD438">
        <f>Tabla8[[#This Row],[Propina]]+Tabla8[[#This Row],[Precio Cena]]</f>
        <v>1326</v>
      </c>
      <c r="AE438" s="45">
        <f t="shared" si="14"/>
        <v>70</v>
      </c>
    </row>
    <row r="439" spans="19:31" x14ac:dyDescent="0.3">
      <c r="S439" t="str">
        <f>'Conjunto de Datos'!BB440</f>
        <v>732</v>
      </c>
      <c r="T439">
        <f>'Conjunto de Datos'!BF440</f>
        <v>438</v>
      </c>
      <c r="U439" s="7">
        <f>sala!I439</f>
        <v>193</v>
      </c>
      <c r="V439" cm="1">
        <f t="array" ref="V439">SUM(IF(Cocina!A:A=Tabla8[[#This Row],[Numero de Orden]],Cocina!F:F*Cocina!G:G,0))</f>
        <v>33</v>
      </c>
      <c r="W439">
        <f>IF(Tabla8[[#This Row],[Cobrado]]="Cobrada",Tabla8[[#This Row],[Propina]]+Tabla8[[#This Row],[Precio Cena]],0)</f>
        <v>226</v>
      </c>
      <c r="X439" t="str">
        <f>INDEX(sala!G:G, MATCH(Tabla8[[#This Row],[Numero de Orden]], sala!K:K, 0))</f>
        <v>Almuerzo</v>
      </c>
      <c r="Y439" t="str">
        <f>'Conjunto de Datos'!J440</f>
        <v>Cobrada</v>
      </c>
      <c r="Z439" t="str">
        <f>INDEX(sala!H:H, MATCH(Tabla8[[#This Row],[Numero de Orden]], sala!K:K, 0))</f>
        <v>Tarjeta de crédito</v>
      </c>
      <c r="AA439" s="3">
        <f>'Conjunto de Datos'!D440</f>
        <v>45021</v>
      </c>
      <c r="AB439" t="str">
        <f>INDEX(sala!L:L, MATCH(Tabla8[[#This Row],[Numero de Orden]], sala!K:K, 0))</f>
        <v>Argentina</v>
      </c>
      <c r="AC439" t="str">
        <f>'Conjunto de Datos'!N440</f>
        <v>Mesero_1</v>
      </c>
      <c r="AD439">
        <f>Tabla8[[#This Row],[Propina]]+Tabla8[[#This Row],[Precio Cena]]</f>
        <v>226</v>
      </c>
      <c r="AE439" s="45">
        <f t="shared" si="14"/>
        <v>33</v>
      </c>
    </row>
    <row r="440" spans="19:31" x14ac:dyDescent="0.3">
      <c r="S440" s="15" t="str">
        <f>'Conjunto de Datos'!BB441</f>
        <v>807</v>
      </c>
      <c r="T440" s="15">
        <f>'Conjunto de Datos'!BF441</f>
        <v>439</v>
      </c>
      <c r="U440" s="6">
        <f>sala!I440</f>
        <v>2556</v>
      </c>
      <c r="V440" cm="1">
        <f t="array" ref="V440">SUM(IF(Cocina!A:A=Tabla8[[#This Row],[Numero de Orden]],Cocina!F:F*Cocina!G:G,0))</f>
        <v>177</v>
      </c>
      <c r="W440">
        <f>IF(Tabla8[[#This Row],[Cobrado]]="Cobrada",Tabla8[[#This Row],[Propina]]+Tabla8[[#This Row],[Precio Cena]],0)</f>
        <v>2733</v>
      </c>
      <c r="X440" t="str">
        <f>INDEX(sala!G:G, MATCH(Tabla8[[#This Row],[Numero de Orden]], sala!K:K, 0))</f>
        <v>Cena</v>
      </c>
      <c r="Y440" t="str">
        <f>'Conjunto de Datos'!J441</f>
        <v>Cobrada</v>
      </c>
      <c r="Z440" t="str">
        <f>INDEX(sala!H:H, MATCH(Tabla8[[#This Row],[Numero de Orden]], sala!K:K, 0))</f>
        <v>Tarjeta de crédito</v>
      </c>
      <c r="AA440" s="3">
        <f>'Conjunto de Datos'!D441</f>
        <v>45021</v>
      </c>
      <c r="AB440" t="str">
        <f>INDEX(sala!L:L, MATCH(Tabla8[[#This Row],[Numero de Orden]], sala!K:K, 0))</f>
        <v>Bolivia</v>
      </c>
      <c r="AC440" t="str">
        <f>'Conjunto de Datos'!N441</f>
        <v>Mesero_3</v>
      </c>
      <c r="AD440">
        <f>Tabla8[[#This Row],[Propina]]+Tabla8[[#This Row],[Precio Cena]]</f>
        <v>2733</v>
      </c>
      <c r="AE440" s="45">
        <f t="shared" si="14"/>
        <v>177</v>
      </c>
    </row>
    <row r="441" spans="19:31" x14ac:dyDescent="0.3">
      <c r="S441" t="str">
        <f>'Conjunto de Datos'!BB442</f>
        <v>900</v>
      </c>
      <c r="T441">
        <f>'Conjunto de Datos'!BF442</f>
        <v>440</v>
      </c>
      <c r="U441" s="7">
        <f>sala!I441</f>
        <v>3885</v>
      </c>
      <c r="V441" cm="1">
        <f t="array" ref="V441">SUM(IF(Cocina!A:A=Tabla8[[#This Row],[Numero de Orden]],Cocina!F:F*Cocina!G:G,0))</f>
        <v>84</v>
      </c>
      <c r="W441">
        <f>IF(Tabla8[[#This Row],[Cobrado]]="Cobrada",Tabla8[[#This Row],[Propina]]+Tabla8[[#This Row],[Precio Cena]],0)</f>
        <v>3969</v>
      </c>
      <c r="X441" t="str">
        <f>INDEX(sala!G:G, MATCH(Tabla8[[#This Row],[Numero de Orden]], sala!K:K, 0))</f>
        <v>Almuerzo</v>
      </c>
      <c r="Y441" t="str">
        <f>'Conjunto de Datos'!J442</f>
        <v>Cobrada</v>
      </c>
      <c r="Z441" t="str">
        <f>INDEX(sala!H:H, MATCH(Tabla8[[#This Row],[Numero de Orden]], sala!K:K, 0))</f>
        <v>Tarjeta de crédito</v>
      </c>
      <c r="AA441" s="3">
        <f>'Conjunto de Datos'!D442</f>
        <v>45021</v>
      </c>
      <c r="AB441" t="str">
        <f>INDEX(sala!L:L, MATCH(Tabla8[[#This Row],[Numero de Orden]], sala!K:K, 0))</f>
        <v>Argentina</v>
      </c>
      <c r="AC441" t="str">
        <f>'Conjunto de Datos'!N442</f>
        <v>Mesero_2</v>
      </c>
      <c r="AD441">
        <f>Tabla8[[#This Row],[Propina]]+Tabla8[[#This Row],[Precio Cena]]</f>
        <v>3969</v>
      </c>
      <c r="AE441" s="45">
        <f t="shared" si="14"/>
        <v>84</v>
      </c>
    </row>
    <row r="442" spans="19:31" x14ac:dyDescent="0.3">
      <c r="S442" s="15" t="str">
        <f>'Conjunto de Datos'!BB443</f>
        <v>143</v>
      </c>
      <c r="T442" s="15">
        <f>'Conjunto de Datos'!BF443</f>
        <v>441</v>
      </c>
      <c r="U442" s="6">
        <f>sala!I442</f>
        <v>2331</v>
      </c>
      <c r="V442" cm="1">
        <f t="array" ref="V442">SUM(IF(Cocina!A:A=Tabla8[[#This Row],[Numero de Orden]],Cocina!F:F*Cocina!G:G,0))</f>
        <v>183</v>
      </c>
      <c r="W442">
        <f>IF(Tabla8[[#This Row],[Cobrado]]="Cobrada",Tabla8[[#This Row],[Propina]]+Tabla8[[#This Row],[Precio Cena]],0)</f>
        <v>2514</v>
      </c>
      <c r="X442" t="str">
        <f>INDEX(sala!G:G, MATCH(Tabla8[[#This Row],[Numero de Orden]], sala!K:K, 0))</f>
        <v>Almuerzo</v>
      </c>
      <c r="Y442" t="str">
        <f>'Conjunto de Datos'!J443</f>
        <v>Cobrada</v>
      </c>
      <c r="Z442" t="str">
        <f>INDEX(sala!H:H, MATCH(Tabla8[[#This Row],[Numero de Orden]], sala!K:K, 0))</f>
        <v>Efectivo</v>
      </c>
      <c r="AA442" s="3">
        <f>'Conjunto de Datos'!D443</f>
        <v>45021</v>
      </c>
      <c r="AB442" t="str">
        <f>INDEX(sala!L:L, MATCH(Tabla8[[#This Row],[Numero de Orden]], sala!K:K, 0))</f>
        <v>España</v>
      </c>
      <c r="AC442" t="str">
        <f>'Conjunto de Datos'!N443</f>
        <v>Mesero_2</v>
      </c>
      <c r="AD442">
        <f>Tabla8[[#This Row],[Propina]]+Tabla8[[#This Row],[Precio Cena]]</f>
        <v>2514</v>
      </c>
      <c r="AE442" s="45">
        <f t="shared" si="14"/>
        <v>183</v>
      </c>
    </row>
    <row r="443" spans="19:31" x14ac:dyDescent="0.3">
      <c r="S443" t="str">
        <f>'Conjunto de Datos'!BB444</f>
        <v>405</v>
      </c>
      <c r="T443">
        <f>'Conjunto de Datos'!BF444</f>
        <v>442</v>
      </c>
      <c r="U443" s="7">
        <f>sala!I443</f>
        <v>2107</v>
      </c>
      <c r="V443" cm="1">
        <f t="array" ref="V443">SUM(IF(Cocina!A:A=Tabla8[[#This Row],[Numero de Orden]],Cocina!F:F*Cocina!G:G,0))</f>
        <v>235</v>
      </c>
      <c r="W443">
        <f>IF(Tabla8[[#This Row],[Cobrado]]="Cobrada",Tabla8[[#This Row],[Propina]]+Tabla8[[#This Row],[Precio Cena]],0)</f>
        <v>0</v>
      </c>
      <c r="X443" t="str">
        <f>INDEX(sala!G:G, MATCH(Tabla8[[#This Row],[Numero de Orden]], sala!K:K, 0))</f>
        <v>Cena</v>
      </c>
      <c r="Y443" t="str">
        <f>'Conjunto de Datos'!J444</f>
        <v>No Cobrada</v>
      </c>
      <c r="Z443" t="str">
        <f>INDEX(sala!H:H, MATCH(Tabla8[[#This Row],[Numero de Orden]], sala!K:K, 0))</f>
        <v>Tarjeta de crédito</v>
      </c>
      <c r="AA443" s="3">
        <f>'Conjunto de Datos'!D444</f>
        <v>45021</v>
      </c>
      <c r="AB443" t="str">
        <f>INDEX(sala!L:L, MATCH(Tabla8[[#This Row],[Numero de Orden]], sala!K:K, 0))</f>
        <v>Uruguay</v>
      </c>
      <c r="AC443" t="str">
        <f>'Conjunto de Datos'!N444</f>
        <v>Mesero_4</v>
      </c>
      <c r="AD443">
        <f>Tabla8[[#This Row],[Propina]]+Tabla8[[#This Row],[Precio Cena]]</f>
        <v>2342</v>
      </c>
      <c r="AE443" s="45">
        <f t="shared" si="14"/>
        <v>0</v>
      </c>
    </row>
    <row r="444" spans="19:31" x14ac:dyDescent="0.3">
      <c r="S444" s="15" t="str">
        <f>'Conjunto de Datos'!BB445</f>
        <v>332</v>
      </c>
      <c r="T444" s="15">
        <f>'Conjunto de Datos'!BF445</f>
        <v>443</v>
      </c>
      <c r="U444" s="6">
        <f>sala!I444</f>
        <v>1448</v>
      </c>
      <c r="V444" cm="1">
        <f t="array" ref="V444">SUM(IF(Cocina!A:A=Tabla8[[#This Row],[Numero de Orden]],Cocina!F:F*Cocina!G:G,0))</f>
        <v>217</v>
      </c>
      <c r="W444">
        <f>IF(Tabla8[[#This Row],[Cobrado]]="Cobrada",Tabla8[[#This Row],[Propina]]+Tabla8[[#This Row],[Precio Cena]],0)</f>
        <v>0</v>
      </c>
      <c r="X444" t="str">
        <f>INDEX(sala!G:G, MATCH(Tabla8[[#This Row],[Numero de Orden]], sala!K:K, 0))</f>
        <v>Almuerzo</v>
      </c>
      <c r="Y444" t="str">
        <f>'Conjunto de Datos'!J445</f>
        <v>No Cobrada</v>
      </c>
      <c r="Z444" t="str">
        <f>INDEX(sala!H:H, MATCH(Tabla8[[#This Row],[Numero de Orden]], sala!K:K, 0))</f>
        <v>Tarjeta de débito</v>
      </c>
      <c r="AA444" s="3">
        <f>'Conjunto de Datos'!D445</f>
        <v>45021</v>
      </c>
      <c r="AB444" t="str">
        <f>INDEX(sala!L:L, MATCH(Tabla8[[#This Row],[Numero de Orden]], sala!K:K, 0))</f>
        <v>Venezuela</v>
      </c>
      <c r="AC444" t="str">
        <f>'Conjunto de Datos'!N445</f>
        <v>Mesero_2</v>
      </c>
      <c r="AD444">
        <f>Tabla8[[#This Row],[Propina]]+Tabla8[[#This Row],[Precio Cena]]</f>
        <v>1665</v>
      </c>
      <c r="AE444" s="45">
        <f t="shared" si="14"/>
        <v>0</v>
      </c>
    </row>
    <row r="445" spans="19:31" x14ac:dyDescent="0.3">
      <c r="S445" t="str">
        <f>'Conjunto de Datos'!BB446</f>
        <v>894</v>
      </c>
      <c r="T445">
        <f>'Conjunto de Datos'!BF446</f>
        <v>444</v>
      </c>
      <c r="U445" s="7">
        <f>sala!I445</f>
        <v>2526</v>
      </c>
      <c r="V445" cm="1">
        <f t="array" ref="V445">SUM(IF(Cocina!A:A=Tabla8[[#This Row],[Numero de Orden]],Cocina!F:F*Cocina!G:G,0))</f>
        <v>95</v>
      </c>
      <c r="W445">
        <f>IF(Tabla8[[#This Row],[Cobrado]]="Cobrada",Tabla8[[#This Row],[Propina]]+Tabla8[[#This Row],[Precio Cena]],0)</f>
        <v>2621</v>
      </c>
      <c r="X445" t="str">
        <f>INDEX(sala!G:G, MATCH(Tabla8[[#This Row],[Numero de Orden]], sala!K:K, 0))</f>
        <v>Almuerzo</v>
      </c>
      <c r="Y445" t="str">
        <f>'Conjunto de Datos'!J446</f>
        <v>Cobrada</v>
      </c>
      <c r="Z445" t="str">
        <f>INDEX(sala!H:H, MATCH(Tabla8[[#This Row],[Numero de Orden]], sala!K:K, 0))</f>
        <v>Tarjeta de crédito</v>
      </c>
      <c r="AA445" s="3">
        <f>'Conjunto de Datos'!D446</f>
        <v>45021</v>
      </c>
      <c r="AB445" t="str">
        <f>INDEX(sala!L:L, MATCH(Tabla8[[#This Row],[Numero de Orden]], sala!K:K, 0))</f>
        <v>Argentina</v>
      </c>
      <c r="AC445" t="str">
        <f>'Conjunto de Datos'!N446</f>
        <v>Mesero_1</v>
      </c>
      <c r="AD445">
        <f>Tabla8[[#This Row],[Propina]]+Tabla8[[#This Row],[Precio Cena]]</f>
        <v>2621</v>
      </c>
      <c r="AE445" s="45">
        <f t="shared" si="14"/>
        <v>95</v>
      </c>
    </row>
    <row r="446" spans="19:31" x14ac:dyDescent="0.3">
      <c r="S446" s="15" t="str">
        <f>'Conjunto de Datos'!BB447</f>
        <v>473</v>
      </c>
      <c r="T446" s="15">
        <f>'Conjunto de Datos'!BF447</f>
        <v>445</v>
      </c>
      <c r="U446" s="6">
        <f>sala!I446</f>
        <v>1428</v>
      </c>
      <c r="V446" cm="1">
        <f t="array" ref="V446">SUM(IF(Cocina!A:A=Tabla8[[#This Row],[Numero de Orden]],Cocina!F:F*Cocina!G:G,0))</f>
        <v>81</v>
      </c>
      <c r="W446">
        <f>IF(Tabla8[[#This Row],[Cobrado]]="Cobrada",Tabla8[[#This Row],[Propina]]+Tabla8[[#This Row],[Precio Cena]],0)</f>
        <v>1509</v>
      </c>
      <c r="X446" t="str">
        <f>INDEX(sala!G:G, MATCH(Tabla8[[#This Row],[Numero de Orden]], sala!K:K, 0))</f>
        <v>Desayuno</v>
      </c>
      <c r="Y446" t="str">
        <f>'Conjunto de Datos'!J447</f>
        <v>Cobrada</v>
      </c>
      <c r="Z446" t="str">
        <f>INDEX(sala!H:H, MATCH(Tabla8[[#This Row],[Numero de Orden]], sala!K:K, 0))</f>
        <v>Tarjeta de crédito</v>
      </c>
      <c r="AA446" s="3">
        <f>'Conjunto de Datos'!D447</f>
        <v>45021</v>
      </c>
      <c r="AB446" t="str">
        <f>INDEX(sala!L:L, MATCH(Tabla8[[#This Row],[Numero de Orden]], sala!K:K, 0))</f>
        <v>Paraguay</v>
      </c>
      <c r="AC446" t="str">
        <f>'Conjunto de Datos'!N447</f>
        <v>Mesero_1</v>
      </c>
      <c r="AD446">
        <f>Tabla8[[#This Row],[Propina]]+Tabla8[[#This Row],[Precio Cena]]</f>
        <v>1509</v>
      </c>
      <c r="AE446" s="45">
        <f t="shared" si="14"/>
        <v>81</v>
      </c>
    </row>
    <row r="447" spans="19:31" x14ac:dyDescent="0.3">
      <c r="S447" t="str">
        <f>'Conjunto de Datos'!BB448</f>
        <v>606</v>
      </c>
      <c r="T447">
        <f>'Conjunto de Datos'!BF448</f>
        <v>446</v>
      </c>
      <c r="U447" s="7">
        <f>sala!I447</f>
        <v>3524</v>
      </c>
      <c r="V447" cm="1">
        <f t="array" ref="V447">SUM(IF(Cocina!A:A=Tabla8[[#This Row],[Numero de Orden]],Cocina!F:F*Cocina!G:G,0))</f>
        <v>21</v>
      </c>
      <c r="W447">
        <f>IF(Tabla8[[#This Row],[Cobrado]]="Cobrada",Tabla8[[#This Row],[Propina]]+Tabla8[[#This Row],[Precio Cena]],0)</f>
        <v>3545</v>
      </c>
      <c r="X447" t="str">
        <f>INDEX(sala!G:G, MATCH(Tabla8[[#This Row],[Numero de Orden]], sala!K:K, 0))</f>
        <v>Almuerzo</v>
      </c>
      <c r="Y447" t="str">
        <f>'Conjunto de Datos'!J448</f>
        <v>Cobrada</v>
      </c>
      <c r="Z447" t="str">
        <f>INDEX(sala!H:H, MATCH(Tabla8[[#This Row],[Numero de Orden]], sala!K:K, 0))</f>
        <v>Tarjeta de crédito</v>
      </c>
      <c r="AA447" s="3">
        <f>'Conjunto de Datos'!D448</f>
        <v>45021</v>
      </c>
      <c r="AB447" t="str">
        <f>INDEX(sala!L:L, MATCH(Tabla8[[#This Row],[Numero de Orden]], sala!K:K, 0))</f>
        <v>Ecuador</v>
      </c>
      <c r="AC447" t="str">
        <f>'Conjunto de Datos'!N448</f>
        <v>Mesero_1</v>
      </c>
      <c r="AD447">
        <f>Tabla8[[#This Row],[Propina]]+Tabla8[[#This Row],[Precio Cena]]</f>
        <v>3545</v>
      </c>
      <c r="AE447" s="45">
        <f t="shared" si="14"/>
        <v>21</v>
      </c>
    </row>
    <row r="448" spans="19:31" x14ac:dyDescent="0.3">
      <c r="S448" s="15" t="str">
        <f>'Conjunto de Datos'!BB449</f>
        <v>404</v>
      </c>
      <c r="T448" s="15">
        <f>'Conjunto de Datos'!BF449</f>
        <v>447</v>
      </c>
      <c r="U448" s="6">
        <f>sala!I448</f>
        <v>2868</v>
      </c>
      <c r="V448" cm="1">
        <f t="array" ref="V448">SUM(IF(Cocina!A:A=Tabla8[[#This Row],[Numero de Orden]],Cocina!F:F*Cocina!G:G,0))</f>
        <v>181</v>
      </c>
      <c r="W448">
        <f>IF(Tabla8[[#This Row],[Cobrado]]="Cobrada",Tabla8[[#This Row],[Propina]]+Tabla8[[#This Row],[Precio Cena]],0)</f>
        <v>3049</v>
      </c>
      <c r="X448" t="str">
        <f>INDEX(sala!G:G, MATCH(Tabla8[[#This Row],[Numero de Orden]], sala!K:K, 0))</f>
        <v>Cena</v>
      </c>
      <c r="Y448" t="str">
        <f>'Conjunto de Datos'!J449</f>
        <v>Cobrada</v>
      </c>
      <c r="Z448" t="str">
        <f>INDEX(sala!H:H, MATCH(Tabla8[[#This Row],[Numero de Orden]], sala!K:K, 0))</f>
        <v>Tarjeta de crédito</v>
      </c>
      <c r="AA448" s="3">
        <f>'Conjunto de Datos'!D449</f>
        <v>45021</v>
      </c>
      <c r="AB448" t="str">
        <f>INDEX(sala!L:L, MATCH(Tabla8[[#This Row],[Numero de Orden]], sala!K:K, 0))</f>
        <v>España</v>
      </c>
      <c r="AC448" t="str">
        <f>'Conjunto de Datos'!N449</f>
        <v>Mesero_4</v>
      </c>
      <c r="AD448">
        <f>Tabla8[[#This Row],[Propina]]+Tabla8[[#This Row],[Precio Cena]]</f>
        <v>3049</v>
      </c>
      <c r="AE448" s="45">
        <f t="shared" si="14"/>
        <v>181</v>
      </c>
    </row>
    <row r="449" spans="19:31" x14ac:dyDescent="0.3">
      <c r="S449" t="str">
        <f>'Conjunto de Datos'!BB450</f>
        <v>216</v>
      </c>
      <c r="T449">
        <f>'Conjunto de Datos'!BF450</f>
        <v>448</v>
      </c>
      <c r="U449" s="7">
        <f>sala!I449</f>
        <v>3568</v>
      </c>
      <c r="V449" cm="1">
        <f t="array" ref="V449">SUM(IF(Cocina!A:A=Tabla8[[#This Row],[Numero de Orden]],Cocina!F:F*Cocina!G:G,0))</f>
        <v>137</v>
      </c>
      <c r="W449">
        <f>IF(Tabla8[[#This Row],[Cobrado]]="Cobrada",Tabla8[[#This Row],[Propina]]+Tabla8[[#This Row],[Precio Cena]],0)</f>
        <v>3705</v>
      </c>
      <c r="X449" t="str">
        <f>INDEX(sala!G:G, MATCH(Tabla8[[#This Row],[Numero de Orden]], sala!K:K, 0))</f>
        <v>Cena</v>
      </c>
      <c r="Y449" t="str">
        <f>'Conjunto de Datos'!J450</f>
        <v>Cobrada</v>
      </c>
      <c r="Z449" t="str">
        <f>INDEX(sala!H:H, MATCH(Tabla8[[#This Row],[Numero de Orden]], sala!K:K, 0))</f>
        <v>Tarjeta de crédito</v>
      </c>
      <c r="AA449" s="3">
        <f>'Conjunto de Datos'!D450</f>
        <v>45021</v>
      </c>
      <c r="AB449" t="str">
        <f>INDEX(sala!L:L, MATCH(Tabla8[[#This Row],[Numero de Orden]], sala!K:K, 0))</f>
        <v>Venezuela</v>
      </c>
      <c r="AC449" t="str">
        <f>'Conjunto de Datos'!N450</f>
        <v>Mesero_4</v>
      </c>
      <c r="AD449">
        <f>Tabla8[[#This Row],[Propina]]+Tabla8[[#This Row],[Precio Cena]]</f>
        <v>3705</v>
      </c>
      <c r="AE449" s="45">
        <f t="shared" si="14"/>
        <v>137</v>
      </c>
    </row>
    <row r="450" spans="19:31" x14ac:dyDescent="0.3">
      <c r="S450" s="15" t="str">
        <f>'Conjunto de Datos'!BB451</f>
        <v>717</v>
      </c>
      <c r="T450" s="15">
        <f>'Conjunto de Datos'!BF451</f>
        <v>449</v>
      </c>
      <c r="U450" s="6">
        <f>sala!I450</f>
        <v>4225</v>
      </c>
      <c r="V450" cm="1">
        <f t="array" ref="V450">SUM(IF(Cocina!A:A=Tabla8[[#This Row],[Numero de Orden]],Cocina!F:F*Cocina!G:G,0))</f>
        <v>64</v>
      </c>
      <c r="W450">
        <f>IF(Tabla8[[#This Row],[Cobrado]]="Cobrada",Tabla8[[#This Row],[Propina]]+Tabla8[[#This Row],[Precio Cena]],0)</f>
        <v>4289</v>
      </c>
      <c r="X450" t="str">
        <f>INDEX(sala!G:G, MATCH(Tabla8[[#This Row],[Numero de Orden]], sala!K:K, 0))</f>
        <v>Almuerzo</v>
      </c>
      <c r="Y450" t="str">
        <f>'Conjunto de Datos'!J451</f>
        <v>Cobrada</v>
      </c>
      <c r="Z450" t="str">
        <f>INDEX(sala!H:H, MATCH(Tabla8[[#This Row],[Numero de Orden]], sala!K:K, 0))</f>
        <v>Efectivo</v>
      </c>
      <c r="AA450" s="3">
        <f>'Conjunto de Datos'!D451</f>
        <v>45021</v>
      </c>
      <c r="AB450" t="str">
        <f>INDEX(sala!L:L, MATCH(Tabla8[[#This Row],[Numero de Orden]], sala!K:K, 0))</f>
        <v>Brasil</v>
      </c>
      <c r="AC450" t="str">
        <f>'Conjunto de Datos'!N451</f>
        <v>Mesero_3</v>
      </c>
      <c r="AD450">
        <f>Tabla8[[#This Row],[Propina]]+Tabla8[[#This Row],[Precio Cena]]</f>
        <v>4289</v>
      </c>
      <c r="AE450" s="45">
        <f t="shared" si="14"/>
        <v>64</v>
      </c>
    </row>
    <row r="451" spans="19:31" x14ac:dyDescent="0.3">
      <c r="S451" t="str">
        <f>'Conjunto de Datos'!BB452</f>
        <v>783</v>
      </c>
      <c r="T451">
        <f>'Conjunto de Datos'!BF452</f>
        <v>450</v>
      </c>
      <c r="U451" s="7">
        <f>sala!I451</f>
        <v>489</v>
      </c>
      <c r="V451" cm="1">
        <f t="array" ref="V451">SUM(IF(Cocina!A:A=Tabla8[[#This Row],[Numero de Orden]],Cocina!F:F*Cocina!G:G,0))</f>
        <v>72</v>
      </c>
      <c r="W451">
        <f>IF(Tabla8[[#This Row],[Cobrado]]="Cobrada",Tabla8[[#This Row],[Propina]]+Tabla8[[#This Row],[Precio Cena]],0)</f>
        <v>561</v>
      </c>
      <c r="X451" t="str">
        <f>INDEX(sala!G:G, MATCH(Tabla8[[#This Row],[Numero de Orden]], sala!K:K, 0))</f>
        <v>Almuerzo</v>
      </c>
      <c r="Y451" t="str">
        <f>'Conjunto de Datos'!J452</f>
        <v>Cobrada</v>
      </c>
      <c r="Z451" t="str">
        <f>INDEX(sala!H:H, MATCH(Tabla8[[#This Row],[Numero de Orden]], sala!K:K, 0))</f>
        <v>Tarjeta de crédito</v>
      </c>
      <c r="AA451" s="3">
        <f>'Conjunto de Datos'!D452</f>
        <v>45021</v>
      </c>
      <c r="AB451" t="str">
        <f>INDEX(sala!L:L, MATCH(Tabla8[[#This Row],[Numero de Orden]], sala!K:K, 0))</f>
        <v>Bolivia</v>
      </c>
      <c r="AC451" t="str">
        <f>'Conjunto de Datos'!N452</f>
        <v>Mesero_3</v>
      </c>
      <c r="AD451">
        <f>Tabla8[[#This Row],[Propina]]+Tabla8[[#This Row],[Precio Cena]]</f>
        <v>561</v>
      </c>
      <c r="AE451" s="45">
        <f t="shared" si="14"/>
        <v>72</v>
      </c>
    </row>
    <row r="452" spans="19:31" x14ac:dyDescent="0.3">
      <c r="S452" s="15" t="str">
        <f>'Conjunto de Datos'!BB453</f>
        <v>240</v>
      </c>
      <c r="T452" s="15">
        <f>'Conjunto de Datos'!BF453</f>
        <v>451</v>
      </c>
      <c r="U452" s="6">
        <f>sala!I452</f>
        <v>4637</v>
      </c>
      <c r="V452" cm="1">
        <f t="array" ref="V452">SUM(IF(Cocina!A:A=Tabla8[[#This Row],[Numero de Orden]],Cocina!F:F*Cocina!G:G,0))</f>
        <v>92</v>
      </c>
      <c r="W452">
        <f>IF(Tabla8[[#This Row],[Cobrado]]="Cobrada",Tabla8[[#This Row],[Propina]]+Tabla8[[#This Row],[Precio Cena]],0)</f>
        <v>0</v>
      </c>
      <c r="X452" t="str">
        <f>INDEX(sala!G:G, MATCH(Tabla8[[#This Row],[Numero de Orden]], sala!K:K, 0))</f>
        <v>Desayuno</v>
      </c>
      <c r="Y452" t="str">
        <f>'Conjunto de Datos'!J453</f>
        <v>No Cobrada</v>
      </c>
      <c r="Z452" t="str">
        <f>INDEX(sala!H:H, MATCH(Tabla8[[#This Row],[Numero de Orden]], sala!K:K, 0))</f>
        <v>Tarjeta de crédito</v>
      </c>
      <c r="AA452" s="3">
        <f>'Conjunto de Datos'!D453</f>
        <v>45021</v>
      </c>
      <c r="AB452" t="str">
        <f>INDEX(sala!L:L, MATCH(Tabla8[[#This Row],[Numero de Orden]], sala!K:K, 0))</f>
        <v>Bolivia</v>
      </c>
      <c r="AC452" t="str">
        <f>'Conjunto de Datos'!N453</f>
        <v>Mesero_5</v>
      </c>
      <c r="AD452">
        <f>Tabla8[[#This Row],[Propina]]+Tabla8[[#This Row],[Precio Cena]]</f>
        <v>4729</v>
      </c>
      <c r="AE452" s="45">
        <f t="shared" ref="AE452:AE515" si="15">IF(Y452 = "Cobrada",V452,0)</f>
        <v>0</v>
      </c>
    </row>
    <row r="453" spans="19:31" x14ac:dyDescent="0.3">
      <c r="S453" t="str">
        <f>'Conjunto de Datos'!BB454</f>
        <v>589</v>
      </c>
      <c r="T453">
        <f>'Conjunto de Datos'!BF454</f>
        <v>452</v>
      </c>
      <c r="U453" s="7">
        <f>sala!I453</f>
        <v>4348</v>
      </c>
      <c r="V453" cm="1">
        <f t="array" ref="V453">SUM(IF(Cocina!A:A=Tabla8[[#This Row],[Numero de Orden]],Cocina!F:F*Cocina!G:G,0))</f>
        <v>158</v>
      </c>
      <c r="W453">
        <f>IF(Tabla8[[#This Row],[Cobrado]]="Cobrada",Tabla8[[#This Row],[Propina]]+Tabla8[[#This Row],[Precio Cena]],0)</f>
        <v>4506</v>
      </c>
      <c r="X453" t="str">
        <f>INDEX(sala!G:G, MATCH(Tabla8[[#This Row],[Numero de Orden]], sala!K:K, 0))</f>
        <v>Almuerzo</v>
      </c>
      <c r="Y453" t="str">
        <f>'Conjunto de Datos'!J454</f>
        <v>Cobrada</v>
      </c>
      <c r="Z453" t="str">
        <f>INDEX(sala!H:H, MATCH(Tabla8[[#This Row],[Numero de Orden]], sala!K:K, 0))</f>
        <v>Tarjeta de crédito</v>
      </c>
      <c r="AA453" s="3">
        <f>'Conjunto de Datos'!D454</f>
        <v>45021</v>
      </c>
      <c r="AB453" t="str">
        <f>INDEX(sala!L:L, MATCH(Tabla8[[#This Row],[Numero de Orden]], sala!K:K, 0))</f>
        <v>Uruguay</v>
      </c>
      <c r="AC453" t="str">
        <f>'Conjunto de Datos'!N454</f>
        <v>Mesero_4</v>
      </c>
      <c r="AD453">
        <f>Tabla8[[#This Row],[Propina]]+Tabla8[[#This Row],[Precio Cena]]</f>
        <v>4506</v>
      </c>
      <c r="AE453" s="45">
        <f t="shared" si="15"/>
        <v>158</v>
      </c>
    </row>
    <row r="454" spans="19:31" x14ac:dyDescent="0.3">
      <c r="S454" s="15" t="str">
        <f>'Conjunto de Datos'!BB455</f>
        <v>284</v>
      </c>
      <c r="T454" s="15">
        <f>'Conjunto de Datos'!BF455</f>
        <v>453</v>
      </c>
      <c r="U454" s="6">
        <f>sala!I454</f>
        <v>3683</v>
      </c>
      <c r="V454" cm="1">
        <f t="array" ref="V454">SUM(IF(Cocina!A:A=Tabla8[[#This Row],[Numero de Orden]],Cocina!F:F*Cocina!G:G,0))</f>
        <v>130</v>
      </c>
      <c r="W454">
        <f>IF(Tabla8[[#This Row],[Cobrado]]="Cobrada",Tabla8[[#This Row],[Propina]]+Tabla8[[#This Row],[Precio Cena]],0)</f>
        <v>0</v>
      </c>
      <c r="X454" t="str">
        <f>INDEX(sala!G:G, MATCH(Tabla8[[#This Row],[Numero de Orden]], sala!K:K, 0))</f>
        <v>Desayuno</v>
      </c>
      <c r="Y454" t="str">
        <f>'Conjunto de Datos'!J455</f>
        <v>No Cobrada</v>
      </c>
      <c r="Z454" t="str">
        <f>INDEX(sala!H:H, MATCH(Tabla8[[#This Row],[Numero de Orden]], sala!K:K, 0))</f>
        <v>Tarjeta de crédito</v>
      </c>
      <c r="AA454" s="3">
        <f>'Conjunto de Datos'!D455</f>
        <v>45021</v>
      </c>
      <c r="AB454" t="str">
        <f>INDEX(sala!L:L, MATCH(Tabla8[[#This Row],[Numero de Orden]], sala!K:K, 0))</f>
        <v>Chile</v>
      </c>
      <c r="AC454" t="str">
        <f>'Conjunto de Datos'!N455</f>
        <v>Mesero_2</v>
      </c>
      <c r="AD454">
        <f>Tabla8[[#This Row],[Propina]]+Tabla8[[#This Row],[Precio Cena]]</f>
        <v>3813</v>
      </c>
      <c r="AE454" s="45">
        <f t="shared" si="15"/>
        <v>0</v>
      </c>
    </row>
    <row r="455" spans="19:31" x14ac:dyDescent="0.3">
      <c r="S455" t="str">
        <f>'Conjunto de Datos'!BB456</f>
        <v>342</v>
      </c>
      <c r="T455">
        <f>'Conjunto de Datos'!BF456</f>
        <v>454</v>
      </c>
      <c r="U455" s="7">
        <f>sala!I455</f>
        <v>3962</v>
      </c>
      <c r="V455" cm="1">
        <f t="array" ref="V455">SUM(IF(Cocina!A:A=Tabla8[[#This Row],[Numero de Orden]],Cocina!F:F*Cocina!G:G,0))</f>
        <v>233</v>
      </c>
      <c r="W455">
        <f>IF(Tabla8[[#This Row],[Cobrado]]="Cobrada",Tabla8[[#This Row],[Propina]]+Tabla8[[#This Row],[Precio Cena]],0)</f>
        <v>0</v>
      </c>
      <c r="X455" t="str">
        <f>INDEX(sala!G:G, MATCH(Tabla8[[#This Row],[Numero de Orden]], sala!K:K, 0))</f>
        <v>Almuerzo</v>
      </c>
      <c r="Y455" t="str">
        <f>'Conjunto de Datos'!J456</f>
        <v>No Cobrada</v>
      </c>
      <c r="Z455" t="str">
        <f>INDEX(sala!H:H, MATCH(Tabla8[[#This Row],[Numero de Orden]], sala!K:K, 0))</f>
        <v>Tarjeta de crédito</v>
      </c>
      <c r="AA455" s="3">
        <f>'Conjunto de Datos'!D456</f>
        <v>45021</v>
      </c>
      <c r="AB455" t="str">
        <f>INDEX(sala!L:L, MATCH(Tabla8[[#This Row],[Numero de Orden]], sala!K:K, 0))</f>
        <v>Colombia</v>
      </c>
      <c r="AC455" t="str">
        <f>'Conjunto de Datos'!N456</f>
        <v>Mesero_1</v>
      </c>
      <c r="AD455">
        <f>Tabla8[[#This Row],[Propina]]+Tabla8[[#This Row],[Precio Cena]]</f>
        <v>4195</v>
      </c>
      <c r="AE455" s="45">
        <f t="shared" si="15"/>
        <v>0</v>
      </c>
    </row>
    <row r="456" spans="19:31" x14ac:dyDescent="0.3">
      <c r="S456" s="15" t="str">
        <f>'Conjunto de Datos'!BB457</f>
        <v>665</v>
      </c>
      <c r="T456" s="15">
        <f>'Conjunto de Datos'!BF457</f>
        <v>455</v>
      </c>
      <c r="U456" s="6">
        <f>sala!I456</f>
        <v>197</v>
      </c>
      <c r="V456" cm="1">
        <f t="array" ref="V456">SUM(IF(Cocina!A:A=Tabla8[[#This Row],[Numero de Orden]],Cocina!F:F*Cocina!G:G,0))</f>
        <v>48</v>
      </c>
      <c r="W456">
        <f>IF(Tabla8[[#This Row],[Cobrado]]="Cobrada",Tabla8[[#This Row],[Propina]]+Tabla8[[#This Row],[Precio Cena]],0)</f>
        <v>245</v>
      </c>
      <c r="X456" t="str">
        <f>INDEX(sala!G:G, MATCH(Tabla8[[#This Row],[Numero de Orden]], sala!K:K, 0))</f>
        <v>Desayuno</v>
      </c>
      <c r="Y456" t="str">
        <f>'Conjunto de Datos'!J457</f>
        <v>Cobrada</v>
      </c>
      <c r="Z456" t="str">
        <f>INDEX(sala!H:H, MATCH(Tabla8[[#This Row],[Numero de Orden]], sala!K:K, 0))</f>
        <v>Tarjeta de débito</v>
      </c>
      <c r="AA456" s="3">
        <f>'Conjunto de Datos'!D457</f>
        <v>45021</v>
      </c>
      <c r="AB456" t="str">
        <f>INDEX(sala!L:L, MATCH(Tabla8[[#This Row],[Numero de Orden]], sala!K:K, 0))</f>
        <v>Colombia</v>
      </c>
      <c r="AC456" t="str">
        <f>'Conjunto de Datos'!N457</f>
        <v>Mesero_5</v>
      </c>
      <c r="AD456">
        <f>Tabla8[[#This Row],[Propina]]+Tabla8[[#This Row],[Precio Cena]]</f>
        <v>245</v>
      </c>
      <c r="AE456" s="45">
        <f t="shared" si="15"/>
        <v>48</v>
      </c>
    </row>
    <row r="457" spans="19:31" x14ac:dyDescent="0.3">
      <c r="S457" t="str">
        <f>'Conjunto de Datos'!BB458</f>
        <v>207</v>
      </c>
      <c r="T457">
        <f>'Conjunto de Datos'!BF458</f>
        <v>456</v>
      </c>
      <c r="U457" s="7">
        <f>sala!I457</f>
        <v>2194</v>
      </c>
      <c r="V457" cm="1">
        <f t="array" ref="V457">SUM(IF(Cocina!A:A=Tabla8[[#This Row],[Numero de Orden]],Cocina!F:F*Cocina!G:G,0))</f>
        <v>148</v>
      </c>
      <c r="W457">
        <f>IF(Tabla8[[#This Row],[Cobrado]]="Cobrada",Tabla8[[#This Row],[Propina]]+Tabla8[[#This Row],[Precio Cena]],0)</f>
        <v>2342</v>
      </c>
      <c r="X457" t="str">
        <f>INDEX(sala!G:G, MATCH(Tabla8[[#This Row],[Numero de Orden]], sala!K:K, 0))</f>
        <v>Almuerzo</v>
      </c>
      <c r="Y457" t="str">
        <f>'Conjunto de Datos'!J458</f>
        <v>Cobrada</v>
      </c>
      <c r="Z457" t="str">
        <f>INDEX(sala!H:H, MATCH(Tabla8[[#This Row],[Numero de Orden]], sala!K:K, 0))</f>
        <v>Tarjeta de crédito</v>
      </c>
      <c r="AA457" s="3">
        <f>'Conjunto de Datos'!D458</f>
        <v>45021</v>
      </c>
      <c r="AB457" t="str">
        <f>INDEX(sala!L:L, MATCH(Tabla8[[#This Row],[Numero de Orden]], sala!K:K, 0))</f>
        <v>Argentina</v>
      </c>
      <c r="AC457" t="str">
        <f>'Conjunto de Datos'!N458</f>
        <v>Mesero_4</v>
      </c>
      <c r="AD457">
        <f>Tabla8[[#This Row],[Propina]]+Tabla8[[#This Row],[Precio Cena]]</f>
        <v>2342</v>
      </c>
      <c r="AE457" s="45">
        <f t="shared" si="15"/>
        <v>148</v>
      </c>
    </row>
    <row r="458" spans="19:31" x14ac:dyDescent="0.3">
      <c r="S458" s="15" t="str">
        <f>'Conjunto de Datos'!BB459</f>
        <v>531</v>
      </c>
      <c r="T458" s="15">
        <f>'Conjunto de Datos'!BF459</f>
        <v>457</v>
      </c>
      <c r="U458" s="6">
        <f>sala!I458</f>
        <v>1726</v>
      </c>
      <c r="V458" cm="1">
        <f t="array" ref="V458">SUM(IF(Cocina!A:A=Tabla8[[#This Row],[Numero de Orden]],Cocina!F:F*Cocina!G:G,0))</f>
        <v>137</v>
      </c>
      <c r="W458">
        <f>IF(Tabla8[[#This Row],[Cobrado]]="Cobrada",Tabla8[[#This Row],[Propina]]+Tabla8[[#This Row],[Precio Cena]],0)</f>
        <v>1863</v>
      </c>
      <c r="X458" t="str">
        <f>INDEX(sala!G:G, MATCH(Tabla8[[#This Row],[Numero de Orden]], sala!K:K, 0))</f>
        <v>Almuerzo</v>
      </c>
      <c r="Y458" t="str">
        <f>'Conjunto de Datos'!J459</f>
        <v>Cobrada</v>
      </c>
      <c r="Z458" t="str">
        <f>INDEX(sala!H:H, MATCH(Tabla8[[#This Row],[Numero de Orden]], sala!K:K, 0))</f>
        <v>Efectivo</v>
      </c>
      <c r="AA458" s="3">
        <f>'Conjunto de Datos'!D459</f>
        <v>45021</v>
      </c>
      <c r="AB458" t="str">
        <f>INDEX(sala!L:L, MATCH(Tabla8[[#This Row],[Numero de Orden]], sala!K:K, 0))</f>
        <v>Bolivia</v>
      </c>
      <c r="AC458" t="str">
        <f>'Conjunto de Datos'!N459</f>
        <v>Mesero_2</v>
      </c>
      <c r="AD458">
        <f>Tabla8[[#This Row],[Propina]]+Tabla8[[#This Row],[Precio Cena]]</f>
        <v>1863</v>
      </c>
      <c r="AE458" s="45">
        <f t="shared" si="15"/>
        <v>137</v>
      </c>
    </row>
    <row r="459" spans="19:31" x14ac:dyDescent="0.3">
      <c r="S459" t="str">
        <f>'Conjunto de Datos'!BB460</f>
        <v>420</v>
      </c>
      <c r="T459">
        <f>'Conjunto de Datos'!BF460</f>
        <v>458</v>
      </c>
      <c r="U459" s="7">
        <f>sala!I459</f>
        <v>1521</v>
      </c>
      <c r="V459" cm="1">
        <f t="array" ref="V459">SUM(IF(Cocina!A:A=Tabla8[[#This Row],[Numero de Orden]],Cocina!F:F*Cocina!G:G,0))</f>
        <v>268</v>
      </c>
      <c r="W459">
        <f>IF(Tabla8[[#This Row],[Cobrado]]="Cobrada",Tabla8[[#This Row],[Propina]]+Tabla8[[#This Row],[Precio Cena]],0)</f>
        <v>1789</v>
      </c>
      <c r="X459" t="str">
        <f>INDEX(sala!G:G, MATCH(Tabla8[[#This Row],[Numero de Orden]], sala!K:K, 0))</f>
        <v>Almuerzo</v>
      </c>
      <c r="Y459" t="str">
        <f>'Conjunto de Datos'!J460</f>
        <v>Cobrada</v>
      </c>
      <c r="Z459" t="str">
        <f>INDEX(sala!H:H, MATCH(Tabla8[[#This Row],[Numero de Orden]], sala!K:K, 0))</f>
        <v>Tarjeta de crédito</v>
      </c>
      <c r="AA459" s="3">
        <f>'Conjunto de Datos'!D460</f>
        <v>45021</v>
      </c>
      <c r="AB459" t="str">
        <f>INDEX(sala!L:L, MATCH(Tabla8[[#This Row],[Numero de Orden]], sala!K:K, 0))</f>
        <v>Bolivia</v>
      </c>
      <c r="AC459" t="str">
        <f>'Conjunto de Datos'!N460</f>
        <v>Mesero_4</v>
      </c>
      <c r="AD459">
        <f>Tabla8[[#This Row],[Propina]]+Tabla8[[#This Row],[Precio Cena]]</f>
        <v>1789</v>
      </c>
      <c r="AE459" s="45">
        <f t="shared" si="15"/>
        <v>268</v>
      </c>
    </row>
    <row r="460" spans="19:31" x14ac:dyDescent="0.3">
      <c r="S460" s="15" t="str">
        <f>'Conjunto de Datos'!BB461</f>
        <v>989</v>
      </c>
      <c r="T460" s="15">
        <f>'Conjunto de Datos'!BF461</f>
        <v>459</v>
      </c>
      <c r="U460" s="6">
        <f>sala!I460</f>
        <v>3277</v>
      </c>
      <c r="V460" cm="1">
        <f t="array" ref="V460">SUM(IF(Cocina!A:A=Tabla8[[#This Row],[Numero de Orden]],Cocina!F:F*Cocina!G:G,0))</f>
        <v>84</v>
      </c>
      <c r="W460">
        <f>IF(Tabla8[[#This Row],[Cobrado]]="Cobrada",Tabla8[[#This Row],[Propina]]+Tabla8[[#This Row],[Precio Cena]],0)</f>
        <v>3361</v>
      </c>
      <c r="X460" t="str">
        <f>INDEX(sala!G:G, MATCH(Tabla8[[#This Row],[Numero de Orden]], sala!K:K, 0))</f>
        <v>Almuerzo</v>
      </c>
      <c r="Y460" t="str">
        <f>'Conjunto de Datos'!J461</f>
        <v>Cobrada</v>
      </c>
      <c r="Z460" t="str">
        <f>INDEX(sala!H:H, MATCH(Tabla8[[#This Row],[Numero de Orden]], sala!K:K, 0))</f>
        <v>Tarjeta de crédito</v>
      </c>
      <c r="AA460" s="3">
        <f>'Conjunto de Datos'!D461</f>
        <v>45021</v>
      </c>
      <c r="AB460" t="str">
        <f>INDEX(sala!L:L, MATCH(Tabla8[[#This Row],[Numero de Orden]], sala!K:K, 0))</f>
        <v>Argentina</v>
      </c>
      <c r="AC460" t="str">
        <f>'Conjunto de Datos'!N461</f>
        <v>Mesero_1</v>
      </c>
      <c r="AD460">
        <f>Tabla8[[#This Row],[Propina]]+Tabla8[[#This Row],[Precio Cena]]</f>
        <v>3361</v>
      </c>
      <c r="AE460" s="45">
        <f t="shared" si="15"/>
        <v>84</v>
      </c>
    </row>
    <row r="461" spans="19:31" x14ac:dyDescent="0.3">
      <c r="S461" t="str">
        <f>'Conjunto de Datos'!BB462</f>
        <v>964</v>
      </c>
      <c r="T461">
        <f>'Conjunto de Datos'!BF462</f>
        <v>460</v>
      </c>
      <c r="U461" s="7">
        <f>sala!I461</f>
        <v>496</v>
      </c>
      <c r="V461" cm="1">
        <f t="array" ref="V461">SUM(IF(Cocina!A:A=Tabla8[[#This Row],[Numero de Orden]],Cocina!F:F*Cocina!G:G,0))</f>
        <v>176</v>
      </c>
      <c r="W461">
        <f>IF(Tabla8[[#This Row],[Cobrado]]="Cobrada",Tabla8[[#This Row],[Propina]]+Tabla8[[#This Row],[Precio Cena]],0)</f>
        <v>672</v>
      </c>
      <c r="X461" t="str">
        <f>INDEX(sala!G:G, MATCH(Tabla8[[#This Row],[Numero de Orden]], sala!K:K, 0))</f>
        <v>Cena</v>
      </c>
      <c r="Y461" t="str">
        <f>'Conjunto de Datos'!J462</f>
        <v>Cobrada</v>
      </c>
      <c r="Z461" t="str">
        <f>INDEX(sala!H:H, MATCH(Tabla8[[#This Row],[Numero de Orden]], sala!K:K, 0))</f>
        <v>Tarjeta de crédito</v>
      </c>
      <c r="AA461" s="3">
        <f>'Conjunto de Datos'!D462</f>
        <v>45021</v>
      </c>
      <c r="AB461" t="str">
        <f>INDEX(sala!L:L, MATCH(Tabla8[[#This Row],[Numero de Orden]], sala!K:K, 0))</f>
        <v>Ecuador</v>
      </c>
      <c r="AC461" t="str">
        <f>'Conjunto de Datos'!N462</f>
        <v>Mesero_4</v>
      </c>
      <c r="AD461">
        <f>Tabla8[[#This Row],[Propina]]+Tabla8[[#This Row],[Precio Cena]]</f>
        <v>672</v>
      </c>
      <c r="AE461" s="45">
        <f t="shared" si="15"/>
        <v>176</v>
      </c>
    </row>
    <row r="462" spans="19:31" x14ac:dyDescent="0.3">
      <c r="S462" s="15" t="str">
        <f>'Conjunto de Datos'!BB463</f>
        <v>421</v>
      </c>
      <c r="T462" s="15">
        <f>'Conjunto de Datos'!BF463</f>
        <v>461</v>
      </c>
      <c r="U462" s="6">
        <f>sala!I462</f>
        <v>2151</v>
      </c>
      <c r="V462" cm="1">
        <f t="array" ref="V462">SUM(IF(Cocina!A:A=Tabla8[[#This Row],[Numero de Orden]],Cocina!F:F*Cocina!G:G,0))</f>
        <v>99</v>
      </c>
      <c r="W462">
        <f>IF(Tabla8[[#This Row],[Cobrado]]="Cobrada",Tabla8[[#This Row],[Propina]]+Tabla8[[#This Row],[Precio Cena]],0)</f>
        <v>2250</v>
      </c>
      <c r="X462" t="str">
        <f>INDEX(sala!G:G, MATCH(Tabla8[[#This Row],[Numero de Orden]], sala!K:K, 0))</f>
        <v>Cena</v>
      </c>
      <c r="Y462" t="str">
        <f>'Conjunto de Datos'!J463</f>
        <v>Cobrada</v>
      </c>
      <c r="Z462" t="str">
        <f>INDEX(sala!H:H, MATCH(Tabla8[[#This Row],[Numero de Orden]], sala!K:K, 0))</f>
        <v>Efectivo</v>
      </c>
      <c r="AA462" s="3">
        <f>'Conjunto de Datos'!D463</f>
        <v>45021</v>
      </c>
      <c r="AB462" t="str">
        <f>INDEX(sala!L:L, MATCH(Tabla8[[#This Row],[Numero de Orden]], sala!K:K, 0))</f>
        <v>Perú</v>
      </c>
      <c r="AC462" t="str">
        <f>'Conjunto de Datos'!N463</f>
        <v>Mesero_5</v>
      </c>
      <c r="AD462">
        <f>Tabla8[[#This Row],[Propina]]+Tabla8[[#This Row],[Precio Cena]]</f>
        <v>2250</v>
      </c>
      <c r="AE462" s="45">
        <f t="shared" si="15"/>
        <v>99</v>
      </c>
    </row>
    <row r="463" spans="19:31" x14ac:dyDescent="0.3">
      <c r="S463" t="str">
        <f>'Conjunto de Datos'!BB464</f>
        <v>27</v>
      </c>
      <c r="T463">
        <f>'Conjunto de Datos'!BF464</f>
        <v>462</v>
      </c>
      <c r="U463" s="7">
        <f>sala!I463</f>
        <v>2117</v>
      </c>
      <c r="V463" cm="1">
        <f t="array" ref="V463">SUM(IF(Cocina!A:A=Tabla8[[#This Row],[Numero de Orden]],Cocina!F:F*Cocina!G:G,0))</f>
        <v>99</v>
      </c>
      <c r="W463">
        <f>IF(Tabla8[[#This Row],[Cobrado]]="Cobrada",Tabla8[[#This Row],[Propina]]+Tabla8[[#This Row],[Precio Cena]],0)</f>
        <v>2216</v>
      </c>
      <c r="X463" t="str">
        <f>INDEX(sala!G:G, MATCH(Tabla8[[#This Row],[Numero de Orden]], sala!K:K, 0))</f>
        <v>Almuerzo</v>
      </c>
      <c r="Y463" t="str">
        <f>'Conjunto de Datos'!J464</f>
        <v>Cobrada</v>
      </c>
      <c r="Z463" t="str">
        <f>INDEX(sala!H:H, MATCH(Tabla8[[#This Row],[Numero de Orden]], sala!K:K, 0))</f>
        <v>Tarjeta de crédito</v>
      </c>
      <c r="AA463" s="3">
        <f>'Conjunto de Datos'!D464</f>
        <v>45021</v>
      </c>
      <c r="AB463" t="str">
        <f>INDEX(sala!L:L, MATCH(Tabla8[[#This Row],[Numero de Orden]], sala!K:K, 0))</f>
        <v>España</v>
      </c>
      <c r="AC463" t="str">
        <f>'Conjunto de Datos'!N464</f>
        <v>Mesero_2</v>
      </c>
      <c r="AD463">
        <f>Tabla8[[#This Row],[Propina]]+Tabla8[[#This Row],[Precio Cena]]</f>
        <v>2216</v>
      </c>
      <c r="AE463" s="45">
        <f t="shared" si="15"/>
        <v>99</v>
      </c>
    </row>
    <row r="464" spans="19:31" x14ac:dyDescent="0.3">
      <c r="S464" s="15" t="str">
        <f>'Conjunto de Datos'!BB465</f>
        <v>194</v>
      </c>
      <c r="T464" s="15">
        <f>'Conjunto de Datos'!BF465</f>
        <v>463</v>
      </c>
      <c r="U464" s="6">
        <f>sala!I464</f>
        <v>1707</v>
      </c>
      <c r="V464" cm="1">
        <f t="array" ref="V464">SUM(IF(Cocina!A:A=Tabla8[[#This Row],[Numero de Orden]],Cocina!F:F*Cocina!G:G,0))</f>
        <v>93</v>
      </c>
      <c r="W464">
        <f>IF(Tabla8[[#This Row],[Cobrado]]="Cobrada",Tabla8[[#This Row],[Propina]]+Tabla8[[#This Row],[Precio Cena]],0)</f>
        <v>1800</v>
      </c>
      <c r="X464" t="str">
        <f>INDEX(sala!G:G, MATCH(Tabla8[[#This Row],[Numero de Orden]], sala!K:K, 0))</f>
        <v>Almuerzo</v>
      </c>
      <c r="Y464" t="str">
        <f>'Conjunto de Datos'!J465</f>
        <v>Cobrada</v>
      </c>
      <c r="Z464" t="str">
        <f>INDEX(sala!H:H, MATCH(Tabla8[[#This Row],[Numero de Orden]], sala!K:K, 0))</f>
        <v>Tarjeta de débito</v>
      </c>
      <c r="AA464" s="3">
        <f>'Conjunto de Datos'!D465</f>
        <v>45021</v>
      </c>
      <c r="AB464" t="str">
        <f>INDEX(sala!L:L, MATCH(Tabla8[[#This Row],[Numero de Orden]], sala!K:K, 0))</f>
        <v>Paraguay</v>
      </c>
      <c r="AC464" t="str">
        <f>'Conjunto de Datos'!N465</f>
        <v>Mesero_2</v>
      </c>
      <c r="AD464">
        <f>Tabla8[[#This Row],[Propina]]+Tabla8[[#This Row],[Precio Cena]]</f>
        <v>1800</v>
      </c>
      <c r="AE464" s="45">
        <f t="shared" si="15"/>
        <v>93</v>
      </c>
    </row>
    <row r="465" spans="19:31" x14ac:dyDescent="0.3">
      <c r="S465" t="str">
        <f>'Conjunto de Datos'!BB466</f>
        <v>440</v>
      </c>
      <c r="T465">
        <f>'Conjunto de Datos'!BF466</f>
        <v>464</v>
      </c>
      <c r="U465" s="7">
        <f>sala!I465</f>
        <v>485</v>
      </c>
      <c r="V465" cm="1">
        <f t="array" ref="V465">SUM(IF(Cocina!A:A=Tabla8[[#This Row],[Numero de Orden]],Cocina!F:F*Cocina!G:G,0))</f>
        <v>154</v>
      </c>
      <c r="W465">
        <f>IF(Tabla8[[#This Row],[Cobrado]]="Cobrada",Tabla8[[#This Row],[Propina]]+Tabla8[[#This Row],[Precio Cena]],0)</f>
        <v>639</v>
      </c>
      <c r="X465" t="str">
        <f>INDEX(sala!G:G, MATCH(Tabla8[[#This Row],[Numero de Orden]], sala!K:K, 0))</f>
        <v>Almuerzo</v>
      </c>
      <c r="Y465" t="str">
        <f>'Conjunto de Datos'!J466</f>
        <v>Cobrada</v>
      </c>
      <c r="Z465" t="str">
        <f>INDEX(sala!H:H, MATCH(Tabla8[[#This Row],[Numero de Orden]], sala!K:K, 0))</f>
        <v>Tarjeta de crédito</v>
      </c>
      <c r="AA465" s="3">
        <f>'Conjunto de Datos'!D466</f>
        <v>45021</v>
      </c>
      <c r="AB465" t="str">
        <f>INDEX(sala!L:L, MATCH(Tabla8[[#This Row],[Numero de Orden]], sala!K:K, 0))</f>
        <v>Chile</v>
      </c>
      <c r="AC465" t="str">
        <f>'Conjunto de Datos'!N466</f>
        <v>Mesero_4</v>
      </c>
      <c r="AD465">
        <f>Tabla8[[#This Row],[Propina]]+Tabla8[[#This Row],[Precio Cena]]</f>
        <v>639</v>
      </c>
      <c r="AE465" s="45">
        <f t="shared" si="15"/>
        <v>154</v>
      </c>
    </row>
    <row r="466" spans="19:31" x14ac:dyDescent="0.3">
      <c r="S466" s="15" t="str">
        <f>'Conjunto de Datos'!BB467</f>
        <v>876</v>
      </c>
      <c r="T466" s="15">
        <f>'Conjunto de Datos'!BF467</f>
        <v>465</v>
      </c>
      <c r="U466" s="6">
        <f>sala!I466</f>
        <v>449</v>
      </c>
      <c r="V466" cm="1">
        <f t="array" ref="V466">SUM(IF(Cocina!A:A=Tabla8[[#This Row],[Numero de Orden]],Cocina!F:F*Cocina!G:G,0))</f>
        <v>121</v>
      </c>
      <c r="W466">
        <f>IF(Tabla8[[#This Row],[Cobrado]]="Cobrada",Tabla8[[#This Row],[Propina]]+Tabla8[[#This Row],[Precio Cena]],0)</f>
        <v>570</v>
      </c>
      <c r="X466" t="str">
        <f>INDEX(sala!G:G, MATCH(Tabla8[[#This Row],[Numero de Orden]], sala!K:K, 0))</f>
        <v>Almuerzo</v>
      </c>
      <c r="Y466" t="str">
        <f>'Conjunto de Datos'!J467</f>
        <v>Cobrada</v>
      </c>
      <c r="Z466" t="str">
        <f>INDEX(sala!H:H, MATCH(Tabla8[[#This Row],[Numero de Orden]], sala!K:K, 0))</f>
        <v>Tarjeta de crédito</v>
      </c>
      <c r="AA466" s="3">
        <f>'Conjunto de Datos'!D467</f>
        <v>45021</v>
      </c>
      <c r="AB466" t="str">
        <f>INDEX(sala!L:L, MATCH(Tabla8[[#This Row],[Numero de Orden]], sala!K:K, 0))</f>
        <v>Uruguay</v>
      </c>
      <c r="AC466" t="str">
        <f>'Conjunto de Datos'!N467</f>
        <v>Mesero_1</v>
      </c>
      <c r="AD466">
        <f>Tabla8[[#This Row],[Propina]]+Tabla8[[#This Row],[Precio Cena]]</f>
        <v>570</v>
      </c>
      <c r="AE466" s="45">
        <f t="shared" si="15"/>
        <v>121</v>
      </c>
    </row>
    <row r="467" spans="19:31" x14ac:dyDescent="0.3">
      <c r="S467" t="str">
        <f>'Conjunto de Datos'!BB468</f>
        <v>365</v>
      </c>
      <c r="T467">
        <f>'Conjunto de Datos'!BF468</f>
        <v>466</v>
      </c>
      <c r="U467" s="7">
        <f>sala!I467</f>
        <v>2663</v>
      </c>
      <c r="V467" cm="1">
        <f t="array" ref="V467">SUM(IF(Cocina!A:A=Tabla8[[#This Row],[Numero de Orden]],Cocina!F:F*Cocina!G:G,0))</f>
        <v>140</v>
      </c>
      <c r="W467">
        <f>IF(Tabla8[[#This Row],[Cobrado]]="Cobrada",Tabla8[[#This Row],[Propina]]+Tabla8[[#This Row],[Precio Cena]],0)</f>
        <v>2803</v>
      </c>
      <c r="X467" t="str">
        <f>INDEX(sala!G:G, MATCH(Tabla8[[#This Row],[Numero de Orden]], sala!K:K, 0))</f>
        <v>Almuerzo</v>
      </c>
      <c r="Y467" t="str">
        <f>'Conjunto de Datos'!J468</f>
        <v>Cobrada</v>
      </c>
      <c r="Z467" t="str">
        <f>INDEX(sala!H:H, MATCH(Tabla8[[#This Row],[Numero de Orden]], sala!K:K, 0))</f>
        <v>Tarjeta de crédito</v>
      </c>
      <c r="AA467" s="3">
        <f>'Conjunto de Datos'!D468</f>
        <v>45021</v>
      </c>
      <c r="AB467" t="str">
        <f>INDEX(sala!L:L, MATCH(Tabla8[[#This Row],[Numero de Orden]], sala!K:K, 0))</f>
        <v>Bolivia</v>
      </c>
      <c r="AC467" t="str">
        <f>'Conjunto de Datos'!N468</f>
        <v>Mesero_1</v>
      </c>
      <c r="AD467">
        <f>Tabla8[[#This Row],[Propina]]+Tabla8[[#This Row],[Precio Cena]]</f>
        <v>2803</v>
      </c>
      <c r="AE467" s="45">
        <f t="shared" si="15"/>
        <v>140</v>
      </c>
    </row>
    <row r="468" spans="19:31" x14ac:dyDescent="0.3">
      <c r="S468" s="15" t="str">
        <f>'Conjunto de Datos'!BB469</f>
        <v>185</v>
      </c>
      <c r="T468" s="15">
        <f>'Conjunto de Datos'!BF469</f>
        <v>467</v>
      </c>
      <c r="U468" s="6">
        <f>sala!I468</f>
        <v>4231</v>
      </c>
      <c r="V468" cm="1">
        <f t="array" ref="V468">SUM(IF(Cocina!A:A=Tabla8[[#This Row],[Numero de Orden]],Cocina!F:F*Cocina!G:G,0))</f>
        <v>143</v>
      </c>
      <c r="W468">
        <f>IF(Tabla8[[#This Row],[Cobrado]]="Cobrada",Tabla8[[#This Row],[Propina]]+Tabla8[[#This Row],[Precio Cena]],0)</f>
        <v>4374</v>
      </c>
      <c r="X468" t="str">
        <f>INDEX(sala!G:G, MATCH(Tabla8[[#This Row],[Numero de Orden]], sala!K:K, 0))</f>
        <v>Almuerzo</v>
      </c>
      <c r="Y468" t="str">
        <f>'Conjunto de Datos'!J469</f>
        <v>Cobrada</v>
      </c>
      <c r="Z468" t="str">
        <f>INDEX(sala!H:H, MATCH(Tabla8[[#This Row],[Numero de Orden]], sala!K:K, 0))</f>
        <v>Tarjeta de débito</v>
      </c>
      <c r="AA468" s="3">
        <f>'Conjunto de Datos'!D469</f>
        <v>45021</v>
      </c>
      <c r="AB468" t="str">
        <f>INDEX(sala!L:L, MATCH(Tabla8[[#This Row],[Numero de Orden]], sala!K:K, 0))</f>
        <v>Perú</v>
      </c>
      <c r="AC468" t="str">
        <f>'Conjunto de Datos'!N469</f>
        <v>Mesero_1</v>
      </c>
      <c r="AD468">
        <f>Tabla8[[#This Row],[Propina]]+Tabla8[[#This Row],[Precio Cena]]</f>
        <v>4374</v>
      </c>
      <c r="AE468" s="45">
        <f t="shared" si="15"/>
        <v>143</v>
      </c>
    </row>
    <row r="469" spans="19:31" x14ac:dyDescent="0.3">
      <c r="S469" t="str">
        <f>'Conjunto de Datos'!BB470</f>
        <v>558</v>
      </c>
      <c r="T469">
        <f>'Conjunto de Datos'!BF470</f>
        <v>468</v>
      </c>
      <c r="U469" s="7">
        <f>sala!I469</f>
        <v>1428</v>
      </c>
      <c r="V469" cm="1">
        <f t="array" ref="V469">SUM(IF(Cocina!A:A=Tabla8[[#This Row],[Numero de Orden]],Cocina!F:F*Cocina!G:G,0))</f>
        <v>106</v>
      </c>
      <c r="W469">
        <f>IF(Tabla8[[#This Row],[Cobrado]]="Cobrada",Tabla8[[#This Row],[Propina]]+Tabla8[[#This Row],[Precio Cena]],0)</f>
        <v>1534</v>
      </c>
      <c r="X469" t="str">
        <f>INDEX(sala!G:G, MATCH(Tabla8[[#This Row],[Numero de Orden]], sala!K:K, 0))</f>
        <v>Desayuno</v>
      </c>
      <c r="Y469" t="str">
        <f>'Conjunto de Datos'!J470</f>
        <v>Cobrada</v>
      </c>
      <c r="Z469" t="str">
        <f>INDEX(sala!H:H, MATCH(Tabla8[[#This Row],[Numero de Orden]], sala!K:K, 0))</f>
        <v>Tarjeta de crédito</v>
      </c>
      <c r="AA469" s="3">
        <f>'Conjunto de Datos'!D470</f>
        <v>45021</v>
      </c>
      <c r="AB469" t="str">
        <f>INDEX(sala!L:L, MATCH(Tabla8[[#This Row],[Numero de Orden]], sala!K:K, 0))</f>
        <v>Argentina</v>
      </c>
      <c r="AC469" t="str">
        <f>'Conjunto de Datos'!N470</f>
        <v>Mesero_2</v>
      </c>
      <c r="AD469">
        <f>Tabla8[[#This Row],[Propina]]+Tabla8[[#This Row],[Precio Cena]]</f>
        <v>1534</v>
      </c>
      <c r="AE469" s="45">
        <f t="shared" si="15"/>
        <v>106</v>
      </c>
    </row>
    <row r="470" spans="19:31" x14ac:dyDescent="0.3">
      <c r="S470" s="15" t="str">
        <f>'Conjunto de Datos'!BB471</f>
        <v>535</v>
      </c>
      <c r="T470" s="15">
        <f>'Conjunto de Datos'!BF471</f>
        <v>469</v>
      </c>
      <c r="U470" s="6">
        <f>sala!I470</f>
        <v>2526</v>
      </c>
      <c r="V470" cm="1">
        <f t="array" ref="V470">SUM(IF(Cocina!A:A=Tabla8[[#This Row],[Numero de Orden]],Cocina!F:F*Cocina!G:G,0))</f>
        <v>137</v>
      </c>
      <c r="W470">
        <f>IF(Tabla8[[#This Row],[Cobrado]]="Cobrada",Tabla8[[#This Row],[Propina]]+Tabla8[[#This Row],[Precio Cena]],0)</f>
        <v>2663</v>
      </c>
      <c r="X470" t="str">
        <f>INDEX(sala!G:G, MATCH(Tabla8[[#This Row],[Numero de Orden]], sala!K:K, 0))</f>
        <v>Cena</v>
      </c>
      <c r="Y470" t="str">
        <f>'Conjunto de Datos'!J471</f>
        <v>Cobrada</v>
      </c>
      <c r="Z470" t="str">
        <f>INDEX(sala!H:H, MATCH(Tabla8[[#This Row],[Numero de Orden]], sala!K:K, 0))</f>
        <v>Tarjeta de crédito</v>
      </c>
      <c r="AA470" s="3">
        <f>'Conjunto de Datos'!D471</f>
        <v>45021</v>
      </c>
      <c r="AB470" t="str">
        <f>INDEX(sala!L:L, MATCH(Tabla8[[#This Row],[Numero de Orden]], sala!K:K, 0))</f>
        <v>Colombia</v>
      </c>
      <c r="AC470" t="str">
        <f>'Conjunto de Datos'!N471</f>
        <v>Mesero_1</v>
      </c>
      <c r="AD470">
        <f>Tabla8[[#This Row],[Propina]]+Tabla8[[#This Row],[Precio Cena]]</f>
        <v>2663</v>
      </c>
      <c r="AE470" s="45">
        <f t="shared" si="15"/>
        <v>137</v>
      </c>
    </row>
    <row r="471" spans="19:31" x14ac:dyDescent="0.3">
      <c r="S471" t="str">
        <f>'Conjunto de Datos'!BB472</f>
        <v>18</v>
      </c>
      <c r="T471">
        <f>'Conjunto de Datos'!BF472</f>
        <v>470</v>
      </c>
      <c r="U471" s="7">
        <f>sala!I471</f>
        <v>4746</v>
      </c>
      <c r="V471" cm="1">
        <f t="array" ref="V471">SUM(IF(Cocina!A:A=Tabla8[[#This Row],[Numero de Orden]],Cocina!F:F*Cocina!G:G,0))</f>
        <v>78</v>
      </c>
      <c r="W471">
        <f>IF(Tabla8[[#This Row],[Cobrado]]="Cobrada",Tabla8[[#This Row],[Propina]]+Tabla8[[#This Row],[Precio Cena]],0)</f>
        <v>4824</v>
      </c>
      <c r="X471" t="str">
        <f>INDEX(sala!G:G, MATCH(Tabla8[[#This Row],[Numero de Orden]], sala!K:K, 0))</f>
        <v>Almuerzo</v>
      </c>
      <c r="Y471" t="str">
        <f>'Conjunto de Datos'!J472</f>
        <v>Cobrada</v>
      </c>
      <c r="Z471" t="str">
        <f>INDEX(sala!H:H, MATCH(Tabla8[[#This Row],[Numero de Orden]], sala!K:K, 0))</f>
        <v>Tarjeta de crédito</v>
      </c>
      <c r="AA471" s="3">
        <f>'Conjunto de Datos'!D472</f>
        <v>45021</v>
      </c>
      <c r="AB471" t="str">
        <f>INDEX(sala!L:L, MATCH(Tabla8[[#This Row],[Numero de Orden]], sala!K:K, 0))</f>
        <v>Uruguay</v>
      </c>
      <c r="AC471" t="str">
        <f>'Conjunto de Datos'!N472</f>
        <v>Mesero_4</v>
      </c>
      <c r="AD471">
        <f>Tabla8[[#This Row],[Propina]]+Tabla8[[#This Row],[Precio Cena]]</f>
        <v>4824</v>
      </c>
      <c r="AE471" s="45">
        <f t="shared" si="15"/>
        <v>78</v>
      </c>
    </row>
    <row r="472" spans="19:31" x14ac:dyDescent="0.3">
      <c r="S472" s="15" t="str">
        <f>'Conjunto de Datos'!BB473</f>
        <v>696</v>
      </c>
      <c r="T472" s="15">
        <f>'Conjunto de Datos'!BF473</f>
        <v>471</v>
      </c>
      <c r="U472" s="6">
        <f>sala!I472</f>
        <v>2849</v>
      </c>
      <c r="V472" cm="1">
        <f t="array" ref="V472">SUM(IF(Cocina!A:A=Tabla8[[#This Row],[Numero de Orden]],Cocina!F:F*Cocina!G:G,0))</f>
        <v>105</v>
      </c>
      <c r="W472">
        <f>IF(Tabla8[[#This Row],[Cobrado]]="Cobrada",Tabla8[[#This Row],[Propina]]+Tabla8[[#This Row],[Precio Cena]],0)</f>
        <v>2954</v>
      </c>
      <c r="X472" t="str">
        <f>INDEX(sala!G:G, MATCH(Tabla8[[#This Row],[Numero de Orden]], sala!K:K, 0))</f>
        <v>Desayuno</v>
      </c>
      <c r="Y472" t="str">
        <f>'Conjunto de Datos'!J473</f>
        <v>Cobrada</v>
      </c>
      <c r="Z472" t="str">
        <f>INDEX(sala!H:H, MATCH(Tabla8[[#This Row],[Numero de Orden]], sala!K:K, 0))</f>
        <v>Tarjeta de débito</v>
      </c>
      <c r="AA472" s="3">
        <f>'Conjunto de Datos'!D473</f>
        <v>45021</v>
      </c>
      <c r="AB472" t="str">
        <f>INDEX(sala!L:L, MATCH(Tabla8[[#This Row],[Numero de Orden]], sala!K:K, 0))</f>
        <v>Perú</v>
      </c>
      <c r="AC472" t="str">
        <f>'Conjunto de Datos'!N473</f>
        <v>Mesero_4</v>
      </c>
      <c r="AD472">
        <f>Tabla8[[#This Row],[Propina]]+Tabla8[[#This Row],[Precio Cena]]</f>
        <v>2954</v>
      </c>
      <c r="AE472" s="45">
        <f t="shared" si="15"/>
        <v>105</v>
      </c>
    </row>
    <row r="473" spans="19:31" x14ac:dyDescent="0.3">
      <c r="S473" t="str">
        <f>'Conjunto de Datos'!BB474</f>
        <v>704</v>
      </c>
      <c r="T473">
        <f>'Conjunto de Datos'!BF474</f>
        <v>472</v>
      </c>
      <c r="U473" s="7">
        <f>sala!I473</f>
        <v>3679</v>
      </c>
      <c r="V473" cm="1">
        <f t="array" ref="V473">SUM(IF(Cocina!A:A=Tabla8[[#This Row],[Numero de Orden]],Cocina!F:F*Cocina!G:G,0))</f>
        <v>114</v>
      </c>
      <c r="W473">
        <f>IF(Tabla8[[#This Row],[Cobrado]]="Cobrada",Tabla8[[#This Row],[Propina]]+Tabla8[[#This Row],[Precio Cena]],0)</f>
        <v>3793</v>
      </c>
      <c r="X473" t="str">
        <f>INDEX(sala!G:G, MATCH(Tabla8[[#This Row],[Numero de Orden]], sala!K:K, 0))</f>
        <v>Almuerzo</v>
      </c>
      <c r="Y473" t="str">
        <f>'Conjunto de Datos'!J474</f>
        <v>Cobrada</v>
      </c>
      <c r="Z473" t="str">
        <f>INDEX(sala!H:H, MATCH(Tabla8[[#This Row],[Numero de Orden]], sala!K:K, 0))</f>
        <v>Efectivo</v>
      </c>
      <c r="AA473" s="3">
        <f>'Conjunto de Datos'!D474</f>
        <v>45021</v>
      </c>
      <c r="AB473" t="str">
        <f>INDEX(sala!L:L, MATCH(Tabla8[[#This Row],[Numero de Orden]], sala!K:K, 0))</f>
        <v>Uruguay</v>
      </c>
      <c r="AC473" t="str">
        <f>'Conjunto de Datos'!N474</f>
        <v>Mesero_2</v>
      </c>
      <c r="AD473">
        <f>Tabla8[[#This Row],[Propina]]+Tabla8[[#This Row],[Precio Cena]]</f>
        <v>3793</v>
      </c>
      <c r="AE473" s="45">
        <f t="shared" si="15"/>
        <v>114</v>
      </c>
    </row>
    <row r="474" spans="19:31" x14ac:dyDescent="0.3">
      <c r="S474" s="15" t="str">
        <f>'Conjunto de Datos'!BB475</f>
        <v>720</v>
      </c>
      <c r="T474" s="15">
        <f>'Conjunto de Datos'!BF475</f>
        <v>473</v>
      </c>
      <c r="U474" s="6">
        <f>sala!I474</f>
        <v>1563</v>
      </c>
      <c r="V474" cm="1">
        <f t="array" ref="V474">SUM(IF(Cocina!A:A=Tabla8[[#This Row],[Numero de Orden]],Cocina!F:F*Cocina!G:G,0))</f>
        <v>79</v>
      </c>
      <c r="W474">
        <f>IF(Tabla8[[#This Row],[Cobrado]]="Cobrada",Tabla8[[#This Row],[Propina]]+Tabla8[[#This Row],[Precio Cena]],0)</f>
        <v>1642</v>
      </c>
      <c r="X474" t="str">
        <f>INDEX(sala!G:G, MATCH(Tabla8[[#This Row],[Numero de Orden]], sala!K:K, 0))</f>
        <v>Almuerzo</v>
      </c>
      <c r="Y474" t="str">
        <f>'Conjunto de Datos'!J475</f>
        <v>Cobrada</v>
      </c>
      <c r="Z474" t="str">
        <f>INDEX(sala!H:H, MATCH(Tabla8[[#This Row],[Numero de Orden]], sala!K:K, 0))</f>
        <v>Tarjeta de débito</v>
      </c>
      <c r="AA474" s="3">
        <f>'Conjunto de Datos'!D475</f>
        <v>45022</v>
      </c>
      <c r="AB474" t="str">
        <f>INDEX(sala!L:L, MATCH(Tabla8[[#This Row],[Numero de Orden]], sala!K:K, 0))</f>
        <v>Paraguay</v>
      </c>
      <c r="AC474" t="str">
        <f>'Conjunto de Datos'!N475</f>
        <v>Mesero_2</v>
      </c>
      <c r="AD474">
        <f>Tabla8[[#This Row],[Propina]]+Tabla8[[#This Row],[Precio Cena]]</f>
        <v>1642</v>
      </c>
      <c r="AE474" s="45">
        <f t="shared" si="15"/>
        <v>79</v>
      </c>
    </row>
    <row r="475" spans="19:31" x14ac:dyDescent="0.3">
      <c r="S475" t="str">
        <f>'Conjunto de Datos'!BB476</f>
        <v>624</v>
      </c>
      <c r="T475">
        <f>'Conjunto de Datos'!BF476</f>
        <v>474</v>
      </c>
      <c r="U475" s="7">
        <f>sala!I475</f>
        <v>2166</v>
      </c>
      <c r="V475" cm="1">
        <f t="array" ref="V475">SUM(IF(Cocina!A:A=Tabla8[[#This Row],[Numero de Orden]],Cocina!F:F*Cocina!G:G,0))</f>
        <v>178</v>
      </c>
      <c r="W475">
        <f>IF(Tabla8[[#This Row],[Cobrado]]="Cobrada",Tabla8[[#This Row],[Propina]]+Tabla8[[#This Row],[Precio Cena]],0)</f>
        <v>0</v>
      </c>
      <c r="X475" t="str">
        <f>INDEX(sala!G:G, MATCH(Tabla8[[#This Row],[Numero de Orden]], sala!K:K, 0))</f>
        <v>Almuerzo</v>
      </c>
      <c r="Y475" t="str">
        <f>'Conjunto de Datos'!J476</f>
        <v>No Cobrada</v>
      </c>
      <c r="Z475" t="str">
        <f>INDEX(sala!H:H, MATCH(Tabla8[[#This Row],[Numero de Orden]], sala!K:K, 0))</f>
        <v>Tarjeta de crédito</v>
      </c>
      <c r="AA475" s="3">
        <f>'Conjunto de Datos'!D476</f>
        <v>45022</v>
      </c>
      <c r="AB475" t="str">
        <f>INDEX(sala!L:L, MATCH(Tabla8[[#This Row],[Numero de Orden]], sala!K:K, 0))</f>
        <v>Perú</v>
      </c>
      <c r="AC475" t="str">
        <f>'Conjunto de Datos'!N476</f>
        <v>Mesero_4</v>
      </c>
      <c r="AD475">
        <f>Tabla8[[#This Row],[Propina]]+Tabla8[[#This Row],[Precio Cena]]</f>
        <v>2344</v>
      </c>
      <c r="AE475" s="45">
        <f t="shared" si="15"/>
        <v>0</v>
      </c>
    </row>
    <row r="476" spans="19:31" x14ac:dyDescent="0.3">
      <c r="S476" s="15" t="str">
        <f>'Conjunto de Datos'!BB477</f>
        <v>289</v>
      </c>
      <c r="T476" s="15">
        <f>'Conjunto de Datos'!BF477</f>
        <v>475</v>
      </c>
      <c r="U476" s="6">
        <f>sala!I476</f>
        <v>1955</v>
      </c>
      <c r="V476" cm="1">
        <f t="array" ref="V476">SUM(IF(Cocina!A:A=Tabla8[[#This Row],[Numero de Orden]],Cocina!F:F*Cocina!G:G,0))</f>
        <v>174</v>
      </c>
      <c r="W476">
        <f>IF(Tabla8[[#This Row],[Cobrado]]="Cobrada",Tabla8[[#This Row],[Propina]]+Tabla8[[#This Row],[Precio Cena]],0)</f>
        <v>2129</v>
      </c>
      <c r="X476" t="str">
        <f>INDEX(sala!G:G, MATCH(Tabla8[[#This Row],[Numero de Orden]], sala!K:K, 0))</f>
        <v>Cena</v>
      </c>
      <c r="Y476" t="str">
        <f>'Conjunto de Datos'!J477</f>
        <v>Cobrada</v>
      </c>
      <c r="Z476" t="str">
        <f>INDEX(sala!H:H, MATCH(Tabla8[[#This Row],[Numero de Orden]], sala!K:K, 0))</f>
        <v>Tarjeta de débito</v>
      </c>
      <c r="AA476" s="3">
        <f>'Conjunto de Datos'!D477</f>
        <v>45022</v>
      </c>
      <c r="AB476" t="str">
        <f>INDEX(sala!L:L, MATCH(Tabla8[[#This Row],[Numero de Orden]], sala!K:K, 0))</f>
        <v>Paraguay</v>
      </c>
      <c r="AC476" t="str">
        <f>'Conjunto de Datos'!N477</f>
        <v>Mesero_5</v>
      </c>
      <c r="AD476">
        <f>Tabla8[[#This Row],[Propina]]+Tabla8[[#This Row],[Precio Cena]]</f>
        <v>2129</v>
      </c>
      <c r="AE476" s="45">
        <f t="shared" si="15"/>
        <v>174</v>
      </c>
    </row>
    <row r="477" spans="19:31" x14ac:dyDescent="0.3">
      <c r="S477" t="str">
        <f>'Conjunto de Datos'!BB478</f>
        <v>434</v>
      </c>
      <c r="T477">
        <f>'Conjunto de Datos'!BF478</f>
        <v>476</v>
      </c>
      <c r="U477" s="7">
        <f>sala!I477</f>
        <v>4353</v>
      </c>
      <c r="V477" cm="1">
        <f t="array" ref="V477">SUM(IF(Cocina!A:A=Tabla8[[#This Row],[Numero de Orden]],Cocina!F:F*Cocina!G:G,0))</f>
        <v>218</v>
      </c>
      <c r="W477">
        <f>IF(Tabla8[[#This Row],[Cobrado]]="Cobrada",Tabla8[[#This Row],[Propina]]+Tabla8[[#This Row],[Precio Cena]],0)</f>
        <v>4571</v>
      </c>
      <c r="X477" t="str">
        <f>INDEX(sala!G:G, MATCH(Tabla8[[#This Row],[Numero de Orden]], sala!K:K, 0))</f>
        <v>Desayuno</v>
      </c>
      <c r="Y477" t="str">
        <f>'Conjunto de Datos'!J478</f>
        <v>Cobrada</v>
      </c>
      <c r="Z477" t="str">
        <f>INDEX(sala!H:H, MATCH(Tabla8[[#This Row],[Numero de Orden]], sala!K:K, 0))</f>
        <v>Tarjeta de débito</v>
      </c>
      <c r="AA477" s="3">
        <f>'Conjunto de Datos'!D478</f>
        <v>45022</v>
      </c>
      <c r="AB477" t="str">
        <f>INDEX(sala!L:L, MATCH(Tabla8[[#This Row],[Numero de Orden]], sala!K:K, 0))</f>
        <v>Paraguay</v>
      </c>
      <c r="AC477" t="str">
        <f>'Conjunto de Datos'!N478</f>
        <v>Mesero_3</v>
      </c>
      <c r="AD477">
        <f>Tabla8[[#This Row],[Propina]]+Tabla8[[#This Row],[Precio Cena]]</f>
        <v>4571</v>
      </c>
      <c r="AE477" s="45">
        <f t="shared" si="15"/>
        <v>218</v>
      </c>
    </row>
    <row r="478" spans="19:31" x14ac:dyDescent="0.3">
      <c r="S478" s="15" t="str">
        <f>'Conjunto de Datos'!BB479</f>
        <v>149</v>
      </c>
      <c r="T478" s="15">
        <f>'Conjunto de Datos'!BF479</f>
        <v>477</v>
      </c>
      <c r="U478" s="6">
        <f>sala!I478</f>
        <v>3385</v>
      </c>
      <c r="V478" cm="1">
        <f t="array" ref="V478">SUM(IF(Cocina!A:A=Tabla8[[#This Row],[Numero de Orden]],Cocina!F:F*Cocina!G:G,0))</f>
        <v>204</v>
      </c>
      <c r="W478">
        <f>IF(Tabla8[[#This Row],[Cobrado]]="Cobrada",Tabla8[[#This Row],[Propina]]+Tabla8[[#This Row],[Precio Cena]],0)</f>
        <v>0</v>
      </c>
      <c r="X478" t="str">
        <f>INDEX(sala!G:G, MATCH(Tabla8[[#This Row],[Numero de Orden]], sala!K:K, 0))</f>
        <v>Desayuno</v>
      </c>
      <c r="Y478" t="str">
        <f>'Conjunto de Datos'!J479</f>
        <v>No Cobrada</v>
      </c>
      <c r="Z478" t="str">
        <f>INDEX(sala!H:H, MATCH(Tabla8[[#This Row],[Numero de Orden]], sala!K:K, 0))</f>
        <v>Tarjeta de crédito</v>
      </c>
      <c r="AA478" s="3">
        <f>'Conjunto de Datos'!D479</f>
        <v>45022</v>
      </c>
      <c r="AB478" t="str">
        <f>INDEX(sala!L:L, MATCH(Tabla8[[#This Row],[Numero de Orden]], sala!K:K, 0))</f>
        <v>Colombia</v>
      </c>
      <c r="AC478" t="str">
        <f>'Conjunto de Datos'!N479</f>
        <v>Mesero_4</v>
      </c>
      <c r="AD478">
        <f>Tabla8[[#This Row],[Propina]]+Tabla8[[#This Row],[Precio Cena]]</f>
        <v>3589</v>
      </c>
      <c r="AE478" s="45">
        <f t="shared" si="15"/>
        <v>0</v>
      </c>
    </row>
    <row r="479" spans="19:31" x14ac:dyDescent="0.3">
      <c r="S479" t="str">
        <f>'Conjunto de Datos'!BB480</f>
        <v>29</v>
      </c>
      <c r="T479">
        <f>'Conjunto de Datos'!BF480</f>
        <v>478</v>
      </c>
      <c r="U479" s="7">
        <f>sala!I479</f>
        <v>3278</v>
      </c>
      <c r="V479" cm="1">
        <f t="array" ref="V479">SUM(IF(Cocina!A:A=Tabla8[[#This Row],[Numero de Orden]],Cocina!F:F*Cocina!G:G,0))</f>
        <v>118</v>
      </c>
      <c r="W479">
        <f>IF(Tabla8[[#This Row],[Cobrado]]="Cobrada",Tabla8[[#This Row],[Propina]]+Tabla8[[#This Row],[Precio Cena]],0)</f>
        <v>3396</v>
      </c>
      <c r="X479" t="str">
        <f>INDEX(sala!G:G, MATCH(Tabla8[[#This Row],[Numero de Orden]], sala!K:K, 0))</f>
        <v>Almuerzo</v>
      </c>
      <c r="Y479" t="str">
        <f>'Conjunto de Datos'!J480</f>
        <v>Cobrada</v>
      </c>
      <c r="Z479" t="str">
        <f>INDEX(sala!H:H, MATCH(Tabla8[[#This Row],[Numero de Orden]], sala!K:K, 0))</f>
        <v>Efectivo</v>
      </c>
      <c r="AA479" s="3">
        <f>'Conjunto de Datos'!D480</f>
        <v>45022</v>
      </c>
      <c r="AB479" t="str">
        <f>INDEX(sala!L:L, MATCH(Tabla8[[#This Row],[Numero de Orden]], sala!K:K, 0))</f>
        <v>Bolivia</v>
      </c>
      <c r="AC479" t="str">
        <f>'Conjunto de Datos'!N480</f>
        <v>Mesero_1</v>
      </c>
      <c r="AD479">
        <f>Tabla8[[#This Row],[Propina]]+Tabla8[[#This Row],[Precio Cena]]</f>
        <v>3396</v>
      </c>
      <c r="AE479" s="45">
        <f t="shared" si="15"/>
        <v>118</v>
      </c>
    </row>
    <row r="480" spans="19:31" x14ac:dyDescent="0.3">
      <c r="S480" s="15" t="str">
        <f>'Conjunto de Datos'!BB481</f>
        <v>708</v>
      </c>
      <c r="T480" s="15">
        <f>'Conjunto de Datos'!BF481</f>
        <v>479</v>
      </c>
      <c r="U480" s="6">
        <f>sala!I480</f>
        <v>3958</v>
      </c>
      <c r="V480" cm="1">
        <f t="array" ref="V480">SUM(IF(Cocina!A:A=Tabla8[[#This Row],[Numero de Orden]],Cocina!F:F*Cocina!G:G,0))</f>
        <v>52</v>
      </c>
      <c r="W480">
        <f>IF(Tabla8[[#This Row],[Cobrado]]="Cobrada",Tabla8[[#This Row],[Propina]]+Tabla8[[#This Row],[Precio Cena]],0)</f>
        <v>4010</v>
      </c>
      <c r="X480" t="str">
        <f>INDEX(sala!G:G, MATCH(Tabla8[[#This Row],[Numero de Orden]], sala!K:K, 0))</f>
        <v>Almuerzo</v>
      </c>
      <c r="Y480" t="str">
        <f>'Conjunto de Datos'!J481</f>
        <v>Cobrada</v>
      </c>
      <c r="Z480" t="str">
        <f>INDEX(sala!H:H, MATCH(Tabla8[[#This Row],[Numero de Orden]], sala!K:K, 0))</f>
        <v>Tarjeta de débito</v>
      </c>
      <c r="AA480" s="3">
        <f>'Conjunto de Datos'!D481</f>
        <v>45022</v>
      </c>
      <c r="AB480" t="str">
        <f>INDEX(sala!L:L, MATCH(Tabla8[[#This Row],[Numero de Orden]], sala!K:K, 0))</f>
        <v>Argentina</v>
      </c>
      <c r="AC480" t="str">
        <f>'Conjunto de Datos'!N481</f>
        <v>Mesero_3</v>
      </c>
      <c r="AD480">
        <f>Tabla8[[#This Row],[Propina]]+Tabla8[[#This Row],[Precio Cena]]</f>
        <v>4010</v>
      </c>
      <c r="AE480" s="45">
        <f t="shared" si="15"/>
        <v>52</v>
      </c>
    </row>
    <row r="481" spans="19:31" x14ac:dyDescent="0.3">
      <c r="S481" t="str">
        <f>'Conjunto de Datos'!BB482</f>
        <v>125</v>
      </c>
      <c r="T481">
        <f>'Conjunto de Datos'!BF482</f>
        <v>480</v>
      </c>
      <c r="U481" s="7">
        <f>sala!I481</f>
        <v>1863</v>
      </c>
      <c r="V481" cm="1">
        <f t="array" ref="V481">SUM(IF(Cocina!A:A=Tabla8[[#This Row],[Numero de Orden]],Cocina!F:F*Cocina!G:G,0))</f>
        <v>159</v>
      </c>
      <c r="W481">
        <f>IF(Tabla8[[#This Row],[Cobrado]]="Cobrada",Tabla8[[#This Row],[Propina]]+Tabla8[[#This Row],[Precio Cena]],0)</f>
        <v>2022</v>
      </c>
      <c r="X481" t="str">
        <f>INDEX(sala!G:G, MATCH(Tabla8[[#This Row],[Numero de Orden]], sala!K:K, 0))</f>
        <v>Desayuno</v>
      </c>
      <c r="Y481" t="str">
        <f>'Conjunto de Datos'!J482</f>
        <v>Cobrada</v>
      </c>
      <c r="Z481" t="str">
        <f>INDEX(sala!H:H, MATCH(Tabla8[[#This Row],[Numero de Orden]], sala!K:K, 0))</f>
        <v>Efectivo</v>
      </c>
      <c r="AA481" s="3">
        <f>'Conjunto de Datos'!D482</f>
        <v>45022</v>
      </c>
      <c r="AB481" t="str">
        <f>INDEX(sala!L:L, MATCH(Tabla8[[#This Row],[Numero de Orden]], sala!K:K, 0))</f>
        <v>Uruguay</v>
      </c>
      <c r="AC481" t="str">
        <f>'Conjunto de Datos'!N482</f>
        <v>Mesero_5</v>
      </c>
      <c r="AD481">
        <f>Tabla8[[#This Row],[Propina]]+Tabla8[[#This Row],[Precio Cena]]</f>
        <v>2022</v>
      </c>
      <c r="AE481" s="45">
        <f t="shared" si="15"/>
        <v>159</v>
      </c>
    </row>
    <row r="482" spans="19:31" x14ac:dyDescent="0.3">
      <c r="S482" s="15" t="str">
        <f>'Conjunto de Datos'!BB483</f>
        <v>618</v>
      </c>
      <c r="T482" s="15">
        <f>'Conjunto de Datos'!BF483</f>
        <v>481</v>
      </c>
      <c r="U482" s="6">
        <f>sala!I482</f>
        <v>4202</v>
      </c>
      <c r="V482" cm="1">
        <f t="array" ref="V482">SUM(IF(Cocina!A:A=Tabla8[[#This Row],[Numero de Orden]],Cocina!F:F*Cocina!G:G,0))</f>
        <v>52</v>
      </c>
      <c r="W482">
        <f>IF(Tabla8[[#This Row],[Cobrado]]="Cobrada",Tabla8[[#This Row],[Propina]]+Tabla8[[#This Row],[Precio Cena]],0)</f>
        <v>4254</v>
      </c>
      <c r="X482" t="str">
        <f>INDEX(sala!G:G, MATCH(Tabla8[[#This Row],[Numero de Orden]], sala!K:K, 0))</f>
        <v>Almuerzo</v>
      </c>
      <c r="Y482" t="str">
        <f>'Conjunto de Datos'!J483</f>
        <v>Cobrada</v>
      </c>
      <c r="Z482" t="str">
        <f>INDEX(sala!H:H, MATCH(Tabla8[[#This Row],[Numero de Orden]], sala!K:K, 0))</f>
        <v>Tarjeta de crédito</v>
      </c>
      <c r="AA482" s="3">
        <f>'Conjunto de Datos'!D483</f>
        <v>45022</v>
      </c>
      <c r="AB482" t="str">
        <f>INDEX(sala!L:L, MATCH(Tabla8[[#This Row],[Numero de Orden]], sala!K:K, 0))</f>
        <v>Perú</v>
      </c>
      <c r="AC482" t="str">
        <f>'Conjunto de Datos'!N483</f>
        <v>Mesero_1</v>
      </c>
      <c r="AD482">
        <f>Tabla8[[#This Row],[Propina]]+Tabla8[[#This Row],[Precio Cena]]</f>
        <v>4254</v>
      </c>
      <c r="AE482" s="45">
        <f t="shared" si="15"/>
        <v>52</v>
      </c>
    </row>
    <row r="483" spans="19:31" x14ac:dyDescent="0.3">
      <c r="S483" t="str">
        <f>'Conjunto de Datos'!BB484</f>
        <v>115</v>
      </c>
      <c r="T483">
        <f>'Conjunto de Datos'!BF484</f>
        <v>482</v>
      </c>
      <c r="U483" s="7">
        <f>sala!I483</f>
        <v>1884</v>
      </c>
      <c r="V483" cm="1">
        <f t="array" ref="V483">SUM(IF(Cocina!A:A=Tabla8[[#This Row],[Numero de Orden]],Cocina!F:F*Cocina!G:G,0))</f>
        <v>63</v>
      </c>
      <c r="W483">
        <f>IF(Tabla8[[#This Row],[Cobrado]]="Cobrada",Tabla8[[#This Row],[Propina]]+Tabla8[[#This Row],[Precio Cena]],0)</f>
        <v>1947</v>
      </c>
      <c r="X483" t="str">
        <f>INDEX(sala!G:G, MATCH(Tabla8[[#This Row],[Numero de Orden]], sala!K:K, 0))</f>
        <v>Desayuno</v>
      </c>
      <c r="Y483" t="str">
        <f>'Conjunto de Datos'!J484</f>
        <v>Cobrada</v>
      </c>
      <c r="Z483" t="str">
        <f>INDEX(sala!H:H, MATCH(Tabla8[[#This Row],[Numero de Orden]], sala!K:K, 0))</f>
        <v>Tarjeta de crédito</v>
      </c>
      <c r="AA483" s="3">
        <f>'Conjunto de Datos'!D484</f>
        <v>45022</v>
      </c>
      <c r="AB483" t="str">
        <f>INDEX(sala!L:L, MATCH(Tabla8[[#This Row],[Numero de Orden]], sala!K:K, 0))</f>
        <v>Colombia</v>
      </c>
      <c r="AC483" t="str">
        <f>'Conjunto de Datos'!N484</f>
        <v>Mesero_3</v>
      </c>
      <c r="AD483">
        <f>Tabla8[[#This Row],[Propina]]+Tabla8[[#This Row],[Precio Cena]]</f>
        <v>1947</v>
      </c>
      <c r="AE483" s="45">
        <f t="shared" si="15"/>
        <v>63</v>
      </c>
    </row>
    <row r="484" spans="19:31" x14ac:dyDescent="0.3">
      <c r="S484" s="15" t="str">
        <f>'Conjunto de Datos'!BB485</f>
        <v>527</v>
      </c>
      <c r="T484" s="15">
        <f>'Conjunto de Datos'!BF485</f>
        <v>483</v>
      </c>
      <c r="U484" s="6">
        <f>sala!I484</f>
        <v>1274</v>
      </c>
      <c r="V484" cm="1">
        <f t="array" ref="V484">SUM(IF(Cocina!A:A=Tabla8[[#This Row],[Numero de Orden]],Cocina!F:F*Cocina!G:G,0))</f>
        <v>81</v>
      </c>
      <c r="W484">
        <f>IF(Tabla8[[#This Row],[Cobrado]]="Cobrada",Tabla8[[#This Row],[Propina]]+Tabla8[[#This Row],[Precio Cena]],0)</f>
        <v>1355</v>
      </c>
      <c r="X484" t="str">
        <f>INDEX(sala!G:G, MATCH(Tabla8[[#This Row],[Numero de Orden]], sala!K:K, 0))</f>
        <v>Almuerzo</v>
      </c>
      <c r="Y484" t="str">
        <f>'Conjunto de Datos'!J485</f>
        <v>Cobrada</v>
      </c>
      <c r="Z484" t="str">
        <f>INDEX(sala!H:H, MATCH(Tabla8[[#This Row],[Numero de Orden]], sala!K:K, 0))</f>
        <v>Tarjeta de crédito</v>
      </c>
      <c r="AA484" s="3">
        <f>'Conjunto de Datos'!D485</f>
        <v>45022</v>
      </c>
      <c r="AB484" t="str">
        <f>INDEX(sala!L:L, MATCH(Tabla8[[#This Row],[Numero de Orden]], sala!K:K, 0))</f>
        <v>Ecuador</v>
      </c>
      <c r="AC484" t="str">
        <f>'Conjunto de Datos'!N485</f>
        <v>Mesero_1</v>
      </c>
      <c r="AD484">
        <f>Tabla8[[#This Row],[Propina]]+Tabla8[[#This Row],[Precio Cena]]</f>
        <v>1355</v>
      </c>
      <c r="AE484" s="45">
        <f t="shared" si="15"/>
        <v>81</v>
      </c>
    </row>
    <row r="485" spans="19:31" x14ac:dyDescent="0.3">
      <c r="S485" t="str">
        <f>'Conjunto de Datos'!BB486</f>
        <v>71</v>
      </c>
      <c r="T485">
        <f>'Conjunto de Datos'!BF486</f>
        <v>484</v>
      </c>
      <c r="U485" s="7">
        <f>sala!I485</f>
        <v>2276</v>
      </c>
      <c r="V485" cm="1">
        <f t="array" ref="V485">SUM(IF(Cocina!A:A=Tabla8[[#This Row],[Numero de Orden]],Cocina!F:F*Cocina!G:G,0))</f>
        <v>75</v>
      </c>
      <c r="W485">
        <f>IF(Tabla8[[#This Row],[Cobrado]]="Cobrada",Tabla8[[#This Row],[Propina]]+Tabla8[[#This Row],[Precio Cena]],0)</f>
        <v>2351</v>
      </c>
      <c r="X485" t="str">
        <f>INDEX(sala!G:G, MATCH(Tabla8[[#This Row],[Numero de Orden]], sala!K:K, 0))</f>
        <v>Almuerzo</v>
      </c>
      <c r="Y485" t="str">
        <f>'Conjunto de Datos'!J486</f>
        <v>Cobrada</v>
      </c>
      <c r="Z485" t="str">
        <f>INDEX(sala!H:H, MATCH(Tabla8[[#This Row],[Numero de Orden]], sala!K:K, 0))</f>
        <v>Tarjeta de crédito</v>
      </c>
      <c r="AA485" s="3">
        <f>'Conjunto de Datos'!D486</f>
        <v>45022</v>
      </c>
      <c r="AB485" t="str">
        <f>INDEX(sala!L:L, MATCH(Tabla8[[#This Row],[Numero de Orden]], sala!K:K, 0))</f>
        <v>Chile</v>
      </c>
      <c r="AC485" t="str">
        <f>'Conjunto de Datos'!N486</f>
        <v>Mesero_4</v>
      </c>
      <c r="AD485">
        <f>Tabla8[[#This Row],[Propina]]+Tabla8[[#This Row],[Precio Cena]]</f>
        <v>2351</v>
      </c>
      <c r="AE485" s="45">
        <f t="shared" si="15"/>
        <v>75</v>
      </c>
    </row>
    <row r="486" spans="19:31" x14ac:dyDescent="0.3">
      <c r="S486" s="15" t="str">
        <f>'Conjunto de Datos'!BB487</f>
        <v>524</v>
      </c>
      <c r="T486" s="15">
        <f>'Conjunto de Datos'!BF487</f>
        <v>485</v>
      </c>
      <c r="U486" s="6">
        <f>sala!I486</f>
        <v>3907</v>
      </c>
      <c r="V486" cm="1">
        <f t="array" ref="V486">SUM(IF(Cocina!A:A=Tabla8[[#This Row],[Numero de Orden]],Cocina!F:F*Cocina!G:G,0))</f>
        <v>144</v>
      </c>
      <c r="W486">
        <f>IF(Tabla8[[#This Row],[Cobrado]]="Cobrada",Tabla8[[#This Row],[Propina]]+Tabla8[[#This Row],[Precio Cena]],0)</f>
        <v>4051</v>
      </c>
      <c r="X486" t="str">
        <f>INDEX(sala!G:G, MATCH(Tabla8[[#This Row],[Numero de Orden]], sala!K:K, 0))</f>
        <v>Cena</v>
      </c>
      <c r="Y486" t="str">
        <f>'Conjunto de Datos'!J487</f>
        <v>Cobrada</v>
      </c>
      <c r="Z486" t="str">
        <f>INDEX(sala!H:H, MATCH(Tabla8[[#This Row],[Numero de Orden]], sala!K:K, 0))</f>
        <v>Tarjeta de crédito</v>
      </c>
      <c r="AA486" s="3">
        <f>'Conjunto de Datos'!D487</f>
        <v>45022</v>
      </c>
      <c r="AB486" t="str">
        <f>INDEX(sala!L:L, MATCH(Tabla8[[#This Row],[Numero de Orden]], sala!K:K, 0))</f>
        <v>Bolivia</v>
      </c>
      <c r="AC486" t="str">
        <f>'Conjunto de Datos'!N487</f>
        <v>Mesero_5</v>
      </c>
      <c r="AD486">
        <f>Tabla8[[#This Row],[Propina]]+Tabla8[[#This Row],[Precio Cena]]</f>
        <v>4051</v>
      </c>
      <c r="AE486" s="45">
        <f t="shared" si="15"/>
        <v>144</v>
      </c>
    </row>
    <row r="487" spans="19:31" x14ac:dyDescent="0.3">
      <c r="S487" t="str">
        <f>'Conjunto de Datos'!BB488</f>
        <v>437</v>
      </c>
      <c r="T487">
        <f>'Conjunto de Datos'!BF488</f>
        <v>486</v>
      </c>
      <c r="U487" s="7">
        <f>sala!I487</f>
        <v>1266</v>
      </c>
      <c r="V487" cm="1">
        <f t="array" ref="V487">SUM(IF(Cocina!A:A=Tabla8[[#This Row],[Numero de Orden]],Cocina!F:F*Cocina!G:G,0))</f>
        <v>150</v>
      </c>
      <c r="W487">
        <f>IF(Tabla8[[#This Row],[Cobrado]]="Cobrada",Tabla8[[#This Row],[Propina]]+Tabla8[[#This Row],[Precio Cena]],0)</f>
        <v>1416</v>
      </c>
      <c r="X487" t="str">
        <f>INDEX(sala!G:G, MATCH(Tabla8[[#This Row],[Numero de Orden]], sala!K:K, 0))</f>
        <v>Desayuno</v>
      </c>
      <c r="Y487" t="str">
        <f>'Conjunto de Datos'!J488</f>
        <v>Cobrada</v>
      </c>
      <c r="Z487" t="str">
        <f>INDEX(sala!H:H, MATCH(Tabla8[[#This Row],[Numero de Orden]], sala!K:K, 0))</f>
        <v>Tarjeta de débito</v>
      </c>
      <c r="AA487" s="3">
        <f>'Conjunto de Datos'!D488</f>
        <v>45022</v>
      </c>
      <c r="AB487" t="str">
        <f>INDEX(sala!L:L, MATCH(Tabla8[[#This Row],[Numero de Orden]], sala!K:K, 0))</f>
        <v>Colombia</v>
      </c>
      <c r="AC487" t="str">
        <f>'Conjunto de Datos'!N488</f>
        <v>Mesero_1</v>
      </c>
      <c r="AD487">
        <f>Tabla8[[#This Row],[Propina]]+Tabla8[[#This Row],[Precio Cena]]</f>
        <v>1416</v>
      </c>
      <c r="AE487" s="45">
        <f t="shared" si="15"/>
        <v>150</v>
      </c>
    </row>
    <row r="488" spans="19:31" x14ac:dyDescent="0.3">
      <c r="S488" s="15" t="str">
        <f>'Conjunto de Datos'!BB489</f>
        <v>946</v>
      </c>
      <c r="T488" s="15">
        <f>'Conjunto de Datos'!BF489</f>
        <v>487</v>
      </c>
      <c r="U488" s="6">
        <f>sala!I488</f>
        <v>4576</v>
      </c>
      <c r="V488" cm="1">
        <f t="array" ref="V488">SUM(IF(Cocina!A:A=Tabla8[[#This Row],[Numero de Orden]],Cocina!F:F*Cocina!G:G,0))</f>
        <v>152</v>
      </c>
      <c r="W488">
        <f>IF(Tabla8[[#This Row],[Cobrado]]="Cobrada",Tabla8[[#This Row],[Propina]]+Tabla8[[#This Row],[Precio Cena]],0)</f>
        <v>4728</v>
      </c>
      <c r="X488" t="str">
        <f>INDEX(sala!G:G, MATCH(Tabla8[[#This Row],[Numero de Orden]], sala!K:K, 0))</f>
        <v>Almuerzo</v>
      </c>
      <c r="Y488" t="str">
        <f>'Conjunto de Datos'!J489</f>
        <v>Cobrada</v>
      </c>
      <c r="Z488" t="str">
        <f>INDEX(sala!H:H, MATCH(Tabla8[[#This Row],[Numero de Orden]], sala!K:K, 0))</f>
        <v>Tarjeta de crédito</v>
      </c>
      <c r="AA488" s="3">
        <f>'Conjunto de Datos'!D489</f>
        <v>45022</v>
      </c>
      <c r="AB488" t="str">
        <f>INDEX(sala!L:L, MATCH(Tabla8[[#This Row],[Numero de Orden]], sala!K:K, 0))</f>
        <v>Paraguay</v>
      </c>
      <c r="AC488" t="str">
        <f>'Conjunto de Datos'!N489</f>
        <v>Mesero_1</v>
      </c>
      <c r="AD488">
        <f>Tabla8[[#This Row],[Propina]]+Tabla8[[#This Row],[Precio Cena]]</f>
        <v>4728</v>
      </c>
      <c r="AE488" s="45">
        <f t="shared" si="15"/>
        <v>152</v>
      </c>
    </row>
    <row r="489" spans="19:31" x14ac:dyDescent="0.3">
      <c r="S489" t="str">
        <f>'Conjunto de Datos'!BB490</f>
        <v>719</v>
      </c>
      <c r="T489">
        <f>'Conjunto de Datos'!BF490</f>
        <v>488</v>
      </c>
      <c r="U489" s="7">
        <f>sala!I489</f>
        <v>3738</v>
      </c>
      <c r="V489" cm="1">
        <f t="array" ref="V489">SUM(IF(Cocina!A:A=Tabla8[[#This Row],[Numero de Orden]],Cocina!F:F*Cocina!G:G,0))</f>
        <v>185</v>
      </c>
      <c r="W489">
        <f>IF(Tabla8[[#This Row],[Cobrado]]="Cobrada",Tabla8[[#This Row],[Propina]]+Tabla8[[#This Row],[Precio Cena]],0)</f>
        <v>0</v>
      </c>
      <c r="X489" t="str">
        <f>INDEX(sala!G:G, MATCH(Tabla8[[#This Row],[Numero de Orden]], sala!K:K, 0))</f>
        <v>Almuerzo</v>
      </c>
      <c r="Y489" t="str">
        <f>'Conjunto de Datos'!J490</f>
        <v>No Cobrada</v>
      </c>
      <c r="Z489" t="str">
        <f>INDEX(sala!H:H, MATCH(Tabla8[[#This Row],[Numero de Orden]], sala!K:K, 0))</f>
        <v>Tarjeta de débito</v>
      </c>
      <c r="AA489" s="3">
        <f>'Conjunto de Datos'!D490</f>
        <v>45022</v>
      </c>
      <c r="AB489" t="str">
        <f>INDEX(sala!L:L, MATCH(Tabla8[[#This Row],[Numero de Orden]], sala!K:K, 0))</f>
        <v>Argentina</v>
      </c>
      <c r="AC489" t="str">
        <f>'Conjunto de Datos'!N490</f>
        <v>Mesero_3</v>
      </c>
      <c r="AD489">
        <f>Tabla8[[#This Row],[Propina]]+Tabla8[[#This Row],[Precio Cena]]</f>
        <v>3923</v>
      </c>
      <c r="AE489" s="45">
        <f t="shared" si="15"/>
        <v>0</v>
      </c>
    </row>
    <row r="490" spans="19:31" x14ac:dyDescent="0.3">
      <c r="S490" s="15" t="str">
        <f>'Conjunto de Datos'!BB491</f>
        <v>354</v>
      </c>
      <c r="T490" s="15">
        <f>'Conjunto de Datos'!BF491</f>
        <v>489</v>
      </c>
      <c r="U490" s="6">
        <f>sala!I490</f>
        <v>2227</v>
      </c>
      <c r="V490" cm="1">
        <f t="array" ref="V490">SUM(IF(Cocina!A:A=Tabla8[[#This Row],[Numero de Orden]],Cocina!F:F*Cocina!G:G,0))</f>
        <v>149</v>
      </c>
      <c r="W490">
        <f>IF(Tabla8[[#This Row],[Cobrado]]="Cobrada",Tabla8[[#This Row],[Propina]]+Tabla8[[#This Row],[Precio Cena]],0)</f>
        <v>2376</v>
      </c>
      <c r="X490" t="str">
        <f>INDEX(sala!G:G, MATCH(Tabla8[[#This Row],[Numero de Orden]], sala!K:K, 0))</f>
        <v>Desayuno</v>
      </c>
      <c r="Y490" t="str">
        <f>'Conjunto de Datos'!J491</f>
        <v>Cobrada</v>
      </c>
      <c r="Z490" t="str">
        <f>INDEX(sala!H:H, MATCH(Tabla8[[#This Row],[Numero de Orden]], sala!K:K, 0))</f>
        <v>Tarjeta de crédito</v>
      </c>
      <c r="AA490" s="3">
        <f>'Conjunto de Datos'!D491</f>
        <v>45022</v>
      </c>
      <c r="AB490" t="str">
        <f>INDEX(sala!L:L, MATCH(Tabla8[[#This Row],[Numero de Orden]], sala!K:K, 0))</f>
        <v>Argentina</v>
      </c>
      <c r="AC490" t="str">
        <f>'Conjunto de Datos'!N491</f>
        <v>Mesero_3</v>
      </c>
      <c r="AD490">
        <f>Tabla8[[#This Row],[Propina]]+Tabla8[[#This Row],[Precio Cena]]</f>
        <v>2376</v>
      </c>
      <c r="AE490" s="45">
        <f t="shared" si="15"/>
        <v>149</v>
      </c>
    </row>
    <row r="491" spans="19:31" x14ac:dyDescent="0.3">
      <c r="S491" t="str">
        <f>'Conjunto de Datos'!BB492</f>
        <v>194</v>
      </c>
      <c r="T491">
        <f>'Conjunto de Datos'!BF492</f>
        <v>490</v>
      </c>
      <c r="U491" s="7">
        <f>sala!I491</f>
        <v>2679</v>
      </c>
      <c r="V491" cm="1">
        <f t="array" ref="V491">SUM(IF(Cocina!A:A=Tabla8[[#This Row],[Numero de Orden]],Cocina!F:F*Cocina!G:G,0))</f>
        <v>212</v>
      </c>
      <c r="W491">
        <f>IF(Tabla8[[#This Row],[Cobrado]]="Cobrada",Tabla8[[#This Row],[Propina]]+Tabla8[[#This Row],[Precio Cena]],0)</f>
        <v>0</v>
      </c>
      <c r="X491" t="str">
        <f>INDEX(sala!G:G, MATCH(Tabla8[[#This Row],[Numero de Orden]], sala!K:K, 0))</f>
        <v>Almuerzo</v>
      </c>
      <c r="Y491" t="str">
        <f>'Conjunto de Datos'!J492</f>
        <v>No Cobrada</v>
      </c>
      <c r="Z491" t="str">
        <f>INDEX(sala!H:H, MATCH(Tabla8[[#This Row],[Numero de Orden]], sala!K:K, 0))</f>
        <v>Tarjeta de crédito</v>
      </c>
      <c r="AA491" s="3">
        <f>'Conjunto de Datos'!D492</f>
        <v>45022</v>
      </c>
      <c r="AB491" t="str">
        <f>INDEX(sala!L:L, MATCH(Tabla8[[#This Row],[Numero de Orden]], sala!K:K, 0))</f>
        <v>Colombia</v>
      </c>
      <c r="AC491" t="str">
        <f>'Conjunto de Datos'!N492</f>
        <v>Mesero_5</v>
      </c>
      <c r="AD491">
        <f>Tabla8[[#This Row],[Propina]]+Tabla8[[#This Row],[Precio Cena]]</f>
        <v>2891</v>
      </c>
      <c r="AE491" s="45">
        <f t="shared" si="15"/>
        <v>0</v>
      </c>
    </row>
    <row r="492" spans="19:31" x14ac:dyDescent="0.3">
      <c r="S492" s="15" t="str">
        <f>'Conjunto de Datos'!BB493</f>
        <v>160</v>
      </c>
      <c r="T492" s="15">
        <f>'Conjunto de Datos'!BF493</f>
        <v>491</v>
      </c>
      <c r="U492" s="6">
        <f>sala!I492</f>
        <v>3468</v>
      </c>
      <c r="V492" cm="1">
        <f t="array" ref="V492">SUM(IF(Cocina!A:A=Tabla8[[#This Row],[Numero de Orden]],Cocina!F:F*Cocina!G:G,0))</f>
        <v>118</v>
      </c>
      <c r="W492">
        <f>IF(Tabla8[[#This Row],[Cobrado]]="Cobrada",Tabla8[[#This Row],[Propina]]+Tabla8[[#This Row],[Precio Cena]],0)</f>
        <v>3586</v>
      </c>
      <c r="X492" t="str">
        <f>INDEX(sala!G:G, MATCH(Tabla8[[#This Row],[Numero de Orden]], sala!K:K, 0))</f>
        <v>Desayuno</v>
      </c>
      <c r="Y492" t="str">
        <f>'Conjunto de Datos'!J493</f>
        <v>Cobrada</v>
      </c>
      <c r="Z492" t="str">
        <f>INDEX(sala!H:H, MATCH(Tabla8[[#This Row],[Numero de Orden]], sala!K:K, 0))</f>
        <v>Tarjeta de crédito</v>
      </c>
      <c r="AA492" s="3">
        <f>'Conjunto de Datos'!D493</f>
        <v>45022</v>
      </c>
      <c r="AB492" t="str">
        <f>INDEX(sala!L:L, MATCH(Tabla8[[#This Row],[Numero de Orden]], sala!K:K, 0))</f>
        <v>España</v>
      </c>
      <c r="AC492" t="str">
        <f>'Conjunto de Datos'!N493</f>
        <v>Mesero_4</v>
      </c>
      <c r="AD492">
        <f>Tabla8[[#This Row],[Propina]]+Tabla8[[#This Row],[Precio Cena]]</f>
        <v>3586</v>
      </c>
      <c r="AE492" s="45">
        <f t="shared" si="15"/>
        <v>118</v>
      </c>
    </row>
    <row r="493" spans="19:31" x14ac:dyDescent="0.3">
      <c r="S493" t="str">
        <f>'Conjunto de Datos'!BB494</f>
        <v>363</v>
      </c>
      <c r="T493">
        <f>'Conjunto de Datos'!BF494</f>
        <v>492</v>
      </c>
      <c r="U493" s="7">
        <f>sala!I493</f>
        <v>1662</v>
      </c>
      <c r="V493" cm="1">
        <f t="array" ref="V493">SUM(IF(Cocina!A:A=Tabla8[[#This Row],[Numero de Orden]],Cocina!F:F*Cocina!G:G,0))</f>
        <v>210</v>
      </c>
      <c r="W493">
        <f>IF(Tabla8[[#This Row],[Cobrado]]="Cobrada",Tabla8[[#This Row],[Propina]]+Tabla8[[#This Row],[Precio Cena]],0)</f>
        <v>1872</v>
      </c>
      <c r="X493" t="str">
        <f>INDEX(sala!G:G, MATCH(Tabla8[[#This Row],[Numero de Orden]], sala!K:K, 0))</f>
        <v>Almuerzo</v>
      </c>
      <c r="Y493" t="str">
        <f>'Conjunto de Datos'!J494</f>
        <v>Cobrada</v>
      </c>
      <c r="Z493" t="str">
        <f>INDEX(sala!H:H, MATCH(Tabla8[[#This Row],[Numero de Orden]], sala!K:K, 0))</f>
        <v>Tarjeta de crédito</v>
      </c>
      <c r="AA493" s="3">
        <f>'Conjunto de Datos'!D494</f>
        <v>45022</v>
      </c>
      <c r="AB493" t="str">
        <f>INDEX(sala!L:L, MATCH(Tabla8[[#This Row],[Numero de Orden]], sala!K:K, 0))</f>
        <v>Colombia</v>
      </c>
      <c r="AC493" t="str">
        <f>'Conjunto de Datos'!N494</f>
        <v>Mesero_1</v>
      </c>
      <c r="AD493">
        <f>Tabla8[[#This Row],[Propina]]+Tabla8[[#This Row],[Precio Cena]]</f>
        <v>1872</v>
      </c>
      <c r="AE493" s="45">
        <f t="shared" si="15"/>
        <v>210</v>
      </c>
    </row>
    <row r="494" spans="19:31" x14ac:dyDescent="0.3">
      <c r="S494" s="15" t="str">
        <f>'Conjunto de Datos'!BB495</f>
        <v>140</v>
      </c>
      <c r="T494" s="15">
        <f>'Conjunto de Datos'!BF495</f>
        <v>493</v>
      </c>
      <c r="U494" s="6">
        <f>sala!I494</f>
        <v>3267</v>
      </c>
      <c r="V494" cm="1">
        <f t="array" ref="V494">SUM(IF(Cocina!A:A=Tabla8[[#This Row],[Numero de Orden]],Cocina!F:F*Cocina!G:G,0))</f>
        <v>54</v>
      </c>
      <c r="W494">
        <f>IF(Tabla8[[#This Row],[Cobrado]]="Cobrada",Tabla8[[#This Row],[Propina]]+Tabla8[[#This Row],[Precio Cena]],0)</f>
        <v>3321</v>
      </c>
      <c r="X494" t="str">
        <f>INDEX(sala!G:G, MATCH(Tabla8[[#This Row],[Numero de Orden]], sala!K:K, 0))</f>
        <v>Almuerzo</v>
      </c>
      <c r="Y494" t="str">
        <f>'Conjunto de Datos'!J495</f>
        <v>Cobrada</v>
      </c>
      <c r="Z494" t="str">
        <f>INDEX(sala!H:H, MATCH(Tabla8[[#This Row],[Numero de Orden]], sala!K:K, 0))</f>
        <v>Tarjeta de crédito</v>
      </c>
      <c r="AA494" s="3">
        <f>'Conjunto de Datos'!D495</f>
        <v>45022</v>
      </c>
      <c r="AB494" t="str">
        <f>INDEX(sala!L:L, MATCH(Tabla8[[#This Row],[Numero de Orden]], sala!K:K, 0))</f>
        <v>Perú</v>
      </c>
      <c r="AC494" t="str">
        <f>'Conjunto de Datos'!N495</f>
        <v>Mesero_5</v>
      </c>
      <c r="AD494">
        <f>Tabla8[[#This Row],[Propina]]+Tabla8[[#This Row],[Precio Cena]]</f>
        <v>3321</v>
      </c>
      <c r="AE494" s="45">
        <f t="shared" si="15"/>
        <v>54</v>
      </c>
    </row>
    <row r="495" spans="19:31" x14ac:dyDescent="0.3">
      <c r="S495" t="str">
        <f>'Conjunto de Datos'!BB496</f>
        <v>546</v>
      </c>
      <c r="T495">
        <f>'Conjunto de Datos'!BF496</f>
        <v>494</v>
      </c>
      <c r="U495" s="7">
        <f>sala!I495</f>
        <v>1185</v>
      </c>
      <c r="V495" cm="1">
        <f t="array" ref="V495">SUM(IF(Cocina!A:A=Tabla8[[#This Row],[Numero de Orden]],Cocina!F:F*Cocina!G:G,0))</f>
        <v>172</v>
      </c>
      <c r="W495">
        <f>IF(Tabla8[[#This Row],[Cobrado]]="Cobrada",Tabla8[[#This Row],[Propina]]+Tabla8[[#This Row],[Precio Cena]],0)</f>
        <v>1357</v>
      </c>
      <c r="X495" t="str">
        <f>INDEX(sala!G:G, MATCH(Tabla8[[#This Row],[Numero de Orden]], sala!K:K, 0))</f>
        <v>Desayuno</v>
      </c>
      <c r="Y495" t="str">
        <f>'Conjunto de Datos'!J496</f>
        <v>Cobrada</v>
      </c>
      <c r="Z495" t="str">
        <f>INDEX(sala!H:H, MATCH(Tabla8[[#This Row],[Numero de Orden]], sala!K:K, 0))</f>
        <v>Tarjeta de crédito</v>
      </c>
      <c r="AA495" s="3">
        <f>'Conjunto de Datos'!D496</f>
        <v>45022</v>
      </c>
      <c r="AB495" t="str">
        <f>INDEX(sala!L:L, MATCH(Tabla8[[#This Row],[Numero de Orden]], sala!K:K, 0))</f>
        <v>Paraguay</v>
      </c>
      <c r="AC495" t="str">
        <f>'Conjunto de Datos'!N496</f>
        <v>Mesero_1</v>
      </c>
      <c r="AD495">
        <f>Tabla8[[#This Row],[Propina]]+Tabla8[[#This Row],[Precio Cena]]</f>
        <v>1357</v>
      </c>
      <c r="AE495" s="45">
        <f t="shared" si="15"/>
        <v>172</v>
      </c>
    </row>
    <row r="496" spans="19:31" x14ac:dyDescent="0.3">
      <c r="S496" s="15" t="str">
        <f>'Conjunto de Datos'!BB497</f>
        <v>778</v>
      </c>
      <c r="T496" s="15">
        <f>'Conjunto de Datos'!BF497</f>
        <v>495</v>
      </c>
      <c r="U496" s="6">
        <f>sala!I496</f>
        <v>3396</v>
      </c>
      <c r="V496" cm="1">
        <f t="array" ref="V496">SUM(IF(Cocina!A:A=Tabla8[[#This Row],[Numero de Orden]],Cocina!F:F*Cocina!G:G,0))</f>
        <v>263</v>
      </c>
      <c r="W496">
        <f>IF(Tabla8[[#This Row],[Cobrado]]="Cobrada",Tabla8[[#This Row],[Propina]]+Tabla8[[#This Row],[Precio Cena]],0)</f>
        <v>3659</v>
      </c>
      <c r="X496" t="str">
        <f>INDEX(sala!G:G, MATCH(Tabla8[[#This Row],[Numero de Orden]], sala!K:K, 0))</f>
        <v>Desayuno</v>
      </c>
      <c r="Y496" t="str">
        <f>'Conjunto de Datos'!J497</f>
        <v>Cobrada</v>
      </c>
      <c r="Z496" t="str">
        <f>INDEX(sala!H:H, MATCH(Tabla8[[#This Row],[Numero de Orden]], sala!K:K, 0))</f>
        <v>Tarjeta de crédito</v>
      </c>
      <c r="AA496" s="3">
        <f>'Conjunto de Datos'!D497</f>
        <v>45022</v>
      </c>
      <c r="AB496" t="str">
        <f>INDEX(sala!L:L, MATCH(Tabla8[[#This Row],[Numero de Orden]], sala!K:K, 0))</f>
        <v>Venezuela</v>
      </c>
      <c r="AC496" t="str">
        <f>'Conjunto de Datos'!N497</f>
        <v>Mesero_2</v>
      </c>
      <c r="AD496">
        <f>Tabla8[[#This Row],[Propina]]+Tabla8[[#This Row],[Precio Cena]]</f>
        <v>3659</v>
      </c>
      <c r="AE496" s="45">
        <f t="shared" si="15"/>
        <v>263</v>
      </c>
    </row>
    <row r="497" spans="19:31" x14ac:dyDescent="0.3">
      <c r="S497" t="str">
        <f>'Conjunto de Datos'!BB498</f>
        <v>402</v>
      </c>
      <c r="T497">
        <f>'Conjunto de Datos'!BF498</f>
        <v>496</v>
      </c>
      <c r="U497" s="7">
        <f>sala!I497</f>
        <v>3942</v>
      </c>
      <c r="V497" cm="1">
        <f t="array" ref="V497">SUM(IF(Cocina!A:A=Tabla8[[#This Row],[Numero de Orden]],Cocina!F:F*Cocina!G:G,0))</f>
        <v>223</v>
      </c>
      <c r="W497">
        <f>IF(Tabla8[[#This Row],[Cobrado]]="Cobrada",Tabla8[[#This Row],[Propina]]+Tabla8[[#This Row],[Precio Cena]],0)</f>
        <v>4165</v>
      </c>
      <c r="X497" t="str">
        <f>INDEX(sala!G:G, MATCH(Tabla8[[#This Row],[Numero de Orden]], sala!K:K, 0))</f>
        <v>Almuerzo</v>
      </c>
      <c r="Y497" t="str">
        <f>'Conjunto de Datos'!J498</f>
        <v>Cobrada</v>
      </c>
      <c r="Z497" t="str">
        <f>INDEX(sala!H:H, MATCH(Tabla8[[#This Row],[Numero de Orden]], sala!K:K, 0))</f>
        <v>Tarjeta de crédito</v>
      </c>
      <c r="AA497" s="3">
        <f>'Conjunto de Datos'!D498</f>
        <v>45022</v>
      </c>
      <c r="AB497" t="str">
        <f>INDEX(sala!L:L, MATCH(Tabla8[[#This Row],[Numero de Orden]], sala!K:K, 0))</f>
        <v>Argentina</v>
      </c>
      <c r="AC497" t="str">
        <f>'Conjunto de Datos'!N498</f>
        <v>Mesero_1</v>
      </c>
      <c r="AD497">
        <f>Tabla8[[#This Row],[Propina]]+Tabla8[[#This Row],[Precio Cena]]</f>
        <v>4165</v>
      </c>
      <c r="AE497" s="45">
        <f t="shared" si="15"/>
        <v>223</v>
      </c>
    </row>
    <row r="498" spans="19:31" x14ac:dyDescent="0.3">
      <c r="S498" s="15" t="str">
        <f>'Conjunto de Datos'!BB499</f>
        <v>784</v>
      </c>
      <c r="T498" s="15">
        <f>'Conjunto de Datos'!BF499</f>
        <v>497</v>
      </c>
      <c r="U498" s="6">
        <f>sala!I498</f>
        <v>2993</v>
      </c>
      <c r="V498" cm="1">
        <f t="array" ref="V498">SUM(IF(Cocina!A:A=Tabla8[[#This Row],[Numero de Orden]],Cocina!F:F*Cocina!G:G,0))</f>
        <v>150</v>
      </c>
      <c r="W498">
        <f>IF(Tabla8[[#This Row],[Cobrado]]="Cobrada",Tabla8[[#This Row],[Propina]]+Tabla8[[#This Row],[Precio Cena]],0)</f>
        <v>3143</v>
      </c>
      <c r="X498" t="str">
        <f>INDEX(sala!G:G, MATCH(Tabla8[[#This Row],[Numero de Orden]], sala!K:K, 0))</f>
        <v>Almuerzo</v>
      </c>
      <c r="Y498" t="str">
        <f>'Conjunto de Datos'!J499</f>
        <v>Cobrada</v>
      </c>
      <c r="Z498" t="str">
        <f>INDEX(sala!H:H, MATCH(Tabla8[[#This Row],[Numero de Orden]], sala!K:K, 0))</f>
        <v>Tarjeta de débito</v>
      </c>
      <c r="AA498" s="3">
        <f>'Conjunto de Datos'!D499</f>
        <v>45022</v>
      </c>
      <c r="AB498" t="str">
        <f>INDEX(sala!L:L, MATCH(Tabla8[[#This Row],[Numero de Orden]], sala!K:K, 0))</f>
        <v>Argentina</v>
      </c>
      <c r="AC498" t="str">
        <f>'Conjunto de Datos'!N499</f>
        <v>Mesero_3</v>
      </c>
      <c r="AD498">
        <f>Tabla8[[#This Row],[Propina]]+Tabla8[[#This Row],[Precio Cena]]</f>
        <v>3143</v>
      </c>
      <c r="AE498" s="45">
        <f t="shared" si="15"/>
        <v>150</v>
      </c>
    </row>
    <row r="499" spans="19:31" x14ac:dyDescent="0.3">
      <c r="S499" t="str">
        <f>'Conjunto de Datos'!BB500</f>
        <v>259</v>
      </c>
      <c r="T499">
        <f>'Conjunto de Datos'!BF500</f>
        <v>498</v>
      </c>
      <c r="U499" s="7">
        <f>sala!I499</f>
        <v>2199</v>
      </c>
      <c r="V499" cm="1">
        <f t="array" ref="V499">SUM(IF(Cocina!A:A=Tabla8[[#This Row],[Numero de Orden]],Cocina!F:F*Cocina!G:G,0))</f>
        <v>19</v>
      </c>
      <c r="W499">
        <f>IF(Tabla8[[#This Row],[Cobrado]]="Cobrada",Tabla8[[#This Row],[Propina]]+Tabla8[[#This Row],[Precio Cena]],0)</f>
        <v>2218</v>
      </c>
      <c r="X499" t="str">
        <f>INDEX(sala!G:G, MATCH(Tabla8[[#This Row],[Numero de Orden]], sala!K:K, 0))</f>
        <v>Almuerzo</v>
      </c>
      <c r="Y499" t="str">
        <f>'Conjunto de Datos'!J500</f>
        <v>Cobrada</v>
      </c>
      <c r="Z499" t="str">
        <f>INDEX(sala!H:H, MATCH(Tabla8[[#This Row],[Numero de Orden]], sala!K:K, 0))</f>
        <v>Tarjeta de crédito</v>
      </c>
      <c r="AA499" s="3">
        <f>'Conjunto de Datos'!D500</f>
        <v>45022</v>
      </c>
      <c r="AB499" t="str">
        <f>INDEX(sala!L:L, MATCH(Tabla8[[#This Row],[Numero de Orden]], sala!K:K, 0))</f>
        <v>España</v>
      </c>
      <c r="AC499" t="str">
        <f>'Conjunto de Datos'!N500</f>
        <v>Mesero_3</v>
      </c>
      <c r="AD499">
        <f>Tabla8[[#This Row],[Propina]]+Tabla8[[#This Row],[Precio Cena]]</f>
        <v>2218</v>
      </c>
      <c r="AE499" s="45">
        <f t="shared" si="15"/>
        <v>19</v>
      </c>
    </row>
    <row r="500" spans="19:31" x14ac:dyDescent="0.3">
      <c r="S500" s="15" t="str">
        <f>'Conjunto de Datos'!BB501</f>
        <v>919</v>
      </c>
      <c r="T500" s="15">
        <f>'Conjunto de Datos'!BF501</f>
        <v>499</v>
      </c>
      <c r="U500" s="6">
        <f>sala!I500</f>
        <v>2269</v>
      </c>
      <c r="V500" cm="1">
        <f t="array" ref="V500">SUM(IF(Cocina!A:A=Tabla8[[#This Row],[Numero de Orden]],Cocina!F:F*Cocina!G:G,0))</f>
        <v>158</v>
      </c>
      <c r="W500">
        <f>IF(Tabla8[[#This Row],[Cobrado]]="Cobrada",Tabla8[[#This Row],[Propina]]+Tabla8[[#This Row],[Precio Cena]],0)</f>
        <v>2427</v>
      </c>
      <c r="X500" t="str">
        <f>INDEX(sala!G:G, MATCH(Tabla8[[#This Row],[Numero de Orden]], sala!K:K, 0))</f>
        <v>Cena</v>
      </c>
      <c r="Y500" t="str">
        <f>'Conjunto de Datos'!J501</f>
        <v>Cobrada</v>
      </c>
      <c r="Z500" t="str">
        <f>INDEX(sala!H:H, MATCH(Tabla8[[#This Row],[Numero de Orden]], sala!K:K, 0))</f>
        <v>Tarjeta de débito</v>
      </c>
      <c r="AA500" s="3">
        <f>'Conjunto de Datos'!D501</f>
        <v>45022</v>
      </c>
      <c r="AB500" t="str">
        <f>INDEX(sala!L:L, MATCH(Tabla8[[#This Row],[Numero de Orden]], sala!K:K, 0))</f>
        <v>Brasil</v>
      </c>
      <c r="AC500" t="str">
        <f>'Conjunto de Datos'!N501</f>
        <v>Mesero_2</v>
      </c>
      <c r="AD500">
        <f>Tabla8[[#This Row],[Propina]]+Tabla8[[#This Row],[Precio Cena]]</f>
        <v>2427</v>
      </c>
      <c r="AE500" s="45">
        <f t="shared" si="15"/>
        <v>158</v>
      </c>
    </row>
    <row r="501" spans="19:31" x14ac:dyDescent="0.3">
      <c r="S501" t="str">
        <f>'Conjunto de Datos'!BB502</f>
        <v>354</v>
      </c>
      <c r="T501">
        <f>'Conjunto de Datos'!BF502</f>
        <v>500</v>
      </c>
      <c r="U501" s="7">
        <f>sala!I501</f>
        <v>3762</v>
      </c>
      <c r="V501" cm="1">
        <f t="array" ref="V501">SUM(IF(Cocina!A:A=Tabla8[[#This Row],[Numero de Orden]],Cocina!F:F*Cocina!G:G,0))</f>
        <v>93</v>
      </c>
      <c r="W501">
        <f>IF(Tabla8[[#This Row],[Cobrado]]="Cobrada",Tabla8[[#This Row],[Propina]]+Tabla8[[#This Row],[Precio Cena]],0)</f>
        <v>3855</v>
      </c>
      <c r="X501" t="str">
        <f>INDEX(sala!G:G, MATCH(Tabla8[[#This Row],[Numero de Orden]], sala!K:K, 0))</f>
        <v>Desayuno</v>
      </c>
      <c r="Y501" t="str">
        <f>'Conjunto de Datos'!J502</f>
        <v>Cobrada</v>
      </c>
      <c r="Z501" t="str">
        <f>INDEX(sala!H:H, MATCH(Tabla8[[#This Row],[Numero de Orden]], sala!K:K, 0))</f>
        <v>Tarjeta de débito</v>
      </c>
      <c r="AA501" s="3">
        <f>'Conjunto de Datos'!D502</f>
        <v>45022</v>
      </c>
      <c r="AB501" t="str">
        <f>INDEX(sala!L:L, MATCH(Tabla8[[#This Row],[Numero de Orden]], sala!K:K, 0))</f>
        <v>Argentina</v>
      </c>
      <c r="AC501" t="str">
        <f>'Conjunto de Datos'!N502</f>
        <v>Mesero_4</v>
      </c>
      <c r="AD501">
        <f>Tabla8[[#This Row],[Propina]]+Tabla8[[#This Row],[Precio Cena]]</f>
        <v>3855</v>
      </c>
      <c r="AE501" s="45">
        <f t="shared" si="15"/>
        <v>93</v>
      </c>
    </row>
    <row r="502" spans="19:31" x14ac:dyDescent="0.3">
      <c r="S502" s="15" t="str">
        <f>'Conjunto de Datos'!BB503</f>
        <v>637</v>
      </c>
      <c r="T502" s="15">
        <f>'Conjunto de Datos'!BF503</f>
        <v>501</v>
      </c>
      <c r="U502" s="6">
        <f>sala!I502</f>
        <v>2838</v>
      </c>
      <c r="V502" cm="1">
        <f t="array" ref="V502">SUM(IF(Cocina!A:A=Tabla8[[#This Row],[Numero de Orden]],Cocina!F:F*Cocina!G:G,0))</f>
        <v>138</v>
      </c>
      <c r="W502">
        <f>IF(Tabla8[[#This Row],[Cobrado]]="Cobrada",Tabla8[[#This Row],[Propina]]+Tabla8[[#This Row],[Precio Cena]],0)</f>
        <v>2976</v>
      </c>
      <c r="X502" t="str">
        <f>INDEX(sala!G:G, MATCH(Tabla8[[#This Row],[Numero de Orden]], sala!K:K, 0))</f>
        <v>Cena</v>
      </c>
      <c r="Y502" t="str">
        <f>'Conjunto de Datos'!J503</f>
        <v>Cobrada</v>
      </c>
      <c r="Z502" t="str">
        <f>INDEX(sala!H:H, MATCH(Tabla8[[#This Row],[Numero de Orden]], sala!K:K, 0))</f>
        <v>Tarjeta de crédito</v>
      </c>
      <c r="AA502" s="3">
        <f>'Conjunto de Datos'!D503</f>
        <v>45022</v>
      </c>
      <c r="AB502" t="str">
        <f>INDEX(sala!L:L, MATCH(Tabla8[[#This Row],[Numero de Orden]], sala!K:K, 0))</f>
        <v>Venezuela</v>
      </c>
      <c r="AC502" t="str">
        <f>'Conjunto de Datos'!N503</f>
        <v>Mesero_1</v>
      </c>
      <c r="AD502">
        <f>Tabla8[[#This Row],[Propina]]+Tabla8[[#This Row],[Precio Cena]]</f>
        <v>2976</v>
      </c>
      <c r="AE502" s="45">
        <f t="shared" si="15"/>
        <v>138</v>
      </c>
    </row>
    <row r="503" spans="19:31" x14ac:dyDescent="0.3">
      <c r="S503" t="str">
        <f>'Conjunto de Datos'!BB504</f>
        <v>759</v>
      </c>
      <c r="T503">
        <f>'Conjunto de Datos'!BF504</f>
        <v>502</v>
      </c>
      <c r="U503" s="7">
        <f>sala!I503</f>
        <v>329</v>
      </c>
      <c r="V503" cm="1">
        <f t="array" ref="V503">SUM(IF(Cocina!A:A=Tabla8[[#This Row],[Numero de Orden]],Cocina!F:F*Cocina!G:G,0))</f>
        <v>139</v>
      </c>
      <c r="W503">
        <f>IF(Tabla8[[#This Row],[Cobrado]]="Cobrada",Tabla8[[#This Row],[Propina]]+Tabla8[[#This Row],[Precio Cena]],0)</f>
        <v>0</v>
      </c>
      <c r="X503" t="str">
        <f>INDEX(sala!G:G, MATCH(Tabla8[[#This Row],[Numero de Orden]], sala!K:K, 0))</f>
        <v>Almuerzo</v>
      </c>
      <c r="Y503" t="str">
        <f>'Conjunto de Datos'!J504</f>
        <v>No Cobrada</v>
      </c>
      <c r="Z503" t="str">
        <f>INDEX(sala!H:H, MATCH(Tabla8[[#This Row],[Numero de Orden]], sala!K:K, 0))</f>
        <v>Tarjeta de crédito</v>
      </c>
      <c r="AA503" s="3">
        <f>'Conjunto de Datos'!D504</f>
        <v>45022</v>
      </c>
      <c r="AB503" t="str">
        <f>INDEX(sala!L:L, MATCH(Tabla8[[#This Row],[Numero de Orden]], sala!K:K, 0))</f>
        <v>Bolivia</v>
      </c>
      <c r="AC503" t="str">
        <f>'Conjunto de Datos'!N504</f>
        <v>Mesero_5</v>
      </c>
      <c r="AD503">
        <f>Tabla8[[#This Row],[Propina]]+Tabla8[[#This Row],[Precio Cena]]</f>
        <v>468</v>
      </c>
      <c r="AE503" s="45">
        <f t="shared" si="15"/>
        <v>0</v>
      </c>
    </row>
    <row r="504" spans="19:31" x14ac:dyDescent="0.3">
      <c r="S504" s="15" t="str">
        <f>'Conjunto de Datos'!BB505</f>
        <v>948</v>
      </c>
      <c r="T504" s="15">
        <f>'Conjunto de Datos'!BF505</f>
        <v>503</v>
      </c>
      <c r="U504" s="6">
        <f>sala!I504</f>
        <v>3584</v>
      </c>
      <c r="V504" cm="1">
        <f t="array" ref="V504">SUM(IF(Cocina!A:A=Tabla8[[#This Row],[Numero de Orden]],Cocina!F:F*Cocina!G:G,0))</f>
        <v>137</v>
      </c>
      <c r="W504">
        <f>IF(Tabla8[[#This Row],[Cobrado]]="Cobrada",Tabla8[[#This Row],[Propina]]+Tabla8[[#This Row],[Precio Cena]],0)</f>
        <v>3721</v>
      </c>
      <c r="X504" t="str">
        <f>INDEX(sala!G:G, MATCH(Tabla8[[#This Row],[Numero de Orden]], sala!K:K, 0))</f>
        <v>Almuerzo</v>
      </c>
      <c r="Y504" t="str">
        <f>'Conjunto de Datos'!J505</f>
        <v>Cobrada</v>
      </c>
      <c r="Z504" t="str">
        <f>INDEX(sala!H:H, MATCH(Tabla8[[#This Row],[Numero de Orden]], sala!K:K, 0))</f>
        <v>Tarjeta de crédito</v>
      </c>
      <c r="AA504" s="3">
        <f>'Conjunto de Datos'!D505</f>
        <v>45022</v>
      </c>
      <c r="AB504" t="str">
        <f>INDEX(sala!L:L, MATCH(Tabla8[[#This Row],[Numero de Orden]], sala!K:K, 0))</f>
        <v>España</v>
      </c>
      <c r="AC504" t="str">
        <f>'Conjunto de Datos'!N505</f>
        <v>Mesero_3</v>
      </c>
      <c r="AD504">
        <f>Tabla8[[#This Row],[Propina]]+Tabla8[[#This Row],[Precio Cena]]</f>
        <v>3721</v>
      </c>
      <c r="AE504" s="45">
        <f t="shared" si="15"/>
        <v>137</v>
      </c>
    </row>
    <row r="505" spans="19:31" x14ac:dyDescent="0.3">
      <c r="S505" t="str">
        <f>'Conjunto de Datos'!BB506</f>
        <v>172</v>
      </c>
      <c r="T505">
        <f>'Conjunto de Datos'!BF506</f>
        <v>504</v>
      </c>
      <c r="U505" s="7">
        <f>sala!I505</f>
        <v>3131</v>
      </c>
      <c r="V505" cm="1">
        <f t="array" ref="V505">SUM(IF(Cocina!A:A=Tabla8[[#This Row],[Numero de Orden]],Cocina!F:F*Cocina!G:G,0))</f>
        <v>54</v>
      </c>
      <c r="W505">
        <f>IF(Tabla8[[#This Row],[Cobrado]]="Cobrada",Tabla8[[#This Row],[Propina]]+Tabla8[[#This Row],[Precio Cena]],0)</f>
        <v>3185</v>
      </c>
      <c r="X505" t="str">
        <f>INDEX(sala!G:G, MATCH(Tabla8[[#This Row],[Numero de Orden]], sala!K:K, 0))</f>
        <v>Cena</v>
      </c>
      <c r="Y505" t="str">
        <f>'Conjunto de Datos'!J506</f>
        <v>Cobrada</v>
      </c>
      <c r="Z505" t="str">
        <f>INDEX(sala!H:H, MATCH(Tabla8[[#This Row],[Numero de Orden]], sala!K:K, 0))</f>
        <v>Efectivo</v>
      </c>
      <c r="AA505" s="3">
        <f>'Conjunto de Datos'!D506</f>
        <v>45022</v>
      </c>
      <c r="AB505" t="str">
        <f>INDEX(sala!L:L, MATCH(Tabla8[[#This Row],[Numero de Orden]], sala!K:K, 0))</f>
        <v>Brasil</v>
      </c>
      <c r="AC505" t="str">
        <f>'Conjunto de Datos'!N506</f>
        <v>Mesero_5</v>
      </c>
      <c r="AD505">
        <f>Tabla8[[#This Row],[Propina]]+Tabla8[[#This Row],[Precio Cena]]</f>
        <v>3185</v>
      </c>
      <c r="AE505" s="45">
        <f t="shared" si="15"/>
        <v>54</v>
      </c>
    </row>
    <row r="506" spans="19:31" x14ac:dyDescent="0.3">
      <c r="S506" s="15" t="str">
        <f>'Conjunto de Datos'!BB507</f>
        <v>70</v>
      </c>
      <c r="T506" s="15">
        <f>'Conjunto de Datos'!BF507</f>
        <v>505</v>
      </c>
      <c r="U506" s="6">
        <f>sala!I506</f>
        <v>2576</v>
      </c>
      <c r="V506" cm="1">
        <f t="array" ref="V506">SUM(IF(Cocina!A:A=Tabla8[[#This Row],[Numero de Orden]],Cocina!F:F*Cocina!G:G,0))</f>
        <v>155</v>
      </c>
      <c r="W506">
        <f>IF(Tabla8[[#This Row],[Cobrado]]="Cobrada",Tabla8[[#This Row],[Propina]]+Tabla8[[#This Row],[Precio Cena]],0)</f>
        <v>2731</v>
      </c>
      <c r="X506" t="str">
        <f>INDEX(sala!G:G, MATCH(Tabla8[[#This Row],[Numero de Orden]], sala!K:K, 0))</f>
        <v>Cena</v>
      </c>
      <c r="Y506" t="str">
        <f>'Conjunto de Datos'!J507</f>
        <v>Cobrada</v>
      </c>
      <c r="Z506" t="str">
        <f>INDEX(sala!H:H, MATCH(Tabla8[[#This Row],[Numero de Orden]], sala!K:K, 0))</f>
        <v>Tarjeta de crédito</v>
      </c>
      <c r="AA506" s="3">
        <f>'Conjunto de Datos'!D507</f>
        <v>45022</v>
      </c>
      <c r="AB506" t="str">
        <f>INDEX(sala!L:L, MATCH(Tabla8[[#This Row],[Numero de Orden]], sala!K:K, 0))</f>
        <v>Colombia</v>
      </c>
      <c r="AC506" t="str">
        <f>'Conjunto de Datos'!N507</f>
        <v>Mesero_2</v>
      </c>
      <c r="AD506">
        <f>Tabla8[[#This Row],[Propina]]+Tabla8[[#This Row],[Precio Cena]]</f>
        <v>2731</v>
      </c>
      <c r="AE506" s="45">
        <f t="shared" si="15"/>
        <v>155</v>
      </c>
    </row>
    <row r="507" spans="19:31" x14ac:dyDescent="0.3">
      <c r="S507" t="str">
        <f>'Conjunto de Datos'!BB508</f>
        <v>835</v>
      </c>
      <c r="T507">
        <f>'Conjunto de Datos'!BF508</f>
        <v>506</v>
      </c>
      <c r="U507" s="7">
        <f>sala!I507</f>
        <v>1165</v>
      </c>
      <c r="V507" cm="1">
        <f t="array" ref="V507">SUM(IF(Cocina!A:A=Tabla8[[#This Row],[Numero de Orden]],Cocina!F:F*Cocina!G:G,0))</f>
        <v>70</v>
      </c>
      <c r="W507">
        <f>IF(Tabla8[[#This Row],[Cobrado]]="Cobrada",Tabla8[[#This Row],[Propina]]+Tabla8[[#This Row],[Precio Cena]],0)</f>
        <v>1235</v>
      </c>
      <c r="X507" t="str">
        <f>INDEX(sala!G:G, MATCH(Tabla8[[#This Row],[Numero de Orden]], sala!K:K, 0))</f>
        <v>Cena</v>
      </c>
      <c r="Y507" t="str">
        <f>'Conjunto de Datos'!J508</f>
        <v>Cobrada</v>
      </c>
      <c r="Z507" t="str">
        <f>INDEX(sala!H:H, MATCH(Tabla8[[#This Row],[Numero de Orden]], sala!K:K, 0))</f>
        <v>Tarjeta de crédito</v>
      </c>
      <c r="AA507" s="3">
        <f>'Conjunto de Datos'!D508</f>
        <v>45022</v>
      </c>
      <c r="AB507" t="str">
        <f>INDEX(sala!L:L, MATCH(Tabla8[[#This Row],[Numero de Orden]], sala!K:K, 0))</f>
        <v>Paraguay</v>
      </c>
      <c r="AC507" t="str">
        <f>'Conjunto de Datos'!N508</f>
        <v>Mesero_3</v>
      </c>
      <c r="AD507">
        <f>Tabla8[[#This Row],[Propina]]+Tabla8[[#This Row],[Precio Cena]]</f>
        <v>1235</v>
      </c>
      <c r="AE507" s="45">
        <f t="shared" si="15"/>
        <v>70</v>
      </c>
    </row>
    <row r="508" spans="19:31" x14ac:dyDescent="0.3">
      <c r="S508" s="15" t="str">
        <f>'Conjunto de Datos'!BB509</f>
        <v>989</v>
      </c>
      <c r="T508" s="15">
        <f>'Conjunto de Datos'!BF509</f>
        <v>507</v>
      </c>
      <c r="U508" s="6">
        <f>sala!I508</f>
        <v>4342</v>
      </c>
      <c r="V508" cm="1">
        <f t="array" ref="V508">SUM(IF(Cocina!A:A=Tabla8[[#This Row],[Numero de Orden]],Cocina!F:F*Cocina!G:G,0))</f>
        <v>210</v>
      </c>
      <c r="W508">
        <f>IF(Tabla8[[#This Row],[Cobrado]]="Cobrada",Tabla8[[#This Row],[Propina]]+Tabla8[[#This Row],[Precio Cena]],0)</f>
        <v>0</v>
      </c>
      <c r="X508" t="str">
        <f>INDEX(sala!G:G, MATCH(Tabla8[[#This Row],[Numero de Orden]], sala!K:K, 0))</f>
        <v>Desayuno</v>
      </c>
      <c r="Y508" t="str">
        <f>'Conjunto de Datos'!J509</f>
        <v>No Cobrada</v>
      </c>
      <c r="Z508" t="str">
        <f>INDEX(sala!H:H, MATCH(Tabla8[[#This Row],[Numero de Orden]], sala!K:K, 0))</f>
        <v>Tarjeta de crédito</v>
      </c>
      <c r="AA508" s="3">
        <f>'Conjunto de Datos'!D509</f>
        <v>45022</v>
      </c>
      <c r="AB508" t="str">
        <f>INDEX(sala!L:L, MATCH(Tabla8[[#This Row],[Numero de Orden]], sala!K:K, 0))</f>
        <v>Bolivia</v>
      </c>
      <c r="AC508" t="str">
        <f>'Conjunto de Datos'!N509</f>
        <v>Mesero_2</v>
      </c>
      <c r="AD508">
        <f>Tabla8[[#This Row],[Propina]]+Tabla8[[#This Row],[Precio Cena]]</f>
        <v>4552</v>
      </c>
      <c r="AE508" s="45">
        <f t="shared" si="15"/>
        <v>0</v>
      </c>
    </row>
    <row r="509" spans="19:31" x14ac:dyDescent="0.3">
      <c r="S509" t="str">
        <f>'Conjunto de Datos'!BB510</f>
        <v>821</v>
      </c>
      <c r="T509">
        <f>'Conjunto de Datos'!BF510</f>
        <v>508</v>
      </c>
      <c r="U509" s="7">
        <f>sala!I509</f>
        <v>428</v>
      </c>
      <c r="V509" cm="1">
        <f t="array" ref="V509">SUM(IF(Cocina!A:A=Tabla8[[#This Row],[Numero de Orden]],Cocina!F:F*Cocina!G:G,0))</f>
        <v>32</v>
      </c>
      <c r="W509">
        <f>IF(Tabla8[[#This Row],[Cobrado]]="Cobrada",Tabla8[[#This Row],[Propina]]+Tabla8[[#This Row],[Precio Cena]],0)</f>
        <v>460</v>
      </c>
      <c r="X509" t="str">
        <f>INDEX(sala!G:G, MATCH(Tabla8[[#This Row],[Numero de Orden]], sala!K:K, 0))</f>
        <v>Almuerzo</v>
      </c>
      <c r="Y509" t="str">
        <f>'Conjunto de Datos'!J510</f>
        <v>Cobrada</v>
      </c>
      <c r="Z509" t="str">
        <f>INDEX(sala!H:H, MATCH(Tabla8[[#This Row],[Numero de Orden]], sala!K:K, 0))</f>
        <v>Tarjeta de crédito</v>
      </c>
      <c r="AA509" s="3">
        <f>'Conjunto de Datos'!D510</f>
        <v>45022</v>
      </c>
      <c r="AB509" t="str">
        <f>INDEX(sala!L:L, MATCH(Tabla8[[#This Row],[Numero de Orden]], sala!K:K, 0))</f>
        <v>Brasil</v>
      </c>
      <c r="AC509" t="str">
        <f>'Conjunto de Datos'!N510</f>
        <v>Mesero_5</v>
      </c>
      <c r="AD509">
        <f>Tabla8[[#This Row],[Propina]]+Tabla8[[#This Row],[Precio Cena]]</f>
        <v>460</v>
      </c>
      <c r="AE509" s="45">
        <f t="shared" si="15"/>
        <v>32</v>
      </c>
    </row>
    <row r="510" spans="19:31" x14ac:dyDescent="0.3">
      <c r="S510" s="15" t="str">
        <f>'Conjunto de Datos'!BB511</f>
        <v>977</v>
      </c>
      <c r="T510" s="15">
        <f>'Conjunto de Datos'!BF511</f>
        <v>509</v>
      </c>
      <c r="U510" s="6">
        <f>sala!I510</f>
        <v>1626</v>
      </c>
      <c r="V510" cm="1">
        <f t="array" ref="V510">SUM(IF(Cocina!A:A=Tabla8[[#This Row],[Numero de Orden]],Cocina!F:F*Cocina!G:G,0))</f>
        <v>80</v>
      </c>
      <c r="W510">
        <f>IF(Tabla8[[#This Row],[Cobrado]]="Cobrada",Tabla8[[#This Row],[Propina]]+Tabla8[[#This Row],[Precio Cena]],0)</f>
        <v>1706</v>
      </c>
      <c r="X510" t="str">
        <f>INDEX(sala!G:G, MATCH(Tabla8[[#This Row],[Numero de Orden]], sala!K:K, 0))</f>
        <v>Desayuno</v>
      </c>
      <c r="Y510" t="str">
        <f>'Conjunto de Datos'!J511</f>
        <v>Cobrada</v>
      </c>
      <c r="Z510" t="str">
        <f>INDEX(sala!H:H, MATCH(Tabla8[[#This Row],[Numero de Orden]], sala!K:K, 0))</f>
        <v>Tarjeta de crédito</v>
      </c>
      <c r="AA510" s="3">
        <f>'Conjunto de Datos'!D511</f>
        <v>45022</v>
      </c>
      <c r="AB510" t="str">
        <f>INDEX(sala!L:L, MATCH(Tabla8[[#This Row],[Numero de Orden]], sala!K:K, 0))</f>
        <v>Brasil</v>
      </c>
      <c r="AC510" t="str">
        <f>'Conjunto de Datos'!N511</f>
        <v>Mesero_1</v>
      </c>
      <c r="AD510">
        <f>Tabla8[[#This Row],[Propina]]+Tabla8[[#This Row],[Precio Cena]]</f>
        <v>1706</v>
      </c>
      <c r="AE510" s="45">
        <f t="shared" si="15"/>
        <v>80</v>
      </c>
    </row>
    <row r="511" spans="19:31" x14ac:dyDescent="0.3">
      <c r="S511" t="str">
        <f>'Conjunto de Datos'!BB512</f>
        <v>509</v>
      </c>
      <c r="T511">
        <f>'Conjunto de Datos'!BF512</f>
        <v>510</v>
      </c>
      <c r="U511" s="7">
        <f>sala!I511</f>
        <v>1497</v>
      </c>
      <c r="V511" cm="1">
        <f t="array" ref="V511">SUM(IF(Cocina!A:A=Tabla8[[#This Row],[Numero de Orden]],Cocina!F:F*Cocina!G:G,0))</f>
        <v>36</v>
      </c>
      <c r="W511">
        <f>IF(Tabla8[[#This Row],[Cobrado]]="Cobrada",Tabla8[[#This Row],[Propina]]+Tabla8[[#This Row],[Precio Cena]],0)</f>
        <v>1533</v>
      </c>
      <c r="X511" t="str">
        <f>INDEX(sala!G:G, MATCH(Tabla8[[#This Row],[Numero de Orden]], sala!K:K, 0))</f>
        <v>Almuerzo</v>
      </c>
      <c r="Y511" t="str">
        <f>'Conjunto de Datos'!J512</f>
        <v>Cobrada</v>
      </c>
      <c r="Z511" t="str">
        <f>INDEX(sala!H:H, MATCH(Tabla8[[#This Row],[Numero de Orden]], sala!K:K, 0))</f>
        <v>Tarjeta de crédito</v>
      </c>
      <c r="AA511" s="3">
        <f>'Conjunto de Datos'!D512</f>
        <v>45022</v>
      </c>
      <c r="AB511" t="str">
        <f>INDEX(sala!L:L, MATCH(Tabla8[[#This Row],[Numero de Orden]], sala!K:K, 0))</f>
        <v>Paraguay</v>
      </c>
      <c r="AC511" t="str">
        <f>'Conjunto de Datos'!N512</f>
        <v>Mesero_4</v>
      </c>
      <c r="AD511">
        <f>Tabla8[[#This Row],[Propina]]+Tabla8[[#This Row],[Precio Cena]]</f>
        <v>1533</v>
      </c>
      <c r="AE511" s="45">
        <f t="shared" si="15"/>
        <v>36</v>
      </c>
    </row>
    <row r="512" spans="19:31" x14ac:dyDescent="0.3">
      <c r="S512" s="15" t="str">
        <f>'Conjunto de Datos'!BB513</f>
        <v>951</v>
      </c>
      <c r="T512" s="15">
        <f>'Conjunto de Datos'!BF513</f>
        <v>511</v>
      </c>
      <c r="U512" s="6">
        <f>sala!I512</f>
        <v>3595</v>
      </c>
      <c r="V512" cm="1">
        <f t="array" ref="V512">SUM(IF(Cocina!A:A=Tabla8[[#This Row],[Numero de Orden]],Cocina!F:F*Cocina!G:G,0))</f>
        <v>137</v>
      </c>
      <c r="W512">
        <f>IF(Tabla8[[#This Row],[Cobrado]]="Cobrada",Tabla8[[#This Row],[Propina]]+Tabla8[[#This Row],[Precio Cena]],0)</f>
        <v>3732</v>
      </c>
      <c r="X512" t="str">
        <f>INDEX(sala!G:G, MATCH(Tabla8[[#This Row],[Numero de Orden]], sala!K:K, 0))</f>
        <v>Almuerzo</v>
      </c>
      <c r="Y512" t="str">
        <f>'Conjunto de Datos'!J513</f>
        <v>Cobrada</v>
      </c>
      <c r="Z512" t="str">
        <f>INDEX(sala!H:H, MATCH(Tabla8[[#This Row],[Numero de Orden]], sala!K:K, 0))</f>
        <v>Tarjeta de crédito</v>
      </c>
      <c r="AA512" s="3">
        <f>'Conjunto de Datos'!D513</f>
        <v>45022</v>
      </c>
      <c r="AB512" t="str">
        <f>INDEX(sala!L:L, MATCH(Tabla8[[#This Row],[Numero de Orden]], sala!K:K, 0))</f>
        <v>Argentina</v>
      </c>
      <c r="AC512" t="str">
        <f>'Conjunto de Datos'!N513</f>
        <v>Mesero_1</v>
      </c>
      <c r="AD512">
        <f>Tabla8[[#This Row],[Propina]]+Tabla8[[#This Row],[Precio Cena]]</f>
        <v>3732</v>
      </c>
      <c r="AE512" s="45">
        <f t="shared" si="15"/>
        <v>137</v>
      </c>
    </row>
    <row r="513" spans="19:31" x14ac:dyDescent="0.3">
      <c r="S513" t="str">
        <f>'Conjunto de Datos'!BB514</f>
        <v>285</v>
      </c>
      <c r="T513">
        <f>'Conjunto de Datos'!BF514</f>
        <v>512</v>
      </c>
      <c r="U513" s="7">
        <f>sala!I513</f>
        <v>3737</v>
      </c>
      <c r="V513" cm="1">
        <f t="array" ref="V513">SUM(IF(Cocina!A:A=Tabla8[[#This Row],[Numero de Orden]],Cocina!F:F*Cocina!G:G,0))</f>
        <v>128</v>
      </c>
      <c r="W513">
        <f>IF(Tabla8[[#This Row],[Cobrado]]="Cobrada",Tabla8[[#This Row],[Propina]]+Tabla8[[#This Row],[Precio Cena]],0)</f>
        <v>3865</v>
      </c>
      <c r="X513" t="str">
        <f>INDEX(sala!G:G, MATCH(Tabla8[[#This Row],[Numero de Orden]], sala!K:K, 0))</f>
        <v>Almuerzo</v>
      </c>
      <c r="Y513" t="str">
        <f>'Conjunto de Datos'!J514</f>
        <v>Cobrada</v>
      </c>
      <c r="Z513" t="str">
        <f>INDEX(sala!H:H, MATCH(Tabla8[[#This Row],[Numero de Orden]], sala!K:K, 0))</f>
        <v>Tarjeta de crédito</v>
      </c>
      <c r="AA513" s="3">
        <f>'Conjunto de Datos'!D514</f>
        <v>45022</v>
      </c>
      <c r="AB513" t="str">
        <f>INDEX(sala!L:L, MATCH(Tabla8[[#This Row],[Numero de Orden]], sala!K:K, 0))</f>
        <v>España</v>
      </c>
      <c r="AC513" t="str">
        <f>'Conjunto de Datos'!N514</f>
        <v>Mesero_5</v>
      </c>
      <c r="AD513">
        <f>Tabla8[[#This Row],[Propina]]+Tabla8[[#This Row],[Precio Cena]]</f>
        <v>3865</v>
      </c>
      <c r="AE513" s="45">
        <f t="shared" si="15"/>
        <v>128</v>
      </c>
    </row>
    <row r="514" spans="19:31" x14ac:dyDescent="0.3">
      <c r="S514" s="15" t="str">
        <f>'Conjunto de Datos'!BB515</f>
        <v>873</v>
      </c>
      <c r="T514" s="15">
        <f>'Conjunto de Datos'!BF515</f>
        <v>513</v>
      </c>
      <c r="U514" s="6">
        <f>sala!I514</f>
        <v>2274</v>
      </c>
      <c r="V514" cm="1">
        <f t="array" ref="V514">SUM(IF(Cocina!A:A=Tabla8[[#This Row],[Numero de Orden]],Cocina!F:F*Cocina!G:G,0))</f>
        <v>54</v>
      </c>
      <c r="W514">
        <f>IF(Tabla8[[#This Row],[Cobrado]]="Cobrada",Tabla8[[#This Row],[Propina]]+Tabla8[[#This Row],[Precio Cena]],0)</f>
        <v>2328</v>
      </c>
      <c r="X514" t="str">
        <f>INDEX(sala!G:G, MATCH(Tabla8[[#This Row],[Numero de Orden]], sala!K:K, 0))</f>
        <v>Desayuno</v>
      </c>
      <c r="Y514" t="str">
        <f>'Conjunto de Datos'!J515</f>
        <v>Cobrada</v>
      </c>
      <c r="Z514" t="str">
        <f>INDEX(sala!H:H, MATCH(Tabla8[[#This Row],[Numero de Orden]], sala!K:K, 0))</f>
        <v>Tarjeta de crédito</v>
      </c>
      <c r="AA514" s="3">
        <f>'Conjunto de Datos'!D515</f>
        <v>45022</v>
      </c>
      <c r="AB514" t="str">
        <f>INDEX(sala!L:L, MATCH(Tabla8[[#This Row],[Numero de Orden]], sala!K:K, 0))</f>
        <v>Bolivia</v>
      </c>
      <c r="AC514" t="str">
        <f>'Conjunto de Datos'!N515</f>
        <v>Mesero_3</v>
      </c>
      <c r="AD514">
        <f>Tabla8[[#This Row],[Propina]]+Tabla8[[#This Row],[Precio Cena]]</f>
        <v>2328</v>
      </c>
      <c r="AE514" s="45">
        <f t="shared" si="15"/>
        <v>54</v>
      </c>
    </row>
    <row r="515" spans="19:31" x14ac:dyDescent="0.3">
      <c r="S515" t="str">
        <f>'Conjunto de Datos'!BB516</f>
        <v>819</v>
      </c>
      <c r="T515">
        <f>'Conjunto de Datos'!BF516</f>
        <v>514</v>
      </c>
      <c r="U515" s="7">
        <f>sala!I515</f>
        <v>3884</v>
      </c>
      <c r="V515" cm="1">
        <f t="array" ref="V515">SUM(IF(Cocina!A:A=Tabla8[[#This Row],[Numero de Orden]],Cocina!F:F*Cocina!G:G,0))</f>
        <v>174</v>
      </c>
      <c r="W515">
        <f>IF(Tabla8[[#This Row],[Cobrado]]="Cobrada",Tabla8[[#This Row],[Propina]]+Tabla8[[#This Row],[Precio Cena]],0)</f>
        <v>4058</v>
      </c>
      <c r="X515" t="str">
        <f>INDEX(sala!G:G, MATCH(Tabla8[[#This Row],[Numero de Orden]], sala!K:K, 0))</f>
        <v>Almuerzo</v>
      </c>
      <c r="Y515" t="str">
        <f>'Conjunto de Datos'!J516</f>
        <v>Cobrada</v>
      </c>
      <c r="Z515" t="str">
        <f>INDEX(sala!H:H, MATCH(Tabla8[[#This Row],[Numero de Orden]], sala!K:K, 0))</f>
        <v>Tarjeta de crédito</v>
      </c>
      <c r="AA515" s="3">
        <f>'Conjunto de Datos'!D516</f>
        <v>45022</v>
      </c>
      <c r="AB515" t="str">
        <f>INDEX(sala!L:L, MATCH(Tabla8[[#This Row],[Numero de Orden]], sala!K:K, 0))</f>
        <v>Chile</v>
      </c>
      <c r="AC515" t="str">
        <f>'Conjunto de Datos'!N516</f>
        <v>Mesero_4</v>
      </c>
      <c r="AD515">
        <f>Tabla8[[#This Row],[Propina]]+Tabla8[[#This Row],[Precio Cena]]</f>
        <v>4058</v>
      </c>
      <c r="AE515" s="45">
        <f t="shared" si="15"/>
        <v>174</v>
      </c>
    </row>
    <row r="516" spans="19:31" x14ac:dyDescent="0.3">
      <c r="S516" s="15" t="str">
        <f>'Conjunto de Datos'!BB517</f>
        <v>690</v>
      </c>
      <c r="T516" s="15">
        <f>'Conjunto de Datos'!BF517</f>
        <v>515</v>
      </c>
      <c r="U516" s="6">
        <f>sala!I516</f>
        <v>4379</v>
      </c>
      <c r="V516" cm="1">
        <f t="array" ref="V516">SUM(IF(Cocina!A:A=Tabla8[[#This Row],[Numero de Orden]],Cocina!F:F*Cocina!G:G,0))</f>
        <v>18</v>
      </c>
      <c r="W516">
        <f>IF(Tabla8[[#This Row],[Cobrado]]="Cobrada",Tabla8[[#This Row],[Propina]]+Tabla8[[#This Row],[Precio Cena]],0)</f>
        <v>4397</v>
      </c>
      <c r="X516" t="str">
        <f>INDEX(sala!G:G, MATCH(Tabla8[[#This Row],[Numero de Orden]], sala!K:K, 0))</f>
        <v>Almuerzo</v>
      </c>
      <c r="Y516" t="str">
        <f>'Conjunto de Datos'!J517</f>
        <v>Cobrada</v>
      </c>
      <c r="Z516" t="str">
        <f>INDEX(sala!H:H, MATCH(Tabla8[[#This Row],[Numero de Orden]], sala!K:K, 0))</f>
        <v>Tarjeta de crédito</v>
      </c>
      <c r="AA516" s="3">
        <f>'Conjunto de Datos'!D517</f>
        <v>45022</v>
      </c>
      <c r="AB516" t="str">
        <f>INDEX(sala!L:L, MATCH(Tabla8[[#This Row],[Numero de Orden]], sala!K:K, 0))</f>
        <v>Chile</v>
      </c>
      <c r="AC516" t="str">
        <f>'Conjunto de Datos'!N517</f>
        <v>Mesero_2</v>
      </c>
      <c r="AD516">
        <f>Tabla8[[#This Row],[Propina]]+Tabla8[[#This Row],[Precio Cena]]</f>
        <v>4397</v>
      </c>
      <c r="AE516" s="45">
        <f t="shared" ref="AE516:AE579" si="16">IF(Y516 = "Cobrada",V516,0)</f>
        <v>18</v>
      </c>
    </row>
    <row r="517" spans="19:31" x14ac:dyDescent="0.3">
      <c r="S517" t="str">
        <f>'Conjunto de Datos'!BB518</f>
        <v>334</v>
      </c>
      <c r="T517">
        <f>'Conjunto de Datos'!BF518</f>
        <v>516</v>
      </c>
      <c r="U517" s="7">
        <f>sala!I517</f>
        <v>2085</v>
      </c>
      <c r="V517" cm="1">
        <f t="array" ref="V517">SUM(IF(Cocina!A:A=Tabla8[[#This Row],[Numero de Orden]],Cocina!F:F*Cocina!G:G,0))</f>
        <v>146</v>
      </c>
      <c r="W517">
        <f>IF(Tabla8[[#This Row],[Cobrado]]="Cobrada",Tabla8[[#This Row],[Propina]]+Tabla8[[#This Row],[Precio Cena]],0)</f>
        <v>0</v>
      </c>
      <c r="X517" t="str">
        <f>INDEX(sala!G:G, MATCH(Tabla8[[#This Row],[Numero de Orden]], sala!K:K, 0))</f>
        <v>Almuerzo</v>
      </c>
      <c r="Y517" t="str">
        <f>'Conjunto de Datos'!J518</f>
        <v>No Cobrada</v>
      </c>
      <c r="Z517" t="str">
        <f>INDEX(sala!H:H, MATCH(Tabla8[[#This Row],[Numero de Orden]], sala!K:K, 0))</f>
        <v>Tarjeta de crédito</v>
      </c>
      <c r="AA517" s="3">
        <f>'Conjunto de Datos'!D518</f>
        <v>45022</v>
      </c>
      <c r="AB517" t="str">
        <f>INDEX(sala!L:L, MATCH(Tabla8[[#This Row],[Numero de Orden]], sala!K:K, 0))</f>
        <v>Paraguay</v>
      </c>
      <c r="AC517" t="str">
        <f>'Conjunto de Datos'!N518</f>
        <v>Mesero_4</v>
      </c>
      <c r="AD517">
        <f>Tabla8[[#This Row],[Propina]]+Tabla8[[#This Row],[Precio Cena]]</f>
        <v>2231</v>
      </c>
      <c r="AE517" s="45">
        <f t="shared" si="16"/>
        <v>0</v>
      </c>
    </row>
    <row r="518" spans="19:31" x14ac:dyDescent="0.3">
      <c r="S518" s="15" t="str">
        <f>'Conjunto de Datos'!BB519</f>
        <v>508</v>
      </c>
      <c r="T518" s="15">
        <f>'Conjunto de Datos'!BF519</f>
        <v>517</v>
      </c>
      <c r="U518" s="6">
        <f>sala!I518</f>
        <v>2392</v>
      </c>
      <c r="V518" cm="1">
        <f t="array" ref="V518">SUM(IF(Cocina!A:A=Tabla8[[#This Row],[Numero de Orden]],Cocina!F:F*Cocina!G:G,0))</f>
        <v>103</v>
      </c>
      <c r="W518">
        <f>IF(Tabla8[[#This Row],[Cobrado]]="Cobrada",Tabla8[[#This Row],[Propina]]+Tabla8[[#This Row],[Precio Cena]],0)</f>
        <v>2495</v>
      </c>
      <c r="X518" t="str">
        <f>INDEX(sala!G:G, MATCH(Tabla8[[#This Row],[Numero de Orden]], sala!K:K, 0))</f>
        <v>Almuerzo</v>
      </c>
      <c r="Y518" t="str">
        <f>'Conjunto de Datos'!J519</f>
        <v>Cobrada</v>
      </c>
      <c r="Z518" t="str">
        <f>INDEX(sala!H:H, MATCH(Tabla8[[#This Row],[Numero de Orden]], sala!K:K, 0))</f>
        <v>Efectivo</v>
      </c>
      <c r="AA518" s="3">
        <f>'Conjunto de Datos'!D519</f>
        <v>45022</v>
      </c>
      <c r="AB518" t="str">
        <f>INDEX(sala!L:L, MATCH(Tabla8[[#This Row],[Numero de Orden]], sala!K:K, 0))</f>
        <v>Ecuador</v>
      </c>
      <c r="AC518" t="str">
        <f>'Conjunto de Datos'!N519</f>
        <v>Mesero_4</v>
      </c>
      <c r="AD518">
        <f>Tabla8[[#This Row],[Propina]]+Tabla8[[#This Row],[Precio Cena]]</f>
        <v>2495</v>
      </c>
      <c r="AE518" s="45">
        <f t="shared" si="16"/>
        <v>103</v>
      </c>
    </row>
    <row r="519" spans="19:31" x14ac:dyDescent="0.3">
      <c r="S519" t="str">
        <f>'Conjunto de Datos'!BB520</f>
        <v>830</v>
      </c>
      <c r="T519">
        <f>'Conjunto de Datos'!BF520</f>
        <v>518</v>
      </c>
      <c r="U519" s="7">
        <f>sala!I519</f>
        <v>1848</v>
      </c>
      <c r="V519" cm="1">
        <f t="array" ref="V519">SUM(IF(Cocina!A:A=Tabla8[[#This Row],[Numero de Orden]],Cocina!F:F*Cocina!G:G,0))</f>
        <v>77</v>
      </c>
      <c r="W519">
        <f>IF(Tabla8[[#This Row],[Cobrado]]="Cobrada",Tabla8[[#This Row],[Propina]]+Tabla8[[#This Row],[Precio Cena]],0)</f>
        <v>1925</v>
      </c>
      <c r="X519" t="str">
        <f>INDEX(sala!G:G, MATCH(Tabla8[[#This Row],[Numero de Orden]], sala!K:K, 0))</f>
        <v>Desayuno</v>
      </c>
      <c r="Y519" t="str">
        <f>'Conjunto de Datos'!J520</f>
        <v>Cobrada</v>
      </c>
      <c r="Z519" t="str">
        <f>INDEX(sala!H:H, MATCH(Tabla8[[#This Row],[Numero de Orden]], sala!K:K, 0))</f>
        <v>Tarjeta de crédito</v>
      </c>
      <c r="AA519" s="3">
        <f>'Conjunto de Datos'!D520</f>
        <v>45022</v>
      </c>
      <c r="AB519" t="str">
        <f>INDEX(sala!L:L, MATCH(Tabla8[[#This Row],[Numero de Orden]], sala!K:K, 0))</f>
        <v>Colombia</v>
      </c>
      <c r="AC519" t="str">
        <f>'Conjunto de Datos'!N520</f>
        <v>Mesero_4</v>
      </c>
      <c r="AD519">
        <f>Tabla8[[#This Row],[Propina]]+Tabla8[[#This Row],[Precio Cena]]</f>
        <v>1925</v>
      </c>
      <c r="AE519" s="45">
        <f t="shared" si="16"/>
        <v>77</v>
      </c>
    </row>
    <row r="520" spans="19:31" x14ac:dyDescent="0.3">
      <c r="S520" s="15" t="str">
        <f>'Conjunto de Datos'!BB521</f>
        <v>787</v>
      </c>
      <c r="T520" s="15">
        <f>'Conjunto de Datos'!BF521</f>
        <v>519</v>
      </c>
      <c r="U520" s="6">
        <f>sala!I520</f>
        <v>3459</v>
      </c>
      <c r="V520" cm="1">
        <f t="array" ref="V520">SUM(IF(Cocina!A:A=Tabla8[[#This Row],[Numero de Orden]],Cocina!F:F*Cocina!G:G,0))</f>
        <v>245</v>
      </c>
      <c r="W520">
        <f>IF(Tabla8[[#This Row],[Cobrado]]="Cobrada",Tabla8[[#This Row],[Propina]]+Tabla8[[#This Row],[Precio Cena]],0)</f>
        <v>3704</v>
      </c>
      <c r="X520" t="str">
        <f>INDEX(sala!G:G, MATCH(Tabla8[[#This Row],[Numero de Orden]], sala!K:K, 0))</f>
        <v>Almuerzo</v>
      </c>
      <c r="Y520" t="str">
        <f>'Conjunto de Datos'!J521</f>
        <v>Cobrada</v>
      </c>
      <c r="Z520" t="str">
        <f>INDEX(sala!H:H, MATCH(Tabla8[[#This Row],[Numero de Orden]], sala!K:K, 0))</f>
        <v>Tarjeta de crédito</v>
      </c>
      <c r="AA520" s="3">
        <f>'Conjunto de Datos'!D521</f>
        <v>45022</v>
      </c>
      <c r="AB520" t="str">
        <f>INDEX(sala!L:L, MATCH(Tabla8[[#This Row],[Numero de Orden]], sala!K:K, 0))</f>
        <v>Paraguay</v>
      </c>
      <c r="AC520" t="str">
        <f>'Conjunto de Datos'!N521</f>
        <v>Mesero_5</v>
      </c>
      <c r="AD520">
        <f>Tabla8[[#This Row],[Propina]]+Tabla8[[#This Row],[Precio Cena]]</f>
        <v>3704</v>
      </c>
      <c r="AE520" s="45">
        <f t="shared" si="16"/>
        <v>245</v>
      </c>
    </row>
    <row r="521" spans="19:31" x14ac:dyDescent="0.3">
      <c r="S521" t="str">
        <f>'Conjunto de Datos'!BB522</f>
        <v>616</v>
      </c>
      <c r="T521">
        <f>'Conjunto de Datos'!BF522</f>
        <v>520</v>
      </c>
      <c r="U521" s="7">
        <f>sala!I521</f>
        <v>4399</v>
      </c>
      <c r="V521" cm="1">
        <f t="array" ref="V521">SUM(IF(Cocina!A:A=Tabla8[[#This Row],[Numero de Orden]],Cocina!F:F*Cocina!G:G,0))</f>
        <v>280</v>
      </c>
      <c r="W521">
        <f>IF(Tabla8[[#This Row],[Cobrado]]="Cobrada",Tabla8[[#This Row],[Propina]]+Tabla8[[#This Row],[Precio Cena]],0)</f>
        <v>4679</v>
      </c>
      <c r="X521" t="str">
        <f>INDEX(sala!G:G, MATCH(Tabla8[[#This Row],[Numero de Orden]], sala!K:K, 0))</f>
        <v>Cena</v>
      </c>
      <c r="Y521" t="str">
        <f>'Conjunto de Datos'!J522</f>
        <v>Cobrada</v>
      </c>
      <c r="Z521" t="str">
        <f>INDEX(sala!H:H, MATCH(Tabla8[[#This Row],[Numero de Orden]], sala!K:K, 0))</f>
        <v>Tarjeta de crédito</v>
      </c>
      <c r="AA521" s="3">
        <f>'Conjunto de Datos'!D522</f>
        <v>45022</v>
      </c>
      <c r="AB521" t="str">
        <f>INDEX(sala!L:L, MATCH(Tabla8[[#This Row],[Numero de Orden]], sala!K:K, 0))</f>
        <v>Colombia</v>
      </c>
      <c r="AC521" t="str">
        <f>'Conjunto de Datos'!N522</f>
        <v>Mesero_4</v>
      </c>
      <c r="AD521">
        <f>Tabla8[[#This Row],[Propina]]+Tabla8[[#This Row],[Precio Cena]]</f>
        <v>4679</v>
      </c>
      <c r="AE521" s="45">
        <f t="shared" si="16"/>
        <v>280</v>
      </c>
    </row>
    <row r="522" spans="19:31" x14ac:dyDescent="0.3">
      <c r="S522" s="15" t="str">
        <f>'Conjunto de Datos'!BB523</f>
        <v>422</v>
      </c>
      <c r="T522" s="15">
        <f>'Conjunto de Datos'!BF523</f>
        <v>521</v>
      </c>
      <c r="U522" s="6">
        <f>sala!I522</f>
        <v>1518</v>
      </c>
      <c r="V522" cm="1">
        <f t="array" ref="V522">SUM(IF(Cocina!A:A=Tabla8[[#This Row],[Numero de Orden]],Cocina!F:F*Cocina!G:G,0))</f>
        <v>210</v>
      </c>
      <c r="W522">
        <f>IF(Tabla8[[#This Row],[Cobrado]]="Cobrada",Tabla8[[#This Row],[Propina]]+Tabla8[[#This Row],[Precio Cena]],0)</f>
        <v>1728</v>
      </c>
      <c r="X522" t="str">
        <f>INDEX(sala!G:G, MATCH(Tabla8[[#This Row],[Numero de Orden]], sala!K:K, 0))</f>
        <v>Almuerzo</v>
      </c>
      <c r="Y522" t="str">
        <f>'Conjunto de Datos'!J523</f>
        <v>Cobrada</v>
      </c>
      <c r="Z522" t="str">
        <f>INDEX(sala!H:H, MATCH(Tabla8[[#This Row],[Numero de Orden]], sala!K:K, 0))</f>
        <v>Tarjeta de crédito</v>
      </c>
      <c r="AA522" s="3">
        <f>'Conjunto de Datos'!D523</f>
        <v>45022</v>
      </c>
      <c r="AB522" t="str">
        <f>INDEX(sala!L:L, MATCH(Tabla8[[#This Row],[Numero de Orden]], sala!K:K, 0))</f>
        <v>Bolivia</v>
      </c>
      <c r="AC522" t="str">
        <f>'Conjunto de Datos'!N523</f>
        <v>Mesero_4</v>
      </c>
      <c r="AD522">
        <f>Tabla8[[#This Row],[Propina]]+Tabla8[[#This Row],[Precio Cena]]</f>
        <v>1728</v>
      </c>
      <c r="AE522" s="45">
        <f t="shared" si="16"/>
        <v>210</v>
      </c>
    </row>
    <row r="523" spans="19:31" x14ac:dyDescent="0.3">
      <c r="S523" t="str">
        <f>'Conjunto de Datos'!BB524</f>
        <v>740</v>
      </c>
      <c r="T523">
        <f>'Conjunto de Datos'!BF524</f>
        <v>522</v>
      </c>
      <c r="U523" s="7">
        <f>sala!I523</f>
        <v>3535</v>
      </c>
      <c r="V523" cm="1">
        <f t="array" ref="V523">SUM(IF(Cocina!A:A=Tabla8[[#This Row],[Numero de Orden]],Cocina!F:F*Cocina!G:G,0))</f>
        <v>84</v>
      </c>
      <c r="W523">
        <f>IF(Tabla8[[#This Row],[Cobrado]]="Cobrada",Tabla8[[#This Row],[Propina]]+Tabla8[[#This Row],[Precio Cena]],0)</f>
        <v>3619</v>
      </c>
      <c r="X523" t="str">
        <f>INDEX(sala!G:G, MATCH(Tabla8[[#This Row],[Numero de Orden]], sala!K:K, 0))</f>
        <v>Almuerzo</v>
      </c>
      <c r="Y523" t="str">
        <f>'Conjunto de Datos'!J524</f>
        <v>Cobrada</v>
      </c>
      <c r="Z523" t="str">
        <f>INDEX(sala!H:H, MATCH(Tabla8[[#This Row],[Numero de Orden]], sala!K:K, 0))</f>
        <v>Efectivo</v>
      </c>
      <c r="AA523" s="3">
        <f>'Conjunto de Datos'!D524</f>
        <v>45022</v>
      </c>
      <c r="AB523" t="str">
        <f>INDEX(sala!L:L, MATCH(Tabla8[[#This Row],[Numero de Orden]], sala!K:K, 0))</f>
        <v>Uruguay</v>
      </c>
      <c r="AC523" t="str">
        <f>'Conjunto de Datos'!N524</f>
        <v>Mesero_4</v>
      </c>
      <c r="AD523">
        <f>Tabla8[[#This Row],[Propina]]+Tabla8[[#This Row],[Precio Cena]]</f>
        <v>3619</v>
      </c>
      <c r="AE523" s="45">
        <f t="shared" si="16"/>
        <v>84</v>
      </c>
    </row>
    <row r="524" spans="19:31" x14ac:dyDescent="0.3">
      <c r="S524" s="15" t="str">
        <f>'Conjunto de Datos'!BB525</f>
        <v>930</v>
      </c>
      <c r="T524" s="15">
        <f>'Conjunto de Datos'!BF525</f>
        <v>523</v>
      </c>
      <c r="U524" s="6">
        <f>sala!I524</f>
        <v>4541</v>
      </c>
      <c r="V524" cm="1">
        <f t="array" ref="V524">SUM(IF(Cocina!A:A=Tabla8[[#This Row],[Numero de Orden]],Cocina!F:F*Cocina!G:G,0))</f>
        <v>81</v>
      </c>
      <c r="W524">
        <f>IF(Tabla8[[#This Row],[Cobrado]]="Cobrada",Tabla8[[#This Row],[Propina]]+Tabla8[[#This Row],[Precio Cena]],0)</f>
        <v>4622</v>
      </c>
      <c r="X524" t="str">
        <f>INDEX(sala!G:G, MATCH(Tabla8[[#This Row],[Numero de Orden]], sala!K:K, 0))</f>
        <v>Almuerzo</v>
      </c>
      <c r="Y524" t="str">
        <f>'Conjunto de Datos'!J525</f>
        <v>Cobrada</v>
      </c>
      <c r="Z524" t="str">
        <f>INDEX(sala!H:H, MATCH(Tabla8[[#This Row],[Numero de Orden]], sala!K:K, 0))</f>
        <v>Tarjeta de crédito</v>
      </c>
      <c r="AA524" s="3">
        <f>'Conjunto de Datos'!D525</f>
        <v>45022</v>
      </c>
      <c r="AB524" t="str">
        <f>INDEX(sala!L:L, MATCH(Tabla8[[#This Row],[Numero de Orden]], sala!K:K, 0))</f>
        <v>Argentina</v>
      </c>
      <c r="AC524" t="str">
        <f>'Conjunto de Datos'!N525</f>
        <v>Mesero_5</v>
      </c>
      <c r="AD524">
        <f>Tabla8[[#This Row],[Propina]]+Tabla8[[#This Row],[Precio Cena]]</f>
        <v>4622</v>
      </c>
      <c r="AE524" s="45">
        <f t="shared" si="16"/>
        <v>81</v>
      </c>
    </row>
    <row r="525" spans="19:31" x14ac:dyDescent="0.3">
      <c r="S525" t="str">
        <f>'Conjunto de Datos'!BB526</f>
        <v>218</v>
      </c>
      <c r="T525">
        <f>'Conjunto de Datos'!BF526</f>
        <v>524</v>
      </c>
      <c r="U525" s="7">
        <f>sala!I525</f>
        <v>2691</v>
      </c>
      <c r="V525" cm="1">
        <f t="array" ref="V525">SUM(IF(Cocina!A:A=Tabla8[[#This Row],[Numero de Orden]],Cocina!F:F*Cocina!G:G,0))</f>
        <v>76</v>
      </c>
      <c r="W525">
        <f>IF(Tabla8[[#This Row],[Cobrado]]="Cobrada",Tabla8[[#This Row],[Propina]]+Tabla8[[#This Row],[Precio Cena]],0)</f>
        <v>2767</v>
      </c>
      <c r="X525" t="str">
        <f>INDEX(sala!G:G, MATCH(Tabla8[[#This Row],[Numero de Orden]], sala!K:K, 0))</f>
        <v>Almuerzo</v>
      </c>
      <c r="Y525" t="str">
        <f>'Conjunto de Datos'!J526</f>
        <v>Cobrada</v>
      </c>
      <c r="Z525" t="str">
        <f>INDEX(sala!H:H, MATCH(Tabla8[[#This Row],[Numero de Orden]], sala!K:K, 0))</f>
        <v>Tarjeta de crédito</v>
      </c>
      <c r="AA525" s="3">
        <f>'Conjunto de Datos'!D526</f>
        <v>45022</v>
      </c>
      <c r="AB525" t="str">
        <f>INDEX(sala!L:L, MATCH(Tabla8[[#This Row],[Numero de Orden]], sala!K:K, 0))</f>
        <v>Perú</v>
      </c>
      <c r="AC525" t="str">
        <f>'Conjunto de Datos'!N526</f>
        <v>Mesero_3</v>
      </c>
      <c r="AD525">
        <f>Tabla8[[#This Row],[Propina]]+Tabla8[[#This Row],[Precio Cena]]</f>
        <v>2767</v>
      </c>
      <c r="AE525" s="45">
        <f t="shared" si="16"/>
        <v>76</v>
      </c>
    </row>
    <row r="526" spans="19:31" x14ac:dyDescent="0.3">
      <c r="S526" s="15" t="str">
        <f>'Conjunto de Datos'!BB527</f>
        <v>318</v>
      </c>
      <c r="T526" s="15">
        <f>'Conjunto de Datos'!BF527</f>
        <v>525</v>
      </c>
      <c r="U526" s="6">
        <f>sala!I526</f>
        <v>3287</v>
      </c>
      <c r="V526" cm="1">
        <f t="array" ref="V526">SUM(IF(Cocina!A:A=Tabla8[[#This Row],[Numero de Orden]],Cocina!F:F*Cocina!G:G,0))</f>
        <v>197</v>
      </c>
      <c r="W526">
        <f>IF(Tabla8[[#This Row],[Cobrado]]="Cobrada",Tabla8[[#This Row],[Propina]]+Tabla8[[#This Row],[Precio Cena]],0)</f>
        <v>3484</v>
      </c>
      <c r="X526" t="str">
        <f>INDEX(sala!G:G, MATCH(Tabla8[[#This Row],[Numero de Orden]], sala!K:K, 0))</f>
        <v>Almuerzo</v>
      </c>
      <c r="Y526" t="str">
        <f>'Conjunto de Datos'!J527</f>
        <v>Cobrada</v>
      </c>
      <c r="Z526" t="str">
        <f>INDEX(sala!H:H, MATCH(Tabla8[[#This Row],[Numero de Orden]], sala!K:K, 0))</f>
        <v>Tarjeta de crédito</v>
      </c>
      <c r="AA526" s="3">
        <f>'Conjunto de Datos'!D527</f>
        <v>45022</v>
      </c>
      <c r="AB526" t="str">
        <f>INDEX(sala!L:L, MATCH(Tabla8[[#This Row],[Numero de Orden]], sala!K:K, 0))</f>
        <v>Venezuela</v>
      </c>
      <c r="AC526" t="str">
        <f>'Conjunto de Datos'!N527</f>
        <v>Mesero_3</v>
      </c>
      <c r="AD526">
        <f>Tabla8[[#This Row],[Propina]]+Tabla8[[#This Row],[Precio Cena]]</f>
        <v>3484</v>
      </c>
      <c r="AE526" s="45">
        <f t="shared" si="16"/>
        <v>197</v>
      </c>
    </row>
    <row r="527" spans="19:31" x14ac:dyDescent="0.3">
      <c r="S527" t="str">
        <f>'Conjunto de Datos'!BB528</f>
        <v>257</v>
      </c>
      <c r="T527">
        <f>'Conjunto de Datos'!BF528</f>
        <v>526</v>
      </c>
      <c r="U527" s="7">
        <f>sala!I527</f>
        <v>4302</v>
      </c>
      <c r="V527" cm="1">
        <f t="array" ref="V527">SUM(IF(Cocina!A:A=Tabla8[[#This Row],[Numero de Orden]],Cocina!F:F*Cocina!G:G,0))</f>
        <v>33</v>
      </c>
      <c r="W527">
        <f>IF(Tabla8[[#This Row],[Cobrado]]="Cobrada",Tabla8[[#This Row],[Propina]]+Tabla8[[#This Row],[Precio Cena]],0)</f>
        <v>4335</v>
      </c>
      <c r="X527" t="str">
        <f>INDEX(sala!G:G, MATCH(Tabla8[[#This Row],[Numero de Orden]], sala!K:K, 0))</f>
        <v>Cena</v>
      </c>
      <c r="Y527" t="str">
        <f>'Conjunto de Datos'!J528</f>
        <v>Cobrada</v>
      </c>
      <c r="Z527" t="str">
        <f>INDEX(sala!H:H, MATCH(Tabla8[[#This Row],[Numero de Orden]], sala!K:K, 0))</f>
        <v>Tarjeta de débito</v>
      </c>
      <c r="AA527" s="3">
        <f>'Conjunto de Datos'!D528</f>
        <v>45022</v>
      </c>
      <c r="AB527" t="str">
        <f>INDEX(sala!L:L, MATCH(Tabla8[[#This Row],[Numero de Orden]], sala!K:K, 0))</f>
        <v>Bolivia</v>
      </c>
      <c r="AC527" t="str">
        <f>'Conjunto de Datos'!N528</f>
        <v>Mesero_4</v>
      </c>
      <c r="AD527">
        <f>Tabla8[[#This Row],[Propina]]+Tabla8[[#This Row],[Precio Cena]]</f>
        <v>4335</v>
      </c>
      <c r="AE527" s="45">
        <f t="shared" si="16"/>
        <v>33</v>
      </c>
    </row>
    <row r="528" spans="19:31" x14ac:dyDescent="0.3">
      <c r="S528" s="15" t="str">
        <f>'Conjunto de Datos'!BB529</f>
        <v>112</v>
      </c>
      <c r="T528" s="15">
        <f>'Conjunto de Datos'!BF529</f>
        <v>527</v>
      </c>
      <c r="U528" s="6">
        <f>sala!I528</f>
        <v>2295</v>
      </c>
      <c r="V528" cm="1">
        <f t="array" ref="V528">SUM(IF(Cocina!A:A=Tabla8[[#This Row],[Numero de Orden]],Cocina!F:F*Cocina!G:G,0))</f>
        <v>54</v>
      </c>
      <c r="W528">
        <f>IF(Tabla8[[#This Row],[Cobrado]]="Cobrada",Tabla8[[#This Row],[Propina]]+Tabla8[[#This Row],[Precio Cena]],0)</f>
        <v>2349</v>
      </c>
      <c r="X528" t="str">
        <f>INDEX(sala!G:G, MATCH(Tabla8[[#This Row],[Numero de Orden]], sala!K:K, 0))</f>
        <v>Desayuno</v>
      </c>
      <c r="Y528" t="str">
        <f>'Conjunto de Datos'!J529</f>
        <v>Cobrada</v>
      </c>
      <c r="Z528" t="str">
        <f>INDEX(sala!H:H, MATCH(Tabla8[[#This Row],[Numero de Orden]], sala!K:K, 0))</f>
        <v>Efectivo</v>
      </c>
      <c r="AA528" s="3">
        <f>'Conjunto de Datos'!D529</f>
        <v>45022</v>
      </c>
      <c r="AB528" t="str">
        <f>INDEX(sala!L:L, MATCH(Tabla8[[#This Row],[Numero de Orden]], sala!K:K, 0))</f>
        <v>España</v>
      </c>
      <c r="AC528" t="str">
        <f>'Conjunto de Datos'!N529</f>
        <v>Mesero_1</v>
      </c>
      <c r="AD528">
        <f>Tabla8[[#This Row],[Propina]]+Tabla8[[#This Row],[Precio Cena]]</f>
        <v>2349</v>
      </c>
      <c r="AE528" s="45">
        <f t="shared" si="16"/>
        <v>54</v>
      </c>
    </row>
    <row r="529" spans="19:31" x14ac:dyDescent="0.3">
      <c r="S529" t="str">
        <f>'Conjunto de Datos'!BB530</f>
        <v>95</v>
      </c>
      <c r="T529">
        <f>'Conjunto de Datos'!BF530</f>
        <v>528</v>
      </c>
      <c r="U529" s="7">
        <f>sala!I529</f>
        <v>1562</v>
      </c>
      <c r="V529" cm="1">
        <f t="array" ref="V529">SUM(IF(Cocina!A:A=Tabla8[[#This Row],[Numero de Orden]],Cocina!F:F*Cocina!G:G,0))</f>
        <v>78</v>
      </c>
      <c r="W529">
        <f>IF(Tabla8[[#This Row],[Cobrado]]="Cobrada",Tabla8[[#This Row],[Propina]]+Tabla8[[#This Row],[Precio Cena]],0)</f>
        <v>0</v>
      </c>
      <c r="X529" t="str">
        <f>INDEX(sala!G:G, MATCH(Tabla8[[#This Row],[Numero de Orden]], sala!K:K, 0))</f>
        <v>Almuerzo</v>
      </c>
      <c r="Y529" t="str">
        <f>'Conjunto de Datos'!J530</f>
        <v>No Cobrada</v>
      </c>
      <c r="Z529" t="str">
        <f>INDEX(sala!H:H, MATCH(Tabla8[[#This Row],[Numero de Orden]], sala!K:K, 0))</f>
        <v>Tarjeta de débito</v>
      </c>
      <c r="AA529" s="3">
        <f>'Conjunto de Datos'!D530</f>
        <v>45022</v>
      </c>
      <c r="AB529" t="str">
        <f>INDEX(sala!L:L, MATCH(Tabla8[[#This Row],[Numero de Orden]], sala!K:K, 0))</f>
        <v>Bolivia</v>
      </c>
      <c r="AC529" t="str">
        <f>'Conjunto de Datos'!N530</f>
        <v>Mesero_2</v>
      </c>
      <c r="AD529">
        <f>Tabla8[[#This Row],[Propina]]+Tabla8[[#This Row],[Precio Cena]]</f>
        <v>1640</v>
      </c>
      <c r="AE529" s="45">
        <f t="shared" si="16"/>
        <v>0</v>
      </c>
    </row>
    <row r="530" spans="19:31" x14ac:dyDescent="0.3">
      <c r="S530" s="15" t="str">
        <f>'Conjunto de Datos'!BB531</f>
        <v>866</v>
      </c>
      <c r="T530" s="15">
        <f>'Conjunto de Datos'!BF531</f>
        <v>529</v>
      </c>
      <c r="U530" s="6">
        <f>sala!I530</f>
        <v>2591</v>
      </c>
      <c r="V530" cm="1">
        <f t="array" ref="V530">SUM(IF(Cocina!A:A=Tabla8[[#This Row],[Numero de Orden]],Cocina!F:F*Cocina!G:G,0))</f>
        <v>208</v>
      </c>
      <c r="W530">
        <f>IF(Tabla8[[#This Row],[Cobrado]]="Cobrada",Tabla8[[#This Row],[Propina]]+Tabla8[[#This Row],[Precio Cena]],0)</f>
        <v>2799</v>
      </c>
      <c r="X530" t="str">
        <f>INDEX(sala!G:G, MATCH(Tabla8[[#This Row],[Numero de Orden]], sala!K:K, 0))</f>
        <v>Almuerzo</v>
      </c>
      <c r="Y530" t="str">
        <f>'Conjunto de Datos'!J531</f>
        <v>Cobrada</v>
      </c>
      <c r="Z530" t="str">
        <f>INDEX(sala!H:H, MATCH(Tabla8[[#This Row],[Numero de Orden]], sala!K:K, 0))</f>
        <v>Tarjeta de crédito</v>
      </c>
      <c r="AA530" s="3">
        <f>'Conjunto de Datos'!D531</f>
        <v>45022</v>
      </c>
      <c r="AB530" t="str">
        <f>INDEX(sala!L:L, MATCH(Tabla8[[#This Row],[Numero de Orden]], sala!K:K, 0))</f>
        <v>España</v>
      </c>
      <c r="AC530" t="str">
        <f>'Conjunto de Datos'!N531</f>
        <v>Mesero_3</v>
      </c>
      <c r="AD530">
        <f>Tabla8[[#This Row],[Propina]]+Tabla8[[#This Row],[Precio Cena]]</f>
        <v>2799</v>
      </c>
      <c r="AE530" s="45">
        <f t="shared" si="16"/>
        <v>208</v>
      </c>
    </row>
    <row r="531" spans="19:31" x14ac:dyDescent="0.3">
      <c r="S531" t="str">
        <f>'Conjunto de Datos'!BB532</f>
        <v>232</v>
      </c>
      <c r="T531">
        <f>'Conjunto de Datos'!BF532</f>
        <v>530</v>
      </c>
      <c r="U531" s="7">
        <f>sala!I531</f>
        <v>3019</v>
      </c>
      <c r="V531" cm="1">
        <f t="array" ref="V531">SUM(IF(Cocina!A:A=Tabla8[[#This Row],[Numero de Orden]],Cocina!F:F*Cocina!G:G,0))</f>
        <v>160</v>
      </c>
      <c r="W531">
        <f>IF(Tabla8[[#This Row],[Cobrado]]="Cobrada",Tabla8[[#This Row],[Propina]]+Tabla8[[#This Row],[Precio Cena]],0)</f>
        <v>3179</v>
      </c>
      <c r="X531" t="str">
        <f>INDEX(sala!G:G, MATCH(Tabla8[[#This Row],[Numero de Orden]], sala!K:K, 0))</f>
        <v>Almuerzo</v>
      </c>
      <c r="Y531" t="str">
        <f>'Conjunto de Datos'!J532</f>
        <v>Cobrada</v>
      </c>
      <c r="Z531" t="str">
        <f>INDEX(sala!H:H, MATCH(Tabla8[[#This Row],[Numero de Orden]], sala!K:K, 0))</f>
        <v>Tarjeta de crédito</v>
      </c>
      <c r="AA531" s="3">
        <f>'Conjunto de Datos'!D532</f>
        <v>45022</v>
      </c>
      <c r="AB531" t="str">
        <f>INDEX(sala!L:L, MATCH(Tabla8[[#This Row],[Numero de Orden]], sala!K:K, 0))</f>
        <v>Paraguay</v>
      </c>
      <c r="AC531" t="str">
        <f>'Conjunto de Datos'!N532</f>
        <v>Mesero_5</v>
      </c>
      <c r="AD531">
        <f>Tabla8[[#This Row],[Propina]]+Tabla8[[#This Row],[Precio Cena]]</f>
        <v>3179</v>
      </c>
      <c r="AE531" s="45">
        <f t="shared" si="16"/>
        <v>160</v>
      </c>
    </row>
    <row r="532" spans="19:31" x14ac:dyDescent="0.3">
      <c r="S532" s="15" t="str">
        <f>'Conjunto de Datos'!BB533</f>
        <v>882</v>
      </c>
      <c r="T532" s="15">
        <f>'Conjunto de Datos'!BF533</f>
        <v>531</v>
      </c>
      <c r="U532" s="6">
        <f>sala!I532</f>
        <v>3439</v>
      </c>
      <c r="V532" cm="1">
        <f t="array" ref="V532">SUM(IF(Cocina!A:A=Tabla8[[#This Row],[Numero de Orden]],Cocina!F:F*Cocina!G:G,0))</f>
        <v>244</v>
      </c>
      <c r="W532">
        <f>IF(Tabla8[[#This Row],[Cobrado]]="Cobrada",Tabla8[[#This Row],[Propina]]+Tabla8[[#This Row],[Precio Cena]],0)</f>
        <v>0</v>
      </c>
      <c r="X532" t="str">
        <f>INDEX(sala!G:G, MATCH(Tabla8[[#This Row],[Numero de Orden]], sala!K:K, 0))</f>
        <v>Cena</v>
      </c>
      <c r="Y532" t="str">
        <f>'Conjunto de Datos'!J533</f>
        <v>No Cobrada</v>
      </c>
      <c r="Z532" t="str">
        <f>INDEX(sala!H:H, MATCH(Tabla8[[#This Row],[Numero de Orden]], sala!K:K, 0))</f>
        <v>Efectivo</v>
      </c>
      <c r="AA532" s="3">
        <f>'Conjunto de Datos'!D533</f>
        <v>45022</v>
      </c>
      <c r="AB532" t="str">
        <f>INDEX(sala!L:L, MATCH(Tabla8[[#This Row],[Numero de Orden]], sala!K:K, 0))</f>
        <v>Paraguay</v>
      </c>
      <c r="AC532" t="str">
        <f>'Conjunto de Datos'!N533</f>
        <v>Mesero_2</v>
      </c>
      <c r="AD532">
        <f>Tabla8[[#This Row],[Propina]]+Tabla8[[#This Row],[Precio Cena]]</f>
        <v>3683</v>
      </c>
      <c r="AE532" s="45">
        <f t="shared" si="16"/>
        <v>0</v>
      </c>
    </row>
    <row r="533" spans="19:31" x14ac:dyDescent="0.3">
      <c r="S533" t="str">
        <f>'Conjunto de Datos'!BB534</f>
        <v>63</v>
      </c>
      <c r="T533">
        <f>'Conjunto de Datos'!BF534</f>
        <v>532</v>
      </c>
      <c r="U533" s="7">
        <f>sala!I533</f>
        <v>1795</v>
      </c>
      <c r="V533" cm="1">
        <f t="array" ref="V533">SUM(IF(Cocina!A:A=Tabla8[[#This Row],[Numero de Orden]],Cocina!F:F*Cocina!G:G,0))</f>
        <v>137</v>
      </c>
      <c r="W533">
        <f>IF(Tabla8[[#This Row],[Cobrado]]="Cobrada",Tabla8[[#This Row],[Propina]]+Tabla8[[#This Row],[Precio Cena]],0)</f>
        <v>1932</v>
      </c>
      <c r="X533" t="str">
        <f>INDEX(sala!G:G, MATCH(Tabla8[[#This Row],[Numero de Orden]], sala!K:K, 0))</f>
        <v>Desayuno</v>
      </c>
      <c r="Y533" t="str">
        <f>'Conjunto de Datos'!J534</f>
        <v>Cobrada</v>
      </c>
      <c r="Z533" t="str">
        <f>INDEX(sala!H:H, MATCH(Tabla8[[#This Row],[Numero de Orden]], sala!K:K, 0))</f>
        <v>Tarjeta de débito</v>
      </c>
      <c r="AA533" s="3">
        <f>'Conjunto de Datos'!D534</f>
        <v>45022</v>
      </c>
      <c r="AB533" t="str">
        <f>INDEX(sala!L:L, MATCH(Tabla8[[#This Row],[Numero de Orden]], sala!K:K, 0))</f>
        <v>Argentina</v>
      </c>
      <c r="AC533" t="str">
        <f>'Conjunto de Datos'!N534</f>
        <v>Mesero_3</v>
      </c>
      <c r="AD533">
        <f>Tabla8[[#This Row],[Propina]]+Tabla8[[#This Row],[Precio Cena]]</f>
        <v>1932</v>
      </c>
      <c r="AE533" s="45">
        <f t="shared" si="16"/>
        <v>137</v>
      </c>
    </row>
    <row r="534" spans="19:31" x14ac:dyDescent="0.3">
      <c r="S534" s="15" t="str">
        <f>'Conjunto de Datos'!BB535</f>
        <v>336</v>
      </c>
      <c r="T534" s="15">
        <f>'Conjunto de Datos'!BF535</f>
        <v>533</v>
      </c>
      <c r="U534" s="6">
        <f>sala!I534</f>
        <v>2009</v>
      </c>
      <c r="V534" cm="1">
        <f t="array" ref="V534">SUM(IF(Cocina!A:A=Tabla8[[#This Row],[Numero de Orden]],Cocina!F:F*Cocina!G:G,0))</f>
        <v>41</v>
      </c>
      <c r="W534">
        <f>IF(Tabla8[[#This Row],[Cobrado]]="Cobrada",Tabla8[[#This Row],[Propina]]+Tabla8[[#This Row],[Precio Cena]],0)</f>
        <v>2050</v>
      </c>
      <c r="X534" t="str">
        <f>INDEX(sala!G:G, MATCH(Tabla8[[#This Row],[Numero de Orden]], sala!K:K, 0))</f>
        <v>Cena</v>
      </c>
      <c r="Y534" t="str">
        <f>'Conjunto de Datos'!J535</f>
        <v>Cobrada</v>
      </c>
      <c r="Z534" t="str">
        <f>INDEX(sala!H:H, MATCH(Tabla8[[#This Row],[Numero de Orden]], sala!K:K, 0))</f>
        <v>Tarjeta de débito</v>
      </c>
      <c r="AA534" s="3">
        <f>'Conjunto de Datos'!D535</f>
        <v>45022</v>
      </c>
      <c r="AB534" t="str">
        <f>INDEX(sala!L:L, MATCH(Tabla8[[#This Row],[Numero de Orden]], sala!K:K, 0))</f>
        <v>Ecuador</v>
      </c>
      <c r="AC534" t="str">
        <f>'Conjunto de Datos'!N535</f>
        <v>Mesero_5</v>
      </c>
      <c r="AD534">
        <f>Tabla8[[#This Row],[Propina]]+Tabla8[[#This Row],[Precio Cena]]</f>
        <v>2050</v>
      </c>
      <c r="AE534" s="45">
        <f t="shared" si="16"/>
        <v>41</v>
      </c>
    </row>
    <row r="535" spans="19:31" x14ac:dyDescent="0.3">
      <c r="S535" t="str">
        <f>'Conjunto de Datos'!BB536</f>
        <v>113</v>
      </c>
      <c r="T535">
        <f>'Conjunto de Datos'!BF536</f>
        <v>534</v>
      </c>
      <c r="U535" s="7">
        <f>sala!I535</f>
        <v>2359</v>
      </c>
      <c r="V535" cm="1">
        <f t="array" ref="V535">SUM(IF(Cocina!A:A=Tabla8[[#This Row],[Numero de Orden]],Cocina!F:F*Cocina!G:G,0))</f>
        <v>147</v>
      </c>
      <c r="W535">
        <f>IF(Tabla8[[#This Row],[Cobrado]]="Cobrada",Tabla8[[#This Row],[Propina]]+Tabla8[[#This Row],[Precio Cena]],0)</f>
        <v>2506</v>
      </c>
      <c r="X535" t="str">
        <f>INDEX(sala!G:G, MATCH(Tabla8[[#This Row],[Numero de Orden]], sala!K:K, 0))</f>
        <v>Cena</v>
      </c>
      <c r="Y535" t="str">
        <f>'Conjunto de Datos'!J536</f>
        <v>Cobrada</v>
      </c>
      <c r="Z535" t="str">
        <f>INDEX(sala!H:H, MATCH(Tabla8[[#This Row],[Numero de Orden]], sala!K:K, 0))</f>
        <v>Tarjeta de crédito</v>
      </c>
      <c r="AA535" s="3">
        <f>'Conjunto de Datos'!D536</f>
        <v>45022</v>
      </c>
      <c r="AB535" t="str">
        <f>INDEX(sala!L:L, MATCH(Tabla8[[#This Row],[Numero de Orden]], sala!K:K, 0))</f>
        <v>Brasil</v>
      </c>
      <c r="AC535" t="str">
        <f>'Conjunto de Datos'!N536</f>
        <v>Mesero_4</v>
      </c>
      <c r="AD535">
        <f>Tabla8[[#This Row],[Propina]]+Tabla8[[#This Row],[Precio Cena]]</f>
        <v>2506</v>
      </c>
      <c r="AE535" s="45">
        <f t="shared" si="16"/>
        <v>147</v>
      </c>
    </row>
    <row r="536" spans="19:31" x14ac:dyDescent="0.3">
      <c r="S536" s="15" t="str">
        <f>'Conjunto de Datos'!BB537</f>
        <v>711</v>
      </c>
      <c r="T536" s="15">
        <f>'Conjunto de Datos'!BF537</f>
        <v>535</v>
      </c>
      <c r="U536" s="6">
        <f>sala!I536</f>
        <v>3945</v>
      </c>
      <c r="V536" cm="1">
        <f t="array" ref="V536">SUM(IF(Cocina!A:A=Tabla8[[#This Row],[Numero de Orden]],Cocina!F:F*Cocina!G:G,0))</f>
        <v>276</v>
      </c>
      <c r="W536">
        <f>IF(Tabla8[[#This Row],[Cobrado]]="Cobrada",Tabla8[[#This Row],[Propina]]+Tabla8[[#This Row],[Precio Cena]],0)</f>
        <v>4221</v>
      </c>
      <c r="X536" t="str">
        <f>INDEX(sala!G:G, MATCH(Tabla8[[#This Row],[Numero de Orden]], sala!K:K, 0))</f>
        <v>Desayuno</v>
      </c>
      <c r="Y536" t="str">
        <f>'Conjunto de Datos'!J537</f>
        <v>Cobrada</v>
      </c>
      <c r="Z536" t="str">
        <f>INDEX(sala!H:H, MATCH(Tabla8[[#This Row],[Numero de Orden]], sala!K:K, 0))</f>
        <v>Tarjeta de crédito</v>
      </c>
      <c r="AA536" s="3">
        <f>'Conjunto de Datos'!D537</f>
        <v>45022</v>
      </c>
      <c r="AB536" t="str">
        <f>INDEX(sala!L:L, MATCH(Tabla8[[#This Row],[Numero de Orden]], sala!K:K, 0))</f>
        <v>Chile</v>
      </c>
      <c r="AC536" t="str">
        <f>'Conjunto de Datos'!N537</f>
        <v>Mesero_1</v>
      </c>
      <c r="AD536">
        <f>Tabla8[[#This Row],[Propina]]+Tabla8[[#This Row],[Precio Cena]]</f>
        <v>4221</v>
      </c>
      <c r="AE536" s="45">
        <f t="shared" si="16"/>
        <v>276</v>
      </c>
    </row>
    <row r="537" spans="19:31" x14ac:dyDescent="0.3">
      <c r="S537" t="str">
        <f>'Conjunto de Datos'!BB538</f>
        <v>785</v>
      </c>
      <c r="T537">
        <f>'Conjunto de Datos'!BF538</f>
        <v>536</v>
      </c>
      <c r="U537" s="7">
        <f>sala!I537</f>
        <v>460</v>
      </c>
      <c r="V537" cm="1">
        <f t="array" ref="V537">SUM(IF(Cocina!A:A=Tabla8[[#This Row],[Numero de Orden]],Cocina!F:F*Cocina!G:G,0))</f>
        <v>212</v>
      </c>
      <c r="W537">
        <f>IF(Tabla8[[#This Row],[Cobrado]]="Cobrada",Tabla8[[#This Row],[Propina]]+Tabla8[[#This Row],[Precio Cena]],0)</f>
        <v>0</v>
      </c>
      <c r="X537" t="str">
        <f>INDEX(sala!G:G, MATCH(Tabla8[[#This Row],[Numero de Orden]], sala!K:K, 0))</f>
        <v>Almuerzo</v>
      </c>
      <c r="Y537" t="str">
        <f>'Conjunto de Datos'!J538</f>
        <v>No Cobrada</v>
      </c>
      <c r="Z537" t="str">
        <f>INDEX(sala!H:H, MATCH(Tabla8[[#This Row],[Numero de Orden]], sala!K:K, 0))</f>
        <v>Tarjeta de crédito</v>
      </c>
      <c r="AA537" s="3">
        <f>'Conjunto de Datos'!D538</f>
        <v>45022</v>
      </c>
      <c r="AB537" t="str">
        <f>INDEX(sala!L:L, MATCH(Tabla8[[#This Row],[Numero de Orden]], sala!K:K, 0))</f>
        <v>Chile</v>
      </c>
      <c r="AC537" t="str">
        <f>'Conjunto de Datos'!N538</f>
        <v>Mesero_4</v>
      </c>
      <c r="AD537">
        <f>Tabla8[[#This Row],[Propina]]+Tabla8[[#This Row],[Precio Cena]]</f>
        <v>672</v>
      </c>
      <c r="AE537" s="45">
        <f t="shared" si="16"/>
        <v>0</v>
      </c>
    </row>
    <row r="538" spans="19:31" x14ac:dyDescent="0.3">
      <c r="S538" s="15" t="str">
        <f>'Conjunto de Datos'!BB539</f>
        <v>486</v>
      </c>
      <c r="T538" s="15">
        <f>'Conjunto de Datos'!BF539</f>
        <v>537</v>
      </c>
      <c r="U538" s="6">
        <f>sala!I538</f>
        <v>2868</v>
      </c>
      <c r="V538" cm="1">
        <f t="array" ref="V538">SUM(IF(Cocina!A:A=Tabla8[[#This Row],[Numero de Orden]],Cocina!F:F*Cocina!G:G,0))</f>
        <v>63</v>
      </c>
      <c r="W538">
        <f>IF(Tabla8[[#This Row],[Cobrado]]="Cobrada",Tabla8[[#This Row],[Propina]]+Tabla8[[#This Row],[Precio Cena]],0)</f>
        <v>2931</v>
      </c>
      <c r="X538" t="str">
        <f>INDEX(sala!G:G, MATCH(Tabla8[[#This Row],[Numero de Orden]], sala!K:K, 0))</f>
        <v>Desayuno</v>
      </c>
      <c r="Y538" t="str">
        <f>'Conjunto de Datos'!J539</f>
        <v>Cobrada</v>
      </c>
      <c r="Z538" t="str">
        <f>INDEX(sala!H:H, MATCH(Tabla8[[#This Row],[Numero de Orden]], sala!K:K, 0))</f>
        <v>Tarjeta de débito</v>
      </c>
      <c r="AA538" s="3">
        <f>'Conjunto de Datos'!D539</f>
        <v>45022</v>
      </c>
      <c r="AB538" t="str">
        <f>INDEX(sala!L:L, MATCH(Tabla8[[#This Row],[Numero de Orden]], sala!K:K, 0))</f>
        <v>Perú</v>
      </c>
      <c r="AC538" t="str">
        <f>'Conjunto de Datos'!N539</f>
        <v>Mesero_3</v>
      </c>
      <c r="AD538">
        <f>Tabla8[[#This Row],[Propina]]+Tabla8[[#This Row],[Precio Cena]]</f>
        <v>2931</v>
      </c>
      <c r="AE538" s="45">
        <f t="shared" si="16"/>
        <v>63</v>
      </c>
    </row>
    <row r="539" spans="19:31" x14ac:dyDescent="0.3">
      <c r="S539" t="str">
        <f>'Conjunto de Datos'!BB540</f>
        <v>397</v>
      </c>
      <c r="T539">
        <f>'Conjunto de Datos'!BF540</f>
        <v>538</v>
      </c>
      <c r="U539" s="7">
        <f>sala!I539</f>
        <v>4135</v>
      </c>
      <c r="V539" cm="1">
        <f t="array" ref="V539">SUM(IF(Cocina!A:A=Tabla8[[#This Row],[Numero de Orden]],Cocina!F:F*Cocina!G:G,0))</f>
        <v>142</v>
      </c>
      <c r="W539">
        <f>IF(Tabla8[[#This Row],[Cobrado]]="Cobrada",Tabla8[[#This Row],[Propina]]+Tabla8[[#This Row],[Precio Cena]],0)</f>
        <v>0</v>
      </c>
      <c r="X539" t="str">
        <f>INDEX(sala!G:G, MATCH(Tabla8[[#This Row],[Numero de Orden]], sala!K:K, 0))</f>
        <v>Cena</v>
      </c>
      <c r="Y539" t="str">
        <f>'Conjunto de Datos'!J540</f>
        <v>No Cobrada</v>
      </c>
      <c r="Z539" t="str">
        <f>INDEX(sala!H:H, MATCH(Tabla8[[#This Row],[Numero de Orden]], sala!K:K, 0))</f>
        <v>Tarjeta de débito</v>
      </c>
      <c r="AA539" s="3">
        <f>'Conjunto de Datos'!D540</f>
        <v>45022</v>
      </c>
      <c r="AB539" t="str">
        <f>INDEX(sala!L:L, MATCH(Tabla8[[#This Row],[Numero de Orden]], sala!K:K, 0))</f>
        <v>Colombia</v>
      </c>
      <c r="AC539" t="str">
        <f>'Conjunto de Datos'!N540</f>
        <v>Mesero_4</v>
      </c>
      <c r="AD539">
        <f>Tabla8[[#This Row],[Propina]]+Tabla8[[#This Row],[Precio Cena]]</f>
        <v>4277</v>
      </c>
      <c r="AE539" s="45">
        <f t="shared" si="16"/>
        <v>0</v>
      </c>
    </row>
    <row r="540" spans="19:31" x14ac:dyDescent="0.3">
      <c r="S540" s="15" t="str">
        <f>'Conjunto de Datos'!BB541</f>
        <v>554</v>
      </c>
      <c r="T540" s="15">
        <f>'Conjunto de Datos'!BF541</f>
        <v>539</v>
      </c>
      <c r="U540" s="6">
        <f>sala!I540</f>
        <v>209</v>
      </c>
      <c r="V540" cm="1">
        <f t="array" ref="V540">SUM(IF(Cocina!A:A=Tabla8[[#This Row],[Numero de Orden]],Cocina!F:F*Cocina!G:G,0))</f>
        <v>240</v>
      </c>
      <c r="W540">
        <f>IF(Tabla8[[#This Row],[Cobrado]]="Cobrada",Tabla8[[#This Row],[Propina]]+Tabla8[[#This Row],[Precio Cena]],0)</f>
        <v>449</v>
      </c>
      <c r="X540" t="str">
        <f>INDEX(sala!G:G, MATCH(Tabla8[[#This Row],[Numero de Orden]], sala!K:K, 0))</f>
        <v>Desayuno</v>
      </c>
      <c r="Y540" t="str">
        <f>'Conjunto de Datos'!J541</f>
        <v>Cobrada</v>
      </c>
      <c r="Z540" t="str">
        <f>INDEX(sala!H:H, MATCH(Tabla8[[#This Row],[Numero de Orden]], sala!K:K, 0))</f>
        <v>Efectivo</v>
      </c>
      <c r="AA540" s="3">
        <f>'Conjunto de Datos'!D541</f>
        <v>45022</v>
      </c>
      <c r="AB540" t="str">
        <f>INDEX(sala!L:L, MATCH(Tabla8[[#This Row],[Numero de Orden]], sala!K:K, 0))</f>
        <v>Colombia</v>
      </c>
      <c r="AC540" t="str">
        <f>'Conjunto de Datos'!N541</f>
        <v>Mesero_2</v>
      </c>
      <c r="AD540">
        <f>Tabla8[[#This Row],[Propina]]+Tabla8[[#This Row],[Precio Cena]]</f>
        <v>449</v>
      </c>
      <c r="AE540" s="45">
        <f t="shared" si="16"/>
        <v>240</v>
      </c>
    </row>
    <row r="541" spans="19:31" x14ac:dyDescent="0.3">
      <c r="S541" t="str">
        <f>'Conjunto de Datos'!BB542</f>
        <v>320</v>
      </c>
      <c r="T541">
        <f>'Conjunto de Datos'!BF542</f>
        <v>540</v>
      </c>
      <c r="U541" s="7">
        <f>sala!I541</f>
        <v>4785</v>
      </c>
      <c r="V541" cm="1">
        <f t="array" ref="V541">SUM(IF(Cocina!A:A=Tabla8[[#This Row],[Numero de Orden]],Cocina!F:F*Cocina!G:G,0))</f>
        <v>124</v>
      </c>
      <c r="W541">
        <f>IF(Tabla8[[#This Row],[Cobrado]]="Cobrada",Tabla8[[#This Row],[Propina]]+Tabla8[[#This Row],[Precio Cena]],0)</f>
        <v>4909</v>
      </c>
      <c r="X541" t="str">
        <f>INDEX(sala!G:G, MATCH(Tabla8[[#This Row],[Numero de Orden]], sala!K:K, 0))</f>
        <v>Almuerzo</v>
      </c>
      <c r="Y541" t="str">
        <f>'Conjunto de Datos'!J542</f>
        <v>Cobrada</v>
      </c>
      <c r="Z541" t="str">
        <f>INDEX(sala!H:H, MATCH(Tabla8[[#This Row],[Numero de Orden]], sala!K:K, 0))</f>
        <v>Tarjeta de crédito</v>
      </c>
      <c r="AA541" s="3">
        <f>'Conjunto de Datos'!D542</f>
        <v>45022</v>
      </c>
      <c r="AB541" t="str">
        <f>INDEX(sala!L:L, MATCH(Tabla8[[#This Row],[Numero de Orden]], sala!K:K, 0))</f>
        <v>Uruguay</v>
      </c>
      <c r="AC541" t="str">
        <f>'Conjunto de Datos'!N542</f>
        <v>Mesero_1</v>
      </c>
      <c r="AD541">
        <f>Tabla8[[#This Row],[Propina]]+Tabla8[[#This Row],[Precio Cena]]</f>
        <v>4909</v>
      </c>
      <c r="AE541" s="45">
        <f t="shared" si="16"/>
        <v>124</v>
      </c>
    </row>
    <row r="542" spans="19:31" x14ac:dyDescent="0.3">
      <c r="S542" s="15" t="str">
        <f>'Conjunto de Datos'!BB543</f>
        <v>427</v>
      </c>
      <c r="T542" s="15">
        <f>'Conjunto de Datos'!BF543</f>
        <v>541</v>
      </c>
      <c r="U542" s="6">
        <f>sala!I542</f>
        <v>337</v>
      </c>
      <c r="V542" cm="1">
        <f t="array" ref="V542">SUM(IF(Cocina!A:A=Tabla8[[#This Row],[Numero de Orden]],Cocina!F:F*Cocina!G:G,0))</f>
        <v>202</v>
      </c>
      <c r="W542">
        <f>IF(Tabla8[[#This Row],[Cobrado]]="Cobrada",Tabla8[[#This Row],[Propina]]+Tabla8[[#This Row],[Precio Cena]],0)</f>
        <v>539</v>
      </c>
      <c r="X542" t="str">
        <f>INDEX(sala!G:G, MATCH(Tabla8[[#This Row],[Numero de Orden]], sala!K:K, 0))</f>
        <v>Desayuno</v>
      </c>
      <c r="Y542" t="str">
        <f>'Conjunto de Datos'!J543</f>
        <v>Cobrada</v>
      </c>
      <c r="Z542" t="str">
        <f>INDEX(sala!H:H, MATCH(Tabla8[[#This Row],[Numero de Orden]], sala!K:K, 0))</f>
        <v>Tarjeta de débito</v>
      </c>
      <c r="AA542" s="3">
        <f>'Conjunto de Datos'!D543</f>
        <v>45022</v>
      </c>
      <c r="AB542" t="str">
        <f>INDEX(sala!L:L, MATCH(Tabla8[[#This Row],[Numero de Orden]], sala!K:K, 0))</f>
        <v>Colombia</v>
      </c>
      <c r="AC542" t="str">
        <f>'Conjunto de Datos'!N543</f>
        <v>Mesero_1</v>
      </c>
      <c r="AD542">
        <f>Tabla8[[#This Row],[Propina]]+Tabla8[[#This Row],[Precio Cena]]</f>
        <v>539</v>
      </c>
      <c r="AE542" s="45">
        <f t="shared" si="16"/>
        <v>202</v>
      </c>
    </row>
    <row r="543" spans="19:31" x14ac:dyDescent="0.3">
      <c r="S543" t="str">
        <f>'Conjunto de Datos'!BB544</f>
        <v>791</v>
      </c>
      <c r="T543">
        <f>'Conjunto de Datos'!BF544</f>
        <v>542</v>
      </c>
      <c r="U543" s="7">
        <f>sala!I543</f>
        <v>4905</v>
      </c>
      <c r="V543" cm="1">
        <f t="array" ref="V543">SUM(IF(Cocina!A:A=Tabla8[[#This Row],[Numero de Orden]],Cocina!F:F*Cocina!G:G,0))</f>
        <v>148</v>
      </c>
      <c r="W543">
        <f>IF(Tabla8[[#This Row],[Cobrado]]="Cobrada",Tabla8[[#This Row],[Propina]]+Tabla8[[#This Row],[Precio Cena]],0)</f>
        <v>5053</v>
      </c>
      <c r="X543" t="str">
        <f>INDEX(sala!G:G, MATCH(Tabla8[[#This Row],[Numero de Orden]], sala!K:K, 0))</f>
        <v>Desayuno</v>
      </c>
      <c r="Y543" t="str">
        <f>'Conjunto de Datos'!J544</f>
        <v>Cobrada</v>
      </c>
      <c r="Z543" t="str">
        <f>INDEX(sala!H:H, MATCH(Tabla8[[#This Row],[Numero de Orden]], sala!K:K, 0))</f>
        <v>Tarjeta de crédito</v>
      </c>
      <c r="AA543" s="3">
        <f>'Conjunto de Datos'!D544</f>
        <v>45022</v>
      </c>
      <c r="AB543" t="str">
        <f>INDEX(sala!L:L, MATCH(Tabla8[[#This Row],[Numero de Orden]], sala!K:K, 0))</f>
        <v>Chile</v>
      </c>
      <c r="AC543" t="str">
        <f>'Conjunto de Datos'!N544</f>
        <v>Mesero_3</v>
      </c>
      <c r="AD543">
        <f>Tabla8[[#This Row],[Propina]]+Tabla8[[#This Row],[Precio Cena]]</f>
        <v>5053</v>
      </c>
      <c r="AE543" s="45">
        <f t="shared" si="16"/>
        <v>148</v>
      </c>
    </row>
    <row r="544" spans="19:31" x14ac:dyDescent="0.3">
      <c r="S544" s="15" t="str">
        <f>'Conjunto de Datos'!BB545</f>
        <v>996</v>
      </c>
      <c r="T544" s="15">
        <f>'Conjunto de Datos'!BF545</f>
        <v>543</v>
      </c>
      <c r="U544" s="6">
        <f>sala!I544</f>
        <v>4937</v>
      </c>
      <c r="V544" cm="1">
        <f t="array" ref="V544">SUM(IF(Cocina!A:A=Tabla8[[#This Row],[Numero de Orden]],Cocina!F:F*Cocina!G:G,0))</f>
        <v>206</v>
      </c>
      <c r="W544">
        <f>IF(Tabla8[[#This Row],[Cobrado]]="Cobrada",Tabla8[[#This Row],[Propina]]+Tabla8[[#This Row],[Precio Cena]],0)</f>
        <v>5143</v>
      </c>
      <c r="X544" t="str">
        <f>INDEX(sala!G:G, MATCH(Tabla8[[#This Row],[Numero de Orden]], sala!K:K, 0))</f>
        <v>Cena</v>
      </c>
      <c r="Y544" t="str">
        <f>'Conjunto de Datos'!J545</f>
        <v>Cobrada</v>
      </c>
      <c r="Z544" t="str">
        <f>INDEX(sala!H:H, MATCH(Tabla8[[#This Row],[Numero de Orden]], sala!K:K, 0))</f>
        <v>Tarjeta de crédito</v>
      </c>
      <c r="AA544" s="3">
        <f>'Conjunto de Datos'!D545</f>
        <v>45022</v>
      </c>
      <c r="AB544" t="str">
        <f>INDEX(sala!L:L, MATCH(Tabla8[[#This Row],[Numero de Orden]], sala!K:K, 0))</f>
        <v>Paraguay</v>
      </c>
      <c r="AC544" t="str">
        <f>'Conjunto de Datos'!N545</f>
        <v>Mesero_4</v>
      </c>
      <c r="AD544">
        <f>Tabla8[[#This Row],[Propina]]+Tabla8[[#This Row],[Precio Cena]]</f>
        <v>5143</v>
      </c>
      <c r="AE544" s="45">
        <f t="shared" si="16"/>
        <v>206</v>
      </c>
    </row>
    <row r="545" spans="19:31" x14ac:dyDescent="0.3">
      <c r="S545" t="str">
        <f>'Conjunto de Datos'!BB546</f>
        <v>392</v>
      </c>
      <c r="T545">
        <f>'Conjunto de Datos'!BF546</f>
        <v>544</v>
      </c>
      <c r="U545" s="7">
        <f>sala!I545</f>
        <v>4491</v>
      </c>
      <c r="V545" cm="1">
        <f t="array" ref="V545">SUM(IF(Cocina!A:A=Tabla8[[#This Row],[Numero de Orden]],Cocina!F:F*Cocina!G:G,0))</f>
        <v>70</v>
      </c>
      <c r="W545">
        <f>IF(Tabla8[[#This Row],[Cobrado]]="Cobrada",Tabla8[[#This Row],[Propina]]+Tabla8[[#This Row],[Precio Cena]],0)</f>
        <v>4561</v>
      </c>
      <c r="X545" t="str">
        <f>INDEX(sala!G:G, MATCH(Tabla8[[#This Row],[Numero de Orden]], sala!K:K, 0))</f>
        <v>Almuerzo</v>
      </c>
      <c r="Y545" t="str">
        <f>'Conjunto de Datos'!J546</f>
        <v>Cobrada</v>
      </c>
      <c r="Z545" t="str">
        <f>INDEX(sala!H:H, MATCH(Tabla8[[#This Row],[Numero de Orden]], sala!K:K, 0))</f>
        <v>Tarjeta de crédito</v>
      </c>
      <c r="AA545" s="3">
        <f>'Conjunto de Datos'!D546</f>
        <v>45022</v>
      </c>
      <c r="AB545" t="str">
        <f>INDEX(sala!L:L, MATCH(Tabla8[[#This Row],[Numero de Orden]], sala!K:K, 0))</f>
        <v>Ecuador</v>
      </c>
      <c r="AC545" t="str">
        <f>'Conjunto de Datos'!N546</f>
        <v>Mesero_5</v>
      </c>
      <c r="AD545">
        <f>Tabla8[[#This Row],[Propina]]+Tabla8[[#This Row],[Precio Cena]]</f>
        <v>4561</v>
      </c>
      <c r="AE545" s="45">
        <f t="shared" si="16"/>
        <v>70</v>
      </c>
    </row>
    <row r="546" spans="19:31" x14ac:dyDescent="0.3">
      <c r="S546" s="15" t="str">
        <f>'Conjunto de Datos'!BB547</f>
        <v>615</v>
      </c>
      <c r="T546" s="15">
        <f>'Conjunto de Datos'!BF547</f>
        <v>545</v>
      </c>
      <c r="U546" s="6">
        <f>sala!I546</f>
        <v>1218</v>
      </c>
      <c r="V546" cm="1">
        <f t="array" ref="V546">SUM(IF(Cocina!A:A=Tabla8[[#This Row],[Numero de Orden]],Cocina!F:F*Cocina!G:G,0))</f>
        <v>130</v>
      </c>
      <c r="W546">
        <f>IF(Tabla8[[#This Row],[Cobrado]]="Cobrada",Tabla8[[#This Row],[Propina]]+Tabla8[[#This Row],[Precio Cena]],0)</f>
        <v>1348</v>
      </c>
      <c r="X546" t="str">
        <f>INDEX(sala!G:G, MATCH(Tabla8[[#This Row],[Numero de Orden]], sala!K:K, 0))</f>
        <v>Almuerzo</v>
      </c>
      <c r="Y546" t="str">
        <f>'Conjunto de Datos'!J547</f>
        <v>Cobrada</v>
      </c>
      <c r="Z546" t="str">
        <f>INDEX(sala!H:H, MATCH(Tabla8[[#This Row],[Numero de Orden]], sala!K:K, 0))</f>
        <v>Efectivo</v>
      </c>
      <c r="AA546" s="3">
        <f>'Conjunto de Datos'!D547</f>
        <v>45022</v>
      </c>
      <c r="AB546" t="str">
        <f>INDEX(sala!L:L, MATCH(Tabla8[[#This Row],[Numero de Orden]], sala!K:K, 0))</f>
        <v>Chile</v>
      </c>
      <c r="AC546" t="str">
        <f>'Conjunto de Datos'!N547</f>
        <v>Mesero_2</v>
      </c>
      <c r="AD546">
        <f>Tabla8[[#This Row],[Propina]]+Tabla8[[#This Row],[Precio Cena]]</f>
        <v>1348</v>
      </c>
      <c r="AE546" s="45">
        <f t="shared" si="16"/>
        <v>130</v>
      </c>
    </row>
    <row r="547" spans="19:31" x14ac:dyDescent="0.3">
      <c r="S547" t="str">
        <f>'Conjunto de Datos'!BB548</f>
        <v>968</v>
      </c>
      <c r="T547">
        <f>'Conjunto de Datos'!BF548</f>
        <v>546</v>
      </c>
      <c r="U547" s="7">
        <f>sala!I547</f>
        <v>4781</v>
      </c>
      <c r="V547" cm="1">
        <f t="array" ref="V547">SUM(IF(Cocina!A:A=Tabla8[[#This Row],[Numero de Orden]],Cocina!F:F*Cocina!G:G,0))</f>
        <v>92</v>
      </c>
      <c r="W547">
        <f>IF(Tabla8[[#This Row],[Cobrado]]="Cobrada",Tabla8[[#This Row],[Propina]]+Tabla8[[#This Row],[Precio Cena]],0)</f>
        <v>4873</v>
      </c>
      <c r="X547" t="str">
        <f>INDEX(sala!G:G, MATCH(Tabla8[[#This Row],[Numero de Orden]], sala!K:K, 0))</f>
        <v>Almuerzo</v>
      </c>
      <c r="Y547" t="str">
        <f>'Conjunto de Datos'!J548</f>
        <v>Cobrada</v>
      </c>
      <c r="Z547" t="str">
        <f>INDEX(sala!H:H, MATCH(Tabla8[[#This Row],[Numero de Orden]], sala!K:K, 0))</f>
        <v>Tarjeta de débito</v>
      </c>
      <c r="AA547" s="3">
        <f>'Conjunto de Datos'!D548</f>
        <v>45022</v>
      </c>
      <c r="AB547" t="str">
        <f>INDEX(sala!L:L, MATCH(Tabla8[[#This Row],[Numero de Orden]], sala!K:K, 0))</f>
        <v>Bolivia</v>
      </c>
      <c r="AC547" t="str">
        <f>'Conjunto de Datos'!N548</f>
        <v>Mesero_4</v>
      </c>
      <c r="AD547">
        <f>Tabla8[[#This Row],[Propina]]+Tabla8[[#This Row],[Precio Cena]]</f>
        <v>4873</v>
      </c>
      <c r="AE547" s="45">
        <f t="shared" si="16"/>
        <v>92</v>
      </c>
    </row>
    <row r="548" spans="19:31" x14ac:dyDescent="0.3">
      <c r="S548" s="15" t="str">
        <f>'Conjunto de Datos'!BB549</f>
        <v>206</v>
      </c>
      <c r="T548" s="15">
        <f>'Conjunto de Datos'!BF549</f>
        <v>547</v>
      </c>
      <c r="U548" s="6">
        <f>sala!I548</f>
        <v>2004</v>
      </c>
      <c r="V548" cm="1">
        <f t="array" ref="V548">SUM(IF(Cocina!A:A=Tabla8[[#This Row],[Numero de Orden]],Cocina!F:F*Cocina!G:G,0))</f>
        <v>227</v>
      </c>
      <c r="W548">
        <f>IF(Tabla8[[#This Row],[Cobrado]]="Cobrada",Tabla8[[#This Row],[Propina]]+Tabla8[[#This Row],[Precio Cena]],0)</f>
        <v>2231</v>
      </c>
      <c r="X548" t="str">
        <f>INDEX(sala!G:G, MATCH(Tabla8[[#This Row],[Numero de Orden]], sala!K:K, 0))</f>
        <v>Cena</v>
      </c>
      <c r="Y548" t="str">
        <f>'Conjunto de Datos'!J549</f>
        <v>Cobrada</v>
      </c>
      <c r="Z548" t="str">
        <f>INDEX(sala!H:H, MATCH(Tabla8[[#This Row],[Numero de Orden]], sala!K:K, 0))</f>
        <v>Tarjeta de crédito</v>
      </c>
      <c r="AA548" s="3">
        <f>'Conjunto de Datos'!D549</f>
        <v>45022</v>
      </c>
      <c r="AB548" t="str">
        <f>INDEX(sala!L:L, MATCH(Tabla8[[#This Row],[Numero de Orden]], sala!K:K, 0))</f>
        <v>Colombia</v>
      </c>
      <c r="AC548" t="str">
        <f>'Conjunto de Datos'!N549</f>
        <v>Mesero_5</v>
      </c>
      <c r="AD548">
        <f>Tabla8[[#This Row],[Propina]]+Tabla8[[#This Row],[Precio Cena]]</f>
        <v>2231</v>
      </c>
      <c r="AE548" s="45">
        <f t="shared" si="16"/>
        <v>227</v>
      </c>
    </row>
    <row r="549" spans="19:31" x14ac:dyDescent="0.3">
      <c r="S549" t="str">
        <f>'Conjunto de Datos'!BB550</f>
        <v>669</v>
      </c>
      <c r="T549">
        <f>'Conjunto de Datos'!BF550</f>
        <v>548</v>
      </c>
      <c r="U549" s="7">
        <f>sala!I549</f>
        <v>2888</v>
      </c>
      <c r="V549" cm="1">
        <f t="array" ref="V549">SUM(IF(Cocina!A:A=Tabla8[[#This Row],[Numero de Orden]],Cocina!F:F*Cocina!G:G,0))</f>
        <v>96</v>
      </c>
      <c r="W549">
        <f>IF(Tabla8[[#This Row],[Cobrado]]="Cobrada",Tabla8[[#This Row],[Propina]]+Tabla8[[#This Row],[Precio Cena]],0)</f>
        <v>2984</v>
      </c>
      <c r="X549" t="str">
        <f>INDEX(sala!G:G, MATCH(Tabla8[[#This Row],[Numero de Orden]], sala!K:K, 0))</f>
        <v>Almuerzo</v>
      </c>
      <c r="Y549" t="str">
        <f>'Conjunto de Datos'!J550</f>
        <v>Cobrada</v>
      </c>
      <c r="Z549" t="str">
        <f>INDEX(sala!H:H, MATCH(Tabla8[[#This Row],[Numero de Orden]], sala!K:K, 0))</f>
        <v>Tarjeta de crédito</v>
      </c>
      <c r="AA549" s="3">
        <f>'Conjunto de Datos'!D550</f>
        <v>45022</v>
      </c>
      <c r="AB549" t="str">
        <f>INDEX(sala!L:L, MATCH(Tabla8[[#This Row],[Numero de Orden]], sala!K:K, 0))</f>
        <v>Chile</v>
      </c>
      <c r="AC549" t="str">
        <f>'Conjunto de Datos'!N550</f>
        <v>Mesero_2</v>
      </c>
      <c r="AD549">
        <f>Tabla8[[#This Row],[Propina]]+Tabla8[[#This Row],[Precio Cena]]</f>
        <v>2984</v>
      </c>
      <c r="AE549" s="45">
        <f t="shared" si="16"/>
        <v>96</v>
      </c>
    </row>
    <row r="550" spans="19:31" x14ac:dyDescent="0.3">
      <c r="S550" s="15" t="str">
        <f>'Conjunto de Datos'!BB551</f>
        <v>195</v>
      </c>
      <c r="T550" s="15">
        <f>'Conjunto de Datos'!BF551</f>
        <v>549</v>
      </c>
      <c r="U550" s="6">
        <f>sala!I550</f>
        <v>3534</v>
      </c>
      <c r="V550" cm="1">
        <f t="array" ref="V550">SUM(IF(Cocina!A:A=Tabla8[[#This Row],[Numero de Orden]],Cocina!F:F*Cocina!G:G,0))</f>
        <v>162</v>
      </c>
      <c r="W550">
        <f>IF(Tabla8[[#This Row],[Cobrado]]="Cobrada",Tabla8[[#This Row],[Propina]]+Tabla8[[#This Row],[Precio Cena]],0)</f>
        <v>3696</v>
      </c>
      <c r="X550" t="str">
        <f>INDEX(sala!G:G, MATCH(Tabla8[[#This Row],[Numero de Orden]], sala!K:K, 0))</f>
        <v>Almuerzo</v>
      </c>
      <c r="Y550" t="str">
        <f>'Conjunto de Datos'!J551</f>
        <v>Cobrada</v>
      </c>
      <c r="Z550" t="str">
        <f>INDEX(sala!H:H, MATCH(Tabla8[[#This Row],[Numero de Orden]], sala!K:K, 0))</f>
        <v>Tarjeta de crédito</v>
      </c>
      <c r="AA550" s="3">
        <f>'Conjunto de Datos'!D551</f>
        <v>45022</v>
      </c>
      <c r="AB550" t="str">
        <f>INDEX(sala!L:L, MATCH(Tabla8[[#This Row],[Numero de Orden]], sala!K:K, 0))</f>
        <v>Colombia</v>
      </c>
      <c r="AC550" t="str">
        <f>'Conjunto de Datos'!N551</f>
        <v>Mesero_1</v>
      </c>
      <c r="AD550">
        <f>Tabla8[[#This Row],[Propina]]+Tabla8[[#This Row],[Precio Cena]]</f>
        <v>3696</v>
      </c>
      <c r="AE550" s="45">
        <f t="shared" si="16"/>
        <v>162</v>
      </c>
    </row>
    <row r="551" spans="19:31" x14ac:dyDescent="0.3">
      <c r="S551" t="str">
        <f>'Conjunto de Datos'!BB552</f>
        <v>900</v>
      </c>
      <c r="T551">
        <f>'Conjunto de Datos'!BF552</f>
        <v>550</v>
      </c>
      <c r="U551" s="7">
        <f>sala!I551</f>
        <v>2833</v>
      </c>
      <c r="V551" cm="1">
        <f t="array" ref="V551">SUM(IF(Cocina!A:A=Tabla8[[#This Row],[Numero de Orden]],Cocina!F:F*Cocina!G:G,0))</f>
        <v>124</v>
      </c>
      <c r="W551">
        <f>IF(Tabla8[[#This Row],[Cobrado]]="Cobrada",Tabla8[[#This Row],[Propina]]+Tabla8[[#This Row],[Precio Cena]],0)</f>
        <v>2957</v>
      </c>
      <c r="X551" t="str">
        <f>INDEX(sala!G:G, MATCH(Tabla8[[#This Row],[Numero de Orden]], sala!K:K, 0))</f>
        <v>Almuerzo</v>
      </c>
      <c r="Y551" t="str">
        <f>'Conjunto de Datos'!J552</f>
        <v>Cobrada</v>
      </c>
      <c r="Z551" t="str">
        <f>INDEX(sala!H:H, MATCH(Tabla8[[#This Row],[Numero de Orden]], sala!K:K, 0))</f>
        <v>Tarjeta de crédito</v>
      </c>
      <c r="AA551" s="3">
        <f>'Conjunto de Datos'!D552</f>
        <v>45022</v>
      </c>
      <c r="AB551" t="str">
        <f>INDEX(sala!L:L, MATCH(Tabla8[[#This Row],[Numero de Orden]], sala!K:K, 0))</f>
        <v>Brasil</v>
      </c>
      <c r="AC551" t="str">
        <f>'Conjunto de Datos'!N552</f>
        <v>Mesero_3</v>
      </c>
      <c r="AD551">
        <f>Tabla8[[#This Row],[Propina]]+Tabla8[[#This Row],[Precio Cena]]</f>
        <v>2957</v>
      </c>
      <c r="AE551" s="45">
        <f t="shared" si="16"/>
        <v>124</v>
      </c>
    </row>
    <row r="552" spans="19:31" x14ac:dyDescent="0.3">
      <c r="S552" s="15" t="str">
        <f>'Conjunto de Datos'!BB553</f>
        <v>705</v>
      </c>
      <c r="T552" s="15">
        <f>'Conjunto de Datos'!BF553</f>
        <v>551</v>
      </c>
      <c r="U552" s="6">
        <f>sala!I552</f>
        <v>1754</v>
      </c>
      <c r="V552" cm="1">
        <f t="array" ref="V552">SUM(IF(Cocina!A:A=Tabla8[[#This Row],[Numero de Orden]],Cocina!F:F*Cocina!G:G,0))</f>
        <v>171</v>
      </c>
      <c r="W552">
        <f>IF(Tabla8[[#This Row],[Cobrado]]="Cobrada",Tabla8[[#This Row],[Propina]]+Tabla8[[#This Row],[Precio Cena]],0)</f>
        <v>0</v>
      </c>
      <c r="X552" t="str">
        <f>INDEX(sala!G:G, MATCH(Tabla8[[#This Row],[Numero de Orden]], sala!K:K, 0))</f>
        <v>Desayuno</v>
      </c>
      <c r="Y552" t="str">
        <f>'Conjunto de Datos'!J553</f>
        <v>No Cobrada</v>
      </c>
      <c r="Z552" t="str">
        <f>INDEX(sala!H:H, MATCH(Tabla8[[#This Row],[Numero de Orden]], sala!K:K, 0))</f>
        <v>Tarjeta de crédito</v>
      </c>
      <c r="AA552" s="3">
        <f>'Conjunto de Datos'!D553</f>
        <v>45022</v>
      </c>
      <c r="AB552" t="str">
        <f>INDEX(sala!L:L, MATCH(Tabla8[[#This Row],[Numero de Orden]], sala!K:K, 0))</f>
        <v>Paraguay</v>
      </c>
      <c r="AC552" t="str">
        <f>'Conjunto de Datos'!N553</f>
        <v>Mesero_3</v>
      </c>
      <c r="AD552">
        <f>Tabla8[[#This Row],[Propina]]+Tabla8[[#This Row],[Precio Cena]]</f>
        <v>1925</v>
      </c>
      <c r="AE552" s="45">
        <f t="shared" si="16"/>
        <v>0</v>
      </c>
    </row>
    <row r="553" spans="19:31" x14ac:dyDescent="0.3">
      <c r="S553" t="str">
        <f>'Conjunto de Datos'!BB554</f>
        <v>462</v>
      </c>
      <c r="T553">
        <f>'Conjunto de Datos'!BF554</f>
        <v>552</v>
      </c>
      <c r="U553" s="7">
        <f>sala!I553</f>
        <v>1028</v>
      </c>
      <c r="V553" cm="1">
        <f t="array" ref="V553">SUM(IF(Cocina!A:A=Tabla8[[#This Row],[Numero de Orden]],Cocina!F:F*Cocina!G:G,0))</f>
        <v>243</v>
      </c>
      <c r="W553">
        <f>IF(Tabla8[[#This Row],[Cobrado]]="Cobrada",Tabla8[[#This Row],[Propina]]+Tabla8[[#This Row],[Precio Cena]],0)</f>
        <v>1271</v>
      </c>
      <c r="X553" t="str">
        <f>INDEX(sala!G:G, MATCH(Tabla8[[#This Row],[Numero de Orden]], sala!K:K, 0))</f>
        <v>Cena</v>
      </c>
      <c r="Y553" t="str">
        <f>'Conjunto de Datos'!J554</f>
        <v>Cobrada</v>
      </c>
      <c r="Z553" t="str">
        <f>INDEX(sala!H:H, MATCH(Tabla8[[#This Row],[Numero de Orden]], sala!K:K, 0))</f>
        <v>Tarjeta de débito</v>
      </c>
      <c r="AA553" s="3">
        <f>'Conjunto de Datos'!D554</f>
        <v>45022</v>
      </c>
      <c r="AB553" t="str">
        <f>INDEX(sala!L:L, MATCH(Tabla8[[#This Row],[Numero de Orden]], sala!K:K, 0))</f>
        <v>España</v>
      </c>
      <c r="AC553" t="str">
        <f>'Conjunto de Datos'!N554</f>
        <v>Mesero_3</v>
      </c>
      <c r="AD553">
        <f>Tabla8[[#This Row],[Propina]]+Tabla8[[#This Row],[Precio Cena]]</f>
        <v>1271</v>
      </c>
      <c r="AE553" s="45">
        <f t="shared" si="16"/>
        <v>243</v>
      </c>
    </row>
    <row r="554" spans="19:31" x14ac:dyDescent="0.3">
      <c r="S554" s="15" t="str">
        <f>'Conjunto de Datos'!BB555</f>
        <v>809</v>
      </c>
      <c r="T554" s="15">
        <f>'Conjunto de Datos'!BF555</f>
        <v>553</v>
      </c>
      <c r="U554" s="6">
        <f>sala!I554</f>
        <v>4438</v>
      </c>
      <c r="V554" cm="1">
        <f t="array" ref="V554">SUM(IF(Cocina!A:A=Tabla8[[#This Row],[Numero de Orden]],Cocina!F:F*Cocina!G:G,0))</f>
        <v>203</v>
      </c>
      <c r="W554">
        <f>IF(Tabla8[[#This Row],[Cobrado]]="Cobrada",Tabla8[[#This Row],[Propina]]+Tabla8[[#This Row],[Precio Cena]],0)</f>
        <v>0</v>
      </c>
      <c r="X554" t="str">
        <f>INDEX(sala!G:G, MATCH(Tabla8[[#This Row],[Numero de Orden]], sala!K:K, 0))</f>
        <v>Almuerzo</v>
      </c>
      <c r="Y554" t="str">
        <f>'Conjunto de Datos'!J555</f>
        <v>No Cobrada</v>
      </c>
      <c r="Z554" t="str">
        <f>INDEX(sala!H:H, MATCH(Tabla8[[#This Row],[Numero de Orden]], sala!K:K, 0))</f>
        <v>Tarjeta de crédito</v>
      </c>
      <c r="AA554" s="3">
        <f>'Conjunto de Datos'!D555</f>
        <v>45022</v>
      </c>
      <c r="AB554" t="str">
        <f>INDEX(sala!L:L, MATCH(Tabla8[[#This Row],[Numero de Orden]], sala!K:K, 0))</f>
        <v>Brasil</v>
      </c>
      <c r="AC554" t="str">
        <f>'Conjunto de Datos'!N555</f>
        <v>Mesero_3</v>
      </c>
      <c r="AD554">
        <f>Tabla8[[#This Row],[Propina]]+Tabla8[[#This Row],[Precio Cena]]</f>
        <v>4641</v>
      </c>
      <c r="AE554" s="45">
        <f t="shared" si="16"/>
        <v>0</v>
      </c>
    </row>
    <row r="555" spans="19:31" x14ac:dyDescent="0.3">
      <c r="S555" t="str">
        <f>'Conjunto de Datos'!BB556</f>
        <v>21</v>
      </c>
      <c r="T555">
        <f>'Conjunto de Datos'!BF556</f>
        <v>554</v>
      </c>
      <c r="U555" s="7">
        <f>sala!I555</f>
        <v>196</v>
      </c>
      <c r="V555" cm="1">
        <f t="array" ref="V555">SUM(IF(Cocina!A:A=Tabla8[[#This Row],[Numero de Orden]],Cocina!F:F*Cocina!G:G,0))</f>
        <v>166</v>
      </c>
      <c r="W555">
        <f>IF(Tabla8[[#This Row],[Cobrado]]="Cobrada",Tabla8[[#This Row],[Propina]]+Tabla8[[#This Row],[Precio Cena]],0)</f>
        <v>362</v>
      </c>
      <c r="X555" t="str">
        <f>INDEX(sala!G:G, MATCH(Tabla8[[#This Row],[Numero de Orden]], sala!K:K, 0))</f>
        <v>Almuerzo</v>
      </c>
      <c r="Y555" t="str">
        <f>'Conjunto de Datos'!J556</f>
        <v>Cobrada</v>
      </c>
      <c r="Z555" t="str">
        <f>INDEX(sala!H:H, MATCH(Tabla8[[#This Row],[Numero de Orden]], sala!K:K, 0))</f>
        <v>Tarjeta de débito</v>
      </c>
      <c r="AA555" s="3">
        <f>'Conjunto de Datos'!D556</f>
        <v>45022</v>
      </c>
      <c r="AB555" t="str">
        <f>INDEX(sala!L:L, MATCH(Tabla8[[#This Row],[Numero de Orden]], sala!K:K, 0))</f>
        <v>España</v>
      </c>
      <c r="AC555" t="str">
        <f>'Conjunto de Datos'!N556</f>
        <v>Mesero_3</v>
      </c>
      <c r="AD555">
        <f>Tabla8[[#This Row],[Propina]]+Tabla8[[#This Row],[Precio Cena]]</f>
        <v>362</v>
      </c>
      <c r="AE555" s="45">
        <f t="shared" si="16"/>
        <v>166</v>
      </c>
    </row>
    <row r="556" spans="19:31" x14ac:dyDescent="0.3">
      <c r="S556" s="15" t="str">
        <f>'Conjunto de Datos'!BB557</f>
        <v>110</v>
      </c>
      <c r="T556" s="15">
        <f>'Conjunto de Datos'!BF557</f>
        <v>555</v>
      </c>
      <c r="U556" s="6">
        <f>sala!I556</f>
        <v>4108</v>
      </c>
      <c r="V556" cm="1">
        <f t="array" ref="V556">SUM(IF(Cocina!A:A=Tabla8[[#This Row],[Numero de Orden]],Cocina!F:F*Cocina!G:G,0))</f>
        <v>30</v>
      </c>
      <c r="W556">
        <f>IF(Tabla8[[#This Row],[Cobrado]]="Cobrada",Tabla8[[#This Row],[Propina]]+Tabla8[[#This Row],[Precio Cena]],0)</f>
        <v>4138</v>
      </c>
      <c r="X556" t="str">
        <f>INDEX(sala!G:G, MATCH(Tabla8[[#This Row],[Numero de Orden]], sala!K:K, 0))</f>
        <v>Desayuno</v>
      </c>
      <c r="Y556" t="str">
        <f>'Conjunto de Datos'!J557</f>
        <v>Cobrada</v>
      </c>
      <c r="Z556" t="str">
        <f>INDEX(sala!H:H, MATCH(Tabla8[[#This Row],[Numero de Orden]], sala!K:K, 0))</f>
        <v>Efectivo</v>
      </c>
      <c r="AA556" s="3">
        <f>'Conjunto de Datos'!D557</f>
        <v>45022</v>
      </c>
      <c r="AB556" t="str">
        <f>INDEX(sala!L:L, MATCH(Tabla8[[#This Row],[Numero de Orden]], sala!K:K, 0))</f>
        <v>Brasil</v>
      </c>
      <c r="AC556" t="str">
        <f>'Conjunto de Datos'!N557</f>
        <v>Mesero_2</v>
      </c>
      <c r="AD556">
        <f>Tabla8[[#This Row],[Propina]]+Tabla8[[#This Row],[Precio Cena]]</f>
        <v>4138</v>
      </c>
      <c r="AE556" s="45">
        <f t="shared" si="16"/>
        <v>30</v>
      </c>
    </row>
    <row r="557" spans="19:31" x14ac:dyDescent="0.3">
      <c r="S557" t="str">
        <f>'Conjunto de Datos'!BB558</f>
        <v>814</v>
      </c>
      <c r="T557">
        <f>'Conjunto de Datos'!BF558</f>
        <v>556</v>
      </c>
      <c r="U557" s="7">
        <f>sala!I557</f>
        <v>1409</v>
      </c>
      <c r="V557" cm="1">
        <f t="array" ref="V557">SUM(IF(Cocina!A:A=Tabla8[[#This Row],[Numero de Orden]],Cocina!F:F*Cocina!G:G,0))</f>
        <v>76</v>
      </c>
      <c r="W557">
        <f>IF(Tabla8[[#This Row],[Cobrado]]="Cobrada",Tabla8[[#This Row],[Propina]]+Tabla8[[#This Row],[Precio Cena]],0)</f>
        <v>1485</v>
      </c>
      <c r="X557" t="str">
        <f>INDEX(sala!G:G, MATCH(Tabla8[[#This Row],[Numero de Orden]], sala!K:K, 0))</f>
        <v>Almuerzo</v>
      </c>
      <c r="Y557" t="str">
        <f>'Conjunto de Datos'!J558</f>
        <v>Cobrada</v>
      </c>
      <c r="Z557" t="str">
        <f>INDEX(sala!H:H, MATCH(Tabla8[[#This Row],[Numero de Orden]], sala!K:K, 0))</f>
        <v>Tarjeta de débito</v>
      </c>
      <c r="AA557" s="3">
        <f>'Conjunto de Datos'!D558</f>
        <v>45022</v>
      </c>
      <c r="AB557" t="str">
        <f>INDEX(sala!L:L, MATCH(Tabla8[[#This Row],[Numero de Orden]], sala!K:K, 0))</f>
        <v>Paraguay</v>
      </c>
      <c r="AC557" t="str">
        <f>'Conjunto de Datos'!N558</f>
        <v>Mesero_2</v>
      </c>
      <c r="AD557">
        <f>Tabla8[[#This Row],[Propina]]+Tabla8[[#This Row],[Precio Cena]]</f>
        <v>1485</v>
      </c>
      <c r="AE557" s="45">
        <f t="shared" si="16"/>
        <v>76</v>
      </c>
    </row>
    <row r="558" spans="19:31" x14ac:dyDescent="0.3">
      <c r="S558" s="15" t="str">
        <f>'Conjunto de Datos'!BB559</f>
        <v>381</v>
      </c>
      <c r="T558" s="15">
        <f>'Conjunto de Datos'!BF559</f>
        <v>557</v>
      </c>
      <c r="U558" s="6">
        <f>sala!I558</f>
        <v>3588</v>
      </c>
      <c r="V558" cm="1">
        <f t="array" ref="V558">SUM(IF(Cocina!A:A=Tabla8[[#This Row],[Numero de Orden]],Cocina!F:F*Cocina!G:G,0))</f>
        <v>177</v>
      </c>
      <c r="W558">
        <f>IF(Tabla8[[#This Row],[Cobrado]]="Cobrada",Tabla8[[#This Row],[Propina]]+Tabla8[[#This Row],[Precio Cena]],0)</f>
        <v>3765</v>
      </c>
      <c r="X558" t="str">
        <f>INDEX(sala!G:G, MATCH(Tabla8[[#This Row],[Numero de Orden]], sala!K:K, 0))</f>
        <v>Almuerzo</v>
      </c>
      <c r="Y558" t="str">
        <f>'Conjunto de Datos'!J559</f>
        <v>Cobrada</v>
      </c>
      <c r="Z558" t="str">
        <f>INDEX(sala!H:H, MATCH(Tabla8[[#This Row],[Numero de Orden]], sala!K:K, 0))</f>
        <v>Efectivo</v>
      </c>
      <c r="AA558" s="3">
        <f>'Conjunto de Datos'!D559</f>
        <v>45022</v>
      </c>
      <c r="AB558" t="str">
        <f>INDEX(sala!L:L, MATCH(Tabla8[[#This Row],[Numero de Orden]], sala!K:K, 0))</f>
        <v>Ecuador</v>
      </c>
      <c r="AC558" t="str">
        <f>'Conjunto de Datos'!N559</f>
        <v>Mesero_2</v>
      </c>
      <c r="AD558">
        <f>Tabla8[[#This Row],[Propina]]+Tabla8[[#This Row],[Precio Cena]]</f>
        <v>3765</v>
      </c>
      <c r="AE558" s="45">
        <f t="shared" si="16"/>
        <v>177</v>
      </c>
    </row>
    <row r="559" spans="19:31" x14ac:dyDescent="0.3">
      <c r="S559" t="str">
        <f>'Conjunto de Datos'!BB560</f>
        <v>284</v>
      </c>
      <c r="T559">
        <f>'Conjunto de Datos'!BF560</f>
        <v>558</v>
      </c>
      <c r="U559" s="7">
        <f>sala!I559</f>
        <v>4526</v>
      </c>
      <c r="V559" cm="1">
        <f t="array" ref="V559">SUM(IF(Cocina!A:A=Tabla8[[#This Row],[Numero de Orden]],Cocina!F:F*Cocina!G:G,0))</f>
        <v>179</v>
      </c>
      <c r="W559">
        <f>IF(Tabla8[[#This Row],[Cobrado]]="Cobrada",Tabla8[[#This Row],[Propina]]+Tabla8[[#This Row],[Precio Cena]],0)</f>
        <v>4705</v>
      </c>
      <c r="X559" t="str">
        <f>INDEX(sala!G:G, MATCH(Tabla8[[#This Row],[Numero de Orden]], sala!K:K, 0))</f>
        <v>Almuerzo</v>
      </c>
      <c r="Y559" t="str">
        <f>'Conjunto de Datos'!J560</f>
        <v>Cobrada</v>
      </c>
      <c r="Z559" t="str">
        <f>INDEX(sala!H:H, MATCH(Tabla8[[#This Row],[Numero de Orden]], sala!K:K, 0))</f>
        <v>Tarjeta de crédito</v>
      </c>
      <c r="AA559" s="3">
        <f>'Conjunto de Datos'!D560</f>
        <v>45022</v>
      </c>
      <c r="AB559" t="str">
        <f>INDEX(sala!L:L, MATCH(Tabla8[[#This Row],[Numero de Orden]], sala!K:K, 0))</f>
        <v>Paraguay</v>
      </c>
      <c r="AC559" t="str">
        <f>'Conjunto de Datos'!N560</f>
        <v>Mesero_1</v>
      </c>
      <c r="AD559">
        <f>Tabla8[[#This Row],[Propina]]+Tabla8[[#This Row],[Precio Cena]]</f>
        <v>4705</v>
      </c>
      <c r="AE559" s="45">
        <f t="shared" si="16"/>
        <v>179</v>
      </c>
    </row>
    <row r="560" spans="19:31" x14ac:dyDescent="0.3">
      <c r="S560" s="15" t="str">
        <f>'Conjunto de Datos'!BB561</f>
        <v>728</v>
      </c>
      <c r="T560" s="15">
        <f>'Conjunto de Datos'!BF561</f>
        <v>559</v>
      </c>
      <c r="U560" s="6">
        <f>sala!I560</f>
        <v>2436</v>
      </c>
      <c r="V560" cm="1">
        <f t="array" ref="V560">SUM(IF(Cocina!A:A=Tabla8[[#This Row],[Numero de Orden]],Cocina!F:F*Cocina!G:G,0))</f>
        <v>99</v>
      </c>
      <c r="W560">
        <f>IF(Tabla8[[#This Row],[Cobrado]]="Cobrada",Tabla8[[#This Row],[Propina]]+Tabla8[[#This Row],[Precio Cena]],0)</f>
        <v>2535</v>
      </c>
      <c r="X560" t="str">
        <f>INDEX(sala!G:G, MATCH(Tabla8[[#This Row],[Numero de Orden]], sala!K:K, 0))</f>
        <v>Almuerzo</v>
      </c>
      <c r="Y560" t="str">
        <f>'Conjunto de Datos'!J561</f>
        <v>Cobrada</v>
      </c>
      <c r="Z560" t="str">
        <f>INDEX(sala!H:H, MATCH(Tabla8[[#This Row],[Numero de Orden]], sala!K:K, 0))</f>
        <v>Tarjeta de crédito</v>
      </c>
      <c r="AA560" s="3">
        <f>'Conjunto de Datos'!D561</f>
        <v>45022</v>
      </c>
      <c r="AB560" t="str">
        <f>INDEX(sala!L:L, MATCH(Tabla8[[#This Row],[Numero de Orden]], sala!K:K, 0))</f>
        <v>Uruguay</v>
      </c>
      <c r="AC560" t="str">
        <f>'Conjunto de Datos'!N561</f>
        <v>Mesero_2</v>
      </c>
      <c r="AD560">
        <f>Tabla8[[#This Row],[Propina]]+Tabla8[[#This Row],[Precio Cena]]</f>
        <v>2535</v>
      </c>
      <c r="AE560" s="45">
        <f t="shared" si="16"/>
        <v>99</v>
      </c>
    </row>
    <row r="561" spans="19:31" x14ac:dyDescent="0.3">
      <c r="S561" t="str">
        <f>'Conjunto de Datos'!BB562</f>
        <v>610</v>
      </c>
      <c r="T561">
        <f>'Conjunto de Datos'!BF562</f>
        <v>560</v>
      </c>
      <c r="U561" s="7">
        <f>sala!I561</f>
        <v>3153</v>
      </c>
      <c r="V561" cm="1">
        <f t="array" ref="V561">SUM(IF(Cocina!A:A=Tabla8[[#This Row],[Numero de Orden]],Cocina!F:F*Cocina!G:G,0))</f>
        <v>111</v>
      </c>
      <c r="W561">
        <f>IF(Tabla8[[#This Row],[Cobrado]]="Cobrada",Tabla8[[#This Row],[Propina]]+Tabla8[[#This Row],[Precio Cena]],0)</f>
        <v>3264</v>
      </c>
      <c r="X561" t="str">
        <f>INDEX(sala!G:G, MATCH(Tabla8[[#This Row],[Numero de Orden]], sala!K:K, 0))</f>
        <v>Cena</v>
      </c>
      <c r="Y561" t="str">
        <f>'Conjunto de Datos'!J562</f>
        <v>Cobrada</v>
      </c>
      <c r="Z561" t="str">
        <f>INDEX(sala!H:H, MATCH(Tabla8[[#This Row],[Numero de Orden]], sala!K:K, 0))</f>
        <v>Tarjeta de débito</v>
      </c>
      <c r="AA561" s="3">
        <f>'Conjunto de Datos'!D562</f>
        <v>45022</v>
      </c>
      <c r="AB561" t="str">
        <f>INDEX(sala!L:L, MATCH(Tabla8[[#This Row],[Numero de Orden]], sala!K:K, 0))</f>
        <v>Argentina</v>
      </c>
      <c r="AC561" t="str">
        <f>'Conjunto de Datos'!N562</f>
        <v>Mesero_5</v>
      </c>
      <c r="AD561">
        <f>Tabla8[[#This Row],[Propina]]+Tabla8[[#This Row],[Precio Cena]]</f>
        <v>3264</v>
      </c>
      <c r="AE561" s="45">
        <f t="shared" si="16"/>
        <v>111</v>
      </c>
    </row>
    <row r="562" spans="19:31" x14ac:dyDescent="0.3">
      <c r="S562" s="15" t="str">
        <f>'Conjunto de Datos'!BB563</f>
        <v>190</v>
      </c>
      <c r="T562" s="15">
        <f>'Conjunto de Datos'!BF563</f>
        <v>561</v>
      </c>
      <c r="U562" s="6">
        <f>sala!I562</f>
        <v>4424</v>
      </c>
      <c r="V562" cm="1">
        <f t="array" ref="V562">SUM(IF(Cocina!A:A=Tabla8[[#This Row],[Numero de Orden]],Cocina!F:F*Cocina!G:G,0))</f>
        <v>64</v>
      </c>
      <c r="W562">
        <f>IF(Tabla8[[#This Row],[Cobrado]]="Cobrada",Tabla8[[#This Row],[Propina]]+Tabla8[[#This Row],[Precio Cena]],0)</f>
        <v>4488</v>
      </c>
      <c r="X562" t="str">
        <f>INDEX(sala!G:G, MATCH(Tabla8[[#This Row],[Numero de Orden]], sala!K:K, 0))</f>
        <v>Almuerzo</v>
      </c>
      <c r="Y562" t="str">
        <f>'Conjunto de Datos'!J563</f>
        <v>Cobrada</v>
      </c>
      <c r="Z562" t="str">
        <f>INDEX(sala!H:H, MATCH(Tabla8[[#This Row],[Numero de Orden]], sala!K:K, 0))</f>
        <v>Tarjeta de crédito</v>
      </c>
      <c r="AA562" s="3">
        <f>'Conjunto de Datos'!D563</f>
        <v>45022</v>
      </c>
      <c r="AB562" t="str">
        <f>INDEX(sala!L:L, MATCH(Tabla8[[#This Row],[Numero de Orden]], sala!K:K, 0))</f>
        <v>Chile</v>
      </c>
      <c r="AC562" t="str">
        <f>'Conjunto de Datos'!N563</f>
        <v>Mesero_1</v>
      </c>
      <c r="AD562">
        <f>Tabla8[[#This Row],[Propina]]+Tabla8[[#This Row],[Precio Cena]]</f>
        <v>4488</v>
      </c>
      <c r="AE562" s="45">
        <f t="shared" si="16"/>
        <v>64</v>
      </c>
    </row>
    <row r="563" spans="19:31" x14ac:dyDescent="0.3">
      <c r="S563" t="str">
        <f>'Conjunto de Datos'!BB564</f>
        <v>454</v>
      </c>
      <c r="T563">
        <f>'Conjunto de Datos'!BF564</f>
        <v>562</v>
      </c>
      <c r="U563" s="7">
        <f>sala!I563</f>
        <v>2149</v>
      </c>
      <c r="V563" cm="1">
        <f t="array" ref="V563">SUM(IF(Cocina!A:A=Tabla8[[#This Row],[Numero de Orden]],Cocina!F:F*Cocina!G:G,0))</f>
        <v>288</v>
      </c>
      <c r="W563">
        <f>IF(Tabla8[[#This Row],[Cobrado]]="Cobrada",Tabla8[[#This Row],[Propina]]+Tabla8[[#This Row],[Precio Cena]],0)</f>
        <v>2437</v>
      </c>
      <c r="X563" t="str">
        <f>INDEX(sala!G:G, MATCH(Tabla8[[#This Row],[Numero de Orden]], sala!K:K, 0))</f>
        <v>Cena</v>
      </c>
      <c r="Y563" t="str">
        <f>'Conjunto de Datos'!J564</f>
        <v>Cobrada</v>
      </c>
      <c r="Z563" t="str">
        <f>INDEX(sala!H:H, MATCH(Tabla8[[#This Row],[Numero de Orden]], sala!K:K, 0))</f>
        <v>Tarjeta de crédito</v>
      </c>
      <c r="AA563" s="3">
        <f>'Conjunto de Datos'!D564</f>
        <v>45022</v>
      </c>
      <c r="AB563" t="str">
        <f>INDEX(sala!L:L, MATCH(Tabla8[[#This Row],[Numero de Orden]], sala!K:K, 0))</f>
        <v>Venezuela</v>
      </c>
      <c r="AC563" t="str">
        <f>'Conjunto de Datos'!N564</f>
        <v>Mesero_1</v>
      </c>
      <c r="AD563">
        <f>Tabla8[[#This Row],[Propina]]+Tabla8[[#This Row],[Precio Cena]]</f>
        <v>2437</v>
      </c>
      <c r="AE563" s="45">
        <f t="shared" si="16"/>
        <v>288</v>
      </c>
    </row>
    <row r="564" spans="19:31" x14ac:dyDescent="0.3">
      <c r="S564" s="15" t="str">
        <f>'Conjunto de Datos'!BB565</f>
        <v>865</v>
      </c>
      <c r="T564" s="15">
        <f>'Conjunto de Datos'!BF565</f>
        <v>563</v>
      </c>
      <c r="U564" s="6">
        <f>sala!I564</f>
        <v>2007</v>
      </c>
      <c r="V564" cm="1">
        <f t="array" ref="V564">SUM(IF(Cocina!A:A=Tabla8[[#This Row],[Numero de Orden]],Cocina!F:F*Cocina!G:G,0))</f>
        <v>54</v>
      </c>
      <c r="W564">
        <f>IF(Tabla8[[#This Row],[Cobrado]]="Cobrada",Tabla8[[#This Row],[Propina]]+Tabla8[[#This Row],[Precio Cena]],0)</f>
        <v>2061</v>
      </c>
      <c r="X564" t="str">
        <f>INDEX(sala!G:G, MATCH(Tabla8[[#This Row],[Numero de Orden]], sala!K:K, 0))</f>
        <v>Desayuno</v>
      </c>
      <c r="Y564" t="str">
        <f>'Conjunto de Datos'!J565</f>
        <v>Cobrada</v>
      </c>
      <c r="Z564" t="str">
        <f>INDEX(sala!H:H, MATCH(Tabla8[[#This Row],[Numero de Orden]], sala!K:K, 0))</f>
        <v>Efectivo</v>
      </c>
      <c r="AA564" s="3">
        <f>'Conjunto de Datos'!D565</f>
        <v>45022</v>
      </c>
      <c r="AB564" t="str">
        <f>INDEX(sala!L:L, MATCH(Tabla8[[#This Row],[Numero de Orden]], sala!K:K, 0))</f>
        <v>Argentina</v>
      </c>
      <c r="AC564" t="str">
        <f>'Conjunto de Datos'!N565</f>
        <v>Mesero_5</v>
      </c>
      <c r="AD564">
        <f>Tabla8[[#This Row],[Propina]]+Tabla8[[#This Row],[Precio Cena]]</f>
        <v>2061</v>
      </c>
      <c r="AE564" s="45">
        <f t="shared" si="16"/>
        <v>54</v>
      </c>
    </row>
    <row r="565" spans="19:31" x14ac:dyDescent="0.3">
      <c r="S565" t="str">
        <f>'Conjunto de Datos'!BB566</f>
        <v>825</v>
      </c>
      <c r="T565">
        <f>'Conjunto de Datos'!BF566</f>
        <v>564</v>
      </c>
      <c r="U565" s="7">
        <f>sala!I565</f>
        <v>3308</v>
      </c>
      <c r="V565" cm="1">
        <f t="array" ref="V565">SUM(IF(Cocina!A:A=Tabla8[[#This Row],[Numero de Orden]],Cocina!F:F*Cocina!G:G,0))</f>
        <v>156</v>
      </c>
      <c r="W565">
        <f>IF(Tabla8[[#This Row],[Cobrado]]="Cobrada",Tabla8[[#This Row],[Propina]]+Tabla8[[#This Row],[Precio Cena]],0)</f>
        <v>3464</v>
      </c>
      <c r="X565" t="str">
        <f>INDEX(sala!G:G, MATCH(Tabla8[[#This Row],[Numero de Orden]], sala!K:K, 0))</f>
        <v>Cena</v>
      </c>
      <c r="Y565" t="str">
        <f>'Conjunto de Datos'!J566</f>
        <v>Cobrada</v>
      </c>
      <c r="Z565" t="str">
        <f>INDEX(sala!H:H, MATCH(Tabla8[[#This Row],[Numero de Orden]], sala!K:K, 0))</f>
        <v>Efectivo</v>
      </c>
      <c r="AA565" s="3">
        <f>'Conjunto de Datos'!D566</f>
        <v>45022</v>
      </c>
      <c r="AB565" t="str">
        <f>INDEX(sala!L:L, MATCH(Tabla8[[#This Row],[Numero de Orden]], sala!K:K, 0))</f>
        <v>Venezuela</v>
      </c>
      <c r="AC565" t="str">
        <f>'Conjunto de Datos'!N566</f>
        <v>Mesero_5</v>
      </c>
      <c r="AD565">
        <f>Tabla8[[#This Row],[Propina]]+Tabla8[[#This Row],[Precio Cena]]</f>
        <v>3464</v>
      </c>
      <c r="AE565" s="45">
        <f t="shared" si="16"/>
        <v>156</v>
      </c>
    </row>
    <row r="566" spans="19:31" x14ac:dyDescent="0.3">
      <c r="S566" s="15" t="str">
        <f>'Conjunto de Datos'!BB567</f>
        <v>134</v>
      </c>
      <c r="T566" s="15">
        <f>'Conjunto de Datos'!BF567</f>
        <v>565</v>
      </c>
      <c r="U566" s="6">
        <f>sala!I566</f>
        <v>1511</v>
      </c>
      <c r="V566" cm="1">
        <f t="array" ref="V566">SUM(IF(Cocina!A:A=Tabla8[[#This Row],[Numero de Orden]],Cocina!F:F*Cocina!G:G,0))</f>
        <v>251</v>
      </c>
      <c r="W566">
        <f>IF(Tabla8[[#This Row],[Cobrado]]="Cobrada",Tabla8[[#This Row],[Propina]]+Tabla8[[#This Row],[Precio Cena]],0)</f>
        <v>1762</v>
      </c>
      <c r="X566" t="str">
        <f>INDEX(sala!G:G, MATCH(Tabla8[[#This Row],[Numero de Orden]], sala!K:K, 0))</f>
        <v>Almuerzo</v>
      </c>
      <c r="Y566" t="str">
        <f>'Conjunto de Datos'!J567</f>
        <v>Cobrada</v>
      </c>
      <c r="Z566" t="str">
        <f>INDEX(sala!H:H, MATCH(Tabla8[[#This Row],[Numero de Orden]], sala!K:K, 0))</f>
        <v>Tarjeta de crédito</v>
      </c>
      <c r="AA566" s="3">
        <f>'Conjunto de Datos'!D567</f>
        <v>45022</v>
      </c>
      <c r="AB566" t="str">
        <f>INDEX(sala!L:L, MATCH(Tabla8[[#This Row],[Numero de Orden]], sala!K:K, 0))</f>
        <v>Venezuela</v>
      </c>
      <c r="AC566" t="str">
        <f>'Conjunto de Datos'!N567</f>
        <v>Mesero_1</v>
      </c>
      <c r="AD566">
        <f>Tabla8[[#This Row],[Propina]]+Tabla8[[#This Row],[Precio Cena]]</f>
        <v>1762</v>
      </c>
      <c r="AE566" s="45">
        <f t="shared" si="16"/>
        <v>251</v>
      </c>
    </row>
    <row r="567" spans="19:31" x14ac:dyDescent="0.3">
      <c r="S567" t="str">
        <f>'Conjunto de Datos'!BB568</f>
        <v>88</v>
      </c>
      <c r="T567">
        <f>'Conjunto de Datos'!BF568</f>
        <v>566</v>
      </c>
      <c r="U567" s="7">
        <f>sala!I567</f>
        <v>4262</v>
      </c>
      <c r="V567" cm="1">
        <f t="array" ref="V567">SUM(IF(Cocina!A:A=Tabla8[[#This Row],[Numero de Orden]],Cocina!F:F*Cocina!G:G,0))</f>
        <v>78</v>
      </c>
      <c r="W567">
        <f>IF(Tabla8[[#This Row],[Cobrado]]="Cobrada",Tabla8[[#This Row],[Propina]]+Tabla8[[#This Row],[Precio Cena]],0)</f>
        <v>4340</v>
      </c>
      <c r="X567" t="str">
        <f>INDEX(sala!G:G, MATCH(Tabla8[[#This Row],[Numero de Orden]], sala!K:K, 0))</f>
        <v>Almuerzo</v>
      </c>
      <c r="Y567" t="str">
        <f>'Conjunto de Datos'!J568</f>
        <v>Cobrada</v>
      </c>
      <c r="Z567" t="str">
        <f>INDEX(sala!H:H, MATCH(Tabla8[[#This Row],[Numero de Orden]], sala!K:K, 0))</f>
        <v>Tarjeta de crédito</v>
      </c>
      <c r="AA567" s="3">
        <f>'Conjunto de Datos'!D568</f>
        <v>45022</v>
      </c>
      <c r="AB567" t="str">
        <f>INDEX(sala!L:L, MATCH(Tabla8[[#This Row],[Numero de Orden]], sala!K:K, 0))</f>
        <v>Uruguay</v>
      </c>
      <c r="AC567" t="str">
        <f>'Conjunto de Datos'!N568</f>
        <v>Mesero_3</v>
      </c>
      <c r="AD567">
        <f>Tabla8[[#This Row],[Propina]]+Tabla8[[#This Row],[Precio Cena]]</f>
        <v>4340</v>
      </c>
      <c r="AE567" s="45">
        <f t="shared" si="16"/>
        <v>78</v>
      </c>
    </row>
    <row r="568" spans="19:31" x14ac:dyDescent="0.3">
      <c r="S568" s="15" t="str">
        <f>'Conjunto de Datos'!BB569</f>
        <v>789</v>
      </c>
      <c r="T568" s="15">
        <f>'Conjunto de Datos'!BF569</f>
        <v>567</v>
      </c>
      <c r="U568" s="6">
        <f>sala!I568</f>
        <v>4283</v>
      </c>
      <c r="V568" cm="1">
        <f t="array" ref="V568">SUM(IF(Cocina!A:A=Tabla8[[#This Row],[Numero de Orden]],Cocina!F:F*Cocina!G:G,0))</f>
        <v>253</v>
      </c>
      <c r="W568">
        <f>IF(Tabla8[[#This Row],[Cobrado]]="Cobrada",Tabla8[[#This Row],[Propina]]+Tabla8[[#This Row],[Precio Cena]],0)</f>
        <v>4536</v>
      </c>
      <c r="X568" t="str">
        <f>INDEX(sala!G:G, MATCH(Tabla8[[#This Row],[Numero de Orden]], sala!K:K, 0))</f>
        <v>Almuerzo</v>
      </c>
      <c r="Y568" t="str">
        <f>'Conjunto de Datos'!J569</f>
        <v>Cobrada</v>
      </c>
      <c r="Z568" t="str">
        <f>INDEX(sala!H:H, MATCH(Tabla8[[#This Row],[Numero de Orden]], sala!K:K, 0))</f>
        <v>Tarjeta de débito</v>
      </c>
      <c r="AA568" s="3">
        <f>'Conjunto de Datos'!D569</f>
        <v>45022</v>
      </c>
      <c r="AB568" t="str">
        <f>INDEX(sala!L:L, MATCH(Tabla8[[#This Row],[Numero de Orden]], sala!K:K, 0))</f>
        <v>Chile</v>
      </c>
      <c r="AC568" t="str">
        <f>'Conjunto de Datos'!N569</f>
        <v>Mesero_4</v>
      </c>
      <c r="AD568">
        <f>Tabla8[[#This Row],[Propina]]+Tabla8[[#This Row],[Precio Cena]]</f>
        <v>4536</v>
      </c>
      <c r="AE568" s="45">
        <f t="shared" si="16"/>
        <v>253</v>
      </c>
    </row>
    <row r="569" spans="19:31" x14ac:dyDescent="0.3">
      <c r="S569" t="str">
        <f>'Conjunto de Datos'!BB570</f>
        <v>63</v>
      </c>
      <c r="T569">
        <f>'Conjunto de Datos'!BF570</f>
        <v>568</v>
      </c>
      <c r="U569" s="7">
        <f>sala!I569</f>
        <v>2113</v>
      </c>
      <c r="V569" cm="1">
        <f t="array" ref="V569">SUM(IF(Cocina!A:A=Tabla8[[#This Row],[Numero de Orden]],Cocina!F:F*Cocina!G:G,0))</f>
        <v>182</v>
      </c>
      <c r="W569">
        <f>IF(Tabla8[[#This Row],[Cobrado]]="Cobrada",Tabla8[[#This Row],[Propina]]+Tabla8[[#This Row],[Precio Cena]],0)</f>
        <v>2295</v>
      </c>
      <c r="X569" t="str">
        <f>INDEX(sala!G:G, MATCH(Tabla8[[#This Row],[Numero de Orden]], sala!K:K, 0))</f>
        <v>Almuerzo</v>
      </c>
      <c r="Y569" t="str">
        <f>'Conjunto de Datos'!J570</f>
        <v>Cobrada</v>
      </c>
      <c r="Z569" t="str">
        <f>INDEX(sala!H:H, MATCH(Tabla8[[#This Row],[Numero de Orden]], sala!K:K, 0))</f>
        <v>Tarjeta de débito</v>
      </c>
      <c r="AA569" s="3">
        <f>'Conjunto de Datos'!D570</f>
        <v>45022</v>
      </c>
      <c r="AB569" t="str">
        <f>INDEX(sala!L:L, MATCH(Tabla8[[#This Row],[Numero de Orden]], sala!K:K, 0))</f>
        <v>Colombia</v>
      </c>
      <c r="AC569" t="str">
        <f>'Conjunto de Datos'!N570</f>
        <v>Mesero_4</v>
      </c>
      <c r="AD569">
        <f>Tabla8[[#This Row],[Propina]]+Tabla8[[#This Row],[Precio Cena]]</f>
        <v>2295</v>
      </c>
      <c r="AE569" s="45">
        <f t="shared" si="16"/>
        <v>182</v>
      </c>
    </row>
    <row r="570" spans="19:31" x14ac:dyDescent="0.3">
      <c r="S570" s="15" t="str">
        <f>'Conjunto de Datos'!BB571</f>
        <v>555</v>
      </c>
      <c r="T570" s="15">
        <f>'Conjunto de Datos'!BF571</f>
        <v>569</v>
      </c>
      <c r="U570" s="6">
        <f>sala!I570</f>
        <v>2852</v>
      </c>
      <c r="V570" cm="1">
        <f t="array" ref="V570">SUM(IF(Cocina!A:A=Tabla8[[#This Row],[Numero de Orden]],Cocina!F:F*Cocina!G:G,0))</f>
        <v>131</v>
      </c>
      <c r="W570">
        <f>IF(Tabla8[[#This Row],[Cobrado]]="Cobrada",Tabla8[[#This Row],[Propina]]+Tabla8[[#This Row],[Precio Cena]],0)</f>
        <v>2983</v>
      </c>
      <c r="X570" t="str">
        <f>INDEX(sala!G:G, MATCH(Tabla8[[#This Row],[Numero de Orden]], sala!K:K, 0))</f>
        <v>Almuerzo</v>
      </c>
      <c r="Y570" t="str">
        <f>'Conjunto de Datos'!J571</f>
        <v>Cobrada</v>
      </c>
      <c r="Z570" t="str">
        <f>INDEX(sala!H:H, MATCH(Tabla8[[#This Row],[Numero de Orden]], sala!K:K, 0))</f>
        <v>Tarjeta de crédito</v>
      </c>
      <c r="AA570" s="3">
        <f>'Conjunto de Datos'!D571</f>
        <v>45022</v>
      </c>
      <c r="AB570" t="str">
        <f>INDEX(sala!L:L, MATCH(Tabla8[[#This Row],[Numero de Orden]], sala!K:K, 0))</f>
        <v>Bolivia</v>
      </c>
      <c r="AC570" t="str">
        <f>'Conjunto de Datos'!N571</f>
        <v>Mesero_1</v>
      </c>
      <c r="AD570">
        <f>Tabla8[[#This Row],[Propina]]+Tabla8[[#This Row],[Precio Cena]]</f>
        <v>2983</v>
      </c>
      <c r="AE570" s="45">
        <f t="shared" si="16"/>
        <v>131</v>
      </c>
    </row>
    <row r="571" spans="19:31" x14ac:dyDescent="0.3">
      <c r="S571" t="str">
        <f>'Conjunto de Datos'!BB572</f>
        <v>887</v>
      </c>
      <c r="T571">
        <f>'Conjunto de Datos'!BF572</f>
        <v>570</v>
      </c>
      <c r="U571" s="7">
        <f>sala!I571</f>
        <v>384</v>
      </c>
      <c r="V571" cm="1">
        <f t="array" ref="V571">SUM(IF(Cocina!A:A=Tabla8[[#This Row],[Numero de Orden]],Cocina!F:F*Cocina!G:G,0))</f>
        <v>85</v>
      </c>
      <c r="W571">
        <f>IF(Tabla8[[#This Row],[Cobrado]]="Cobrada",Tabla8[[#This Row],[Propina]]+Tabla8[[#This Row],[Precio Cena]],0)</f>
        <v>469</v>
      </c>
      <c r="X571" t="str">
        <f>INDEX(sala!G:G, MATCH(Tabla8[[#This Row],[Numero de Orden]], sala!K:K, 0))</f>
        <v>Almuerzo</v>
      </c>
      <c r="Y571" t="str">
        <f>'Conjunto de Datos'!J572</f>
        <v>Cobrada</v>
      </c>
      <c r="Z571" t="str">
        <f>INDEX(sala!H:H, MATCH(Tabla8[[#This Row],[Numero de Orden]], sala!K:K, 0))</f>
        <v>Tarjeta de crédito</v>
      </c>
      <c r="AA571" s="3">
        <f>'Conjunto de Datos'!D572</f>
        <v>45022</v>
      </c>
      <c r="AB571" t="str">
        <f>INDEX(sala!L:L, MATCH(Tabla8[[#This Row],[Numero de Orden]], sala!K:K, 0))</f>
        <v>Colombia</v>
      </c>
      <c r="AC571" t="str">
        <f>'Conjunto de Datos'!N572</f>
        <v>Mesero_5</v>
      </c>
      <c r="AD571">
        <f>Tabla8[[#This Row],[Propina]]+Tabla8[[#This Row],[Precio Cena]]</f>
        <v>469</v>
      </c>
      <c r="AE571" s="45">
        <f t="shared" si="16"/>
        <v>85</v>
      </c>
    </row>
    <row r="572" spans="19:31" x14ac:dyDescent="0.3">
      <c r="S572" s="15" t="str">
        <f>'Conjunto de Datos'!BB573</f>
        <v>710</v>
      </c>
      <c r="T572" s="15">
        <f>'Conjunto de Datos'!BF573</f>
        <v>571</v>
      </c>
      <c r="U572" s="6">
        <f>sala!I572</f>
        <v>4954</v>
      </c>
      <c r="V572" cm="1">
        <f t="array" ref="V572">SUM(IF(Cocina!A:A=Tabla8[[#This Row],[Numero de Orden]],Cocina!F:F*Cocina!G:G,0))</f>
        <v>54</v>
      </c>
      <c r="W572">
        <f>IF(Tabla8[[#This Row],[Cobrado]]="Cobrada",Tabla8[[#This Row],[Propina]]+Tabla8[[#This Row],[Precio Cena]],0)</f>
        <v>5008</v>
      </c>
      <c r="X572" t="str">
        <f>INDEX(sala!G:G, MATCH(Tabla8[[#This Row],[Numero de Orden]], sala!K:K, 0))</f>
        <v>Almuerzo</v>
      </c>
      <c r="Y572" t="str">
        <f>'Conjunto de Datos'!J573</f>
        <v>Cobrada</v>
      </c>
      <c r="Z572" t="str">
        <f>INDEX(sala!H:H, MATCH(Tabla8[[#This Row],[Numero de Orden]], sala!K:K, 0))</f>
        <v>Tarjeta de crédito</v>
      </c>
      <c r="AA572" s="3">
        <f>'Conjunto de Datos'!D573</f>
        <v>45022</v>
      </c>
      <c r="AB572" t="str">
        <f>INDEX(sala!L:L, MATCH(Tabla8[[#This Row],[Numero de Orden]], sala!K:K, 0))</f>
        <v>Perú</v>
      </c>
      <c r="AC572" t="str">
        <f>'Conjunto de Datos'!N573</f>
        <v>Mesero_5</v>
      </c>
      <c r="AD572">
        <f>Tabla8[[#This Row],[Propina]]+Tabla8[[#This Row],[Precio Cena]]</f>
        <v>5008</v>
      </c>
      <c r="AE572" s="45">
        <f t="shared" si="16"/>
        <v>54</v>
      </c>
    </row>
    <row r="573" spans="19:31" x14ac:dyDescent="0.3">
      <c r="S573" t="str">
        <f>'Conjunto de Datos'!BB574</f>
        <v>913</v>
      </c>
      <c r="T573">
        <f>'Conjunto de Datos'!BF574</f>
        <v>572</v>
      </c>
      <c r="U573" s="7">
        <f>sala!I573</f>
        <v>4621</v>
      </c>
      <c r="V573" cm="1">
        <f t="array" ref="V573">SUM(IF(Cocina!A:A=Tabla8[[#This Row],[Numero de Orden]],Cocina!F:F*Cocina!G:G,0))</f>
        <v>74</v>
      </c>
      <c r="W573">
        <f>IF(Tabla8[[#This Row],[Cobrado]]="Cobrada",Tabla8[[#This Row],[Propina]]+Tabla8[[#This Row],[Precio Cena]],0)</f>
        <v>4695</v>
      </c>
      <c r="X573" t="str">
        <f>INDEX(sala!G:G, MATCH(Tabla8[[#This Row],[Numero de Orden]], sala!K:K, 0))</f>
        <v>Almuerzo</v>
      </c>
      <c r="Y573" t="str">
        <f>'Conjunto de Datos'!J574</f>
        <v>Cobrada</v>
      </c>
      <c r="Z573" t="str">
        <f>INDEX(sala!H:H, MATCH(Tabla8[[#This Row],[Numero de Orden]], sala!K:K, 0))</f>
        <v>Efectivo</v>
      </c>
      <c r="AA573" s="3">
        <f>'Conjunto de Datos'!D574</f>
        <v>45022</v>
      </c>
      <c r="AB573" t="str">
        <f>INDEX(sala!L:L, MATCH(Tabla8[[#This Row],[Numero de Orden]], sala!K:K, 0))</f>
        <v>Brasil</v>
      </c>
      <c r="AC573" t="str">
        <f>'Conjunto de Datos'!N574</f>
        <v>Mesero_4</v>
      </c>
      <c r="AD573">
        <f>Tabla8[[#This Row],[Propina]]+Tabla8[[#This Row],[Precio Cena]]</f>
        <v>4695</v>
      </c>
      <c r="AE573" s="45">
        <f t="shared" si="16"/>
        <v>74</v>
      </c>
    </row>
    <row r="574" spans="19:31" x14ac:dyDescent="0.3">
      <c r="S574" s="15" t="str">
        <f>'Conjunto de Datos'!BB575</f>
        <v>41</v>
      </c>
      <c r="T574" s="15">
        <f>'Conjunto de Datos'!BF575</f>
        <v>573</v>
      </c>
      <c r="U574" s="6">
        <f>sala!I574</f>
        <v>4708</v>
      </c>
      <c r="V574" cm="1">
        <f t="array" ref="V574">SUM(IF(Cocina!A:A=Tabla8[[#This Row],[Numero de Orden]],Cocina!F:F*Cocina!G:G,0))</f>
        <v>165</v>
      </c>
      <c r="W574">
        <f>IF(Tabla8[[#This Row],[Cobrado]]="Cobrada",Tabla8[[#This Row],[Propina]]+Tabla8[[#This Row],[Precio Cena]],0)</f>
        <v>4873</v>
      </c>
      <c r="X574" t="str">
        <f>INDEX(sala!G:G, MATCH(Tabla8[[#This Row],[Numero de Orden]], sala!K:K, 0))</f>
        <v>Almuerzo</v>
      </c>
      <c r="Y574" t="str">
        <f>'Conjunto de Datos'!J575</f>
        <v>Cobrada</v>
      </c>
      <c r="Z574" t="str">
        <f>INDEX(sala!H:H, MATCH(Tabla8[[#This Row],[Numero de Orden]], sala!K:K, 0))</f>
        <v>Tarjeta de crédito</v>
      </c>
      <c r="AA574" s="3">
        <f>'Conjunto de Datos'!D575</f>
        <v>45022</v>
      </c>
      <c r="AB574" t="str">
        <f>INDEX(sala!L:L, MATCH(Tabla8[[#This Row],[Numero de Orden]], sala!K:K, 0))</f>
        <v>Chile</v>
      </c>
      <c r="AC574" t="str">
        <f>'Conjunto de Datos'!N575</f>
        <v>Mesero_3</v>
      </c>
      <c r="AD574">
        <f>Tabla8[[#This Row],[Propina]]+Tabla8[[#This Row],[Precio Cena]]</f>
        <v>4873</v>
      </c>
      <c r="AE574" s="45">
        <f t="shared" si="16"/>
        <v>165</v>
      </c>
    </row>
    <row r="575" spans="19:31" x14ac:dyDescent="0.3">
      <c r="S575" t="str">
        <f>'Conjunto de Datos'!BB576</f>
        <v>738</v>
      </c>
      <c r="T575">
        <f>'Conjunto de Datos'!BF576</f>
        <v>574</v>
      </c>
      <c r="U575" s="7">
        <f>sala!I575</f>
        <v>4257</v>
      </c>
      <c r="V575" cm="1">
        <f t="array" ref="V575">SUM(IF(Cocina!A:A=Tabla8[[#This Row],[Numero de Orden]],Cocina!F:F*Cocina!G:G,0))</f>
        <v>207</v>
      </c>
      <c r="W575">
        <f>IF(Tabla8[[#This Row],[Cobrado]]="Cobrada",Tabla8[[#This Row],[Propina]]+Tabla8[[#This Row],[Precio Cena]],0)</f>
        <v>0</v>
      </c>
      <c r="X575" t="str">
        <f>INDEX(sala!G:G, MATCH(Tabla8[[#This Row],[Numero de Orden]], sala!K:K, 0))</f>
        <v>Almuerzo</v>
      </c>
      <c r="Y575" t="str">
        <f>'Conjunto de Datos'!J576</f>
        <v>No Cobrada</v>
      </c>
      <c r="Z575" t="str">
        <f>INDEX(sala!H:H, MATCH(Tabla8[[#This Row],[Numero de Orden]], sala!K:K, 0))</f>
        <v>Tarjeta de crédito</v>
      </c>
      <c r="AA575" s="3">
        <f>'Conjunto de Datos'!D576</f>
        <v>45022</v>
      </c>
      <c r="AB575" t="str">
        <f>INDEX(sala!L:L, MATCH(Tabla8[[#This Row],[Numero de Orden]], sala!K:K, 0))</f>
        <v>Brasil</v>
      </c>
      <c r="AC575" t="str">
        <f>'Conjunto de Datos'!N576</f>
        <v>Mesero_5</v>
      </c>
      <c r="AD575">
        <f>Tabla8[[#This Row],[Propina]]+Tabla8[[#This Row],[Precio Cena]]</f>
        <v>4464</v>
      </c>
      <c r="AE575" s="45">
        <f t="shared" si="16"/>
        <v>0</v>
      </c>
    </row>
    <row r="576" spans="19:31" x14ac:dyDescent="0.3">
      <c r="S576" s="15" t="str">
        <f>'Conjunto de Datos'!BB577</f>
        <v>268</v>
      </c>
      <c r="T576" s="15">
        <f>'Conjunto de Datos'!BF577</f>
        <v>575</v>
      </c>
      <c r="U576" s="6">
        <f>sala!I576</f>
        <v>3352</v>
      </c>
      <c r="V576" cm="1">
        <f t="array" ref="V576">SUM(IF(Cocina!A:A=Tabla8[[#This Row],[Numero de Orden]],Cocina!F:F*Cocina!G:G,0))</f>
        <v>18</v>
      </c>
      <c r="W576">
        <f>IF(Tabla8[[#This Row],[Cobrado]]="Cobrada",Tabla8[[#This Row],[Propina]]+Tabla8[[#This Row],[Precio Cena]],0)</f>
        <v>3370</v>
      </c>
      <c r="X576" t="str">
        <f>INDEX(sala!G:G, MATCH(Tabla8[[#This Row],[Numero de Orden]], sala!K:K, 0))</f>
        <v>Almuerzo</v>
      </c>
      <c r="Y576" t="str">
        <f>'Conjunto de Datos'!J577</f>
        <v>Cobrada</v>
      </c>
      <c r="Z576" t="str">
        <f>INDEX(sala!H:H, MATCH(Tabla8[[#This Row],[Numero de Orden]], sala!K:K, 0))</f>
        <v>Tarjeta de crédito</v>
      </c>
      <c r="AA576" s="3">
        <f>'Conjunto de Datos'!D577</f>
        <v>45022</v>
      </c>
      <c r="AB576" t="str">
        <f>INDEX(sala!L:L, MATCH(Tabla8[[#This Row],[Numero de Orden]], sala!K:K, 0))</f>
        <v>Paraguay</v>
      </c>
      <c r="AC576" t="str">
        <f>'Conjunto de Datos'!N577</f>
        <v>Mesero_4</v>
      </c>
      <c r="AD576">
        <f>Tabla8[[#This Row],[Propina]]+Tabla8[[#This Row],[Precio Cena]]</f>
        <v>3370</v>
      </c>
      <c r="AE576" s="45">
        <f t="shared" si="16"/>
        <v>18</v>
      </c>
    </row>
    <row r="577" spans="19:31" x14ac:dyDescent="0.3">
      <c r="S577" t="str">
        <f>'Conjunto de Datos'!BB578</f>
        <v>280</v>
      </c>
      <c r="T577">
        <f>'Conjunto de Datos'!BF578</f>
        <v>576</v>
      </c>
      <c r="U577" s="7">
        <f>sala!I577</f>
        <v>2171</v>
      </c>
      <c r="V577" cm="1">
        <f t="array" ref="V577">SUM(IF(Cocina!A:A=Tabla8[[#This Row],[Numero de Orden]],Cocina!F:F*Cocina!G:G,0))</f>
        <v>234</v>
      </c>
      <c r="W577">
        <f>IF(Tabla8[[#This Row],[Cobrado]]="Cobrada",Tabla8[[#This Row],[Propina]]+Tabla8[[#This Row],[Precio Cena]],0)</f>
        <v>2405</v>
      </c>
      <c r="X577" t="str">
        <f>INDEX(sala!G:G, MATCH(Tabla8[[#This Row],[Numero de Orden]], sala!K:K, 0))</f>
        <v>Cena</v>
      </c>
      <c r="Y577" t="str">
        <f>'Conjunto de Datos'!J578</f>
        <v>Cobrada</v>
      </c>
      <c r="Z577" t="str">
        <f>INDEX(sala!H:H, MATCH(Tabla8[[#This Row],[Numero de Orden]], sala!K:K, 0))</f>
        <v>Efectivo</v>
      </c>
      <c r="AA577" s="3">
        <f>'Conjunto de Datos'!D578</f>
        <v>45022</v>
      </c>
      <c r="AB577" t="str">
        <f>INDEX(sala!L:L, MATCH(Tabla8[[#This Row],[Numero de Orden]], sala!K:K, 0))</f>
        <v>Uruguay</v>
      </c>
      <c r="AC577" t="str">
        <f>'Conjunto de Datos'!N578</f>
        <v>Mesero_4</v>
      </c>
      <c r="AD577">
        <f>Tabla8[[#This Row],[Propina]]+Tabla8[[#This Row],[Precio Cena]]</f>
        <v>2405</v>
      </c>
      <c r="AE577" s="45">
        <f t="shared" si="16"/>
        <v>234</v>
      </c>
    </row>
    <row r="578" spans="19:31" x14ac:dyDescent="0.3">
      <c r="S578" s="15" t="str">
        <f>'Conjunto de Datos'!BB579</f>
        <v>117</v>
      </c>
      <c r="T578" s="15">
        <f>'Conjunto de Datos'!BF579</f>
        <v>577</v>
      </c>
      <c r="U578" s="6">
        <f>sala!I578</f>
        <v>3412</v>
      </c>
      <c r="V578" cm="1">
        <f t="array" ref="V578">SUM(IF(Cocina!A:A=Tabla8[[#This Row],[Numero de Orden]],Cocina!F:F*Cocina!G:G,0))</f>
        <v>40</v>
      </c>
      <c r="W578">
        <f>IF(Tabla8[[#This Row],[Cobrado]]="Cobrada",Tabla8[[#This Row],[Propina]]+Tabla8[[#This Row],[Precio Cena]],0)</f>
        <v>3452</v>
      </c>
      <c r="X578" t="str">
        <f>INDEX(sala!G:G, MATCH(Tabla8[[#This Row],[Numero de Orden]], sala!K:K, 0))</f>
        <v>Almuerzo</v>
      </c>
      <c r="Y578" t="str">
        <f>'Conjunto de Datos'!J579</f>
        <v>Cobrada</v>
      </c>
      <c r="Z578" t="str">
        <f>INDEX(sala!H:H, MATCH(Tabla8[[#This Row],[Numero de Orden]], sala!K:K, 0))</f>
        <v>Tarjeta de crédito</v>
      </c>
      <c r="AA578" s="3">
        <f>'Conjunto de Datos'!D579</f>
        <v>45022</v>
      </c>
      <c r="AB578" t="str">
        <f>INDEX(sala!L:L, MATCH(Tabla8[[#This Row],[Numero de Orden]], sala!K:K, 0))</f>
        <v>Perú</v>
      </c>
      <c r="AC578" t="str">
        <f>'Conjunto de Datos'!N579</f>
        <v>Mesero_4</v>
      </c>
      <c r="AD578">
        <f>Tabla8[[#This Row],[Propina]]+Tabla8[[#This Row],[Precio Cena]]</f>
        <v>3452</v>
      </c>
      <c r="AE578" s="45">
        <f t="shared" si="16"/>
        <v>40</v>
      </c>
    </row>
    <row r="579" spans="19:31" x14ac:dyDescent="0.3">
      <c r="S579" t="str">
        <f>'Conjunto de Datos'!BB580</f>
        <v>83</v>
      </c>
      <c r="T579">
        <f>'Conjunto de Datos'!BF580</f>
        <v>578</v>
      </c>
      <c r="U579" s="7">
        <f>sala!I579</f>
        <v>328</v>
      </c>
      <c r="V579" cm="1">
        <f t="array" ref="V579">SUM(IF(Cocina!A:A=Tabla8[[#This Row],[Numero de Orden]],Cocina!F:F*Cocina!G:G,0))</f>
        <v>90</v>
      </c>
      <c r="W579">
        <f>IF(Tabla8[[#This Row],[Cobrado]]="Cobrada",Tabla8[[#This Row],[Propina]]+Tabla8[[#This Row],[Precio Cena]],0)</f>
        <v>418</v>
      </c>
      <c r="X579" t="str">
        <f>INDEX(sala!G:G, MATCH(Tabla8[[#This Row],[Numero de Orden]], sala!K:K, 0))</f>
        <v>Almuerzo</v>
      </c>
      <c r="Y579" t="str">
        <f>'Conjunto de Datos'!J580</f>
        <v>Cobrada</v>
      </c>
      <c r="Z579" t="str">
        <f>INDEX(sala!H:H, MATCH(Tabla8[[#This Row],[Numero de Orden]], sala!K:K, 0))</f>
        <v>Tarjeta de crédito</v>
      </c>
      <c r="AA579" s="3">
        <f>'Conjunto de Datos'!D580</f>
        <v>45022</v>
      </c>
      <c r="AB579" t="str">
        <f>INDEX(sala!L:L, MATCH(Tabla8[[#This Row],[Numero de Orden]], sala!K:K, 0))</f>
        <v>España</v>
      </c>
      <c r="AC579" t="str">
        <f>'Conjunto de Datos'!N580</f>
        <v>Mesero_3</v>
      </c>
      <c r="AD579">
        <f>Tabla8[[#This Row],[Propina]]+Tabla8[[#This Row],[Precio Cena]]</f>
        <v>418</v>
      </c>
      <c r="AE579" s="45">
        <f t="shared" si="16"/>
        <v>90</v>
      </c>
    </row>
    <row r="580" spans="19:31" x14ac:dyDescent="0.3">
      <c r="S580" s="15" t="str">
        <f>'Conjunto de Datos'!BB581</f>
        <v>988</v>
      </c>
      <c r="T580" s="15">
        <f>'Conjunto de Datos'!BF581</f>
        <v>579</v>
      </c>
      <c r="U580" s="6">
        <f>sala!I580</f>
        <v>3596</v>
      </c>
      <c r="V580" cm="1">
        <f t="array" ref="V580">SUM(IF(Cocina!A:A=Tabla8[[#This Row],[Numero de Orden]],Cocina!F:F*Cocina!G:G,0))</f>
        <v>50</v>
      </c>
      <c r="W580">
        <f>IF(Tabla8[[#This Row],[Cobrado]]="Cobrada",Tabla8[[#This Row],[Propina]]+Tabla8[[#This Row],[Precio Cena]],0)</f>
        <v>3646</v>
      </c>
      <c r="X580" t="str">
        <f>INDEX(sala!G:G, MATCH(Tabla8[[#This Row],[Numero de Orden]], sala!K:K, 0))</f>
        <v>Almuerzo</v>
      </c>
      <c r="Y580" t="str">
        <f>'Conjunto de Datos'!J581</f>
        <v>Cobrada</v>
      </c>
      <c r="Z580" t="str">
        <f>INDEX(sala!H:H, MATCH(Tabla8[[#This Row],[Numero de Orden]], sala!K:K, 0))</f>
        <v>Tarjeta de crédito</v>
      </c>
      <c r="AA580" s="3">
        <f>'Conjunto de Datos'!D581</f>
        <v>45022</v>
      </c>
      <c r="AB580" t="str">
        <f>INDEX(sala!L:L, MATCH(Tabla8[[#This Row],[Numero de Orden]], sala!K:K, 0))</f>
        <v>Paraguay</v>
      </c>
      <c r="AC580" t="str">
        <f>'Conjunto de Datos'!N581</f>
        <v>Mesero_3</v>
      </c>
      <c r="AD580">
        <f>Tabla8[[#This Row],[Propina]]+Tabla8[[#This Row],[Precio Cena]]</f>
        <v>3646</v>
      </c>
      <c r="AE580" s="45">
        <f t="shared" ref="AE580:AE643" si="17">IF(Y580 = "Cobrada",V580,0)</f>
        <v>50</v>
      </c>
    </row>
    <row r="581" spans="19:31" x14ac:dyDescent="0.3">
      <c r="S581" t="str">
        <f>'Conjunto de Datos'!BB582</f>
        <v>606</v>
      </c>
      <c r="T581">
        <f>'Conjunto de Datos'!BF582</f>
        <v>580</v>
      </c>
      <c r="U581" s="7">
        <f>sala!I581</f>
        <v>4454</v>
      </c>
      <c r="V581" cm="1">
        <f t="array" ref="V581">SUM(IF(Cocina!A:A=Tabla8[[#This Row],[Numero de Orden]],Cocina!F:F*Cocina!G:G,0))</f>
        <v>33</v>
      </c>
      <c r="W581">
        <f>IF(Tabla8[[#This Row],[Cobrado]]="Cobrada",Tabla8[[#This Row],[Propina]]+Tabla8[[#This Row],[Precio Cena]],0)</f>
        <v>4487</v>
      </c>
      <c r="X581" t="str">
        <f>INDEX(sala!G:G, MATCH(Tabla8[[#This Row],[Numero de Orden]], sala!K:K, 0))</f>
        <v>Almuerzo</v>
      </c>
      <c r="Y581" t="str">
        <f>'Conjunto de Datos'!J582</f>
        <v>Cobrada</v>
      </c>
      <c r="Z581" t="str">
        <f>INDEX(sala!H:H, MATCH(Tabla8[[#This Row],[Numero de Orden]], sala!K:K, 0))</f>
        <v>Tarjeta de débito</v>
      </c>
      <c r="AA581" s="3">
        <f>'Conjunto de Datos'!D582</f>
        <v>45022</v>
      </c>
      <c r="AB581" t="str">
        <f>INDEX(sala!L:L, MATCH(Tabla8[[#This Row],[Numero de Orden]], sala!K:K, 0))</f>
        <v>Uruguay</v>
      </c>
      <c r="AC581" t="str">
        <f>'Conjunto de Datos'!N582</f>
        <v>Mesero_4</v>
      </c>
      <c r="AD581">
        <f>Tabla8[[#This Row],[Propina]]+Tabla8[[#This Row],[Precio Cena]]</f>
        <v>4487</v>
      </c>
      <c r="AE581" s="45">
        <f t="shared" si="17"/>
        <v>33</v>
      </c>
    </row>
    <row r="582" spans="19:31" x14ac:dyDescent="0.3">
      <c r="S582" s="15" t="str">
        <f>'Conjunto de Datos'!BB583</f>
        <v>384</v>
      </c>
      <c r="T582" s="15">
        <f>'Conjunto de Datos'!BF583</f>
        <v>581</v>
      </c>
      <c r="U582" s="6">
        <f>sala!I582</f>
        <v>1327</v>
      </c>
      <c r="V582" cm="1">
        <f t="array" ref="V582">SUM(IF(Cocina!A:A=Tabla8[[#This Row],[Numero de Orden]],Cocina!F:F*Cocina!G:G,0))</f>
        <v>123</v>
      </c>
      <c r="W582">
        <f>IF(Tabla8[[#This Row],[Cobrado]]="Cobrada",Tabla8[[#This Row],[Propina]]+Tabla8[[#This Row],[Precio Cena]],0)</f>
        <v>1450</v>
      </c>
      <c r="X582" t="str">
        <f>INDEX(sala!G:G, MATCH(Tabla8[[#This Row],[Numero de Orden]], sala!K:K, 0))</f>
        <v>Almuerzo</v>
      </c>
      <c r="Y582" t="str">
        <f>'Conjunto de Datos'!J583</f>
        <v>Cobrada</v>
      </c>
      <c r="Z582" t="str">
        <f>INDEX(sala!H:H, MATCH(Tabla8[[#This Row],[Numero de Orden]], sala!K:K, 0))</f>
        <v>Tarjeta de crédito</v>
      </c>
      <c r="AA582" s="3">
        <f>'Conjunto de Datos'!D583</f>
        <v>45022</v>
      </c>
      <c r="AB582" t="str">
        <f>INDEX(sala!L:L, MATCH(Tabla8[[#This Row],[Numero de Orden]], sala!K:K, 0))</f>
        <v>Perú</v>
      </c>
      <c r="AC582" t="str">
        <f>'Conjunto de Datos'!N583</f>
        <v>Mesero_4</v>
      </c>
      <c r="AD582">
        <f>Tabla8[[#This Row],[Propina]]+Tabla8[[#This Row],[Precio Cena]]</f>
        <v>1450</v>
      </c>
      <c r="AE582" s="45">
        <f t="shared" si="17"/>
        <v>123</v>
      </c>
    </row>
    <row r="583" spans="19:31" x14ac:dyDescent="0.3">
      <c r="S583" t="str">
        <f>'Conjunto de Datos'!BB584</f>
        <v>372</v>
      </c>
      <c r="T583">
        <f>'Conjunto de Datos'!BF584</f>
        <v>582</v>
      </c>
      <c r="U583" s="7">
        <f>sala!I583</f>
        <v>2023</v>
      </c>
      <c r="V583" cm="1">
        <f t="array" ref="V583">SUM(IF(Cocina!A:A=Tabla8[[#This Row],[Numero de Orden]],Cocina!F:F*Cocina!G:G,0))</f>
        <v>54</v>
      </c>
      <c r="W583">
        <f>IF(Tabla8[[#This Row],[Cobrado]]="Cobrada",Tabla8[[#This Row],[Propina]]+Tabla8[[#This Row],[Precio Cena]],0)</f>
        <v>2077</v>
      </c>
      <c r="X583" t="str">
        <f>INDEX(sala!G:G, MATCH(Tabla8[[#This Row],[Numero de Orden]], sala!K:K, 0))</f>
        <v>Almuerzo</v>
      </c>
      <c r="Y583" t="str">
        <f>'Conjunto de Datos'!J584</f>
        <v>Cobrada</v>
      </c>
      <c r="Z583" t="str">
        <f>INDEX(sala!H:H, MATCH(Tabla8[[#This Row],[Numero de Orden]], sala!K:K, 0))</f>
        <v>Tarjeta de crédito</v>
      </c>
      <c r="AA583" s="3">
        <f>'Conjunto de Datos'!D584</f>
        <v>45022</v>
      </c>
      <c r="AB583" t="str">
        <f>INDEX(sala!L:L, MATCH(Tabla8[[#This Row],[Numero de Orden]], sala!K:K, 0))</f>
        <v>Uruguay</v>
      </c>
      <c r="AC583" t="str">
        <f>'Conjunto de Datos'!N584</f>
        <v>Mesero_2</v>
      </c>
      <c r="AD583">
        <f>Tabla8[[#This Row],[Propina]]+Tabla8[[#This Row],[Precio Cena]]</f>
        <v>2077</v>
      </c>
      <c r="AE583" s="45">
        <f t="shared" si="17"/>
        <v>54</v>
      </c>
    </row>
    <row r="584" spans="19:31" x14ac:dyDescent="0.3">
      <c r="S584" s="15" t="str">
        <f>'Conjunto de Datos'!BB585</f>
        <v>429</v>
      </c>
      <c r="T584" s="15">
        <f>'Conjunto de Datos'!BF585</f>
        <v>583</v>
      </c>
      <c r="U584" s="6">
        <f>sala!I584</f>
        <v>3599</v>
      </c>
      <c r="V584" cm="1">
        <f t="array" ref="V584">SUM(IF(Cocina!A:A=Tabla8[[#This Row],[Numero de Orden]],Cocina!F:F*Cocina!G:G,0))</f>
        <v>243</v>
      </c>
      <c r="W584">
        <f>IF(Tabla8[[#This Row],[Cobrado]]="Cobrada",Tabla8[[#This Row],[Propina]]+Tabla8[[#This Row],[Precio Cena]],0)</f>
        <v>3842</v>
      </c>
      <c r="X584" t="str">
        <f>INDEX(sala!G:G, MATCH(Tabla8[[#This Row],[Numero de Orden]], sala!K:K, 0))</f>
        <v>Cena</v>
      </c>
      <c r="Y584" t="str">
        <f>'Conjunto de Datos'!J585</f>
        <v>Cobrada</v>
      </c>
      <c r="Z584" t="str">
        <f>INDEX(sala!H:H, MATCH(Tabla8[[#This Row],[Numero de Orden]], sala!K:K, 0))</f>
        <v>Tarjeta de débito</v>
      </c>
      <c r="AA584" s="3">
        <f>'Conjunto de Datos'!D585</f>
        <v>45022</v>
      </c>
      <c r="AB584" t="str">
        <f>INDEX(sala!L:L, MATCH(Tabla8[[#This Row],[Numero de Orden]], sala!K:K, 0))</f>
        <v>Brasil</v>
      </c>
      <c r="AC584" t="str">
        <f>'Conjunto de Datos'!N585</f>
        <v>Mesero_2</v>
      </c>
      <c r="AD584">
        <f>Tabla8[[#This Row],[Propina]]+Tabla8[[#This Row],[Precio Cena]]</f>
        <v>3842</v>
      </c>
      <c r="AE584" s="45">
        <f t="shared" si="17"/>
        <v>243</v>
      </c>
    </row>
    <row r="585" spans="19:31" x14ac:dyDescent="0.3">
      <c r="S585" t="str">
        <f>'Conjunto de Datos'!BB586</f>
        <v>283</v>
      </c>
      <c r="T585">
        <f>'Conjunto de Datos'!BF586</f>
        <v>584</v>
      </c>
      <c r="U585" s="7">
        <f>sala!I585</f>
        <v>3698</v>
      </c>
      <c r="V585" cm="1">
        <f t="array" ref="V585">SUM(IF(Cocina!A:A=Tabla8[[#This Row],[Numero de Orden]],Cocina!F:F*Cocina!G:G,0))</f>
        <v>139</v>
      </c>
      <c r="W585">
        <f>IF(Tabla8[[#This Row],[Cobrado]]="Cobrada",Tabla8[[#This Row],[Propina]]+Tabla8[[#This Row],[Precio Cena]],0)</f>
        <v>3837</v>
      </c>
      <c r="X585" t="str">
        <f>INDEX(sala!G:G, MATCH(Tabla8[[#This Row],[Numero de Orden]], sala!K:K, 0))</f>
        <v>Almuerzo</v>
      </c>
      <c r="Y585" t="str">
        <f>'Conjunto de Datos'!J586</f>
        <v>Cobrada</v>
      </c>
      <c r="Z585" t="str">
        <f>INDEX(sala!H:H, MATCH(Tabla8[[#This Row],[Numero de Orden]], sala!K:K, 0))</f>
        <v>Tarjeta de débito</v>
      </c>
      <c r="AA585" s="3">
        <f>'Conjunto de Datos'!D586</f>
        <v>45022</v>
      </c>
      <c r="AB585" t="str">
        <f>INDEX(sala!L:L, MATCH(Tabla8[[#This Row],[Numero de Orden]], sala!K:K, 0))</f>
        <v>Chile</v>
      </c>
      <c r="AC585" t="str">
        <f>'Conjunto de Datos'!N586</f>
        <v>Mesero_3</v>
      </c>
      <c r="AD585">
        <f>Tabla8[[#This Row],[Propina]]+Tabla8[[#This Row],[Precio Cena]]</f>
        <v>3837</v>
      </c>
      <c r="AE585" s="45">
        <f t="shared" si="17"/>
        <v>139</v>
      </c>
    </row>
    <row r="586" spans="19:31" x14ac:dyDescent="0.3">
      <c r="S586" s="15" t="str">
        <f>'Conjunto de Datos'!BB587</f>
        <v>876</v>
      </c>
      <c r="T586" s="15">
        <f>'Conjunto de Datos'!BF587</f>
        <v>585</v>
      </c>
      <c r="U586" s="6">
        <f>sala!I586</f>
        <v>1007</v>
      </c>
      <c r="V586" cm="1">
        <f t="array" ref="V586">SUM(IF(Cocina!A:A=Tabla8[[#This Row],[Numero de Orden]],Cocina!F:F*Cocina!G:G,0))</f>
        <v>128</v>
      </c>
      <c r="W586">
        <f>IF(Tabla8[[#This Row],[Cobrado]]="Cobrada",Tabla8[[#This Row],[Propina]]+Tabla8[[#This Row],[Precio Cena]],0)</f>
        <v>0</v>
      </c>
      <c r="X586" t="str">
        <f>INDEX(sala!G:G, MATCH(Tabla8[[#This Row],[Numero de Orden]], sala!K:K, 0))</f>
        <v>Desayuno</v>
      </c>
      <c r="Y586" t="str">
        <f>'Conjunto de Datos'!J587</f>
        <v>No Cobrada</v>
      </c>
      <c r="Z586" t="str">
        <f>INDEX(sala!H:H, MATCH(Tabla8[[#This Row],[Numero de Orden]], sala!K:K, 0))</f>
        <v>Tarjeta de crédito</v>
      </c>
      <c r="AA586" s="3">
        <f>'Conjunto de Datos'!D587</f>
        <v>45022</v>
      </c>
      <c r="AB586" t="str">
        <f>INDEX(sala!L:L, MATCH(Tabla8[[#This Row],[Numero de Orden]], sala!K:K, 0))</f>
        <v>Ecuador</v>
      </c>
      <c r="AC586" t="str">
        <f>'Conjunto de Datos'!N587</f>
        <v>Mesero_3</v>
      </c>
      <c r="AD586">
        <f>Tabla8[[#This Row],[Propina]]+Tabla8[[#This Row],[Precio Cena]]</f>
        <v>1135</v>
      </c>
      <c r="AE586" s="45">
        <f t="shared" si="17"/>
        <v>0</v>
      </c>
    </row>
    <row r="587" spans="19:31" x14ac:dyDescent="0.3">
      <c r="S587" t="str">
        <f>'Conjunto de Datos'!BB588</f>
        <v>857</v>
      </c>
      <c r="T587">
        <f>'Conjunto de Datos'!BF588</f>
        <v>586</v>
      </c>
      <c r="U587" s="7">
        <f>sala!I587</f>
        <v>3279</v>
      </c>
      <c r="V587" cm="1">
        <f t="array" ref="V587">SUM(IF(Cocina!A:A=Tabla8[[#This Row],[Numero de Orden]],Cocina!F:F*Cocina!G:G,0))</f>
        <v>171</v>
      </c>
      <c r="W587">
        <f>IF(Tabla8[[#This Row],[Cobrado]]="Cobrada",Tabla8[[#This Row],[Propina]]+Tabla8[[#This Row],[Precio Cena]],0)</f>
        <v>3450</v>
      </c>
      <c r="X587" t="str">
        <f>INDEX(sala!G:G, MATCH(Tabla8[[#This Row],[Numero de Orden]], sala!K:K, 0))</f>
        <v>Cena</v>
      </c>
      <c r="Y587" t="str">
        <f>'Conjunto de Datos'!J588</f>
        <v>Cobrada</v>
      </c>
      <c r="Z587" t="str">
        <f>INDEX(sala!H:H, MATCH(Tabla8[[#This Row],[Numero de Orden]], sala!K:K, 0))</f>
        <v>Efectivo</v>
      </c>
      <c r="AA587" s="3">
        <f>'Conjunto de Datos'!D588</f>
        <v>45022</v>
      </c>
      <c r="AB587" t="str">
        <f>INDEX(sala!L:L, MATCH(Tabla8[[#This Row],[Numero de Orden]], sala!K:K, 0))</f>
        <v>Venezuela</v>
      </c>
      <c r="AC587" t="str">
        <f>'Conjunto de Datos'!N588</f>
        <v>Mesero_3</v>
      </c>
      <c r="AD587">
        <f>Tabla8[[#This Row],[Propina]]+Tabla8[[#This Row],[Precio Cena]]</f>
        <v>3450</v>
      </c>
      <c r="AE587" s="45">
        <f t="shared" si="17"/>
        <v>171</v>
      </c>
    </row>
    <row r="588" spans="19:31" x14ac:dyDescent="0.3">
      <c r="S588" s="15" t="str">
        <f>'Conjunto de Datos'!BB589</f>
        <v>208</v>
      </c>
      <c r="T588" s="15">
        <f>'Conjunto de Datos'!BF589</f>
        <v>587</v>
      </c>
      <c r="U588" s="6">
        <f>sala!I588</f>
        <v>3503</v>
      </c>
      <c r="V588" cm="1">
        <f t="array" ref="V588">SUM(IF(Cocina!A:A=Tabla8[[#This Row],[Numero de Orden]],Cocina!F:F*Cocina!G:G,0))</f>
        <v>48</v>
      </c>
      <c r="W588">
        <f>IF(Tabla8[[#This Row],[Cobrado]]="Cobrada",Tabla8[[#This Row],[Propina]]+Tabla8[[#This Row],[Precio Cena]],0)</f>
        <v>3551</v>
      </c>
      <c r="X588" t="str">
        <f>INDEX(sala!G:G, MATCH(Tabla8[[#This Row],[Numero de Orden]], sala!K:K, 0))</f>
        <v>Desayuno</v>
      </c>
      <c r="Y588" t="str">
        <f>'Conjunto de Datos'!J589</f>
        <v>Cobrada</v>
      </c>
      <c r="Z588" t="str">
        <f>INDEX(sala!H:H, MATCH(Tabla8[[#This Row],[Numero de Orden]], sala!K:K, 0))</f>
        <v>Tarjeta de crédito</v>
      </c>
      <c r="AA588" s="3">
        <f>'Conjunto de Datos'!D589</f>
        <v>45022</v>
      </c>
      <c r="AB588" t="str">
        <f>INDEX(sala!L:L, MATCH(Tabla8[[#This Row],[Numero de Orden]], sala!K:K, 0))</f>
        <v>Uruguay</v>
      </c>
      <c r="AC588" t="str">
        <f>'Conjunto de Datos'!N589</f>
        <v>Mesero_3</v>
      </c>
      <c r="AD588">
        <f>Tabla8[[#This Row],[Propina]]+Tabla8[[#This Row],[Precio Cena]]</f>
        <v>3551</v>
      </c>
      <c r="AE588" s="45">
        <f t="shared" si="17"/>
        <v>48</v>
      </c>
    </row>
    <row r="589" spans="19:31" x14ac:dyDescent="0.3">
      <c r="S589" t="str">
        <f>'Conjunto de Datos'!BB590</f>
        <v>21</v>
      </c>
      <c r="T589">
        <f>'Conjunto de Datos'!BF590</f>
        <v>588</v>
      </c>
      <c r="U589" s="7">
        <f>sala!I589</f>
        <v>3393</v>
      </c>
      <c r="V589" cm="1">
        <f t="array" ref="V589">SUM(IF(Cocina!A:A=Tabla8[[#This Row],[Numero de Orden]],Cocina!F:F*Cocina!G:G,0))</f>
        <v>101</v>
      </c>
      <c r="W589">
        <f>IF(Tabla8[[#This Row],[Cobrado]]="Cobrada",Tabla8[[#This Row],[Propina]]+Tabla8[[#This Row],[Precio Cena]],0)</f>
        <v>3494</v>
      </c>
      <c r="X589" t="str">
        <f>INDEX(sala!G:G, MATCH(Tabla8[[#This Row],[Numero de Orden]], sala!K:K, 0))</f>
        <v>Cena</v>
      </c>
      <c r="Y589" t="str">
        <f>'Conjunto de Datos'!J590</f>
        <v>Cobrada</v>
      </c>
      <c r="Z589" t="str">
        <f>INDEX(sala!H:H, MATCH(Tabla8[[#This Row],[Numero de Orden]], sala!K:K, 0))</f>
        <v>Efectivo</v>
      </c>
      <c r="AA589" s="3">
        <f>'Conjunto de Datos'!D590</f>
        <v>45022</v>
      </c>
      <c r="AB589" t="str">
        <f>INDEX(sala!L:L, MATCH(Tabla8[[#This Row],[Numero de Orden]], sala!K:K, 0))</f>
        <v>Paraguay</v>
      </c>
      <c r="AC589" t="str">
        <f>'Conjunto de Datos'!N590</f>
        <v>Mesero_3</v>
      </c>
      <c r="AD589">
        <f>Tabla8[[#This Row],[Propina]]+Tabla8[[#This Row],[Precio Cena]]</f>
        <v>3494</v>
      </c>
      <c r="AE589" s="45">
        <f t="shared" si="17"/>
        <v>101</v>
      </c>
    </row>
    <row r="590" spans="19:31" x14ac:dyDescent="0.3">
      <c r="S590" s="15" t="str">
        <f>'Conjunto de Datos'!BB591</f>
        <v>443</v>
      </c>
      <c r="T590" s="15">
        <f>'Conjunto de Datos'!BF591</f>
        <v>589</v>
      </c>
      <c r="U590" s="6">
        <f>sala!I590</f>
        <v>2896</v>
      </c>
      <c r="V590" cm="1">
        <f t="array" ref="V590">SUM(IF(Cocina!A:A=Tabla8[[#This Row],[Numero de Orden]],Cocina!F:F*Cocina!G:G,0))</f>
        <v>284</v>
      </c>
      <c r="W590">
        <f>IF(Tabla8[[#This Row],[Cobrado]]="Cobrada",Tabla8[[#This Row],[Propina]]+Tabla8[[#This Row],[Precio Cena]],0)</f>
        <v>3180</v>
      </c>
      <c r="X590" t="str">
        <f>INDEX(sala!G:G, MATCH(Tabla8[[#This Row],[Numero de Orden]], sala!K:K, 0))</f>
        <v>Almuerzo</v>
      </c>
      <c r="Y590" t="str">
        <f>'Conjunto de Datos'!J591</f>
        <v>Cobrada</v>
      </c>
      <c r="Z590" t="str">
        <f>INDEX(sala!H:H, MATCH(Tabla8[[#This Row],[Numero de Orden]], sala!K:K, 0))</f>
        <v>Tarjeta de débito</v>
      </c>
      <c r="AA590" s="3">
        <f>'Conjunto de Datos'!D591</f>
        <v>45022</v>
      </c>
      <c r="AB590" t="str">
        <f>INDEX(sala!L:L, MATCH(Tabla8[[#This Row],[Numero de Orden]], sala!K:K, 0))</f>
        <v>Uruguay</v>
      </c>
      <c r="AC590" t="str">
        <f>'Conjunto de Datos'!N591</f>
        <v>Mesero_4</v>
      </c>
      <c r="AD590">
        <f>Tabla8[[#This Row],[Propina]]+Tabla8[[#This Row],[Precio Cena]]</f>
        <v>3180</v>
      </c>
      <c r="AE590" s="45">
        <f t="shared" si="17"/>
        <v>284</v>
      </c>
    </row>
    <row r="591" spans="19:31" x14ac:dyDescent="0.3">
      <c r="S591" t="str">
        <f>'Conjunto de Datos'!BB592</f>
        <v>240</v>
      </c>
      <c r="T591">
        <f>'Conjunto de Datos'!BF592</f>
        <v>590</v>
      </c>
      <c r="U591" s="7">
        <f>sala!I591</f>
        <v>4094</v>
      </c>
      <c r="V591" cm="1">
        <f t="array" ref="V591">SUM(IF(Cocina!A:A=Tabla8[[#This Row],[Numero de Orden]],Cocina!F:F*Cocina!G:G,0))</f>
        <v>122</v>
      </c>
      <c r="W591">
        <f>IF(Tabla8[[#This Row],[Cobrado]]="Cobrada",Tabla8[[#This Row],[Propina]]+Tabla8[[#This Row],[Precio Cena]],0)</f>
        <v>4216</v>
      </c>
      <c r="X591" t="str">
        <f>INDEX(sala!G:G, MATCH(Tabla8[[#This Row],[Numero de Orden]], sala!K:K, 0))</f>
        <v>Desayuno</v>
      </c>
      <c r="Y591" t="str">
        <f>'Conjunto de Datos'!J592</f>
        <v>Cobrada</v>
      </c>
      <c r="Z591" t="str">
        <f>INDEX(sala!H:H, MATCH(Tabla8[[#This Row],[Numero de Orden]], sala!K:K, 0))</f>
        <v>Tarjeta de crédito</v>
      </c>
      <c r="AA591" s="3">
        <f>'Conjunto de Datos'!D592</f>
        <v>45022</v>
      </c>
      <c r="AB591" t="str">
        <f>INDEX(sala!L:L, MATCH(Tabla8[[#This Row],[Numero de Orden]], sala!K:K, 0))</f>
        <v>Venezuela</v>
      </c>
      <c r="AC591" t="str">
        <f>'Conjunto de Datos'!N592</f>
        <v>Mesero_2</v>
      </c>
      <c r="AD591">
        <f>Tabla8[[#This Row],[Propina]]+Tabla8[[#This Row],[Precio Cena]]</f>
        <v>4216</v>
      </c>
      <c r="AE591" s="45">
        <f t="shared" si="17"/>
        <v>122</v>
      </c>
    </row>
    <row r="592" spans="19:31" x14ac:dyDescent="0.3">
      <c r="S592" s="15" t="str">
        <f>'Conjunto de Datos'!BB593</f>
        <v>138</v>
      </c>
      <c r="T592" s="15">
        <f>'Conjunto de Datos'!BF593</f>
        <v>591</v>
      </c>
      <c r="U592" s="6">
        <f>sala!I592</f>
        <v>4433</v>
      </c>
      <c r="V592" cm="1">
        <f t="array" ref="V592">SUM(IF(Cocina!A:A=Tabla8[[#This Row],[Numero de Orden]],Cocina!F:F*Cocina!G:G,0))</f>
        <v>120</v>
      </c>
      <c r="W592">
        <f>IF(Tabla8[[#This Row],[Cobrado]]="Cobrada",Tabla8[[#This Row],[Propina]]+Tabla8[[#This Row],[Precio Cena]],0)</f>
        <v>4553</v>
      </c>
      <c r="X592" t="str">
        <f>INDEX(sala!G:G, MATCH(Tabla8[[#This Row],[Numero de Orden]], sala!K:K, 0))</f>
        <v>Desayuno</v>
      </c>
      <c r="Y592" t="str">
        <f>'Conjunto de Datos'!J593</f>
        <v>Cobrada</v>
      </c>
      <c r="Z592" t="str">
        <f>INDEX(sala!H:H, MATCH(Tabla8[[#This Row],[Numero de Orden]], sala!K:K, 0))</f>
        <v>Tarjeta de crédito</v>
      </c>
      <c r="AA592" s="3">
        <f>'Conjunto de Datos'!D593</f>
        <v>45022</v>
      </c>
      <c r="AB592" t="str">
        <f>INDEX(sala!L:L, MATCH(Tabla8[[#This Row],[Numero de Orden]], sala!K:K, 0))</f>
        <v>Bolivia</v>
      </c>
      <c r="AC592" t="str">
        <f>'Conjunto de Datos'!N593</f>
        <v>Mesero_3</v>
      </c>
      <c r="AD592">
        <f>Tabla8[[#This Row],[Propina]]+Tabla8[[#This Row],[Precio Cena]]</f>
        <v>4553</v>
      </c>
      <c r="AE592" s="45">
        <f t="shared" si="17"/>
        <v>120</v>
      </c>
    </row>
    <row r="593" spans="19:31" x14ac:dyDescent="0.3">
      <c r="S593" t="str">
        <f>'Conjunto de Datos'!BB594</f>
        <v>177</v>
      </c>
      <c r="T593">
        <f>'Conjunto de Datos'!BF594</f>
        <v>592</v>
      </c>
      <c r="U593" s="7">
        <f>sala!I593</f>
        <v>3567</v>
      </c>
      <c r="V593" cm="1">
        <f t="array" ref="V593">SUM(IF(Cocina!A:A=Tabla8[[#This Row],[Numero de Orden]],Cocina!F:F*Cocina!G:G,0))</f>
        <v>94</v>
      </c>
      <c r="W593">
        <f>IF(Tabla8[[#This Row],[Cobrado]]="Cobrada",Tabla8[[#This Row],[Propina]]+Tabla8[[#This Row],[Precio Cena]],0)</f>
        <v>3661</v>
      </c>
      <c r="X593" t="str">
        <f>INDEX(sala!G:G, MATCH(Tabla8[[#This Row],[Numero de Orden]], sala!K:K, 0))</f>
        <v>Almuerzo</v>
      </c>
      <c r="Y593" t="str">
        <f>'Conjunto de Datos'!J594</f>
        <v>Cobrada</v>
      </c>
      <c r="Z593" t="str">
        <f>INDEX(sala!H:H, MATCH(Tabla8[[#This Row],[Numero de Orden]], sala!K:K, 0))</f>
        <v>Tarjeta de crédito</v>
      </c>
      <c r="AA593" s="3">
        <f>'Conjunto de Datos'!D594</f>
        <v>45022</v>
      </c>
      <c r="AB593" t="str">
        <f>INDEX(sala!L:L, MATCH(Tabla8[[#This Row],[Numero de Orden]], sala!K:K, 0))</f>
        <v>Ecuador</v>
      </c>
      <c r="AC593" t="str">
        <f>'Conjunto de Datos'!N594</f>
        <v>Mesero_2</v>
      </c>
      <c r="AD593">
        <f>Tabla8[[#This Row],[Propina]]+Tabla8[[#This Row],[Precio Cena]]</f>
        <v>3661</v>
      </c>
      <c r="AE593" s="45">
        <f t="shared" si="17"/>
        <v>94</v>
      </c>
    </row>
    <row r="594" spans="19:31" x14ac:dyDescent="0.3">
      <c r="S594" s="15" t="str">
        <f>'Conjunto de Datos'!BB595</f>
        <v>832</v>
      </c>
      <c r="T594" s="15">
        <f>'Conjunto de Datos'!BF595</f>
        <v>593</v>
      </c>
      <c r="U594" s="6">
        <f>sala!I594</f>
        <v>488</v>
      </c>
      <c r="V594" cm="1">
        <f t="array" ref="V594">SUM(IF(Cocina!A:A=Tabla8[[#This Row],[Numero de Orden]],Cocina!F:F*Cocina!G:G,0))</f>
        <v>209</v>
      </c>
      <c r="W594">
        <f>IF(Tabla8[[#This Row],[Cobrado]]="Cobrada",Tabla8[[#This Row],[Propina]]+Tabla8[[#This Row],[Precio Cena]],0)</f>
        <v>697</v>
      </c>
      <c r="X594" t="str">
        <f>INDEX(sala!G:G, MATCH(Tabla8[[#This Row],[Numero de Orden]], sala!K:K, 0))</f>
        <v>Almuerzo</v>
      </c>
      <c r="Y594" t="str">
        <f>'Conjunto de Datos'!J595</f>
        <v>Cobrada</v>
      </c>
      <c r="Z594" t="str">
        <f>INDEX(sala!H:H, MATCH(Tabla8[[#This Row],[Numero de Orden]], sala!K:K, 0))</f>
        <v>Tarjeta de débito</v>
      </c>
      <c r="AA594" s="3">
        <f>'Conjunto de Datos'!D595</f>
        <v>45022</v>
      </c>
      <c r="AB594" t="str">
        <f>INDEX(sala!L:L, MATCH(Tabla8[[#This Row],[Numero de Orden]], sala!K:K, 0))</f>
        <v>España</v>
      </c>
      <c r="AC594" t="str">
        <f>'Conjunto de Datos'!N595</f>
        <v>Mesero_4</v>
      </c>
      <c r="AD594">
        <f>Tabla8[[#This Row],[Propina]]+Tabla8[[#This Row],[Precio Cena]]</f>
        <v>697</v>
      </c>
      <c r="AE594" s="45">
        <f t="shared" si="17"/>
        <v>209</v>
      </c>
    </row>
    <row r="595" spans="19:31" x14ac:dyDescent="0.3">
      <c r="S595" t="str">
        <f>'Conjunto de Datos'!BB596</f>
        <v>480</v>
      </c>
      <c r="T595">
        <f>'Conjunto de Datos'!BF596</f>
        <v>594</v>
      </c>
      <c r="U595" s="7">
        <f>sala!I595</f>
        <v>4601</v>
      </c>
      <c r="V595" cm="1">
        <f t="array" ref="V595">SUM(IF(Cocina!A:A=Tabla8[[#This Row],[Numero de Orden]],Cocina!F:F*Cocina!G:G,0))</f>
        <v>139</v>
      </c>
      <c r="W595">
        <f>IF(Tabla8[[#This Row],[Cobrado]]="Cobrada",Tabla8[[#This Row],[Propina]]+Tabla8[[#This Row],[Precio Cena]],0)</f>
        <v>0</v>
      </c>
      <c r="X595" t="str">
        <f>INDEX(sala!G:G, MATCH(Tabla8[[#This Row],[Numero de Orden]], sala!K:K, 0))</f>
        <v>Almuerzo</v>
      </c>
      <c r="Y595" t="str">
        <f>'Conjunto de Datos'!J596</f>
        <v>No Cobrada</v>
      </c>
      <c r="Z595" t="str">
        <f>INDEX(sala!H:H, MATCH(Tabla8[[#This Row],[Numero de Orden]], sala!K:K, 0))</f>
        <v>Tarjeta de débito</v>
      </c>
      <c r="AA595" s="3">
        <f>'Conjunto de Datos'!D596</f>
        <v>45022</v>
      </c>
      <c r="AB595" t="str">
        <f>INDEX(sala!L:L, MATCH(Tabla8[[#This Row],[Numero de Orden]], sala!K:K, 0))</f>
        <v>Bolivia</v>
      </c>
      <c r="AC595" t="str">
        <f>'Conjunto de Datos'!N596</f>
        <v>Mesero_3</v>
      </c>
      <c r="AD595">
        <f>Tabla8[[#This Row],[Propina]]+Tabla8[[#This Row],[Precio Cena]]</f>
        <v>4740</v>
      </c>
      <c r="AE595" s="45">
        <f t="shared" si="17"/>
        <v>0</v>
      </c>
    </row>
    <row r="596" spans="19:31" x14ac:dyDescent="0.3">
      <c r="S596" s="15" t="str">
        <f>'Conjunto de Datos'!BB597</f>
        <v>290</v>
      </c>
      <c r="T596" s="15">
        <f>'Conjunto de Datos'!BF597</f>
        <v>595</v>
      </c>
      <c r="U596" s="6">
        <f>sala!I596</f>
        <v>4033</v>
      </c>
      <c r="V596" cm="1">
        <f t="array" ref="V596">SUM(IF(Cocina!A:A=Tabla8[[#This Row],[Numero de Orden]],Cocina!F:F*Cocina!G:G,0))</f>
        <v>72</v>
      </c>
      <c r="W596">
        <f>IF(Tabla8[[#This Row],[Cobrado]]="Cobrada",Tabla8[[#This Row],[Propina]]+Tabla8[[#This Row],[Precio Cena]],0)</f>
        <v>4105</v>
      </c>
      <c r="X596" t="str">
        <f>INDEX(sala!G:G, MATCH(Tabla8[[#This Row],[Numero de Orden]], sala!K:K, 0))</f>
        <v>Almuerzo</v>
      </c>
      <c r="Y596" t="str">
        <f>'Conjunto de Datos'!J597</f>
        <v>Cobrada</v>
      </c>
      <c r="Z596" t="str">
        <f>INDEX(sala!H:H, MATCH(Tabla8[[#This Row],[Numero de Orden]], sala!K:K, 0))</f>
        <v>Tarjeta de crédito</v>
      </c>
      <c r="AA596" s="3">
        <f>'Conjunto de Datos'!D597</f>
        <v>45022</v>
      </c>
      <c r="AB596" t="str">
        <f>INDEX(sala!L:L, MATCH(Tabla8[[#This Row],[Numero de Orden]], sala!K:K, 0))</f>
        <v>Paraguay</v>
      </c>
      <c r="AC596" t="str">
        <f>'Conjunto de Datos'!N597</f>
        <v>Mesero_2</v>
      </c>
      <c r="AD596">
        <f>Tabla8[[#This Row],[Propina]]+Tabla8[[#This Row],[Precio Cena]]</f>
        <v>4105</v>
      </c>
      <c r="AE596" s="45">
        <f t="shared" si="17"/>
        <v>72</v>
      </c>
    </row>
    <row r="597" spans="19:31" x14ac:dyDescent="0.3">
      <c r="S597" t="str">
        <f>'Conjunto de Datos'!BB598</f>
        <v>351</v>
      </c>
      <c r="T597">
        <f>'Conjunto de Datos'!BF598</f>
        <v>596</v>
      </c>
      <c r="U597" s="7">
        <f>sala!I597</f>
        <v>237</v>
      </c>
      <c r="V597" cm="1">
        <f t="array" ref="V597">SUM(IF(Cocina!A:A=Tabla8[[#This Row],[Numero de Orden]],Cocina!F:F*Cocina!G:G,0))</f>
        <v>240</v>
      </c>
      <c r="W597">
        <f>IF(Tabla8[[#This Row],[Cobrado]]="Cobrada",Tabla8[[#This Row],[Propina]]+Tabla8[[#This Row],[Precio Cena]],0)</f>
        <v>0</v>
      </c>
      <c r="X597" t="str">
        <f>INDEX(sala!G:G, MATCH(Tabla8[[#This Row],[Numero de Orden]], sala!K:K, 0))</f>
        <v>Almuerzo</v>
      </c>
      <c r="Y597" t="str">
        <f>'Conjunto de Datos'!J598</f>
        <v>No Cobrada</v>
      </c>
      <c r="Z597" t="str">
        <f>INDEX(sala!H:H, MATCH(Tabla8[[#This Row],[Numero de Orden]], sala!K:K, 0))</f>
        <v>Tarjeta de débito</v>
      </c>
      <c r="AA597" s="3">
        <f>'Conjunto de Datos'!D598</f>
        <v>45022</v>
      </c>
      <c r="AB597" t="str">
        <f>INDEX(sala!L:L, MATCH(Tabla8[[#This Row],[Numero de Orden]], sala!K:K, 0))</f>
        <v>Ecuador</v>
      </c>
      <c r="AC597" t="str">
        <f>'Conjunto de Datos'!N598</f>
        <v>Mesero_2</v>
      </c>
      <c r="AD597">
        <f>Tabla8[[#This Row],[Propina]]+Tabla8[[#This Row],[Precio Cena]]</f>
        <v>477</v>
      </c>
      <c r="AE597" s="45">
        <f t="shared" si="17"/>
        <v>0</v>
      </c>
    </row>
    <row r="598" spans="19:31" x14ac:dyDescent="0.3">
      <c r="S598" s="15" t="str">
        <f>'Conjunto de Datos'!BB599</f>
        <v>354</v>
      </c>
      <c r="T598" s="15">
        <f>'Conjunto de Datos'!BF599</f>
        <v>597</v>
      </c>
      <c r="U598" s="6">
        <f>sala!I598</f>
        <v>4546</v>
      </c>
      <c r="V598" cm="1">
        <f t="array" ref="V598">SUM(IF(Cocina!A:A=Tabla8[[#This Row],[Numero de Orden]],Cocina!F:F*Cocina!G:G,0))</f>
        <v>150</v>
      </c>
      <c r="W598">
        <f>IF(Tabla8[[#This Row],[Cobrado]]="Cobrada",Tabla8[[#This Row],[Propina]]+Tabla8[[#This Row],[Precio Cena]],0)</f>
        <v>4696</v>
      </c>
      <c r="X598" t="str">
        <f>INDEX(sala!G:G, MATCH(Tabla8[[#This Row],[Numero de Orden]], sala!K:K, 0))</f>
        <v>Almuerzo</v>
      </c>
      <c r="Y598" t="str">
        <f>'Conjunto de Datos'!J599</f>
        <v>Cobrada</v>
      </c>
      <c r="Z598" t="str">
        <f>INDEX(sala!H:H, MATCH(Tabla8[[#This Row],[Numero de Orden]], sala!K:K, 0))</f>
        <v>Tarjeta de crédito</v>
      </c>
      <c r="AA598" s="3">
        <f>'Conjunto de Datos'!D599</f>
        <v>45022</v>
      </c>
      <c r="AB598" t="str">
        <f>INDEX(sala!L:L, MATCH(Tabla8[[#This Row],[Numero de Orden]], sala!K:K, 0))</f>
        <v>Bolivia</v>
      </c>
      <c r="AC598" t="str">
        <f>'Conjunto de Datos'!N599</f>
        <v>Mesero_1</v>
      </c>
      <c r="AD598">
        <f>Tabla8[[#This Row],[Propina]]+Tabla8[[#This Row],[Precio Cena]]</f>
        <v>4696</v>
      </c>
      <c r="AE598" s="45">
        <f t="shared" si="17"/>
        <v>150</v>
      </c>
    </row>
    <row r="599" spans="19:31" x14ac:dyDescent="0.3">
      <c r="S599" t="str">
        <f>'Conjunto de Datos'!BB600</f>
        <v>344</v>
      </c>
      <c r="T599">
        <f>'Conjunto de Datos'!BF600</f>
        <v>598</v>
      </c>
      <c r="U599" s="7">
        <f>sala!I599</f>
        <v>1131</v>
      </c>
      <c r="V599" cm="1">
        <f t="array" ref="V599">SUM(IF(Cocina!A:A=Tabla8[[#This Row],[Numero de Orden]],Cocina!F:F*Cocina!G:G,0))</f>
        <v>209</v>
      </c>
      <c r="W599">
        <f>IF(Tabla8[[#This Row],[Cobrado]]="Cobrada",Tabla8[[#This Row],[Propina]]+Tabla8[[#This Row],[Precio Cena]],0)</f>
        <v>1340</v>
      </c>
      <c r="X599" t="str">
        <f>INDEX(sala!G:G, MATCH(Tabla8[[#This Row],[Numero de Orden]], sala!K:K, 0))</f>
        <v>Almuerzo</v>
      </c>
      <c r="Y599" t="str">
        <f>'Conjunto de Datos'!J600</f>
        <v>Cobrada</v>
      </c>
      <c r="Z599" t="str">
        <f>INDEX(sala!H:H, MATCH(Tabla8[[#This Row],[Numero de Orden]], sala!K:K, 0))</f>
        <v>Tarjeta de crédito</v>
      </c>
      <c r="AA599" s="3">
        <f>'Conjunto de Datos'!D600</f>
        <v>45022</v>
      </c>
      <c r="AB599" t="str">
        <f>INDEX(sala!L:L, MATCH(Tabla8[[#This Row],[Numero de Orden]], sala!K:K, 0))</f>
        <v>España</v>
      </c>
      <c r="AC599" t="str">
        <f>'Conjunto de Datos'!N600</f>
        <v>Mesero_5</v>
      </c>
      <c r="AD599">
        <f>Tabla8[[#This Row],[Propina]]+Tabla8[[#This Row],[Precio Cena]]</f>
        <v>1340</v>
      </c>
      <c r="AE599" s="45">
        <f t="shared" si="17"/>
        <v>209</v>
      </c>
    </row>
    <row r="600" spans="19:31" x14ac:dyDescent="0.3">
      <c r="S600" s="15" t="str">
        <f>'Conjunto de Datos'!BB601</f>
        <v>564</v>
      </c>
      <c r="T600" s="15">
        <f>'Conjunto de Datos'!BF601</f>
        <v>599</v>
      </c>
      <c r="U600" s="6">
        <f>sala!I600</f>
        <v>3097</v>
      </c>
      <c r="V600" cm="1">
        <f t="array" ref="V600">SUM(IF(Cocina!A:A=Tabla8[[#This Row],[Numero de Orden]],Cocina!F:F*Cocina!G:G,0))</f>
        <v>169</v>
      </c>
      <c r="W600">
        <f>IF(Tabla8[[#This Row],[Cobrado]]="Cobrada",Tabla8[[#This Row],[Propina]]+Tabla8[[#This Row],[Precio Cena]],0)</f>
        <v>3266</v>
      </c>
      <c r="X600" t="str">
        <f>INDEX(sala!G:G, MATCH(Tabla8[[#This Row],[Numero de Orden]], sala!K:K, 0))</f>
        <v>Almuerzo</v>
      </c>
      <c r="Y600" t="str">
        <f>'Conjunto de Datos'!J601</f>
        <v>Cobrada</v>
      </c>
      <c r="Z600" t="str">
        <f>INDEX(sala!H:H, MATCH(Tabla8[[#This Row],[Numero de Orden]], sala!K:K, 0))</f>
        <v>Tarjeta de crédito</v>
      </c>
      <c r="AA600" s="3">
        <f>'Conjunto de Datos'!D601</f>
        <v>45022</v>
      </c>
      <c r="AB600" t="str">
        <f>INDEX(sala!L:L, MATCH(Tabla8[[#This Row],[Numero de Orden]], sala!K:K, 0))</f>
        <v>Paraguay</v>
      </c>
      <c r="AC600" t="str">
        <f>'Conjunto de Datos'!N601</f>
        <v>Mesero_2</v>
      </c>
      <c r="AD600">
        <f>Tabla8[[#This Row],[Propina]]+Tabla8[[#This Row],[Precio Cena]]</f>
        <v>3266</v>
      </c>
      <c r="AE600" s="45">
        <f t="shared" si="17"/>
        <v>169</v>
      </c>
    </row>
    <row r="601" spans="19:31" x14ac:dyDescent="0.3">
      <c r="S601" t="str">
        <f>'Conjunto de Datos'!BB602</f>
        <v>782</v>
      </c>
      <c r="T601">
        <f>'Conjunto de Datos'!BF602</f>
        <v>600</v>
      </c>
      <c r="U601" s="7">
        <f>sala!I601</f>
        <v>4135</v>
      </c>
      <c r="V601" cm="1">
        <f t="array" ref="V601">SUM(IF(Cocina!A:A=Tabla8[[#This Row],[Numero de Orden]],Cocina!F:F*Cocina!G:G,0))</f>
        <v>144</v>
      </c>
      <c r="W601">
        <f>IF(Tabla8[[#This Row],[Cobrado]]="Cobrada",Tabla8[[#This Row],[Propina]]+Tabla8[[#This Row],[Precio Cena]],0)</f>
        <v>4279</v>
      </c>
      <c r="X601" t="str">
        <f>INDEX(sala!G:G, MATCH(Tabla8[[#This Row],[Numero de Orden]], sala!K:K, 0))</f>
        <v>Almuerzo</v>
      </c>
      <c r="Y601" t="str">
        <f>'Conjunto de Datos'!J602</f>
        <v>Cobrada</v>
      </c>
      <c r="Z601" t="str">
        <f>INDEX(sala!H:H, MATCH(Tabla8[[#This Row],[Numero de Orden]], sala!K:K, 0))</f>
        <v>Tarjeta de débito</v>
      </c>
      <c r="AA601" s="3">
        <f>'Conjunto de Datos'!D602</f>
        <v>45022</v>
      </c>
      <c r="AB601" t="str">
        <f>INDEX(sala!L:L, MATCH(Tabla8[[#This Row],[Numero de Orden]], sala!K:K, 0))</f>
        <v>Chile</v>
      </c>
      <c r="AC601" t="str">
        <f>'Conjunto de Datos'!N602</f>
        <v>Mesero_3</v>
      </c>
      <c r="AD601">
        <f>Tabla8[[#This Row],[Propina]]+Tabla8[[#This Row],[Precio Cena]]</f>
        <v>4279</v>
      </c>
      <c r="AE601" s="45">
        <f t="shared" si="17"/>
        <v>144</v>
      </c>
    </row>
    <row r="602" spans="19:31" x14ac:dyDescent="0.3">
      <c r="S602" s="15" t="str">
        <f>'Conjunto de Datos'!BB603</f>
        <v>88</v>
      </c>
      <c r="T602" s="15">
        <f>'Conjunto de Datos'!BF603</f>
        <v>601</v>
      </c>
      <c r="U602" s="6">
        <f>sala!I602</f>
        <v>1681</v>
      </c>
      <c r="V602" cm="1">
        <f t="array" ref="V602">SUM(IF(Cocina!A:A=Tabla8[[#This Row],[Numero de Orden]],Cocina!F:F*Cocina!G:G,0))</f>
        <v>292</v>
      </c>
      <c r="W602">
        <f>IF(Tabla8[[#This Row],[Cobrado]]="Cobrada",Tabla8[[#This Row],[Propina]]+Tabla8[[#This Row],[Precio Cena]],0)</f>
        <v>1973</v>
      </c>
      <c r="X602" t="str">
        <f>INDEX(sala!G:G, MATCH(Tabla8[[#This Row],[Numero de Orden]], sala!K:K, 0))</f>
        <v>Cena</v>
      </c>
      <c r="Y602" t="str">
        <f>'Conjunto de Datos'!J603</f>
        <v>Cobrada</v>
      </c>
      <c r="Z602" t="str">
        <f>INDEX(sala!H:H, MATCH(Tabla8[[#This Row],[Numero de Orden]], sala!K:K, 0))</f>
        <v>Tarjeta de crédito</v>
      </c>
      <c r="AA602" s="3">
        <f>'Conjunto de Datos'!D603</f>
        <v>45022</v>
      </c>
      <c r="AB602" t="str">
        <f>INDEX(sala!L:L, MATCH(Tabla8[[#This Row],[Numero de Orden]], sala!K:K, 0))</f>
        <v>Perú</v>
      </c>
      <c r="AC602" t="str">
        <f>'Conjunto de Datos'!N603</f>
        <v>Mesero_4</v>
      </c>
      <c r="AD602">
        <f>Tabla8[[#This Row],[Propina]]+Tabla8[[#This Row],[Precio Cena]]</f>
        <v>1973</v>
      </c>
      <c r="AE602" s="45">
        <f t="shared" si="17"/>
        <v>292</v>
      </c>
    </row>
    <row r="603" spans="19:31" x14ac:dyDescent="0.3">
      <c r="S603" t="str">
        <f>'Conjunto de Datos'!BB604</f>
        <v>165</v>
      </c>
      <c r="T603">
        <f>'Conjunto de Datos'!BF604</f>
        <v>602</v>
      </c>
      <c r="U603" s="7">
        <f>sala!I603</f>
        <v>165</v>
      </c>
      <c r="V603" cm="1">
        <f t="array" ref="V603">SUM(IF(Cocina!A:A=Tabla8[[#This Row],[Numero de Orden]],Cocina!F:F*Cocina!G:G,0))</f>
        <v>266</v>
      </c>
      <c r="W603">
        <f>IF(Tabla8[[#This Row],[Cobrado]]="Cobrada",Tabla8[[#This Row],[Propina]]+Tabla8[[#This Row],[Precio Cena]],0)</f>
        <v>431</v>
      </c>
      <c r="X603" t="str">
        <f>INDEX(sala!G:G, MATCH(Tabla8[[#This Row],[Numero de Orden]], sala!K:K, 0))</f>
        <v>Almuerzo</v>
      </c>
      <c r="Y603" t="str">
        <f>'Conjunto de Datos'!J604</f>
        <v>Cobrada</v>
      </c>
      <c r="Z603" t="str">
        <f>INDEX(sala!H:H, MATCH(Tabla8[[#This Row],[Numero de Orden]], sala!K:K, 0))</f>
        <v>Efectivo</v>
      </c>
      <c r="AA603" s="3">
        <f>'Conjunto de Datos'!D604</f>
        <v>45022</v>
      </c>
      <c r="AB603" t="str">
        <f>INDEX(sala!L:L, MATCH(Tabla8[[#This Row],[Numero de Orden]], sala!K:K, 0))</f>
        <v>España</v>
      </c>
      <c r="AC603" t="str">
        <f>'Conjunto de Datos'!N604</f>
        <v>Mesero_2</v>
      </c>
      <c r="AD603">
        <f>Tabla8[[#This Row],[Propina]]+Tabla8[[#This Row],[Precio Cena]]</f>
        <v>431</v>
      </c>
      <c r="AE603" s="45">
        <f t="shared" si="17"/>
        <v>266</v>
      </c>
    </row>
    <row r="604" spans="19:31" x14ac:dyDescent="0.3">
      <c r="S604" s="15" t="str">
        <f>'Conjunto de Datos'!BB605</f>
        <v>798</v>
      </c>
      <c r="T604" s="15">
        <f>'Conjunto de Datos'!BF605</f>
        <v>603</v>
      </c>
      <c r="U604" s="6">
        <f>sala!I604</f>
        <v>242</v>
      </c>
      <c r="V604" cm="1">
        <f t="array" ref="V604">SUM(IF(Cocina!A:A=Tabla8[[#This Row],[Numero de Orden]],Cocina!F:F*Cocina!G:G,0))</f>
        <v>62</v>
      </c>
      <c r="W604">
        <f>IF(Tabla8[[#This Row],[Cobrado]]="Cobrada",Tabla8[[#This Row],[Propina]]+Tabla8[[#This Row],[Precio Cena]],0)</f>
        <v>304</v>
      </c>
      <c r="X604" t="str">
        <f>INDEX(sala!G:G, MATCH(Tabla8[[#This Row],[Numero de Orden]], sala!K:K, 0))</f>
        <v>Almuerzo</v>
      </c>
      <c r="Y604" t="str">
        <f>'Conjunto de Datos'!J605</f>
        <v>Cobrada</v>
      </c>
      <c r="Z604" t="str">
        <f>INDEX(sala!H:H, MATCH(Tabla8[[#This Row],[Numero de Orden]], sala!K:K, 0))</f>
        <v>Tarjeta de crédito</v>
      </c>
      <c r="AA604" s="3">
        <f>'Conjunto de Datos'!D605</f>
        <v>45022</v>
      </c>
      <c r="AB604" t="str">
        <f>INDEX(sala!L:L, MATCH(Tabla8[[#This Row],[Numero de Orden]], sala!K:K, 0))</f>
        <v>Uruguay</v>
      </c>
      <c r="AC604" t="str">
        <f>'Conjunto de Datos'!N605</f>
        <v>Mesero_1</v>
      </c>
      <c r="AD604">
        <f>Tabla8[[#This Row],[Propina]]+Tabla8[[#This Row],[Precio Cena]]</f>
        <v>304</v>
      </c>
      <c r="AE604" s="45">
        <f t="shared" si="17"/>
        <v>62</v>
      </c>
    </row>
    <row r="605" spans="19:31" x14ac:dyDescent="0.3">
      <c r="S605" t="str">
        <f>'Conjunto de Datos'!BB606</f>
        <v>959</v>
      </c>
      <c r="T605">
        <f>'Conjunto de Datos'!BF606</f>
        <v>604</v>
      </c>
      <c r="U605" s="7">
        <f>sala!I605</f>
        <v>426</v>
      </c>
      <c r="V605" cm="1">
        <f t="array" ref="V605">SUM(IF(Cocina!A:A=Tabla8[[#This Row],[Numero de Orden]],Cocina!F:F*Cocina!G:G,0))</f>
        <v>105</v>
      </c>
      <c r="W605">
        <f>IF(Tabla8[[#This Row],[Cobrado]]="Cobrada",Tabla8[[#This Row],[Propina]]+Tabla8[[#This Row],[Precio Cena]],0)</f>
        <v>531</v>
      </c>
      <c r="X605" t="str">
        <f>INDEX(sala!G:G, MATCH(Tabla8[[#This Row],[Numero de Orden]], sala!K:K, 0))</f>
        <v>Almuerzo</v>
      </c>
      <c r="Y605" t="str">
        <f>'Conjunto de Datos'!J606</f>
        <v>Cobrada</v>
      </c>
      <c r="Z605" t="str">
        <f>INDEX(sala!H:H, MATCH(Tabla8[[#This Row],[Numero de Orden]], sala!K:K, 0))</f>
        <v>Tarjeta de crédito</v>
      </c>
      <c r="AA605" s="3">
        <f>'Conjunto de Datos'!D606</f>
        <v>45022</v>
      </c>
      <c r="AB605" t="str">
        <f>INDEX(sala!L:L, MATCH(Tabla8[[#This Row],[Numero de Orden]], sala!K:K, 0))</f>
        <v>Ecuador</v>
      </c>
      <c r="AC605" t="str">
        <f>'Conjunto de Datos'!N606</f>
        <v>Mesero_2</v>
      </c>
      <c r="AD605">
        <f>Tabla8[[#This Row],[Propina]]+Tabla8[[#This Row],[Precio Cena]]</f>
        <v>531</v>
      </c>
      <c r="AE605" s="45">
        <f t="shared" si="17"/>
        <v>105</v>
      </c>
    </row>
    <row r="606" spans="19:31" x14ac:dyDescent="0.3">
      <c r="S606" s="15" t="str">
        <f>'Conjunto de Datos'!BB607</f>
        <v>608</v>
      </c>
      <c r="T606" s="15">
        <f>'Conjunto de Datos'!BF607</f>
        <v>605</v>
      </c>
      <c r="U606" s="6">
        <f>sala!I606</f>
        <v>2438</v>
      </c>
      <c r="V606" cm="1">
        <f t="array" ref="V606">SUM(IF(Cocina!A:A=Tabla8[[#This Row],[Numero de Orden]],Cocina!F:F*Cocina!G:G,0))</f>
        <v>220</v>
      </c>
      <c r="W606">
        <f>IF(Tabla8[[#This Row],[Cobrado]]="Cobrada",Tabla8[[#This Row],[Propina]]+Tabla8[[#This Row],[Precio Cena]],0)</f>
        <v>2658</v>
      </c>
      <c r="X606" t="str">
        <f>INDEX(sala!G:G, MATCH(Tabla8[[#This Row],[Numero de Orden]], sala!K:K, 0))</f>
        <v>Almuerzo</v>
      </c>
      <c r="Y606" t="str">
        <f>'Conjunto de Datos'!J607</f>
        <v>Cobrada</v>
      </c>
      <c r="Z606" t="str">
        <f>INDEX(sala!H:H, MATCH(Tabla8[[#This Row],[Numero de Orden]], sala!K:K, 0))</f>
        <v>Efectivo</v>
      </c>
      <c r="AA606" s="3">
        <f>'Conjunto de Datos'!D607</f>
        <v>45022</v>
      </c>
      <c r="AB606" t="str">
        <f>INDEX(sala!L:L, MATCH(Tabla8[[#This Row],[Numero de Orden]], sala!K:K, 0))</f>
        <v>Uruguay</v>
      </c>
      <c r="AC606" t="str">
        <f>'Conjunto de Datos'!N607</f>
        <v>Mesero_3</v>
      </c>
      <c r="AD606">
        <f>Tabla8[[#This Row],[Propina]]+Tabla8[[#This Row],[Precio Cena]]</f>
        <v>2658</v>
      </c>
      <c r="AE606" s="45">
        <f t="shared" si="17"/>
        <v>220</v>
      </c>
    </row>
    <row r="607" spans="19:31" x14ac:dyDescent="0.3">
      <c r="S607" t="str">
        <f>'Conjunto de Datos'!BB608</f>
        <v>434</v>
      </c>
      <c r="T607">
        <f>'Conjunto de Datos'!BF608</f>
        <v>606</v>
      </c>
      <c r="U607" s="7">
        <f>sala!I607</f>
        <v>3158</v>
      </c>
      <c r="V607" cm="1">
        <f t="array" ref="V607">SUM(IF(Cocina!A:A=Tabla8[[#This Row],[Numero de Orden]],Cocina!F:F*Cocina!G:G,0))</f>
        <v>183</v>
      </c>
      <c r="W607">
        <f>IF(Tabla8[[#This Row],[Cobrado]]="Cobrada",Tabla8[[#This Row],[Propina]]+Tabla8[[#This Row],[Precio Cena]],0)</f>
        <v>3341</v>
      </c>
      <c r="X607" t="str">
        <f>INDEX(sala!G:G, MATCH(Tabla8[[#This Row],[Numero de Orden]], sala!K:K, 0))</f>
        <v>Almuerzo</v>
      </c>
      <c r="Y607" t="str">
        <f>'Conjunto de Datos'!J608</f>
        <v>Cobrada</v>
      </c>
      <c r="Z607" t="str">
        <f>INDEX(sala!H:H, MATCH(Tabla8[[#This Row],[Numero de Orden]], sala!K:K, 0))</f>
        <v>Tarjeta de crédito</v>
      </c>
      <c r="AA607" s="3">
        <f>'Conjunto de Datos'!D608</f>
        <v>45022</v>
      </c>
      <c r="AB607" t="str">
        <f>INDEX(sala!L:L, MATCH(Tabla8[[#This Row],[Numero de Orden]], sala!K:K, 0))</f>
        <v>Venezuela</v>
      </c>
      <c r="AC607" t="str">
        <f>'Conjunto de Datos'!N608</f>
        <v>Mesero_5</v>
      </c>
      <c r="AD607">
        <f>Tabla8[[#This Row],[Propina]]+Tabla8[[#This Row],[Precio Cena]]</f>
        <v>3341</v>
      </c>
      <c r="AE607" s="45">
        <f t="shared" si="17"/>
        <v>183</v>
      </c>
    </row>
    <row r="608" spans="19:31" x14ac:dyDescent="0.3">
      <c r="S608" s="15" t="str">
        <f>'Conjunto de Datos'!BB609</f>
        <v>377</v>
      </c>
      <c r="T608" s="15">
        <f>'Conjunto de Datos'!BF609</f>
        <v>607</v>
      </c>
      <c r="U608" s="6">
        <f>sala!I608</f>
        <v>289</v>
      </c>
      <c r="V608" cm="1">
        <f t="array" ref="V608">SUM(IF(Cocina!A:A=Tabla8[[#This Row],[Numero de Orden]],Cocina!F:F*Cocina!G:G,0))</f>
        <v>68</v>
      </c>
      <c r="W608">
        <f>IF(Tabla8[[#This Row],[Cobrado]]="Cobrada",Tabla8[[#This Row],[Propina]]+Tabla8[[#This Row],[Precio Cena]],0)</f>
        <v>357</v>
      </c>
      <c r="X608" t="str">
        <f>INDEX(sala!G:G, MATCH(Tabla8[[#This Row],[Numero de Orden]], sala!K:K, 0))</f>
        <v>Almuerzo</v>
      </c>
      <c r="Y608" t="str">
        <f>'Conjunto de Datos'!J609</f>
        <v>Cobrada</v>
      </c>
      <c r="Z608" t="str">
        <f>INDEX(sala!H:H, MATCH(Tabla8[[#This Row],[Numero de Orden]], sala!K:K, 0))</f>
        <v>Tarjeta de crédito</v>
      </c>
      <c r="AA608" s="3">
        <f>'Conjunto de Datos'!D609</f>
        <v>45022</v>
      </c>
      <c r="AB608" t="str">
        <f>INDEX(sala!L:L, MATCH(Tabla8[[#This Row],[Numero de Orden]], sala!K:K, 0))</f>
        <v>Paraguay</v>
      </c>
      <c r="AC608" t="str">
        <f>'Conjunto de Datos'!N609</f>
        <v>Mesero_5</v>
      </c>
      <c r="AD608">
        <f>Tabla8[[#This Row],[Propina]]+Tabla8[[#This Row],[Precio Cena]]</f>
        <v>357</v>
      </c>
      <c r="AE608" s="45">
        <f t="shared" si="17"/>
        <v>68</v>
      </c>
    </row>
    <row r="609" spans="19:31" x14ac:dyDescent="0.3">
      <c r="S609" t="str">
        <f>'Conjunto de Datos'!BB610</f>
        <v>657</v>
      </c>
      <c r="T609">
        <f>'Conjunto de Datos'!BF610</f>
        <v>608</v>
      </c>
      <c r="U609" s="7">
        <f>sala!I609</f>
        <v>3655</v>
      </c>
      <c r="V609" cm="1">
        <f t="array" ref="V609">SUM(IF(Cocina!A:A=Tabla8[[#This Row],[Numero de Orden]],Cocina!F:F*Cocina!G:G,0))</f>
        <v>29</v>
      </c>
      <c r="W609">
        <f>IF(Tabla8[[#This Row],[Cobrado]]="Cobrada",Tabla8[[#This Row],[Propina]]+Tabla8[[#This Row],[Precio Cena]],0)</f>
        <v>3684</v>
      </c>
      <c r="X609" t="str">
        <f>INDEX(sala!G:G, MATCH(Tabla8[[#This Row],[Numero de Orden]], sala!K:K, 0))</f>
        <v>Almuerzo</v>
      </c>
      <c r="Y609" t="str">
        <f>'Conjunto de Datos'!J610</f>
        <v>Cobrada</v>
      </c>
      <c r="Z609" t="str">
        <f>INDEX(sala!H:H, MATCH(Tabla8[[#This Row],[Numero de Orden]], sala!K:K, 0))</f>
        <v>Tarjeta de crédito</v>
      </c>
      <c r="AA609" s="3">
        <f>'Conjunto de Datos'!D610</f>
        <v>45022</v>
      </c>
      <c r="AB609" t="str">
        <f>INDEX(sala!L:L, MATCH(Tabla8[[#This Row],[Numero de Orden]], sala!K:K, 0))</f>
        <v>España</v>
      </c>
      <c r="AC609" t="str">
        <f>'Conjunto de Datos'!N610</f>
        <v>Mesero_3</v>
      </c>
      <c r="AD609">
        <f>Tabla8[[#This Row],[Propina]]+Tabla8[[#This Row],[Precio Cena]]</f>
        <v>3684</v>
      </c>
      <c r="AE609" s="45">
        <f t="shared" si="17"/>
        <v>29</v>
      </c>
    </row>
    <row r="610" spans="19:31" x14ac:dyDescent="0.3">
      <c r="S610" s="15" t="str">
        <f>'Conjunto de Datos'!BB611</f>
        <v>331</v>
      </c>
      <c r="T610" s="15">
        <f>'Conjunto de Datos'!BF611</f>
        <v>609</v>
      </c>
      <c r="U610" s="6">
        <f>sala!I610</f>
        <v>2329</v>
      </c>
      <c r="V610" cm="1">
        <f t="array" ref="V610">SUM(IF(Cocina!A:A=Tabla8[[#This Row],[Numero de Orden]],Cocina!F:F*Cocina!G:G,0))</f>
        <v>32</v>
      </c>
      <c r="W610">
        <f>IF(Tabla8[[#This Row],[Cobrado]]="Cobrada",Tabla8[[#This Row],[Propina]]+Tabla8[[#This Row],[Precio Cena]],0)</f>
        <v>2361</v>
      </c>
      <c r="X610" t="str">
        <f>INDEX(sala!G:G, MATCH(Tabla8[[#This Row],[Numero de Orden]], sala!K:K, 0))</f>
        <v>Almuerzo</v>
      </c>
      <c r="Y610" t="str">
        <f>'Conjunto de Datos'!J611</f>
        <v>Cobrada</v>
      </c>
      <c r="Z610" t="str">
        <f>INDEX(sala!H:H, MATCH(Tabla8[[#This Row],[Numero de Orden]], sala!K:K, 0))</f>
        <v>Tarjeta de crédito</v>
      </c>
      <c r="AA610" s="3">
        <f>'Conjunto de Datos'!D611</f>
        <v>45022</v>
      </c>
      <c r="AB610" t="str">
        <f>INDEX(sala!L:L, MATCH(Tabla8[[#This Row],[Numero de Orden]], sala!K:K, 0))</f>
        <v>Ecuador</v>
      </c>
      <c r="AC610" t="str">
        <f>'Conjunto de Datos'!N611</f>
        <v>Mesero_1</v>
      </c>
      <c r="AD610">
        <f>Tabla8[[#This Row],[Propina]]+Tabla8[[#This Row],[Precio Cena]]</f>
        <v>2361</v>
      </c>
      <c r="AE610" s="45">
        <f t="shared" si="17"/>
        <v>32</v>
      </c>
    </row>
    <row r="611" spans="19:31" x14ac:dyDescent="0.3">
      <c r="S611" t="str">
        <f>'Conjunto de Datos'!BB612</f>
        <v>728</v>
      </c>
      <c r="T611">
        <f>'Conjunto de Datos'!BF612</f>
        <v>610</v>
      </c>
      <c r="U611" s="7">
        <f>sala!I611</f>
        <v>379</v>
      </c>
      <c r="V611" cm="1">
        <f t="array" ref="V611">SUM(IF(Cocina!A:A=Tabla8[[#This Row],[Numero de Orden]],Cocina!F:F*Cocina!G:G,0))</f>
        <v>44</v>
      </c>
      <c r="W611">
        <f>IF(Tabla8[[#This Row],[Cobrado]]="Cobrada",Tabla8[[#This Row],[Propina]]+Tabla8[[#This Row],[Precio Cena]],0)</f>
        <v>423</v>
      </c>
      <c r="X611" t="str">
        <f>INDEX(sala!G:G, MATCH(Tabla8[[#This Row],[Numero de Orden]], sala!K:K, 0))</f>
        <v>Cena</v>
      </c>
      <c r="Y611" t="str">
        <f>'Conjunto de Datos'!J612</f>
        <v>Cobrada</v>
      </c>
      <c r="Z611" t="str">
        <f>INDEX(sala!H:H, MATCH(Tabla8[[#This Row],[Numero de Orden]], sala!K:K, 0))</f>
        <v>Tarjeta de crédito</v>
      </c>
      <c r="AA611" s="3">
        <f>'Conjunto de Datos'!D612</f>
        <v>45022</v>
      </c>
      <c r="AB611" t="str">
        <f>INDEX(sala!L:L, MATCH(Tabla8[[#This Row],[Numero de Orden]], sala!K:K, 0))</f>
        <v>Paraguay</v>
      </c>
      <c r="AC611" t="str">
        <f>'Conjunto de Datos'!N612</f>
        <v>Mesero_5</v>
      </c>
      <c r="AD611">
        <f>Tabla8[[#This Row],[Propina]]+Tabla8[[#This Row],[Precio Cena]]</f>
        <v>423</v>
      </c>
      <c r="AE611" s="45">
        <f t="shared" si="17"/>
        <v>44</v>
      </c>
    </row>
    <row r="612" spans="19:31" x14ac:dyDescent="0.3">
      <c r="S612" s="15" t="str">
        <f>'Conjunto de Datos'!BB613</f>
        <v>224</v>
      </c>
      <c r="T612" s="15">
        <f>'Conjunto de Datos'!BF613</f>
        <v>611</v>
      </c>
      <c r="U612" s="6">
        <f>sala!I612</f>
        <v>4428</v>
      </c>
      <c r="V612" cm="1">
        <f t="array" ref="V612">SUM(IF(Cocina!A:A=Tabla8[[#This Row],[Numero de Orden]],Cocina!F:F*Cocina!G:G,0))</f>
        <v>78</v>
      </c>
      <c r="W612">
        <f>IF(Tabla8[[#This Row],[Cobrado]]="Cobrada",Tabla8[[#This Row],[Propina]]+Tabla8[[#This Row],[Precio Cena]],0)</f>
        <v>4506</v>
      </c>
      <c r="X612" t="str">
        <f>INDEX(sala!G:G, MATCH(Tabla8[[#This Row],[Numero de Orden]], sala!K:K, 0))</f>
        <v>Almuerzo</v>
      </c>
      <c r="Y612" t="str">
        <f>'Conjunto de Datos'!J613</f>
        <v>Cobrada</v>
      </c>
      <c r="Z612" t="str">
        <f>INDEX(sala!H:H, MATCH(Tabla8[[#This Row],[Numero de Orden]], sala!K:K, 0))</f>
        <v>Tarjeta de crédito</v>
      </c>
      <c r="AA612" s="3">
        <f>'Conjunto de Datos'!D613</f>
        <v>45022</v>
      </c>
      <c r="AB612" t="str">
        <f>INDEX(sala!L:L, MATCH(Tabla8[[#This Row],[Numero de Orden]], sala!K:K, 0))</f>
        <v>Brasil</v>
      </c>
      <c r="AC612" t="str">
        <f>'Conjunto de Datos'!N613</f>
        <v>Mesero_1</v>
      </c>
      <c r="AD612">
        <f>Tabla8[[#This Row],[Propina]]+Tabla8[[#This Row],[Precio Cena]]</f>
        <v>4506</v>
      </c>
      <c r="AE612" s="45">
        <f t="shared" si="17"/>
        <v>78</v>
      </c>
    </row>
    <row r="613" spans="19:31" x14ac:dyDescent="0.3">
      <c r="S613" t="str">
        <f>'Conjunto de Datos'!BB614</f>
        <v>680</v>
      </c>
      <c r="T613">
        <f>'Conjunto de Datos'!BF614</f>
        <v>612</v>
      </c>
      <c r="U613" s="7">
        <f>sala!I613</f>
        <v>2354</v>
      </c>
      <c r="V613" cm="1">
        <f t="array" ref="V613">SUM(IF(Cocina!A:A=Tabla8[[#This Row],[Numero de Orden]],Cocina!F:F*Cocina!G:G,0))</f>
        <v>231</v>
      </c>
      <c r="W613">
        <f>IF(Tabla8[[#This Row],[Cobrado]]="Cobrada",Tabla8[[#This Row],[Propina]]+Tabla8[[#This Row],[Precio Cena]],0)</f>
        <v>2585</v>
      </c>
      <c r="X613" t="str">
        <f>INDEX(sala!G:G, MATCH(Tabla8[[#This Row],[Numero de Orden]], sala!K:K, 0))</f>
        <v>Almuerzo</v>
      </c>
      <c r="Y613" t="str">
        <f>'Conjunto de Datos'!J614</f>
        <v>Cobrada</v>
      </c>
      <c r="Z613" t="str">
        <f>INDEX(sala!H:H, MATCH(Tabla8[[#This Row],[Numero de Orden]], sala!K:K, 0))</f>
        <v>Tarjeta de crédito</v>
      </c>
      <c r="AA613" s="3">
        <f>'Conjunto de Datos'!D614</f>
        <v>45022</v>
      </c>
      <c r="AB613" t="str">
        <f>INDEX(sala!L:L, MATCH(Tabla8[[#This Row],[Numero de Orden]], sala!K:K, 0))</f>
        <v>Paraguay</v>
      </c>
      <c r="AC613" t="str">
        <f>'Conjunto de Datos'!N614</f>
        <v>Mesero_5</v>
      </c>
      <c r="AD613">
        <f>Tabla8[[#This Row],[Propina]]+Tabla8[[#This Row],[Precio Cena]]</f>
        <v>2585</v>
      </c>
      <c r="AE613" s="45">
        <f t="shared" si="17"/>
        <v>231</v>
      </c>
    </row>
    <row r="614" spans="19:31" x14ac:dyDescent="0.3">
      <c r="S614" s="15" t="str">
        <f>'Conjunto de Datos'!BB615</f>
        <v>230</v>
      </c>
      <c r="T614" s="15">
        <f>'Conjunto de Datos'!BF615</f>
        <v>613</v>
      </c>
      <c r="U614" s="6">
        <f>sala!I614</f>
        <v>2356</v>
      </c>
      <c r="V614" cm="1">
        <f t="array" ref="V614">SUM(IF(Cocina!A:A=Tabla8[[#This Row],[Numero de Orden]],Cocina!F:F*Cocina!G:G,0))</f>
        <v>285</v>
      </c>
      <c r="W614">
        <f>IF(Tabla8[[#This Row],[Cobrado]]="Cobrada",Tabla8[[#This Row],[Propina]]+Tabla8[[#This Row],[Precio Cena]],0)</f>
        <v>0</v>
      </c>
      <c r="X614" t="str">
        <f>INDEX(sala!G:G, MATCH(Tabla8[[#This Row],[Numero de Orden]], sala!K:K, 0))</f>
        <v>Desayuno</v>
      </c>
      <c r="Y614" t="str">
        <f>'Conjunto de Datos'!J615</f>
        <v>No Cobrada</v>
      </c>
      <c r="Z614" t="str">
        <f>INDEX(sala!H:H, MATCH(Tabla8[[#This Row],[Numero de Orden]], sala!K:K, 0))</f>
        <v>Efectivo</v>
      </c>
      <c r="AA614" s="3">
        <f>'Conjunto de Datos'!D615</f>
        <v>45022</v>
      </c>
      <c r="AB614" t="str">
        <f>INDEX(sala!L:L, MATCH(Tabla8[[#This Row],[Numero de Orden]], sala!K:K, 0))</f>
        <v>España</v>
      </c>
      <c r="AC614" t="str">
        <f>'Conjunto de Datos'!N615</f>
        <v>Mesero_2</v>
      </c>
      <c r="AD614">
        <f>Tabla8[[#This Row],[Propina]]+Tabla8[[#This Row],[Precio Cena]]</f>
        <v>2641</v>
      </c>
      <c r="AE614" s="45">
        <f t="shared" si="17"/>
        <v>0</v>
      </c>
    </row>
    <row r="615" spans="19:31" x14ac:dyDescent="0.3">
      <c r="S615" t="str">
        <f>'Conjunto de Datos'!BB616</f>
        <v>823</v>
      </c>
      <c r="T615">
        <f>'Conjunto de Datos'!BF616</f>
        <v>614</v>
      </c>
      <c r="U615" s="7">
        <f>sala!I615</f>
        <v>2648</v>
      </c>
      <c r="V615" cm="1">
        <f t="array" ref="V615">SUM(IF(Cocina!A:A=Tabla8[[#This Row],[Numero de Orden]],Cocina!F:F*Cocina!G:G,0))</f>
        <v>72</v>
      </c>
      <c r="W615">
        <f>IF(Tabla8[[#This Row],[Cobrado]]="Cobrada",Tabla8[[#This Row],[Propina]]+Tabla8[[#This Row],[Precio Cena]],0)</f>
        <v>2720</v>
      </c>
      <c r="X615" t="str">
        <f>INDEX(sala!G:G, MATCH(Tabla8[[#This Row],[Numero de Orden]], sala!K:K, 0))</f>
        <v>Desayuno</v>
      </c>
      <c r="Y615" t="str">
        <f>'Conjunto de Datos'!J616</f>
        <v>Cobrada</v>
      </c>
      <c r="Z615" t="str">
        <f>INDEX(sala!H:H, MATCH(Tabla8[[#This Row],[Numero de Orden]], sala!K:K, 0))</f>
        <v>Tarjeta de débito</v>
      </c>
      <c r="AA615" s="3">
        <f>'Conjunto de Datos'!D616</f>
        <v>45022</v>
      </c>
      <c r="AB615" t="str">
        <f>INDEX(sala!L:L, MATCH(Tabla8[[#This Row],[Numero de Orden]], sala!K:K, 0))</f>
        <v>Venezuela</v>
      </c>
      <c r="AC615" t="str">
        <f>'Conjunto de Datos'!N616</f>
        <v>Mesero_1</v>
      </c>
      <c r="AD615">
        <f>Tabla8[[#This Row],[Propina]]+Tabla8[[#This Row],[Precio Cena]]</f>
        <v>2720</v>
      </c>
      <c r="AE615" s="45">
        <f t="shared" si="17"/>
        <v>72</v>
      </c>
    </row>
    <row r="616" spans="19:31" x14ac:dyDescent="0.3">
      <c r="S616" s="15" t="str">
        <f>'Conjunto de Datos'!BB617</f>
        <v>513</v>
      </c>
      <c r="T616" s="15">
        <f>'Conjunto de Datos'!BF617</f>
        <v>615</v>
      </c>
      <c r="U616" s="6">
        <f>sala!I616</f>
        <v>1842</v>
      </c>
      <c r="V616" cm="1">
        <f t="array" ref="V616">SUM(IF(Cocina!A:A=Tabla8[[#This Row],[Numero de Orden]],Cocina!F:F*Cocina!G:G,0))</f>
        <v>333</v>
      </c>
      <c r="W616">
        <f>IF(Tabla8[[#This Row],[Cobrado]]="Cobrada",Tabla8[[#This Row],[Propina]]+Tabla8[[#This Row],[Precio Cena]],0)</f>
        <v>0</v>
      </c>
      <c r="X616" t="str">
        <f>INDEX(sala!G:G, MATCH(Tabla8[[#This Row],[Numero de Orden]], sala!K:K, 0))</f>
        <v>Cena</v>
      </c>
      <c r="Y616" t="str">
        <f>'Conjunto de Datos'!J617</f>
        <v>No Cobrada</v>
      </c>
      <c r="Z616" t="str">
        <f>INDEX(sala!H:H, MATCH(Tabla8[[#This Row],[Numero de Orden]], sala!K:K, 0))</f>
        <v>Tarjeta de crédito</v>
      </c>
      <c r="AA616" s="3">
        <f>'Conjunto de Datos'!D617</f>
        <v>45022</v>
      </c>
      <c r="AB616" t="str">
        <f>INDEX(sala!L:L, MATCH(Tabla8[[#This Row],[Numero de Orden]], sala!K:K, 0))</f>
        <v>Ecuador</v>
      </c>
      <c r="AC616" t="str">
        <f>'Conjunto de Datos'!N617</f>
        <v>Mesero_5</v>
      </c>
      <c r="AD616">
        <f>Tabla8[[#This Row],[Propina]]+Tabla8[[#This Row],[Precio Cena]]</f>
        <v>2175</v>
      </c>
      <c r="AE616" s="45">
        <f t="shared" si="17"/>
        <v>0</v>
      </c>
    </row>
    <row r="617" spans="19:31" x14ac:dyDescent="0.3">
      <c r="S617" t="str">
        <f>'Conjunto de Datos'!BB618</f>
        <v>608</v>
      </c>
      <c r="T617">
        <f>'Conjunto de Datos'!BF618</f>
        <v>616</v>
      </c>
      <c r="U617" s="7">
        <f>sala!I617</f>
        <v>2389</v>
      </c>
      <c r="V617" cm="1">
        <f t="array" ref="V617">SUM(IF(Cocina!A:A=Tabla8[[#This Row],[Numero de Orden]],Cocina!F:F*Cocina!G:G,0))</f>
        <v>132</v>
      </c>
      <c r="W617">
        <f>IF(Tabla8[[#This Row],[Cobrado]]="Cobrada",Tabla8[[#This Row],[Propina]]+Tabla8[[#This Row],[Precio Cena]],0)</f>
        <v>2521</v>
      </c>
      <c r="X617" t="str">
        <f>INDEX(sala!G:G, MATCH(Tabla8[[#This Row],[Numero de Orden]], sala!K:K, 0))</f>
        <v>Cena</v>
      </c>
      <c r="Y617" t="str">
        <f>'Conjunto de Datos'!J618</f>
        <v>Cobrada</v>
      </c>
      <c r="Z617" t="str">
        <f>INDEX(sala!H:H, MATCH(Tabla8[[#This Row],[Numero de Orden]], sala!K:K, 0))</f>
        <v>Tarjeta de crédito</v>
      </c>
      <c r="AA617" s="3">
        <f>'Conjunto de Datos'!D618</f>
        <v>45022</v>
      </c>
      <c r="AB617" t="str">
        <f>INDEX(sala!L:L, MATCH(Tabla8[[#This Row],[Numero de Orden]], sala!K:K, 0))</f>
        <v>Venezuela</v>
      </c>
      <c r="AC617" t="str">
        <f>'Conjunto de Datos'!N618</f>
        <v>Mesero_5</v>
      </c>
      <c r="AD617">
        <f>Tabla8[[#This Row],[Propina]]+Tabla8[[#This Row],[Precio Cena]]</f>
        <v>2521</v>
      </c>
      <c r="AE617" s="45">
        <f t="shared" si="17"/>
        <v>132</v>
      </c>
    </row>
    <row r="618" spans="19:31" x14ac:dyDescent="0.3">
      <c r="S618" s="15" t="str">
        <f>'Conjunto de Datos'!BB619</f>
        <v>27</v>
      </c>
      <c r="T618" s="15">
        <f>'Conjunto de Datos'!BF619</f>
        <v>617</v>
      </c>
      <c r="U618" s="6">
        <f>sala!I618</f>
        <v>3818</v>
      </c>
      <c r="V618" cm="1">
        <f t="array" ref="V618">SUM(IF(Cocina!A:A=Tabla8[[#This Row],[Numero de Orden]],Cocina!F:F*Cocina!G:G,0))</f>
        <v>142</v>
      </c>
      <c r="W618">
        <f>IF(Tabla8[[#This Row],[Cobrado]]="Cobrada",Tabla8[[#This Row],[Propina]]+Tabla8[[#This Row],[Precio Cena]],0)</f>
        <v>3960</v>
      </c>
      <c r="X618" t="str">
        <f>INDEX(sala!G:G, MATCH(Tabla8[[#This Row],[Numero de Orden]], sala!K:K, 0))</f>
        <v>Almuerzo</v>
      </c>
      <c r="Y618" t="str">
        <f>'Conjunto de Datos'!J619</f>
        <v>Cobrada</v>
      </c>
      <c r="Z618" t="str">
        <f>INDEX(sala!H:H, MATCH(Tabla8[[#This Row],[Numero de Orden]], sala!K:K, 0))</f>
        <v>Tarjeta de crédito</v>
      </c>
      <c r="AA618" s="3">
        <f>'Conjunto de Datos'!D619</f>
        <v>45022</v>
      </c>
      <c r="AB618" t="str">
        <f>INDEX(sala!L:L, MATCH(Tabla8[[#This Row],[Numero de Orden]], sala!K:K, 0))</f>
        <v>Uruguay</v>
      </c>
      <c r="AC618" t="str">
        <f>'Conjunto de Datos'!N619</f>
        <v>Mesero_2</v>
      </c>
      <c r="AD618">
        <f>Tabla8[[#This Row],[Propina]]+Tabla8[[#This Row],[Precio Cena]]</f>
        <v>3960</v>
      </c>
      <c r="AE618" s="45">
        <f t="shared" si="17"/>
        <v>142</v>
      </c>
    </row>
    <row r="619" spans="19:31" x14ac:dyDescent="0.3">
      <c r="S619" t="str">
        <f>'Conjunto de Datos'!BB620</f>
        <v>973</v>
      </c>
      <c r="T619">
        <f>'Conjunto de Datos'!BF620</f>
        <v>618</v>
      </c>
      <c r="U619" s="7">
        <f>sala!I619</f>
        <v>2593</v>
      </c>
      <c r="V619" cm="1">
        <f t="array" ref="V619">SUM(IF(Cocina!A:A=Tabla8[[#This Row],[Numero de Orden]],Cocina!F:F*Cocina!G:G,0))</f>
        <v>319</v>
      </c>
      <c r="W619">
        <f>IF(Tabla8[[#This Row],[Cobrado]]="Cobrada",Tabla8[[#This Row],[Propina]]+Tabla8[[#This Row],[Precio Cena]],0)</f>
        <v>2912</v>
      </c>
      <c r="X619" t="str">
        <f>INDEX(sala!G:G, MATCH(Tabla8[[#This Row],[Numero de Orden]], sala!K:K, 0))</f>
        <v>Desayuno</v>
      </c>
      <c r="Y619" t="str">
        <f>'Conjunto de Datos'!J620</f>
        <v>Cobrada</v>
      </c>
      <c r="Z619" t="str">
        <f>INDEX(sala!H:H, MATCH(Tabla8[[#This Row],[Numero de Orden]], sala!K:K, 0))</f>
        <v>Tarjeta de crédito</v>
      </c>
      <c r="AA619" s="3">
        <f>'Conjunto de Datos'!D620</f>
        <v>45022</v>
      </c>
      <c r="AB619" t="str">
        <f>INDEX(sala!L:L, MATCH(Tabla8[[#This Row],[Numero de Orden]], sala!K:K, 0))</f>
        <v>Chile</v>
      </c>
      <c r="AC619" t="str">
        <f>'Conjunto de Datos'!N620</f>
        <v>Mesero_4</v>
      </c>
      <c r="AD619">
        <f>Tabla8[[#This Row],[Propina]]+Tabla8[[#This Row],[Precio Cena]]</f>
        <v>2912</v>
      </c>
      <c r="AE619" s="45">
        <f t="shared" si="17"/>
        <v>319</v>
      </c>
    </row>
    <row r="620" spans="19:31" x14ac:dyDescent="0.3">
      <c r="S620" s="15" t="str">
        <f>'Conjunto de Datos'!BB621</f>
        <v>619</v>
      </c>
      <c r="T620" s="15">
        <f>'Conjunto de Datos'!BF621</f>
        <v>619</v>
      </c>
      <c r="U620" s="6">
        <f>sala!I620</f>
        <v>1644</v>
      </c>
      <c r="V620" cm="1">
        <f t="array" ref="V620">SUM(IF(Cocina!A:A=Tabla8[[#This Row],[Numero de Orden]],Cocina!F:F*Cocina!G:G,0))</f>
        <v>132</v>
      </c>
      <c r="W620">
        <f>IF(Tabla8[[#This Row],[Cobrado]]="Cobrada",Tabla8[[#This Row],[Propina]]+Tabla8[[#This Row],[Precio Cena]],0)</f>
        <v>1776</v>
      </c>
      <c r="X620" t="str">
        <f>INDEX(sala!G:G, MATCH(Tabla8[[#This Row],[Numero de Orden]], sala!K:K, 0))</f>
        <v>Cena</v>
      </c>
      <c r="Y620" t="str">
        <f>'Conjunto de Datos'!J621</f>
        <v>Cobrada</v>
      </c>
      <c r="Z620" t="str">
        <f>INDEX(sala!H:H, MATCH(Tabla8[[#This Row],[Numero de Orden]], sala!K:K, 0))</f>
        <v>Tarjeta de crédito</v>
      </c>
      <c r="AA620" s="3">
        <f>'Conjunto de Datos'!D621</f>
        <v>45022</v>
      </c>
      <c r="AB620" t="str">
        <f>INDEX(sala!L:L, MATCH(Tabla8[[#This Row],[Numero de Orden]], sala!K:K, 0))</f>
        <v>Ecuador</v>
      </c>
      <c r="AC620" t="str">
        <f>'Conjunto de Datos'!N621</f>
        <v>Mesero_5</v>
      </c>
      <c r="AD620">
        <f>Tabla8[[#This Row],[Propina]]+Tabla8[[#This Row],[Precio Cena]]</f>
        <v>1776</v>
      </c>
      <c r="AE620" s="45">
        <f t="shared" si="17"/>
        <v>132</v>
      </c>
    </row>
    <row r="621" spans="19:31" x14ac:dyDescent="0.3">
      <c r="S621" t="str">
        <f>'Conjunto de Datos'!BB622</f>
        <v>592</v>
      </c>
      <c r="T621">
        <f>'Conjunto de Datos'!BF622</f>
        <v>620</v>
      </c>
      <c r="U621" s="7">
        <f>sala!I621</f>
        <v>2664</v>
      </c>
      <c r="V621" cm="1">
        <f t="array" ref="V621">SUM(IF(Cocina!A:A=Tabla8[[#This Row],[Numero de Orden]],Cocina!F:F*Cocina!G:G,0))</f>
        <v>57</v>
      </c>
      <c r="W621">
        <f>IF(Tabla8[[#This Row],[Cobrado]]="Cobrada",Tabla8[[#This Row],[Propina]]+Tabla8[[#This Row],[Precio Cena]],0)</f>
        <v>2721</v>
      </c>
      <c r="X621" t="str">
        <f>INDEX(sala!G:G, MATCH(Tabla8[[#This Row],[Numero de Orden]], sala!K:K, 0))</f>
        <v>Almuerzo</v>
      </c>
      <c r="Y621" t="str">
        <f>'Conjunto de Datos'!J622</f>
        <v>Cobrada</v>
      </c>
      <c r="Z621" t="str">
        <f>INDEX(sala!H:H, MATCH(Tabla8[[#This Row],[Numero de Orden]], sala!K:K, 0))</f>
        <v>Tarjeta de crédito</v>
      </c>
      <c r="AA621" s="3">
        <f>'Conjunto de Datos'!D622</f>
        <v>45022</v>
      </c>
      <c r="AB621" t="str">
        <f>INDEX(sala!L:L, MATCH(Tabla8[[#This Row],[Numero de Orden]], sala!K:K, 0))</f>
        <v>Paraguay</v>
      </c>
      <c r="AC621" t="str">
        <f>'Conjunto de Datos'!N622</f>
        <v>Mesero_4</v>
      </c>
      <c r="AD621">
        <f>Tabla8[[#This Row],[Propina]]+Tabla8[[#This Row],[Precio Cena]]</f>
        <v>2721</v>
      </c>
      <c r="AE621" s="45">
        <f t="shared" si="17"/>
        <v>57</v>
      </c>
    </row>
    <row r="622" spans="19:31" x14ac:dyDescent="0.3">
      <c r="S622" s="15" t="str">
        <f>'Conjunto de Datos'!BB623</f>
        <v>575</v>
      </c>
      <c r="T622" s="15">
        <f>'Conjunto de Datos'!BF623</f>
        <v>621</v>
      </c>
      <c r="U622" s="6">
        <f>sala!I622</f>
        <v>4227</v>
      </c>
      <c r="V622" cm="1">
        <f t="array" ref="V622">SUM(IF(Cocina!A:A=Tabla8[[#This Row],[Numero de Orden]],Cocina!F:F*Cocina!G:G,0))</f>
        <v>105</v>
      </c>
      <c r="W622">
        <f>IF(Tabla8[[#This Row],[Cobrado]]="Cobrada",Tabla8[[#This Row],[Propina]]+Tabla8[[#This Row],[Precio Cena]],0)</f>
        <v>4332</v>
      </c>
      <c r="X622" t="str">
        <f>INDEX(sala!G:G, MATCH(Tabla8[[#This Row],[Numero de Orden]], sala!K:K, 0))</f>
        <v>Almuerzo</v>
      </c>
      <c r="Y622" t="str">
        <f>'Conjunto de Datos'!J623</f>
        <v>Cobrada</v>
      </c>
      <c r="Z622" t="str">
        <f>INDEX(sala!H:H, MATCH(Tabla8[[#This Row],[Numero de Orden]], sala!K:K, 0))</f>
        <v>Tarjeta de crédito</v>
      </c>
      <c r="AA622" s="3">
        <f>'Conjunto de Datos'!D623</f>
        <v>45022</v>
      </c>
      <c r="AB622" t="str">
        <f>INDEX(sala!L:L, MATCH(Tabla8[[#This Row],[Numero de Orden]], sala!K:K, 0))</f>
        <v>Ecuador</v>
      </c>
      <c r="AC622" t="str">
        <f>'Conjunto de Datos'!N623</f>
        <v>Mesero_2</v>
      </c>
      <c r="AD622">
        <f>Tabla8[[#This Row],[Propina]]+Tabla8[[#This Row],[Precio Cena]]</f>
        <v>4332</v>
      </c>
      <c r="AE622" s="45">
        <f t="shared" si="17"/>
        <v>105</v>
      </c>
    </row>
    <row r="623" spans="19:31" x14ac:dyDescent="0.3">
      <c r="S623" t="str">
        <f>'Conjunto de Datos'!BB624</f>
        <v>117</v>
      </c>
      <c r="T623">
        <f>'Conjunto de Datos'!BF624</f>
        <v>622</v>
      </c>
      <c r="U623" s="7">
        <f>sala!I623</f>
        <v>1147</v>
      </c>
      <c r="V623" cm="1">
        <f t="array" ref="V623">SUM(IF(Cocina!A:A=Tabla8[[#This Row],[Numero de Orden]],Cocina!F:F*Cocina!G:G,0))</f>
        <v>121</v>
      </c>
      <c r="W623">
        <f>IF(Tabla8[[#This Row],[Cobrado]]="Cobrada",Tabla8[[#This Row],[Propina]]+Tabla8[[#This Row],[Precio Cena]],0)</f>
        <v>1268</v>
      </c>
      <c r="X623" t="str">
        <f>INDEX(sala!G:G, MATCH(Tabla8[[#This Row],[Numero de Orden]], sala!K:K, 0))</f>
        <v>Cena</v>
      </c>
      <c r="Y623" t="str">
        <f>'Conjunto de Datos'!J624</f>
        <v>Cobrada</v>
      </c>
      <c r="Z623" t="str">
        <f>INDEX(sala!H:H, MATCH(Tabla8[[#This Row],[Numero de Orden]], sala!K:K, 0))</f>
        <v>Tarjeta de crédito</v>
      </c>
      <c r="AA623" s="3">
        <f>'Conjunto de Datos'!D624</f>
        <v>45022</v>
      </c>
      <c r="AB623" t="str">
        <f>INDEX(sala!L:L, MATCH(Tabla8[[#This Row],[Numero de Orden]], sala!K:K, 0))</f>
        <v>Argentina</v>
      </c>
      <c r="AC623" t="str">
        <f>'Conjunto de Datos'!N624</f>
        <v>Mesero_3</v>
      </c>
      <c r="AD623">
        <f>Tabla8[[#This Row],[Propina]]+Tabla8[[#This Row],[Precio Cena]]</f>
        <v>1268</v>
      </c>
      <c r="AE623" s="45">
        <f t="shared" si="17"/>
        <v>121</v>
      </c>
    </row>
    <row r="624" spans="19:31" x14ac:dyDescent="0.3">
      <c r="S624" s="15" t="str">
        <f>'Conjunto de Datos'!BB625</f>
        <v>395</v>
      </c>
      <c r="T624" s="15">
        <f>'Conjunto de Datos'!BF625</f>
        <v>623</v>
      </c>
      <c r="U624" s="6">
        <f>sala!I624</f>
        <v>2205</v>
      </c>
      <c r="V624" cm="1">
        <f t="array" ref="V624">SUM(IF(Cocina!A:A=Tabla8[[#This Row],[Numero de Orden]],Cocina!F:F*Cocina!G:G,0))</f>
        <v>235</v>
      </c>
      <c r="W624">
        <f>IF(Tabla8[[#This Row],[Cobrado]]="Cobrada",Tabla8[[#This Row],[Propina]]+Tabla8[[#This Row],[Precio Cena]],0)</f>
        <v>2440</v>
      </c>
      <c r="X624" t="str">
        <f>INDEX(sala!G:G, MATCH(Tabla8[[#This Row],[Numero de Orden]], sala!K:K, 0))</f>
        <v>Almuerzo</v>
      </c>
      <c r="Y624" t="str">
        <f>'Conjunto de Datos'!J625</f>
        <v>Cobrada</v>
      </c>
      <c r="Z624" t="str">
        <f>INDEX(sala!H:H, MATCH(Tabla8[[#This Row],[Numero de Orden]], sala!K:K, 0))</f>
        <v>Efectivo</v>
      </c>
      <c r="AA624" s="3">
        <f>'Conjunto de Datos'!D625</f>
        <v>45022</v>
      </c>
      <c r="AB624" t="str">
        <f>INDEX(sala!L:L, MATCH(Tabla8[[#This Row],[Numero de Orden]], sala!K:K, 0))</f>
        <v>Uruguay</v>
      </c>
      <c r="AC624" t="str">
        <f>'Conjunto de Datos'!N625</f>
        <v>Mesero_3</v>
      </c>
      <c r="AD624">
        <f>Tabla8[[#This Row],[Propina]]+Tabla8[[#This Row],[Precio Cena]]</f>
        <v>2440</v>
      </c>
      <c r="AE624" s="45">
        <f t="shared" si="17"/>
        <v>235</v>
      </c>
    </row>
    <row r="625" spans="19:31" x14ac:dyDescent="0.3">
      <c r="S625" t="str">
        <f>'Conjunto de Datos'!BB626</f>
        <v>833</v>
      </c>
      <c r="T625">
        <f>'Conjunto de Datos'!BF626</f>
        <v>624</v>
      </c>
      <c r="U625" s="7">
        <f>sala!I625</f>
        <v>380</v>
      </c>
      <c r="V625" cm="1">
        <f t="array" ref="V625">SUM(IF(Cocina!A:A=Tabla8[[#This Row],[Numero de Orden]],Cocina!F:F*Cocina!G:G,0))</f>
        <v>102</v>
      </c>
      <c r="W625">
        <f>IF(Tabla8[[#This Row],[Cobrado]]="Cobrada",Tabla8[[#This Row],[Propina]]+Tabla8[[#This Row],[Precio Cena]],0)</f>
        <v>482</v>
      </c>
      <c r="X625" t="str">
        <f>INDEX(sala!G:G, MATCH(Tabla8[[#This Row],[Numero de Orden]], sala!K:K, 0))</f>
        <v>Cena</v>
      </c>
      <c r="Y625" t="str">
        <f>'Conjunto de Datos'!J626</f>
        <v>Cobrada</v>
      </c>
      <c r="Z625" t="str">
        <f>INDEX(sala!H:H, MATCH(Tabla8[[#This Row],[Numero de Orden]], sala!K:K, 0))</f>
        <v>Tarjeta de crédito</v>
      </c>
      <c r="AA625" s="3">
        <f>'Conjunto de Datos'!D626</f>
        <v>45022</v>
      </c>
      <c r="AB625" t="str">
        <f>INDEX(sala!L:L, MATCH(Tabla8[[#This Row],[Numero de Orden]], sala!K:K, 0))</f>
        <v>Argentina</v>
      </c>
      <c r="AC625" t="str">
        <f>'Conjunto de Datos'!N626</f>
        <v>Mesero_1</v>
      </c>
      <c r="AD625">
        <f>Tabla8[[#This Row],[Propina]]+Tabla8[[#This Row],[Precio Cena]]</f>
        <v>482</v>
      </c>
      <c r="AE625" s="45">
        <f t="shared" si="17"/>
        <v>102</v>
      </c>
    </row>
    <row r="626" spans="19:31" x14ac:dyDescent="0.3">
      <c r="S626" s="15" t="str">
        <f>'Conjunto de Datos'!BB627</f>
        <v>511</v>
      </c>
      <c r="T626" s="15">
        <f>'Conjunto de Datos'!BF627</f>
        <v>625</v>
      </c>
      <c r="U626" s="6">
        <f>sala!I626</f>
        <v>4173</v>
      </c>
      <c r="V626" cm="1">
        <f t="array" ref="V626">SUM(IF(Cocina!A:A=Tabla8[[#This Row],[Numero de Orden]],Cocina!F:F*Cocina!G:G,0))</f>
        <v>139</v>
      </c>
      <c r="W626">
        <f>IF(Tabla8[[#This Row],[Cobrado]]="Cobrada",Tabla8[[#This Row],[Propina]]+Tabla8[[#This Row],[Precio Cena]],0)</f>
        <v>4312</v>
      </c>
      <c r="X626" t="str">
        <f>INDEX(sala!G:G, MATCH(Tabla8[[#This Row],[Numero de Orden]], sala!K:K, 0))</f>
        <v>Cena</v>
      </c>
      <c r="Y626" t="str">
        <f>'Conjunto de Datos'!J627</f>
        <v>Cobrada</v>
      </c>
      <c r="Z626" t="str">
        <f>INDEX(sala!H:H, MATCH(Tabla8[[#This Row],[Numero de Orden]], sala!K:K, 0))</f>
        <v>Tarjeta de crédito</v>
      </c>
      <c r="AA626" s="3">
        <f>'Conjunto de Datos'!D627</f>
        <v>45022</v>
      </c>
      <c r="AB626" t="str">
        <f>INDEX(sala!L:L, MATCH(Tabla8[[#This Row],[Numero de Orden]], sala!K:K, 0))</f>
        <v>Chile</v>
      </c>
      <c r="AC626" t="str">
        <f>'Conjunto de Datos'!N627</f>
        <v>Mesero_4</v>
      </c>
      <c r="AD626">
        <f>Tabla8[[#This Row],[Propina]]+Tabla8[[#This Row],[Precio Cena]]</f>
        <v>4312</v>
      </c>
      <c r="AE626" s="45">
        <f t="shared" si="17"/>
        <v>139</v>
      </c>
    </row>
    <row r="627" spans="19:31" x14ac:dyDescent="0.3">
      <c r="S627" t="str">
        <f>'Conjunto de Datos'!BB628</f>
        <v>772</v>
      </c>
      <c r="T627">
        <f>'Conjunto de Datos'!BF628</f>
        <v>626</v>
      </c>
      <c r="U627" s="7">
        <f>sala!I627</f>
        <v>1924</v>
      </c>
      <c r="V627" cm="1">
        <f t="array" ref="V627">SUM(IF(Cocina!A:A=Tabla8[[#This Row],[Numero de Orden]],Cocina!F:F*Cocina!G:G,0))</f>
        <v>137</v>
      </c>
      <c r="W627">
        <f>IF(Tabla8[[#This Row],[Cobrado]]="Cobrada",Tabla8[[#This Row],[Propina]]+Tabla8[[#This Row],[Precio Cena]],0)</f>
        <v>2061</v>
      </c>
      <c r="X627" t="str">
        <f>INDEX(sala!G:G, MATCH(Tabla8[[#This Row],[Numero de Orden]], sala!K:K, 0))</f>
        <v>Desayuno</v>
      </c>
      <c r="Y627" t="str">
        <f>'Conjunto de Datos'!J628</f>
        <v>Cobrada</v>
      </c>
      <c r="Z627" t="str">
        <f>INDEX(sala!H:H, MATCH(Tabla8[[#This Row],[Numero de Orden]], sala!K:K, 0))</f>
        <v>Tarjeta de crédito</v>
      </c>
      <c r="AA627" s="3">
        <f>'Conjunto de Datos'!D628</f>
        <v>45022</v>
      </c>
      <c r="AB627" t="str">
        <f>INDEX(sala!L:L, MATCH(Tabla8[[#This Row],[Numero de Orden]], sala!K:K, 0))</f>
        <v>Argentina</v>
      </c>
      <c r="AC627" t="str">
        <f>'Conjunto de Datos'!N628</f>
        <v>Mesero_4</v>
      </c>
      <c r="AD627">
        <f>Tabla8[[#This Row],[Propina]]+Tabla8[[#This Row],[Precio Cena]]</f>
        <v>2061</v>
      </c>
      <c r="AE627" s="45">
        <f t="shared" si="17"/>
        <v>137</v>
      </c>
    </row>
    <row r="628" spans="19:31" x14ac:dyDescent="0.3">
      <c r="S628" s="15" t="str">
        <f>'Conjunto de Datos'!BB629</f>
        <v>336</v>
      </c>
      <c r="T628" s="15">
        <f>'Conjunto de Datos'!BF629</f>
        <v>627</v>
      </c>
      <c r="U628" s="6">
        <f>sala!I628</f>
        <v>4424</v>
      </c>
      <c r="V628" cm="1">
        <f t="array" ref="V628">SUM(IF(Cocina!A:A=Tabla8[[#This Row],[Numero de Orden]],Cocina!F:F*Cocina!G:G,0))</f>
        <v>21</v>
      </c>
      <c r="W628">
        <f>IF(Tabla8[[#This Row],[Cobrado]]="Cobrada",Tabla8[[#This Row],[Propina]]+Tabla8[[#This Row],[Precio Cena]],0)</f>
        <v>4445</v>
      </c>
      <c r="X628" t="str">
        <f>INDEX(sala!G:G, MATCH(Tabla8[[#This Row],[Numero de Orden]], sala!K:K, 0))</f>
        <v>Almuerzo</v>
      </c>
      <c r="Y628" t="str">
        <f>'Conjunto de Datos'!J629</f>
        <v>Cobrada</v>
      </c>
      <c r="Z628" t="str">
        <f>INDEX(sala!H:H, MATCH(Tabla8[[#This Row],[Numero de Orden]], sala!K:K, 0))</f>
        <v>Tarjeta de crédito</v>
      </c>
      <c r="AA628" s="3">
        <f>'Conjunto de Datos'!D629</f>
        <v>45022</v>
      </c>
      <c r="AB628" t="str">
        <f>INDEX(sala!L:L, MATCH(Tabla8[[#This Row],[Numero de Orden]], sala!K:K, 0))</f>
        <v>Ecuador</v>
      </c>
      <c r="AC628" t="str">
        <f>'Conjunto de Datos'!N629</f>
        <v>Mesero_3</v>
      </c>
      <c r="AD628">
        <f>Tabla8[[#This Row],[Propina]]+Tabla8[[#This Row],[Precio Cena]]</f>
        <v>4445</v>
      </c>
      <c r="AE628" s="45">
        <f t="shared" si="17"/>
        <v>21</v>
      </c>
    </row>
    <row r="629" spans="19:31" x14ac:dyDescent="0.3">
      <c r="S629" t="str">
        <f>'Conjunto de Datos'!BB630</f>
        <v>124</v>
      </c>
      <c r="T629">
        <f>'Conjunto de Datos'!BF630</f>
        <v>628</v>
      </c>
      <c r="U629" s="7">
        <f>sala!I629</f>
        <v>1503</v>
      </c>
      <c r="V629" cm="1">
        <f t="array" ref="V629">SUM(IF(Cocina!A:A=Tabla8[[#This Row],[Numero de Orden]],Cocina!F:F*Cocina!G:G,0))</f>
        <v>168</v>
      </c>
      <c r="W629">
        <f>IF(Tabla8[[#This Row],[Cobrado]]="Cobrada",Tabla8[[#This Row],[Propina]]+Tabla8[[#This Row],[Precio Cena]],0)</f>
        <v>1671</v>
      </c>
      <c r="X629" t="str">
        <f>INDEX(sala!G:G, MATCH(Tabla8[[#This Row],[Numero de Orden]], sala!K:K, 0))</f>
        <v>Desayuno</v>
      </c>
      <c r="Y629" t="str">
        <f>'Conjunto de Datos'!J630</f>
        <v>Cobrada</v>
      </c>
      <c r="Z629" t="str">
        <f>INDEX(sala!H:H, MATCH(Tabla8[[#This Row],[Numero de Orden]], sala!K:K, 0))</f>
        <v>Tarjeta de crédito</v>
      </c>
      <c r="AA629" s="3">
        <f>'Conjunto de Datos'!D630</f>
        <v>45022</v>
      </c>
      <c r="AB629" t="str">
        <f>INDEX(sala!L:L, MATCH(Tabla8[[#This Row],[Numero de Orden]], sala!K:K, 0))</f>
        <v>Chile</v>
      </c>
      <c r="AC629" t="str">
        <f>'Conjunto de Datos'!N630</f>
        <v>Mesero_3</v>
      </c>
      <c r="AD629">
        <f>Tabla8[[#This Row],[Propina]]+Tabla8[[#This Row],[Precio Cena]]</f>
        <v>1671</v>
      </c>
      <c r="AE629" s="45">
        <f t="shared" si="17"/>
        <v>168</v>
      </c>
    </row>
    <row r="630" spans="19:31" x14ac:dyDescent="0.3">
      <c r="S630" s="15" t="str">
        <f>'Conjunto de Datos'!BB631</f>
        <v>828</v>
      </c>
      <c r="T630" s="15">
        <f>'Conjunto de Datos'!BF631</f>
        <v>629</v>
      </c>
      <c r="U630" s="6">
        <f>sala!I630</f>
        <v>2607</v>
      </c>
      <c r="V630" cm="1">
        <f t="array" ref="V630">SUM(IF(Cocina!A:A=Tabla8[[#This Row],[Numero de Orden]],Cocina!F:F*Cocina!G:G,0))</f>
        <v>130</v>
      </c>
      <c r="W630">
        <f>IF(Tabla8[[#This Row],[Cobrado]]="Cobrada",Tabla8[[#This Row],[Propina]]+Tabla8[[#This Row],[Precio Cena]],0)</f>
        <v>2737</v>
      </c>
      <c r="X630" t="str">
        <f>INDEX(sala!G:G, MATCH(Tabla8[[#This Row],[Numero de Orden]], sala!K:K, 0))</f>
        <v>Cena</v>
      </c>
      <c r="Y630" t="str">
        <f>'Conjunto de Datos'!J631</f>
        <v>Cobrada</v>
      </c>
      <c r="Z630" t="str">
        <f>INDEX(sala!H:H, MATCH(Tabla8[[#This Row],[Numero de Orden]], sala!K:K, 0))</f>
        <v>Tarjeta de débito</v>
      </c>
      <c r="AA630" s="3">
        <f>'Conjunto de Datos'!D631</f>
        <v>45022</v>
      </c>
      <c r="AB630" t="str">
        <f>INDEX(sala!L:L, MATCH(Tabla8[[#This Row],[Numero de Orden]], sala!K:K, 0))</f>
        <v>Argentina</v>
      </c>
      <c r="AC630" t="str">
        <f>'Conjunto de Datos'!N631</f>
        <v>Mesero_4</v>
      </c>
      <c r="AD630">
        <f>Tabla8[[#This Row],[Propina]]+Tabla8[[#This Row],[Precio Cena]]</f>
        <v>2737</v>
      </c>
      <c r="AE630" s="45">
        <f t="shared" si="17"/>
        <v>130</v>
      </c>
    </row>
    <row r="631" spans="19:31" x14ac:dyDescent="0.3">
      <c r="S631" t="str">
        <f>'Conjunto de Datos'!BB632</f>
        <v>385</v>
      </c>
      <c r="T631">
        <f>'Conjunto de Datos'!BF632</f>
        <v>630</v>
      </c>
      <c r="U631" s="7">
        <f>sala!I631</f>
        <v>3662</v>
      </c>
      <c r="V631" cm="1">
        <f t="array" ref="V631">SUM(IF(Cocina!A:A=Tabla8[[#This Row],[Numero de Orden]],Cocina!F:F*Cocina!G:G,0))</f>
        <v>182</v>
      </c>
      <c r="W631">
        <f>IF(Tabla8[[#This Row],[Cobrado]]="Cobrada",Tabla8[[#This Row],[Propina]]+Tabla8[[#This Row],[Precio Cena]],0)</f>
        <v>3844</v>
      </c>
      <c r="X631" t="str">
        <f>INDEX(sala!G:G, MATCH(Tabla8[[#This Row],[Numero de Orden]], sala!K:K, 0))</f>
        <v>Almuerzo</v>
      </c>
      <c r="Y631" t="str">
        <f>'Conjunto de Datos'!J632</f>
        <v>Cobrada</v>
      </c>
      <c r="Z631" t="str">
        <f>INDEX(sala!H:H, MATCH(Tabla8[[#This Row],[Numero de Orden]], sala!K:K, 0))</f>
        <v>Tarjeta de débito</v>
      </c>
      <c r="AA631" s="3">
        <f>'Conjunto de Datos'!D632</f>
        <v>45022</v>
      </c>
      <c r="AB631" t="str">
        <f>INDEX(sala!L:L, MATCH(Tabla8[[#This Row],[Numero de Orden]], sala!K:K, 0))</f>
        <v>Bolivia</v>
      </c>
      <c r="AC631" t="str">
        <f>'Conjunto de Datos'!N632</f>
        <v>Mesero_5</v>
      </c>
      <c r="AD631">
        <f>Tabla8[[#This Row],[Propina]]+Tabla8[[#This Row],[Precio Cena]]</f>
        <v>3844</v>
      </c>
      <c r="AE631" s="45">
        <f t="shared" si="17"/>
        <v>182</v>
      </c>
    </row>
    <row r="632" spans="19:31" x14ac:dyDescent="0.3">
      <c r="S632" s="15" t="str">
        <f>'Conjunto de Datos'!BB633</f>
        <v>841</v>
      </c>
      <c r="T632" s="15">
        <f>'Conjunto de Datos'!BF633</f>
        <v>631</v>
      </c>
      <c r="U632" s="6">
        <f>sala!I632</f>
        <v>3971</v>
      </c>
      <c r="V632" cm="1">
        <f t="array" ref="V632">SUM(IF(Cocina!A:A=Tabla8[[#This Row],[Numero de Orden]],Cocina!F:F*Cocina!G:G,0))</f>
        <v>66</v>
      </c>
      <c r="W632">
        <f>IF(Tabla8[[#This Row],[Cobrado]]="Cobrada",Tabla8[[#This Row],[Propina]]+Tabla8[[#This Row],[Precio Cena]],0)</f>
        <v>4037</v>
      </c>
      <c r="X632" t="str">
        <f>INDEX(sala!G:G, MATCH(Tabla8[[#This Row],[Numero de Orden]], sala!K:K, 0))</f>
        <v>Cena</v>
      </c>
      <c r="Y632" t="str">
        <f>'Conjunto de Datos'!J633</f>
        <v>Cobrada</v>
      </c>
      <c r="Z632" t="str">
        <f>INDEX(sala!H:H, MATCH(Tabla8[[#This Row],[Numero de Orden]], sala!K:K, 0))</f>
        <v>Tarjeta de crédito</v>
      </c>
      <c r="AA632" s="3">
        <f>'Conjunto de Datos'!D633</f>
        <v>45022</v>
      </c>
      <c r="AB632" t="str">
        <f>INDEX(sala!L:L, MATCH(Tabla8[[#This Row],[Numero de Orden]], sala!K:K, 0))</f>
        <v>Colombia</v>
      </c>
      <c r="AC632" t="str">
        <f>'Conjunto de Datos'!N633</f>
        <v>Mesero_5</v>
      </c>
      <c r="AD632">
        <f>Tabla8[[#This Row],[Propina]]+Tabla8[[#This Row],[Precio Cena]]</f>
        <v>4037</v>
      </c>
      <c r="AE632" s="45">
        <f t="shared" si="17"/>
        <v>66</v>
      </c>
    </row>
    <row r="633" spans="19:31" x14ac:dyDescent="0.3">
      <c r="S633" t="str">
        <f>'Conjunto de Datos'!BB634</f>
        <v>605</v>
      </c>
      <c r="T633">
        <f>'Conjunto de Datos'!BF634</f>
        <v>632</v>
      </c>
      <c r="U633" s="7">
        <f>sala!I633</f>
        <v>2241</v>
      </c>
      <c r="V633" cm="1">
        <f t="array" ref="V633">SUM(IF(Cocina!A:A=Tabla8[[#This Row],[Numero de Orden]],Cocina!F:F*Cocina!G:G,0))</f>
        <v>129</v>
      </c>
      <c r="W633">
        <f>IF(Tabla8[[#This Row],[Cobrado]]="Cobrada",Tabla8[[#This Row],[Propina]]+Tabla8[[#This Row],[Precio Cena]],0)</f>
        <v>2370</v>
      </c>
      <c r="X633" t="str">
        <f>INDEX(sala!G:G, MATCH(Tabla8[[#This Row],[Numero de Orden]], sala!K:K, 0))</f>
        <v>Desayuno</v>
      </c>
      <c r="Y633" t="str">
        <f>'Conjunto de Datos'!J634</f>
        <v>Cobrada</v>
      </c>
      <c r="Z633" t="str">
        <f>INDEX(sala!H:H, MATCH(Tabla8[[#This Row],[Numero de Orden]], sala!K:K, 0))</f>
        <v>Tarjeta de crédito</v>
      </c>
      <c r="AA633" s="3">
        <f>'Conjunto de Datos'!D634</f>
        <v>45022</v>
      </c>
      <c r="AB633" t="str">
        <f>INDEX(sala!L:L, MATCH(Tabla8[[#This Row],[Numero de Orden]], sala!K:K, 0))</f>
        <v>Ecuador</v>
      </c>
      <c r="AC633" t="str">
        <f>'Conjunto de Datos'!N634</f>
        <v>Mesero_3</v>
      </c>
      <c r="AD633">
        <f>Tabla8[[#This Row],[Propina]]+Tabla8[[#This Row],[Precio Cena]]</f>
        <v>2370</v>
      </c>
      <c r="AE633" s="45">
        <f t="shared" si="17"/>
        <v>129</v>
      </c>
    </row>
    <row r="634" spans="19:31" x14ac:dyDescent="0.3">
      <c r="S634" s="15" t="str">
        <f>'Conjunto de Datos'!BB635</f>
        <v>197</v>
      </c>
      <c r="T634" s="15">
        <f>'Conjunto de Datos'!BF635</f>
        <v>633</v>
      </c>
      <c r="U634" s="6">
        <f>sala!I634</f>
        <v>1119</v>
      </c>
      <c r="V634" cm="1">
        <f t="array" ref="V634">SUM(IF(Cocina!A:A=Tabla8[[#This Row],[Numero de Orden]],Cocina!F:F*Cocina!G:G,0))</f>
        <v>236</v>
      </c>
      <c r="W634">
        <f>IF(Tabla8[[#This Row],[Cobrado]]="Cobrada",Tabla8[[#This Row],[Propina]]+Tabla8[[#This Row],[Precio Cena]],0)</f>
        <v>0</v>
      </c>
      <c r="X634" t="str">
        <f>INDEX(sala!G:G, MATCH(Tabla8[[#This Row],[Numero de Orden]], sala!K:K, 0))</f>
        <v>Almuerzo</v>
      </c>
      <c r="Y634" t="str">
        <f>'Conjunto de Datos'!J635</f>
        <v>No Cobrada</v>
      </c>
      <c r="Z634" t="str">
        <f>INDEX(sala!H:H, MATCH(Tabla8[[#This Row],[Numero de Orden]], sala!K:K, 0))</f>
        <v>Tarjeta de crédito</v>
      </c>
      <c r="AA634" s="3">
        <f>'Conjunto de Datos'!D635</f>
        <v>45022</v>
      </c>
      <c r="AB634" t="str">
        <f>INDEX(sala!L:L, MATCH(Tabla8[[#This Row],[Numero de Orden]], sala!K:K, 0))</f>
        <v>Bolivia</v>
      </c>
      <c r="AC634" t="str">
        <f>'Conjunto de Datos'!N635</f>
        <v>Mesero_3</v>
      </c>
      <c r="AD634">
        <f>Tabla8[[#This Row],[Propina]]+Tabla8[[#This Row],[Precio Cena]]</f>
        <v>1355</v>
      </c>
      <c r="AE634" s="45">
        <f t="shared" si="17"/>
        <v>0</v>
      </c>
    </row>
    <row r="635" spans="19:31" x14ac:dyDescent="0.3">
      <c r="S635" t="str">
        <f>'Conjunto de Datos'!BB636</f>
        <v>285</v>
      </c>
      <c r="T635">
        <f>'Conjunto de Datos'!BF636</f>
        <v>634</v>
      </c>
      <c r="U635" s="7">
        <f>sala!I635</f>
        <v>2925</v>
      </c>
      <c r="V635" cm="1">
        <f t="array" ref="V635">SUM(IF(Cocina!A:A=Tabla8[[#This Row],[Numero de Orden]],Cocina!F:F*Cocina!G:G,0))</f>
        <v>344</v>
      </c>
      <c r="W635">
        <f>IF(Tabla8[[#This Row],[Cobrado]]="Cobrada",Tabla8[[#This Row],[Propina]]+Tabla8[[#This Row],[Precio Cena]],0)</f>
        <v>3269</v>
      </c>
      <c r="X635" t="str">
        <f>INDEX(sala!G:G, MATCH(Tabla8[[#This Row],[Numero de Orden]], sala!K:K, 0))</f>
        <v>Desayuno</v>
      </c>
      <c r="Y635" t="str">
        <f>'Conjunto de Datos'!J636</f>
        <v>Cobrada</v>
      </c>
      <c r="Z635" t="str">
        <f>INDEX(sala!H:H, MATCH(Tabla8[[#This Row],[Numero de Orden]], sala!K:K, 0))</f>
        <v>Tarjeta de crédito</v>
      </c>
      <c r="AA635" s="3">
        <f>'Conjunto de Datos'!D636</f>
        <v>45022</v>
      </c>
      <c r="AB635" t="str">
        <f>INDEX(sala!L:L, MATCH(Tabla8[[#This Row],[Numero de Orden]], sala!K:K, 0))</f>
        <v>Venezuela</v>
      </c>
      <c r="AC635" t="str">
        <f>'Conjunto de Datos'!N636</f>
        <v>Mesero_1</v>
      </c>
      <c r="AD635">
        <f>Tabla8[[#This Row],[Propina]]+Tabla8[[#This Row],[Precio Cena]]</f>
        <v>3269</v>
      </c>
      <c r="AE635" s="45">
        <f t="shared" si="17"/>
        <v>344</v>
      </c>
    </row>
    <row r="636" spans="19:31" x14ac:dyDescent="0.3">
      <c r="S636" s="15" t="str">
        <f>'Conjunto de Datos'!BB637</f>
        <v>19</v>
      </c>
      <c r="T636" s="15">
        <f>'Conjunto de Datos'!BF637</f>
        <v>635</v>
      </c>
      <c r="U636" s="6">
        <f>sala!I636</f>
        <v>2215</v>
      </c>
      <c r="V636" cm="1">
        <f t="array" ref="V636">SUM(IF(Cocina!A:A=Tabla8[[#This Row],[Numero de Orden]],Cocina!F:F*Cocina!G:G,0))</f>
        <v>58</v>
      </c>
      <c r="W636">
        <f>IF(Tabla8[[#This Row],[Cobrado]]="Cobrada",Tabla8[[#This Row],[Propina]]+Tabla8[[#This Row],[Precio Cena]],0)</f>
        <v>2273</v>
      </c>
      <c r="X636" t="str">
        <f>INDEX(sala!G:G, MATCH(Tabla8[[#This Row],[Numero de Orden]], sala!K:K, 0))</f>
        <v>Almuerzo</v>
      </c>
      <c r="Y636" t="str">
        <f>'Conjunto de Datos'!J637</f>
        <v>Cobrada</v>
      </c>
      <c r="Z636" t="str">
        <f>INDEX(sala!H:H, MATCH(Tabla8[[#This Row],[Numero de Orden]], sala!K:K, 0))</f>
        <v>Tarjeta de crédito</v>
      </c>
      <c r="AA636" s="3">
        <f>'Conjunto de Datos'!D637</f>
        <v>45022</v>
      </c>
      <c r="AB636" t="str">
        <f>INDEX(sala!L:L, MATCH(Tabla8[[#This Row],[Numero de Orden]], sala!K:K, 0))</f>
        <v>Perú</v>
      </c>
      <c r="AC636" t="str">
        <f>'Conjunto de Datos'!N637</f>
        <v>Mesero_2</v>
      </c>
      <c r="AD636">
        <f>Tabla8[[#This Row],[Propina]]+Tabla8[[#This Row],[Precio Cena]]</f>
        <v>2273</v>
      </c>
      <c r="AE636" s="45">
        <f t="shared" si="17"/>
        <v>58</v>
      </c>
    </row>
    <row r="637" spans="19:31" x14ac:dyDescent="0.3">
      <c r="S637" t="str">
        <f>'Conjunto de Datos'!BB638</f>
        <v>586</v>
      </c>
      <c r="T637">
        <f>'Conjunto de Datos'!BF638</f>
        <v>636</v>
      </c>
      <c r="U637" s="7">
        <f>sala!I637</f>
        <v>3286</v>
      </c>
      <c r="V637" cm="1">
        <f t="array" ref="V637">SUM(IF(Cocina!A:A=Tabla8[[#This Row],[Numero de Orden]],Cocina!F:F*Cocina!G:G,0))</f>
        <v>126</v>
      </c>
      <c r="W637">
        <f>IF(Tabla8[[#This Row],[Cobrado]]="Cobrada",Tabla8[[#This Row],[Propina]]+Tabla8[[#This Row],[Precio Cena]],0)</f>
        <v>0</v>
      </c>
      <c r="X637" t="str">
        <f>INDEX(sala!G:G, MATCH(Tabla8[[#This Row],[Numero de Orden]], sala!K:K, 0))</f>
        <v>Cena</v>
      </c>
      <c r="Y637" t="str">
        <f>'Conjunto de Datos'!J638</f>
        <v>No Cobrada</v>
      </c>
      <c r="Z637" t="str">
        <f>INDEX(sala!H:H, MATCH(Tabla8[[#This Row],[Numero de Orden]], sala!K:K, 0))</f>
        <v>Tarjeta de débito</v>
      </c>
      <c r="AA637" s="3">
        <f>'Conjunto de Datos'!D638</f>
        <v>45022</v>
      </c>
      <c r="AB637" t="str">
        <f>INDEX(sala!L:L, MATCH(Tabla8[[#This Row],[Numero de Orden]], sala!K:K, 0))</f>
        <v>Ecuador</v>
      </c>
      <c r="AC637" t="str">
        <f>'Conjunto de Datos'!N638</f>
        <v>Mesero_5</v>
      </c>
      <c r="AD637">
        <f>Tabla8[[#This Row],[Propina]]+Tabla8[[#This Row],[Precio Cena]]</f>
        <v>3412</v>
      </c>
      <c r="AE637" s="45">
        <f t="shared" si="17"/>
        <v>0</v>
      </c>
    </row>
    <row r="638" spans="19:31" x14ac:dyDescent="0.3">
      <c r="S638" s="15" t="str">
        <f>'Conjunto de Datos'!BB639</f>
        <v>687</v>
      </c>
      <c r="T638" s="15">
        <f>'Conjunto de Datos'!BF639</f>
        <v>637</v>
      </c>
      <c r="U638" s="6">
        <f>sala!I638</f>
        <v>3658</v>
      </c>
      <c r="V638" cm="1">
        <f t="array" ref="V638">SUM(IF(Cocina!A:A=Tabla8[[#This Row],[Numero de Orden]],Cocina!F:F*Cocina!G:G,0))</f>
        <v>117</v>
      </c>
      <c r="W638">
        <f>IF(Tabla8[[#This Row],[Cobrado]]="Cobrada",Tabla8[[#This Row],[Propina]]+Tabla8[[#This Row],[Precio Cena]],0)</f>
        <v>3775</v>
      </c>
      <c r="X638" t="str">
        <f>INDEX(sala!G:G, MATCH(Tabla8[[#This Row],[Numero de Orden]], sala!K:K, 0))</f>
        <v>Almuerzo</v>
      </c>
      <c r="Y638" t="str">
        <f>'Conjunto de Datos'!J639</f>
        <v>Cobrada</v>
      </c>
      <c r="Z638" t="str">
        <f>INDEX(sala!H:H, MATCH(Tabla8[[#This Row],[Numero de Orden]], sala!K:K, 0))</f>
        <v>Tarjeta de crédito</v>
      </c>
      <c r="AA638" s="3">
        <f>'Conjunto de Datos'!D639</f>
        <v>45022</v>
      </c>
      <c r="AB638" t="str">
        <f>INDEX(sala!L:L, MATCH(Tabla8[[#This Row],[Numero de Orden]], sala!K:K, 0))</f>
        <v>Ecuador</v>
      </c>
      <c r="AC638" t="str">
        <f>'Conjunto de Datos'!N639</f>
        <v>Mesero_4</v>
      </c>
      <c r="AD638">
        <f>Tabla8[[#This Row],[Propina]]+Tabla8[[#This Row],[Precio Cena]]</f>
        <v>3775</v>
      </c>
      <c r="AE638" s="45">
        <f t="shared" si="17"/>
        <v>117</v>
      </c>
    </row>
    <row r="639" spans="19:31" x14ac:dyDescent="0.3">
      <c r="S639" t="str">
        <f>'Conjunto de Datos'!BB640</f>
        <v>406</v>
      </c>
      <c r="T639">
        <f>'Conjunto de Datos'!BF640</f>
        <v>638</v>
      </c>
      <c r="U639" s="7">
        <f>sala!I639</f>
        <v>3071</v>
      </c>
      <c r="V639" cm="1">
        <f t="array" ref="V639">SUM(IF(Cocina!A:A=Tabla8[[#This Row],[Numero de Orden]],Cocina!F:F*Cocina!G:G,0))</f>
        <v>90</v>
      </c>
      <c r="W639">
        <f>IF(Tabla8[[#This Row],[Cobrado]]="Cobrada",Tabla8[[#This Row],[Propina]]+Tabla8[[#This Row],[Precio Cena]],0)</f>
        <v>3161</v>
      </c>
      <c r="X639" t="str">
        <f>INDEX(sala!G:G, MATCH(Tabla8[[#This Row],[Numero de Orden]], sala!K:K, 0))</f>
        <v>Cena</v>
      </c>
      <c r="Y639" t="str">
        <f>'Conjunto de Datos'!J640</f>
        <v>Cobrada</v>
      </c>
      <c r="Z639" t="str">
        <f>INDEX(sala!H:H, MATCH(Tabla8[[#This Row],[Numero de Orden]], sala!K:K, 0))</f>
        <v>Tarjeta de crédito</v>
      </c>
      <c r="AA639" s="3">
        <f>'Conjunto de Datos'!D640</f>
        <v>45022</v>
      </c>
      <c r="AB639" t="str">
        <f>INDEX(sala!L:L, MATCH(Tabla8[[#This Row],[Numero de Orden]], sala!K:K, 0))</f>
        <v>Argentina</v>
      </c>
      <c r="AC639" t="str">
        <f>'Conjunto de Datos'!N640</f>
        <v>Mesero_3</v>
      </c>
      <c r="AD639">
        <f>Tabla8[[#This Row],[Propina]]+Tabla8[[#This Row],[Precio Cena]]</f>
        <v>3161</v>
      </c>
      <c r="AE639" s="45">
        <f t="shared" si="17"/>
        <v>90</v>
      </c>
    </row>
    <row r="640" spans="19:31" x14ac:dyDescent="0.3">
      <c r="S640" s="15" t="str">
        <f>'Conjunto de Datos'!BB641</f>
        <v>415</v>
      </c>
      <c r="T640" s="15">
        <f>'Conjunto de Datos'!BF641</f>
        <v>639</v>
      </c>
      <c r="U640" s="6">
        <f>sala!I640</f>
        <v>1897</v>
      </c>
      <c r="V640" cm="1">
        <f t="array" ref="V640">SUM(IF(Cocina!A:A=Tabla8[[#This Row],[Numero de Orden]],Cocina!F:F*Cocina!G:G,0))</f>
        <v>152</v>
      </c>
      <c r="W640">
        <f>IF(Tabla8[[#This Row],[Cobrado]]="Cobrada",Tabla8[[#This Row],[Propina]]+Tabla8[[#This Row],[Precio Cena]],0)</f>
        <v>2049</v>
      </c>
      <c r="X640" t="str">
        <f>INDEX(sala!G:G, MATCH(Tabla8[[#This Row],[Numero de Orden]], sala!K:K, 0))</f>
        <v>Cena</v>
      </c>
      <c r="Y640" t="str">
        <f>'Conjunto de Datos'!J641</f>
        <v>Cobrada</v>
      </c>
      <c r="Z640" t="str">
        <f>INDEX(sala!H:H, MATCH(Tabla8[[#This Row],[Numero de Orden]], sala!K:K, 0))</f>
        <v>Tarjeta de crédito</v>
      </c>
      <c r="AA640" s="3">
        <f>'Conjunto de Datos'!D641</f>
        <v>45022</v>
      </c>
      <c r="AB640" t="str">
        <f>INDEX(sala!L:L, MATCH(Tabla8[[#This Row],[Numero de Orden]], sala!K:K, 0))</f>
        <v>España</v>
      </c>
      <c r="AC640" t="str">
        <f>'Conjunto de Datos'!N641</f>
        <v>Mesero_2</v>
      </c>
      <c r="AD640">
        <f>Tabla8[[#This Row],[Propina]]+Tabla8[[#This Row],[Precio Cena]]</f>
        <v>2049</v>
      </c>
      <c r="AE640" s="45">
        <f t="shared" si="17"/>
        <v>152</v>
      </c>
    </row>
    <row r="641" spans="19:31" x14ac:dyDescent="0.3">
      <c r="S641" t="str">
        <f>'Conjunto de Datos'!BB642</f>
        <v>456</v>
      </c>
      <c r="T641">
        <f>'Conjunto de Datos'!BF642</f>
        <v>640</v>
      </c>
      <c r="U641" s="7">
        <f>sala!I641</f>
        <v>4929</v>
      </c>
      <c r="V641" cm="1">
        <f t="array" ref="V641">SUM(IF(Cocina!A:A=Tabla8[[#This Row],[Numero de Orden]],Cocina!F:F*Cocina!G:G,0))</f>
        <v>219</v>
      </c>
      <c r="W641">
        <f>IF(Tabla8[[#This Row],[Cobrado]]="Cobrada",Tabla8[[#This Row],[Propina]]+Tabla8[[#This Row],[Precio Cena]],0)</f>
        <v>0</v>
      </c>
      <c r="X641" t="str">
        <f>INDEX(sala!G:G, MATCH(Tabla8[[#This Row],[Numero de Orden]], sala!K:K, 0))</f>
        <v>Almuerzo</v>
      </c>
      <c r="Y641" t="str">
        <f>'Conjunto de Datos'!J642</f>
        <v>No Cobrada</v>
      </c>
      <c r="Z641" t="str">
        <f>INDEX(sala!H:H, MATCH(Tabla8[[#This Row],[Numero de Orden]], sala!K:K, 0))</f>
        <v>Tarjeta de débito</v>
      </c>
      <c r="AA641" s="3">
        <f>'Conjunto de Datos'!D642</f>
        <v>45022</v>
      </c>
      <c r="AB641" t="str">
        <f>INDEX(sala!L:L, MATCH(Tabla8[[#This Row],[Numero de Orden]], sala!K:K, 0))</f>
        <v>Venezuela</v>
      </c>
      <c r="AC641" t="str">
        <f>'Conjunto de Datos'!N642</f>
        <v>Mesero_3</v>
      </c>
      <c r="AD641">
        <f>Tabla8[[#This Row],[Propina]]+Tabla8[[#This Row],[Precio Cena]]</f>
        <v>5148</v>
      </c>
      <c r="AE641" s="45">
        <f t="shared" si="17"/>
        <v>0</v>
      </c>
    </row>
    <row r="642" spans="19:31" x14ac:dyDescent="0.3">
      <c r="S642" s="15" t="str">
        <f>'Conjunto de Datos'!BB643</f>
        <v>820</v>
      </c>
      <c r="T642" s="15">
        <f>'Conjunto de Datos'!BF643</f>
        <v>641</v>
      </c>
      <c r="U642" s="6">
        <f>sala!I642</f>
        <v>3968</v>
      </c>
      <c r="V642" cm="1">
        <f t="array" ref="V642">SUM(IF(Cocina!A:A=Tabla8[[#This Row],[Numero de Orden]],Cocina!F:F*Cocina!G:G,0))</f>
        <v>208</v>
      </c>
      <c r="W642">
        <f>IF(Tabla8[[#This Row],[Cobrado]]="Cobrada",Tabla8[[#This Row],[Propina]]+Tabla8[[#This Row],[Precio Cena]],0)</f>
        <v>4176</v>
      </c>
      <c r="X642" t="str">
        <f>INDEX(sala!G:G, MATCH(Tabla8[[#This Row],[Numero de Orden]], sala!K:K, 0))</f>
        <v>Almuerzo</v>
      </c>
      <c r="Y642" t="str">
        <f>'Conjunto de Datos'!J643</f>
        <v>Cobrada</v>
      </c>
      <c r="Z642" t="str">
        <f>INDEX(sala!H:H, MATCH(Tabla8[[#This Row],[Numero de Orden]], sala!K:K, 0))</f>
        <v>Tarjeta de débito</v>
      </c>
      <c r="AA642" s="3">
        <f>'Conjunto de Datos'!D643</f>
        <v>45022</v>
      </c>
      <c r="AB642" t="str">
        <f>INDEX(sala!L:L, MATCH(Tabla8[[#This Row],[Numero de Orden]], sala!K:K, 0))</f>
        <v>Ecuador</v>
      </c>
      <c r="AC642" t="str">
        <f>'Conjunto de Datos'!N643</f>
        <v>Mesero_1</v>
      </c>
      <c r="AD642">
        <f>Tabla8[[#This Row],[Propina]]+Tabla8[[#This Row],[Precio Cena]]</f>
        <v>4176</v>
      </c>
      <c r="AE642" s="45">
        <f t="shared" si="17"/>
        <v>208</v>
      </c>
    </row>
    <row r="643" spans="19:31" x14ac:dyDescent="0.3">
      <c r="S643" t="str">
        <f>'Conjunto de Datos'!BB644</f>
        <v>698</v>
      </c>
      <c r="T643">
        <f>'Conjunto de Datos'!BF644</f>
        <v>642</v>
      </c>
      <c r="U643" s="7">
        <f>sala!I643</f>
        <v>1111</v>
      </c>
      <c r="V643" cm="1">
        <f t="array" ref="V643">SUM(IF(Cocina!A:A=Tabla8[[#This Row],[Numero de Orden]],Cocina!F:F*Cocina!G:G,0))</f>
        <v>176</v>
      </c>
      <c r="W643">
        <f>IF(Tabla8[[#This Row],[Cobrado]]="Cobrada",Tabla8[[#This Row],[Propina]]+Tabla8[[#This Row],[Precio Cena]],0)</f>
        <v>1287</v>
      </c>
      <c r="X643" t="str">
        <f>INDEX(sala!G:G, MATCH(Tabla8[[#This Row],[Numero de Orden]], sala!K:K, 0))</f>
        <v>Almuerzo</v>
      </c>
      <c r="Y643" t="str">
        <f>'Conjunto de Datos'!J644</f>
        <v>Cobrada</v>
      </c>
      <c r="Z643" t="str">
        <f>INDEX(sala!H:H, MATCH(Tabla8[[#This Row],[Numero de Orden]], sala!K:K, 0))</f>
        <v>Tarjeta de crédito</v>
      </c>
      <c r="AA643" s="3">
        <f>'Conjunto de Datos'!D644</f>
        <v>45022</v>
      </c>
      <c r="AB643" t="str">
        <f>INDEX(sala!L:L, MATCH(Tabla8[[#This Row],[Numero de Orden]], sala!K:K, 0))</f>
        <v>Argentina</v>
      </c>
      <c r="AC643" t="str">
        <f>'Conjunto de Datos'!N644</f>
        <v>Mesero_2</v>
      </c>
      <c r="AD643">
        <f>Tabla8[[#This Row],[Propina]]+Tabla8[[#This Row],[Precio Cena]]</f>
        <v>1287</v>
      </c>
      <c r="AE643" s="45">
        <f t="shared" si="17"/>
        <v>176</v>
      </c>
    </row>
    <row r="644" spans="19:31" x14ac:dyDescent="0.3">
      <c r="S644" s="15" t="str">
        <f>'Conjunto de Datos'!BB645</f>
        <v>59</v>
      </c>
      <c r="T644" s="15">
        <f>'Conjunto de Datos'!BF645</f>
        <v>643</v>
      </c>
      <c r="U644" s="6">
        <f>sala!I644</f>
        <v>2881</v>
      </c>
      <c r="V644" cm="1">
        <f t="array" ref="V644">SUM(IF(Cocina!A:A=Tabla8[[#This Row],[Numero de Orden]],Cocina!F:F*Cocina!G:G,0))</f>
        <v>33</v>
      </c>
      <c r="W644">
        <f>IF(Tabla8[[#This Row],[Cobrado]]="Cobrada",Tabla8[[#This Row],[Propina]]+Tabla8[[#This Row],[Precio Cena]],0)</f>
        <v>2914</v>
      </c>
      <c r="X644" t="str">
        <f>INDEX(sala!G:G, MATCH(Tabla8[[#This Row],[Numero de Orden]], sala!K:K, 0))</f>
        <v>Desayuno</v>
      </c>
      <c r="Y644" t="str">
        <f>'Conjunto de Datos'!J645</f>
        <v>Cobrada</v>
      </c>
      <c r="Z644" t="str">
        <f>INDEX(sala!H:H, MATCH(Tabla8[[#This Row],[Numero de Orden]], sala!K:K, 0))</f>
        <v>Tarjeta de débito</v>
      </c>
      <c r="AA644" s="3">
        <f>'Conjunto de Datos'!D645</f>
        <v>45022</v>
      </c>
      <c r="AB644" t="str">
        <f>INDEX(sala!L:L, MATCH(Tabla8[[#This Row],[Numero de Orden]], sala!K:K, 0))</f>
        <v>Uruguay</v>
      </c>
      <c r="AC644" t="str">
        <f>'Conjunto de Datos'!N645</f>
        <v>Mesero_2</v>
      </c>
      <c r="AD644">
        <f>Tabla8[[#This Row],[Propina]]+Tabla8[[#This Row],[Precio Cena]]</f>
        <v>2914</v>
      </c>
      <c r="AE644" s="45">
        <f t="shared" ref="AE644:AE707" si="18">IF(Y644 = "Cobrada",V644,0)</f>
        <v>33</v>
      </c>
    </row>
    <row r="645" spans="19:31" x14ac:dyDescent="0.3">
      <c r="S645" t="str">
        <f>'Conjunto de Datos'!BB646</f>
        <v>799</v>
      </c>
      <c r="T645">
        <f>'Conjunto de Datos'!BF646</f>
        <v>644</v>
      </c>
      <c r="U645" s="7">
        <f>sala!I645</f>
        <v>1386</v>
      </c>
      <c r="V645" cm="1">
        <f t="array" ref="V645">SUM(IF(Cocina!A:A=Tabla8[[#This Row],[Numero de Orden]],Cocina!F:F*Cocina!G:G,0))</f>
        <v>93</v>
      </c>
      <c r="W645">
        <f>IF(Tabla8[[#This Row],[Cobrado]]="Cobrada",Tabla8[[#This Row],[Propina]]+Tabla8[[#This Row],[Precio Cena]],0)</f>
        <v>1479</v>
      </c>
      <c r="X645" t="str">
        <f>INDEX(sala!G:G, MATCH(Tabla8[[#This Row],[Numero de Orden]], sala!K:K, 0))</f>
        <v>Almuerzo</v>
      </c>
      <c r="Y645" t="str">
        <f>'Conjunto de Datos'!J646</f>
        <v>Cobrada</v>
      </c>
      <c r="Z645" t="str">
        <f>INDEX(sala!H:H, MATCH(Tabla8[[#This Row],[Numero de Orden]], sala!K:K, 0))</f>
        <v>Tarjeta de débito</v>
      </c>
      <c r="AA645" s="3">
        <f>'Conjunto de Datos'!D646</f>
        <v>45022</v>
      </c>
      <c r="AB645" t="str">
        <f>INDEX(sala!L:L, MATCH(Tabla8[[#This Row],[Numero de Orden]], sala!K:K, 0))</f>
        <v>Ecuador</v>
      </c>
      <c r="AC645" t="str">
        <f>'Conjunto de Datos'!N646</f>
        <v>Mesero_1</v>
      </c>
      <c r="AD645">
        <f>Tabla8[[#This Row],[Propina]]+Tabla8[[#This Row],[Precio Cena]]</f>
        <v>1479</v>
      </c>
      <c r="AE645" s="45">
        <f t="shared" si="18"/>
        <v>93</v>
      </c>
    </row>
    <row r="646" spans="19:31" x14ac:dyDescent="0.3">
      <c r="S646" s="15" t="str">
        <f>'Conjunto de Datos'!BB647</f>
        <v>196</v>
      </c>
      <c r="T646" s="15">
        <f>'Conjunto de Datos'!BF647</f>
        <v>645</v>
      </c>
      <c r="U646" s="6">
        <f>sala!I646</f>
        <v>4003</v>
      </c>
      <c r="V646" cm="1">
        <f t="array" ref="V646">SUM(IF(Cocina!A:A=Tabla8[[#This Row],[Numero de Orden]],Cocina!F:F*Cocina!G:G,0))</f>
        <v>180</v>
      </c>
      <c r="W646">
        <f>IF(Tabla8[[#This Row],[Cobrado]]="Cobrada",Tabla8[[#This Row],[Propina]]+Tabla8[[#This Row],[Precio Cena]],0)</f>
        <v>4183</v>
      </c>
      <c r="X646" t="str">
        <f>INDEX(sala!G:G, MATCH(Tabla8[[#This Row],[Numero de Orden]], sala!K:K, 0))</f>
        <v>Cena</v>
      </c>
      <c r="Y646" t="str">
        <f>'Conjunto de Datos'!J647</f>
        <v>Cobrada</v>
      </c>
      <c r="Z646" t="str">
        <f>INDEX(sala!H:H, MATCH(Tabla8[[#This Row],[Numero de Orden]], sala!K:K, 0))</f>
        <v>Efectivo</v>
      </c>
      <c r="AA646" s="3">
        <f>'Conjunto de Datos'!D647</f>
        <v>45022</v>
      </c>
      <c r="AB646" t="str">
        <f>INDEX(sala!L:L, MATCH(Tabla8[[#This Row],[Numero de Orden]], sala!K:K, 0))</f>
        <v>Bolivia</v>
      </c>
      <c r="AC646" t="str">
        <f>'Conjunto de Datos'!N647</f>
        <v>Mesero_3</v>
      </c>
      <c r="AD646">
        <f>Tabla8[[#This Row],[Propina]]+Tabla8[[#This Row],[Precio Cena]]</f>
        <v>4183</v>
      </c>
      <c r="AE646" s="45">
        <f t="shared" si="18"/>
        <v>180</v>
      </c>
    </row>
    <row r="647" spans="19:31" x14ac:dyDescent="0.3">
      <c r="S647" t="str">
        <f>'Conjunto de Datos'!BB648</f>
        <v>623</v>
      </c>
      <c r="T647">
        <f>'Conjunto de Datos'!BF648</f>
        <v>646</v>
      </c>
      <c r="U647" s="7">
        <f>sala!I647</f>
        <v>1259</v>
      </c>
      <c r="V647" cm="1">
        <f t="array" ref="V647">SUM(IF(Cocina!A:A=Tabla8[[#This Row],[Numero de Orden]],Cocina!F:F*Cocina!G:G,0))</f>
        <v>70</v>
      </c>
      <c r="W647">
        <f>IF(Tabla8[[#This Row],[Cobrado]]="Cobrada",Tabla8[[#This Row],[Propina]]+Tabla8[[#This Row],[Precio Cena]],0)</f>
        <v>1329</v>
      </c>
      <c r="X647" t="str">
        <f>INDEX(sala!G:G, MATCH(Tabla8[[#This Row],[Numero de Orden]], sala!K:K, 0))</f>
        <v>Almuerzo</v>
      </c>
      <c r="Y647" t="str">
        <f>'Conjunto de Datos'!J648</f>
        <v>Cobrada</v>
      </c>
      <c r="Z647" t="str">
        <f>INDEX(sala!H:H, MATCH(Tabla8[[#This Row],[Numero de Orden]], sala!K:K, 0))</f>
        <v>Tarjeta de débito</v>
      </c>
      <c r="AA647" s="3">
        <f>'Conjunto de Datos'!D648</f>
        <v>45022</v>
      </c>
      <c r="AB647" t="str">
        <f>INDEX(sala!L:L, MATCH(Tabla8[[#This Row],[Numero de Orden]], sala!K:K, 0))</f>
        <v>Bolivia</v>
      </c>
      <c r="AC647" t="str">
        <f>'Conjunto de Datos'!N648</f>
        <v>Mesero_2</v>
      </c>
      <c r="AD647">
        <f>Tabla8[[#This Row],[Propina]]+Tabla8[[#This Row],[Precio Cena]]</f>
        <v>1329</v>
      </c>
      <c r="AE647" s="45">
        <f t="shared" si="18"/>
        <v>70</v>
      </c>
    </row>
    <row r="648" spans="19:31" x14ac:dyDescent="0.3">
      <c r="S648" s="15" t="str">
        <f>'Conjunto de Datos'!BB649</f>
        <v>52</v>
      </c>
      <c r="T648" s="15">
        <f>'Conjunto de Datos'!BF649</f>
        <v>647</v>
      </c>
      <c r="U648" s="6">
        <f>sala!I648</f>
        <v>4279</v>
      </c>
      <c r="V648" cm="1">
        <f t="array" ref="V648">SUM(IF(Cocina!A:A=Tabla8[[#This Row],[Numero de Orden]],Cocina!F:F*Cocina!G:G,0))</f>
        <v>98</v>
      </c>
      <c r="W648">
        <f>IF(Tabla8[[#This Row],[Cobrado]]="Cobrada",Tabla8[[#This Row],[Propina]]+Tabla8[[#This Row],[Precio Cena]],0)</f>
        <v>4377</v>
      </c>
      <c r="X648" t="str">
        <f>INDEX(sala!G:G, MATCH(Tabla8[[#This Row],[Numero de Orden]], sala!K:K, 0))</f>
        <v>Almuerzo</v>
      </c>
      <c r="Y648" t="str">
        <f>'Conjunto de Datos'!J649</f>
        <v>Cobrada</v>
      </c>
      <c r="Z648" t="str">
        <f>INDEX(sala!H:H, MATCH(Tabla8[[#This Row],[Numero de Orden]], sala!K:K, 0))</f>
        <v>Tarjeta de crédito</v>
      </c>
      <c r="AA648" s="3">
        <f>'Conjunto de Datos'!D649</f>
        <v>45022</v>
      </c>
      <c r="AB648" t="str">
        <f>INDEX(sala!L:L, MATCH(Tabla8[[#This Row],[Numero de Orden]], sala!K:K, 0))</f>
        <v>Bolivia</v>
      </c>
      <c r="AC648" t="str">
        <f>'Conjunto de Datos'!N649</f>
        <v>Mesero_2</v>
      </c>
      <c r="AD648">
        <f>Tabla8[[#This Row],[Propina]]+Tabla8[[#This Row],[Precio Cena]]</f>
        <v>4377</v>
      </c>
      <c r="AE648" s="45">
        <f t="shared" si="18"/>
        <v>98</v>
      </c>
    </row>
    <row r="649" spans="19:31" x14ac:dyDescent="0.3">
      <c r="S649" t="str">
        <f>'Conjunto de Datos'!BB650</f>
        <v>946</v>
      </c>
      <c r="T649">
        <f>'Conjunto de Datos'!BF650</f>
        <v>648</v>
      </c>
      <c r="U649" s="7">
        <f>sala!I649</f>
        <v>1743</v>
      </c>
      <c r="V649" cm="1">
        <f t="array" ref="V649">SUM(IF(Cocina!A:A=Tabla8[[#This Row],[Numero de Orden]],Cocina!F:F*Cocina!G:G,0))</f>
        <v>56</v>
      </c>
      <c r="W649">
        <f>IF(Tabla8[[#This Row],[Cobrado]]="Cobrada",Tabla8[[#This Row],[Propina]]+Tabla8[[#This Row],[Precio Cena]],0)</f>
        <v>1799</v>
      </c>
      <c r="X649" t="str">
        <f>INDEX(sala!G:G, MATCH(Tabla8[[#This Row],[Numero de Orden]], sala!K:K, 0))</f>
        <v>Cena</v>
      </c>
      <c r="Y649" t="str">
        <f>'Conjunto de Datos'!J650</f>
        <v>Cobrada</v>
      </c>
      <c r="Z649" t="str">
        <f>INDEX(sala!H:H, MATCH(Tabla8[[#This Row],[Numero de Orden]], sala!K:K, 0))</f>
        <v>Tarjeta de crédito</v>
      </c>
      <c r="AA649" s="3">
        <f>'Conjunto de Datos'!D650</f>
        <v>45022</v>
      </c>
      <c r="AB649" t="str">
        <f>INDEX(sala!L:L, MATCH(Tabla8[[#This Row],[Numero de Orden]], sala!K:K, 0))</f>
        <v>Brasil</v>
      </c>
      <c r="AC649" t="str">
        <f>'Conjunto de Datos'!N650</f>
        <v>Mesero_2</v>
      </c>
      <c r="AD649">
        <f>Tabla8[[#This Row],[Propina]]+Tabla8[[#This Row],[Precio Cena]]</f>
        <v>1799</v>
      </c>
      <c r="AE649" s="45">
        <f t="shared" si="18"/>
        <v>56</v>
      </c>
    </row>
    <row r="650" spans="19:31" x14ac:dyDescent="0.3">
      <c r="S650" s="15" t="str">
        <f>'Conjunto de Datos'!BB651</f>
        <v>278</v>
      </c>
      <c r="T650" s="15">
        <f>'Conjunto de Datos'!BF651</f>
        <v>649</v>
      </c>
      <c r="U650" s="6">
        <f>sala!I650</f>
        <v>1598</v>
      </c>
      <c r="V650" cm="1">
        <f t="array" ref="V650">SUM(IF(Cocina!A:A=Tabla8[[#This Row],[Numero de Orden]],Cocina!F:F*Cocina!G:G,0))</f>
        <v>256</v>
      </c>
      <c r="W650">
        <f>IF(Tabla8[[#This Row],[Cobrado]]="Cobrada",Tabla8[[#This Row],[Propina]]+Tabla8[[#This Row],[Precio Cena]],0)</f>
        <v>1854</v>
      </c>
      <c r="X650" t="str">
        <f>INDEX(sala!G:G, MATCH(Tabla8[[#This Row],[Numero de Orden]], sala!K:K, 0))</f>
        <v>Almuerzo</v>
      </c>
      <c r="Y650" t="str">
        <f>'Conjunto de Datos'!J651</f>
        <v>Cobrada</v>
      </c>
      <c r="Z650" t="str">
        <f>INDEX(sala!H:H, MATCH(Tabla8[[#This Row],[Numero de Orden]], sala!K:K, 0))</f>
        <v>Efectivo</v>
      </c>
      <c r="AA650" s="3">
        <f>'Conjunto de Datos'!D651</f>
        <v>45022</v>
      </c>
      <c r="AB650" t="str">
        <f>INDEX(sala!L:L, MATCH(Tabla8[[#This Row],[Numero de Orden]], sala!K:K, 0))</f>
        <v>Paraguay</v>
      </c>
      <c r="AC650" t="str">
        <f>'Conjunto de Datos'!N651</f>
        <v>Mesero_5</v>
      </c>
      <c r="AD650">
        <f>Tabla8[[#This Row],[Propina]]+Tabla8[[#This Row],[Precio Cena]]</f>
        <v>1854</v>
      </c>
      <c r="AE650" s="45">
        <f t="shared" si="18"/>
        <v>256</v>
      </c>
    </row>
    <row r="651" spans="19:31" x14ac:dyDescent="0.3">
      <c r="S651" t="str">
        <f>'Conjunto de Datos'!BB652</f>
        <v>232</v>
      </c>
      <c r="T651">
        <f>'Conjunto de Datos'!BF652</f>
        <v>650</v>
      </c>
      <c r="U651" s="7">
        <f>sala!I651</f>
        <v>3821</v>
      </c>
      <c r="V651" cm="1">
        <f t="array" ref="V651">SUM(IF(Cocina!A:A=Tabla8[[#This Row],[Numero de Orden]],Cocina!F:F*Cocina!G:G,0))</f>
        <v>237</v>
      </c>
      <c r="W651">
        <f>IF(Tabla8[[#This Row],[Cobrado]]="Cobrada",Tabla8[[#This Row],[Propina]]+Tabla8[[#This Row],[Precio Cena]],0)</f>
        <v>4058</v>
      </c>
      <c r="X651" t="str">
        <f>INDEX(sala!G:G, MATCH(Tabla8[[#This Row],[Numero de Orden]], sala!K:K, 0))</f>
        <v>Almuerzo</v>
      </c>
      <c r="Y651" t="str">
        <f>'Conjunto de Datos'!J652</f>
        <v>Cobrada</v>
      </c>
      <c r="Z651" t="str">
        <f>INDEX(sala!H:H, MATCH(Tabla8[[#This Row],[Numero de Orden]], sala!K:K, 0))</f>
        <v>Tarjeta de débito</v>
      </c>
      <c r="AA651" s="3">
        <f>'Conjunto de Datos'!D652</f>
        <v>45023</v>
      </c>
      <c r="AB651" t="str">
        <f>INDEX(sala!L:L, MATCH(Tabla8[[#This Row],[Numero de Orden]], sala!K:K, 0))</f>
        <v>Argentina</v>
      </c>
      <c r="AC651" t="str">
        <f>'Conjunto de Datos'!N652</f>
        <v>Mesero_3</v>
      </c>
      <c r="AD651">
        <f>Tabla8[[#This Row],[Propina]]+Tabla8[[#This Row],[Precio Cena]]</f>
        <v>4058</v>
      </c>
      <c r="AE651" s="45">
        <f t="shared" si="18"/>
        <v>237</v>
      </c>
    </row>
    <row r="652" spans="19:31" x14ac:dyDescent="0.3">
      <c r="S652" s="15" t="str">
        <f>'Conjunto de Datos'!BB653</f>
        <v>595</v>
      </c>
      <c r="T652" s="15">
        <f>'Conjunto de Datos'!BF653</f>
        <v>651</v>
      </c>
      <c r="U652" s="6">
        <f>sala!I652</f>
        <v>2027</v>
      </c>
      <c r="V652" cm="1">
        <f t="array" ref="V652">SUM(IF(Cocina!A:A=Tabla8[[#This Row],[Numero de Orden]],Cocina!F:F*Cocina!G:G,0))</f>
        <v>209</v>
      </c>
      <c r="W652">
        <f>IF(Tabla8[[#This Row],[Cobrado]]="Cobrada",Tabla8[[#This Row],[Propina]]+Tabla8[[#This Row],[Precio Cena]],0)</f>
        <v>2236</v>
      </c>
      <c r="X652" t="str">
        <f>INDEX(sala!G:G, MATCH(Tabla8[[#This Row],[Numero de Orden]], sala!K:K, 0))</f>
        <v>Cena</v>
      </c>
      <c r="Y652" t="str">
        <f>'Conjunto de Datos'!J653</f>
        <v>Cobrada</v>
      </c>
      <c r="Z652" t="str">
        <f>INDEX(sala!H:H, MATCH(Tabla8[[#This Row],[Numero de Orden]], sala!K:K, 0))</f>
        <v>Tarjeta de crédito</v>
      </c>
      <c r="AA652" s="3">
        <f>'Conjunto de Datos'!D653</f>
        <v>45023</v>
      </c>
      <c r="AB652" t="str">
        <f>INDEX(sala!L:L, MATCH(Tabla8[[#This Row],[Numero de Orden]], sala!K:K, 0))</f>
        <v>Argentina</v>
      </c>
      <c r="AC652" t="str">
        <f>'Conjunto de Datos'!N653</f>
        <v>Mesero_4</v>
      </c>
      <c r="AD652">
        <f>Tabla8[[#This Row],[Propina]]+Tabla8[[#This Row],[Precio Cena]]</f>
        <v>2236</v>
      </c>
      <c r="AE652" s="45">
        <f t="shared" si="18"/>
        <v>209</v>
      </c>
    </row>
    <row r="653" spans="19:31" x14ac:dyDescent="0.3">
      <c r="S653" t="str">
        <f>'Conjunto de Datos'!BB654</f>
        <v>968</v>
      </c>
      <c r="T653">
        <f>'Conjunto de Datos'!BF654</f>
        <v>652</v>
      </c>
      <c r="U653" s="7">
        <f>sala!I653</f>
        <v>2326</v>
      </c>
      <c r="V653" cm="1">
        <f t="array" ref="V653">SUM(IF(Cocina!A:A=Tabla8[[#This Row],[Numero de Orden]],Cocina!F:F*Cocina!G:G,0))</f>
        <v>170</v>
      </c>
      <c r="W653">
        <f>IF(Tabla8[[#This Row],[Cobrado]]="Cobrada",Tabla8[[#This Row],[Propina]]+Tabla8[[#This Row],[Precio Cena]],0)</f>
        <v>2496</v>
      </c>
      <c r="X653" t="str">
        <f>INDEX(sala!G:G, MATCH(Tabla8[[#This Row],[Numero de Orden]], sala!K:K, 0))</f>
        <v>Almuerzo</v>
      </c>
      <c r="Y653" t="str">
        <f>'Conjunto de Datos'!J654</f>
        <v>Cobrada</v>
      </c>
      <c r="Z653" t="str">
        <f>INDEX(sala!H:H, MATCH(Tabla8[[#This Row],[Numero de Orden]], sala!K:K, 0))</f>
        <v>Tarjeta de débito</v>
      </c>
      <c r="AA653" s="3">
        <f>'Conjunto de Datos'!D654</f>
        <v>45023</v>
      </c>
      <c r="AB653" t="str">
        <f>INDEX(sala!L:L, MATCH(Tabla8[[#This Row],[Numero de Orden]], sala!K:K, 0))</f>
        <v>Uruguay</v>
      </c>
      <c r="AC653" t="str">
        <f>'Conjunto de Datos'!N654</f>
        <v>Mesero_2</v>
      </c>
      <c r="AD653">
        <f>Tabla8[[#This Row],[Propina]]+Tabla8[[#This Row],[Precio Cena]]</f>
        <v>2496</v>
      </c>
      <c r="AE653" s="45">
        <f t="shared" si="18"/>
        <v>170</v>
      </c>
    </row>
    <row r="654" spans="19:31" x14ac:dyDescent="0.3">
      <c r="S654" s="15" t="str">
        <f>'Conjunto de Datos'!BB655</f>
        <v>2</v>
      </c>
      <c r="T654" s="15">
        <f>'Conjunto de Datos'!BF655</f>
        <v>653</v>
      </c>
      <c r="U654" s="6">
        <f>sala!I654</f>
        <v>3433</v>
      </c>
      <c r="V654" cm="1">
        <f t="array" ref="V654">SUM(IF(Cocina!A:A=Tabla8[[#This Row],[Numero de Orden]],Cocina!F:F*Cocina!G:G,0))</f>
        <v>244</v>
      </c>
      <c r="W654">
        <f>IF(Tabla8[[#This Row],[Cobrado]]="Cobrada",Tabla8[[#This Row],[Propina]]+Tabla8[[#This Row],[Precio Cena]],0)</f>
        <v>0</v>
      </c>
      <c r="X654" t="str">
        <f>INDEX(sala!G:G, MATCH(Tabla8[[#This Row],[Numero de Orden]], sala!K:K, 0))</f>
        <v>Almuerzo</v>
      </c>
      <c r="Y654" t="str">
        <f>'Conjunto de Datos'!J655</f>
        <v>No Cobrada</v>
      </c>
      <c r="Z654" t="str">
        <f>INDEX(sala!H:H, MATCH(Tabla8[[#This Row],[Numero de Orden]], sala!K:K, 0))</f>
        <v>Tarjeta de crédito</v>
      </c>
      <c r="AA654" s="3">
        <f>'Conjunto de Datos'!D655</f>
        <v>45023</v>
      </c>
      <c r="AB654" t="str">
        <f>INDEX(sala!L:L, MATCH(Tabla8[[#This Row],[Numero de Orden]], sala!K:K, 0))</f>
        <v>Venezuela</v>
      </c>
      <c r="AC654" t="str">
        <f>'Conjunto de Datos'!N655</f>
        <v>Mesero_1</v>
      </c>
      <c r="AD654">
        <f>Tabla8[[#This Row],[Propina]]+Tabla8[[#This Row],[Precio Cena]]</f>
        <v>3677</v>
      </c>
      <c r="AE654" s="45">
        <f t="shared" si="18"/>
        <v>0</v>
      </c>
    </row>
    <row r="655" spans="19:31" x14ac:dyDescent="0.3">
      <c r="S655" t="str">
        <f>'Conjunto de Datos'!BB656</f>
        <v>880</v>
      </c>
      <c r="T655">
        <f>'Conjunto de Datos'!BF656</f>
        <v>654</v>
      </c>
      <c r="U655" s="7">
        <f>sala!I655</f>
        <v>2398</v>
      </c>
      <c r="V655" cm="1">
        <f t="array" ref="V655">SUM(IF(Cocina!A:A=Tabla8[[#This Row],[Numero de Orden]],Cocina!F:F*Cocina!G:G,0))</f>
        <v>42</v>
      </c>
      <c r="W655">
        <f>IF(Tabla8[[#This Row],[Cobrado]]="Cobrada",Tabla8[[#This Row],[Propina]]+Tabla8[[#This Row],[Precio Cena]],0)</f>
        <v>2440</v>
      </c>
      <c r="X655" t="str">
        <f>INDEX(sala!G:G, MATCH(Tabla8[[#This Row],[Numero de Orden]], sala!K:K, 0))</f>
        <v>Cena</v>
      </c>
      <c r="Y655" t="str">
        <f>'Conjunto de Datos'!J656</f>
        <v>Cobrada</v>
      </c>
      <c r="Z655" t="str">
        <f>INDEX(sala!H:H, MATCH(Tabla8[[#This Row],[Numero de Orden]], sala!K:K, 0))</f>
        <v>Tarjeta de crédito</v>
      </c>
      <c r="AA655" s="3">
        <f>'Conjunto de Datos'!D656</f>
        <v>45023</v>
      </c>
      <c r="AB655" t="str">
        <f>INDEX(sala!L:L, MATCH(Tabla8[[#This Row],[Numero de Orden]], sala!K:K, 0))</f>
        <v>Uruguay</v>
      </c>
      <c r="AC655" t="str">
        <f>'Conjunto de Datos'!N656</f>
        <v>Mesero_5</v>
      </c>
      <c r="AD655">
        <f>Tabla8[[#This Row],[Propina]]+Tabla8[[#This Row],[Precio Cena]]</f>
        <v>2440</v>
      </c>
      <c r="AE655" s="45">
        <f t="shared" si="18"/>
        <v>42</v>
      </c>
    </row>
    <row r="656" spans="19:31" x14ac:dyDescent="0.3">
      <c r="S656" s="15" t="str">
        <f>'Conjunto de Datos'!BB657</f>
        <v>626</v>
      </c>
      <c r="T656" s="15">
        <f>'Conjunto de Datos'!BF657</f>
        <v>655</v>
      </c>
      <c r="U656" s="6">
        <f>sala!I656</f>
        <v>217</v>
      </c>
      <c r="V656" cm="1">
        <f t="array" ref="V656">SUM(IF(Cocina!A:A=Tabla8[[#This Row],[Numero de Orden]],Cocina!F:F*Cocina!G:G,0))</f>
        <v>93</v>
      </c>
      <c r="W656">
        <f>IF(Tabla8[[#This Row],[Cobrado]]="Cobrada",Tabla8[[#This Row],[Propina]]+Tabla8[[#This Row],[Precio Cena]],0)</f>
        <v>310</v>
      </c>
      <c r="X656" t="str">
        <f>INDEX(sala!G:G, MATCH(Tabla8[[#This Row],[Numero de Orden]], sala!K:K, 0))</f>
        <v>Almuerzo</v>
      </c>
      <c r="Y656" t="str">
        <f>'Conjunto de Datos'!J657</f>
        <v>Cobrada</v>
      </c>
      <c r="Z656" t="str">
        <f>INDEX(sala!H:H, MATCH(Tabla8[[#This Row],[Numero de Orden]], sala!K:K, 0))</f>
        <v>Efectivo</v>
      </c>
      <c r="AA656" s="3">
        <f>'Conjunto de Datos'!D657</f>
        <v>45023</v>
      </c>
      <c r="AB656" t="str">
        <f>INDEX(sala!L:L, MATCH(Tabla8[[#This Row],[Numero de Orden]], sala!K:K, 0))</f>
        <v>Brasil</v>
      </c>
      <c r="AC656" t="str">
        <f>'Conjunto de Datos'!N657</f>
        <v>Mesero_5</v>
      </c>
      <c r="AD656">
        <f>Tabla8[[#This Row],[Propina]]+Tabla8[[#This Row],[Precio Cena]]</f>
        <v>310</v>
      </c>
      <c r="AE656" s="45">
        <f t="shared" si="18"/>
        <v>93</v>
      </c>
    </row>
    <row r="657" spans="19:31" x14ac:dyDescent="0.3">
      <c r="S657" t="str">
        <f>'Conjunto de Datos'!BB658</f>
        <v>411</v>
      </c>
      <c r="T657">
        <f>'Conjunto de Datos'!BF658</f>
        <v>656</v>
      </c>
      <c r="U657" s="7">
        <f>sala!I657</f>
        <v>3123</v>
      </c>
      <c r="V657" cm="1">
        <f t="array" ref="V657">SUM(IF(Cocina!A:A=Tabla8[[#This Row],[Numero de Orden]],Cocina!F:F*Cocina!G:G,0))</f>
        <v>157</v>
      </c>
      <c r="W657">
        <f>IF(Tabla8[[#This Row],[Cobrado]]="Cobrada",Tabla8[[#This Row],[Propina]]+Tabla8[[#This Row],[Precio Cena]],0)</f>
        <v>3280</v>
      </c>
      <c r="X657" t="str">
        <f>INDEX(sala!G:G, MATCH(Tabla8[[#This Row],[Numero de Orden]], sala!K:K, 0))</f>
        <v>Cena</v>
      </c>
      <c r="Y657" t="str">
        <f>'Conjunto de Datos'!J658</f>
        <v>Cobrada</v>
      </c>
      <c r="Z657" t="str">
        <f>INDEX(sala!H:H, MATCH(Tabla8[[#This Row],[Numero de Orden]], sala!K:K, 0))</f>
        <v>Tarjeta de crédito</v>
      </c>
      <c r="AA657" s="3">
        <f>'Conjunto de Datos'!D658</f>
        <v>45023</v>
      </c>
      <c r="AB657" t="str">
        <f>INDEX(sala!L:L, MATCH(Tabla8[[#This Row],[Numero de Orden]], sala!K:K, 0))</f>
        <v>Argentina</v>
      </c>
      <c r="AC657" t="str">
        <f>'Conjunto de Datos'!N658</f>
        <v>Mesero_1</v>
      </c>
      <c r="AD657">
        <f>Tabla8[[#This Row],[Propina]]+Tabla8[[#This Row],[Precio Cena]]</f>
        <v>3280</v>
      </c>
      <c r="AE657" s="45">
        <f t="shared" si="18"/>
        <v>157</v>
      </c>
    </row>
    <row r="658" spans="19:31" x14ac:dyDescent="0.3">
      <c r="S658" s="15" t="str">
        <f>'Conjunto de Datos'!BB659</f>
        <v>123</v>
      </c>
      <c r="T658" s="15">
        <f>'Conjunto de Datos'!BF659</f>
        <v>657</v>
      </c>
      <c r="U658" s="6">
        <f>sala!I658</f>
        <v>442</v>
      </c>
      <c r="V658" cm="1">
        <f t="array" ref="V658">SUM(IF(Cocina!A:A=Tabla8[[#This Row],[Numero de Orden]],Cocina!F:F*Cocina!G:G,0))</f>
        <v>196</v>
      </c>
      <c r="W658">
        <f>IF(Tabla8[[#This Row],[Cobrado]]="Cobrada",Tabla8[[#This Row],[Propina]]+Tabla8[[#This Row],[Precio Cena]],0)</f>
        <v>638</v>
      </c>
      <c r="X658" t="str">
        <f>INDEX(sala!G:G, MATCH(Tabla8[[#This Row],[Numero de Orden]], sala!K:K, 0))</f>
        <v>Almuerzo</v>
      </c>
      <c r="Y658" t="str">
        <f>'Conjunto de Datos'!J659</f>
        <v>Cobrada</v>
      </c>
      <c r="Z658" t="str">
        <f>INDEX(sala!H:H, MATCH(Tabla8[[#This Row],[Numero de Orden]], sala!K:K, 0))</f>
        <v>Efectivo</v>
      </c>
      <c r="AA658" s="3">
        <f>'Conjunto de Datos'!D659</f>
        <v>45023</v>
      </c>
      <c r="AB658" t="str">
        <f>INDEX(sala!L:L, MATCH(Tabla8[[#This Row],[Numero de Orden]], sala!K:K, 0))</f>
        <v>Chile</v>
      </c>
      <c r="AC658" t="str">
        <f>'Conjunto de Datos'!N659</f>
        <v>Mesero_1</v>
      </c>
      <c r="AD658">
        <f>Tabla8[[#This Row],[Propina]]+Tabla8[[#This Row],[Precio Cena]]</f>
        <v>638</v>
      </c>
      <c r="AE658" s="45">
        <f t="shared" si="18"/>
        <v>196</v>
      </c>
    </row>
    <row r="659" spans="19:31" x14ac:dyDescent="0.3">
      <c r="S659" t="str">
        <f>'Conjunto de Datos'!BB660</f>
        <v>910</v>
      </c>
      <c r="T659">
        <f>'Conjunto de Datos'!BF660</f>
        <v>658</v>
      </c>
      <c r="U659" s="7">
        <f>sala!I659</f>
        <v>3127</v>
      </c>
      <c r="V659" cm="1">
        <f t="array" ref="V659">SUM(IF(Cocina!A:A=Tabla8[[#This Row],[Numero de Orden]],Cocina!F:F*Cocina!G:G,0))</f>
        <v>86</v>
      </c>
      <c r="W659">
        <f>IF(Tabla8[[#This Row],[Cobrado]]="Cobrada",Tabla8[[#This Row],[Propina]]+Tabla8[[#This Row],[Precio Cena]],0)</f>
        <v>3213</v>
      </c>
      <c r="X659" t="str">
        <f>INDEX(sala!G:G, MATCH(Tabla8[[#This Row],[Numero de Orden]], sala!K:K, 0))</f>
        <v>Desayuno</v>
      </c>
      <c r="Y659" t="str">
        <f>'Conjunto de Datos'!J660</f>
        <v>Cobrada</v>
      </c>
      <c r="Z659" t="str">
        <f>INDEX(sala!H:H, MATCH(Tabla8[[#This Row],[Numero de Orden]], sala!K:K, 0))</f>
        <v>Efectivo</v>
      </c>
      <c r="AA659" s="3">
        <f>'Conjunto de Datos'!D660</f>
        <v>45023</v>
      </c>
      <c r="AB659" t="str">
        <f>INDEX(sala!L:L, MATCH(Tabla8[[#This Row],[Numero de Orden]], sala!K:K, 0))</f>
        <v>Brasil</v>
      </c>
      <c r="AC659" t="str">
        <f>'Conjunto de Datos'!N660</f>
        <v>Mesero_5</v>
      </c>
      <c r="AD659">
        <f>Tabla8[[#This Row],[Propina]]+Tabla8[[#This Row],[Precio Cena]]</f>
        <v>3213</v>
      </c>
      <c r="AE659" s="45">
        <f t="shared" si="18"/>
        <v>86</v>
      </c>
    </row>
    <row r="660" spans="19:31" x14ac:dyDescent="0.3">
      <c r="S660" s="15" t="str">
        <f>'Conjunto de Datos'!BB661</f>
        <v>539</v>
      </c>
      <c r="T660" s="15">
        <f>'Conjunto de Datos'!BF661</f>
        <v>659</v>
      </c>
      <c r="U660" s="6">
        <f>sala!I660</f>
        <v>3524</v>
      </c>
      <c r="V660" cm="1">
        <f t="array" ref="V660">SUM(IF(Cocina!A:A=Tabla8[[#This Row],[Numero de Orden]],Cocina!F:F*Cocina!G:G,0))</f>
        <v>87</v>
      </c>
      <c r="W660">
        <f>IF(Tabla8[[#This Row],[Cobrado]]="Cobrada",Tabla8[[#This Row],[Propina]]+Tabla8[[#This Row],[Precio Cena]],0)</f>
        <v>3611</v>
      </c>
      <c r="X660" t="str">
        <f>INDEX(sala!G:G, MATCH(Tabla8[[#This Row],[Numero de Orden]], sala!K:K, 0))</f>
        <v>Almuerzo</v>
      </c>
      <c r="Y660" t="str">
        <f>'Conjunto de Datos'!J661</f>
        <v>Cobrada</v>
      </c>
      <c r="Z660" t="str">
        <f>INDEX(sala!H:H, MATCH(Tabla8[[#This Row],[Numero de Orden]], sala!K:K, 0))</f>
        <v>Tarjeta de crédito</v>
      </c>
      <c r="AA660" s="3">
        <f>'Conjunto de Datos'!D661</f>
        <v>45023</v>
      </c>
      <c r="AB660" t="str">
        <f>INDEX(sala!L:L, MATCH(Tabla8[[#This Row],[Numero de Orden]], sala!K:K, 0))</f>
        <v>Perú</v>
      </c>
      <c r="AC660" t="str">
        <f>'Conjunto de Datos'!N661</f>
        <v>Mesero_4</v>
      </c>
      <c r="AD660">
        <f>Tabla8[[#This Row],[Propina]]+Tabla8[[#This Row],[Precio Cena]]</f>
        <v>3611</v>
      </c>
      <c r="AE660" s="45">
        <f t="shared" si="18"/>
        <v>87</v>
      </c>
    </row>
    <row r="661" spans="19:31" x14ac:dyDescent="0.3">
      <c r="S661" t="str">
        <f>'Conjunto de Datos'!BB662</f>
        <v>483</v>
      </c>
      <c r="T661">
        <f>'Conjunto de Datos'!BF662</f>
        <v>660</v>
      </c>
      <c r="U661" s="7">
        <f>sala!I661</f>
        <v>1591</v>
      </c>
      <c r="V661" cm="1">
        <f t="array" ref="V661">SUM(IF(Cocina!A:A=Tabla8[[#This Row],[Numero de Orden]],Cocina!F:F*Cocina!G:G,0))</f>
        <v>208</v>
      </c>
      <c r="W661">
        <f>IF(Tabla8[[#This Row],[Cobrado]]="Cobrada",Tabla8[[#This Row],[Propina]]+Tabla8[[#This Row],[Precio Cena]],0)</f>
        <v>1799</v>
      </c>
      <c r="X661" t="str">
        <f>INDEX(sala!G:G, MATCH(Tabla8[[#This Row],[Numero de Orden]], sala!K:K, 0))</f>
        <v>Desayuno</v>
      </c>
      <c r="Y661" t="str">
        <f>'Conjunto de Datos'!J662</f>
        <v>Cobrada</v>
      </c>
      <c r="Z661" t="str">
        <f>INDEX(sala!H:H, MATCH(Tabla8[[#This Row],[Numero de Orden]], sala!K:K, 0))</f>
        <v>Tarjeta de crédito</v>
      </c>
      <c r="AA661" s="3">
        <f>'Conjunto de Datos'!D662</f>
        <v>45023</v>
      </c>
      <c r="AB661" t="str">
        <f>INDEX(sala!L:L, MATCH(Tabla8[[#This Row],[Numero de Orden]], sala!K:K, 0))</f>
        <v>Brasil</v>
      </c>
      <c r="AC661" t="str">
        <f>'Conjunto de Datos'!N662</f>
        <v>Mesero_2</v>
      </c>
      <c r="AD661">
        <f>Tabla8[[#This Row],[Propina]]+Tabla8[[#This Row],[Precio Cena]]</f>
        <v>1799</v>
      </c>
      <c r="AE661" s="45">
        <f t="shared" si="18"/>
        <v>208</v>
      </c>
    </row>
    <row r="662" spans="19:31" x14ac:dyDescent="0.3">
      <c r="S662" s="15" t="str">
        <f>'Conjunto de Datos'!BB663</f>
        <v>949</v>
      </c>
      <c r="T662" s="15">
        <f>'Conjunto de Datos'!BF663</f>
        <v>661</v>
      </c>
      <c r="U662" s="6">
        <f>sala!I662</f>
        <v>3254</v>
      </c>
      <c r="V662" cm="1">
        <f t="array" ref="V662">SUM(IF(Cocina!A:A=Tabla8[[#This Row],[Numero de Orden]],Cocina!F:F*Cocina!G:G,0))</f>
        <v>206</v>
      </c>
      <c r="W662">
        <f>IF(Tabla8[[#This Row],[Cobrado]]="Cobrada",Tabla8[[#This Row],[Propina]]+Tabla8[[#This Row],[Precio Cena]],0)</f>
        <v>3460</v>
      </c>
      <c r="X662" t="str">
        <f>INDEX(sala!G:G, MATCH(Tabla8[[#This Row],[Numero de Orden]], sala!K:K, 0))</f>
        <v>Cena</v>
      </c>
      <c r="Y662" t="str">
        <f>'Conjunto de Datos'!J663</f>
        <v>Cobrada</v>
      </c>
      <c r="Z662" t="str">
        <f>INDEX(sala!H:H, MATCH(Tabla8[[#This Row],[Numero de Orden]], sala!K:K, 0))</f>
        <v>Tarjeta de crédito</v>
      </c>
      <c r="AA662" s="3">
        <f>'Conjunto de Datos'!D663</f>
        <v>45023</v>
      </c>
      <c r="AB662" t="str">
        <f>INDEX(sala!L:L, MATCH(Tabla8[[#This Row],[Numero de Orden]], sala!K:K, 0))</f>
        <v>Argentina</v>
      </c>
      <c r="AC662" t="str">
        <f>'Conjunto de Datos'!N663</f>
        <v>Mesero_4</v>
      </c>
      <c r="AD662">
        <f>Tabla8[[#This Row],[Propina]]+Tabla8[[#This Row],[Precio Cena]]</f>
        <v>3460</v>
      </c>
      <c r="AE662" s="45">
        <f t="shared" si="18"/>
        <v>206</v>
      </c>
    </row>
    <row r="663" spans="19:31" x14ac:dyDescent="0.3">
      <c r="S663" t="str">
        <f>'Conjunto de Datos'!BB664</f>
        <v>642</v>
      </c>
      <c r="T663">
        <f>'Conjunto de Datos'!BF664</f>
        <v>662</v>
      </c>
      <c r="U663" s="7">
        <f>sala!I663</f>
        <v>1164</v>
      </c>
      <c r="V663" cm="1">
        <f t="array" ref="V663">SUM(IF(Cocina!A:A=Tabla8[[#This Row],[Numero de Orden]],Cocina!F:F*Cocina!G:G,0))</f>
        <v>133</v>
      </c>
      <c r="W663">
        <f>IF(Tabla8[[#This Row],[Cobrado]]="Cobrada",Tabla8[[#This Row],[Propina]]+Tabla8[[#This Row],[Precio Cena]],0)</f>
        <v>1297</v>
      </c>
      <c r="X663" t="str">
        <f>INDEX(sala!G:G, MATCH(Tabla8[[#This Row],[Numero de Orden]], sala!K:K, 0))</f>
        <v>Almuerzo</v>
      </c>
      <c r="Y663" t="str">
        <f>'Conjunto de Datos'!J664</f>
        <v>Cobrada</v>
      </c>
      <c r="Z663" t="str">
        <f>INDEX(sala!H:H, MATCH(Tabla8[[#This Row],[Numero de Orden]], sala!K:K, 0))</f>
        <v>Tarjeta de crédito</v>
      </c>
      <c r="AA663" s="3">
        <f>'Conjunto de Datos'!D664</f>
        <v>45023</v>
      </c>
      <c r="AB663" t="str">
        <f>INDEX(sala!L:L, MATCH(Tabla8[[#This Row],[Numero de Orden]], sala!K:K, 0))</f>
        <v>Bolivia</v>
      </c>
      <c r="AC663" t="str">
        <f>'Conjunto de Datos'!N664</f>
        <v>Mesero_1</v>
      </c>
      <c r="AD663">
        <f>Tabla8[[#This Row],[Propina]]+Tabla8[[#This Row],[Precio Cena]]</f>
        <v>1297</v>
      </c>
      <c r="AE663" s="45">
        <f t="shared" si="18"/>
        <v>133</v>
      </c>
    </row>
    <row r="664" spans="19:31" x14ac:dyDescent="0.3">
      <c r="S664" s="15" t="str">
        <f>'Conjunto de Datos'!BB665</f>
        <v>962</v>
      </c>
      <c r="T664" s="15">
        <f>'Conjunto de Datos'!BF665</f>
        <v>663</v>
      </c>
      <c r="U664" s="6">
        <f>sala!I664</f>
        <v>418</v>
      </c>
      <c r="V664" cm="1">
        <f t="array" ref="V664">SUM(IF(Cocina!A:A=Tabla8[[#This Row],[Numero de Orden]],Cocina!F:F*Cocina!G:G,0))</f>
        <v>114</v>
      </c>
      <c r="W664">
        <f>IF(Tabla8[[#This Row],[Cobrado]]="Cobrada",Tabla8[[#This Row],[Propina]]+Tabla8[[#This Row],[Precio Cena]],0)</f>
        <v>532</v>
      </c>
      <c r="X664" t="str">
        <f>INDEX(sala!G:G, MATCH(Tabla8[[#This Row],[Numero de Orden]], sala!K:K, 0))</f>
        <v>Almuerzo</v>
      </c>
      <c r="Y664" t="str">
        <f>'Conjunto de Datos'!J665</f>
        <v>Cobrada</v>
      </c>
      <c r="Z664" t="str">
        <f>INDEX(sala!H:H, MATCH(Tabla8[[#This Row],[Numero de Orden]], sala!K:K, 0))</f>
        <v>Efectivo</v>
      </c>
      <c r="AA664" s="3">
        <f>'Conjunto de Datos'!D665</f>
        <v>45023</v>
      </c>
      <c r="AB664" t="str">
        <f>INDEX(sala!L:L, MATCH(Tabla8[[#This Row],[Numero de Orden]], sala!K:K, 0))</f>
        <v>España</v>
      </c>
      <c r="AC664" t="str">
        <f>'Conjunto de Datos'!N665</f>
        <v>Mesero_1</v>
      </c>
      <c r="AD664">
        <f>Tabla8[[#This Row],[Propina]]+Tabla8[[#This Row],[Precio Cena]]</f>
        <v>532</v>
      </c>
      <c r="AE664" s="45">
        <f t="shared" si="18"/>
        <v>114</v>
      </c>
    </row>
    <row r="665" spans="19:31" x14ac:dyDescent="0.3">
      <c r="S665" t="str">
        <f>'Conjunto de Datos'!BB666</f>
        <v>883</v>
      </c>
      <c r="T665">
        <f>'Conjunto de Datos'!BF666</f>
        <v>664</v>
      </c>
      <c r="U665" s="7">
        <f>sala!I665</f>
        <v>3127</v>
      </c>
      <c r="V665" cm="1">
        <f t="array" ref="V665">SUM(IF(Cocina!A:A=Tabla8[[#This Row],[Numero de Orden]],Cocina!F:F*Cocina!G:G,0))</f>
        <v>122</v>
      </c>
      <c r="W665">
        <f>IF(Tabla8[[#This Row],[Cobrado]]="Cobrada",Tabla8[[#This Row],[Propina]]+Tabla8[[#This Row],[Precio Cena]],0)</f>
        <v>3249</v>
      </c>
      <c r="X665" t="str">
        <f>INDEX(sala!G:G, MATCH(Tabla8[[#This Row],[Numero de Orden]], sala!K:K, 0))</f>
        <v>Desayuno</v>
      </c>
      <c r="Y665" t="str">
        <f>'Conjunto de Datos'!J666</f>
        <v>Cobrada</v>
      </c>
      <c r="Z665" t="str">
        <f>INDEX(sala!H:H, MATCH(Tabla8[[#This Row],[Numero de Orden]], sala!K:K, 0))</f>
        <v>Tarjeta de débito</v>
      </c>
      <c r="AA665" s="3">
        <f>'Conjunto de Datos'!D666</f>
        <v>45023</v>
      </c>
      <c r="AB665" t="str">
        <f>INDEX(sala!L:L, MATCH(Tabla8[[#This Row],[Numero de Orden]], sala!K:K, 0))</f>
        <v>Colombia</v>
      </c>
      <c r="AC665" t="str">
        <f>'Conjunto de Datos'!N666</f>
        <v>Mesero_4</v>
      </c>
      <c r="AD665">
        <f>Tabla8[[#This Row],[Propina]]+Tabla8[[#This Row],[Precio Cena]]</f>
        <v>3249</v>
      </c>
      <c r="AE665" s="45">
        <f t="shared" si="18"/>
        <v>122</v>
      </c>
    </row>
    <row r="666" spans="19:31" x14ac:dyDescent="0.3">
      <c r="S666" s="15" t="str">
        <f>'Conjunto de Datos'!BB667</f>
        <v>425</v>
      </c>
      <c r="T666" s="15">
        <f>'Conjunto de Datos'!BF667</f>
        <v>665</v>
      </c>
      <c r="U666" s="6">
        <f>sala!I666</f>
        <v>2532</v>
      </c>
      <c r="V666" cm="1">
        <f t="array" ref="V666">SUM(IF(Cocina!A:A=Tabla8[[#This Row],[Numero de Orden]],Cocina!F:F*Cocina!G:G,0))</f>
        <v>129</v>
      </c>
      <c r="W666">
        <f>IF(Tabla8[[#This Row],[Cobrado]]="Cobrada",Tabla8[[#This Row],[Propina]]+Tabla8[[#This Row],[Precio Cena]],0)</f>
        <v>2661</v>
      </c>
      <c r="X666" t="str">
        <f>INDEX(sala!G:G, MATCH(Tabla8[[#This Row],[Numero de Orden]], sala!K:K, 0))</f>
        <v>Almuerzo</v>
      </c>
      <c r="Y666" t="str">
        <f>'Conjunto de Datos'!J667</f>
        <v>Cobrada</v>
      </c>
      <c r="Z666" t="str">
        <f>INDEX(sala!H:H, MATCH(Tabla8[[#This Row],[Numero de Orden]], sala!K:K, 0))</f>
        <v>Tarjeta de crédito</v>
      </c>
      <c r="AA666" s="3">
        <f>'Conjunto de Datos'!D667</f>
        <v>45023</v>
      </c>
      <c r="AB666" t="str">
        <f>INDEX(sala!L:L, MATCH(Tabla8[[#This Row],[Numero de Orden]], sala!K:K, 0))</f>
        <v>Bolivia</v>
      </c>
      <c r="AC666" t="str">
        <f>'Conjunto de Datos'!N667</f>
        <v>Mesero_5</v>
      </c>
      <c r="AD666">
        <f>Tabla8[[#This Row],[Propina]]+Tabla8[[#This Row],[Precio Cena]]</f>
        <v>2661</v>
      </c>
      <c r="AE666" s="45">
        <f t="shared" si="18"/>
        <v>129</v>
      </c>
    </row>
    <row r="667" spans="19:31" x14ac:dyDescent="0.3">
      <c r="S667" t="str">
        <f>'Conjunto de Datos'!BB668</f>
        <v>593</v>
      </c>
      <c r="T667">
        <f>'Conjunto de Datos'!BF668</f>
        <v>666</v>
      </c>
      <c r="U667" s="7">
        <f>sala!I667</f>
        <v>1186</v>
      </c>
      <c r="V667" cm="1">
        <f t="array" ref="V667">SUM(IF(Cocina!A:A=Tabla8[[#This Row],[Numero de Orden]],Cocina!F:F*Cocina!G:G,0))</f>
        <v>40</v>
      </c>
      <c r="W667">
        <f>IF(Tabla8[[#This Row],[Cobrado]]="Cobrada",Tabla8[[#This Row],[Propina]]+Tabla8[[#This Row],[Precio Cena]],0)</f>
        <v>1226</v>
      </c>
      <c r="X667" t="str">
        <f>INDEX(sala!G:G, MATCH(Tabla8[[#This Row],[Numero de Orden]], sala!K:K, 0))</f>
        <v>Almuerzo</v>
      </c>
      <c r="Y667" t="str">
        <f>'Conjunto de Datos'!J668</f>
        <v>Cobrada</v>
      </c>
      <c r="Z667" t="str">
        <f>INDEX(sala!H:H, MATCH(Tabla8[[#This Row],[Numero de Orden]], sala!K:K, 0))</f>
        <v>Tarjeta de crédito</v>
      </c>
      <c r="AA667" s="3">
        <f>'Conjunto de Datos'!D668</f>
        <v>45023</v>
      </c>
      <c r="AB667" t="str">
        <f>INDEX(sala!L:L, MATCH(Tabla8[[#This Row],[Numero de Orden]], sala!K:K, 0))</f>
        <v>Paraguay</v>
      </c>
      <c r="AC667" t="str">
        <f>'Conjunto de Datos'!N668</f>
        <v>Mesero_2</v>
      </c>
      <c r="AD667">
        <f>Tabla8[[#This Row],[Propina]]+Tabla8[[#This Row],[Precio Cena]]</f>
        <v>1226</v>
      </c>
      <c r="AE667" s="45">
        <f t="shared" si="18"/>
        <v>40</v>
      </c>
    </row>
    <row r="668" spans="19:31" x14ac:dyDescent="0.3">
      <c r="S668" s="15" t="str">
        <f>'Conjunto de Datos'!BB669</f>
        <v>368</v>
      </c>
      <c r="T668" s="15">
        <f>'Conjunto de Datos'!BF669</f>
        <v>667</v>
      </c>
      <c r="U668" s="6">
        <f>sala!I668</f>
        <v>2049</v>
      </c>
      <c r="V668" cm="1">
        <f t="array" ref="V668">SUM(IF(Cocina!A:A=Tabla8[[#This Row],[Numero de Orden]],Cocina!F:F*Cocina!G:G,0))</f>
        <v>36</v>
      </c>
      <c r="W668">
        <f>IF(Tabla8[[#This Row],[Cobrado]]="Cobrada",Tabla8[[#This Row],[Propina]]+Tabla8[[#This Row],[Precio Cena]],0)</f>
        <v>2085</v>
      </c>
      <c r="X668" t="str">
        <f>INDEX(sala!G:G, MATCH(Tabla8[[#This Row],[Numero de Orden]], sala!K:K, 0))</f>
        <v>Almuerzo</v>
      </c>
      <c r="Y668" t="str">
        <f>'Conjunto de Datos'!J669</f>
        <v>Cobrada</v>
      </c>
      <c r="Z668" t="str">
        <f>INDEX(sala!H:H, MATCH(Tabla8[[#This Row],[Numero de Orden]], sala!K:K, 0))</f>
        <v>Tarjeta de crédito</v>
      </c>
      <c r="AA668" s="3">
        <f>'Conjunto de Datos'!D669</f>
        <v>45023</v>
      </c>
      <c r="AB668" t="str">
        <f>INDEX(sala!L:L, MATCH(Tabla8[[#This Row],[Numero de Orden]], sala!K:K, 0))</f>
        <v>Perú</v>
      </c>
      <c r="AC668" t="str">
        <f>'Conjunto de Datos'!N669</f>
        <v>Mesero_3</v>
      </c>
      <c r="AD668">
        <f>Tabla8[[#This Row],[Propina]]+Tabla8[[#This Row],[Precio Cena]]</f>
        <v>2085</v>
      </c>
      <c r="AE668" s="45">
        <f t="shared" si="18"/>
        <v>36</v>
      </c>
    </row>
    <row r="669" spans="19:31" x14ac:dyDescent="0.3">
      <c r="S669" t="str">
        <f>'Conjunto de Datos'!BB670</f>
        <v>418</v>
      </c>
      <c r="T669">
        <f>'Conjunto de Datos'!BF670</f>
        <v>668</v>
      </c>
      <c r="U669" s="7">
        <f>sala!I669</f>
        <v>1861</v>
      </c>
      <c r="V669" cm="1">
        <f t="array" ref="V669">SUM(IF(Cocina!A:A=Tabla8[[#This Row],[Numero de Orden]],Cocina!F:F*Cocina!G:G,0))</f>
        <v>201</v>
      </c>
      <c r="W669">
        <f>IF(Tabla8[[#This Row],[Cobrado]]="Cobrada",Tabla8[[#This Row],[Propina]]+Tabla8[[#This Row],[Precio Cena]],0)</f>
        <v>2062</v>
      </c>
      <c r="X669" t="str">
        <f>INDEX(sala!G:G, MATCH(Tabla8[[#This Row],[Numero de Orden]], sala!K:K, 0))</f>
        <v>Desayuno</v>
      </c>
      <c r="Y669" t="str">
        <f>'Conjunto de Datos'!J670</f>
        <v>Cobrada</v>
      </c>
      <c r="Z669" t="str">
        <f>INDEX(sala!H:H, MATCH(Tabla8[[#This Row],[Numero de Orden]], sala!K:K, 0))</f>
        <v>Tarjeta de crédito</v>
      </c>
      <c r="AA669" s="3">
        <f>'Conjunto de Datos'!D670</f>
        <v>45023</v>
      </c>
      <c r="AB669" t="str">
        <f>INDEX(sala!L:L, MATCH(Tabla8[[#This Row],[Numero de Orden]], sala!K:K, 0))</f>
        <v>Bolivia</v>
      </c>
      <c r="AC669" t="str">
        <f>'Conjunto de Datos'!N670</f>
        <v>Mesero_1</v>
      </c>
      <c r="AD669">
        <f>Tabla8[[#This Row],[Propina]]+Tabla8[[#This Row],[Precio Cena]]</f>
        <v>2062</v>
      </c>
      <c r="AE669" s="45">
        <f t="shared" si="18"/>
        <v>201</v>
      </c>
    </row>
    <row r="670" spans="19:31" x14ac:dyDescent="0.3">
      <c r="S670" s="15" t="str">
        <f>'Conjunto de Datos'!BB671</f>
        <v>693</v>
      </c>
      <c r="T670" s="15">
        <f>'Conjunto de Datos'!BF671</f>
        <v>669</v>
      </c>
      <c r="U670" s="6">
        <f>sala!I670</f>
        <v>1068</v>
      </c>
      <c r="V670" cm="1">
        <f t="array" ref="V670">SUM(IF(Cocina!A:A=Tabla8[[#This Row],[Numero de Orden]],Cocina!F:F*Cocina!G:G,0))</f>
        <v>181</v>
      </c>
      <c r="W670">
        <f>IF(Tabla8[[#This Row],[Cobrado]]="Cobrada",Tabla8[[#This Row],[Propina]]+Tabla8[[#This Row],[Precio Cena]],0)</f>
        <v>1249</v>
      </c>
      <c r="X670" t="str">
        <f>INDEX(sala!G:G, MATCH(Tabla8[[#This Row],[Numero de Orden]], sala!K:K, 0))</f>
        <v>Almuerzo</v>
      </c>
      <c r="Y670" t="str">
        <f>'Conjunto de Datos'!J671</f>
        <v>Cobrada</v>
      </c>
      <c r="Z670" t="str">
        <f>INDEX(sala!H:H, MATCH(Tabla8[[#This Row],[Numero de Orden]], sala!K:K, 0))</f>
        <v>Tarjeta de crédito</v>
      </c>
      <c r="AA670" s="3">
        <f>'Conjunto de Datos'!D671</f>
        <v>45023</v>
      </c>
      <c r="AB670" t="str">
        <f>INDEX(sala!L:L, MATCH(Tabla8[[#This Row],[Numero de Orden]], sala!K:K, 0))</f>
        <v>Venezuela</v>
      </c>
      <c r="AC670" t="str">
        <f>'Conjunto de Datos'!N671</f>
        <v>Mesero_3</v>
      </c>
      <c r="AD670">
        <f>Tabla8[[#This Row],[Propina]]+Tabla8[[#This Row],[Precio Cena]]</f>
        <v>1249</v>
      </c>
      <c r="AE670" s="45">
        <f t="shared" si="18"/>
        <v>181</v>
      </c>
    </row>
    <row r="671" spans="19:31" x14ac:dyDescent="0.3">
      <c r="S671" t="str">
        <f>'Conjunto de Datos'!BB672</f>
        <v>226</v>
      </c>
      <c r="T671">
        <f>'Conjunto de Datos'!BF672</f>
        <v>670</v>
      </c>
      <c r="U671" s="7">
        <f>sala!I671</f>
        <v>3793</v>
      </c>
      <c r="V671" cm="1">
        <f t="array" ref="V671">SUM(IF(Cocina!A:A=Tabla8[[#This Row],[Numero de Orden]],Cocina!F:F*Cocina!G:G,0))</f>
        <v>94</v>
      </c>
      <c r="W671">
        <f>IF(Tabla8[[#This Row],[Cobrado]]="Cobrada",Tabla8[[#This Row],[Propina]]+Tabla8[[#This Row],[Precio Cena]],0)</f>
        <v>3887</v>
      </c>
      <c r="X671" t="str">
        <f>INDEX(sala!G:G, MATCH(Tabla8[[#This Row],[Numero de Orden]], sala!K:K, 0))</f>
        <v>Almuerzo</v>
      </c>
      <c r="Y671" t="str">
        <f>'Conjunto de Datos'!J672</f>
        <v>Cobrada</v>
      </c>
      <c r="Z671" t="str">
        <f>INDEX(sala!H:H, MATCH(Tabla8[[#This Row],[Numero de Orden]], sala!K:K, 0))</f>
        <v>Efectivo</v>
      </c>
      <c r="AA671" s="3">
        <f>'Conjunto de Datos'!D672</f>
        <v>45023</v>
      </c>
      <c r="AB671" t="str">
        <f>INDEX(sala!L:L, MATCH(Tabla8[[#This Row],[Numero de Orden]], sala!K:K, 0))</f>
        <v>Bolivia</v>
      </c>
      <c r="AC671" t="str">
        <f>'Conjunto de Datos'!N672</f>
        <v>Mesero_2</v>
      </c>
      <c r="AD671">
        <f>Tabla8[[#This Row],[Propina]]+Tabla8[[#This Row],[Precio Cena]]</f>
        <v>3887</v>
      </c>
      <c r="AE671" s="45">
        <f t="shared" si="18"/>
        <v>94</v>
      </c>
    </row>
    <row r="672" spans="19:31" x14ac:dyDescent="0.3">
      <c r="S672" s="15" t="str">
        <f>'Conjunto de Datos'!BB673</f>
        <v>759</v>
      </c>
      <c r="T672" s="15">
        <f>'Conjunto de Datos'!BF673</f>
        <v>671</v>
      </c>
      <c r="U672" s="6">
        <f>sala!I672</f>
        <v>322</v>
      </c>
      <c r="V672" cm="1">
        <f t="array" ref="V672">SUM(IF(Cocina!A:A=Tabla8[[#This Row],[Numero de Orden]],Cocina!F:F*Cocina!G:G,0))</f>
        <v>184</v>
      </c>
      <c r="W672">
        <f>IF(Tabla8[[#This Row],[Cobrado]]="Cobrada",Tabla8[[#This Row],[Propina]]+Tabla8[[#This Row],[Precio Cena]],0)</f>
        <v>0</v>
      </c>
      <c r="X672" t="str">
        <f>INDEX(sala!G:G, MATCH(Tabla8[[#This Row],[Numero de Orden]], sala!K:K, 0))</f>
        <v>Almuerzo</v>
      </c>
      <c r="Y672" t="str">
        <f>'Conjunto de Datos'!J673</f>
        <v>No Cobrada</v>
      </c>
      <c r="Z672" t="str">
        <f>INDEX(sala!H:H, MATCH(Tabla8[[#This Row],[Numero de Orden]], sala!K:K, 0))</f>
        <v>Efectivo</v>
      </c>
      <c r="AA672" s="3">
        <f>'Conjunto de Datos'!D673</f>
        <v>45023</v>
      </c>
      <c r="AB672" t="str">
        <f>INDEX(sala!L:L, MATCH(Tabla8[[#This Row],[Numero de Orden]], sala!K:K, 0))</f>
        <v>Bolivia</v>
      </c>
      <c r="AC672" t="str">
        <f>'Conjunto de Datos'!N673</f>
        <v>Mesero_3</v>
      </c>
      <c r="AD672">
        <f>Tabla8[[#This Row],[Propina]]+Tabla8[[#This Row],[Precio Cena]]</f>
        <v>506</v>
      </c>
      <c r="AE672" s="45">
        <f t="shared" si="18"/>
        <v>0</v>
      </c>
    </row>
    <row r="673" spans="19:31" x14ac:dyDescent="0.3">
      <c r="S673" t="str">
        <f>'Conjunto de Datos'!BB674</f>
        <v>517</v>
      </c>
      <c r="T673">
        <f>'Conjunto de Datos'!BF674</f>
        <v>672</v>
      </c>
      <c r="U673" s="7">
        <f>sala!I673</f>
        <v>2919</v>
      </c>
      <c r="V673" cm="1">
        <f t="array" ref="V673">SUM(IF(Cocina!A:A=Tabla8[[#This Row],[Numero de Orden]],Cocina!F:F*Cocina!G:G,0))</f>
        <v>157</v>
      </c>
      <c r="W673">
        <f>IF(Tabla8[[#This Row],[Cobrado]]="Cobrada",Tabla8[[#This Row],[Propina]]+Tabla8[[#This Row],[Precio Cena]],0)</f>
        <v>3076</v>
      </c>
      <c r="X673" t="str">
        <f>INDEX(sala!G:G, MATCH(Tabla8[[#This Row],[Numero de Orden]], sala!K:K, 0))</f>
        <v>Cena</v>
      </c>
      <c r="Y673" t="str">
        <f>'Conjunto de Datos'!J674</f>
        <v>Cobrada</v>
      </c>
      <c r="Z673" t="str">
        <f>INDEX(sala!H:H, MATCH(Tabla8[[#This Row],[Numero de Orden]], sala!K:K, 0))</f>
        <v>Tarjeta de crédito</v>
      </c>
      <c r="AA673" s="3">
        <f>'Conjunto de Datos'!D674</f>
        <v>45023</v>
      </c>
      <c r="AB673" t="str">
        <f>INDEX(sala!L:L, MATCH(Tabla8[[#This Row],[Numero de Orden]], sala!K:K, 0))</f>
        <v>Chile</v>
      </c>
      <c r="AC673" t="str">
        <f>'Conjunto de Datos'!N674</f>
        <v>Mesero_4</v>
      </c>
      <c r="AD673">
        <f>Tabla8[[#This Row],[Propina]]+Tabla8[[#This Row],[Precio Cena]]</f>
        <v>3076</v>
      </c>
      <c r="AE673" s="45">
        <f t="shared" si="18"/>
        <v>157</v>
      </c>
    </row>
    <row r="674" spans="19:31" x14ac:dyDescent="0.3">
      <c r="S674" s="15" t="str">
        <f>'Conjunto de Datos'!BB675</f>
        <v>485</v>
      </c>
      <c r="T674" s="15">
        <f>'Conjunto de Datos'!BF675</f>
        <v>673</v>
      </c>
      <c r="U674" s="6">
        <f>sala!I674</f>
        <v>365</v>
      </c>
      <c r="V674" cm="1">
        <f t="array" ref="V674">SUM(IF(Cocina!A:A=Tabla8[[#This Row],[Numero de Orden]],Cocina!F:F*Cocina!G:G,0))</f>
        <v>265</v>
      </c>
      <c r="W674">
        <f>IF(Tabla8[[#This Row],[Cobrado]]="Cobrada",Tabla8[[#This Row],[Propina]]+Tabla8[[#This Row],[Precio Cena]],0)</f>
        <v>630</v>
      </c>
      <c r="X674" t="str">
        <f>INDEX(sala!G:G, MATCH(Tabla8[[#This Row],[Numero de Orden]], sala!K:K, 0))</f>
        <v>Almuerzo</v>
      </c>
      <c r="Y674" t="str">
        <f>'Conjunto de Datos'!J675</f>
        <v>Cobrada</v>
      </c>
      <c r="Z674" t="str">
        <f>INDEX(sala!H:H, MATCH(Tabla8[[#This Row],[Numero de Orden]], sala!K:K, 0))</f>
        <v>Tarjeta de crédito</v>
      </c>
      <c r="AA674" s="3">
        <f>'Conjunto de Datos'!D675</f>
        <v>45023</v>
      </c>
      <c r="AB674" t="str">
        <f>INDEX(sala!L:L, MATCH(Tabla8[[#This Row],[Numero de Orden]], sala!K:K, 0))</f>
        <v>Venezuela</v>
      </c>
      <c r="AC674" t="str">
        <f>'Conjunto de Datos'!N675</f>
        <v>Mesero_5</v>
      </c>
      <c r="AD674">
        <f>Tabla8[[#This Row],[Propina]]+Tabla8[[#This Row],[Precio Cena]]</f>
        <v>630</v>
      </c>
      <c r="AE674" s="45">
        <f t="shared" si="18"/>
        <v>265</v>
      </c>
    </row>
    <row r="675" spans="19:31" x14ac:dyDescent="0.3">
      <c r="S675" t="str">
        <f>'Conjunto de Datos'!BB676</f>
        <v>834</v>
      </c>
      <c r="T675">
        <f>'Conjunto de Datos'!BF676</f>
        <v>674</v>
      </c>
      <c r="U675" s="7">
        <f>sala!I675</f>
        <v>4129</v>
      </c>
      <c r="V675" cm="1">
        <f t="array" ref="V675">SUM(IF(Cocina!A:A=Tabla8[[#This Row],[Numero de Orden]],Cocina!F:F*Cocina!G:G,0))</f>
        <v>207</v>
      </c>
      <c r="W675">
        <f>IF(Tabla8[[#This Row],[Cobrado]]="Cobrada",Tabla8[[#This Row],[Propina]]+Tabla8[[#This Row],[Precio Cena]],0)</f>
        <v>4336</v>
      </c>
      <c r="X675" t="str">
        <f>INDEX(sala!G:G, MATCH(Tabla8[[#This Row],[Numero de Orden]], sala!K:K, 0))</f>
        <v>Cena</v>
      </c>
      <c r="Y675" t="str">
        <f>'Conjunto de Datos'!J676</f>
        <v>Cobrada</v>
      </c>
      <c r="Z675" t="str">
        <f>INDEX(sala!H:H, MATCH(Tabla8[[#This Row],[Numero de Orden]], sala!K:K, 0))</f>
        <v>Tarjeta de crédito</v>
      </c>
      <c r="AA675" s="3">
        <f>'Conjunto de Datos'!D676</f>
        <v>45023</v>
      </c>
      <c r="AB675" t="str">
        <f>INDEX(sala!L:L, MATCH(Tabla8[[#This Row],[Numero de Orden]], sala!K:K, 0))</f>
        <v>Paraguay</v>
      </c>
      <c r="AC675" t="str">
        <f>'Conjunto de Datos'!N676</f>
        <v>Mesero_5</v>
      </c>
      <c r="AD675">
        <f>Tabla8[[#This Row],[Propina]]+Tabla8[[#This Row],[Precio Cena]]</f>
        <v>4336</v>
      </c>
      <c r="AE675" s="45">
        <f t="shared" si="18"/>
        <v>207</v>
      </c>
    </row>
    <row r="676" spans="19:31" x14ac:dyDescent="0.3">
      <c r="S676" s="15" t="str">
        <f>'Conjunto de Datos'!BB677</f>
        <v>104</v>
      </c>
      <c r="T676" s="15">
        <f>'Conjunto de Datos'!BF677</f>
        <v>675</v>
      </c>
      <c r="U676" s="6">
        <f>sala!I676</f>
        <v>3074</v>
      </c>
      <c r="V676" cm="1">
        <f t="array" ref="V676">SUM(IF(Cocina!A:A=Tabla8[[#This Row],[Numero de Orden]],Cocina!F:F*Cocina!G:G,0))</f>
        <v>193</v>
      </c>
      <c r="W676">
        <f>IF(Tabla8[[#This Row],[Cobrado]]="Cobrada",Tabla8[[#This Row],[Propina]]+Tabla8[[#This Row],[Precio Cena]],0)</f>
        <v>3267</v>
      </c>
      <c r="X676" t="str">
        <f>INDEX(sala!G:G, MATCH(Tabla8[[#This Row],[Numero de Orden]], sala!K:K, 0))</f>
        <v>Cena</v>
      </c>
      <c r="Y676" t="str">
        <f>'Conjunto de Datos'!J677</f>
        <v>Cobrada</v>
      </c>
      <c r="Z676" t="str">
        <f>INDEX(sala!H:H, MATCH(Tabla8[[#This Row],[Numero de Orden]], sala!K:K, 0))</f>
        <v>Efectivo</v>
      </c>
      <c r="AA676" s="3">
        <f>'Conjunto de Datos'!D677</f>
        <v>45023</v>
      </c>
      <c r="AB676" t="str">
        <f>INDEX(sala!L:L, MATCH(Tabla8[[#This Row],[Numero de Orden]], sala!K:K, 0))</f>
        <v>Ecuador</v>
      </c>
      <c r="AC676" t="str">
        <f>'Conjunto de Datos'!N677</f>
        <v>Mesero_2</v>
      </c>
      <c r="AD676">
        <f>Tabla8[[#This Row],[Propina]]+Tabla8[[#This Row],[Precio Cena]]</f>
        <v>3267</v>
      </c>
      <c r="AE676" s="45">
        <f t="shared" si="18"/>
        <v>193</v>
      </c>
    </row>
    <row r="677" spans="19:31" x14ac:dyDescent="0.3">
      <c r="S677" t="str">
        <f>'Conjunto de Datos'!BB678</f>
        <v>494</v>
      </c>
      <c r="T677">
        <f>'Conjunto de Datos'!BF678</f>
        <v>676</v>
      </c>
      <c r="U677" s="7">
        <f>sala!I677</f>
        <v>416</v>
      </c>
      <c r="V677" cm="1">
        <f t="array" ref="V677">SUM(IF(Cocina!A:A=Tabla8[[#This Row],[Numero de Orden]],Cocina!F:F*Cocina!G:G,0))</f>
        <v>124</v>
      </c>
      <c r="W677">
        <f>IF(Tabla8[[#This Row],[Cobrado]]="Cobrada",Tabla8[[#This Row],[Propina]]+Tabla8[[#This Row],[Precio Cena]],0)</f>
        <v>540</v>
      </c>
      <c r="X677" t="str">
        <f>INDEX(sala!G:G, MATCH(Tabla8[[#This Row],[Numero de Orden]], sala!K:K, 0))</f>
        <v>Almuerzo</v>
      </c>
      <c r="Y677" t="str">
        <f>'Conjunto de Datos'!J678</f>
        <v>Cobrada</v>
      </c>
      <c r="Z677" t="str">
        <f>INDEX(sala!H:H, MATCH(Tabla8[[#This Row],[Numero de Orden]], sala!K:K, 0))</f>
        <v>Tarjeta de crédito</v>
      </c>
      <c r="AA677" s="3">
        <f>'Conjunto de Datos'!D678</f>
        <v>45023</v>
      </c>
      <c r="AB677" t="str">
        <f>INDEX(sala!L:L, MATCH(Tabla8[[#This Row],[Numero de Orden]], sala!K:K, 0))</f>
        <v>Ecuador</v>
      </c>
      <c r="AC677" t="str">
        <f>'Conjunto de Datos'!N678</f>
        <v>Mesero_3</v>
      </c>
      <c r="AD677">
        <f>Tabla8[[#This Row],[Propina]]+Tabla8[[#This Row],[Precio Cena]]</f>
        <v>540</v>
      </c>
      <c r="AE677" s="45">
        <f t="shared" si="18"/>
        <v>124</v>
      </c>
    </row>
    <row r="678" spans="19:31" x14ac:dyDescent="0.3">
      <c r="S678" s="15" t="str">
        <f>'Conjunto de Datos'!BB679</f>
        <v>331</v>
      </c>
      <c r="T678" s="15">
        <f>'Conjunto de Datos'!BF679</f>
        <v>677</v>
      </c>
      <c r="U678" s="6">
        <f>sala!I678</f>
        <v>1257</v>
      </c>
      <c r="V678" cm="1">
        <f t="array" ref="V678">SUM(IF(Cocina!A:A=Tabla8[[#This Row],[Numero de Orden]],Cocina!F:F*Cocina!G:G,0))</f>
        <v>144</v>
      </c>
      <c r="W678">
        <f>IF(Tabla8[[#This Row],[Cobrado]]="Cobrada",Tabla8[[#This Row],[Propina]]+Tabla8[[#This Row],[Precio Cena]],0)</f>
        <v>0</v>
      </c>
      <c r="X678" t="str">
        <f>INDEX(sala!G:G, MATCH(Tabla8[[#This Row],[Numero de Orden]], sala!K:K, 0))</f>
        <v>Almuerzo</v>
      </c>
      <c r="Y678" t="str">
        <f>'Conjunto de Datos'!J679</f>
        <v>No Cobrada</v>
      </c>
      <c r="Z678" t="str">
        <f>INDEX(sala!H:H, MATCH(Tabla8[[#This Row],[Numero de Orden]], sala!K:K, 0))</f>
        <v>Tarjeta de crédito</v>
      </c>
      <c r="AA678" s="3">
        <f>'Conjunto de Datos'!D679</f>
        <v>45023</v>
      </c>
      <c r="AB678" t="str">
        <f>INDEX(sala!L:L, MATCH(Tabla8[[#This Row],[Numero de Orden]], sala!K:K, 0))</f>
        <v>Bolivia</v>
      </c>
      <c r="AC678" t="str">
        <f>'Conjunto de Datos'!N679</f>
        <v>Mesero_2</v>
      </c>
      <c r="AD678">
        <f>Tabla8[[#This Row],[Propina]]+Tabla8[[#This Row],[Precio Cena]]</f>
        <v>1401</v>
      </c>
      <c r="AE678" s="45">
        <f t="shared" si="18"/>
        <v>0</v>
      </c>
    </row>
    <row r="679" spans="19:31" x14ac:dyDescent="0.3">
      <c r="S679" t="str">
        <f>'Conjunto de Datos'!BB680</f>
        <v>483</v>
      </c>
      <c r="T679">
        <f>'Conjunto de Datos'!BF680</f>
        <v>678</v>
      </c>
      <c r="U679" s="7">
        <f>sala!I679</f>
        <v>2676</v>
      </c>
      <c r="V679" cm="1">
        <f t="array" ref="V679">SUM(IF(Cocina!A:A=Tabla8[[#This Row],[Numero de Orden]],Cocina!F:F*Cocina!G:G,0))</f>
        <v>204</v>
      </c>
      <c r="W679">
        <f>IF(Tabla8[[#This Row],[Cobrado]]="Cobrada",Tabla8[[#This Row],[Propina]]+Tabla8[[#This Row],[Precio Cena]],0)</f>
        <v>2880</v>
      </c>
      <c r="X679" t="str">
        <f>INDEX(sala!G:G, MATCH(Tabla8[[#This Row],[Numero de Orden]], sala!K:K, 0))</f>
        <v>Almuerzo</v>
      </c>
      <c r="Y679" t="str">
        <f>'Conjunto de Datos'!J680</f>
        <v>Cobrada</v>
      </c>
      <c r="Z679" t="str">
        <f>INDEX(sala!H:H, MATCH(Tabla8[[#This Row],[Numero de Orden]], sala!K:K, 0))</f>
        <v>Tarjeta de crédito</v>
      </c>
      <c r="AA679" s="3">
        <f>'Conjunto de Datos'!D680</f>
        <v>45023</v>
      </c>
      <c r="AB679" t="str">
        <f>INDEX(sala!L:L, MATCH(Tabla8[[#This Row],[Numero de Orden]], sala!K:K, 0))</f>
        <v>Chile</v>
      </c>
      <c r="AC679" t="str">
        <f>'Conjunto de Datos'!N680</f>
        <v>Mesero_3</v>
      </c>
      <c r="AD679">
        <f>Tabla8[[#This Row],[Propina]]+Tabla8[[#This Row],[Precio Cena]]</f>
        <v>2880</v>
      </c>
      <c r="AE679" s="45">
        <f t="shared" si="18"/>
        <v>204</v>
      </c>
    </row>
    <row r="680" spans="19:31" x14ac:dyDescent="0.3">
      <c r="S680" s="15" t="str">
        <f>'Conjunto de Datos'!BB681</f>
        <v>26</v>
      </c>
      <c r="T680" s="15">
        <f>'Conjunto de Datos'!BF681</f>
        <v>679</v>
      </c>
      <c r="U680" s="6">
        <f>sala!I680</f>
        <v>3643</v>
      </c>
      <c r="V680" cm="1">
        <f t="array" ref="V680">SUM(IF(Cocina!A:A=Tabla8[[#This Row],[Numero de Orden]],Cocina!F:F*Cocina!G:G,0))</f>
        <v>199</v>
      </c>
      <c r="W680">
        <f>IF(Tabla8[[#This Row],[Cobrado]]="Cobrada",Tabla8[[#This Row],[Propina]]+Tabla8[[#This Row],[Precio Cena]],0)</f>
        <v>3842</v>
      </c>
      <c r="X680" t="str">
        <f>INDEX(sala!G:G, MATCH(Tabla8[[#This Row],[Numero de Orden]], sala!K:K, 0))</f>
        <v>Almuerzo</v>
      </c>
      <c r="Y680" t="str">
        <f>'Conjunto de Datos'!J681</f>
        <v>Cobrada</v>
      </c>
      <c r="Z680" t="str">
        <f>INDEX(sala!H:H, MATCH(Tabla8[[#This Row],[Numero de Orden]], sala!K:K, 0))</f>
        <v>Tarjeta de crédito</v>
      </c>
      <c r="AA680" s="3">
        <f>'Conjunto de Datos'!D681</f>
        <v>45023</v>
      </c>
      <c r="AB680" t="str">
        <f>INDEX(sala!L:L, MATCH(Tabla8[[#This Row],[Numero de Orden]], sala!K:K, 0))</f>
        <v>Chile</v>
      </c>
      <c r="AC680" t="str">
        <f>'Conjunto de Datos'!N681</f>
        <v>Mesero_2</v>
      </c>
      <c r="AD680">
        <f>Tabla8[[#This Row],[Propina]]+Tabla8[[#This Row],[Precio Cena]]</f>
        <v>3842</v>
      </c>
      <c r="AE680" s="45">
        <f t="shared" si="18"/>
        <v>199</v>
      </c>
    </row>
    <row r="681" spans="19:31" x14ac:dyDescent="0.3">
      <c r="S681" t="str">
        <f>'Conjunto de Datos'!BB682</f>
        <v>35</v>
      </c>
      <c r="T681">
        <f>'Conjunto de Datos'!BF682</f>
        <v>680</v>
      </c>
      <c r="U681" s="7">
        <f>sala!I681</f>
        <v>1206</v>
      </c>
      <c r="V681" cm="1">
        <f t="array" ref="V681">SUM(IF(Cocina!A:A=Tabla8[[#This Row],[Numero de Orden]],Cocina!F:F*Cocina!G:G,0))</f>
        <v>162</v>
      </c>
      <c r="W681">
        <f>IF(Tabla8[[#This Row],[Cobrado]]="Cobrada",Tabla8[[#This Row],[Propina]]+Tabla8[[#This Row],[Precio Cena]],0)</f>
        <v>1368</v>
      </c>
      <c r="X681" t="str">
        <f>INDEX(sala!G:G, MATCH(Tabla8[[#This Row],[Numero de Orden]], sala!K:K, 0))</f>
        <v>Almuerzo</v>
      </c>
      <c r="Y681" t="str">
        <f>'Conjunto de Datos'!J682</f>
        <v>Cobrada</v>
      </c>
      <c r="Z681" t="str">
        <f>INDEX(sala!H:H, MATCH(Tabla8[[#This Row],[Numero de Orden]], sala!K:K, 0))</f>
        <v>Efectivo</v>
      </c>
      <c r="AA681" s="3">
        <f>'Conjunto de Datos'!D682</f>
        <v>45023</v>
      </c>
      <c r="AB681" t="str">
        <f>INDEX(sala!L:L, MATCH(Tabla8[[#This Row],[Numero de Orden]], sala!K:K, 0))</f>
        <v>Paraguay</v>
      </c>
      <c r="AC681" t="str">
        <f>'Conjunto de Datos'!N682</f>
        <v>Mesero_3</v>
      </c>
      <c r="AD681">
        <f>Tabla8[[#This Row],[Propina]]+Tabla8[[#This Row],[Precio Cena]]</f>
        <v>1368</v>
      </c>
      <c r="AE681" s="45">
        <f t="shared" si="18"/>
        <v>162</v>
      </c>
    </row>
    <row r="682" spans="19:31" x14ac:dyDescent="0.3">
      <c r="S682" s="15" t="str">
        <f>'Conjunto de Datos'!BB683</f>
        <v>840</v>
      </c>
      <c r="T682" s="15">
        <f>'Conjunto de Datos'!BF683</f>
        <v>681</v>
      </c>
      <c r="U682" s="6">
        <f>sala!I682</f>
        <v>3707</v>
      </c>
      <c r="V682" cm="1">
        <f t="array" ref="V682">SUM(IF(Cocina!A:A=Tabla8[[#This Row],[Numero de Orden]],Cocina!F:F*Cocina!G:G,0))</f>
        <v>75</v>
      </c>
      <c r="W682">
        <f>IF(Tabla8[[#This Row],[Cobrado]]="Cobrada",Tabla8[[#This Row],[Propina]]+Tabla8[[#This Row],[Precio Cena]],0)</f>
        <v>3782</v>
      </c>
      <c r="X682" t="str">
        <f>INDEX(sala!G:G, MATCH(Tabla8[[#This Row],[Numero de Orden]], sala!K:K, 0))</f>
        <v>Almuerzo</v>
      </c>
      <c r="Y682" t="str">
        <f>'Conjunto de Datos'!J683</f>
        <v>Cobrada</v>
      </c>
      <c r="Z682" t="str">
        <f>INDEX(sala!H:H, MATCH(Tabla8[[#This Row],[Numero de Orden]], sala!K:K, 0))</f>
        <v>Tarjeta de débito</v>
      </c>
      <c r="AA682" s="3">
        <f>'Conjunto de Datos'!D683</f>
        <v>45023</v>
      </c>
      <c r="AB682" t="str">
        <f>INDEX(sala!L:L, MATCH(Tabla8[[#This Row],[Numero de Orden]], sala!K:K, 0))</f>
        <v>Paraguay</v>
      </c>
      <c r="AC682" t="str">
        <f>'Conjunto de Datos'!N683</f>
        <v>Mesero_4</v>
      </c>
      <c r="AD682">
        <f>Tabla8[[#This Row],[Propina]]+Tabla8[[#This Row],[Precio Cena]]</f>
        <v>3782</v>
      </c>
      <c r="AE682" s="45">
        <f t="shared" si="18"/>
        <v>75</v>
      </c>
    </row>
    <row r="683" spans="19:31" x14ac:dyDescent="0.3">
      <c r="S683" t="str">
        <f>'Conjunto de Datos'!BB684</f>
        <v>36</v>
      </c>
      <c r="T683">
        <f>'Conjunto de Datos'!BF684</f>
        <v>682</v>
      </c>
      <c r="U683" s="7">
        <f>sala!I683</f>
        <v>2104</v>
      </c>
      <c r="V683" cm="1">
        <f t="array" ref="V683">SUM(IF(Cocina!A:A=Tabla8[[#This Row],[Numero de Orden]],Cocina!F:F*Cocina!G:G,0))</f>
        <v>23</v>
      </c>
      <c r="W683">
        <f>IF(Tabla8[[#This Row],[Cobrado]]="Cobrada",Tabla8[[#This Row],[Propina]]+Tabla8[[#This Row],[Precio Cena]],0)</f>
        <v>2127</v>
      </c>
      <c r="X683" t="str">
        <f>INDEX(sala!G:G, MATCH(Tabla8[[#This Row],[Numero de Orden]], sala!K:K, 0))</f>
        <v>Desayuno</v>
      </c>
      <c r="Y683" t="str">
        <f>'Conjunto de Datos'!J684</f>
        <v>Cobrada</v>
      </c>
      <c r="Z683" t="str">
        <f>INDEX(sala!H:H, MATCH(Tabla8[[#This Row],[Numero de Orden]], sala!K:K, 0))</f>
        <v>Tarjeta de crédito</v>
      </c>
      <c r="AA683" s="3">
        <f>'Conjunto de Datos'!D684</f>
        <v>45023</v>
      </c>
      <c r="AB683" t="str">
        <f>INDEX(sala!L:L, MATCH(Tabla8[[#This Row],[Numero de Orden]], sala!K:K, 0))</f>
        <v>Venezuela</v>
      </c>
      <c r="AC683" t="str">
        <f>'Conjunto de Datos'!N684</f>
        <v>Mesero_5</v>
      </c>
      <c r="AD683">
        <f>Tabla8[[#This Row],[Propina]]+Tabla8[[#This Row],[Precio Cena]]</f>
        <v>2127</v>
      </c>
      <c r="AE683" s="45">
        <f t="shared" si="18"/>
        <v>23</v>
      </c>
    </row>
    <row r="684" spans="19:31" x14ac:dyDescent="0.3">
      <c r="S684" s="15" t="str">
        <f>'Conjunto de Datos'!BB685</f>
        <v>837</v>
      </c>
      <c r="T684" s="15">
        <f>'Conjunto de Datos'!BF685</f>
        <v>683</v>
      </c>
      <c r="U684" s="6">
        <f>sala!I684</f>
        <v>4042</v>
      </c>
      <c r="V684" cm="1">
        <f t="array" ref="V684">SUM(IF(Cocina!A:A=Tabla8[[#This Row],[Numero de Orden]],Cocina!F:F*Cocina!G:G,0))</f>
        <v>164</v>
      </c>
      <c r="W684">
        <f>IF(Tabla8[[#This Row],[Cobrado]]="Cobrada",Tabla8[[#This Row],[Propina]]+Tabla8[[#This Row],[Precio Cena]],0)</f>
        <v>4206</v>
      </c>
      <c r="X684" t="str">
        <f>INDEX(sala!G:G, MATCH(Tabla8[[#This Row],[Numero de Orden]], sala!K:K, 0))</f>
        <v>Almuerzo</v>
      </c>
      <c r="Y684" t="str">
        <f>'Conjunto de Datos'!J685</f>
        <v>Cobrada</v>
      </c>
      <c r="Z684" t="str">
        <f>INDEX(sala!H:H, MATCH(Tabla8[[#This Row],[Numero de Orden]], sala!K:K, 0))</f>
        <v>Tarjeta de crédito</v>
      </c>
      <c r="AA684" s="3">
        <f>'Conjunto de Datos'!D685</f>
        <v>45023</v>
      </c>
      <c r="AB684" t="str">
        <f>INDEX(sala!L:L, MATCH(Tabla8[[#This Row],[Numero de Orden]], sala!K:K, 0))</f>
        <v>Colombia</v>
      </c>
      <c r="AC684" t="str">
        <f>'Conjunto de Datos'!N685</f>
        <v>Mesero_5</v>
      </c>
      <c r="AD684">
        <f>Tabla8[[#This Row],[Propina]]+Tabla8[[#This Row],[Precio Cena]]</f>
        <v>4206</v>
      </c>
      <c r="AE684" s="45">
        <f t="shared" si="18"/>
        <v>164</v>
      </c>
    </row>
    <row r="685" spans="19:31" x14ac:dyDescent="0.3">
      <c r="S685" t="str">
        <f>'Conjunto de Datos'!BB686</f>
        <v>514</v>
      </c>
      <c r="T685">
        <f>'Conjunto de Datos'!BF686</f>
        <v>684</v>
      </c>
      <c r="U685" s="7">
        <f>sala!I685</f>
        <v>4815</v>
      </c>
      <c r="V685" cm="1">
        <f t="array" ref="V685">SUM(IF(Cocina!A:A=Tabla8[[#This Row],[Numero de Orden]],Cocina!F:F*Cocina!G:G,0))</f>
        <v>180</v>
      </c>
      <c r="W685">
        <f>IF(Tabla8[[#This Row],[Cobrado]]="Cobrada",Tabla8[[#This Row],[Propina]]+Tabla8[[#This Row],[Precio Cena]],0)</f>
        <v>0</v>
      </c>
      <c r="X685" t="str">
        <f>INDEX(sala!G:G, MATCH(Tabla8[[#This Row],[Numero de Orden]], sala!K:K, 0))</f>
        <v>Cena</v>
      </c>
      <c r="Y685" t="str">
        <f>'Conjunto de Datos'!J686</f>
        <v>No Cobrada</v>
      </c>
      <c r="Z685" t="str">
        <f>INDEX(sala!H:H, MATCH(Tabla8[[#This Row],[Numero de Orden]], sala!K:K, 0))</f>
        <v>Tarjeta de crédito</v>
      </c>
      <c r="AA685" s="3">
        <f>'Conjunto de Datos'!D686</f>
        <v>45023</v>
      </c>
      <c r="AB685" t="str">
        <f>INDEX(sala!L:L, MATCH(Tabla8[[#This Row],[Numero de Orden]], sala!K:K, 0))</f>
        <v>Chile</v>
      </c>
      <c r="AC685" t="str">
        <f>'Conjunto de Datos'!N686</f>
        <v>Mesero_4</v>
      </c>
      <c r="AD685">
        <f>Tabla8[[#This Row],[Propina]]+Tabla8[[#This Row],[Precio Cena]]</f>
        <v>4995</v>
      </c>
      <c r="AE685" s="45">
        <f t="shared" si="18"/>
        <v>0</v>
      </c>
    </row>
    <row r="686" spans="19:31" x14ac:dyDescent="0.3">
      <c r="S686" s="15" t="str">
        <f>'Conjunto de Datos'!BB687</f>
        <v>485</v>
      </c>
      <c r="T686" s="15">
        <f>'Conjunto de Datos'!BF687</f>
        <v>685</v>
      </c>
      <c r="U686" s="6">
        <f>sala!I686</f>
        <v>1989</v>
      </c>
      <c r="V686" cm="1">
        <f t="array" ref="V686">SUM(IF(Cocina!A:A=Tabla8[[#This Row],[Numero de Orden]],Cocina!F:F*Cocina!G:G,0))</f>
        <v>54</v>
      </c>
      <c r="W686">
        <f>IF(Tabla8[[#This Row],[Cobrado]]="Cobrada",Tabla8[[#This Row],[Propina]]+Tabla8[[#This Row],[Precio Cena]],0)</f>
        <v>2043</v>
      </c>
      <c r="X686" t="str">
        <f>INDEX(sala!G:G, MATCH(Tabla8[[#This Row],[Numero de Orden]], sala!K:K, 0))</f>
        <v>Almuerzo</v>
      </c>
      <c r="Y686" t="str">
        <f>'Conjunto de Datos'!J687</f>
        <v>Cobrada</v>
      </c>
      <c r="Z686" t="str">
        <f>INDEX(sala!H:H, MATCH(Tabla8[[#This Row],[Numero de Orden]], sala!K:K, 0))</f>
        <v>Tarjeta de débito</v>
      </c>
      <c r="AA686" s="3">
        <f>'Conjunto de Datos'!D687</f>
        <v>45023</v>
      </c>
      <c r="AB686" t="str">
        <f>INDEX(sala!L:L, MATCH(Tabla8[[#This Row],[Numero de Orden]], sala!K:K, 0))</f>
        <v>España</v>
      </c>
      <c r="AC686" t="str">
        <f>'Conjunto de Datos'!N687</f>
        <v>Mesero_2</v>
      </c>
      <c r="AD686">
        <f>Tabla8[[#This Row],[Propina]]+Tabla8[[#This Row],[Precio Cena]]</f>
        <v>2043</v>
      </c>
      <c r="AE686" s="45">
        <f t="shared" si="18"/>
        <v>54</v>
      </c>
    </row>
    <row r="687" spans="19:31" x14ac:dyDescent="0.3">
      <c r="S687" t="str">
        <f>'Conjunto de Datos'!BB688</f>
        <v>832</v>
      </c>
      <c r="T687">
        <f>'Conjunto de Datos'!BF688</f>
        <v>686</v>
      </c>
      <c r="U687" s="7">
        <f>sala!I687</f>
        <v>1583</v>
      </c>
      <c r="V687" cm="1">
        <f t="array" ref="V687">SUM(IF(Cocina!A:A=Tabla8[[#This Row],[Numero de Orden]],Cocina!F:F*Cocina!G:G,0))</f>
        <v>102</v>
      </c>
      <c r="W687">
        <f>IF(Tabla8[[#This Row],[Cobrado]]="Cobrada",Tabla8[[#This Row],[Propina]]+Tabla8[[#This Row],[Precio Cena]],0)</f>
        <v>1685</v>
      </c>
      <c r="X687" t="str">
        <f>INDEX(sala!G:G, MATCH(Tabla8[[#This Row],[Numero de Orden]], sala!K:K, 0))</f>
        <v>Almuerzo</v>
      </c>
      <c r="Y687" t="str">
        <f>'Conjunto de Datos'!J688</f>
        <v>Cobrada</v>
      </c>
      <c r="Z687" t="str">
        <f>INDEX(sala!H:H, MATCH(Tabla8[[#This Row],[Numero de Orden]], sala!K:K, 0))</f>
        <v>Efectivo</v>
      </c>
      <c r="AA687" s="3">
        <f>'Conjunto de Datos'!D688</f>
        <v>45023</v>
      </c>
      <c r="AB687" t="str">
        <f>INDEX(sala!L:L, MATCH(Tabla8[[#This Row],[Numero de Orden]], sala!K:K, 0))</f>
        <v>Paraguay</v>
      </c>
      <c r="AC687" t="str">
        <f>'Conjunto de Datos'!N688</f>
        <v>Mesero_1</v>
      </c>
      <c r="AD687">
        <f>Tabla8[[#This Row],[Propina]]+Tabla8[[#This Row],[Precio Cena]]</f>
        <v>1685</v>
      </c>
      <c r="AE687" s="45">
        <f t="shared" si="18"/>
        <v>102</v>
      </c>
    </row>
    <row r="688" spans="19:31" x14ac:dyDescent="0.3">
      <c r="S688" s="15" t="str">
        <f>'Conjunto de Datos'!BB689</f>
        <v>778</v>
      </c>
      <c r="T688" s="15">
        <f>'Conjunto de Datos'!BF689</f>
        <v>687</v>
      </c>
      <c r="U688" s="6">
        <f>sala!I688</f>
        <v>1053</v>
      </c>
      <c r="V688" cm="1">
        <f t="array" ref="V688">SUM(IF(Cocina!A:A=Tabla8[[#This Row],[Numero de Orden]],Cocina!F:F*Cocina!G:G,0))</f>
        <v>72</v>
      </c>
      <c r="W688">
        <f>IF(Tabla8[[#This Row],[Cobrado]]="Cobrada",Tabla8[[#This Row],[Propina]]+Tabla8[[#This Row],[Precio Cena]],0)</f>
        <v>1125</v>
      </c>
      <c r="X688" t="str">
        <f>INDEX(sala!G:G, MATCH(Tabla8[[#This Row],[Numero de Orden]], sala!K:K, 0))</f>
        <v>Almuerzo</v>
      </c>
      <c r="Y688" t="str">
        <f>'Conjunto de Datos'!J689</f>
        <v>Cobrada</v>
      </c>
      <c r="Z688" t="str">
        <f>INDEX(sala!H:H, MATCH(Tabla8[[#This Row],[Numero de Orden]], sala!K:K, 0))</f>
        <v>Efectivo</v>
      </c>
      <c r="AA688" s="3">
        <f>'Conjunto de Datos'!D689</f>
        <v>45023</v>
      </c>
      <c r="AB688" t="str">
        <f>INDEX(sala!L:L, MATCH(Tabla8[[#This Row],[Numero de Orden]], sala!K:K, 0))</f>
        <v>España</v>
      </c>
      <c r="AC688" t="str">
        <f>'Conjunto de Datos'!N689</f>
        <v>Mesero_4</v>
      </c>
      <c r="AD688">
        <f>Tabla8[[#This Row],[Propina]]+Tabla8[[#This Row],[Precio Cena]]</f>
        <v>1125</v>
      </c>
      <c r="AE688" s="45">
        <f t="shared" si="18"/>
        <v>72</v>
      </c>
    </row>
    <row r="689" spans="19:31" x14ac:dyDescent="0.3">
      <c r="S689" t="str">
        <f>'Conjunto de Datos'!BB690</f>
        <v>725</v>
      </c>
      <c r="T689">
        <f>'Conjunto de Datos'!BF690</f>
        <v>688</v>
      </c>
      <c r="U689" s="7">
        <f>sala!I689</f>
        <v>487</v>
      </c>
      <c r="V689" cm="1">
        <f t="array" ref="V689">SUM(IF(Cocina!A:A=Tabla8[[#This Row],[Numero de Orden]],Cocina!F:F*Cocina!G:G,0))</f>
        <v>29</v>
      </c>
      <c r="W689">
        <f>IF(Tabla8[[#This Row],[Cobrado]]="Cobrada",Tabla8[[#This Row],[Propina]]+Tabla8[[#This Row],[Precio Cena]],0)</f>
        <v>516</v>
      </c>
      <c r="X689" t="str">
        <f>INDEX(sala!G:G, MATCH(Tabla8[[#This Row],[Numero de Orden]], sala!K:K, 0))</f>
        <v>Almuerzo</v>
      </c>
      <c r="Y689" t="str">
        <f>'Conjunto de Datos'!J690</f>
        <v>Cobrada</v>
      </c>
      <c r="Z689" t="str">
        <f>INDEX(sala!H:H, MATCH(Tabla8[[#This Row],[Numero de Orden]], sala!K:K, 0))</f>
        <v>Tarjeta de crédito</v>
      </c>
      <c r="AA689" s="3">
        <f>'Conjunto de Datos'!D690</f>
        <v>45023</v>
      </c>
      <c r="AB689" t="str">
        <f>INDEX(sala!L:L, MATCH(Tabla8[[#This Row],[Numero de Orden]], sala!K:K, 0))</f>
        <v>Argentina</v>
      </c>
      <c r="AC689" t="str">
        <f>'Conjunto de Datos'!N690</f>
        <v>Mesero_1</v>
      </c>
      <c r="AD689">
        <f>Tabla8[[#This Row],[Propina]]+Tabla8[[#This Row],[Precio Cena]]</f>
        <v>516</v>
      </c>
      <c r="AE689" s="45">
        <f t="shared" si="18"/>
        <v>29</v>
      </c>
    </row>
    <row r="690" spans="19:31" x14ac:dyDescent="0.3">
      <c r="S690" s="15" t="str">
        <f>'Conjunto de Datos'!BB691</f>
        <v>114</v>
      </c>
      <c r="T690" s="15">
        <f>'Conjunto de Datos'!BF691</f>
        <v>689</v>
      </c>
      <c r="U690" s="6">
        <f>sala!I690</f>
        <v>1025</v>
      </c>
      <c r="V690" cm="1">
        <f t="array" ref="V690">SUM(IF(Cocina!A:A=Tabla8[[#This Row],[Numero de Orden]],Cocina!F:F*Cocina!G:G,0))</f>
        <v>165</v>
      </c>
      <c r="W690">
        <f>IF(Tabla8[[#This Row],[Cobrado]]="Cobrada",Tabla8[[#This Row],[Propina]]+Tabla8[[#This Row],[Precio Cena]],0)</f>
        <v>1190</v>
      </c>
      <c r="X690" t="str">
        <f>INDEX(sala!G:G, MATCH(Tabla8[[#This Row],[Numero de Orden]], sala!K:K, 0))</f>
        <v>Almuerzo</v>
      </c>
      <c r="Y690" t="str">
        <f>'Conjunto de Datos'!J691</f>
        <v>Cobrada</v>
      </c>
      <c r="Z690" t="str">
        <f>INDEX(sala!H:H, MATCH(Tabla8[[#This Row],[Numero de Orden]], sala!K:K, 0))</f>
        <v>Tarjeta de crédito</v>
      </c>
      <c r="AA690" s="3">
        <f>'Conjunto de Datos'!D691</f>
        <v>45023</v>
      </c>
      <c r="AB690" t="str">
        <f>INDEX(sala!L:L, MATCH(Tabla8[[#This Row],[Numero de Orden]], sala!K:K, 0))</f>
        <v>Paraguay</v>
      </c>
      <c r="AC690" t="str">
        <f>'Conjunto de Datos'!N691</f>
        <v>Mesero_1</v>
      </c>
      <c r="AD690">
        <f>Tabla8[[#This Row],[Propina]]+Tabla8[[#This Row],[Precio Cena]]</f>
        <v>1190</v>
      </c>
      <c r="AE690" s="45">
        <f t="shared" si="18"/>
        <v>165</v>
      </c>
    </row>
    <row r="691" spans="19:31" x14ac:dyDescent="0.3">
      <c r="S691" t="str">
        <f>'Conjunto de Datos'!BB692</f>
        <v>95</v>
      </c>
      <c r="T691">
        <f>'Conjunto de Datos'!BF692</f>
        <v>690</v>
      </c>
      <c r="U691" s="7">
        <f>sala!I691</f>
        <v>3722</v>
      </c>
      <c r="V691" cm="1">
        <f t="array" ref="V691">SUM(IF(Cocina!A:A=Tabla8[[#This Row],[Numero de Orden]],Cocina!F:F*Cocina!G:G,0))</f>
        <v>191</v>
      </c>
      <c r="W691">
        <f>IF(Tabla8[[#This Row],[Cobrado]]="Cobrada",Tabla8[[#This Row],[Propina]]+Tabla8[[#This Row],[Precio Cena]],0)</f>
        <v>3913</v>
      </c>
      <c r="X691" t="str">
        <f>INDEX(sala!G:G, MATCH(Tabla8[[#This Row],[Numero de Orden]], sala!K:K, 0))</f>
        <v>Cena</v>
      </c>
      <c r="Y691" t="str">
        <f>'Conjunto de Datos'!J692</f>
        <v>Cobrada</v>
      </c>
      <c r="Z691" t="str">
        <f>INDEX(sala!H:H, MATCH(Tabla8[[#This Row],[Numero de Orden]], sala!K:K, 0))</f>
        <v>Tarjeta de débito</v>
      </c>
      <c r="AA691" s="3">
        <f>'Conjunto de Datos'!D692</f>
        <v>45023</v>
      </c>
      <c r="AB691" t="str">
        <f>INDEX(sala!L:L, MATCH(Tabla8[[#This Row],[Numero de Orden]], sala!K:K, 0))</f>
        <v>España</v>
      </c>
      <c r="AC691" t="str">
        <f>'Conjunto de Datos'!N692</f>
        <v>Mesero_5</v>
      </c>
      <c r="AD691">
        <f>Tabla8[[#This Row],[Propina]]+Tabla8[[#This Row],[Precio Cena]]</f>
        <v>3913</v>
      </c>
      <c r="AE691" s="45">
        <f t="shared" si="18"/>
        <v>191</v>
      </c>
    </row>
    <row r="692" spans="19:31" x14ac:dyDescent="0.3">
      <c r="S692" s="15" t="str">
        <f>'Conjunto de Datos'!BB693</f>
        <v>103</v>
      </c>
      <c r="T692" s="15">
        <f>'Conjunto de Datos'!BF693</f>
        <v>691</v>
      </c>
      <c r="U692" s="6">
        <f>sala!I692</f>
        <v>139</v>
      </c>
      <c r="V692" cm="1">
        <f t="array" ref="V692">SUM(IF(Cocina!A:A=Tabla8[[#This Row],[Numero de Orden]],Cocina!F:F*Cocina!G:G,0))</f>
        <v>66</v>
      </c>
      <c r="W692">
        <f>IF(Tabla8[[#This Row],[Cobrado]]="Cobrada",Tabla8[[#This Row],[Propina]]+Tabla8[[#This Row],[Precio Cena]],0)</f>
        <v>205</v>
      </c>
      <c r="X692" t="str">
        <f>INDEX(sala!G:G, MATCH(Tabla8[[#This Row],[Numero de Orden]], sala!K:K, 0))</f>
        <v>Cena</v>
      </c>
      <c r="Y692" t="str">
        <f>'Conjunto de Datos'!J693</f>
        <v>Cobrada</v>
      </c>
      <c r="Z692" t="str">
        <f>INDEX(sala!H:H, MATCH(Tabla8[[#This Row],[Numero de Orden]], sala!K:K, 0))</f>
        <v>Tarjeta de débito</v>
      </c>
      <c r="AA692" s="3">
        <f>'Conjunto de Datos'!D693</f>
        <v>45023</v>
      </c>
      <c r="AB692" t="str">
        <f>INDEX(sala!L:L, MATCH(Tabla8[[#This Row],[Numero de Orden]], sala!K:K, 0))</f>
        <v>Colombia</v>
      </c>
      <c r="AC692" t="str">
        <f>'Conjunto de Datos'!N693</f>
        <v>Mesero_3</v>
      </c>
      <c r="AD692">
        <f>Tabla8[[#This Row],[Propina]]+Tabla8[[#This Row],[Precio Cena]]</f>
        <v>205</v>
      </c>
      <c r="AE692" s="45">
        <f t="shared" si="18"/>
        <v>66</v>
      </c>
    </row>
    <row r="693" spans="19:31" x14ac:dyDescent="0.3">
      <c r="S693" t="str">
        <f>'Conjunto de Datos'!BB694</f>
        <v>30</v>
      </c>
      <c r="T693">
        <f>'Conjunto de Datos'!BF694</f>
        <v>692</v>
      </c>
      <c r="U693" s="7">
        <f>sala!I693</f>
        <v>2592</v>
      </c>
      <c r="V693" cm="1">
        <f t="array" ref="V693">SUM(IF(Cocina!A:A=Tabla8[[#This Row],[Numero de Orden]],Cocina!F:F*Cocina!G:G,0))</f>
        <v>173</v>
      </c>
      <c r="W693">
        <f>IF(Tabla8[[#This Row],[Cobrado]]="Cobrada",Tabla8[[#This Row],[Propina]]+Tabla8[[#This Row],[Precio Cena]],0)</f>
        <v>2765</v>
      </c>
      <c r="X693" t="str">
        <f>INDEX(sala!G:G, MATCH(Tabla8[[#This Row],[Numero de Orden]], sala!K:K, 0))</f>
        <v>Cena</v>
      </c>
      <c r="Y693" t="str">
        <f>'Conjunto de Datos'!J694</f>
        <v>Cobrada</v>
      </c>
      <c r="Z693" t="str">
        <f>INDEX(sala!H:H, MATCH(Tabla8[[#This Row],[Numero de Orden]], sala!K:K, 0))</f>
        <v>Tarjeta de crédito</v>
      </c>
      <c r="AA693" s="3">
        <f>'Conjunto de Datos'!D694</f>
        <v>45023</v>
      </c>
      <c r="AB693" t="str">
        <f>INDEX(sala!L:L, MATCH(Tabla8[[#This Row],[Numero de Orden]], sala!K:K, 0))</f>
        <v>Argentina</v>
      </c>
      <c r="AC693" t="str">
        <f>'Conjunto de Datos'!N694</f>
        <v>Mesero_1</v>
      </c>
      <c r="AD693">
        <f>Tabla8[[#This Row],[Propina]]+Tabla8[[#This Row],[Precio Cena]]</f>
        <v>2765</v>
      </c>
      <c r="AE693" s="45">
        <f t="shared" si="18"/>
        <v>173</v>
      </c>
    </row>
    <row r="694" spans="19:31" x14ac:dyDescent="0.3">
      <c r="S694" s="15" t="str">
        <f>'Conjunto de Datos'!BB695</f>
        <v>330</v>
      </c>
      <c r="T694" s="15">
        <f>'Conjunto de Datos'!BF695</f>
        <v>693</v>
      </c>
      <c r="U694" s="6">
        <f>sala!I694</f>
        <v>2831</v>
      </c>
      <c r="V694" cm="1">
        <f t="array" ref="V694">SUM(IF(Cocina!A:A=Tabla8[[#This Row],[Numero de Orden]],Cocina!F:F*Cocina!G:G,0))</f>
        <v>78</v>
      </c>
      <c r="W694">
        <f>IF(Tabla8[[#This Row],[Cobrado]]="Cobrada",Tabla8[[#This Row],[Propina]]+Tabla8[[#This Row],[Precio Cena]],0)</f>
        <v>2909</v>
      </c>
      <c r="X694" t="str">
        <f>INDEX(sala!G:G, MATCH(Tabla8[[#This Row],[Numero de Orden]], sala!K:K, 0))</f>
        <v>Almuerzo</v>
      </c>
      <c r="Y694" t="str">
        <f>'Conjunto de Datos'!J695</f>
        <v>Cobrada</v>
      </c>
      <c r="Z694" t="str">
        <f>INDEX(sala!H:H, MATCH(Tabla8[[#This Row],[Numero de Orden]], sala!K:K, 0))</f>
        <v>Tarjeta de crédito</v>
      </c>
      <c r="AA694" s="3">
        <f>'Conjunto de Datos'!D695</f>
        <v>45023</v>
      </c>
      <c r="AB694" t="str">
        <f>INDEX(sala!L:L, MATCH(Tabla8[[#This Row],[Numero de Orden]], sala!K:K, 0))</f>
        <v>Ecuador</v>
      </c>
      <c r="AC694" t="str">
        <f>'Conjunto de Datos'!N695</f>
        <v>Mesero_3</v>
      </c>
      <c r="AD694">
        <f>Tabla8[[#This Row],[Propina]]+Tabla8[[#This Row],[Precio Cena]]</f>
        <v>2909</v>
      </c>
      <c r="AE694" s="45">
        <f t="shared" si="18"/>
        <v>78</v>
      </c>
    </row>
    <row r="695" spans="19:31" x14ac:dyDescent="0.3">
      <c r="S695" t="str">
        <f>'Conjunto de Datos'!BB696</f>
        <v>88</v>
      </c>
      <c r="T695">
        <f>'Conjunto de Datos'!BF696</f>
        <v>694</v>
      </c>
      <c r="U695" s="7">
        <f>sala!I695</f>
        <v>2366</v>
      </c>
      <c r="V695" cm="1">
        <f t="array" ref="V695">SUM(IF(Cocina!A:A=Tabla8[[#This Row],[Numero de Orden]],Cocina!F:F*Cocina!G:G,0))</f>
        <v>157</v>
      </c>
      <c r="W695">
        <f>IF(Tabla8[[#This Row],[Cobrado]]="Cobrada",Tabla8[[#This Row],[Propina]]+Tabla8[[#This Row],[Precio Cena]],0)</f>
        <v>2523</v>
      </c>
      <c r="X695" t="str">
        <f>INDEX(sala!G:G, MATCH(Tabla8[[#This Row],[Numero de Orden]], sala!K:K, 0))</f>
        <v>Almuerzo</v>
      </c>
      <c r="Y695" t="str">
        <f>'Conjunto de Datos'!J696</f>
        <v>Cobrada</v>
      </c>
      <c r="Z695" t="str">
        <f>INDEX(sala!H:H, MATCH(Tabla8[[#This Row],[Numero de Orden]], sala!K:K, 0))</f>
        <v>Tarjeta de crédito</v>
      </c>
      <c r="AA695" s="3">
        <f>'Conjunto de Datos'!D696</f>
        <v>45023</v>
      </c>
      <c r="AB695" t="str">
        <f>INDEX(sala!L:L, MATCH(Tabla8[[#This Row],[Numero de Orden]], sala!K:K, 0))</f>
        <v>Venezuela</v>
      </c>
      <c r="AC695" t="str">
        <f>'Conjunto de Datos'!N696</f>
        <v>Mesero_2</v>
      </c>
      <c r="AD695">
        <f>Tabla8[[#This Row],[Propina]]+Tabla8[[#This Row],[Precio Cena]]</f>
        <v>2523</v>
      </c>
      <c r="AE695" s="45">
        <f t="shared" si="18"/>
        <v>157</v>
      </c>
    </row>
    <row r="696" spans="19:31" x14ac:dyDescent="0.3">
      <c r="S696" s="15" t="str">
        <f>'Conjunto de Datos'!BB697</f>
        <v>211</v>
      </c>
      <c r="T696" s="15">
        <f>'Conjunto de Datos'!BF697</f>
        <v>695</v>
      </c>
      <c r="U696" s="6">
        <f>sala!I696</f>
        <v>1823</v>
      </c>
      <c r="V696" cm="1">
        <f t="array" ref="V696">SUM(IF(Cocina!A:A=Tabla8[[#This Row],[Numero de Orden]],Cocina!F:F*Cocina!G:G,0))</f>
        <v>116</v>
      </c>
      <c r="W696">
        <f>IF(Tabla8[[#This Row],[Cobrado]]="Cobrada",Tabla8[[#This Row],[Propina]]+Tabla8[[#This Row],[Precio Cena]],0)</f>
        <v>1939</v>
      </c>
      <c r="X696" t="str">
        <f>INDEX(sala!G:G, MATCH(Tabla8[[#This Row],[Numero de Orden]], sala!K:K, 0))</f>
        <v>Almuerzo</v>
      </c>
      <c r="Y696" t="str">
        <f>'Conjunto de Datos'!J697</f>
        <v>Cobrada</v>
      </c>
      <c r="Z696" t="str">
        <f>INDEX(sala!H:H, MATCH(Tabla8[[#This Row],[Numero de Orden]], sala!K:K, 0))</f>
        <v>Tarjeta de crédito</v>
      </c>
      <c r="AA696" s="3">
        <f>'Conjunto de Datos'!D697</f>
        <v>45023</v>
      </c>
      <c r="AB696" t="str">
        <f>INDEX(sala!L:L, MATCH(Tabla8[[#This Row],[Numero de Orden]], sala!K:K, 0))</f>
        <v>Venezuela</v>
      </c>
      <c r="AC696" t="str">
        <f>'Conjunto de Datos'!N697</f>
        <v>Mesero_3</v>
      </c>
      <c r="AD696">
        <f>Tabla8[[#This Row],[Propina]]+Tabla8[[#This Row],[Precio Cena]]</f>
        <v>1939</v>
      </c>
      <c r="AE696" s="45">
        <f t="shared" si="18"/>
        <v>116</v>
      </c>
    </row>
    <row r="697" spans="19:31" x14ac:dyDescent="0.3">
      <c r="S697" t="str">
        <f>'Conjunto de Datos'!BB698</f>
        <v>282</v>
      </c>
      <c r="T697">
        <f>'Conjunto de Datos'!BF698</f>
        <v>696</v>
      </c>
      <c r="U697" s="7">
        <f>sala!I697</f>
        <v>1876</v>
      </c>
      <c r="V697" cm="1">
        <f t="array" ref="V697">SUM(IF(Cocina!A:A=Tabla8[[#This Row],[Numero de Orden]],Cocina!F:F*Cocina!G:G,0))</f>
        <v>46</v>
      </c>
      <c r="W697">
        <f>IF(Tabla8[[#This Row],[Cobrado]]="Cobrada",Tabla8[[#This Row],[Propina]]+Tabla8[[#This Row],[Precio Cena]],0)</f>
        <v>1922</v>
      </c>
      <c r="X697" t="str">
        <f>INDEX(sala!G:G, MATCH(Tabla8[[#This Row],[Numero de Orden]], sala!K:K, 0))</f>
        <v>Cena</v>
      </c>
      <c r="Y697" t="str">
        <f>'Conjunto de Datos'!J698</f>
        <v>Cobrada</v>
      </c>
      <c r="Z697" t="str">
        <f>INDEX(sala!H:H, MATCH(Tabla8[[#This Row],[Numero de Orden]], sala!K:K, 0))</f>
        <v>Tarjeta de crédito</v>
      </c>
      <c r="AA697" s="3">
        <f>'Conjunto de Datos'!D698</f>
        <v>45023</v>
      </c>
      <c r="AB697" t="str">
        <f>INDEX(sala!L:L, MATCH(Tabla8[[#This Row],[Numero de Orden]], sala!K:K, 0))</f>
        <v>Perú</v>
      </c>
      <c r="AC697" t="str">
        <f>'Conjunto de Datos'!N698</f>
        <v>Mesero_1</v>
      </c>
      <c r="AD697">
        <f>Tabla8[[#This Row],[Propina]]+Tabla8[[#This Row],[Precio Cena]]</f>
        <v>1922</v>
      </c>
      <c r="AE697" s="45">
        <f t="shared" si="18"/>
        <v>46</v>
      </c>
    </row>
    <row r="698" spans="19:31" x14ac:dyDescent="0.3">
      <c r="S698" s="15" t="str">
        <f>'Conjunto de Datos'!BB699</f>
        <v>90</v>
      </c>
      <c r="T698" s="15">
        <f>'Conjunto de Datos'!BF699</f>
        <v>697</v>
      </c>
      <c r="U698" s="6">
        <f>sala!I698</f>
        <v>3435</v>
      </c>
      <c r="V698" cm="1">
        <f t="array" ref="V698">SUM(IF(Cocina!A:A=Tabla8[[#This Row],[Numero de Orden]],Cocina!F:F*Cocina!G:G,0))</f>
        <v>199</v>
      </c>
      <c r="W698">
        <f>IF(Tabla8[[#This Row],[Cobrado]]="Cobrada",Tabla8[[#This Row],[Propina]]+Tabla8[[#This Row],[Precio Cena]],0)</f>
        <v>3634</v>
      </c>
      <c r="X698" t="str">
        <f>INDEX(sala!G:G, MATCH(Tabla8[[#This Row],[Numero de Orden]], sala!K:K, 0))</f>
        <v>Almuerzo</v>
      </c>
      <c r="Y698" t="str">
        <f>'Conjunto de Datos'!J699</f>
        <v>Cobrada</v>
      </c>
      <c r="Z698" t="str">
        <f>INDEX(sala!H:H, MATCH(Tabla8[[#This Row],[Numero de Orden]], sala!K:K, 0))</f>
        <v>Tarjeta de crédito</v>
      </c>
      <c r="AA698" s="3">
        <f>'Conjunto de Datos'!D699</f>
        <v>45023</v>
      </c>
      <c r="AB698" t="str">
        <f>INDEX(sala!L:L, MATCH(Tabla8[[#This Row],[Numero de Orden]], sala!K:K, 0))</f>
        <v>Uruguay</v>
      </c>
      <c r="AC698" t="str">
        <f>'Conjunto de Datos'!N699</f>
        <v>Mesero_2</v>
      </c>
      <c r="AD698">
        <f>Tabla8[[#This Row],[Propina]]+Tabla8[[#This Row],[Precio Cena]]</f>
        <v>3634</v>
      </c>
      <c r="AE698" s="45">
        <f t="shared" si="18"/>
        <v>199</v>
      </c>
    </row>
    <row r="699" spans="19:31" x14ac:dyDescent="0.3">
      <c r="S699" t="str">
        <f>'Conjunto de Datos'!BB700</f>
        <v>115</v>
      </c>
      <c r="T699">
        <f>'Conjunto de Datos'!BF700</f>
        <v>698</v>
      </c>
      <c r="U699" s="7">
        <f>sala!I699</f>
        <v>3989</v>
      </c>
      <c r="V699" cm="1">
        <f t="array" ref="V699">SUM(IF(Cocina!A:A=Tabla8[[#This Row],[Numero de Orden]],Cocina!F:F*Cocina!G:G,0))</f>
        <v>185</v>
      </c>
      <c r="W699">
        <f>IF(Tabla8[[#This Row],[Cobrado]]="Cobrada",Tabla8[[#This Row],[Propina]]+Tabla8[[#This Row],[Precio Cena]],0)</f>
        <v>4174</v>
      </c>
      <c r="X699" t="str">
        <f>INDEX(sala!G:G, MATCH(Tabla8[[#This Row],[Numero de Orden]], sala!K:K, 0))</f>
        <v>Cena</v>
      </c>
      <c r="Y699" t="str">
        <f>'Conjunto de Datos'!J700</f>
        <v>Cobrada</v>
      </c>
      <c r="Z699" t="str">
        <f>INDEX(sala!H:H, MATCH(Tabla8[[#This Row],[Numero de Orden]], sala!K:K, 0))</f>
        <v>Tarjeta de crédito</v>
      </c>
      <c r="AA699" s="3">
        <f>'Conjunto de Datos'!D700</f>
        <v>45023</v>
      </c>
      <c r="AB699" t="str">
        <f>INDEX(sala!L:L, MATCH(Tabla8[[#This Row],[Numero de Orden]], sala!K:K, 0))</f>
        <v>Bolivia</v>
      </c>
      <c r="AC699" t="str">
        <f>'Conjunto de Datos'!N700</f>
        <v>Mesero_1</v>
      </c>
      <c r="AD699">
        <f>Tabla8[[#This Row],[Propina]]+Tabla8[[#This Row],[Precio Cena]]</f>
        <v>4174</v>
      </c>
      <c r="AE699" s="45">
        <f t="shared" si="18"/>
        <v>185</v>
      </c>
    </row>
    <row r="700" spans="19:31" x14ac:dyDescent="0.3">
      <c r="S700" s="15" t="str">
        <f>'Conjunto de Datos'!BB701</f>
        <v>143</v>
      </c>
      <c r="T700" s="15">
        <f>'Conjunto de Datos'!BF701</f>
        <v>699</v>
      </c>
      <c r="U700" s="6">
        <f>sala!I700</f>
        <v>3844</v>
      </c>
      <c r="V700" cm="1">
        <f t="array" ref="V700">SUM(IF(Cocina!A:A=Tabla8[[#This Row],[Numero de Orden]],Cocina!F:F*Cocina!G:G,0))</f>
        <v>58</v>
      </c>
      <c r="W700">
        <f>IF(Tabla8[[#This Row],[Cobrado]]="Cobrada",Tabla8[[#This Row],[Propina]]+Tabla8[[#This Row],[Precio Cena]],0)</f>
        <v>3902</v>
      </c>
      <c r="X700" t="str">
        <f>INDEX(sala!G:G, MATCH(Tabla8[[#This Row],[Numero de Orden]], sala!K:K, 0))</f>
        <v>Almuerzo</v>
      </c>
      <c r="Y700" t="str">
        <f>'Conjunto de Datos'!J701</f>
        <v>Cobrada</v>
      </c>
      <c r="Z700" t="str">
        <f>INDEX(sala!H:H, MATCH(Tabla8[[#This Row],[Numero de Orden]], sala!K:K, 0))</f>
        <v>Tarjeta de crédito</v>
      </c>
      <c r="AA700" s="3">
        <f>'Conjunto de Datos'!D701</f>
        <v>45023</v>
      </c>
      <c r="AB700" t="str">
        <f>INDEX(sala!L:L, MATCH(Tabla8[[#This Row],[Numero de Orden]], sala!K:K, 0))</f>
        <v>España</v>
      </c>
      <c r="AC700" t="str">
        <f>'Conjunto de Datos'!N701</f>
        <v>Mesero_2</v>
      </c>
      <c r="AD700">
        <f>Tabla8[[#This Row],[Propina]]+Tabla8[[#This Row],[Precio Cena]]</f>
        <v>3902</v>
      </c>
      <c r="AE700" s="45">
        <f t="shared" si="18"/>
        <v>58</v>
      </c>
    </row>
    <row r="701" spans="19:31" x14ac:dyDescent="0.3">
      <c r="S701" t="str">
        <f>'Conjunto de Datos'!BB702</f>
        <v>496</v>
      </c>
      <c r="T701">
        <f>'Conjunto de Datos'!BF702</f>
        <v>700</v>
      </c>
      <c r="U701" s="7">
        <f>sala!I701</f>
        <v>2166</v>
      </c>
      <c r="V701" cm="1">
        <f t="array" ref="V701">SUM(IF(Cocina!A:A=Tabla8[[#This Row],[Numero de Orden]],Cocina!F:F*Cocina!G:G,0))</f>
        <v>234</v>
      </c>
      <c r="W701">
        <f>IF(Tabla8[[#This Row],[Cobrado]]="Cobrada",Tabla8[[#This Row],[Propina]]+Tabla8[[#This Row],[Precio Cena]],0)</f>
        <v>2400</v>
      </c>
      <c r="X701" t="str">
        <f>INDEX(sala!G:G, MATCH(Tabla8[[#This Row],[Numero de Orden]], sala!K:K, 0))</f>
        <v>Almuerzo</v>
      </c>
      <c r="Y701" t="str">
        <f>'Conjunto de Datos'!J702</f>
        <v>Cobrada</v>
      </c>
      <c r="Z701" t="str">
        <f>INDEX(sala!H:H, MATCH(Tabla8[[#This Row],[Numero de Orden]], sala!K:K, 0))</f>
        <v>Tarjeta de crédito</v>
      </c>
      <c r="AA701" s="3">
        <f>'Conjunto de Datos'!D702</f>
        <v>45023</v>
      </c>
      <c r="AB701" t="str">
        <f>INDEX(sala!L:L, MATCH(Tabla8[[#This Row],[Numero de Orden]], sala!K:K, 0))</f>
        <v>Argentina</v>
      </c>
      <c r="AC701" t="str">
        <f>'Conjunto de Datos'!N702</f>
        <v>Mesero_2</v>
      </c>
      <c r="AD701">
        <f>Tabla8[[#This Row],[Propina]]+Tabla8[[#This Row],[Precio Cena]]</f>
        <v>2400</v>
      </c>
      <c r="AE701" s="45">
        <f t="shared" si="18"/>
        <v>234</v>
      </c>
    </row>
    <row r="702" spans="19:31" x14ac:dyDescent="0.3">
      <c r="S702" s="15" t="str">
        <f>'Conjunto de Datos'!BB703</f>
        <v>58</v>
      </c>
      <c r="T702" s="15">
        <f>'Conjunto de Datos'!BF703</f>
        <v>701</v>
      </c>
      <c r="U702" s="6">
        <f>sala!I702</f>
        <v>3983</v>
      </c>
      <c r="V702" cm="1">
        <f t="array" ref="V702">SUM(IF(Cocina!A:A=Tabla8[[#This Row],[Numero de Orden]],Cocina!F:F*Cocina!G:G,0))</f>
        <v>102</v>
      </c>
      <c r="W702">
        <f>IF(Tabla8[[#This Row],[Cobrado]]="Cobrada",Tabla8[[#This Row],[Propina]]+Tabla8[[#This Row],[Precio Cena]],0)</f>
        <v>4085</v>
      </c>
      <c r="X702" t="str">
        <f>INDEX(sala!G:G, MATCH(Tabla8[[#This Row],[Numero de Orden]], sala!K:K, 0))</f>
        <v>Almuerzo</v>
      </c>
      <c r="Y702" t="str">
        <f>'Conjunto de Datos'!J703</f>
        <v>Cobrada</v>
      </c>
      <c r="Z702" t="str">
        <f>INDEX(sala!H:H, MATCH(Tabla8[[#This Row],[Numero de Orden]], sala!K:K, 0))</f>
        <v>Tarjeta de crédito</v>
      </c>
      <c r="AA702" s="3">
        <f>'Conjunto de Datos'!D703</f>
        <v>45023</v>
      </c>
      <c r="AB702" t="str">
        <f>INDEX(sala!L:L, MATCH(Tabla8[[#This Row],[Numero de Orden]], sala!K:K, 0))</f>
        <v>Bolivia</v>
      </c>
      <c r="AC702" t="str">
        <f>'Conjunto de Datos'!N703</f>
        <v>Mesero_4</v>
      </c>
      <c r="AD702">
        <f>Tabla8[[#This Row],[Propina]]+Tabla8[[#This Row],[Precio Cena]]</f>
        <v>4085</v>
      </c>
      <c r="AE702" s="45">
        <f t="shared" si="18"/>
        <v>102</v>
      </c>
    </row>
    <row r="703" spans="19:31" x14ac:dyDescent="0.3">
      <c r="S703" t="str">
        <f>'Conjunto de Datos'!BB704</f>
        <v>468</v>
      </c>
      <c r="T703">
        <f>'Conjunto de Datos'!BF704</f>
        <v>702</v>
      </c>
      <c r="U703" s="7">
        <f>sala!I703</f>
        <v>4707</v>
      </c>
      <c r="V703" cm="1">
        <f t="array" ref="V703">SUM(IF(Cocina!A:A=Tabla8[[#This Row],[Numero de Orden]],Cocina!F:F*Cocina!G:G,0))</f>
        <v>195</v>
      </c>
      <c r="W703">
        <f>IF(Tabla8[[#This Row],[Cobrado]]="Cobrada",Tabla8[[#This Row],[Propina]]+Tabla8[[#This Row],[Precio Cena]],0)</f>
        <v>4902</v>
      </c>
      <c r="X703" t="str">
        <f>INDEX(sala!G:G, MATCH(Tabla8[[#This Row],[Numero de Orden]], sala!K:K, 0))</f>
        <v>Cena</v>
      </c>
      <c r="Y703" t="str">
        <f>'Conjunto de Datos'!J704</f>
        <v>Cobrada</v>
      </c>
      <c r="Z703" t="str">
        <f>INDEX(sala!H:H, MATCH(Tabla8[[#This Row],[Numero de Orden]], sala!K:K, 0))</f>
        <v>Tarjeta de crédito</v>
      </c>
      <c r="AA703" s="3">
        <f>'Conjunto de Datos'!D704</f>
        <v>45023</v>
      </c>
      <c r="AB703" t="str">
        <f>INDEX(sala!L:L, MATCH(Tabla8[[#This Row],[Numero de Orden]], sala!K:K, 0))</f>
        <v>Brasil</v>
      </c>
      <c r="AC703" t="str">
        <f>'Conjunto de Datos'!N704</f>
        <v>Mesero_3</v>
      </c>
      <c r="AD703">
        <f>Tabla8[[#This Row],[Propina]]+Tabla8[[#This Row],[Precio Cena]]</f>
        <v>4902</v>
      </c>
      <c r="AE703" s="45">
        <f t="shared" si="18"/>
        <v>195</v>
      </c>
    </row>
    <row r="704" spans="19:31" x14ac:dyDescent="0.3">
      <c r="S704" s="15" t="str">
        <f>'Conjunto de Datos'!BB705</f>
        <v>714</v>
      </c>
      <c r="T704" s="15">
        <f>'Conjunto de Datos'!BF705</f>
        <v>703</v>
      </c>
      <c r="U704" s="6">
        <f>sala!I704</f>
        <v>2224</v>
      </c>
      <c r="V704" cm="1">
        <f t="array" ref="V704">SUM(IF(Cocina!A:A=Tabla8[[#This Row],[Numero de Orden]],Cocina!F:F*Cocina!G:G,0))</f>
        <v>63</v>
      </c>
      <c r="W704">
        <f>IF(Tabla8[[#This Row],[Cobrado]]="Cobrada",Tabla8[[#This Row],[Propina]]+Tabla8[[#This Row],[Precio Cena]],0)</f>
        <v>2287</v>
      </c>
      <c r="X704" t="str">
        <f>INDEX(sala!G:G, MATCH(Tabla8[[#This Row],[Numero de Orden]], sala!K:K, 0))</f>
        <v>Almuerzo</v>
      </c>
      <c r="Y704" t="str">
        <f>'Conjunto de Datos'!J705</f>
        <v>Cobrada</v>
      </c>
      <c r="Z704" t="str">
        <f>INDEX(sala!H:H, MATCH(Tabla8[[#This Row],[Numero de Orden]], sala!K:K, 0))</f>
        <v>Tarjeta de crédito</v>
      </c>
      <c r="AA704" s="3">
        <f>'Conjunto de Datos'!D705</f>
        <v>45023</v>
      </c>
      <c r="AB704" t="str">
        <f>INDEX(sala!L:L, MATCH(Tabla8[[#This Row],[Numero de Orden]], sala!K:K, 0))</f>
        <v>Venezuela</v>
      </c>
      <c r="AC704" t="str">
        <f>'Conjunto de Datos'!N705</f>
        <v>Mesero_1</v>
      </c>
      <c r="AD704">
        <f>Tabla8[[#This Row],[Propina]]+Tabla8[[#This Row],[Precio Cena]]</f>
        <v>2287</v>
      </c>
      <c r="AE704" s="45">
        <f t="shared" si="18"/>
        <v>63</v>
      </c>
    </row>
    <row r="705" spans="19:31" x14ac:dyDescent="0.3">
      <c r="S705" t="str">
        <f>'Conjunto de Datos'!BB706</f>
        <v>950</v>
      </c>
      <c r="T705">
        <f>'Conjunto de Datos'!BF706</f>
        <v>704</v>
      </c>
      <c r="U705" s="7">
        <f>sala!I705</f>
        <v>3329</v>
      </c>
      <c r="V705" cm="1">
        <f t="array" ref="V705">SUM(IF(Cocina!A:A=Tabla8[[#This Row],[Numero de Orden]],Cocina!F:F*Cocina!G:G,0))</f>
        <v>18</v>
      </c>
      <c r="W705">
        <f>IF(Tabla8[[#This Row],[Cobrado]]="Cobrada",Tabla8[[#This Row],[Propina]]+Tabla8[[#This Row],[Precio Cena]],0)</f>
        <v>3347</v>
      </c>
      <c r="X705" t="str">
        <f>INDEX(sala!G:G, MATCH(Tabla8[[#This Row],[Numero de Orden]], sala!K:K, 0))</f>
        <v>Cena</v>
      </c>
      <c r="Y705" t="str">
        <f>'Conjunto de Datos'!J706</f>
        <v>Cobrada</v>
      </c>
      <c r="Z705" t="str">
        <f>INDEX(sala!H:H, MATCH(Tabla8[[#This Row],[Numero de Orden]], sala!K:K, 0))</f>
        <v>Tarjeta de crédito</v>
      </c>
      <c r="AA705" s="3">
        <f>'Conjunto de Datos'!D706</f>
        <v>45023</v>
      </c>
      <c r="AB705" t="str">
        <f>INDEX(sala!L:L, MATCH(Tabla8[[#This Row],[Numero de Orden]], sala!K:K, 0))</f>
        <v>Bolivia</v>
      </c>
      <c r="AC705" t="str">
        <f>'Conjunto de Datos'!N706</f>
        <v>Mesero_2</v>
      </c>
      <c r="AD705">
        <f>Tabla8[[#This Row],[Propina]]+Tabla8[[#This Row],[Precio Cena]]</f>
        <v>3347</v>
      </c>
      <c r="AE705" s="45">
        <f t="shared" si="18"/>
        <v>18</v>
      </c>
    </row>
    <row r="706" spans="19:31" x14ac:dyDescent="0.3">
      <c r="S706" s="15" t="str">
        <f>'Conjunto de Datos'!BB707</f>
        <v>372</v>
      </c>
      <c r="T706" s="15">
        <f>'Conjunto de Datos'!BF707</f>
        <v>705</v>
      </c>
      <c r="U706" s="6">
        <f>sala!I706</f>
        <v>4307</v>
      </c>
      <c r="V706" cm="1">
        <f t="array" ref="V706">SUM(IF(Cocina!A:A=Tabla8[[#This Row],[Numero de Orden]],Cocina!F:F*Cocina!G:G,0))</f>
        <v>112</v>
      </c>
      <c r="W706">
        <f>IF(Tabla8[[#This Row],[Cobrado]]="Cobrada",Tabla8[[#This Row],[Propina]]+Tabla8[[#This Row],[Precio Cena]],0)</f>
        <v>4419</v>
      </c>
      <c r="X706" t="str">
        <f>INDEX(sala!G:G, MATCH(Tabla8[[#This Row],[Numero de Orden]], sala!K:K, 0))</f>
        <v>Almuerzo</v>
      </c>
      <c r="Y706" t="str">
        <f>'Conjunto de Datos'!J707</f>
        <v>Cobrada</v>
      </c>
      <c r="Z706" t="str">
        <f>INDEX(sala!H:H, MATCH(Tabla8[[#This Row],[Numero de Orden]], sala!K:K, 0))</f>
        <v>Tarjeta de crédito</v>
      </c>
      <c r="AA706" s="3">
        <f>'Conjunto de Datos'!D707</f>
        <v>45023</v>
      </c>
      <c r="AB706" t="str">
        <f>INDEX(sala!L:L, MATCH(Tabla8[[#This Row],[Numero de Orden]], sala!K:K, 0))</f>
        <v>Venezuela</v>
      </c>
      <c r="AC706" t="str">
        <f>'Conjunto de Datos'!N707</f>
        <v>Mesero_2</v>
      </c>
      <c r="AD706">
        <f>Tabla8[[#This Row],[Propina]]+Tabla8[[#This Row],[Precio Cena]]</f>
        <v>4419</v>
      </c>
      <c r="AE706" s="45">
        <f t="shared" si="18"/>
        <v>112</v>
      </c>
    </row>
    <row r="707" spans="19:31" x14ac:dyDescent="0.3">
      <c r="S707" t="str">
        <f>'Conjunto de Datos'!BB708</f>
        <v>663</v>
      </c>
      <c r="T707">
        <f>'Conjunto de Datos'!BF708</f>
        <v>706</v>
      </c>
      <c r="U707" s="7">
        <f>sala!I707</f>
        <v>4445</v>
      </c>
      <c r="V707" cm="1">
        <f t="array" ref="V707">SUM(IF(Cocina!A:A=Tabla8[[#This Row],[Numero de Orden]],Cocina!F:F*Cocina!G:G,0))</f>
        <v>54</v>
      </c>
      <c r="W707">
        <f>IF(Tabla8[[#This Row],[Cobrado]]="Cobrada",Tabla8[[#This Row],[Propina]]+Tabla8[[#This Row],[Precio Cena]],0)</f>
        <v>4499</v>
      </c>
      <c r="X707" t="str">
        <f>INDEX(sala!G:G, MATCH(Tabla8[[#This Row],[Numero de Orden]], sala!K:K, 0))</f>
        <v>Almuerzo</v>
      </c>
      <c r="Y707" t="str">
        <f>'Conjunto de Datos'!J708</f>
        <v>Cobrada</v>
      </c>
      <c r="Z707" t="str">
        <f>INDEX(sala!H:H, MATCH(Tabla8[[#This Row],[Numero de Orden]], sala!K:K, 0))</f>
        <v>Tarjeta de crédito</v>
      </c>
      <c r="AA707" s="3">
        <f>'Conjunto de Datos'!D708</f>
        <v>45023</v>
      </c>
      <c r="AB707" t="str">
        <f>INDEX(sala!L:L, MATCH(Tabla8[[#This Row],[Numero de Orden]], sala!K:K, 0))</f>
        <v>Argentina</v>
      </c>
      <c r="AC707" t="str">
        <f>'Conjunto de Datos'!N708</f>
        <v>Mesero_1</v>
      </c>
      <c r="AD707">
        <f>Tabla8[[#This Row],[Propina]]+Tabla8[[#This Row],[Precio Cena]]</f>
        <v>4499</v>
      </c>
      <c r="AE707" s="45">
        <f t="shared" si="18"/>
        <v>54</v>
      </c>
    </row>
    <row r="708" spans="19:31" x14ac:dyDescent="0.3">
      <c r="S708" s="15" t="str">
        <f>'Conjunto de Datos'!BB709</f>
        <v>801</v>
      </c>
      <c r="T708" s="15">
        <f>'Conjunto de Datos'!BF709</f>
        <v>707</v>
      </c>
      <c r="U708" s="6">
        <f>sala!I708</f>
        <v>4039</v>
      </c>
      <c r="V708" cm="1">
        <f t="array" ref="V708">SUM(IF(Cocina!A:A=Tabla8[[#This Row],[Numero de Orden]],Cocina!F:F*Cocina!G:G,0))</f>
        <v>185</v>
      </c>
      <c r="W708">
        <f>IF(Tabla8[[#This Row],[Cobrado]]="Cobrada",Tabla8[[#This Row],[Propina]]+Tabla8[[#This Row],[Precio Cena]],0)</f>
        <v>4224</v>
      </c>
      <c r="X708" t="str">
        <f>INDEX(sala!G:G, MATCH(Tabla8[[#This Row],[Numero de Orden]], sala!K:K, 0))</f>
        <v>Desayuno</v>
      </c>
      <c r="Y708" t="str">
        <f>'Conjunto de Datos'!J709</f>
        <v>Cobrada</v>
      </c>
      <c r="Z708" t="str">
        <f>INDEX(sala!H:H, MATCH(Tabla8[[#This Row],[Numero de Orden]], sala!K:K, 0))</f>
        <v>Tarjeta de crédito</v>
      </c>
      <c r="AA708" s="3">
        <f>'Conjunto de Datos'!D709</f>
        <v>45023</v>
      </c>
      <c r="AB708" t="str">
        <f>INDEX(sala!L:L, MATCH(Tabla8[[#This Row],[Numero de Orden]], sala!K:K, 0))</f>
        <v>Uruguay</v>
      </c>
      <c r="AC708" t="str">
        <f>'Conjunto de Datos'!N709</f>
        <v>Mesero_2</v>
      </c>
      <c r="AD708">
        <f>Tabla8[[#This Row],[Propina]]+Tabla8[[#This Row],[Precio Cena]]</f>
        <v>4224</v>
      </c>
      <c r="AE708" s="45">
        <f t="shared" ref="AE708:AE768" si="19">IF(Y708 = "Cobrada",V708,0)</f>
        <v>185</v>
      </c>
    </row>
    <row r="709" spans="19:31" x14ac:dyDescent="0.3">
      <c r="S709" t="str">
        <f>'Conjunto de Datos'!BB710</f>
        <v>804</v>
      </c>
      <c r="T709">
        <f>'Conjunto de Datos'!BF710</f>
        <v>708</v>
      </c>
      <c r="U709" s="7">
        <f>sala!I709</f>
        <v>418</v>
      </c>
      <c r="V709" cm="1">
        <f t="array" ref="V709">SUM(IF(Cocina!A:A=Tabla8[[#This Row],[Numero de Orden]],Cocina!F:F*Cocina!G:G,0))</f>
        <v>54</v>
      </c>
      <c r="W709">
        <f>IF(Tabla8[[#This Row],[Cobrado]]="Cobrada",Tabla8[[#This Row],[Propina]]+Tabla8[[#This Row],[Precio Cena]],0)</f>
        <v>472</v>
      </c>
      <c r="X709" t="str">
        <f>INDEX(sala!G:G, MATCH(Tabla8[[#This Row],[Numero de Orden]], sala!K:K, 0))</f>
        <v>Cena</v>
      </c>
      <c r="Y709" t="str">
        <f>'Conjunto de Datos'!J710</f>
        <v>Cobrada</v>
      </c>
      <c r="Z709" t="str">
        <f>INDEX(sala!H:H, MATCH(Tabla8[[#This Row],[Numero de Orden]], sala!K:K, 0))</f>
        <v>Tarjeta de crédito</v>
      </c>
      <c r="AA709" s="3">
        <f>'Conjunto de Datos'!D710</f>
        <v>45023</v>
      </c>
      <c r="AB709" t="str">
        <f>INDEX(sala!L:L, MATCH(Tabla8[[#This Row],[Numero de Orden]], sala!K:K, 0))</f>
        <v>España</v>
      </c>
      <c r="AC709" t="str">
        <f>'Conjunto de Datos'!N710</f>
        <v>Mesero_3</v>
      </c>
      <c r="AD709">
        <f>Tabla8[[#This Row],[Propina]]+Tabla8[[#This Row],[Precio Cena]]</f>
        <v>472</v>
      </c>
      <c r="AE709" s="45">
        <f t="shared" si="19"/>
        <v>54</v>
      </c>
    </row>
    <row r="710" spans="19:31" x14ac:dyDescent="0.3">
      <c r="S710" s="15" t="str">
        <f>'Conjunto de Datos'!BB711</f>
        <v>208</v>
      </c>
      <c r="T710" s="15">
        <f>'Conjunto de Datos'!BF711</f>
        <v>709</v>
      </c>
      <c r="U710" s="6">
        <f>sala!I710</f>
        <v>2615</v>
      </c>
      <c r="V710" cm="1">
        <f t="array" ref="V710">SUM(IF(Cocina!A:A=Tabla8[[#This Row],[Numero de Orden]],Cocina!F:F*Cocina!G:G,0))</f>
        <v>193</v>
      </c>
      <c r="W710">
        <f>IF(Tabla8[[#This Row],[Cobrado]]="Cobrada",Tabla8[[#This Row],[Propina]]+Tabla8[[#This Row],[Precio Cena]],0)</f>
        <v>2808</v>
      </c>
      <c r="X710" t="str">
        <f>INDEX(sala!G:G, MATCH(Tabla8[[#This Row],[Numero de Orden]], sala!K:K, 0))</f>
        <v>Almuerzo</v>
      </c>
      <c r="Y710" t="str">
        <f>'Conjunto de Datos'!J711</f>
        <v>Cobrada</v>
      </c>
      <c r="Z710" t="str">
        <f>INDEX(sala!H:H, MATCH(Tabla8[[#This Row],[Numero de Orden]], sala!K:K, 0))</f>
        <v>Efectivo</v>
      </c>
      <c r="AA710" s="3">
        <f>'Conjunto de Datos'!D711</f>
        <v>45023</v>
      </c>
      <c r="AB710" t="str">
        <f>INDEX(sala!L:L, MATCH(Tabla8[[#This Row],[Numero de Orden]], sala!K:K, 0))</f>
        <v>Ecuador</v>
      </c>
      <c r="AC710" t="str">
        <f>'Conjunto de Datos'!N711</f>
        <v>Mesero_2</v>
      </c>
      <c r="AD710">
        <f>Tabla8[[#This Row],[Propina]]+Tabla8[[#This Row],[Precio Cena]]</f>
        <v>2808</v>
      </c>
      <c r="AE710" s="45">
        <f t="shared" si="19"/>
        <v>193</v>
      </c>
    </row>
    <row r="711" spans="19:31" x14ac:dyDescent="0.3">
      <c r="S711" t="str">
        <f>'Conjunto de Datos'!BB712</f>
        <v>716</v>
      </c>
      <c r="T711">
        <f>'Conjunto de Datos'!BF712</f>
        <v>710</v>
      </c>
      <c r="U711" s="7">
        <f>sala!I711</f>
        <v>2843</v>
      </c>
      <c r="V711" cm="1">
        <f t="array" ref="V711">SUM(IF(Cocina!A:A=Tabla8[[#This Row],[Numero de Orden]],Cocina!F:F*Cocina!G:G,0))</f>
        <v>138</v>
      </c>
      <c r="W711">
        <f>IF(Tabla8[[#This Row],[Cobrado]]="Cobrada",Tabla8[[#This Row],[Propina]]+Tabla8[[#This Row],[Precio Cena]],0)</f>
        <v>0</v>
      </c>
      <c r="X711" t="str">
        <f>INDEX(sala!G:G, MATCH(Tabla8[[#This Row],[Numero de Orden]], sala!K:K, 0))</f>
        <v>Almuerzo</v>
      </c>
      <c r="Y711" t="str">
        <f>'Conjunto de Datos'!J712</f>
        <v>No Cobrada</v>
      </c>
      <c r="Z711" t="str">
        <f>INDEX(sala!H:H, MATCH(Tabla8[[#This Row],[Numero de Orden]], sala!K:K, 0))</f>
        <v>Tarjeta de crédito</v>
      </c>
      <c r="AA711" s="3">
        <f>'Conjunto de Datos'!D712</f>
        <v>45023</v>
      </c>
      <c r="AB711" t="str">
        <f>INDEX(sala!L:L, MATCH(Tabla8[[#This Row],[Numero de Orden]], sala!K:K, 0))</f>
        <v>España</v>
      </c>
      <c r="AC711" t="str">
        <f>'Conjunto de Datos'!N712</f>
        <v>Mesero_5</v>
      </c>
      <c r="AD711">
        <f>Tabla8[[#This Row],[Propina]]+Tabla8[[#This Row],[Precio Cena]]</f>
        <v>2981</v>
      </c>
      <c r="AE711" s="45">
        <f t="shared" si="19"/>
        <v>0</v>
      </c>
    </row>
    <row r="712" spans="19:31" x14ac:dyDescent="0.3">
      <c r="S712" s="15" t="str">
        <f>'Conjunto de Datos'!BB713</f>
        <v>27</v>
      </c>
      <c r="T712" s="15">
        <f>'Conjunto de Datos'!BF713</f>
        <v>711</v>
      </c>
      <c r="U712" s="6">
        <f>sala!I712</f>
        <v>4974</v>
      </c>
      <c r="V712" cm="1">
        <f t="array" ref="V712">SUM(IF(Cocina!A:A=Tabla8[[#This Row],[Numero de Orden]],Cocina!F:F*Cocina!G:G,0))</f>
        <v>166</v>
      </c>
      <c r="W712">
        <f>IF(Tabla8[[#This Row],[Cobrado]]="Cobrada",Tabla8[[#This Row],[Propina]]+Tabla8[[#This Row],[Precio Cena]],0)</f>
        <v>5140</v>
      </c>
      <c r="X712" t="str">
        <f>INDEX(sala!G:G, MATCH(Tabla8[[#This Row],[Numero de Orden]], sala!K:K, 0))</f>
        <v>Almuerzo</v>
      </c>
      <c r="Y712" t="str">
        <f>'Conjunto de Datos'!J713</f>
        <v>Cobrada</v>
      </c>
      <c r="Z712" t="str">
        <f>INDEX(sala!H:H, MATCH(Tabla8[[#This Row],[Numero de Orden]], sala!K:K, 0))</f>
        <v>Tarjeta de débito</v>
      </c>
      <c r="AA712" s="3">
        <f>'Conjunto de Datos'!D713</f>
        <v>45023</v>
      </c>
      <c r="AB712" t="str">
        <f>INDEX(sala!L:L, MATCH(Tabla8[[#This Row],[Numero de Orden]], sala!K:K, 0))</f>
        <v>Uruguay</v>
      </c>
      <c r="AC712" t="str">
        <f>'Conjunto de Datos'!N713</f>
        <v>Mesero_1</v>
      </c>
      <c r="AD712">
        <f>Tabla8[[#This Row],[Propina]]+Tabla8[[#This Row],[Precio Cena]]</f>
        <v>5140</v>
      </c>
      <c r="AE712" s="45">
        <f t="shared" si="19"/>
        <v>166</v>
      </c>
    </row>
    <row r="713" spans="19:31" x14ac:dyDescent="0.3">
      <c r="S713" t="str">
        <f>'Conjunto de Datos'!BB714</f>
        <v>786</v>
      </c>
      <c r="T713">
        <f>'Conjunto de Datos'!BF714</f>
        <v>712</v>
      </c>
      <c r="U713" s="7">
        <f>sala!I713</f>
        <v>4221</v>
      </c>
      <c r="V713" cm="1">
        <f t="array" ref="V713">SUM(IF(Cocina!A:A=Tabla8[[#This Row],[Numero de Orden]],Cocina!F:F*Cocina!G:G,0))</f>
        <v>48</v>
      </c>
      <c r="W713">
        <f>IF(Tabla8[[#This Row],[Cobrado]]="Cobrada",Tabla8[[#This Row],[Propina]]+Tabla8[[#This Row],[Precio Cena]],0)</f>
        <v>4269</v>
      </c>
      <c r="X713" t="str">
        <f>INDEX(sala!G:G, MATCH(Tabla8[[#This Row],[Numero de Orden]], sala!K:K, 0))</f>
        <v>Desayuno</v>
      </c>
      <c r="Y713" t="str">
        <f>'Conjunto de Datos'!J714</f>
        <v>Cobrada</v>
      </c>
      <c r="Z713" t="str">
        <f>INDEX(sala!H:H, MATCH(Tabla8[[#This Row],[Numero de Orden]], sala!K:K, 0))</f>
        <v>Efectivo</v>
      </c>
      <c r="AA713" s="3">
        <f>'Conjunto de Datos'!D714</f>
        <v>45023</v>
      </c>
      <c r="AB713" t="str">
        <f>INDEX(sala!L:L, MATCH(Tabla8[[#This Row],[Numero de Orden]], sala!K:K, 0))</f>
        <v>Perú</v>
      </c>
      <c r="AC713" t="str">
        <f>'Conjunto de Datos'!N714</f>
        <v>Mesero_2</v>
      </c>
      <c r="AD713">
        <f>Tabla8[[#This Row],[Propina]]+Tabla8[[#This Row],[Precio Cena]]</f>
        <v>4269</v>
      </c>
      <c r="AE713" s="45">
        <f t="shared" si="19"/>
        <v>48</v>
      </c>
    </row>
    <row r="714" spans="19:31" x14ac:dyDescent="0.3">
      <c r="S714" s="15" t="str">
        <f>'Conjunto de Datos'!BB715</f>
        <v>594</v>
      </c>
      <c r="T714" s="15">
        <f>'Conjunto de Datos'!BF715</f>
        <v>713</v>
      </c>
      <c r="U714" s="6">
        <f>sala!I714</f>
        <v>3511</v>
      </c>
      <c r="V714" cm="1">
        <f t="array" ref="V714">SUM(IF(Cocina!A:A=Tabla8[[#This Row],[Numero de Orden]],Cocina!F:F*Cocina!G:G,0))</f>
        <v>360</v>
      </c>
      <c r="W714">
        <f>IF(Tabla8[[#This Row],[Cobrado]]="Cobrada",Tabla8[[#This Row],[Propina]]+Tabla8[[#This Row],[Precio Cena]],0)</f>
        <v>3871</v>
      </c>
      <c r="X714" t="str">
        <f>INDEX(sala!G:G, MATCH(Tabla8[[#This Row],[Numero de Orden]], sala!K:K, 0))</f>
        <v>Cena</v>
      </c>
      <c r="Y714" t="str">
        <f>'Conjunto de Datos'!J715</f>
        <v>Cobrada</v>
      </c>
      <c r="Z714" t="str">
        <f>INDEX(sala!H:H, MATCH(Tabla8[[#This Row],[Numero de Orden]], sala!K:K, 0))</f>
        <v>Tarjeta de crédito</v>
      </c>
      <c r="AA714" s="3">
        <f>'Conjunto de Datos'!D715</f>
        <v>45023</v>
      </c>
      <c r="AB714" t="str">
        <f>INDEX(sala!L:L, MATCH(Tabla8[[#This Row],[Numero de Orden]], sala!K:K, 0))</f>
        <v>Uruguay</v>
      </c>
      <c r="AC714" t="str">
        <f>'Conjunto de Datos'!N715</f>
        <v>Mesero_1</v>
      </c>
      <c r="AD714">
        <f>Tabla8[[#This Row],[Propina]]+Tabla8[[#This Row],[Precio Cena]]</f>
        <v>3871</v>
      </c>
      <c r="AE714" s="45">
        <f t="shared" si="19"/>
        <v>360</v>
      </c>
    </row>
    <row r="715" spans="19:31" x14ac:dyDescent="0.3">
      <c r="S715" t="str">
        <f>'Conjunto de Datos'!BB716</f>
        <v>281</v>
      </c>
      <c r="T715">
        <f>'Conjunto de Datos'!BF716</f>
        <v>714</v>
      </c>
      <c r="U715" s="7">
        <f>sala!I715</f>
        <v>1069</v>
      </c>
      <c r="V715" cm="1">
        <f t="array" ref="V715">SUM(IF(Cocina!A:A=Tabla8[[#This Row],[Numero de Orden]],Cocina!F:F*Cocina!G:G,0))</f>
        <v>225</v>
      </c>
      <c r="W715">
        <f>IF(Tabla8[[#This Row],[Cobrado]]="Cobrada",Tabla8[[#This Row],[Propina]]+Tabla8[[#This Row],[Precio Cena]],0)</f>
        <v>1294</v>
      </c>
      <c r="X715" t="str">
        <f>INDEX(sala!G:G, MATCH(Tabla8[[#This Row],[Numero de Orden]], sala!K:K, 0))</f>
        <v>Almuerzo</v>
      </c>
      <c r="Y715" t="str">
        <f>'Conjunto de Datos'!J716</f>
        <v>Cobrada</v>
      </c>
      <c r="Z715" t="str">
        <f>INDEX(sala!H:H, MATCH(Tabla8[[#This Row],[Numero de Orden]], sala!K:K, 0))</f>
        <v>Tarjeta de crédito</v>
      </c>
      <c r="AA715" s="3">
        <f>'Conjunto de Datos'!D716</f>
        <v>45023</v>
      </c>
      <c r="AB715" t="str">
        <f>INDEX(sala!L:L, MATCH(Tabla8[[#This Row],[Numero de Orden]], sala!K:K, 0))</f>
        <v>Colombia</v>
      </c>
      <c r="AC715" t="str">
        <f>'Conjunto de Datos'!N716</f>
        <v>Mesero_5</v>
      </c>
      <c r="AD715">
        <f>Tabla8[[#This Row],[Propina]]+Tabla8[[#This Row],[Precio Cena]]</f>
        <v>1294</v>
      </c>
      <c r="AE715" s="45">
        <f t="shared" si="19"/>
        <v>225</v>
      </c>
    </row>
    <row r="716" spans="19:31" x14ac:dyDescent="0.3">
      <c r="S716" s="15" t="str">
        <f>'Conjunto de Datos'!BB717</f>
        <v>396</v>
      </c>
      <c r="T716" s="15">
        <f>'Conjunto de Datos'!BF717</f>
        <v>715</v>
      </c>
      <c r="U716" s="6">
        <f>sala!I716</f>
        <v>3991</v>
      </c>
      <c r="V716" cm="1">
        <f t="array" ref="V716">SUM(IF(Cocina!A:A=Tabla8[[#This Row],[Numero de Orden]],Cocina!F:F*Cocina!G:G,0))</f>
        <v>246</v>
      </c>
      <c r="W716">
        <f>IF(Tabla8[[#This Row],[Cobrado]]="Cobrada",Tabla8[[#This Row],[Propina]]+Tabla8[[#This Row],[Precio Cena]],0)</f>
        <v>4237</v>
      </c>
      <c r="X716" t="str">
        <f>INDEX(sala!G:G, MATCH(Tabla8[[#This Row],[Numero de Orden]], sala!K:K, 0))</f>
        <v>Almuerzo</v>
      </c>
      <c r="Y716" t="str">
        <f>'Conjunto de Datos'!J717</f>
        <v>Cobrada</v>
      </c>
      <c r="Z716" t="str">
        <f>INDEX(sala!H:H, MATCH(Tabla8[[#This Row],[Numero de Orden]], sala!K:K, 0))</f>
        <v>Tarjeta de débito</v>
      </c>
      <c r="AA716" s="3">
        <f>'Conjunto de Datos'!D717</f>
        <v>45023</v>
      </c>
      <c r="AB716" t="str">
        <f>INDEX(sala!L:L, MATCH(Tabla8[[#This Row],[Numero de Orden]], sala!K:K, 0))</f>
        <v>Perú</v>
      </c>
      <c r="AC716" t="str">
        <f>'Conjunto de Datos'!N717</f>
        <v>Mesero_3</v>
      </c>
      <c r="AD716">
        <f>Tabla8[[#This Row],[Propina]]+Tabla8[[#This Row],[Precio Cena]]</f>
        <v>4237</v>
      </c>
      <c r="AE716" s="45">
        <f t="shared" si="19"/>
        <v>246</v>
      </c>
    </row>
    <row r="717" spans="19:31" x14ac:dyDescent="0.3">
      <c r="S717" t="str">
        <f>'Conjunto de Datos'!BB718</f>
        <v>707</v>
      </c>
      <c r="T717">
        <f>'Conjunto de Datos'!BF718</f>
        <v>716</v>
      </c>
      <c r="U717" s="7">
        <f>sala!I717</f>
        <v>4473</v>
      </c>
      <c r="V717" cm="1">
        <f t="array" ref="V717">SUM(IF(Cocina!A:A=Tabla8[[#This Row],[Numero de Orden]],Cocina!F:F*Cocina!G:G,0))</f>
        <v>231</v>
      </c>
      <c r="W717">
        <f>IF(Tabla8[[#This Row],[Cobrado]]="Cobrada",Tabla8[[#This Row],[Propina]]+Tabla8[[#This Row],[Precio Cena]],0)</f>
        <v>4704</v>
      </c>
      <c r="X717" t="str">
        <f>INDEX(sala!G:G, MATCH(Tabla8[[#This Row],[Numero de Orden]], sala!K:K, 0))</f>
        <v>Cena</v>
      </c>
      <c r="Y717" t="str">
        <f>'Conjunto de Datos'!J718</f>
        <v>Cobrada</v>
      </c>
      <c r="Z717" t="str">
        <f>INDEX(sala!H:H, MATCH(Tabla8[[#This Row],[Numero de Orden]], sala!K:K, 0))</f>
        <v>Tarjeta de crédito</v>
      </c>
      <c r="AA717" s="3">
        <f>'Conjunto de Datos'!D718</f>
        <v>45023</v>
      </c>
      <c r="AB717" t="str">
        <f>INDEX(sala!L:L, MATCH(Tabla8[[#This Row],[Numero de Orden]], sala!K:K, 0))</f>
        <v>Brasil</v>
      </c>
      <c r="AC717" t="str">
        <f>'Conjunto de Datos'!N718</f>
        <v>Mesero_2</v>
      </c>
      <c r="AD717">
        <f>Tabla8[[#This Row],[Propina]]+Tabla8[[#This Row],[Precio Cena]]</f>
        <v>4704</v>
      </c>
      <c r="AE717" s="45">
        <f t="shared" si="19"/>
        <v>231</v>
      </c>
    </row>
    <row r="718" spans="19:31" x14ac:dyDescent="0.3">
      <c r="S718" s="15" t="str">
        <f>'Conjunto de Datos'!BB719</f>
        <v>392</v>
      </c>
      <c r="T718" s="15">
        <f>'Conjunto de Datos'!BF719</f>
        <v>717</v>
      </c>
      <c r="U718" s="6">
        <f>sala!I718</f>
        <v>2367</v>
      </c>
      <c r="V718" cm="1">
        <f t="array" ref="V718">SUM(IF(Cocina!A:A=Tabla8[[#This Row],[Numero de Orden]],Cocina!F:F*Cocina!G:G,0))</f>
        <v>155</v>
      </c>
      <c r="W718">
        <f>IF(Tabla8[[#This Row],[Cobrado]]="Cobrada",Tabla8[[#This Row],[Propina]]+Tabla8[[#This Row],[Precio Cena]],0)</f>
        <v>2522</v>
      </c>
      <c r="X718" t="str">
        <f>INDEX(sala!G:G, MATCH(Tabla8[[#This Row],[Numero de Orden]], sala!K:K, 0))</f>
        <v>Almuerzo</v>
      </c>
      <c r="Y718" t="str">
        <f>'Conjunto de Datos'!J719</f>
        <v>Cobrada</v>
      </c>
      <c r="Z718" t="str">
        <f>INDEX(sala!H:H, MATCH(Tabla8[[#This Row],[Numero de Orden]], sala!K:K, 0))</f>
        <v>Tarjeta de crédito</v>
      </c>
      <c r="AA718" s="3">
        <f>'Conjunto de Datos'!D719</f>
        <v>45023</v>
      </c>
      <c r="AB718" t="str">
        <f>INDEX(sala!L:L, MATCH(Tabla8[[#This Row],[Numero de Orden]], sala!K:K, 0))</f>
        <v>Bolivia</v>
      </c>
      <c r="AC718" t="str">
        <f>'Conjunto de Datos'!N719</f>
        <v>Mesero_1</v>
      </c>
      <c r="AD718">
        <f>Tabla8[[#This Row],[Propina]]+Tabla8[[#This Row],[Precio Cena]]</f>
        <v>2522</v>
      </c>
      <c r="AE718" s="45">
        <f t="shared" si="19"/>
        <v>155</v>
      </c>
    </row>
    <row r="719" spans="19:31" x14ac:dyDescent="0.3">
      <c r="S719" t="str">
        <f>'Conjunto de Datos'!BB720</f>
        <v>489</v>
      </c>
      <c r="T719">
        <f>'Conjunto de Datos'!BF720</f>
        <v>718</v>
      </c>
      <c r="U719" s="7">
        <f>sala!I719</f>
        <v>3721</v>
      </c>
      <c r="V719" cm="1">
        <f t="array" ref="V719">SUM(IF(Cocina!A:A=Tabla8[[#This Row],[Numero de Orden]],Cocina!F:F*Cocina!G:G,0))</f>
        <v>20</v>
      </c>
      <c r="W719">
        <f>IF(Tabla8[[#This Row],[Cobrado]]="Cobrada",Tabla8[[#This Row],[Propina]]+Tabla8[[#This Row],[Precio Cena]],0)</f>
        <v>3741</v>
      </c>
      <c r="X719" t="str">
        <f>INDEX(sala!G:G, MATCH(Tabla8[[#This Row],[Numero de Orden]], sala!K:K, 0))</f>
        <v>Desayuno</v>
      </c>
      <c r="Y719" t="str">
        <f>'Conjunto de Datos'!J720</f>
        <v>Cobrada</v>
      </c>
      <c r="Z719" t="str">
        <f>INDEX(sala!H:H, MATCH(Tabla8[[#This Row],[Numero de Orden]], sala!K:K, 0))</f>
        <v>Tarjeta de crédito</v>
      </c>
      <c r="AA719" s="3">
        <f>'Conjunto de Datos'!D720</f>
        <v>45023</v>
      </c>
      <c r="AB719" t="str">
        <f>INDEX(sala!L:L, MATCH(Tabla8[[#This Row],[Numero de Orden]], sala!K:K, 0))</f>
        <v>Venezuela</v>
      </c>
      <c r="AC719" t="str">
        <f>'Conjunto de Datos'!N720</f>
        <v>Mesero_2</v>
      </c>
      <c r="AD719">
        <f>Tabla8[[#This Row],[Propina]]+Tabla8[[#This Row],[Precio Cena]]</f>
        <v>3741</v>
      </c>
      <c r="AE719" s="45">
        <f t="shared" si="19"/>
        <v>20</v>
      </c>
    </row>
    <row r="720" spans="19:31" x14ac:dyDescent="0.3">
      <c r="S720" s="15" t="str">
        <f>'Conjunto de Datos'!BB721</f>
        <v>954</v>
      </c>
      <c r="T720" s="15">
        <f>'Conjunto de Datos'!BF721</f>
        <v>719</v>
      </c>
      <c r="U720" s="6">
        <f>sala!I720</f>
        <v>1723</v>
      </c>
      <c r="V720" cm="1">
        <f t="array" ref="V720">SUM(IF(Cocina!A:A=Tabla8[[#This Row],[Numero de Orden]],Cocina!F:F*Cocina!G:G,0))</f>
        <v>107</v>
      </c>
      <c r="W720">
        <f>IF(Tabla8[[#This Row],[Cobrado]]="Cobrada",Tabla8[[#This Row],[Propina]]+Tabla8[[#This Row],[Precio Cena]],0)</f>
        <v>1830</v>
      </c>
      <c r="X720" t="str">
        <f>INDEX(sala!G:G, MATCH(Tabla8[[#This Row],[Numero de Orden]], sala!K:K, 0))</f>
        <v>Almuerzo</v>
      </c>
      <c r="Y720" t="str">
        <f>'Conjunto de Datos'!J721</f>
        <v>Cobrada</v>
      </c>
      <c r="Z720" t="str">
        <f>INDEX(sala!H:H, MATCH(Tabla8[[#This Row],[Numero de Orden]], sala!K:K, 0))</f>
        <v>Tarjeta de débito</v>
      </c>
      <c r="AA720" s="3">
        <f>'Conjunto de Datos'!D721</f>
        <v>45023</v>
      </c>
      <c r="AB720" t="str">
        <f>INDEX(sala!L:L, MATCH(Tabla8[[#This Row],[Numero de Orden]], sala!K:K, 0))</f>
        <v>Colombia</v>
      </c>
      <c r="AC720" t="str">
        <f>'Conjunto de Datos'!N721</f>
        <v>Mesero_1</v>
      </c>
      <c r="AD720">
        <f>Tabla8[[#This Row],[Propina]]+Tabla8[[#This Row],[Precio Cena]]</f>
        <v>1830</v>
      </c>
      <c r="AE720" s="45">
        <f t="shared" si="19"/>
        <v>107</v>
      </c>
    </row>
    <row r="721" spans="19:31" x14ac:dyDescent="0.3">
      <c r="S721" t="str">
        <f>'Conjunto de Datos'!BB722</f>
        <v>263</v>
      </c>
      <c r="T721">
        <f>'Conjunto de Datos'!BF722</f>
        <v>720</v>
      </c>
      <c r="U721" s="7">
        <f>sala!I721</f>
        <v>4028</v>
      </c>
      <c r="V721" cm="1">
        <f t="array" ref="V721">SUM(IF(Cocina!A:A=Tabla8[[#This Row],[Numero de Orden]],Cocina!F:F*Cocina!G:G,0))</f>
        <v>168</v>
      </c>
      <c r="W721">
        <f>IF(Tabla8[[#This Row],[Cobrado]]="Cobrada",Tabla8[[#This Row],[Propina]]+Tabla8[[#This Row],[Precio Cena]],0)</f>
        <v>4196</v>
      </c>
      <c r="X721" t="str">
        <f>INDEX(sala!G:G, MATCH(Tabla8[[#This Row],[Numero de Orden]], sala!K:K, 0))</f>
        <v>Almuerzo</v>
      </c>
      <c r="Y721" t="str">
        <f>'Conjunto de Datos'!J722</f>
        <v>Cobrada</v>
      </c>
      <c r="Z721" t="str">
        <f>INDEX(sala!H:H, MATCH(Tabla8[[#This Row],[Numero de Orden]], sala!K:K, 0))</f>
        <v>Tarjeta de crédito</v>
      </c>
      <c r="AA721" s="3">
        <f>'Conjunto de Datos'!D722</f>
        <v>45023</v>
      </c>
      <c r="AB721" t="str">
        <f>INDEX(sala!L:L, MATCH(Tabla8[[#This Row],[Numero de Orden]], sala!K:K, 0))</f>
        <v>Paraguay</v>
      </c>
      <c r="AC721" t="str">
        <f>'Conjunto de Datos'!N722</f>
        <v>Mesero_3</v>
      </c>
      <c r="AD721">
        <f>Tabla8[[#This Row],[Propina]]+Tabla8[[#This Row],[Precio Cena]]</f>
        <v>4196</v>
      </c>
      <c r="AE721" s="45">
        <f t="shared" si="19"/>
        <v>168</v>
      </c>
    </row>
    <row r="722" spans="19:31" x14ac:dyDescent="0.3">
      <c r="S722" s="15" t="str">
        <f>'Conjunto de Datos'!BB723</f>
        <v>733</v>
      </c>
      <c r="T722" s="15">
        <f>'Conjunto de Datos'!BF723</f>
        <v>721</v>
      </c>
      <c r="U722" s="6">
        <f>sala!I722</f>
        <v>4713</v>
      </c>
      <c r="V722" cm="1">
        <f t="array" ref="V722">SUM(IF(Cocina!A:A=Tabla8[[#This Row],[Numero de Orden]],Cocina!F:F*Cocina!G:G,0))</f>
        <v>218</v>
      </c>
      <c r="W722">
        <f>IF(Tabla8[[#This Row],[Cobrado]]="Cobrada",Tabla8[[#This Row],[Propina]]+Tabla8[[#This Row],[Precio Cena]],0)</f>
        <v>4931</v>
      </c>
      <c r="X722" t="str">
        <f>INDEX(sala!G:G, MATCH(Tabla8[[#This Row],[Numero de Orden]], sala!K:K, 0))</f>
        <v>Desayuno</v>
      </c>
      <c r="Y722" t="str">
        <f>'Conjunto de Datos'!J723</f>
        <v>Cobrada</v>
      </c>
      <c r="Z722" t="str">
        <f>INDEX(sala!H:H, MATCH(Tabla8[[#This Row],[Numero de Orden]], sala!K:K, 0))</f>
        <v>Tarjeta de crédito</v>
      </c>
      <c r="AA722" s="3">
        <f>'Conjunto de Datos'!D723</f>
        <v>45023</v>
      </c>
      <c r="AB722" t="str">
        <f>INDEX(sala!L:L, MATCH(Tabla8[[#This Row],[Numero de Orden]], sala!K:K, 0))</f>
        <v>Paraguay</v>
      </c>
      <c r="AC722" t="str">
        <f>'Conjunto de Datos'!N723</f>
        <v>Mesero_2</v>
      </c>
      <c r="AD722">
        <f>Tabla8[[#This Row],[Propina]]+Tabla8[[#This Row],[Precio Cena]]</f>
        <v>4931</v>
      </c>
      <c r="AE722" s="45">
        <f t="shared" si="19"/>
        <v>218</v>
      </c>
    </row>
    <row r="723" spans="19:31" x14ac:dyDescent="0.3">
      <c r="S723" t="str">
        <f>'Conjunto de Datos'!BB724</f>
        <v>438</v>
      </c>
      <c r="T723">
        <f>'Conjunto de Datos'!BF724</f>
        <v>722</v>
      </c>
      <c r="U723" s="7">
        <f>sala!I723</f>
        <v>2062</v>
      </c>
      <c r="V723" cm="1">
        <f t="array" ref="V723">SUM(IF(Cocina!A:A=Tabla8[[#This Row],[Numero de Orden]],Cocina!F:F*Cocina!G:G,0))</f>
        <v>85</v>
      </c>
      <c r="W723">
        <f>IF(Tabla8[[#This Row],[Cobrado]]="Cobrada",Tabla8[[#This Row],[Propina]]+Tabla8[[#This Row],[Precio Cena]],0)</f>
        <v>2147</v>
      </c>
      <c r="X723" t="str">
        <f>INDEX(sala!G:G, MATCH(Tabla8[[#This Row],[Numero de Orden]], sala!K:K, 0))</f>
        <v>Almuerzo</v>
      </c>
      <c r="Y723" t="str">
        <f>'Conjunto de Datos'!J724</f>
        <v>Cobrada</v>
      </c>
      <c r="Z723" t="str">
        <f>INDEX(sala!H:H, MATCH(Tabla8[[#This Row],[Numero de Orden]], sala!K:K, 0))</f>
        <v>Tarjeta de crédito</v>
      </c>
      <c r="AA723" s="3">
        <f>'Conjunto de Datos'!D724</f>
        <v>45023</v>
      </c>
      <c r="AB723" t="str">
        <f>INDEX(sala!L:L, MATCH(Tabla8[[#This Row],[Numero de Orden]], sala!K:K, 0))</f>
        <v>Ecuador</v>
      </c>
      <c r="AC723" t="str">
        <f>'Conjunto de Datos'!N724</f>
        <v>Mesero_2</v>
      </c>
      <c r="AD723">
        <f>Tabla8[[#This Row],[Propina]]+Tabla8[[#This Row],[Precio Cena]]</f>
        <v>2147</v>
      </c>
      <c r="AE723" s="45">
        <f t="shared" si="19"/>
        <v>85</v>
      </c>
    </row>
    <row r="724" spans="19:31" x14ac:dyDescent="0.3">
      <c r="S724" s="15" t="str">
        <f>'Conjunto de Datos'!BB725</f>
        <v>116</v>
      </c>
      <c r="T724" s="15">
        <f>'Conjunto de Datos'!BF725</f>
        <v>723</v>
      </c>
      <c r="U724" s="6">
        <f>sala!I724</f>
        <v>2779</v>
      </c>
      <c r="V724" cm="1">
        <f t="array" ref="V724">SUM(IF(Cocina!A:A=Tabla8[[#This Row],[Numero de Orden]],Cocina!F:F*Cocina!G:G,0))</f>
        <v>126</v>
      </c>
      <c r="W724">
        <f>IF(Tabla8[[#This Row],[Cobrado]]="Cobrada",Tabla8[[#This Row],[Propina]]+Tabla8[[#This Row],[Precio Cena]],0)</f>
        <v>2905</v>
      </c>
      <c r="X724" t="str">
        <f>INDEX(sala!G:G, MATCH(Tabla8[[#This Row],[Numero de Orden]], sala!K:K, 0))</f>
        <v>Desayuno</v>
      </c>
      <c r="Y724" t="str">
        <f>'Conjunto de Datos'!J725</f>
        <v>Cobrada</v>
      </c>
      <c r="Z724" t="str">
        <f>INDEX(sala!H:H, MATCH(Tabla8[[#This Row],[Numero de Orden]], sala!K:K, 0))</f>
        <v>Efectivo</v>
      </c>
      <c r="AA724" s="3">
        <f>'Conjunto de Datos'!D725</f>
        <v>45023</v>
      </c>
      <c r="AB724" t="str">
        <f>INDEX(sala!L:L, MATCH(Tabla8[[#This Row],[Numero de Orden]], sala!K:K, 0))</f>
        <v>Chile</v>
      </c>
      <c r="AC724" t="str">
        <f>'Conjunto de Datos'!N725</f>
        <v>Mesero_4</v>
      </c>
      <c r="AD724">
        <f>Tabla8[[#This Row],[Propina]]+Tabla8[[#This Row],[Precio Cena]]</f>
        <v>2905</v>
      </c>
      <c r="AE724" s="45">
        <f t="shared" si="19"/>
        <v>126</v>
      </c>
    </row>
    <row r="725" spans="19:31" x14ac:dyDescent="0.3">
      <c r="S725" t="str">
        <f>'Conjunto de Datos'!BB726</f>
        <v>929</v>
      </c>
      <c r="T725">
        <f>'Conjunto de Datos'!BF726</f>
        <v>724</v>
      </c>
      <c r="U725" s="7">
        <f>sala!I725</f>
        <v>1412</v>
      </c>
      <c r="V725" cm="1">
        <f t="array" ref="V725">SUM(IF(Cocina!A:A=Tabla8[[#This Row],[Numero de Orden]],Cocina!F:F*Cocina!G:G,0))</f>
        <v>66</v>
      </c>
      <c r="W725">
        <f>IF(Tabla8[[#This Row],[Cobrado]]="Cobrada",Tabla8[[#This Row],[Propina]]+Tabla8[[#This Row],[Precio Cena]],0)</f>
        <v>1478</v>
      </c>
      <c r="X725" t="str">
        <f>INDEX(sala!G:G, MATCH(Tabla8[[#This Row],[Numero de Orden]], sala!K:K, 0))</f>
        <v>Cena</v>
      </c>
      <c r="Y725" t="str">
        <f>'Conjunto de Datos'!J726</f>
        <v>Cobrada</v>
      </c>
      <c r="Z725" t="str">
        <f>INDEX(sala!H:H, MATCH(Tabla8[[#This Row],[Numero de Orden]], sala!K:K, 0))</f>
        <v>Efectivo</v>
      </c>
      <c r="AA725" s="3">
        <f>'Conjunto de Datos'!D726</f>
        <v>45023</v>
      </c>
      <c r="AB725" t="str">
        <f>INDEX(sala!L:L, MATCH(Tabla8[[#This Row],[Numero de Orden]], sala!K:K, 0))</f>
        <v>Venezuela</v>
      </c>
      <c r="AC725" t="str">
        <f>'Conjunto de Datos'!N726</f>
        <v>Mesero_5</v>
      </c>
      <c r="AD725">
        <f>Tabla8[[#This Row],[Propina]]+Tabla8[[#This Row],[Precio Cena]]</f>
        <v>1478</v>
      </c>
      <c r="AE725" s="45">
        <f t="shared" si="19"/>
        <v>66</v>
      </c>
    </row>
    <row r="726" spans="19:31" x14ac:dyDescent="0.3">
      <c r="S726" s="15" t="str">
        <f>'Conjunto de Datos'!BB727</f>
        <v>353</v>
      </c>
      <c r="T726" s="15">
        <f>'Conjunto de Datos'!BF727</f>
        <v>725</v>
      </c>
      <c r="U726" s="6">
        <f>sala!I726</f>
        <v>1866</v>
      </c>
      <c r="V726" cm="1">
        <f t="array" ref="V726">SUM(IF(Cocina!A:A=Tabla8[[#This Row],[Numero de Orden]],Cocina!F:F*Cocina!G:G,0))</f>
        <v>168</v>
      </c>
      <c r="W726">
        <f>IF(Tabla8[[#This Row],[Cobrado]]="Cobrada",Tabla8[[#This Row],[Propina]]+Tabla8[[#This Row],[Precio Cena]],0)</f>
        <v>2034</v>
      </c>
      <c r="X726" t="str">
        <f>INDEX(sala!G:G, MATCH(Tabla8[[#This Row],[Numero de Orden]], sala!K:K, 0))</f>
        <v>Almuerzo</v>
      </c>
      <c r="Y726" t="str">
        <f>'Conjunto de Datos'!J727</f>
        <v>Cobrada</v>
      </c>
      <c r="Z726" t="str">
        <f>INDEX(sala!H:H, MATCH(Tabla8[[#This Row],[Numero de Orden]], sala!K:K, 0))</f>
        <v>Efectivo</v>
      </c>
      <c r="AA726" s="3">
        <f>'Conjunto de Datos'!D727</f>
        <v>45023</v>
      </c>
      <c r="AB726" t="str">
        <f>INDEX(sala!L:L, MATCH(Tabla8[[#This Row],[Numero de Orden]], sala!K:K, 0))</f>
        <v>Chile</v>
      </c>
      <c r="AC726" t="str">
        <f>'Conjunto de Datos'!N727</f>
        <v>Mesero_4</v>
      </c>
      <c r="AD726">
        <f>Tabla8[[#This Row],[Propina]]+Tabla8[[#This Row],[Precio Cena]]</f>
        <v>2034</v>
      </c>
      <c r="AE726" s="45">
        <f t="shared" si="19"/>
        <v>168</v>
      </c>
    </row>
    <row r="727" spans="19:31" x14ac:dyDescent="0.3">
      <c r="S727" t="str">
        <f>'Conjunto de Datos'!BB728</f>
        <v>715</v>
      </c>
      <c r="T727">
        <f>'Conjunto de Datos'!BF728</f>
        <v>726</v>
      </c>
      <c r="U727" s="7">
        <f>sala!I727</f>
        <v>4138</v>
      </c>
      <c r="V727" cm="1">
        <f t="array" ref="V727">SUM(IF(Cocina!A:A=Tabla8[[#This Row],[Numero de Orden]],Cocina!F:F*Cocina!G:G,0))</f>
        <v>126</v>
      </c>
      <c r="W727">
        <f>IF(Tabla8[[#This Row],[Cobrado]]="Cobrada",Tabla8[[#This Row],[Propina]]+Tabla8[[#This Row],[Precio Cena]],0)</f>
        <v>4264</v>
      </c>
      <c r="X727" t="str">
        <f>INDEX(sala!G:G, MATCH(Tabla8[[#This Row],[Numero de Orden]], sala!K:K, 0))</f>
        <v>Desayuno</v>
      </c>
      <c r="Y727" t="str">
        <f>'Conjunto de Datos'!J728</f>
        <v>Cobrada</v>
      </c>
      <c r="Z727" t="str">
        <f>INDEX(sala!H:H, MATCH(Tabla8[[#This Row],[Numero de Orden]], sala!K:K, 0))</f>
        <v>Tarjeta de crédito</v>
      </c>
      <c r="AA727" s="3">
        <f>'Conjunto de Datos'!D728</f>
        <v>45023</v>
      </c>
      <c r="AB727" t="str">
        <f>INDEX(sala!L:L, MATCH(Tabla8[[#This Row],[Numero de Orden]], sala!K:K, 0))</f>
        <v>España</v>
      </c>
      <c r="AC727" t="str">
        <f>'Conjunto de Datos'!N728</f>
        <v>Mesero_5</v>
      </c>
      <c r="AD727">
        <f>Tabla8[[#This Row],[Propina]]+Tabla8[[#This Row],[Precio Cena]]</f>
        <v>4264</v>
      </c>
      <c r="AE727" s="45">
        <f t="shared" si="19"/>
        <v>126</v>
      </c>
    </row>
    <row r="728" spans="19:31" x14ac:dyDescent="0.3">
      <c r="S728" s="15" t="str">
        <f>'Conjunto de Datos'!BB729</f>
        <v>117</v>
      </c>
      <c r="T728" s="15">
        <f>'Conjunto de Datos'!BF729</f>
        <v>727</v>
      </c>
      <c r="U728" s="6">
        <f>sala!I728</f>
        <v>1324</v>
      </c>
      <c r="V728" cm="1">
        <f t="array" ref="V728">SUM(IF(Cocina!A:A=Tabla8[[#This Row],[Numero de Orden]],Cocina!F:F*Cocina!G:G,0))</f>
        <v>40</v>
      </c>
      <c r="W728">
        <f>IF(Tabla8[[#This Row],[Cobrado]]="Cobrada",Tabla8[[#This Row],[Propina]]+Tabla8[[#This Row],[Precio Cena]],0)</f>
        <v>1364</v>
      </c>
      <c r="X728" t="str">
        <f>INDEX(sala!G:G, MATCH(Tabla8[[#This Row],[Numero de Orden]], sala!K:K, 0))</f>
        <v>Cena</v>
      </c>
      <c r="Y728" t="str">
        <f>'Conjunto de Datos'!J729</f>
        <v>Cobrada</v>
      </c>
      <c r="Z728" t="str">
        <f>INDEX(sala!H:H, MATCH(Tabla8[[#This Row],[Numero de Orden]], sala!K:K, 0))</f>
        <v>Tarjeta de débito</v>
      </c>
      <c r="AA728" s="3">
        <f>'Conjunto de Datos'!D729</f>
        <v>45023</v>
      </c>
      <c r="AB728" t="str">
        <f>INDEX(sala!L:L, MATCH(Tabla8[[#This Row],[Numero de Orden]], sala!K:K, 0))</f>
        <v>Colombia</v>
      </c>
      <c r="AC728" t="str">
        <f>'Conjunto de Datos'!N729</f>
        <v>Mesero_2</v>
      </c>
      <c r="AD728">
        <f>Tabla8[[#This Row],[Propina]]+Tabla8[[#This Row],[Precio Cena]]</f>
        <v>1364</v>
      </c>
      <c r="AE728" s="45">
        <f t="shared" si="19"/>
        <v>40</v>
      </c>
    </row>
    <row r="729" spans="19:31" x14ac:dyDescent="0.3">
      <c r="S729" t="str">
        <f>'Conjunto de Datos'!BB730</f>
        <v>654</v>
      </c>
      <c r="T729">
        <f>'Conjunto de Datos'!BF730</f>
        <v>728</v>
      </c>
      <c r="U729" s="7">
        <f>sala!I729</f>
        <v>3428</v>
      </c>
      <c r="V729" cm="1">
        <f t="array" ref="V729">SUM(IF(Cocina!A:A=Tabla8[[#This Row],[Numero de Orden]],Cocina!F:F*Cocina!G:G,0))</f>
        <v>195</v>
      </c>
      <c r="W729">
        <f>IF(Tabla8[[#This Row],[Cobrado]]="Cobrada",Tabla8[[#This Row],[Propina]]+Tabla8[[#This Row],[Precio Cena]],0)</f>
        <v>3623</v>
      </c>
      <c r="X729" t="str">
        <f>INDEX(sala!G:G, MATCH(Tabla8[[#This Row],[Numero de Orden]], sala!K:K, 0))</f>
        <v>Desayuno</v>
      </c>
      <c r="Y729" t="str">
        <f>'Conjunto de Datos'!J730</f>
        <v>Cobrada</v>
      </c>
      <c r="Z729" t="str">
        <f>INDEX(sala!H:H, MATCH(Tabla8[[#This Row],[Numero de Orden]], sala!K:K, 0))</f>
        <v>Tarjeta de débito</v>
      </c>
      <c r="AA729" s="3">
        <f>'Conjunto de Datos'!D730</f>
        <v>45023</v>
      </c>
      <c r="AB729" t="str">
        <f>INDEX(sala!L:L, MATCH(Tabla8[[#This Row],[Numero de Orden]], sala!K:K, 0))</f>
        <v>Argentina</v>
      </c>
      <c r="AC729" t="str">
        <f>'Conjunto de Datos'!N730</f>
        <v>Mesero_1</v>
      </c>
      <c r="AD729">
        <f>Tabla8[[#This Row],[Propina]]+Tabla8[[#This Row],[Precio Cena]]</f>
        <v>3623</v>
      </c>
      <c r="AE729" s="45">
        <f t="shared" si="19"/>
        <v>195</v>
      </c>
    </row>
    <row r="730" spans="19:31" x14ac:dyDescent="0.3">
      <c r="S730" s="15" t="str">
        <f>'Conjunto de Datos'!BB731</f>
        <v>264</v>
      </c>
      <c r="T730" s="15">
        <f>'Conjunto de Datos'!BF731</f>
        <v>729</v>
      </c>
      <c r="U730" s="6">
        <f>sala!I730</f>
        <v>1897</v>
      </c>
      <c r="V730" cm="1">
        <f t="array" ref="V730">SUM(IF(Cocina!A:A=Tabla8[[#This Row],[Numero de Orden]],Cocina!F:F*Cocina!G:G,0))</f>
        <v>128</v>
      </c>
      <c r="W730">
        <f>IF(Tabla8[[#This Row],[Cobrado]]="Cobrada",Tabla8[[#This Row],[Propina]]+Tabla8[[#This Row],[Precio Cena]],0)</f>
        <v>2025</v>
      </c>
      <c r="X730" t="str">
        <f>INDEX(sala!G:G, MATCH(Tabla8[[#This Row],[Numero de Orden]], sala!K:K, 0))</f>
        <v>Desayuno</v>
      </c>
      <c r="Y730" t="str">
        <f>'Conjunto de Datos'!J731</f>
        <v>Cobrada</v>
      </c>
      <c r="Z730" t="str">
        <f>INDEX(sala!H:H, MATCH(Tabla8[[#This Row],[Numero de Orden]], sala!K:K, 0))</f>
        <v>Tarjeta de crédito</v>
      </c>
      <c r="AA730" s="3">
        <f>'Conjunto de Datos'!D731</f>
        <v>45023</v>
      </c>
      <c r="AB730" t="str">
        <f>INDEX(sala!L:L, MATCH(Tabla8[[#This Row],[Numero de Orden]], sala!K:K, 0))</f>
        <v>Uruguay</v>
      </c>
      <c r="AC730" t="str">
        <f>'Conjunto de Datos'!N731</f>
        <v>Mesero_5</v>
      </c>
      <c r="AD730">
        <f>Tabla8[[#This Row],[Propina]]+Tabla8[[#This Row],[Precio Cena]]</f>
        <v>2025</v>
      </c>
      <c r="AE730" s="45">
        <f t="shared" si="19"/>
        <v>128</v>
      </c>
    </row>
    <row r="731" spans="19:31" x14ac:dyDescent="0.3">
      <c r="S731" t="str">
        <f>'Conjunto de Datos'!BB732</f>
        <v>443</v>
      </c>
      <c r="T731">
        <f>'Conjunto de Datos'!BF732</f>
        <v>730</v>
      </c>
      <c r="U731" s="7">
        <f>sala!I731</f>
        <v>1502</v>
      </c>
      <c r="V731" cm="1">
        <f t="array" ref="V731">SUM(IF(Cocina!A:A=Tabla8[[#This Row],[Numero de Orden]],Cocina!F:F*Cocina!G:G,0))</f>
        <v>114</v>
      </c>
      <c r="W731">
        <f>IF(Tabla8[[#This Row],[Cobrado]]="Cobrada",Tabla8[[#This Row],[Propina]]+Tabla8[[#This Row],[Precio Cena]],0)</f>
        <v>1616</v>
      </c>
      <c r="X731" t="str">
        <f>INDEX(sala!G:G, MATCH(Tabla8[[#This Row],[Numero de Orden]], sala!K:K, 0))</f>
        <v>Almuerzo</v>
      </c>
      <c r="Y731" t="str">
        <f>'Conjunto de Datos'!J732</f>
        <v>Cobrada</v>
      </c>
      <c r="Z731" t="str">
        <f>INDEX(sala!H:H, MATCH(Tabla8[[#This Row],[Numero de Orden]], sala!K:K, 0))</f>
        <v>Tarjeta de crédito</v>
      </c>
      <c r="AA731" s="3">
        <f>'Conjunto de Datos'!D732</f>
        <v>45023</v>
      </c>
      <c r="AB731" t="str">
        <f>INDEX(sala!L:L, MATCH(Tabla8[[#This Row],[Numero de Orden]], sala!K:K, 0))</f>
        <v>España</v>
      </c>
      <c r="AC731" t="str">
        <f>'Conjunto de Datos'!N732</f>
        <v>Mesero_3</v>
      </c>
      <c r="AD731">
        <f>Tabla8[[#This Row],[Propina]]+Tabla8[[#This Row],[Precio Cena]]</f>
        <v>1616</v>
      </c>
      <c r="AE731" s="45">
        <f t="shared" si="19"/>
        <v>114</v>
      </c>
    </row>
    <row r="732" spans="19:31" x14ac:dyDescent="0.3">
      <c r="S732" s="15" t="str">
        <f>'Conjunto de Datos'!BB733</f>
        <v>239</v>
      </c>
      <c r="T732" s="15">
        <f>'Conjunto de Datos'!BF733</f>
        <v>731</v>
      </c>
      <c r="U732" s="6">
        <f>sala!I732</f>
        <v>1435</v>
      </c>
      <c r="V732" cm="1">
        <f t="array" ref="V732">SUM(IF(Cocina!A:A=Tabla8[[#This Row],[Numero de Orden]],Cocina!F:F*Cocina!G:G,0))</f>
        <v>64</v>
      </c>
      <c r="W732">
        <f>IF(Tabla8[[#This Row],[Cobrado]]="Cobrada",Tabla8[[#This Row],[Propina]]+Tabla8[[#This Row],[Precio Cena]],0)</f>
        <v>1499</v>
      </c>
      <c r="X732" t="str">
        <f>INDEX(sala!G:G, MATCH(Tabla8[[#This Row],[Numero de Orden]], sala!K:K, 0))</f>
        <v>Almuerzo</v>
      </c>
      <c r="Y732" t="str">
        <f>'Conjunto de Datos'!J733</f>
        <v>Cobrada</v>
      </c>
      <c r="Z732" t="str">
        <f>INDEX(sala!H:H, MATCH(Tabla8[[#This Row],[Numero de Orden]], sala!K:K, 0))</f>
        <v>Tarjeta de crédito</v>
      </c>
      <c r="AA732" s="3">
        <f>'Conjunto de Datos'!D733</f>
        <v>45023</v>
      </c>
      <c r="AB732" t="str">
        <f>INDEX(sala!L:L, MATCH(Tabla8[[#This Row],[Numero de Orden]], sala!K:K, 0))</f>
        <v>Chile</v>
      </c>
      <c r="AC732" t="str">
        <f>'Conjunto de Datos'!N733</f>
        <v>Mesero_2</v>
      </c>
      <c r="AD732">
        <f>Tabla8[[#This Row],[Propina]]+Tabla8[[#This Row],[Precio Cena]]</f>
        <v>1499</v>
      </c>
      <c r="AE732" s="45">
        <f t="shared" si="19"/>
        <v>64</v>
      </c>
    </row>
    <row r="733" spans="19:31" x14ac:dyDescent="0.3">
      <c r="S733" t="str">
        <f>'Conjunto de Datos'!BB734</f>
        <v>770</v>
      </c>
      <c r="T733">
        <f>'Conjunto de Datos'!BF734</f>
        <v>732</v>
      </c>
      <c r="U733" s="7">
        <f>sala!I733</f>
        <v>4335</v>
      </c>
      <c r="V733" cm="1">
        <f t="array" ref="V733">SUM(IF(Cocina!A:A=Tabla8[[#This Row],[Numero de Orden]],Cocina!F:F*Cocina!G:G,0))</f>
        <v>306</v>
      </c>
      <c r="W733">
        <f>IF(Tabla8[[#This Row],[Cobrado]]="Cobrada",Tabla8[[#This Row],[Propina]]+Tabla8[[#This Row],[Precio Cena]],0)</f>
        <v>4641</v>
      </c>
      <c r="X733" t="str">
        <f>INDEX(sala!G:G, MATCH(Tabla8[[#This Row],[Numero de Orden]], sala!K:K, 0))</f>
        <v>Almuerzo</v>
      </c>
      <c r="Y733" t="str">
        <f>'Conjunto de Datos'!J734</f>
        <v>Cobrada</v>
      </c>
      <c r="Z733" t="str">
        <f>INDEX(sala!H:H, MATCH(Tabla8[[#This Row],[Numero de Orden]], sala!K:K, 0))</f>
        <v>Tarjeta de crédito</v>
      </c>
      <c r="AA733" s="3">
        <f>'Conjunto de Datos'!D734</f>
        <v>45023</v>
      </c>
      <c r="AB733" t="str">
        <f>INDEX(sala!L:L, MATCH(Tabla8[[#This Row],[Numero de Orden]], sala!K:K, 0))</f>
        <v>Brasil</v>
      </c>
      <c r="AC733" t="str">
        <f>'Conjunto de Datos'!N734</f>
        <v>Mesero_4</v>
      </c>
      <c r="AD733">
        <f>Tabla8[[#This Row],[Propina]]+Tabla8[[#This Row],[Precio Cena]]</f>
        <v>4641</v>
      </c>
      <c r="AE733" s="45">
        <f t="shared" si="19"/>
        <v>306</v>
      </c>
    </row>
    <row r="734" spans="19:31" x14ac:dyDescent="0.3">
      <c r="S734" s="15" t="str">
        <f>'Conjunto de Datos'!BB735</f>
        <v>359</v>
      </c>
      <c r="T734" s="15">
        <f>'Conjunto de Datos'!BF735</f>
        <v>733</v>
      </c>
      <c r="U734" s="6">
        <f>sala!I734</f>
        <v>3509</v>
      </c>
      <c r="V734" cm="1">
        <f t="array" ref="V734">SUM(IF(Cocina!A:A=Tabla8[[#This Row],[Numero de Orden]],Cocina!F:F*Cocina!G:G,0))</f>
        <v>186</v>
      </c>
      <c r="W734">
        <f>IF(Tabla8[[#This Row],[Cobrado]]="Cobrada",Tabla8[[#This Row],[Propina]]+Tabla8[[#This Row],[Precio Cena]],0)</f>
        <v>3695</v>
      </c>
      <c r="X734" t="str">
        <f>INDEX(sala!G:G, MATCH(Tabla8[[#This Row],[Numero de Orden]], sala!K:K, 0))</f>
        <v>Cena</v>
      </c>
      <c r="Y734" t="str">
        <f>'Conjunto de Datos'!J735</f>
        <v>Cobrada</v>
      </c>
      <c r="Z734" t="str">
        <f>INDEX(sala!H:H, MATCH(Tabla8[[#This Row],[Numero de Orden]], sala!K:K, 0))</f>
        <v>Tarjeta de crédito</v>
      </c>
      <c r="AA734" s="3">
        <f>'Conjunto de Datos'!D735</f>
        <v>45023</v>
      </c>
      <c r="AB734" t="str">
        <f>INDEX(sala!L:L, MATCH(Tabla8[[#This Row],[Numero de Orden]], sala!K:K, 0))</f>
        <v>Argentina</v>
      </c>
      <c r="AC734" t="str">
        <f>'Conjunto de Datos'!N735</f>
        <v>Mesero_4</v>
      </c>
      <c r="AD734">
        <f>Tabla8[[#This Row],[Propina]]+Tabla8[[#This Row],[Precio Cena]]</f>
        <v>3695</v>
      </c>
      <c r="AE734" s="45">
        <f t="shared" si="19"/>
        <v>186</v>
      </c>
    </row>
    <row r="735" spans="19:31" x14ac:dyDescent="0.3">
      <c r="S735" t="str">
        <f>'Conjunto de Datos'!BB736</f>
        <v>888</v>
      </c>
      <c r="T735">
        <f>'Conjunto de Datos'!BF736</f>
        <v>734</v>
      </c>
      <c r="U735" s="7">
        <f>sala!I735</f>
        <v>4682</v>
      </c>
      <c r="V735" cm="1">
        <f t="array" ref="V735">SUM(IF(Cocina!A:A=Tabla8[[#This Row],[Numero de Orden]],Cocina!F:F*Cocina!G:G,0))</f>
        <v>139</v>
      </c>
      <c r="W735">
        <f>IF(Tabla8[[#This Row],[Cobrado]]="Cobrada",Tabla8[[#This Row],[Propina]]+Tabla8[[#This Row],[Precio Cena]],0)</f>
        <v>4821</v>
      </c>
      <c r="X735" t="str">
        <f>INDEX(sala!G:G, MATCH(Tabla8[[#This Row],[Numero de Orden]], sala!K:K, 0))</f>
        <v>Almuerzo</v>
      </c>
      <c r="Y735" t="str">
        <f>'Conjunto de Datos'!J736</f>
        <v>Cobrada</v>
      </c>
      <c r="Z735" t="str">
        <f>INDEX(sala!H:H, MATCH(Tabla8[[#This Row],[Numero de Orden]], sala!K:K, 0))</f>
        <v>Efectivo</v>
      </c>
      <c r="AA735" s="3">
        <f>'Conjunto de Datos'!D736</f>
        <v>45023</v>
      </c>
      <c r="AB735" t="str">
        <f>INDEX(sala!L:L, MATCH(Tabla8[[#This Row],[Numero de Orden]], sala!K:K, 0))</f>
        <v>Venezuela</v>
      </c>
      <c r="AC735" t="str">
        <f>'Conjunto de Datos'!N736</f>
        <v>Mesero_2</v>
      </c>
      <c r="AD735">
        <f>Tabla8[[#This Row],[Propina]]+Tabla8[[#This Row],[Precio Cena]]</f>
        <v>4821</v>
      </c>
      <c r="AE735" s="45">
        <f t="shared" si="19"/>
        <v>139</v>
      </c>
    </row>
    <row r="736" spans="19:31" x14ac:dyDescent="0.3">
      <c r="S736" s="15" t="str">
        <f>'Conjunto de Datos'!BB737</f>
        <v>154</v>
      </c>
      <c r="T736" s="15">
        <f>'Conjunto de Datos'!BF737</f>
        <v>735</v>
      </c>
      <c r="U736" s="6">
        <f>sala!I736</f>
        <v>3843</v>
      </c>
      <c r="V736" cm="1">
        <f t="array" ref="V736">SUM(IF(Cocina!A:A=Tabla8[[#This Row],[Numero de Orden]],Cocina!F:F*Cocina!G:G,0))</f>
        <v>142</v>
      </c>
      <c r="W736">
        <f>IF(Tabla8[[#This Row],[Cobrado]]="Cobrada",Tabla8[[#This Row],[Propina]]+Tabla8[[#This Row],[Precio Cena]],0)</f>
        <v>3985</v>
      </c>
      <c r="X736" t="str">
        <f>INDEX(sala!G:G, MATCH(Tabla8[[#This Row],[Numero de Orden]], sala!K:K, 0))</f>
        <v>Desayuno</v>
      </c>
      <c r="Y736" t="str">
        <f>'Conjunto de Datos'!J737</f>
        <v>Cobrada</v>
      </c>
      <c r="Z736" t="str">
        <f>INDEX(sala!H:H, MATCH(Tabla8[[#This Row],[Numero de Orden]], sala!K:K, 0))</f>
        <v>Tarjeta de crédito</v>
      </c>
      <c r="AA736" s="3">
        <f>'Conjunto de Datos'!D737</f>
        <v>45023</v>
      </c>
      <c r="AB736" t="str">
        <f>INDEX(sala!L:L, MATCH(Tabla8[[#This Row],[Numero de Orden]], sala!K:K, 0))</f>
        <v>España</v>
      </c>
      <c r="AC736" t="str">
        <f>'Conjunto de Datos'!N737</f>
        <v>Mesero_3</v>
      </c>
      <c r="AD736">
        <f>Tabla8[[#This Row],[Propina]]+Tabla8[[#This Row],[Precio Cena]]</f>
        <v>3985</v>
      </c>
      <c r="AE736" s="45">
        <f t="shared" si="19"/>
        <v>142</v>
      </c>
    </row>
    <row r="737" spans="19:31" x14ac:dyDescent="0.3">
      <c r="S737" t="str">
        <f>'Conjunto de Datos'!BB738</f>
        <v>301</v>
      </c>
      <c r="T737">
        <f>'Conjunto de Datos'!BF738</f>
        <v>736</v>
      </c>
      <c r="U737" s="7">
        <f>sala!I737</f>
        <v>2591</v>
      </c>
      <c r="V737" cm="1">
        <f t="array" ref="V737">SUM(IF(Cocina!A:A=Tabla8[[#This Row],[Numero de Orden]],Cocina!F:F*Cocina!G:G,0))</f>
        <v>215</v>
      </c>
      <c r="W737">
        <f>IF(Tabla8[[#This Row],[Cobrado]]="Cobrada",Tabla8[[#This Row],[Propina]]+Tabla8[[#This Row],[Precio Cena]],0)</f>
        <v>2806</v>
      </c>
      <c r="X737" t="str">
        <f>INDEX(sala!G:G, MATCH(Tabla8[[#This Row],[Numero de Orden]], sala!K:K, 0))</f>
        <v>Desayuno</v>
      </c>
      <c r="Y737" t="str">
        <f>'Conjunto de Datos'!J738</f>
        <v>Cobrada</v>
      </c>
      <c r="Z737" t="str">
        <f>INDEX(sala!H:H, MATCH(Tabla8[[#This Row],[Numero de Orden]], sala!K:K, 0))</f>
        <v>Tarjeta de crédito</v>
      </c>
      <c r="AA737" s="3">
        <f>'Conjunto de Datos'!D738</f>
        <v>45023</v>
      </c>
      <c r="AB737" t="str">
        <f>INDEX(sala!L:L, MATCH(Tabla8[[#This Row],[Numero de Orden]], sala!K:K, 0))</f>
        <v>España</v>
      </c>
      <c r="AC737" t="str">
        <f>'Conjunto de Datos'!N738</f>
        <v>Mesero_4</v>
      </c>
      <c r="AD737">
        <f>Tabla8[[#This Row],[Propina]]+Tabla8[[#This Row],[Precio Cena]]</f>
        <v>2806</v>
      </c>
      <c r="AE737" s="45">
        <f t="shared" si="19"/>
        <v>215</v>
      </c>
    </row>
    <row r="738" spans="19:31" x14ac:dyDescent="0.3">
      <c r="S738" s="15" t="str">
        <f>'Conjunto de Datos'!BB739</f>
        <v>635</v>
      </c>
      <c r="T738" s="15">
        <f>'Conjunto de Datos'!BF739</f>
        <v>737</v>
      </c>
      <c r="U738" s="6">
        <f>sala!I738</f>
        <v>2409</v>
      </c>
      <c r="V738" cm="1">
        <f t="array" ref="V738">SUM(IF(Cocina!A:A=Tabla8[[#This Row],[Numero de Orden]],Cocina!F:F*Cocina!G:G,0))</f>
        <v>118</v>
      </c>
      <c r="W738">
        <f>IF(Tabla8[[#This Row],[Cobrado]]="Cobrada",Tabla8[[#This Row],[Propina]]+Tabla8[[#This Row],[Precio Cena]],0)</f>
        <v>2527</v>
      </c>
      <c r="X738" t="str">
        <f>INDEX(sala!G:G, MATCH(Tabla8[[#This Row],[Numero de Orden]], sala!K:K, 0))</f>
        <v>Desayuno</v>
      </c>
      <c r="Y738" t="str">
        <f>'Conjunto de Datos'!J739</f>
        <v>Cobrada</v>
      </c>
      <c r="Z738" t="str">
        <f>INDEX(sala!H:H, MATCH(Tabla8[[#This Row],[Numero de Orden]], sala!K:K, 0))</f>
        <v>Tarjeta de débito</v>
      </c>
      <c r="AA738" s="3">
        <f>'Conjunto de Datos'!D739</f>
        <v>45023</v>
      </c>
      <c r="AB738" t="str">
        <f>INDEX(sala!L:L, MATCH(Tabla8[[#This Row],[Numero de Orden]], sala!K:K, 0))</f>
        <v>Paraguay</v>
      </c>
      <c r="AC738" t="str">
        <f>'Conjunto de Datos'!N739</f>
        <v>Mesero_2</v>
      </c>
      <c r="AD738">
        <f>Tabla8[[#This Row],[Propina]]+Tabla8[[#This Row],[Precio Cena]]</f>
        <v>2527</v>
      </c>
      <c r="AE738" s="45">
        <f t="shared" si="19"/>
        <v>118</v>
      </c>
    </row>
    <row r="739" spans="19:31" x14ac:dyDescent="0.3">
      <c r="S739" t="str">
        <f>'Conjunto de Datos'!BB740</f>
        <v>70</v>
      </c>
      <c r="T739">
        <f>'Conjunto de Datos'!BF740</f>
        <v>738</v>
      </c>
      <c r="U739" s="7">
        <f>sala!I739</f>
        <v>1737</v>
      </c>
      <c r="V739" cm="1">
        <f t="array" ref="V739">SUM(IF(Cocina!A:A=Tabla8[[#This Row],[Numero de Orden]],Cocina!F:F*Cocina!G:G,0))</f>
        <v>134</v>
      </c>
      <c r="W739">
        <f>IF(Tabla8[[#This Row],[Cobrado]]="Cobrada",Tabla8[[#This Row],[Propina]]+Tabla8[[#This Row],[Precio Cena]],0)</f>
        <v>0</v>
      </c>
      <c r="X739" t="str">
        <f>INDEX(sala!G:G, MATCH(Tabla8[[#This Row],[Numero de Orden]], sala!K:K, 0))</f>
        <v>Almuerzo</v>
      </c>
      <c r="Y739" t="str">
        <f>'Conjunto de Datos'!J740</f>
        <v>No Cobrada</v>
      </c>
      <c r="Z739" t="str">
        <f>INDEX(sala!H:H, MATCH(Tabla8[[#This Row],[Numero de Orden]], sala!K:K, 0))</f>
        <v>Tarjeta de crédito</v>
      </c>
      <c r="AA739" s="3">
        <f>'Conjunto de Datos'!D740</f>
        <v>45023</v>
      </c>
      <c r="AB739" t="str">
        <f>INDEX(sala!L:L, MATCH(Tabla8[[#This Row],[Numero de Orden]], sala!K:K, 0))</f>
        <v>España</v>
      </c>
      <c r="AC739" t="str">
        <f>'Conjunto de Datos'!N740</f>
        <v>Mesero_3</v>
      </c>
      <c r="AD739">
        <f>Tabla8[[#This Row],[Propina]]+Tabla8[[#This Row],[Precio Cena]]</f>
        <v>1871</v>
      </c>
      <c r="AE739" s="45">
        <f t="shared" si="19"/>
        <v>0</v>
      </c>
    </row>
    <row r="740" spans="19:31" x14ac:dyDescent="0.3">
      <c r="S740" s="15" t="str">
        <f>'Conjunto de Datos'!BB741</f>
        <v>484</v>
      </c>
      <c r="T740" s="15">
        <f>'Conjunto de Datos'!BF741</f>
        <v>739</v>
      </c>
      <c r="U740" s="6">
        <f>sala!I740</f>
        <v>3369</v>
      </c>
      <c r="V740" cm="1">
        <f t="array" ref="V740">SUM(IF(Cocina!A:A=Tabla8[[#This Row],[Numero de Orden]],Cocina!F:F*Cocina!G:G,0))</f>
        <v>46</v>
      </c>
      <c r="W740">
        <f>IF(Tabla8[[#This Row],[Cobrado]]="Cobrada",Tabla8[[#This Row],[Propina]]+Tabla8[[#This Row],[Precio Cena]],0)</f>
        <v>3415</v>
      </c>
      <c r="X740" t="str">
        <f>INDEX(sala!G:G, MATCH(Tabla8[[#This Row],[Numero de Orden]], sala!K:K, 0))</f>
        <v>Almuerzo</v>
      </c>
      <c r="Y740" t="str">
        <f>'Conjunto de Datos'!J741</f>
        <v>Cobrada</v>
      </c>
      <c r="Z740" t="str">
        <f>INDEX(sala!H:H, MATCH(Tabla8[[#This Row],[Numero de Orden]], sala!K:K, 0))</f>
        <v>Tarjeta de débito</v>
      </c>
      <c r="AA740" s="3">
        <f>'Conjunto de Datos'!D741</f>
        <v>45023</v>
      </c>
      <c r="AB740" t="str">
        <f>INDEX(sala!L:L, MATCH(Tabla8[[#This Row],[Numero de Orden]], sala!K:K, 0))</f>
        <v>Colombia</v>
      </c>
      <c r="AC740" t="str">
        <f>'Conjunto de Datos'!N741</f>
        <v>Mesero_2</v>
      </c>
      <c r="AD740">
        <f>Tabla8[[#This Row],[Propina]]+Tabla8[[#This Row],[Precio Cena]]</f>
        <v>3415</v>
      </c>
      <c r="AE740" s="45">
        <f t="shared" si="19"/>
        <v>46</v>
      </c>
    </row>
    <row r="741" spans="19:31" x14ac:dyDescent="0.3">
      <c r="S741" t="str">
        <f>'Conjunto de Datos'!BB742</f>
        <v>297</v>
      </c>
      <c r="T741">
        <f>'Conjunto de Datos'!BF742</f>
        <v>740</v>
      </c>
      <c r="U741" s="7">
        <f>sala!I741</f>
        <v>1605</v>
      </c>
      <c r="V741" cm="1">
        <f t="array" ref="V741">SUM(IF(Cocina!A:A=Tabla8[[#This Row],[Numero de Orden]],Cocina!F:F*Cocina!G:G,0))</f>
        <v>293</v>
      </c>
      <c r="W741">
        <f>IF(Tabla8[[#This Row],[Cobrado]]="Cobrada",Tabla8[[#This Row],[Propina]]+Tabla8[[#This Row],[Precio Cena]],0)</f>
        <v>1898</v>
      </c>
      <c r="X741" t="str">
        <f>INDEX(sala!G:G, MATCH(Tabla8[[#This Row],[Numero de Orden]], sala!K:K, 0))</f>
        <v>Almuerzo</v>
      </c>
      <c r="Y741" t="str">
        <f>'Conjunto de Datos'!J742</f>
        <v>Cobrada</v>
      </c>
      <c r="Z741" t="str">
        <f>INDEX(sala!H:H, MATCH(Tabla8[[#This Row],[Numero de Orden]], sala!K:K, 0))</f>
        <v>Tarjeta de débito</v>
      </c>
      <c r="AA741" s="3">
        <f>'Conjunto de Datos'!D742</f>
        <v>45023</v>
      </c>
      <c r="AB741" t="str">
        <f>INDEX(sala!L:L, MATCH(Tabla8[[#This Row],[Numero de Orden]], sala!K:K, 0))</f>
        <v>Ecuador</v>
      </c>
      <c r="AC741" t="str">
        <f>'Conjunto de Datos'!N742</f>
        <v>Mesero_1</v>
      </c>
      <c r="AD741">
        <f>Tabla8[[#This Row],[Propina]]+Tabla8[[#This Row],[Precio Cena]]</f>
        <v>1898</v>
      </c>
      <c r="AE741" s="45">
        <f t="shared" si="19"/>
        <v>293</v>
      </c>
    </row>
    <row r="742" spans="19:31" x14ac:dyDescent="0.3">
      <c r="S742" s="15" t="str">
        <f>'Conjunto de Datos'!BB743</f>
        <v>196</v>
      </c>
      <c r="T742" s="15">
        <f>'Conjunto de Datos'!BF743</f>
        <v>741</v>
      </c>
      <c r="U742" s="6">
        <f>sala!I742</f>
        <v>4031</v>
      </c>
      <c r="V742" cm="1">
        <f t="array" ref="V742">SUM(IF(Cocina!A:A=Tabla8[[#This Row],[Numero de Orden]],Cocina!F:F*Cocina!G:G,0))</f>
        <v>285</v>
      </c>
      <c r="W742">
        <f>IF(Tabla8[[#This Row],[Cobrado]]="Cobrada",Tabla8[[#This Row],[Propina]]+Tabla8[[#This Row],[Precio Cena]],0)</f>
        <v>4316</v>
      </c>
      <c r="X742" t="str">
        <f>INDEX(sala!G:G, MATCH(Tabla8[[#This Row],[Numero de Orden]], sala!K:K, 0))</f>
        <v>Almuerzo</v>
      </c>
      <c r="Y742" t="str">
        <f>'Conjunto de Datos'!J743</f>
        <v>Cobrada</v>
      </c>
      <c r="Z742" t="str">
        <f>INDEX(sala!H:H, MATCH(Tabla8[[#This Row],[Numero de Orden]], sala!K:K, 0))</f>
        <v>Tarjeta de débito</v>
      </c>
      <c r="AA742" s="3">
        <f>'Conjunto de Datos'!D743</f>
        <v>45023</v>
      </c>
      <c r="AB742" t="str">
        <f>INDEX(sala!L:L, MATCH(Tabla8[[#This Row],[Numero de Orden]], sala!K:K, 0))</f>
        <v>Uruguay</v>
      </c>
      <c r="AC742" t="str">
        <f>'Conjunto de Datos'!N743</f>
        <v>Mesero_2</v>
      </c>
      <c r="AD742">
        <f>Tabla8[[#This Row],[Propina]]+Tabla8[[#This Row],[Precio Cena]]</f>
        <v>4316</v>
      </c>
      <c r="AE742" s="45">
        <f t="shared" si="19"/>
        <v>285</v>
      </c>
    </row>
    <row r="743" spans="19:31" x14ac:dyDescent="0.3">
      <c r="S743" t="str">
        <f>'Conjunto de Datos'!BB744</f>
        <v>320</v>
      </c>
      <c r="T743">
        <f>'Conjunto de Datos'!BF744</f>
        <v>742</v>
      </c>
      <c r="U743" s="7">
        <f>sala!I743</f>
        <v>1051</v>
      </c>
      <c r="V743" cm="1">
        <f t="array" ref="V743">SUM(IF(Cocina!A:A=Tabla8[[#This Row],[Numero de Orden]],Cocina!F:F*Cocina!G:G,0))</f>
        <v>166</v>
      </c>
      <c r="W743">
        <f>IF(Tabla8[[#This Row],[Cobrado]]="Cobrada",Tabla8[[#This Row],[Propina]]+Tabla8[[#This Row],[Precio Cena]],0)</f>
        <v>0</v>
      </c>
      <c r="X743" t="str">
        <f>INDEX(sala!G:G, MATCH(Tabla8[[#This Row],[Numero de Orden]], sala!K:K, 0))</f>
        <v>Desayuno</v>
      </c>
      <c r="Y743" t="str">
        <f>'Conjunto de Datos'!J744</f>
        <v>No Cobrada</v>
      </c>
      <c r="Z743" t="str">
        <f>INDEX(sala!H:H, MATCH(Tabla8[[#This Row],[Numero de Orden]], sala!K:K, 0))</f>
        <v>Tarjeta de crédito</v>
      </c>
      <c r="AA743" s="3">
        <f>'Conjunto de Datos'!D744</f>
        <v>45023</v>
      </c>
      <c r="AB743" t="str">
        <f>INDEX(sala!L:L, MATCH(Tabla8[[#This Row],[Numero de Orden]], sala!K:K, 0))</f>
        <v>Colombia</v>
      </c>
      <c r="AC743" t="str">
        <f>'Conjunto de Datos'!N744</f>
        <v>Mesero_2</v>
      </c>
      <c r="AD743">
        <f>Tabla8[[#This Row],[Propina]]+Tabla8[[#This Row],[Precio Cena]]</f>
        <v>1217</v>
      </c>
      <c r="AE743" s="45">
        <f t="shared" si="19"/>
        <v>0</v>
      </c>
    </row>
    <row r="744" spans="19:31" x14ac:dyDescent="0.3">
      <c r="S744" s="15" t="str">
        <f>'Conjunto de Datos'!BB745</f>
        <v>597</v>
      </c>
      <c r="T744" s="15">
        <f>'Conjunto de Datos'!BF745</f>
        <v>743</v>
      </c>
      <c r="U744" s="6">
        <f>sala!I744</f>
        <v>257</v>
      </c>
      <c r="V744" cm="1">
        <f t="array" ref="V744">SUM(IF(Cocina!A:A=Tabla8[[#This Row],[Numero de Orden]],Cocina!F:F*Cocina!G:G,0))</f>
        <v>134</v>
      </c>
      <c r="W744">
        <f>IF(Tabla8[[#This Row],[Cobrado]]="Cobrada",Tabla8[[#This Row],[Propina]]+Tabla8[[#This Row],[Precio Cena]],0)</f>
        <v>391</v>
      </c>
      <c r="X744" t="str">
        <f>INDEX(sala!G:G, MATCH(Tabla8[[#This Row],[Numero de Orden]], sala!K:K, 0))</f>
        <v>Almuerzo</v>
      </c>
      <c r="Y744" t="str">
        <f>'Conjunto de Datos'!J745</f>
        <v>Cobrada</v>
      </c>
      <c r="Z744" t="str">
        <f>INDEX(sala!H:H, MATCH(Tabla8[[#This Row],[Numero de Orden]], sala!K:K, 0))</f>
        <v>Tarjeta de débito</v>
      </c>
      <c r="AA744" s="3">
        <f>'Conjunto de Datos'!D745</f>
        <v>45023</v>
      </c>
      <c r="AB744" t="str">
        <f>INDEX(sala!L:L, MATCH(Tabla8[[#This Row],[Numero de Orden]], sala!K:K, 0))</f>
        <v>Brasil</v>
      </c>
      <c r="AC744" t="str">
        <f>'Conjunto de Datos'!N745</f>
        <v>Mesero_3</v>
      </c>
      <c r="AD744">
        <f>Tabla8[[#This Row],[Propina]]+Tabla8[[#This Row],[Precio Cena]]</f>
        <v>391</v>
      </c>
      <c r="AE744" s="45">
        <f t="shared" si="19"/>
        <v>134</v>
      </c>
    </row>
    <row r="745" spans="19:31" x14ac:dyDescent="0.3">
      <c r="S745" t="str">
        <f>'Conjunto de Datos'!BB746</f>
        <v>974</v>
      </c>
      <c r="T745">
        <f>'Conjunto de Datos'!BF746</f>
        <v>744</v>
      </c>
      <c r="U745" s="7">
        <f>sala!I745</f>
        <v>265</v>
      </c>
      <c r="V745" cm="1">
        <f t="array" ref="V745">SUM(IF(Cocina!A:A=Tabla8[[#This Row],[Numero de Orden]],Cocina!F:F*Cocina!G:G,0))</f>
        <v>76</v>
      </c>
      <c r="W745">
        <f>IF(Tabla8[[#This Row],[Cobrado]]="Cobrada",Tabla8[[#This Row],[Propina]]+Tabla8[[#This Row],[Precio Cena]],0)</f>
        <v>341</v>
      </c>
      <c r="X745" t="str">
        <f>INDEX(sala!G:G, MATCH(Tabla8[[#This Row],[Numero de Orden]], sala!K:K, 0))</f>
        <v>Almuerzo</v>
      </c>
      <c r="Y745" t="str">
        <f>'Conjunto de Datos'!J746</f>
        <v>Cobrada</v>
      </c>
      <c r="Z745" t="str">
        <f>INDEX(sala!H:H, MATCH(Tabla8[[#This Row],[Numero de Orden]], sala!K:K, 0))</f>
        <v>Tarjeta de crédito</v>
      </c>
      <c r="AA745" s="3">
        <f>'Conjunto de Datos'!D746</f>
        <v>45023</v>
      </c>
      <c r="AB745" t="str">
        <f>INDEX(sala!L:L, MATCH(Tabla8[[#This Row],[Numero de Orden]], sala!K:K, 0))</f>
        <v>España</v>
      </c>
      <c r="AC745" t="str">
        <f>'Conjunto de Datos'!N746</f>
        <v>Mesero_1</v>
      </c>
      <c r="AD745">
        <f>Tabla8[[#This Row],[Propina]]+Tabla8[[#This Row],[Precio Cena]]</f>
        <v>341</v>
      </c>
      <c r="AE745" s="45">
        <f t="shared" si="19"/>
        <v>76</v>
      </c>
    </row>
    <row r="746" spans="19:31" x14ac:dyDescent="0.3">
      <c r="S746" s="15" t="str">
        <f>'Conjunto de Datos'!BB747</f>
        <v>90</v>
      </c>
      <c r="T746" s="15">
        <f>'Conjunto de Datos'!BF747</f>
        <v>745</v>
      </c>
      <c r="U746" s="6">
        <f>sala!I746</f>
        <v>1875</v>
      </c>
      <c r="V746" cm="1">
        <f t="array" ref="V746">SUM(IF(Cocina!A:A=Tabla8[[#This Row],[Numero de Orden]],Cocina!F:F*Cocina!G:G,0))</f>
        <v>284</v>
      </c>
      <c r="W746">
        <f>IF(Tabla8[[#This Row],[Cobrado]]="Cobrada",Tabla8[[#This Row],[Propina]]+Tabla8[[#This Row],[Precio Cena]],0)</f>
        <v>2159</v>
      </c>
      <c r="X746" t="str">
        <f>INDEX(sala!G:G, MATCH(Tabla8[[#This Row],[Numero de Orden]], sala!K:K, 0))</f>
        <v>Almuerzo</v>
      </c>
      <c r="Y746" t="str">
        <f>'Conjunto de Datos'!J747</f>
        <v>Cobrada</v>
      </c>
      <c r="Z746" t="str">
        <f>INDEX(sala!H:H, MATCH(Tabla8[[#This Row],[Numero de Orden]], sala!K:K, 0))</f>
        <v>Efectivo</v>
      </c>
      <c r="AA746" s="3">
        <f>'Conjunto de Datos'!D747</f>
        <v>45023</v>
      </c>
      <c r="AB746" t="str">
        <f>INDEX(sala!L:L, MATCH(Tabla8[[#This Row],[Numero de Orden]], sala!K:K, 0))</f>
        <v>Bolivia</v>
      </c>
      <c r="AC746" t="str">
        <f>'Conjunto de Datos'!N747</f>
        <v>Mesero_5</v>
      </c>
      <c r="AD746">
        <f>Tabla8[[#This Row],[Propina]]+Tabla8[[#This Row],[Precio Cena]]</f>
        <v>2159</v>
      </c>
      <c r="AE746" s="45">
        <f t="shared" si="19"/>
        <v>284</v>
      </c>
    </row>
    <row r="747" spans="19:31" x14ac:dyDescent="0.3">
      <c r="S747" t="str">
        <f>'Conjunto de Datos'!BB748</f>
        <v>950</v>
      </c>
      <c r="T747">
        <f>'Conjunto de Datos'!BF748</f>
        <v>746</v>
      </c>
      <c r="U747" s="7">
        <f>sala!I747</f>
        <v>449</v>
      </c>
      <c r="V747" cm="1">
        <f t="array" ref="V747">SUM(IF(Cocina!A:A=Tabla8[[#This Row],[Numero de Orden]],Cocina!F:F*Cocina!G:G,0))</f>
        <v>201</v>
      </c>
      <c r="W747">
        <f>IF(Tabla8[[#This Row],[Cobrado]]="Cobrada",Tabla8[[#This Row],[Propina]]+Tabla8[[#This Row],[Precio Cena]],0)</f>
        <v>650</v>
      </c>
      <c r="X747" t="str">
        <f>INDEX(sala!G:G, MATCH(Tabla8[[#This Row],[Numero de Orden]], sala!K:K, 0))</f>
        <v>Almuerzo</v>
      </c>
      <c r="Y747" t="str">
        <f>'Conjunto de Datos'!J748</f>
        <v>Cobrada</v>
      </c>
      <c r="Z747" t="str">
        <f>INDEX(sala!H:H, MATCH(Tabla8[[#This Row],[Numero de Orden]], sala!K:K, 0))</f>
        <v>Tarjeta de crédito</v>
      </c>
      <c r="AA747" s="3">
        <f>'Conjunto de Datos'!D748</f>
        <v>45023</v>
      </c>
      <c r="AB747" t="str">
        <f>INDEX(sala!L:L, MATCH(Tabla8[[#This Row],[Numero de Orden]], sala!K:K, 0))</f>
        <v>Chile</v>
      </c>
      <c r="AC747" t="str">
        <f>'Conjunto de Datos'!N748</f>
        <v>Mesero_1</v>
      </c>
      <c r="AD747">
        <f>Tabla8[[#This Row],[Propina]]+Tabla8[[#This Row],[Precio Cena]]</f>
        <v>650</v>
      </c>
      <c r="AE747" s="45">
        <f t="shared" si="19"/>
        <v>201</v>
      </c>
    </row>
    <row r="748" spans="19:31" x14ac:dyDescent="0.3">
      <c r="S748" s="15" t="str">
        <f>'Conjunto de Datos'!BB749</f>
        <v>446</v>
      </c>
      <c r="T748" s="15">
        <f>'Conjunto de Datos'!BF749</f>
        <v>747</v>
      </c>
      <c r="U748" s="6">
        <f>sala!I748</f>
        <v>3723</v>
      </c>
      <c r="V748" cm="1">
        <f t="array" ref="V748">SUM(IF(Cocina!A:A=Tabla8[[#This Row],[Numero de Orden]],Cocina!F:F*Cocina!G:G,0))</f>
        <v>25</v>
      </c>
      <c r="W748">
        <f>IF(Tabla8[[#This Row],[Cobrado]]="Cobrada",Tabla8[[#This Row],[Propina]]+Tabla8[[#This Row],[Precio Cena]],0)</f>
        <v>3748</v>
      </c>
      <c r="X748" t="str">
        <f>INDEX(sala!G:G, MATCH(Tabla8[[#This Row],[Numero de Orden]], sala!K:K, 0))</f>
        <v>Desayuno</v>
      </c>
      <c r="Y748" t="str">
        <f>'Conjunto de Datos'!J749</f>
        <v>Cobrada</v>
      </c>
      <c r="Z748" t="str">
        <f>INDEX(sala!H:H, MATCH(Tabla8[[#This Row],[Numero de Orden]], sala!K:K, 0))</f>
        <v>Tarjeta de débito</v>
      </c>
      <c r="AA748" s="3">
        <f>'Conjunto de Datos'!D749</f>
        <v>45023</v>
      </c>
      <c r="AB748" t="str">
        <f>INDEX(sala!L:L, MATCH(Tabla8[[#This Row],[Numero de Orden]], sala!K:K, 0))</f>
        <v>Uruguay</v>
      </c>
      <c r="AC748" t="str">
        <f>'Conjunto de Datos'!N749</f>
        <v>Mesero_1</v>
      </c>
      <c r="AD748">
        <f>Tabla8[[#This Row],[Propina]]+Tabla8[[#This Row],[Precio Cena]]</f>
        <v>3748</v>
      </c>
      <c r="AE748" s="45">
        <f t="shared" si="19"/>
        <v>25</v>
      </c>
    </row>
    <row r="749" spans="19:31" x14ac:dyDescent="0.3">
      <c r="S749" t="str">
        <f>'Conjunto de Datos'!BB750</f>
        <v>298</v>
      </c>
      <c r="T749">
        <f>'Conjunto de Datos'!BF750</f>
        <v>748</v>
      </c>
      <c r="U749" s="7">
        <f>sala!I749</f>
        <v>1255</v>
      </c>
      <c r="V749" cm="1">
        <f t="array" ref="V749">SUM(IF(Cocina!A:A=Tabla8[[#This Row],[Numero de Orden]],Cocina!F:F*Cocina!G:G,0))</f>
        <v>110</v>
      </c>
      <c r="W749">
        <f>IF(Tabla8[[#This Row],[Cobrado]]="Cobrada",Tabla8[[#This Row],[Propina]]+Tabla8[[#This Row],[Precio Cena]],0)</f>
        <v>1365</v>
      </c>
      <c r="X749" t="str">
        <f>INDEX(sala!G:G, MATCH(Tabla8[[#This Row],[Numero de Orden]], sala!K:K, 0))</f>
        <v>Almuerzo</v>
      </c>
      <c r="Y749" t="str">
        <f>'Conjunto de Datos'!J750</f>
        <v>Cobrada</v>
      </c>
      <c r="Z749" t="str">
        <f>INDEX(sala!H:H, MATCH(Tabla8[[#This Row],[Numero de Orden]], sala!K:K, 0))</f>
        <v>Tarjeta de crédito</v>
      </c>
      <c r="AA749" s="3">
        <f>'Conjunto de Datos'!D750</f>
        <v>45023</v>
      </c>
      <c r="AB749" t="str">
        <f>INDEX(sala!L:L, MATCH(Tabla8[[#This Row],[Numero de Orden]], sala!K:K, 0))</f>
        <v>Venezuela</v>
      </c>
      <c r="AC749" t="str">
        <f>'Conjunto de Datos'!N750</f>
        <v>Mesero_2</v>
      </c>
      <c r="AD749">
        <f>Tabla8[[#This Row],[Propina]]+Tabla8[[#This Row],[Precio Cena]]</f>
        <v>1365</v>
      </c>
      <c r="AE749" s="45">
        <f t="shared" si="19"/>
        <v>110</v>
      </c>
    </row>
    <row r="750" spans="19:31" x14ac:dyDescent="0.3">
      <c r="S750" s="15" t="str">
        <f>'Conjunto de Datos'!BB751</f>
        <v>446</v>
      </c>
      <c r="T750" s="15">
        <f>'Conjunto de Datos'!BF751</f>
        <v>749</v>
      </c>
      <c r="U750" s="6">
        <f>sala!I750</f>
        <v>2412</v>
      </c>
      <c r="V750" cm="1">
        <f t="array" ref="V750">SUM(IF(Cocina!A:A=Tabla8[[#This Row],[Numero de Orden]],Cocina!F:F*Cocina!G:G,0))</f>
        <v>70</v>
      </c>
      <c r="W750">
        <f>IF(Tabla8[[#This Row],[Cobrado]]="Cobrada",Tabla8[[#This Row],[Propina]]+Tabla8[[#This Row],[Precio Cena]],0)</f>
        <v>2482</v>
      </c>
      <c r="X750" t="str">
        <f>INDEX(sala!G:G, MATCH(Tabla8[[#This Row],[Numero de Orden]], sala!K:K, 0))</f>
        <v>Almuerzo</v>
      </c>
      <c r="Y750" t="str">
        <f>'Conjunto de Datos'!J751</f>
        <v>Cobrada</v>
      </c>
      <c r="Z750" t="str">
        <f>INDEX(sala!H:H, MATCH(Tabla8[[#This Row],[Numero de Orden]], sala!K:K, 0))</f>
        <v>Tarjeta de débito</v>
      </c>
      <c r="AA750" s="3">
        <f>'Conjunto de Datos'!D751</f>
        <v>45023</v>
      </c>
      <c r="AB750" t="str">
        <f>INDEX(sala!L:L, MATCH(Tabla8[[#This Row],[Numero de Orden]], sala!K:K, 0))</f>
        <v>Perú</v>
      </c>
      <c r="AC750" t="str">
        <f>'Conjunto de Datos'!N751</f>
        <v>Mesero_4</v>
      </c>
      <c r="AD750">
        <f>Tabla8[[#This Row],[Propina]]+Tabla8[[#This Row],[Precio Cena]]</f>
        <v>2482</v>
      </c>
      <c r="AE750" s="45">
        <f t="shared" si="19"/>
        <v>70</v>
      </c>
    </row>
    <row r="751" spans="19:31" x14ac:dyDescent="0.3">
      <c r="S751" t="str">
        <f>'Conjunto de Datos'!BB752</f>
        <v>304</v>
      </c>
      <c r="T751">
        <f>'Conjunto de Datos'!BF752</f>
        <v>750</v>
      </c>
      <c r="U751" s="7">
        <f>sala!I751</f>
        <v>2182</v>
      </c>
      <c r="V751" cm="1">
        <f t="array" ref="V751">SUM(IF(Cocina!A:A=Tabla8[[#This Row],[Numero de Orden]],Cocina!F:F*Cocina!G:G,0))</f>
        <v>119</v>
      </c>
      <c r="W751">
        <f>IF(Tabla8[[#This Row],[Cobrado]]="Cobrada",Tabla8[[#This Row],[Propina]]+Tabla8[[#This Row],[Precio Cena]],0)</f>
        <v>0</v>
      </c>
      <c r="X751" t="str">
        <f>INDEX(sala!G:G, MATCH(Tabla8[[#This Row],[Numero de Orden]], sala!K:K, 0))</f>
        <v>Almuerzo</v>
      </c>
      <c r="Y751" t="str">
        <f>'Conjunto de Datos'!J752</f>
        <v>No Cobrada</v>
      </c>
      <c r="Z751" t="str">
        <f>INDEX(sala!H:H, MATCH(Tabla8[[#This Row],[Numero de Orden]], sala!K:K, 0))</f>
        <v>Tarjeta de crédito</v>
      </c>
      <c r="AA751" s="3">
        <f>'Conjunto de Datos'!D752</f>
        <v>45023</v>
      </c>
      <c r="AB751" t="str">
        <f>INDEX(sala!L:L, MATCH(Tabla8[[#This Row],[Numero de Orden]], sala!K:K, 0))</f>
        <v>Bolivia</v>
      </c>
      <c r="AC751" t="str">
        <f>'Conjunto de Datos'!N752</f>
        <v>Mesero_1</v>
      </c>
      <c r="AD751">
        <f>Tabla8[[#This Row],[Propina]]+Tabla8[[#This Row],[Precio Cena]]</f>
        <v>2301</v>
      </c>
      <c r="AE751" s="45">
        <f t="shared" si="19"/>
        <v>0</v>
      </c>
    </row>
    <row r="752" spans="19:31" x14ac:dyDescent="0.3">
      <c r="S752" s="15" t="str">
        <f>'Conjunto de Datos'!BB753</f>
        <v>157</v>
      </c>
      <c r="T752" s="15">
        <f>'Conjunto de Datos'!BF753</f>
        <v>751</v>
      </c>
      <c r="U752" s="6">
        <f>sala!I752</f>
        <v>4935</v>
      </c>
      <c r="V752" cm="1">
        <f t="array" ref="V752">SUM(IF(Cocina!A:A=Tabla8[[#This Row],[Numero de Orden]],Cocina!F:F*Cocina!G:G,0))</f>
        <v>170</v>
      </c>
      <c r="W752">
        <f>IF(Tabla8[[#This Row],[Cobrado]]="Cobrada",Tabla8[[#This Row],[Propina]]+Tabla8[[#This Row],[Precio Cena]],0)</f>
        <v>5105</v>
      </c>
      <c r="X752" t="str">
        <f>INDEX(sala!G:G, MATCH(Tabla8[[#This Row],[Numero de Orden]], sala!K:K, 0))</f>
        <v>Desayuno</v>
      </c>
      <c r="Y752" t="str">
        <f>'Conjunto de Datos'!J753</f>
        <v>Cobrada</v>
      </c>
      <c r="Z752" t="str">
        <f>INDEX(sala!H:H, MATCH(Tabla8[[#This Row],[Numero de Orden]], sala!K:K, 0))</f>
        <v>Tarjeta de crédito</v>
      </c>
      <c r="AA752" s="3">
        <f>'Conjunto de Datos'!D753</f>
        <v>45023</v>
      </c>
      <c r="AB752" t="str">
        <f>INDEX(sala!L:L, MATCH(Tabla8[[#This Row],[Numero de Orden]], sala!K:K, 0))</f>
        <v>Brasil</v>
      </c>
      <c r="AC752" t="str">
        <f>'Conjunto de Datos'!N753</f>
        <v>Mesero_2</v>
      </c>
      <c r="AD752">
        <f>Tabla8[[#This Row],[Propina]]+Tabla8[[#This Row],[Precio Cena]]</f>
        <v>5105</v>
      </c>
      <c r="AE752" s="45">
        <f t="shared" si="19"/>
        <v>170</v>
      </c>
    </row>
    <row r="753" spans="19:31" x14ac:dyDescent="0.3">
      <c r="S753" t="str">
        <f>'Conjunto de Datos'!BB754</f>
        <v>736</v>
      </c>
      <c r="T753">
        <f>'Conjunto de Datos'!BF754</f>
        <v>752</v>
      </c>
      <c r="U753" s="7">
        <f>sala!I753</f>
        <v>4627</v>
      </c>
      <c r="V753" cm="1">
        <f t="array" ref="V753">SUM(IF(Cocina!A:A=Tabla8[[#This Row],[Numero de Orden]],Cocina!F:F*Cocina!G:G,0))</f>
        <v>60</v>
      </c>
      <c r="W753">
        <f>IF(Tabla8[[#This Row],[Cobrado]]="Cobrada",Tabla8[[#This Row],[Propina]]+Tabla8[[#This Row],[Precio Cena]],0)</f>
        <v>4687</v>
      </c>
      <c r="X753" t="str">
        <f>INDEX(sala!G:G, MATCH(Tabla8[[#This Row],[Numero de Orden]], sala!K:K, 0))</f>
        <v>Almuerzo</v>
      </c>
      <c r="Y753" t="str">
        <f>'Conjunto de Datos'!J754</f>
        <v>Cobrada</v>
      </c>
      <c r="Z753" t="str">
        <f>INDEX(sala!H:H, MATCH(Tabla8[[#This Row],[Numero de Orden]], sala!K:K, 0))</f>
        <v>Tarjeta de crédito</v>
      </c>
      <c r="AA753" s="3">
        <f>'Conjunto de Datos'!D754</f>
        <v>45023</v>
      </c>
      <c r="AB753" t="str">
        <f>INDEX(sala!L:L, MATCH(Tabla8[[#This Row],[Numero de Orden]], sala!K:K, 0))</f>
        <v>Perú</v>
      </c>
      <c r="AC753" t="str">
        <f>'Conjunto de Datos'!N754</f>
        <v>Mesero_3</v>
      </c>
      <c r="AD753">
        <f>Tabla8[[#This Row],[Propina]]+Tabla8[[#This Row],[Precio Cena]]</f>
        <v>4687</v>
      </c>
      <c r="AE753" s="45">
        <f t="shared" si="19"/>
        <v>60</v>
      </c>
    </row>
    <row r="754" spans="19:31" x14ac:dyDescent="0.3">
      <c r="S754" s="15" t="str">
        <f>'Conjunto de Datos'!BB755</f>
        <v>827</v>
      </c>
      <c r="T754" s="15">
        <f>'Conjunto de Datos'!BF755</f>
        <v>753</v>
      </c>
      <c r="U754" s="6">
        <f>sala!I754</f>
        <v>2624</v>
      </c>
      <c r="V754" cm="1">
        <f t="array" ref="V754">SUM(IF(Cocina!A:A=Tabla8[[#This Row],[Numero de Orden]],Cocina!F:F*Cocina!G:G,0))</f>
        <v>163</v>
      </c>
      <c r="W754">
        <f>IF(Tabla8[[#This Row],[Cobrado]]="Cobrada",Tabla8[[#This Row],[Propina]]+Tabla8[[#This Row],[Precio Cena]],0)</f>
        <v>2787</v>
      </c>
      <c r="X754" t="str">
        <f>INDEX(sala!G:G, MATCH(Tabla8[[#This Row],[Numero de Orden]], sala!K:K, 0))</f>
        <v>Almuerzo</v>
      </c>
      <c r="Y754" t="str">
        <f>'Conjunto de Datos'!J755</f>
        <v>Cobrada</v>
      </c>
      <c r="Z754" t="str">
        <f>INDEX(sala!H:H, MATCH(Tabla8[[#This Row],[Numero de Orden]], sala!K:K, 0))</f>
        <v>Tarjeta de débito</v>
      </c>
      <c r="AA754" s="3">
        <f>'Conjunto de Datos'!D755</f>
        <v>45023</v>
      </c>
      <c r="AB754" t="str">
        <f>INDEX(sala!L:L, MATCH(Tabla8[[#This Row],[Numero de Orden]], sala!K:K, 0))</f>
        <v>Chile</v>
      </c>
      <c r="AC754" t="str">
        <f>'Conjunto de Datos'!N755</f>
        <v>Mesero_4</v>
      </c>
      <c r="AD754">
        <f>Tabla8[[#This Row],[Propina]]+Tabla8[[#This Row],[Precio Cena]]</f>
        <v>2787</v>
      </c>
      <c r="AE754" s="45">
        <f t="shared" si="19"/>
        <v>163</v>
      </c>
    </row>
    <row r="755" spans="19:31" x14ac:dyDescent="0.3">
      <c r="S755" t="str">
        <f>'Conjunto de Datos'!BB756</f>
        <v>871</v>
      </c>
      <c r="T755">
        <f>'Conjunto de Datos'!BF756</f>
        <v>754</v>
      </c>
      <c r="U755" s="7">
        <f>sala!I755</f>
        <v>4274</v>
      </c>
      <c r="V755" cm="1">
        <f t="array" ref="V755">SUM(IF(Cocina!A:A=Tabla8[[#This Row],[Numero de Orden]],Cocina!F:F*Cocina!G:G,0))</f>
        <v>237</v>
      </c>
      <c r="W755">
        <f>IF(Tabla8[[#This Row],[Cobrado]]="Cobrada",Tabla8[[#This Row],[Propina]]+Tabla8[[#This Row],[Precio Cena]],0)</f>
        <v>0</v>
      </c>
      <c r="X755" t="str">
        <f>INDEX(sala!G:G, MATCH(Tabla8[[#This Row],[Numero de Orden]], sala!K:K, 0))</f>
        <v>Almuerzo</v>
      </c>
      <c r="Y755" t="str">
        <f>'Conjunto de Datos'!J756</f>
        <v>No Cobrada</v>
      </c>
      <c r="Z755" t="str">
        <f>INDEX(sala!H:H, MATCH(Tabla8[[#This Row],[Numero de Orden]], sala!K:K, 0))</f>
        <v>Tarjeta de crédito</v>
      </c>
      <c r="AA755" s="3">
        <f>'Conjunto de Datos'!D756</f>
        <v>45023</v>
      </c>
      <c r="AB755" t="str">
        <f>INDEX(sala!L:L, MATCH(Tabla8[[#This Row],[Numero de Orden]], sala!K:K, 0))</f>
        <v>España</v>
      </c>
      <c r="AC755" t="str">
        <f>'Conjunto de Datos'!N756</f>
        <v>Mesero_3</v>
      </c>
      <c r="AD755">
        <f>Tabla8[[#This Row],[Propina]]+Tabla8[[#This Row],[Precio Cena]]</f>
        <v>4511</v>
      </c>
      <c r="AE755" s="45">
        <f t="shared" si="19"/>
        <v>0</v>
      </c>
    </row>
    <row r="756" spans="19:31" x14ac:dyDescent="0.3">
      <c r="S756" s="15" t="str">
        <f>'Conjunto de Datos'!BB757</f>
        <v>743</v>
      </c>
      <c r="T756" s="15">
        <f>'Conjunto de Datos'!BF757</f>
        <v>755</v>
      </c>
      <c r="U756" s="6">
        <f>sala!I756</f>
        <v>2665</v>
      </c>
      <c r="V756" cm="1">
        <f t="array" ref="V756">SUM(IF(Cocina!A:A=Tabla8[[#This Row],[Numero de Orden]],Cocina!F:F*Cocina!G:G,0))</f>
        <v>211</v>
      </c>
      <c r="W756">
        <f>IF(Tabla8[[#This Row],[Cobrado]]="Cobrada",Tabla8[[#This Row],[Propina]]+Tabla8[[#This Row],[Precio Cena]],0)</f>
        <v>2876</v>
      </c>
      <c r="X756" t="str">
        <f>INDEX(sala!G:G, MATCH(Tabla8[[#This Row],[Numero de Orden]], sala!K:K, 0))</f>
        <v>Almuerzo</v>
      </c>
      <c r="Y756" t="str">
        <f>'Conjunto de Datos'!J757</f>
        <v>Cobrada</v>
      </c>
      <c r="Z756" t="str">
        <f>INDEX(sala!H:H, MATCH(Tabla8[[#This Row],[Numero de Orden]], sala!K:K, 0))</f>
        <v>Tarjeta de crédito</v>
      </c>
      <c r="AA756" s="3">
        <f>'Conjunto de Datos'!D757</f>
        <v>45023</v>
      </c>
      <c r="AB756" t="str">
        <f>INDEX(sala!L:L, MATCH(Tabla8[[#This Row],[Numero de Orden]], sala!K:K, 0))</f>
        <v>Brasil</v>
      </c>
      <c r="AC756" t="str">
        <f>'Conjunto de Datos'!N757</f>
        <v>Mesero_2</v>
      </c>
      <c r="AD756">
        <f>Tabla8[[#This Row],[Propina]]+Tabla8[[#This Row],[Precio Cena]]</f>
        <v>2876</v>
      </c>
      <c r="AE756" s="45">
        <f t="shared" si="19"/>
        <v>211</v>
      </c>
    </row>
    <row r="757" spans="19:31" x14ac:dyDescent="0.3">
      <c r="S757" t="str">
        <f>'Conjunto de Datos'!BB758</f>
        <v>428</v>
      </c>
      <c r="T757">
        <f>'Conjunto de Datos'!BF758</f>
        <v>756</v>
      </c>
      <c r="U757" s="7">
        <f>sala!I757</f>
        <v>3175</v>
      </c>
      <c r="V757" cm="1">
        <f t="array" ref="V757">SUM(IF(Cocina!A:A=Tabla8[[#This Row],[Numero de Orden]],Cocina!F:F*Cocina!G:G,0))</f>
        <v>50</v>
      </c>
      <c r="W757">
        <f>IF(Tabla8[[#This Row],[Cobrado]]="Cobrada",Tabla8[[#This Row],[Propina]]+Tabla8[[#This Row],[Precio Cena]],0)</f>
        <v>3225</v>
      </c>
      <c r="X757" t="str">
        <f>INDEX(sala!G:G, MATCH(Tabla8[[#This Row],[Numero de Orden]], sala!K:K, 0))</f>
        <v>Cena</v>
      </c>
      <c r="Y757" t="str">
        <f>'Conjunto de Datos'!J758</f>
        <v>Cobrada</v>
      </c>
      <c r="Z757" t="str">
        <f>INDEX(sala!H:H, MATCH(Tabla8[[#This Row],[Numero de Orden]], sala!K:K, 0))</f>
        <v>Tarjeta de crédito</v>
      </c>
      <c r="AA757" s="3">
        <f>'Conjunto de Datos'!D758</f>
        <v>45023</v>
      </c>
      <c r="AB757" t="str">
        <f>INDEX(sala!L:L, MATCH(Tabla8[[#This Row],[Numero de Orden]], sala!K:K, 0))</f>
        <v>Perú</v>
      </c>
      <c r="AC757" t="str">
        <f>'Conjunto de Datos'!N758</f>
        <v>Mesero_1</v>
      </c>
      <c r="AD757">
        <f>Tabla8[[#This Row],[Propina]]+Tabla8[[#This Row],[Precio Cena]]</f>
        <v>3225</v>
      </c>
      <c r="AE757" s="45">
        <f t="shared" si="19"/>
        <v>50</v>
      </c>
    </row>
    <row r="758" spans="19:31" x14ac:dyDescent="0.3">
      <c r="S758" s="15" t="str">
        <f>'Conjunto de Datos'!BB759</f>
        <v>750</v>
      </c>
      <c r="T758" s="15">
        <f>'Conjunto de Datos'!BF759</f>
        <v>757</v>
      </c>
      <c r="U758" s="6">
        <f>sala!I758</f>
        <v>1003</v>
      </c>
      <c r="V758" cm="1">
        <f t="array" ref="V758">SUM(IF(Cocina!A:A=Tabla8[[#This Row],[Numero de Orden]],Cocina!F:F*Cocina!G:G,0))</f>
        <v>60</v>
      </c>
      <c r="W758">
        <f>IF(Tabla8[[#This Row],[Cobrado]]="Cobrada",Tabla8[[#This Row],[Propina]]+Tabla8[[#This Row],[Precio Cena]],0)</f>
        <v>1063</v>
      </c>
      <c r="X758" t="str">
        <f>INDEX(sala!G:G, MATCH(Tabla8[[#This Row],[Numero de Orden]], sala!K:K, 0))</f>
        <v>Almuerzo</v>
      </c>
      <c r="Y758" t="str">
        <f>'Conjunto de Datos'!J759</f>
        <v>Cobrada</v>
      </c>
      <c r="Z758" t="str">
        <f>INDEX(sala!H:H, MATCH(Tabla8[[#This Row],[Numero de Orden]], sala!K:K, 0))</f>
        <v>Tarjeta de débito</v>
      </c>
      <c r="AA758" s="3">
        <f>'Conjunto de Datos'!D759</f>
        <v>45023</v>
      </c>
      <c r="AB758" t="str">
        <f>INDEX(sala!L:L, MATCH(Tabla8[[#This Row],[Numero de Orden]], sala!K:K, 0))</f>
        <v>Brasil</v>
      </c>
      <c r="AC758" t="str">
        <f>'Conjunto de Datos'!N759</f>
        <v>Mesero_2</v>
      </c>
      <c r="AD758">
        <f>Tabla8[[#This Row],[Propina]]+Tabla8[[#This Row],[Precio Cena]]</f>
        <v>1063</v>
      </c>
      <c r="AE758" s="45">
        <f t="shared" si="19"/>
        <v>60</v>
      </c>
    </row>
    <row r="759" spans="19:31" x14ac:dyDescent="0.3">
      <c r="S759" t="str">
        <f>'Conjunto de Datos'!BB760</f>
        <v>808</v>
      </c>
      <c r="T759">
        <f>'Conjunto de Datos'!BF760</f>
        <v>758</v>
      </c>
      <c r="U759" s="7">
        <f>sala!I759</f>
        <v>2704</v>
      </c>
      <c r="V759" cm="1">
        <f t="array" ref="V759">SUM(IF(Cocina!A:A=Tabla8[[#This Row],[Numero de Orden]],Cocina!F:F*Cocina!G:G,0))</f>
        <v>52</v>
      </c>
      <c r="W759">
        <f>IF(Tabla8[[#This Row],[Cobrado]]="Cobrada",Tabla8[[#This Row],[Propina]]+Tabla8[[#This Row],[Precio Cena]],0)</f>
        <v>2756</v>
      </c>
      <c r="X759" t="str">
        <f>INDEX(sala!G:G, MATCH(Tabla8[[#This Row],[Numero de Orden]], sala!K:K, 0))</f>
        <v>Desayuno</v>
      </c>
      <c r="Y759" t="str">
        <f>'Conjunto de Datos'!J760</f>
        <v>Cobrada</v>
      </c>
      <c r="Z759" t="str">
        <f>INDEX(sala!H:H, MATCH(Tabla8[[#This Row],[Numero de Orden]], sala!K:K, 0))</f>
        <v>Efectivo</v>
      </c>
      <c r="AA759" s="3">
        <f>'Conjunto de Datos'!D760</f>
        <v>45023</v>
      </c>
      <c r="AB759" t="str">
        <f>INDEX(sala!L:L, MATCH(Tabla8[[#This Row],[Numero de Orden]], sala!K:K, 0))</f>
        <v>Perú</v>
      </c>
      <c r="AC759" t="str">
        <f>'Conjunto de Datos'!N760</f>
        <v>Mesero_3</v>
      </c>
      <c r="AD759">
        <f>Tabla8[[#This Row],[Propina]]+Tabla8[[#This Row],[Precio Cena]]</f>
        <v>2756</v>
      </c>
      <c r="AE759" s="45">
        <f t="shared" si="19"/>
        <v>52</v>
      </c>
    </row>
    <row r="760" spans="19:31" x14ac:dyDescent="0.3">
      <c r="S760" s="15" t="str">
        <f>'Conjunto de Datos'!BB761</f>
        <v>376</v>
      </c>
      <c r="T760" s="15">
        <f>'Conjunto de Datos'!BF761</f>
        <v>759</v>
      </c>
      <c r="U760" s="6">
        <f>sala!I760</f>
        <v>137</v>
      </c>
      <c r="V760" cm="1">
        <f t="array" ref="V760">SUM(IF(Cocina!A:A=Tabla8[[#This Row],[Numero de Orden]],Cocina!F:F*Cocina!G:G,0))</f>
        <v>342</v>
      </c>
      <c r="W760">
        <f>IF(Tabla8[[#This Row],[Cobrado]]="Cobrada",Tabla8[[#This Row],[Propina]]+Tabla8[[#This Row],[Precio Cena]],0)</f>
        <v>0</v>
      </c>
      <c r="X760" t="str">
        <f>INDEX(sala!G:G, MATCH(Tabla8[[#This Row],[Numero de Orden]], sala!K:K, 0))</f>
        <v>Almuerzo</v>
      </c>
      <c r="Y760" t="str">
        <f>'Conjunto de Datos'!J761</f>
        <v>No Cobrada</v>
      </c>
      <c r="Z760" t="str">
        <f>INDEX(sala!H:H, MATCH(Tabla8[[#This Row],[Numero de Orden]], sala!K:K, 0))</f>
        <v>Tarjeta de crédito</v>
      </c>
      <c r="AA760" s="3">
        <f>'Conjunto de Datos'!D761</f>
        <v>45023</v>
      </c>
      <c r="AB760" t="str">
        <f>INDEX(sala!L:L, MATCH(Tabla8[[#This Row],[Numero de Orden]], sala!K:K, 0))</f>
        <v>Argentina</v>
      </c>
      <c r="AC760" t="str">
        <f>'Conjunto de Datos'!N761</f>
        <v>Mesero_1</v>
      </c>
      <c r="AD760">
        <f>Tabla8[[#This Row],[Propina]]+Tabla8[[#This Row],[Precio Cena]]</f>
        <v>479</v>
      </c>
      <c r="AE760" s="45">
        <f t="shared" si="19"/>
        <v>0</v>
      </c>
    </row>
    <row r="761" spans="19:31" x14ac:dyDescent="0.3">
      <c r="S761" t="str">
        <f>'Conjunto de Datos'!BB762</f>
        <v>721</v>
      </c>
      <c r="T761">
        <f>'Conjunto de Datos'!BF762</f>
        <v>760</v>
      </c>
      <c r="U761" s="7">
        <f>sala!I761</f>
        <v>3942</v>
      </c>
      <c r="V761" cm="1">
        <f t="array" ref="V761">SUM(IF(Cocina!A:A=Tabla8[[#This Row],[Numero de Orden]],Cocina!F:F*Cocina!G:G,0))</f>
        <v>105</v>
      </c>
      <c r="W761">
        <f>IF(Tabla8[[#This Row],[Cobrado]]="Cobrada",Tabla8[[#This Row],[Propina]]+Tabla8[[#This Row],[Precio Cena]],0)</f>
        <v>4047</v>
      </c>
      <c r="X761" t="str">
        <f>INDEX(sala!G:G, MATCH(Tabla8[[#This Row],[Numero de Orden]], sala!K:K, 0))</f>
        <v>Almuerzo</v>
      </c>
      <c r="Y761" t="str">
        <f>'Conjunto de Datos'!J762</f>
        <v>Cobrada</v>
      </c>
      <c r="Z761" t="str">
        <f>INDEX(sala!H:H, MATCH(Tabla8[[#This Row],[Numero de Orden]], sala!K:K, 0))</f>
        <v>Tarjeta de crédito</v>
      </c>
      <c r="AA761" s="3">
        <f>'Conjunto de Datos'!D762</f>
        <v>45023</v>
      </c>
      <c r="AB761" t="str">
        <f>INDEX(sala!L:L, MATCH(Tabla8[[#This Row],[Numero de Orden]], sala!K:K, 0))</f>
        <v>Argentina</v>
      </c>
      <c r="AC761" t="str">
        <f>'Conjunto de Datos'!N762</f>
        <v>Mesero_4</v>
      </c>
      <c r="AD761">
        <f>Tabla8[[#This Row],[Propina]]+Tabla8[[#This Row],[Precio Cena]]</f>
        <v>4047</v>
      </c>
      <c r="AE761" s="45">
        <f t="shared" si="19"/>
        <v>105</v>
      </c>
    </row>
    <row r="762" spans="19:31" x14ac:dyDescent="0.3">
      <c r="S762" s="15" t="str">
        <f>'Conjunto de Datos'!BB763</f>
        <v>782</v>
      </c>
      <c r="T762" s="15">
        <f>'Conjunto de Datos'!BF763</f>
        <v>761</v>
      </c>
      <c r="U762" s="6">
        <f>sala!I762</f>
        <v>1685</v>
      </c>
      <c r="V762" cm="1">
        <f t="array" ref="V762">SUM(IF(Cocina!A:A=Tabla8[[#This Row],[Numero de Orden]],Cocina!F:F*Cocina!G:G,0))</f>
        <v>174</v>
      </c>
      <c r="W762">
        <f>IF(Tabla8[[#This Row],[Cobrado]]="Cobrada",Tabla8[[#This Row],[Propina]]+Tabla8[[#This Row],[Precio Cena]],0)</f>
        <v>0</v>
      </c>
      <c r="X762" t="str">
        <f>INDEX(sala!G:G, MATCH(Tabla8[[#This Row],[Numero de Orden]], sala!K:K, 0))</f>
        <v>Desayuno</v>
      </c>
      <c r="Y762" t="str">
        <f>'Conjunto de Datos'!J763</f>
        <v>No Cobrada</v>
      </c>
      <c r="Z762" t="str">
        <f>INDEX(sala!H:H, MATCH(Tabla8[[#This Row],[Numero de Orden]], sala!K:K, 0))</f>
        <v>Tarjeta de crédito</v>
      </c>
      <c r="AA762" s="3">
        <f>'Conjunto de Datos'!D763</f>
        <v>45023</v>
      </c>
      <c r="AB762" t="str">
        <f>INDEX(sala!L:L, MATCH(Tabla8[[#This Row],[Numero de Orden]], sala!K:K, 0))</f>
        <v>España</v>
      </c>
      <c r="AC762" t="str">
        <f>'Conjunto de Datos'!N763</f>
        <v>Mesero_3</v>
      </c>
      <c r="AD762">
        <f>Tabla8[[#This Row],[Propina]]+Tabla8[[#This Row],[Precio Cena]]</f>
        <v>1859</v>
      </c>
      <c r="AE762" s="45">
        <f t="shared" si="19"/>
        <v>0</v>
      </c>
    </row>
    <row r="763" spans="19:31" x14ac:dyDescent="0.3">
      <c r="S763" t="str">
        <f>'Conjunto de Datos'!BB764</f>
        <v>729</v>
      </c>
      <c r="T763">
        <f>'Conjunto de Datos'!BF764</f>
        <v>762</v>
      </c>
      <c r="U763" s="7">
        <f>sala!I763</f>
        <v>4945</v>
      </c>
      <c r="V763" cm="1">
        <f t="array" ref="V763">SUM(IF(Cocina!A:A=Tabla8[[#This Row],[Numero de Orden]],Cocina!F:F*Cocina!G:G,0))</f>
        <v>99</v>
      </c>
      <c r="W763">
        <f>IF(Tabla8[[#This Row],[Cobrado]]="Cobrada",Tabla8[[#This Row],[Propina]]+Tabla8[[#This Row],[Precio Cena]],0)</f>
        <v>5044</v>
      </c>
      <c r="X763" t="str">
        <f>INDEX(sala!G:G, MATCH(Tabla8[[#This Row],[Numero de Orden]], sala!K:K, 0))</f>
        <v>Desayuno</v>
      </c>
      <c r="Y763" t="str">
        <f>'Conjunto de Datos'!J764</f>
        <v>Cobrada</v>
      </c>
      <c r="Z763" t="str">
        <f>INDEX(sala!H:H, MATCH(Tabla8[[#This Row],[Numero de Orden]], sala!K:K, 0))</f>
        <v>Tarjeta de crédito</v>
      </c>
      <c r="AA763" s="3">
        <f>'Conjunto de Datos'!D764</f>
        <v>45023</v>
      </c>
      <c r="AB763" t="str">
        <f>INDEX(sala!L:L, MATCH(Tabla8[[#This Row],[Numero de Orden]], sala!K:K, 0))</f>
        <v>Uruguay</v>
      </c>
      <c r="AC763" t="str">
        <f>'Conjunto de Datos'!N764</f>
        <v>Mesero_5</v>
      </c>
      <c r="AD763">
        <f>Tabla8[[#This Row],[Propina]]+Tabla8[[#This Row],[Precio Cena]]</f>
        <v>5044</v>
      </c>
      <c r="AE763" s="45">
        <f t="shared" si="19"/>
        <v>99</v>
      </c>
    </row>
    <row r="764" spans="19:31" x14ac:dyDescent="0.3">
      <c r="S764" s="15" t="str">
        <f>'Conjunto de Datos'!BB765</f>
        <v>351</v>
      </c>
      <c r="T764" s="15">
        <f>'Conjunto de Datos'!BF765</f>
        <v>763</v>
      </c>
      <c r="U764" s="6">
        <f>sala!I764</f>
        <v>2288</v>
      </c>
      <c r="V764" cm="1">
        <f t="array" ref="V764">SUM(IF(Cocina!A:A=Tabla8[[#This Row],[Numero de Orden]],Cocina!F:F*Cocina!G:G,0))</f>
        <v>104</v>
      </c>
      <c r="W764">
        <f>IF(Tabla8[[#This Row],[Cobrado]]="Cobrada",Tabla8[[#This Row],[Propina]]+Tabla8[[#This Row],[Precio Cena]],0)</f>
        <v>2392</v>
      </c>
      <c r="X764" t="str">
        <f>INDEX(sala!G:G, MATCH(Tabla8[[#This Row],[Numero de Orden]], sala!K:K, 0))</f>
        <v>Almuerzo</v>
      </c>
      <c r="Y764" t="str">
        <f>'Conjunto de Datos'!J765</f>
        <v>Cobrada</v>
      </c>
      <c r="Z764" t="str">
        <f>INDEX(sala!H:H, MATCH(Tabla8[[#This Row],[Numero de Orden]], sala!K:K, 0))</f>
        <v>Tarjeta de crédito</v>
      </c>
      <c r="AA764" s="3">
        <f>'Conjunto de Datos'!D765</f>
        <v>45023</v>
      </c>
      <c r="AB764" t="str">
        <f>INDEX(sala!L:L, MATCH(Tabla8[[#This Row],[Numero de Orden]], sala!K:K, 0))</f>
        <v>Argentina</v>
      </c>
      <c r="AC764" t="str">
        <f>'Conjunto de Datos'!N765</f>
        <v>Mesero_4</v>
      </c>
      <c r="AD764">
        <f>Tabla8[[#This Row],[Propina]]+Tabla8[[#This Row],[Precio Cena]]</f>
        <v>2392</v>
      </c>
      <c r="AE764" s="45">
        <f t="shared" si="19"/>
        <v>104</v>
      </c>
    </row>
    <row r="765" spans="19:31" x14ac:dyDescent="0.3">
      <c r="S765" t="str">
        <f>'Conjunto de Datos'!BB766</f>
        <v>227</v>
      </c>
      <c r="T765">
        <f>'Conjunto de Datos'!BF766</f>
        <v>764</v>
      </c>
      <c r="U765" s="7">
        <f>sala!I765</f>
        <v>2041</v>
      </c>
      <c r="V765" cm="1">
        <f t="array" ref="V765">SUM(IF(Cocina!A:A=Tabla8[[#This Row],[Numero de Orden]],Cocina!F:F*Cocina!G:G,0))</f>
        <v>85</v>
      </c>
      <c r="W765">
        <f>IF(Tabla8[[#This Row],[Cobrado]]="Cobrada",Tabla8[[#This Row],[Propina]]+Tabla8[[#This Row],[Precio Cena]],0)</f>
        <v>2126</v>
      </c>
      <c r="X765" t="str">
        <f>INDEX(sala!G:G, MATCH(Tabla8[[#This Row],[Numero de Orden]], sala!K:K, 0))</f>
        <v>Cena</v>
      </c>
      <c r="Y765" t="str">
        <f>'Conjunto de Datos'!J766</f>
        <v>Cobrada</v>
      </c>
      <c r="Z765" t="str">
        <f>INDEX(sala!H:H, MATCH(Tabla8[[#This Row],[Numero de Orden]], sala!K:K, 0))</f>
        <v>Tarjeta de crédito</v>
      </c>
      <c r="AA765" s="3">
        <f>'Conjunto de Datos'!D766</f>
        <v>45023</v>
      </c>
      <c r="AB765" t="str">
        <f>INDEX(sala!L:L, MATCH(Tabla8[[#This Row],[Numero de Orden]], sala!K:K, 0))</f>
        <v>Colombia</v>
      </c>
      <c r="AC765" t="str">
        <f>'Conjunto de Datos'!N766</f>
        <v>Mesero_4</v>
      </c>
      <c r="AD765">
        <f>Tabla8[[#This Row],[Propina]]+Tabla8[[#This Row],[Precio Cena]]</f>
        <v>2126</v>
      </c>
      <c r="AE765" s="45">
        <f t="shared" si="19"/>
        <v>85</v>
      </c>
    </row>
    <row r="766" spans="19:31" x14ac:dyDescent="0.3">
      <c r="S766" s="15" t="str">
        <f>'Conjunto de Datos'!BB767</f>
        <v>825</v>
      </c>
      <c r="T766" s="15">
        <f>'Conjunto de Datos'!BF767</f>
        <v>765</v>
      </c>
      <c r="U766" s="6">
        <f>sala!I766</f>
        <v>3077</v>
      </c>
      <c r="V766" cm="1">
        <f t="array" ref="V766">SUM(IF(Cocina!A:A=Tabla8[[#This Row],[Numero de Orden]],Cocina!F:F*Cocina!G:G,0))</f>
        <v>233</v>
      </c>
      <c r="W766">
        <f>IF(Tabla8[[#This Row],[Cobrado]]="Cobrada",Tabla8[[#This Row],[Propina]]+Tabla8[[#This Row],[Precio Cena]],0)</f>
        <v>0</v>
      </c>
      <c r="X766" t="str">
        <f>INDEX(sala!G:G, MATCH(Tabla8[[#This Row],[Numero de Orden]], sala!K:K, 0))</f>
        <v>Cena</v>
      </c>
      <c r="Y766" t="str">
        <f>'Conjunto de Datos'!J767</f>
        <v>No Cobrada</v>
      </c>
      <c r="Z766" t="str">
        <f>INDEX(sala!H:H, MATCH(Tabla8[[#This Row],[Numero de Orden]], sala!K:K, 0))</f>
        <v>Tarjeta de crédito</v>
      </c>
      <c r="AA766" s="3">
        <f>'Conjunto de Datos'!D767</f>
        <v>45023</v>
      </c>
      <c r="AB766" t="str">
        <f>INDEX(sala!L:L, MATCH(Tabla8[[#This Row],[Numero de Orden]], sala!K:K, 0))</f>
        <v>Chile</v>
      </c>
      <c r="AC766" t="str">
        <f>'Conjunto de Datos'!N767</f>
        <v>Mesero_3</v>
      </c>
      <c r="AD766">
        <f>Tabla8[[#This Row],[Propina]]+Tabla8[[#This Row],[Precio Cena]]</f>
        <v>3310</v>
      </c>
      <c r="AE766" s="45">
        <f t="shared" si="19"/>
        <v>0</v>
      </c>
    </row>
    <row r="767" spans="19:31" x14ac:dyDescent="0.3">
      <c r="S767" t="str">
        <f>'Conjunto de Datos'!BB768</f>
        <v>175</v>
      </c>
      <c r="T767">
        <f>'Conjunto de Datos'!BF768</f>
        <v>766</v>
      </c>
      <c r="U767" s="7">
        <f>sala!I767</f>
        <v>1257</v>
      </c>
      <c r="V767" cm="1">
        <f t="array" ref="V767">SUM(IF(Cocina!A:A=Tabla8[[#This Row],[Numero de Orden]],Cocina!F:F*Cocina!G:G,0))</f>
        <v>185</v>
      </c>
      <c r="W767">
        <f>IF(Tabla8[[#This Row],[Cobrado]]="Cobrada",Tabla8[[#This Row],[Propina]]+Tabla8[[#This Row],[Precio Cena]],0)</f>
        <v>1442</v>
      </c>
      <c r="X767" t="str">
        <f>INDEX(sala!G:G, MATCH(Tabla8[[#This Row],[Numero de Orden]], sala!K:K, 0))</f>
        <v>Cena</v>
      </c>
      <c r="Y767" t="str">
        <f>'Conjunto de Datos'!J768</f>
        <v>Cobrada</v>
      </c>
      <c r="Z767" t="str">
        <f>INDEX(sala!H:H, MATCH(Tabla8[[#This Row],[Numero de Orden]], sala!K:K, 0))</f>
        <v>Tarjeta de crédito</v>
      </c>
      <c r="AA767" s="3">
        <f>'Conjunto de Datos'!D768</f>
        <v>45023</v>
      </c>
      <c r="AB767" t="str">
        <f>INDEX(sala!L:L, MATCH(Tabla8[[#This Row],[Numero de Orden]], sala!K:K, 0))</f>
        <v>Argentina</v>
      </c>
      <c r="AC767" t="str">
        <f>'Conjunto de Datos'!N768</f>
        <v>Mesero_2</v>
      </c>
      <c r="AD767">
        <f>Tabla8[[#This Row],[Propina]]+Tabla8[[#This Row],[Precio Cena]]</f>
        <v>1442</v>
      </c>
      <c r="AE767" s="45">
        <f t="shared" si="19"/>
        <v>185</v>
      </c>
    </row>
    <row r="768" spans="19:31" x14ac:dyDescent="0.3">
      <c r="S768" s="15" t="str">
        <f>'Conjunto de Datos'!BB769</f>
        <v>757</v>
      </c>
      <c r="T768" s="15">
        <f>'Conjunto de Datos'!BF769</f>
        <v>767</v>
      </c>
      <c r="U768" s="6">
        <f>sala!I768</f>
        <v>1598</v>
      </c>
      <c r="V768" cm="1">
        <f t="array" ref="V768">SUM(IF(Cocina!A:A=Tabla8[[#This Row],[Numero de Orden]],Cocina!F:F*Cocina!G:G,0))</f>
        <v>169</v>
      </c>
      <c r="W768">
        <f>IF(Tabla8[[#This Row],[Cobrado]]="Cobrada",Tabla8[[#This Row],[Propina]]+Tabla8[[#This Row],[Precio Cena]],0)</f>
        <v>1767</v>
      </c>
      <c r="X768" t="str">
        <f>INDEX(sala!G:G, MATCH(Tabla8[[#This Row],[Numero de Orden]], sala!K:K, 0))</f>
        <v>Desayuno</v>
      </c>
      <c r="Y768" t="str">
        <f>'Conjunto de Datos'!J769</f>
        <v>Cobrada</v>
      </c>
      <c r="Z768" t="str">
        <f>INDEX(sala!H:H, MATCH(Tabla8[[#This Row],[Numero de Orden]], sala!K:K, 0))</f>
        <v>Tarjeta de crédito</v>
      </c>
      <c r="AA768" s="3">
        <f>'Conjunto de Datos'!D769</f>
        <v>45023</v>
      </c>
      <c r="AB768" t="str">
        <f>INDEX(sala!L:L, MATCH(Tabla8[[#This Row],[Numero de Orden]], sala!K:K, 0))</f>
        <v>Ecuador</v>
      </c>
      <c r="AC768" t="str">
        <f>'Conjunto de Datos'!N769</f>
        <v>Mesero_2</v>
      </c>
      <c r="AD768">
        <f>Tabla8[[#This Row],[Propina]]+Tabla8[[#This Row],[Precio Cena]]</f>
        <v>1767</v>
      </c>
      <c r="AE768" s="45">
        <f t="shared" si="19"/>
        <v>169</v>
      </c>
    </row>
  </sheetData>
  <pageMargins left="0.7" right="0.7" top="0.75" bottom="0.75" header="0.3" footer="0.3"/>
  <pageSetup paperSize="9" orientation="portrait" r:id="rId1"/>
  <ignoredErrors>
    <ignoredError sqref="C44:C49" calculatedColumn="1"/>
  </ignoredErrors>
  <drawing r:id="rId2"/>
  <tableParts count="6">
    <tablePart r:id="rId3"/>
    <tablePart r:id="rId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4EC6-A0EC-49A6-926C-5C5948FC3A42}">
  <dimension ref="A1:M768"/>
  <sheetViews>
    <sheetView topLeftCell="A350" workbookViewId="0">
      <selection activeCell="F2" sqref="F2"/>
    </sheetView>
  </sheetViews>
  <sheetFormatPr baseColWidth="10" defaultRowHeight="14.4" x14ac:dyDescent="0.3"/>
  <cols>
    <col min="1" max="1" width="18" bestFit="1" customWidth="1"/>
    <col min="2" max="2" width="20.5546875" bestFit="1" customWidth="1"/>
    <col min="3" max="3" width="24.5546875" bestFit="1" customWidth="1"/>
    <col min="4" max="4" width="17.109375" bestFit="1" customWidth="1"/>
    <col min="5" max="5" width="18" customWidth="1"/>
    <col min="6" max="6" width="18.21875" bestFit="1" customWidth="1"/>
    <col min="7" max="8" width="17.109375" bestFit="1" customWidth="1"/>
    <col min="9" max="9" width="9.88671875" bestFit="1" customWidth="1"/>
    <col min="10" max="11" width="18.88671875" bestFit="1" customWidth="1"/>
    <col min="12" max="12" width="15.6640625" bestFit="1" customWidth="1"/>
    <col min="13" max="13" width="18.77734375" bestFit="1" customWidth="1"/>
    <col min="15" max="15" width="20.33203125" bestFit="1" customWidth="1"/>
    <col min="16" max="16" width="14.88671875" bestFit="1" customWidth="1"/>
    <col min="17" max="17" width="13.88671875" bestFit="1" customWidth="1"/>
    <col min="18" max="18" width="12.5546875" bestFit="1" customWidth="1"/>
    <col min="19" max="19" width="18.109375" bestFit="1" customWidth="1"/>
    <col min="20" max="20" width="19.88671875" bestFit="1" customWidth="1"/>
    <col min="21" max="21" width="19.6640625" bestFit="1" customWidth="1"/>
    <col min="22" max="22" width="13.21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10</v>
      </c>
      <c r="B2" t="s">
        <v>244</v>
      </c>
      <c r="C2">
        <v>6</v>
      </c>
      <c r="D2" s="1">
        <v>45017.046527777777</v>
      </c>
      <c r="E2" s="1">
        <v>45017.159722222219</v>
      </c>
      <c r="F2" t="s">
        <v>52</v>
      </c>
      <c r="G2" t="s">
        <v>22</v>
      </c>
      <c r="H2" t="s">
        <v>36</v>
      </c>
      <c r="I2">
        <v>4855</v>
      </c>
      <c r="J2" t="s">
        <v>28</v>
      </c>
      <c r="K2">
        <v>1</v>
      </c>
      <c r="L2" t="s">
        <v>59</v>
      </c>
      <c r="M2" t="s">
        <v>75</v>
      </c>
    </row>
    <row r="3" spans="1:13" x14ac:dyDescent="0.3">
      <c r="A3">
        <v>6</v>
      </c>
      <c r="B3" t="s">
        <v>245</v>
      </c>
      <c r="C3">
        <v>6</v>
      </c>
      <c r="D3" s="1">
        <v>45017.061111111114</v>
      </c>
      <c r="E3" s="1">
        <v>45017.15902777778</v>
      </c>
      <c r="F3" t="s">
        <v>73</v>
      </c>
      <c r="G3" t="s">
        <v>48</v>
      </c>
      <c r="H3" t="s">
        <v>23</v>
      </c>
      <c r="I3">
        <v>433</v>
      </c>
      <c r="J3" t="s">
        <v>28</v>
      </c>
      <c r="K3">
        <v>2</v>
      </c>
      <c r="L3" t="s">
        <v>37</v>
      </c>
      <c r="M3" t="s">
        <v>56</v>
      </c>
    </row>
    <row r="4" spans="1:13" x14ac:dyDescent="0.3">
      <c r="A4">
        <v>20</v>
      </c>
      <c r="B4" t="s">
        <v>246</v>
      </c>
      <c r="C4">
        <v>1</v>
      </c>
      <c r="D4" s="1">
        <v>45017.020138888889</v>
      </c>
      <c r="E4" s="1">
        <v>45017.163888888892</v>
      </c>
      <c r="F4" t="s">
        <v>32</v>
      </c>
      <c r="G4" t="s">
        <v>48</v>
      </c>
      <c r="H4" t="s">
        <v>16</v>
      </c>
      <c r="I4">
        <v>3087</v>
      </c>
      <c r="J4" t="s">
        <v>17</v>
      </c>
      <c r="K4">
        <v>3</v>
      </c>
      <c r="L4" t="s">
        <v>25</v>
      </c>
      <c r="M4" t="s">
        <v>34</v>
      </c>
    </row>
    <row r="5" spans="1:13" x14ac:dyDescent="0.3">
      <c r="A5">
        <v>3</v>
      </c>
      <c r="B5" t="s">
        <v>247</v>
      </c>
      <c r="C5">
        <v>1</v>
      </c>
      <c r="D5" s="1">
        <v>45017.127083333333</v>
      </c>
      <c r="E5" s="1">
        <v>45017.188194444447</v>
      </c>
      <c r="F5" t="s">
        <v>21</v>
      </c>
      <c r="G5" t="s">
        <v>22</v>
      </c>
      <c r="H5" t="s">
        <v>16</v>
      </c>
      <c r="I5">
        <v>3468</v>
      </c>
      <c r="J5" t="s">
        <v>17</v>
      </c>
      <c r="K5">
        <v>4</v>
      </c>
      <c r="L5" t="s">
        <v>70</v>
      </c>
      <c r="M5" t="s">
        <v>112</v>
      </c>
    </row>
    <row r="6" spans="1:13" x14ac:dyDescent="0.3">
      <c r="A6">
        <v>8</v>
      </c>
      <c r="B6" t="s">
        <v>248</v>
      </c>
      <c r="C6">
        <v>2</v>
      </c>
      <c r="D6" s="1">
        <v>45017.000694444447</v>
      </c>
      <c r="E6" s="1">
        <v>45017.087500000001</v>
      </c>
      <c r="F6" t="s">
        <v>14</v>
      </c>
      <c r="G6" t="s">
        <v>22</v>
      </c>
      <c r="H6" t="s">
        <v>16</v>
      </c>
      <c r="I6">
        <v>2433</v>
      </c>
      <c r="J6" t="s">
        <v>17</v>
      </c>
      <c r="K6">
        <v>5</v>
      </c>
      <c r="L6" t="s">
        <v>18</v>
      </c>
      <c r="M6" t="s">
        <v>53</v>
      </c>
    </row>
    <row r="7" spans="1:13" x14ac:dyDescent="0.3">
      <c r="A7">
        <v>7</v>
      </c>
      <c r="B7" t="s">
        <v>13</v>
      </c>
      <c r="C7">
        <v>5</v>
      </c>
      <c r="D7" s="1">
        <v>45017.058333333334</v>
      </c>
      <c r="E7" s="1">
        <v>45017.147222222222</v>
      </c>
      <c r="F7" t="s">
        <v>14</v>
      </c>
      <c r="G7" t="s">
        <v>15</v>
      </c>
      <c r="H7" t="s">
        <v>16</v>
      </c>
      <c r="I7">
        <v>2657</v>
      </c>
      <c r="J7" t="s">
        <v>17</v>
      </c>
      <c r="K7">
        <v>6</v>
      </c>
      <c r="L7" t="s">
        <v>18</v>
      </c>
      <c r="M7" t="s">
        <v>19</v>
      </c>
    </row>
    <row r="8" spans="1:13" x14ac:dyDescent="0.3">
      <c r="A8">
        <v>17</v>
      </c>
      <c r="B8" t="s">
        <v>249</v>
      </c>
      <c r="C8">
        <v>6</v>
      </c>
      <c r="D8" s="1">
        <v>45017.081250000003</v>
      </c>
      <c r="E8" s="1">
        <v>45017.181944444441</v>
      </c>
      <c r="F8" t="s">
        <v>32</v>
      </c>
      <c r="G8" t="s">
        <v>15</v>
      </c>
      <c r="H8" t="s">
        <v>16</v>
      </c>
      <c r="I8">
        <v>1054</v>
      </c>
      <c r="J8" t="s">
        <v>24</v>
      </c>
      <c r="K8">
        <v>7</v>
      </c>
      <c r="L8" t="s">
        <v>91</v>
      </c>
      <c r="M8" t="s">
        <v>105</v>
      </c>
    </row>
    <row r="9" spans="1:13" x14ac:dyDescent="0.3">
      <c r="A9">
        <v>11</v>
      </c>
      <c r="B9" t="s">
        <v>250</v>
      </c>
      <c r="C9">
        <v>1</v>
      </c>
      <c r="D9" s="1">
        <v>45017.09097222222</v>
      </c>
      <c r="E9" s="1">
        <v>45017.200694444444</v>
      </c>
      <c r="F9" t="s">
        <v>32</v>
      </c>
      <c r="G9" t="s">
        <v>48</v>
      </c>
      <c r="H9" t="s">
        <v>16</v>
      </c>
      <c r="I9">
        <v>4918</v>
      </c>
      <c r="J9" t="s">
        <v>28</v>
      </c>
      <c r="K9">
        <v>8</v>
      </c>
      <c r="L9" t="s">
        <v>70</v>
      </c>
      <c r="M9" t="s">
        <v>92</v>
      </c>
    </row>
    <row r="10" spans="1:13" x14ac:dyDescent="0.3">
      <c r="A10">
        <v>15</v>
      </c>
      <c r="B10" t="s">
        <v>187</v>
      </c>
      <c r="C10">
        <v>5</v>
      </c>
      <c r="D10" s="1">
        <v>45017.085416666669</v>
      </c>
      <c r="E10" s="1">
        <v>45017.184027777781</v>
      </c>
      <c r="F10" t="s">
        <v>32</v>
      </c>
      <c r="G10" t="s">
        <v>22</v>
      </c>
      <c r="H10" t="s">
        <v>36</v>
      </c>
      <c r="I10">
        <v>4685</v>
      </c>
      <c r="J10" t="s">
        <v>17</v>
      </c>
      <c r="K10">
        <v>9</v>
      </c>
      <c r="L10" t="s">
        <v>29</v>
      </c>
      <c r="M10" t="s">
        <v>40</v>
      </c>
    </row>
    <row r="11" spans="1:13" x14ac:dyDescent="0.3">
      <c r="A11">
        <v>17</v>
      </c>
      <c r="B11" t="s">
        <v>251</v>
      </c>
      <c r="C11">
        <v>1</v>
      </c>
      <c r="D11" s="1">
        <v>45017.001388888886</v>
      </c>
      <c r="E11" s="1">
        <v>45017.078472222223</v>
      </c>
      <c r="F11" t="s">
        <v>14</v>
      </c>
      <c r="G11" t="s">
        <v>22</v>
      </c>
      <c r="H11" t="s">
        <v>16</v>
      </c>
      <c r="I11">
        <v>166</v>
      </c>
      <c r="J11" t="s">
        <v>24</v>
      </c>
      <c r="K11">
        <v>10</v>
      </c>
      <c r="L11" t="s">
        <v>55</v>
      </c>
      <c r="M11" t="s">
        <v>38</v>
      </c>
    </row>
    <row r="12" spans="1:13" x14ac:dyDescent="0.3">
      <c r="A12">
        <v>14</v>
      </c>
      <c r="B12" t="s">
        <v>110</v>
      </c>
      <c r="C12">
        <v>1</v>
      </c>
      <c r="D12" s="1">
        <v>45017.156944444447</v>
      </c>
      <c r="E12" s="1">
        <v>45017.272916666669</v>
      </c>
      <c r="F12" t="s">
        <v>73</v>
      </c>
      <c r="G12" t="s">
        <v>22</v>
      </c>
      <c r="H12" t="s">
        <v>16</v>
      </c>
      <c r="I12">
        <v>3289</v>
      </c>
      <c r="J12" t="s">
        <v>17</v>
      </c>
      <c r="K12">
        <v>11</v>
      </c>
      <c r="L12" t="s">
        <v>18</v>
      </c>
      <c r="M12" t="s">
        <v>30</v>
      </c>
    </row>
    <row r="13" spans="1:13" x14ac:dyDescent="0.3">
      <c r="A13">
        <v>14</v>
      </c>
      <c r="B13" t="s">
        <v>252</v>
      </c>
      <c r="C13">
        <v>6</v>
      </c>
      <c r="D13" s="1">
        <v>45017.00277777778</v>
      </c>
      <c r="E13" s="1">
        <v>45017.140972222223</v>
      </c>
      <c r="F13" t="s">
        <v>14</v>
      </c>
      <c r="G13" t="s">
        <v>15</v>
      </c>
      <c r="H13" t="s">
        <v>16</v>
      </c>
      <c r="I13">
        <v>4527</v>
      </c>
      <c r="J13" t="s">
        <v>24</v>
      </c>
      <c r="K13">
        <v>12</v>
      </c>
      <c r="L13" t="s">
        <v>37</v>
      </c>
      <c r="M13" t="s">
        <v>30</v>
      </c>
    </row>
    <row r="14" spans="1:13" x14ac:dyDescent="0.3">
      <c r="A14">
        <v>2</v>
      </c>
      <c r="B14" t="s">
        <v>20</v>
      </c>
      <c r="C14">
        <v>1</v>
      </c>
      <c r="D14" s="1">
        <v>45017.131249999999</v>
      </c>
      <c r="E14" s="1">
        <v>45017.230555555558</v>
      </c>
      <c r="F14" t="s">
        <v>21</v>
      </c>
      <c r="G14" t="s">
        <v>22</v>
      </c>
      <c r="H14" t="s">
        <v>23</v>
      </c>
      <c r="I14">
        <v>2206</v>
      </c>
      <c r="J14" t="s">
        <v>24</v>
      </c>
      <c r="K14">
        <v>13</v>
      </c>
      <c r="L14" t="s">
        <v>25</v>
      </c>
      <c r="M14" t="s">
        <v>26</v>
      </c>
    </row>
    <row r="15" spans="1:13" x14ac:dyDescent="0.3">
      <c r="A15">
        <v>16</v>
      </c>
      <c r="B15" t="s">
        <v>141</v>
      </c>
      <c r="C15">
        <v>6</v>
      </c>
      <c r="D15" s="1">
        <v>45017.012499999997</v>
      </c>
      <c r="E15" s="1">
        <v>45017.081944444442</v>
      </c>
      <c r="F15" t="s">
        <v>32</v>
      </c>
      <c r="G15" t="s">
        <v>22</v>
      </c>
      <c r="H15" t="s">
        <v>23</v>
      </c>
      <c r="I15">
        <v>4876</v>
      </c>
      <c r="J15" t="s">
        <v>17</v>
      </c>
      <c r="K15">
        <v>14</v>
      </c>
      <c r="L15" t="s">
        <v>18</v>
      </c>
      <c r="M15" t="s">
        <v>66</v>
      </c>
    </row>
    <row r="16" spans="1:13" x14ac:dyDescent="0.3">
      <c r="A16">
        <v>6</v>
      </c>
      <c r="B16" t="s">
        <v>193</v>
      </c>
      <c r="C16">
        <v>4</v>
      </c>
      <c r="D16" s="1">
        <v>45017.14166666667</v>
      </c>
      <c r="E16" s="1">
        <v>45017.207638888889</v>
      </c>
      <c r="F16" t="s">
        <v>73</v>
      </c>
      <c r="G16" t="s">
        <v>48</v>
      </c>
      <c r="H16" t="s">
        <v>16</v>
      </c>
      <c r="I16">
        <v>2877</v>
      </c>
      <c r="J16" t="s">
        <v>24</v>
      </c>
      <c r="K16">
        <v>15</v>
      </c>
      <c r="L16" t="s">
        <v>55</v>
      </c>
      <c r="M16" t="s">
        <v>30</v>
      </c>
    </row>
    <row r="17" spans="1:13" x14ac:dyDescent="0.3">
      <c r="A17">
        <v>20</v>
      </c>
      <c r="B17" t="s">
        <v>27</v>
      </c>
      <c r="C17">
        <v>5</v>
      </c>
      <c r="D17" s="1">
        <v>45017.104861111111</v>
      </c>
      <c r="E17" s="1">
        <v>45017.183333333334</v>
      </c>
      <c r="F17" t="s">
        <v>14</v>
      </c>
      <c r="G17" t="s">
        <v>22</v>
      </c>
      <c r="H17" t="s">
        <v>23</v>
      </c>
      <c r="I17">
        <v>379</v>
      </c>
      <c r="J17" t="s">
        <v>28</v>
      </c>
      <c r="K17">
        <v>16</v>
      </c>
      <c r="L17" t="s">
        <v>29</v>
      </c>
      <c r="M17" t="s">
        <v>30</v>
      </c>
    </row>
    <row r="18" spans="1:13" x14ac:dyDescent="0.3">
      <c r="A18">
        <v>14</v>
      </c>
      <c r="B18" t="s">
        <v>253</v>
      </c>
      <c r="C18">
        <v>6</v>
      </c>
      <c r="D18" s="1">
        <v>45017.006249999999</v>
      </c>
      <c r="E18" s="1">
        <v>45017.143750000003</v>
      </c>
      <c r="F18" t="s">
        <v>32</v>
      </c>
      <c r="G18" t="s">
        <v>48</v>
      </c>
      <c r="H18" t="s">
        <v>16</v>
      </c>
      <c r="I18">
        <v>1217</v>
      </c>
      <c r="J18" t="s">
        <v>17</v>
      </c>
      <c r="K18">
        <v>17</v>
      </c>
      <c r="L18" t="s">
        <v>62</v>
      </c>
      <c r="M18" t="s">
        <v>19</v>
      </c>
    </row>
    <row r="19" spans="1:13" x14ac:dyDescent="0.3">
      <c r="A19">
        <v>9</v>
      </c>
      <c r="B19" t="s">
        <v>254</v>
      </c>
      <c r="C19">
        <v>2</v>
      </c>
      <c r="D19" s="1">
        <v>45017.087500000001</v>
      </c>
      <c r="E19" s="1">
        <v>45017.18472222222</v>
      </c>
      <c r="F19" t="s">
        <v>32</v>
      </c>
      <c r="G19" t="s">
        <v>48</v>
      </c>
      <c r="H19" t="s">
        <v>16</v>
      </c>
      <c r="I19">
        <v>3309</v>
      </c>
      <c r="J19" t="s">
        <v>17</v>
      </c>
      <c r="K19">
        <v>18</v>
      </c>
      <c r="L19" t="s">
        <v>37</v>
      </c>
      <c r="M19" t="s">
        <v>26</v>
      </c>
    </row>
    <row r="20" spans="1:13" x14ac:dyDescent="0.3">
      <c r="A20">
        <v>18</v>
      </c>
      <c r="B20" t="s">
        <v>31</v>
      </c>
      <c r="C20">
        <v>3</v>
      </c>
      <c r="D20" s="1">
        <v>45017.024305555555</v>
      </c>
      <c r="E20" s="1">
        <v>45017.145138888889</v>
      </c>
      <c r="F20" t="s">
        <v>32</v>
      </c>
      <c r="G20" t="s">
        <v>22</v>
      </c>
      <c r="H20" t="s">
        <v>16</v>
      </c>
      <c r="I20">
        <v>1745</v>
      </c>
      <c r="J20" t="s">
        <v>17</v>
      </c>
      <c r="K20">
        <v>19</v>
      </c>
      <c r="L20" t="s">
        <v>33</v>
      </c>
      <c r="M20" t="s">
        <v>34</v>
      </c>
    </row>
    <row r="21" spans="1:13" x14ac:dyDescent="0.3">
      <c r="A21">
        <v>8</v>
      </c>
      <c r="B21" t="s">
        <v>255</v>
      </c>
      <c r="C21">
        <v>2</v>
      </c>
      <c r="D21" s="1">
        <v>45017.059027777781</v>
      </c>
      <c r="E21" s="1">
        <v>45017.216666666667</v>
      </c>
      <c r="F21" t="s">
        <v>52</v>
      </c>
      <c r="G21" t="s">
        <v>22</v>
      </c>
      <c r="H21" t="s">
        <v>16</v>
      </c>
      <c r="I21">
        <v>317</v>
      </c>
      <c r="J21" t="s">
        <v>28</v>
      </c>
      <c r="K21">
        <v>20</v>
      </c>
      <c r="L21" t="s">
        <v>33</v>
      </c>
      <c r="M21" t="s">
        <v>19</v>
      </c>
    </row>
    <row r="22" spans="1:13" x14ac:dyDescent="0.3">
      <c r="A22">
        <v>12</v>
      </c>
      <c r="B22" t="s">
        <v>256</v>
      </c>
      <c r="C22">
        <v>2</v>
      </c>
      <c r="D22" s="1">
        <v>45017.152083333334</v>
      </c>
      <c r="E22" s="1">
        <v>45017.244444444441</v>
      </c>
      <c r="F22" t="s">
        <v>52</v>
      </c>
      <c r="G22" t="s">
        <v>22</v>
      </c>
      <c r="H22" t="s">
        <v>16</v>
      </c>
      <c r="I22">
        <v>2053</v>
      </c>
      <c r="J22" t="s">
        <v>28</v>
      </c>
      <c r="K22">
        <v>21</v>
      </c>
      <c r="L22" t="s">
        <v>55</v>
      </c>
      <c r="M22" t="s">
        <v>34</v>
      </c>
    </row>
    <row r="23" spans="1:13" x14ac:dyDescent="0.3">
      <c r="A23">
        <v>15</v>
      </c>
      <c r="B23" t="s">
        <v>195</v>
      </c>
      <c r="C23">
        <v>1</v>
      </c>
      <c r="D23" s="1">
        <v>45017.094444444447</v>
      </c>
      <c r="E23" s="1">
        <v>45017.199305555558</v>
      </c>
      <c r="F23" t="s">
        <v>14</v>
      </c>
      <c r="G23" t="s">
        <v>22</v>
      </c>
      <c r="H23" t="s">
        <v>16</v>
      </c>
      <c r="I23">
        <v>4541</v>
      </c>
      <c r="J23" t="s">
        <v>17</v>
      </c>
      <c r="K23">
        <v>22</v>
      </c>
      <c r="L23" t="s">
        <v>62</v>
      </c>
      <c r="M23" t="s">
        <v>46</v>
      </c>
    </row>
    <row r="24" spans="1:13" x14ac:dyDescent="0.3">
      <c r="A24">
        <v>1</v>
      </c>
      <c r="B24" t="s">
        <v>257</v>
      </c>
      <c r="C24">
        <v>5</v>
      </c>
      <c r="D24" s="1">
        <v>45017.113888888889</v>
      </c>
      <c r="E24" s="1">
        <v>45017.17291666667</v>
      </c>
      <c r="F24" t="s">
        <v>21</v>
      </c>
      <c r="G24" t="s">
        <v>15</v>
      </c>
      <c r="H24" t="s">
        <v>16</v>
      </c>
      <c r="I24">
        <v>3846</v>
      </c>
      <c r="J24" t="s">
        <v>17</v>
      </c>
      <c r="K24">
        <v>23</v>
      </c>
      <c r="L24" t="s">
        <v>33</v>
      </c>
      <c r="M24" t="s">
        <v>53</v>
      </c>
    </row>
    <row r="25" spans="1:13" x14ac:dyDescent="0.3">
      <c r="A25">
        <v>5</v>
      </c>
      <c r="B25" t="s">
        <v>258</v>
      </c>
      <c r="C25">
        <v>5</v>
      </c>
      <c r="D25" s="1">
        <v>45017.125694444447</v>
      </c>
      <c r="E25" s="1">
        <v>45017.263888888891</v>
      </c>
      <c r="F25" t="s">
        <v>52</v>
      </c>
      <c r="G25" t="s">
        <v>22</v>
      </c>
      <c r="H25" t="s">
        <v>16</v>
      </c>
      <c r="I25">
        <v>3818</v>
      </c>
      <c r="J25" t="s">
        <v>24</v>
      </c>
      <c r="K25">
        <v>24</v>
      </c>
      <c r="L25" t="s">
        <v>91</v>
      </c>
      <c r="M25" t="s">
        <v>71</v>
      </c>
    </row>
    <row r="26" spans="1:13" x14ac:dyDescent="0.3">
      <c r="A26">
        <v>12</v>
      </c>
      <c r="B26" t="s">
        <v>35</v>
      </c>
      <c r="C26">
        <v>5</v>
      </c>
      <c r="D26" s="1">
        <v>45017.125694444447</v>
      </c>
      <c r="E26" s="1">
        <v>45017.207638888889</v>
      </c>
      <c r="F26" t="s">
        <v>21</v>
      </c>
      <c r="G26" t="s">
        <v>15</v>
      </c>
      <c r="H26" t="s">
        <v>36</v>
      </c>
      <c r="I26">
        <v>4615</v>
      </c>
      <c r="J26" t="s">
        <v>24</v>
      </c>
      <c r="K26">
        <v>25</v>
      </c>
      <c r="L26" t="s">
        <v>37</v>
      </c>
      <c r="M26" t="s">
        <v>38</v>
      </c>
    </row>
    <row r="27" spans="1:13" x14ac:dyDescent="0.3">
      <c r="A27">
        <v>18</v>
      </c>
      <c r="B27" t="s">
        <v>259</v>
      </c>
      <c r="C27">
        <v>2</v>
      </c>
      <c r="D27" s="1">
        <v>45017.086111111108</v>
      </c>
      <c r="E27" s="1">
        <v>45017.240972222222</v>
      </c>
      <c r="F27" t="s">
        <v>21</v>
      </c>
      <c r="G27" t="s">
        <v>48</v>
      </c>
      <c r="H27" t="s">
        <v>16</v>
      </c>
      <c r="I27">
        <v>1037</v>
      </c>
      <c r="J27" t="s">
        <v>24</v>
      </c>
      <c r="K27">
        <v>26</v>
      </c>
      <c r="L27" t="s">
        <v>55</v>
      </c>
      <c r="M27" t="s">
        <v>46</v>
      </c>
    </row>
    <row r="28" spans="1:13" x14ac:dyDescent="0.3">
      <c r="A28">
        <v>4</v>
      </c>
      <c r="B28" t="s">
        <v>123</v>
      </c>
      <c r="C28">
        <v>2</v>
      </c>
      <c r="D28" s="1">
        <v>45017.054861111108</v>
      </c>
      <c r="E28" s="1">
        <v>45017.102083333331</v>
      </c>
      <c r="F28" t="s">
        <v>21</v>
      </c>
      <c r="G28" t="s">
        <v>22</v>
      </c>
      <c r="H28" t="s">
        <v>16</v>
      </c>
      <c r="I28">
        <v>1927</v>
      </c>
      <c r="J28" t="s">
        <v>24</v>
      </c>
      <c r="K28">
        <v>27</v>
      </c>
      <c r="L28" t="s">
        <v>25</v>
      </c>
      <c r="M28" t="s">
        <v>19</v>
      </c>
    </row>
    <row r="29" spans="1:13" x14ac:dyDescent="0.3">
      <c r="A29">
        <v>2</v>
      </c>
      <c r="B29" t="s">
        <v>260</v>
      </c>
      <c r="C29">
        <v>2</v>
      </c>
      <c r="D29" s="1">
        <v>45017.03402777778</v>
      </c>
      <c r="E29" s="1">
        <v>45017.136111111111</v>
      </c>
      <c r="F29" t="s">
        <v>14</v>
      </c>
      <c r="G29" t="s">
        <v>15</v>
      </c>
      <c r="H29" t="s">
        <v>16</v>
      </c>
      <c r="I29">
        <v>4122</v>
      </c>
      <c r="J29" t="s">
        <v>28</v>
      </c>
      <c r="K29">
        <v>28</v>
      </c>
      <c r="L29" t="s">
        <v>49</v>
      </c>
      <c r="M29" t="s">
        <v>46</v>
      </c>
    </row>
    <row r="30" spans="1:13" x14ac:dyDescent="0.3">
      <c r="A30">
        <v>20</v>
      </c>
      <c r="B30" t="s">
        <v>261</v>
      </c>
      <c r="C30">
        <v>5</v>
      </c>
      <c r="D30" s="1">
        <v>45017.126388888886</v>
      </c>
      <c r="E30" s="1">
        <v>45017.256944444445</v>
      </c>
      <c r="F30" t="s">
        <v>32</v>
      </c>
      <c r="G30" t="s">
        <v>22</v>
      </c>
      <c r="H30" t="s">
        <v>16</v>
      </c>
      <c r="I30">
        <v>1483</v>
      </c>
      <c r="J30" t="s">
        <v>24</v>
      </c>
      <c r="K30">
        <v>29</v>
      </c>
      <c r="L30" t="s">
        <v>62</v>
      </c>
      <c r="M30" t="s">
        <v>60</v>
      </c>
    </row>
    <row r="31" spans="1:13" x14ac:dyDescent="0.3">
      <c r="A31">
        <v>14</v>
      </c>
      <c r="B31" t="s">
        <v>262</v>
      </c>
      <c r="C31">
        <v>4</v>
      </c>
      <c r="D31" s="1">
        <v>45017.121527777781</v>
      </c>
      <c r="E31" s="1">
        <v>45017.259027777778</v>
      </c>
      <c r="F31" t="s">
        <v>14</v>
      </c>
      <c r="G31" t="s">
        <v>22</v>
      </c>
      <c r="H31" t="s">
        <v>23</v>
      </c>
      <c r="I31">
        <v>2629</v>
      </c>
      <c r="J31" t="s">
        <v>17</v>
      </c>
      <c r="K31">
        <v>30</v>
      </c>
      <c r="L31" t="s">
        <v>91</v>
      </c>
      <c r="M31" t="s">
        <v>71</v>
      </c>
    </row>
    <row r="32" spans="1:13" x14ac:dyDescent="0.3">
      <c r="A32">
        <v>13</v>
      </c>
      <c r="B32" t="s">
        <v>263</v>
      </c>
      <c r="C32">
        <v>3</v>
      </c>
      <c r="D32" s="1">
        <v>45017.118750000001</v>
      </c>
      <c r="E32" s="1">
        <v>45017.251388888886</v>
      </c>
      <c r="F32" t="s">
        <v>32</v>
      </c>
      <c r="G32" t="s">
        <v>48</v>
      </c>
      <c r="H32" t="s">
        <v>16</v>
      </c>
      <c r="I32">
        <v>1981</v>
      </c>
      <c r="J32" t="s">
        <v>24</v>
      </c>
      <c r="K32">
        <v>31</v>
      </c>
      <c r="L32" t="s">
        <v>49</v>
      </c>
      <c r="M32" t="s">
        <v>26</v>
      </c>
    </row>
    <row r="33" spans="1:13" x14ac:dyDescent="0.3">
      <c r="A33">
        <v>5</v>
      </c>
      <c r="B33" t="s">
        <v>173</v>
      </c>
      <c r="C33">
        <v>1</v>
      </c>
      <c r="D33" s="1">
        <v>45017.130555555559</v>
      </c>
      <c r="E33" s="1">
        <v>45017.28402777778</v>
      </c>
      <c r="F33" t="s">
        <v>73</v>
      </c>
      <c r="G33" t="s">
        <v>22</v>
      </c>
      <c r="H33" t="s">
        <v>16</v>
      </c>
      <c r="I33">
        <v>2825</v>
      </c>
      <c r="J33" t="s">
        <v>24</v>
      </c>
      <c r="K33">
        <v>32</v>
      </c>
      <c r="L33" t="s">
        <v>55</v>
      </c>
      <c r="M33" t="s">
        <v>105</v>
      </c>
    </row>
    <row r="34" spans="1:13" x14ac:dyDescent="0.3">
      <c r="A34">
        <v>4</v>
      </c>
      <c r="B34" t="s">
        <v>222</v>
      </c>
      <c r="C34">
        <v>5</v>
      </c>
      <c r="D34" s="1">
        <v>45017.147916666669</v>
      </c>
      <c r="E34" s="1">
        <v>45017.26458333333</v>
      </c>
      <c r="F34" t="s">
        <v>14</v>
      </c>
      <c r="G34" t="s">
        <v>15</v>
      </c>
      <c r="H34" t="s">
        <v>36</v>
      </c>
      <c r="I34">
        <v>2038</v>
      </c>
      <c r="J34" t="s">
        <v>24</v>
      </c>
      <c r="K34">
        <v>33</v>
      </c>
      <c r="L34" t="s">
        <v>18</v>
      </c>
      <c r="M34" t="s">
        <v>19</v>
      </c>
    </row>
    <row r="35" spans="1:13" x14ac:dyDescent="0.3">
      <c r="A35">
        <v>15</v>
      </c>
      <c r="B35" t="s">
        <v>264</v>
      </c>
      <c r="C35">
        <v>1</v>
      </c>
      <c r="D35" s="1">
        <v>45017.094444444447</v>
      </c>
      <c r="E35" s="1">
        <v>45017.254861111112</v>
      </c>
      <c r="F35" t="s">
        <v>14</v>
      </c>
      <c r="G35" t="s">
        <v>48</v>
      </c>
      <c r="H35" t="s">
        <v>16</v>
      </c>
      <c r="I35">
        <v>1308</v>
      </c>
      <c r="J35" t="s">
        <v>17</v>
      </c>
      <c r="K35">
        <v>34</v>
      </c>
      <c r="L35" t="s">
        <v>18</v>
      </c>
      <c r="M35" t="s">
        <v>38</v>
      </c>
    </row>
    <row r="36" spans="1:13" x14ac:dyDescent="0.3">
      <c r="A36">
        <v>13</v>
      </c>
      <c r="B36" t="s">
        <v>265</v>
      </c>
      <c r="C36">
        <v>2</v>
      </c>
      <c r="D36" s="1">
        <v>45017.137499999997</v>
      </c>
      <c r="E36" s="1">
        <v>45017.246527777781</v>
      </c>
      <c r="F36" t="s">
        <v>52</v>
      </c>
      <c r="G36" t="s">
        <v>22</v>
      </c>
      <c r="H36" t="s">
        <v>16</v>
      </c>
      <c r="I36">
        <v>1575</v>
      </c>
      <c r="J36" t="s">
        <v>24</v>
      </c>
      <c r="K36">
        <v>35</v>
      </c>
      <c r="L36" t="s">
        <v>18</v>
      </c>
      <c r="M36" t="s">
        <v>40</v>
      </c>
    </row>
    <row r="37" spans="1:13" x14ac:dyDescent="0.3">
      <c r="A37">
        <v>5</v>
      </c>
      <c r="B37" t="s">
        <v>39</v>
      </c>
      <c r="C37">
        <v>5</v>
      </c>
      <c r="D37" s="1">
        <v>45017.143750000003</v>
      </c>
      <c r="E37" s="1">
        <v>45017.268055555556</v>
      </c>
      <c r="F37" t="s">
        <v>32</v>
      </c>
      <c r="G37" t="s">
        <v>22</v>
      </c>
      <c r="H37" t="s">
        <v>16</v>
      </c>
      <c r="I37">
        <v>4528</v>
      </c>
      <c r="J37" t="s">
        <v>24</v>
      </c>
      <c r="K37">
        <v>36</v>
      </c>
      <c r="L37" t="s">
        <v>29</v>
      </c>
      <c r="M37" t="s">
        <v>40</v>
      </c>
    </row>
    <row r="38" spans="1:13" x14ac:dyDescent="0.3">
      <c r="A38">
        <v>20</v>
      </c>
      <c r="B38" t="s">
        <v>41</v>
      </c>
      <c r="C38">
        <v>1</v>
      </c>
      <c r="D38" s="1">
        <v>45017.14166666667</v>
      </c>
      <c r="E38" s="1">
        <v>45017.251388888886</v>
      </c>
      <c r="F38" t="s">
        <v>21</v>
      </c>
      <c r="G38" t="s">
        <v>15</v>
      </c>
      <c r="H38" t="s">
        <v>16</v>
      </c>
      <c r="I38">
        <v>1039</v>
      </c>
      <c r="J38" t="s">
        <v>24</v>
      </c>
      <c r="K38">
        <v>37</v>
      </c>
      <c r="L38" t="s">
        <v>25</v>
      </c>
      <c r="M38" t="s">
        <v>42</v>
      </c>
    </row>
    <row r="39" spans="1:13" x14ac:dyDescent="0.3">
      <c r="A39">
        <v>10</v>
      </c>
      <c r="B39" t="s">
        <v>266</v>
      </c>
      <c r="C39">
        <v>6</v>
      </c>
      <c r="D39" s="1">
        <v>45017.109722222223</v>
      </c>
      <c r="E39" s="1">
        <v>45017.161805555559</v>
      </c>
      <c r="F39" t="s">
        <v>14</v>
      </c>
      <c r="G39" t="s">
        <v>22</v>
      </c>
      <c r="H39" t="s">
        <v>36</v>
      </c>
      <c r="I39">
        <v>1631</v>
      </c>
      <c r="J39" t="s">
        <v>28</v>
      </c>
      <c r="K39">
        <v>38</v>
      </c>
      <c r="L39" t="s">
        <v>33</v>
      </c>
      <c r="M39" t="s">
        <v>56</v>
      </c>
    </row>
    <row r="40" spans="1:13" x14ac:dyDescent="0.3">
      <c r="A40">
        <v>15</v>
      </c>
      <c r="B40" t="s">
        <v>43</v>
      </c>
      <c r="C40">
        <v>3</v>
      </c>
      <c r="D40" s="1">
        <v>45017.15347222222</v>
      </c>
      <c r="E40" s="1">
        <v>45017.318749999999</v>
      </c>
      <c r="F40" t="s">
        <v>32</v>
      </c>
      <c r="G40" t="s">
        <v>15</v>
      </c>
      <c r="H40" t="s">
        <v>23</v>
      </c>
      <c r="I40">
        <v>4836</v>
      </c>
      <c r="J40" t="s">
        <v>24</v>
      </c>
      <c r="K40">
        <v>39</v>
      </c>
      <c r="L40" t="s">
        <v>29</v>
      </c>
      <c r="M40" t="s">
        <v>44</v>
      </c>
    </row>
    <row r="41" spans="1:13" x14ac:dyDescent="0.3">
      <c r="A41">
        <v>1</v>
      </c>
      <c r="B41" t="s">
        <v>196</v>
      </c>
      <c r="C41">
        <v>1</v>
      </c>
      <c r="D41" s="1">
        <v>45017.083333333336</v>
      </c>
      <c r="E41" s="1">
        <v>45017.170138888891</v>
      </c>
      <c r="F41" t="s">
        <v>52</v>
      </c>
      <c r="G41" t="s">
        <v>22</v>
      </c>
      <c r="H41" t="s">
        <v>23</v>
      </c>
      <c r="I41">
        <v>1368</v>
      </c>
      <c r="J41" t="s">
        <v>17</v>
      </c>
      <c r="K41">
        <v>40</v>
      </c>
      <c r="L41" t="s">
        <v>49</v>
      </c>
      <c r="M41" t="s">
        <v>26</v>
      </c>
    </row>
    <row r="42" spans="1:13" x14ac:dyDescent="0.3">
      <c r="A42">
        <v>7</v>
      </c>
      <c r="B42" t="s">
        <v>267</v>
      </c>
      <c r="C42">
        <v>4</v>
      </c>
      <c r="D42" s="1">
        <v>45017.093055555553</v>
      </c>
      <c r="E42" s="1">
        <v>45017.180555555555</v>
      </c>
      <c r="F42" t="s">
        <v>32</v>
      </c>
      <c r="G42" t="s">
        <v>22</v>
      </c>
      <c r="H42" t="s">
        <v>16</v>
      </c>
      <c r="I42">
        <v>1524</v>
      </c>
      <c r="J42" t="s">
        <v>24</v>
      </c>
      <c r="K42">
        <v>41</v>
      </c>
      <c r="L42" t="s">
        <v>18</v>
      </c>
      <c r="M42" t="s">
        <v>105</v>
      </c>
    </row>
    <row r="43" spans="1:13" x14ac:dyDescent="0.3">
      <c r="A43">
        <v>14</v>
      </c>
      <c r="B43" t="s">
        <v>111</v>
      </c>
      <c r="C43">
        <v>1</v>
      </c>
      <c r="D43" s="1">
        <v>45017.017361111109</v>
      </c>
      <c r="E43" s="1">
        <v>45017.073611111111</v>
      </c>
      <c r="F43" t="s">
        <v>32</v>
      </c>
      <c r="G43" t="s">
        <v>22</v>
      </c>
      <c r="H43" t="s">
        <v>16</v>
      </c>
      <c r="I43">
        <v>4958</v>
      </c>
      <c r="J43" t="s">
        <v>28</v>
      </c>
      <c r="K43">
        <v>42</v>
      </c>
      <c r="L43" t="s">
        <v>29</v>
      </c>
      <c r="M43" t="s">
        <v>92</v>
      </c>
    </row>
    <row r="44" spans="1:13" x14ac:dyDescent="0.3">
      <c r="A44">
        <v>8</v>
      </c>
      <c r="B44" t="s">
        <v>268</v>
      </c>
      <c r="C44">
        <v>6</v>
      </c>
      <c r="D44" s="1">
        <v>45017.043055555558</v>
      </c>
      <c r="E44" s="1">
        <v>45017.134722222225</v>
      </c>
      <c r="F44" t="s">
        <v>14</v>
      </c>
      <c r="G44" t="s">
        <v>22</v>
      </c>
      <c r="H44" t="s">
        <v>16</v>
      </c>
      <c r="I44">
        <v>3219</v>
      </c>
      <c r="J44" t="s">
        <v>24</v>
      </c>
      <c r="K44">
        <v>43</v>
      </c>
      <c r="L44" t="s">
        <v>18</v>
      </c>
      <c r="M44" t="s">
        <v>105</v>
      </c>
    </row>
    <row r="45" spans="1:13" x14ac:dyDescent="0.3">
      <c r="A45">
        <v>18</v>
      </c>
      <c r="B45" t="s">
        <v>196</v>
      </c>
      <c r="C45">
        <v>1</v>
      </c>
      <c r="D45" s="1">
        <v>45017.129166666666</v>
      </c>
      <c r="E45" s="1">
        <v>45017.262499999997</v>
      </c>
      <c r="F45" t="s">
        <v>14</v>
      </c>
      <c r="G45" t="s">
        <v>22</v>
      </c>
      <c r="H45" t="s">
        <v>16</v>
      </c>
      <c r="I45">
        <v>426</v>
      </c>
      <c r="J45" t="s">
        <v>17</v>
      </c>
      <c r="K45">
        <v>44</v>
      </c>
      <c r="L45" t="s">
        <v>59</v>
      </c>
      <c r="M45" t="s">
        <v>71</v>
      </c>
    </row>
    <row r="46" spans="1:13" x14ac:dyDescent="0.3">
      <c r="A46">
        <v>17</v>
      </c>
      <c r="B46" t="s">
        <v>45</v>
      </c>
      <c r="C46">
        <v>2</v>
      </c>
      <c r="D46" s="1">
        <v>45017.09375</v>
      </c>
      <c r="E46" s="1">
        <v>45017.167361111111</v>
      </c>
      <c r="F46" t="s">
        <v>32</v>
      </c>
      <c r="G46" t="s">
        <v>22</v>
      </c>
      <c r="H46" t="s">
        <v>16</v>
      </c>
      <c r="I46">
        <v>2541</v>
      </c>
      <c r="J46" t="s">
        <v>28</v>
      </c>
      <c r="K46">
        <v>45</v>
      </c>
      <c r="L46" t="s">
        <v>18</v>
      </c>
      <c r="M46" t="s">
        <v>46</v>
      </c>
    </row>
    <row r="47" spans="1:13" x14ac:dyDescent="0.3">
      <c r="A47">
        <v>10</v>
      </c>
      <c r="B47" t="s">
        <v>213</v>
      </c>
      <c r="C47">
        <v>1</v>
      </c>
      <c r="D47" s="1">
        <v>45017.074305555558</v>
      </c>
      <c r="E47" s="1">
        <v>45017.152083333334</v>
      </c>
      <c r="F47" t="s">
        <v>21</v>
      </c>
      <c r="G47" t="s">
        <v>22</v>
      </c>
      <c r="H47" t="s">
        <v>16</v>
      </c>
      <c r="I47">
        <v>2797</v>
      </c>
      <c r="J47" t="s">
        <v>17</v>
      </c>
      <c r="K47">
        <v>46</v>
      </c>
      <c r="L47" t="s">
        <v>33</v>
      </c>
      <c r="M47" t="s">
        <v>40</v>
      </c>
    </row>
    <row r="48" spans="1:13" x14ac:dyDescent="0.3">
      <c r="A48">
        <v>18</v>
      </c>
      <c r="B48" t="s">
        <v>269</v>
      </c>
      <c r="C48">
        <v>3</v>
      </c>
      <c r="D48" s="1">
        <v>45017.145833333336</v>
      </c>
      <c r="E48" s="1">
        <v>45017.311805555553</v>
      </c>
      <c r="F48" t="s">
        <v>32</v>
      </c>
      <c r="G48" t="s">
        <v>22</v>
      </c>
      <c r="H48" t="s">
        <v>16</v>
      </c>
      <c r="I48">
        <v>1098</v>
      </c>
      <c r="J48" t="s">
        <v>24</v>
      </c>
      <c r="K48">
        <v>47</v>
      </c>
      <c r="L48" t="s">
        <v>25</v>
      </c>
      <c r="M48" t="s">
        <v>112</v>
      </c>
    </row>
    <row r="49" spans="1:13" x14ac:dyDescent="0.3">
      <c r="A49">
        <v>17</v>
      </c>
      <c r="B49" t="s">
        <v>270</v>
      </c>
      <c r="C49">
        <v>2</v>
      </c>
      <c r="D49" s="1">
        <v>45017.019444444442</v>
      </c>
      <c r="E49" s="1">
        <v>45017.168055555558</v>
      </c>
      <c r="F49" t="s">
        <v>52</v>
      </c>
      <c r="G49" t="s">
        <v>48</v>
      </c>
      <c r="H49" t="s">
        <v>16</v>
      </c>
      <c r="I49">
        <v>2531</v>
      </c>
      <c r="J49" t="s">
        <v>17</v>
      </c>
      <c r="K49">
        <v>48</v>
      </c>
      <c r="L49" t="s">
        <v>29</v>
      </c>
      <c r="M49" t="s">
        <v>50</v>
      </c>
    </row>
    <row r="50" spans="1:13" x14ac:dyDescent="0.3">
      <c r="A50">
        <v>8</v>
      </c>
      <c r="B50" t="s">
        <v>132</v>
      </c>
      <c r="C50">
        <v>3</v>
      </c>
      <c r="D50" s="1">
        <v>45017.072222222225</v>
      </c>
      <c r="E50" s="1">
        <v>45017.228472222225</v>
      </c>
      <c r="F50" t="s">
        <v>32</v>
      </c>
      <c r="G50" t="s">
        <v>22</v>
      </c>
      <c r="H50" t="s">
        <v>16</v>
      </c>
      <c r="I50">
        <v>2092</v>
      </c>
      <c r="J50" t="s">
        <v>17</v>
      </c>
      <c r="K50">
        <v>49</v>
      </c>
      <c r="L50" t="s">
        <v>55</v>
      </c>
      <c r="M50" t="s">
        <v>75</v>
      </c>
    </row>
    <row r="51" spans="1:13" x14ac:dyDescent="0.3">
      <c r="A51">
        <v>19</v>
      </c>
      <c r="B51" t="s">
        <v>271</v>
      </c>
      <c r="C51">
        <v>5</v>
      </c>
      <c r="D51" s="1">
        <v>45017.162499999999</v>
      </c>
      <c r="E51" s="1">
        <v>45017.289583333331</v>
      </c>
      <c r="F51" t="s">
        <v>14</v>
      </c>
      <c r="G51" t="s">
        <v>22</v>
      </c>
      <c r="H51" t="s">
        <v>36</v>
      </c>
      <c r="I51">
        <v>1674</v>
      </c>
      <c r="J51" t="s">
        <v>24</v>
      </c>
      <c r="K51">
        <v>50</v>
      </c>
      <c r="L51" t="s">
        <v>49</v>
      </c>
      <c r="M51" t="s">
        <v>105</v>
      </c>
    </row>
    <row r="52" spans="1:13" x14ac:dyDescent="0.3">
      <c r="A52">
        <v>12</v>
      </c>
      <c r="B52" t="s">
        <v>272</v>
      </c>
      <c r="C52">
        <v>1</v>
      </c>
      <c r="D52" s="1">
        <v>45017.070833333331</v>
      </c>
      <c r="E52" s="1">
        <v>45017.126388888886</v>
      </c>
      <c r="F52" t="s">
        <v>21</v>
      </c>
      <c r="G52" t="s">
        <v>15</v>
      </c>
      <c r="H52" t="s">
        <v>16</v>
      </c>
      <c r="I52">
        <v>3708</v>
      </c>
      <c r="J52" t="s">
        <v>28</v>
      </c>
      <c r="K52">
        <v>51</v>
      </c>
      <c r="L52" t="s">
        <v>59</v>
      </c>
      <c r="M52" t="s">
        <v>89</v>
      </c>
    </row>
    <row r="53" spans="1:13" x14ac:dyDescent="0.3">
      <c r="A53">
        <v>7</v>
      </c>
      <c r="B53" t="s">
        <v>273</v>
      </c>
      <c r="C53">
        <v>4</v>
      </c>
      <c r="D53" s="1">
        <v>45017.000694444447</v>
      </c>
      <c r="E53" s="1">
        <v>45017.049305555556</v>
      </c>
      <c r="F53" t="s">
        <v>52</v>
      </c>
      <c r="G53" t="s">
        <v>22</v>
      </c>
      <c r="H53" t="s">
        <v>16</v>
      </c>
      <c r="I53">
        <v>4688</v>
      </c>
      <c r="J53" t="s">
        <v>17</v>
      </c>
      <c r="K53">
        <v>52</v>
      </c>
      <c r="L53" t="s">
        <v>70</v>
      </c>
      <c r="M53" t="s">
        <v>112</v>
      </c>
    </row>
    <row r="54" spans="1:13" x14ac:dyDescent="0.3">
      <c r="A54">
        <v>16</v>
      </c>
      <c r="B54" t="s">
        <v>274</v>
      </c>
      <c r="C54">
        <v>5</v>
      </c>
      <c r="D54" s="1">
        <v>45017.125694444447</v>
      </c>
      <c r="E54" s="1">
        <v>45017.197222222225</v>
      </c>
      <c r="F54" t="s">
        <v>21</v>
      </c>
      <c r="G54" t="s">
        <v>22</v>
      </c>
      <c r="H54" t="s">
        <v>36</v>
      </c>
      <c r="I54">
        <v>3688</v>
      </c>
      <c r="J54" t="s">
        <v>17</v>
      </c>
      <c r="K54">
        <v>53</v>
      </c>
      <c r="L54" t="s">
        <v>70</v>
      </c>
      <c r="M54" t="s">
        <v>89</v>
      </c>
    </row>
    <row r="55" spans="1:13" x14ac:dyDescent="0.3">
      <c r="A55">
        <v>6</v>
      </c>
      <c r="B55" t="s">
        <v>275</v>
      </c>
      <c r="C55">
        <v>6</v>
      </c>
      <c r="D55" s="1">
        <v>45017.027777777781</v>
      </c>
      <c r="E55" s="1">
        <v>45017.176388888889</v>
      </c>
      <c r="F55" t="s">
        <v>14</v>
      </c>
      <c r="G55" t="s">
        <v>15</v>
      </c>
      <c r="H55" t="s">
        <v>16</v>
      </c>
      <c r="I55">
        <v>2336</v>
      </c>
      <c r="J55" t="s">
        <v>28</v>
      </c>
      <c r="K55">
        <v>54</v>
      </c>
      <c r="L55" t="s">
        <v>29</v>
      </c>
      <c r="M55" t="s">
        <v>19</v>
      </c>
    </row>
    <row r="56" spans="1:13" x14ac:dyDescent="0.3">
      <c r="A56">
        <v>20</v>
      </c>
      <c r="B56" t="s">
        <v>276</v>
      </c>
      <c r="C56">
        <v>5</v>
      </c>
      <c r="D56" s="1">
        <v>45017.0625</v>
      </c>
      <c r="E56" s="1">
        <v>45017.208333333336</v>
      </c>
      <c r="F56" t="s">
        <v>14</v>
      </c>
      <c r="G56" t="s">
        <v>15</v>
      </c>
      <c r="H56" t="s">
        <v>16</v>
      </c>
      <c r="I56">
        <v>4549</v>
      </c>
      <c r="J56" t="s">
        <v>24</v>
      </c>
      <c r="K56">
        <v>55</v>
      </c>
      <c r="L56" t="s">
        <v>18</v>
      </c>
      <c r="M56" t="s">
        <v>112</v>
      </c>
    </row>
    <row r="57" spans="1:13" x14ac:dyDescent="0.3">
      <c r="A57">
        <v>1</v>
      </c>
      <c r="B57" t="s">
        <v>193</v>
      </c>
      <c r="C57">
        <v>3</v>
      </c>
      <c r="D57" s="1">
        <v>45017.055555555555</v>
      </c>
      <c r="E57" s="1">
        <v>45017.206250000003</v>
      </c>
      <c r="F57" t="s">
        <v>21</v>
      </c>
      <c r="G57" t="s">
        <v>22</v>
      </c>
      <c r="H57" t="s">
        <v>36</v>
      </c>
      <c r="I57">
        <v>432</v>
      </c>
      <c r="J57" t="s">
        <v>17</v>
      </c>
      <c r="K57">
        <v>56</v>
      </c>
      <c r="L57" t="s">
        <v>62</v>
      </c>
      <c r="M57" t="s">
        <v>26</v>
      </c>
    </row>
    <row r="58" spans="1:13" x14ac:dyDescent="0.3">
      <c r="A58">
        <v>18</v>
      </c>
      <c r="B58" t="s">
        <v>277</v>
      </c>
      <c r="C58">
        <v>2</v>
      </c>
      <c r="D58" s="1">
        <v>45017.12777777778</v>
      </c>
      <c r="E58" s="1">
        <v>45017.202777777777</v>
      </c>
      <c r="F58" t="s">
        <v>32</v>
      </c>
      <c r="G58" t="s">
        <v>22</v>
      </c>
      <c r="H58" t="s">
        <v>16</v>
      </c>
      <c r="I58">
        <v>4545</v>
      </c>
      <c r="J58" t="s">
        <v>17</v>
      </c>
      <c r="K58">
        <v>57</v>
      </c>
      <c r="L58" t="s">
        <v>37</v>
      </c>
      <c r="M58" t="s">
        <v>19</v>
      </c>
    </row>
    <row r="59" spans="1:13" x14ac:dyDescent="0.3">
      <c r="A59">
        <v>8</v>
      </c>
      <c r="B59" t="s">
        <v>278</v>
      </c>
      <c r="C59">
        <v>3</v>
      </c>
      <c r="D59" s="1">
        <v>45017.063194444447</v>
      </c>
      <c r="E59" s="1">
        <v>45017.181250000001</v>
      </c>
      <c r="F59" t="s">
        <v>73</v>
      </c>
      <c r="G59" t="s">
        <v>15</v>
      </c>
      <c r="H59" t="s">
        <v>16</v>
      </c>
      <c r="I59">
        <v>307</v>
      </c>
      <c r="J59" t="s">
        <v>28</v>
      </c>
      <c r="K59">
        <v>58</v>
      </c>
      <c r="L59" t="s">
        <v>25</v>
      </c>
      <c r="M59" t="s">
        <v>92</v>
      </c>
    </row>
    <row r="60" spans="1:13" x14ac:dyDescent="0.3">
      <c r="A60">
        <v>8</v>
      </c>
      <c r="B60" t="s">
        <v>279</v>
      </c>
      <c r="C60">
        <v>4</v>
      </c>
      <c r="D60" s="1">
        <v>45017.056250000001</v>
      </c>
      <c r="E60" s="1">
        <v>45017.211111111108</v>
      </c>
      <c r="F60" t="s">
        <v>73</v>
      </c>
      <c r="G60" t="s">
        <v>22</v>
      </c>
      <c r="H60" t="s">
        <v>23</v>
      </c>
      <c r="I60">
        <v>3389</v>
      </c>
      <c r="J60" t="s">
        <v>17</v>
      </c>
      <c r="K60">
        <v>59</v>
      </c>
      <c r="L60" t="s">
        <v>37</v>
      </c>
      <c r="M60" t="s">
        <v>53</v>
      </c>
    </row>
    <row r="61" spans="1:13" x14ac:dyDescent="0.3">
      <c r="A61">
        <v>6</v>
      </c>
      <c r="B61" t="s">
        <v>184</v>
      </c>
      <c r="C61">
        <v>1</v>
      </c>
      <c r="D61" s="1">
        <v>45017.089583333334</v>
      </c>
      <c r="E61" s="1">
        <v>45017.240277777775</v>
      </c>
      <c r="F61" t="s">
        <v>73</v>
      </c>
      <c r="G61" t="s">
        <v>22</v>
      </c>
      <c r="H61" t="s">
        <v>16</v>
      </c>
      <c r="I61">
        <v>1954</v>
      </c>
      <c r="J61" t="s">
        <v>28</v>
      </c>
      <c r="K61">
        <v>60</v>
      </c>
      <c r="L61" t="s">
        <v>29</v>
      </c>
      <c r="M61" t="s">
        <v>46</v>
      </c>
    </row>
    <row r="62" spans="1:13" x14ac:dyDescent="0.3">
      <c r="A62">
        <v>10</v>
      </c>
      <c r="B62" t="s">
        <v>121</v>
      </c>
      <c r="C62">
        <v>5</v>
      </c>
      <c r="D62" s="1">
        <v>45017.15902777778</v>
      </c>
      <c r="E62" s="1">
        <v>45017.265277777777</v>
      </c>
      <c r="F62" t="s">
        <v>32</v>
      </c>
      <c r="G62" t="s">
        <v>22</v>
      </c>
      <c r="H62" t="s">
        <v>16</v>
      </c>
      <c r="I62">
        <v>4287</v>
      </c>
      <c r="J62" t="s">
        <v>24</v>
      </c>
      <c r="K62">
        <v>61</v>
      </c>
      <c r="L62" t="s">
        <v>33</v>
      </c>
      <c r="M62" t="s">
        <v>34</v>
      </c>
    </row>
    <row r="63" spans="1:13" x14ac:dyDescent="0.3">
      <c r="A63">
        <v>2</v>
      </c>
      <c r="B63" t="s">
        <v>280</v>
      </c>
      <c r="C63">
        <v>1</v>
      </c>
      <c r="D63" s="1">
        <v>45017.115972222222</v>
      </c>
      <c r="E63" s="1">
        <v>45017.26666666667</v>
      </c>
      <c r="F63" t="s">
        <v>73</v>
      </c>
      <c r="G63" t="s">
        <v>15</v>
      </c>
      <c r="H63" t="s">
        <v>16</v>
      </c>
      <c r="I63">
        <v>3793</v>
      </c>
      <c r="J63" t="s">
        <v>24</v>
      </c>
      <c r="K63">
        <v>62</v>
      </c>
      <c r="L63" t="s">
        <v>49</v>
      </c>
      <c r="M63" t="s">
        <v>40</v>
      </c>
    </row>
    <row r="64" spans="1:13" x14ac:dyDescent="0.3">
      <c r="A64">
        <v>17</v>
      </c>
      <c r="B64" t="s">
        <v>110</v>
      </c>
      <c r="C64">
        <v>4</v>
      </c>
      <c r="D64" s="1">
        <v>45017.02847222222</v>
      </c>
      <c r="E64" s="1">
        <v>45017.17083333333</v>
      </c>
      <c r="F64" t="s">
        <v>14</v>
      </c>
      <c r="G64" t="s">
        <v>22</v>
      </c>
      <c r="H64" t="s">
        <v>16</v>
      </c>
      <c r="I64">
        <v>3334</v>
      </c>
      <c r="J64" t="s">
        <v>28</v>
      </c>
      <c r="K64">
        <v>63</v>
      </c>
      <c r="L64" t="s">
        <v>37</v>
      </c>
      <c r="M64" t="s">
        <v>66</v>
      </c>
    </row>
    <row r="65" spans="1:13" x14ac:dyDescent="0.3">
      <c r="A65">
        <v>3</v>
      </c>
      <c r="B65" t="s">
        <v>281</v>
      </c>
      <c r="C65">
        <v>3</v>
      </c>
      <c r="D65" s="1">
        <v>45017.069444444445</v>
      </c>
      <c r="E65" s="1">
        <v>45017.168055555558</v>
      </c>
      <c r="F65" t="s">
        <v>21</v>
      </c>
      <c r="G65" t="s">
        <v>48</v>
      </c>
      <c r="H65" t="s">
        <v>23</v>
      </c>
      <c r="I65">
        <v>3477</v>
      </c>
      <c r="J65" t="s">
        <v>28</v>
      </c>
      <c r="K65">
        <v>64</v>
      </c>
      <c r="L65" t="s">
        <v>18</v>
      </c>
      <c r="M65" t="s">
        <v>66</v>
      </c>
    </row>
    <row r="66" spans="1:13" x14ac:dyDescent="0.3">
      <c r="A66">
        <v>5</v>
      </c>
      <c r="B66" t="s">
        <v>214</v>
      </c>
      <c r="C66">
        <v>1</v>
      </c>
      <c r="D66" s="1">
        <v>45017.07916666667</v>
      </c>
      <c r="E66" s="1">
        <v>45017.127083333333</v>
      </c>
      <c r="F66" t="s">
        <v>52</v>
      </c>
      <c r="G66" t="s">
        <v>22</v>
      </c>
      <c r="H66" t="s">
        <v>36</v>
      </c>
      <c r="I66">
        <v>140</v>
      </c>
      <c r="J66" t="s">
        <v>24</v>
      </c>
      <c r="K66">
        <v>65</v>
      </c>
      <c r="L66" t="s">
        <v>29</v>
      </c>
      <c r="M66" t="s">
        <v>30</v>
      </c>
    </row>
    <row r="67" spans="1:13" x14ac:dyDescent="0.3">
      <c r="A67">
        <v>18</v>
      </c>
      <c r="B67" t="s">
        <v>282</v>
      </c>
      <c r="C67">
        <v>2</v>
      </c>
      <c r="D67" s="1">
        <v>45017.102777777778</v>
      </c>
      <c r="E67" s="1">
        <v>45017.262499999997</v>
      </c>
      <c r="F67" t="s">
        <v>21</v>
      </c>
      <c r="G67" t="s">
        <v>22</v>
      </c>
      <c r="H67" t="s">
        <v>16</v>
      </c>
      <c r="I67">
        <v>1088</v>
      </c>
      <c r="J67" t="s">
        <v>28</v>
      </c>
      <c r="K67">
        <v>66</v>
      </c>
      <c r="L67" t="s">
        <v>59</v>
      </c>
      <c r="M67" t="s">
        <v>44</v>
      </c>
    </row>
    <row r="68" spans="1:13" x14ac:dyDescent="0.3">
      <c r="A68">
        <v>2</v>
      </c>
      <c r="B68" t="s">
        <v>283</v>
      </c>
      <c r="C68">
        <v>6</v>
      </c>
      <c r="D68" s="1">
        <v>45017.15625</v>
      </c>
      <c r="E68" s="1">
        <v>45017.215277777781</v>
      </c>
      <c r="F68" t="s">
        <v>32</v>
      </c>
      <c r="G68" t="s">
        <v>22</v>
      </c>
      <c r="H68" t="s">
        <v>36</v>
      </c>
      <c r="I68">
        <v>2125</v>
      </c>
      <c r="J68" t="s">
        <v>28</v>
      </c>
      <c r="K68">
        <v>67</v>
      </c>
      <c r="L68" t="s">
        <v>18</v>
      </c>
      <c r="M68" t="s">
        <v>34</v>
      </c>
    </row>
    <row r="69" spans="1:13" x14ac:dyDescent="0.3">
      <c r="A69">
        <v>8</v>
      </c>
      <c r="B69" t="s">
        <v>284</v>
      </c>
      <c r="C69">
        <v>4</v>
      </c>
      <c r="D69" s="1">
        <v>45017.001388888886</v>
      </c>
      <c r="E69" s="1">
        <v>45017.135416666664</v>
      </c>
      <c r="F69" t="s">
        <v>21</v>
      </c>
      <c r="G69" t="s">
        <v>15</v>
      </c>
      <c r="H69" t="s">
        <v>16</v>
      </c>
      <c r="I69">
        <v>4565</v>
      </c>
      <c r="J69" t="s">
        <v>24</v>
      </c>
      <c r="K69">
        <v>68</v>
      </c>
      <c r="L69" t="s">
        <v>25</v>
      </c>
      <c r="M69" t="s">
        <v>89</v>
      </c>
    </row>
    <row r="70" spans="1:13" x14ac:dyDescent="0.3">
      <c r="A70">
        <v>5</v>
      </c>
      <c r="B70" t="s">
        <v>285</v>
      </c>
      <c r="C70">
        <v>4</v>
      </c>
      <c r="D70" s="1">
        <v>45017.084722222222</v>
      </c>
      <c r="E70" s="1">
        <v>45017.164583333331</v>
      </c>
      <c r="F70" t="s">
        <v>32</v>
      </c>
      <c r="G70" t="s">
        <v>22</v>
      </c>
      <c r="H70" t="s">
        <v>16</v>
      </c>
      <c r="I70">
        <v>3149</v>
      </c>
      <c r="J70" t="s">
        <v>17</v>
      </c>
      <c r="K70">
        <v>69</v>
      </c>
      <c r="L70" t="s">
        <v>18</v>
      </c>
      <c r="M70" t="s">
        <v>42</v>
      </c>
    </row>
    <row r="71" spans="1:13" x14ac:dyDescent="0.3">
      <c r="A71">
        <v>17</v>
      </c>
      <c r="B71" t="s">
        <v>286</v>
      </c>
      <c r="C71">
        <v>4</v>
      </c>
      <c r="D71" s="1">
        <v>45017.007638888892</v>
      </c>
      <c r="E71" s="1">
        <v>45017.056944444441</v>
      </c>
      <c r="F71" t="s">
        <v>14</v>
      </c>
      <c r="G71" t="s">
        <v>22</v>
      </c>
      <c r="H71" t="s">
        <v>36</v>
      </c>
      <c r="I71">
        <v>2826</v>
      </c>
      <c r="J71" t="s">
        <v>17</v>
      </c>
      <c r="K71">
        <v>70</v>
      </c>
      <c r="L71" t="s">
        <v>70</v>
      </c>
      <c r="M71" t="s">
        <v>60</v>
      </c>
    </row>
    <row r="72" spans="1:13" x14ac:dyDescent="0.3">
      <c r="A72">
        <v>18</v>
      </c>
      <c r="B72" t="s">
        <v>287</v>
      </c>
      <c r="C72">
        <v>4</v>
      </c>
      <c r="D72" s="1">
        <v>45017.081250000003</v>
      </c>
      <c r="E72" s="1">
        <v>45017.24722222222</v>
      </c>
      <c r="F72" t="s">
        <v>52</v>
      </c>
      <c r="G72" t="s">
        <v>22</v>
      </c>
      <c r="H72" t="s">
        <v>16</v>
      </c>
      <c r="I72">
        <v>2401</v>
      </c>
      <c r="J72" t="s">
        <v>24</v>
      </c>
      <c r="K72">
        <v>71</v>
      </c>
      <c r="L72" t="s">
        <v>70</v>
      </c>
      <c r="M72" t="s">
        <v>40</v>
      </c>
    </row>
    <row r="73" spans="1:13" x14ac:dyDescent="0.3">
      <c r="A73">
        <v>17</v>
      </c>
      <c r="B73" t="s">
        <v>288</v>
      </c>
      <c r="C73">
        <v>1</v>
      </c>
      <c r="D73" s="1">
        <v>45017.112500000003</v>
      </c>
      <c r="E73" s="1">
        <v>45017.243750000001</v>
      </c>
      <c r="F73" t="s">
        <v>32</v>
      </c>
      <c r="G73" t="s">
        <v>22</v>
      </c>
      <c r="H73" t="s">
        <v>16</v>
      </c>
      <c r="I73">
        <v>1528</v>
      </c>
      <c r="J73" t="s">
        <v>28</v>
      </c>
      <c r="K73">
        <v>72</v>
      </c>
      <c r="L73" t="s">
        <v>18</v>
      </c>
      <c r="M73" t="s">
        <v>42</v>
      </c>
    </row>
    <row r="74" spans="1:13" x14ac:dyDescent="0.3">
      <c r="A74">
        <v>1</v>
      </c>
      <c r="B74" t="s">
        <v>47</v>
      </c>
      <c r="C74">
        <v>4</v>
      </c>
      <c r="D74" s="1">
        <v>45017.11041666667</v>
      </c>
      <c r="E74" s="1">
        <v>45017.256249999999</v>
      </c>
      <c r="F74" t="s">
        <v>14</v>
      </c>
      <c r="G74" t="s">
        <v>48</v>
      </c>
      <c r="H74" t="s">
        <v>16</v>
      </c>
      <c r="I74">
        <v>3451</v>
      </c>
      <c r="J74" t="s">
        <v>17</v>
      </c>
      <c r="K74">
        <v>73</v>
      </c>
      <c r="L74" t="s">
        <v>49</v>
      </c>
      <c r="M74" t="s">
        <v>50</v>
      </c>
    </row>
    <row r="75" spans="1:13" x14ac:dyDescent="0.3">
      <c r="A75">
        <v>19</v>
      </c>
      <c r="B75" t="s">
        <v>194</v>
      </c>
      <c r="C75">
        <v>4</v>
      </c>
      <c r="D75" s="1">
        <v>45017.044444444444</v>
      </c>
      <c r="E75" s="1">
        <v>45017.175694444442</v>
      </c>
      <c r="F75" t="s">
        <v>14</v>
      </c>
      <c r="G75" t="s">
        <v>22</v>
      </c>
      <c r="H75" t="s">
        <v>16</v>
      </c>
      <c r="I75">
        <v>3083</v>
      </c>
      <c r="J75" t="s">
        <v>17</v>
      </c>
      <c r="K75">
        <v>74</v>
      </c>
      <c r="L75" t="s">
        <v>25</v>
      </c>
      <c r="M75" t="s">
        <v>71</v>
      </c>
    </row>
    <row r="76" spans="1:13" x14ac:dyDescent="0.3">
      <c r="A76">
        <v>19</v>
      </c>
      <c r="B76" t="s">
        <v>289</v>
      </c>
      <c r="C76">
        <v>5</v>
      </c>
      <c r="D76" s="1">
        <v>45017.15</v>
      </c>
      <c r="E76" s="1">
        <v>45017.200694444444</v>
      </c>
      <c r="F76" t="s">
        <v>21</v>
      </c>
      <c r="G76" t="s">
        <v>22</v>
      </c>
      <c r="H76" t="s">
        <v>16</v>
      </c>
      <c r="I76">
        <v>4523</v>
      </c>
      <c r="J76" t="s">
        <v>24</v>
      </c>
      <c r="K76">
        <v>75</v>
      </c>
      <c r="L76" t="s">
        <v>91</v>
      </c>
      <c r="M76" t="s">
        <v>34</v>
      </c>
    </row>
    <row r="77" spans="1:13" x14ac:dyDescent="0.3">
      <c r="A77">
        <v>17</v>
      </c>
      <c r="B77" t="s">
        <v>290</v>
      </c>
      <c r="C77">
        <v>3</v>
      </c>
      <c r="D77" s="1">
        <v>45017.122916666667</v>
      </c>
      <c r="E77" s="1">
        <v>45017.224999999999</v>
      </c>
      <c r="F77" t="s">
        <v>73</v>
      </c>
      <c r="G77" t="s">
        <v>22</v>
      </c>
      <c r="H77" t="s">
        <v>16</v>
      </c>
      <c r="I77">
        <v>1776</v>
      </c>
      <c r="J77" t="s">
        <v>28</v>
      </c>
      <c r="K77">
        <v>76</v>
      </c>
      <c r="L77" t="s">
        <v>49</v>
      </c>
      <c r="M77" t="s">
        <v>40</v>
      </c>
    </row>
    <row r="78" spans="1:13" x14ac:dyDescent="0.3">
      <c r="A78">
        <v>3</v>
      </c>
      <c r="B78" t="s">
        <v>291</v>
      </c>
      <c r="C78">
        <v>1</v>
      </c>
      <c r="D78" s="1">
        <v>45017.115277777775</v>
      </c>
      <c r="E78" s="1">
        <v>45017.260416666664</v>
      </c>
      <c r="F78" t="s">
        <v>52</v>
      </c>
      <c r="G78" t="s">
        <v>15</v>
      </c>
      <c r="H78" t="s">
        <v>16</v>
      </c>
      <c r="I78">
        <v>1988</v>
      </c>
      <c r="J78" t="s">
        <v>17</v>
      </c>
      <c r="K78">
        <v>77</v>
      </c>
      <c r="L78" t="s">
        <v>29</v>
      </c>
      <c r="M78" t="s">
        <v>46</v>
      </c>
    </row>
    <row r="79" spans="1:13" x14ac:dyDescent="0.3">
      <c r="A79">
        <v>7</v>
      </c>
      <c r="B79" t="s">
        <v>51</v>
      </c>
      <c r="C79">
        <v>4</v>
      </c>
      <c r="D79" s="1">
        <v>45017.06527777778</v>
      </c>
      <c r="E79" s="1">
        <v>45017.127083333333</v>
      </c>
      <c r="F79" t="s">
        <v>52</v>
      </c>
      <c r="G79" t="s">
        <v>22</v>
      </c>
      <c r="H79" t="s">
        <v>16</v>
      </c>
      <c r="I79">
        <v>2002</v>
      </c>
      <c r="J79" t="s">
        <v>17</v>
      </c>
      <c r="K79">
        <v>78</v>
      </c>
      <c r="L79" t="s">
        <v>37</v>
      </c>
      <c r="M79" t="s">
        <v>53</v>
      </c>
    </row>
    <row r="80" spans="1:13" x14ac:dyDescent="0.3">
      <c r="A80">
        <v>16</v>
      </c>
      <c r="B80" t="s">
        <v>292</v>
      </c>
      <c r="C80">
        <v>2</v>
      </c>
      <c r="D80" s="1">
        <v>45017.06527777778</v>
      </c>
      <c r="E80" s="1">
        <v>45017.213888888888</v>
      </c>
      <c r="F80" t="s">
        <v>52</v>
      </c>
      <c r="G80" t="s">
        <v>22</v>
      </c>
      <c r="H80" t="s">
        <v>16</v>
      </c>
      <c r="I80">
        <v>3401</v>
      </c>
      <c r="J80" t="s">
        <v>17</v>
      </c>
      <c r="K80">
        <v>79</v>
      </c>
      <c r="L80" t="s">
        <v>91</v>
      </c>
      <c r="M80" t="s">
        <v>26</v>
      </c>
    </row>
    <row r="81" spans="1:13" x14ac:dyDescent="0.3">
      <c r="A81">
        <v>18</v>
      </c>
      <c r="B81" t="s">
        <v>293</v>
      </c>
      <c r="C81">
        <v>6</v>
      </c>
      <c r="D81" s="1">
        <v>45017.093055555553</v>
      </c>
      <c r="E81" s="1">
        <v>45017.156944444447</v>
      </c>
      <c r="F81" t="s">
        <v>14</v>
      </c>
      <c r="G81" t="s">
        <v>22</v>
      </c>
      <c r="H81" t="s">
        <v>16</v>
      </c>
      <c r="I81">
        <v>3905</v>
      </c>
      <c r="J81" t="s">
        <v>17</v>
      </c>
      <c r="K81">
        <v>80</v>
      </c>
      <c r="L81" t="s">
        <v>91</v>
      </c>
      <c r="M81" t="s">
        <v>92</v>
      </c>
    </row>
    <row r="82" spans="1:13" x14ac:dyDescent="0.3">
      <c r="A82">
        <v>17</v>
      </c>
      <c r="B82" t="s">
        <v>54</v>
      </c>
      <c r="C82">
        <v>4</v>
      </c>
      <c r="D82" s="1">
        <v>45017.152777777781</v>
      </c>
      <c r="E82" s="1">
        <v>45017.271527777775</v>
      </c>
      <c r="F82" t="s">
        <v>21</v>
      </c>
      <c r="G82" t="s">
        <v>15</v>
      </c>
      <c r="H82" t="s">
        <v>16</v>
      </c>
      <c r="I82">
        <v>2369</v>
      </c>
      <c r="J82" t="s">
        <v>24</v>
      </c>
      <c r="K82">
        <v>81</v>
      </c>
      <c r="L82" t="s">
        <v>55</v>
      </c>
      <c r="M82" t="s">
        <v>56</v>
      </c>
    </row>
    <row r="83" spans="1:13" x14ac:dyDescent="0.3">
      <c r="A83">
        <v>16</v>
      </c>
      <c r="B83" t="s">
        <v>294</v>
      </c>
      <c r="C83">
        <v>3</v>
      </c>
      <c r="D83" s="1">
        <v>45017.142361111109</v>
      </c>
      <c r="E83" s="1">
        <v>45017.298611111109</v>
      </c>
      <c r="F83" t="s">
        <v>21</v>
      </c>
      <c r="G83" t="s">
        <v>48</v>
      </c>
      <c r="H83" t="s">
        <v>16</v>
      </c>
      <c r="I83">
        <v>386</v>
      </c>
      <c r="J83" t="s">
        <v>17</v>
      </c>
      <c r="K83">
        <v>82</v>
      </c>
      <c r="L83" t="s">
        <v>70</v>
      </c>
      <c r="M83" t="s">
        <v>60</v>
      </c>
    </row>
    <row r="84" spans="1:13" x14ac:dyDescent="0.3">
      <c r="A84">
        <v>15</v>
      </c>
      <c r="B84" t="s">
        <v>295</v>
      </c>
      <c r="C84">
        <v>1</v>
      </c>
      <c r="D84" s="1">
        <v>45017.154166666667</v>
      </c>
      <c r="E84" s="1">
        <v>45017.277083333334</v>
      </c>
      <c r="F84" t="s">
        <v>73</v>
      </c>
      <c r="G84" t="s">
        <v>15</v>
      </c>
      <c r="H84" t="s">
        <v>16</v>
      </c>
      <c r="I84">
        <v>2494</v>
      </c>
      <c r="J84" t="s">
        <v>24</v>
      </c>
      <c r="K84">
        <v>83</v>
      </c>
      <c r="L84" t="s">
        <v>49</v>
      </c>
      <c r="M84" t="s">
        <v>50</v>
      </c>
    </row>
    <row r="85" spans="1:13" x14ac:dyDescent="0.3">
      <c r="A85">
        <v>19</v>
      </c>
      <c r="B85" t="s">
        <v>57</v>
      </c>
      <c r="C85">
        <v>5</v>
      </c>
      <c r="D85" s="1">
        <v>45017.070833333331</v>
      </c>
      <c r="E85" s="1">
        <v>45017.137499999997</v>
      </c>
      <c r="F85" t="s">
        <v>14</v>
      </c>
      <c r="G85" t="s">
        <v>22</v>
      </c>
      <c r="H85" t="s">
        <v>16</v>
      </c>
      <c r="I85">
        <v>1511</v>
      </c>
      <c r="J85" t="s">
        <v>24</v>
      </c>
      <c r="K85">
        <v>84</v>
      </c>
      <c r="L85" t="s">
        <v>18</v>
      </c>
      <c r="M85" t="s">
        <v>40</v>
      </c>
    </row>
    <row r="86" spans="1:13" x14ac:dyDescent="0.3">
      <c r="A86">
        <v>8</v>
      </c>
      <c r="B86" t="s">
        <v>296</v>
      </c>
      <c r="C86">
        <v>3</v>
      </c>
      <c r="D86" s="1">
        <v>45017.107638888891</v>
      </c>
      <c r="E86" s="1">
        <v>45017.188194444447</v>
      </c>
      <c r="F86" t="s">
        <v>32</v>
      </c>
      <c r="G86" t="s">
        <v>15</v>
      </c>
      <c r="H86" t="s">
        <v>16</v>
      </c>
      <c r="I86">
        <v>4596</v>
      </c>
      <c r="J86" t="s">
        <v>17</v>
      </c>
      <c r="K86">
        <v>85</v>
      </c>
      <c r="L86" t="s">
        <v>62</v>
      </c>
      <c r="M86" t="s">
        <v>30</v>
      </c>
    </row>
    <row r="87" spans="1:13" x14ac:dyDescent="0.3">
      <c r="A87">
        <v>20</v>
      </c>
      <c r="B87" t="s">
        <v>58</v>
      </c>
      <c r="C87">
        <v>3</v>
      </c>
      <c r="D87" s="1">
        <v>45017.001388888886</v>
      </c>
      <c r="E87" s="1">
        <v>45017.088888888888</v>
      </c>
      <c r="F87" t="s">
        <v>21</v>
      </c>
      <c r="G87" t="s">
        <v>22</v>
      </c>
      <c r="H87" t="s">
        <v>36</v>
      </c>
      <c r="I87">
        <v>1184</v>
      </c>
      <c r="J87" t="s">
        <v>17</v>
      </c>
      <c r="K87">
        <v>86</v>
      </c>
      <c r="L87" t="s">
        <v>59</v>
      </c>
      <c r="M87" t="s">
        <v>60</v>
      </c>
    </row>
    <row r="88" spans="1:13" x14ac:dyDescent="0.3">
      <c r="A88">
        <v>3</v>
      </c>
      <c r="B88" t="s">
        <v>297</v>
      </c>
      <c r="C88">
        <v>2</v>
      </c>
      <c r="D88" s="1">
        <v>45017.073611111111</v>
      </c>
      <c r="E88" s="1">
        <v>45017.137499999997</v>
      </c>
      <c r="F88" t="s">
        <v>14</v>
      </c>
      <c r="G88" t="s">
        <v>22</v>
      </c>
      <c r="H88" t="s">
        <v>16</v>
      </c>
      <c r="I88">
        <v>2946</v>
      </c>
      <c r="J88" t="s">
        <v>24</v>
      </c>
      <c r="K88">
        <v>87</v>
      </c>
      <c r="L88" t="s">
        <v>91</v>
      </c>
      <c r="M88" t="s">
        <v>46</v>
      </c>
    </row>
    <row r="89" spans="1:13" x14ac:dyDescent="0.3">
      <c r="A89">
        <v>18</v>
      </c>
      <c r="B89" t="s">
        <v>218</v>
      </c>
      <c r="C89">
        <v>1</v>
      </c>
      <c r="D89" s="1">
        <v>45017.145833333336</v>
      </c>
      <c r="E89" s="1">
        <v>45017.277777777781</v>
      </c>
      <c r="F89" t="s">
        <v>14</v>
      </c>
      <c r="G89" t="s">
        <v>22</v>
      </c>
      <c r="H89" t="s">
        <v>36</v>
      </c>
      <c r="I89">
        <v>2393</v>
      </c>
      <c r="J89" t="s">
        <v>28</v>
      </c>
      <c r="K89">
        <v>88</v>
      </c>
      <c r="L89" t="s">
        <v>62</v>
      </c>
      <c r="M89" t="s">
        <v>34</v>
      </c>
    </row>
    <row r="90" spans="1:13" x14ac:dyDescent="0.3">
      <c r="A90">
        <v>11</v>
      </c>
      <c r="B90" t="s">
        <v>121</v>
      </c>
      <c r="C90">
        <v>4</v>
      </c>
      <c r="D90" s="1">
        <v>45017.029166666667</v>
      </c>
      <c r="E90" s="1">
        <v>45017.09652777778</v>
      </c>
      <c r="F90" t="s">
        <v>21</v>
      </c>
      <c r="G90" t="s">
        <v>48</v>
      </c>
      <c r="H90" t="s">
        <v>36</v>
      </c>
      <c r="I90">
        <v>1228</v>
      </c>
      <c r="J90" t="s">
        <v>17</v>
      </c>
      <c r="K90">
        <v>89</v>
      </c>
      <c r="L90" t="s">
        <v>55</v>
      </c>
      <c r="M90" t="s">
        <v>89</v>
      </c>
    </row>
    <row r="91" spans="1:13" x14ac:dyDescent="0.3">
      <c r="A91">
        <v>6</v>
      </c>
      <c r="B91" t="s">
        <v>61</v>
      </c>
      <c r="C91">
        <v>3</v>
      </c>
      <c r="D91" s="1">
        <v>45017.053472222222</v>
      </c>
      <c r="E91" s="1">
        <v>45017.134027777778</v>
      </c>
      <c r="F91" t="s">
        <v>21</v>
      </c>
      <c r="G91" t="s">
        <v>22</v>
      </c>
      <c r="H91" t="s">
        <v>36</v>
      </c>
      <c r="I91">
        <v>3069</v>
      </c>
      <c r="J91" t="s">
        <v>28</v>
      </c>
      <c r="K91">
        <v>90</v>
      </c>
      <c r="L91" t="s">
        <v>62</v>
      </c>
      <c r="M91" t="s">
        <v>38</v>
      </c>
    </row>
    <row r="92" spans="1:13" x14ac:dyDescent="0.3">
      <c r="A92">
        <v>1</v>
      </c>
      <c r="B92" t="s">
        <v>298</v>
      </c>
      <c r="C92">
        <v>5</v>
      </c>
      <c r="D92" s="1">
        <v>45017.151388888888</v>
      </c>
      <c r="E92" s="1">
        <v>45017.224999999999</v>
      </c>
      <c r="F92" t="s">
        <v>21</v>
      </c>
      <c r="G92" t="s">
        <v>22</v>
      </c>
      <c r="H92" t="s">
        <v>16</v>
      </c>
      <c r="I92">
        <v>391</v>
      </c>
      <c r="J92" t="s">
        <v>28</v>
      </c>
      <c r="K92">
        <v>91</v>
      </c>
      <c r="L92" t="s">
        <v>59</v>
      </c>
      <c r="M92" t="s">
        <v>19</v>
      </c>
    </row>
    <row r="93" spans="1:13" x14ac:dyDescent="0.3">
      <c r="A93">
        <v>6</v>
      </c>
      <c r="B93" t="s">
        <v>299</v>
      </c>
      <c r="C93">
        <v>2</v>
      </c>
      <c r="D93" s="1">
        <v>45017.149305555555</v>
      </c>
      <c r="E93" s="1">
        <v>45017.256249999999</v>
      </c>
      <c r="F93" t="s">
        <v>32</v>
      </c>
      <c r="G93" t="s">
        <v>48</v>
      </c>
      <c r="H93" t="s">
        <v>16</v>
      </c>
      <c r="I93">
        <v>1275</v>
      </c>
      <c r="J93" t="s">
        <v>17</v>
      </c>
      <c r="K93">
        <v>92</v>
      </c>
      <c r="L93" t="s">
        <v>91</v>
      </c>
      <c r="M93" t="s">
        <v>26</v>
      </c>
    </row>
    <row r="94" spans="1:13" x14ac:dyDescent="0.3">
      <c r="A94">
        <v>2</v>
      </c>
      <c r="B94" t="s">
        <v>63</v>
      </c>
      <c r="C94">
        <v>2</v>
      </c>
      <c r="D94" s="1">
        <v>45017.068749999999</v>
      </c>
      <c r="E94" s="1">
        <v>45017.158333333333</v>
      </c>
      <c r="F94" t="s">
        <v>32</v>
      </c>
      <c r="G94" t="s">
        <v>22</v>
      </c>
      <c r="H94" t="s">
        <v>16</v>
      </c>
      <c r="I94">
        <v>4566</v>
      </c>
      <c r="J94" t="s">
        <v>17</v>
      </c>
      <c r="K94">
        <v>93</v>
      </c>
      <c r="L94" t="s">
        <v>18</v>
      </c>
      <c r="M94" t="s">
        <v>26</v>
      </c>
    </row>
    <row r="95" spans="1:13" x14ac:dyDescent="0.3">
      <c r="A95">
        <v>12</v>
      </c>
      <c r="B95" t="s">
        <v>300</v>
      </c>
      <c r="C95">
        <v>1</v>
      </c>
      <c r="D95" s="1">
        <v>45017.077777777777</v>
      </c>
      <c r="E95" s="1">
        <v>45017.203472222223</v>
      </c>
      <c r="F95" t="s">
        <v>14</v>
      </c>
      <c r="G95" t="s">
        <v>22</v>
      </c>
      <c r="H95" t="s">
        <v>16</v>
      </c>
      <c r="I95">
        <v>2836</v>
      </c>
      <c r="J95" t="s">
        <v>24</v>
      </c>
      <c r="K95">
        <v>94</v>
      </c>
      <c r="L95" t="s">
        <v>33</v>
      </c>
      <c r="M95" t="s">
        <v>40</v>
      </c>
    </row>
    <row r="96" spans="1:13" x14ac:dyDescent="0.3">
      <c r="A96">
        <v>12</v>
      </c>
      <c r="B96" t="s">
        <v>129</v>
      </c>
      <c r="C96">
        <v>5</v>
      </c>
      <c r="D96" s="1">
        <v>45017.138194444444</v>
      </c>
      <c r="E96" s="1">
        <v>45017.254861111112</v>
      </c>
      <c r="F96" t="s">
        <v>32</v>
      </c>
      <c r="G96" t="s">
        <v>15</v>
      </c>
      <c r="H96" t="s">
        <v>16</v>
      </c>
      <c r="I96">
        <v>2468</v>
      </c>
      <c r="J96" t="s">
        <v>24</v>
      </c>
      <c r="K96">
        <v>95</v>
      </c>
      <c r="L96" t="s">
        <v>59</v>
      </c>
      <c r="M96" t="s">
        <v>53</v>
      </c>
    </row>
    <row r="97" spans="1:13" x14ac:dyDescent="0.3">
      <c r="A97">
        <v>16</v>
      </c>
      <c r="B97" t="s">
        <v>301</v>
      </c>
      <c r="C97">
        <v>5</v>
      </c>
      <c r="D97" s="1">
        <v>45017.082638888889</v>
      </c>
      <c r="E97" s="1">
        <v>45017.226388888892</v>
      </c>
      <c r="F97" t="s">
        <v>14</v>
      </c>
      <c r="G97" t="s">
        <v>48</v>
      </c>
      <c r="H97" t="s">
        <v>16</v>
      </c>
      <c r="I97">
        <v>3363</v>
      </c>
      <c r="J97" t="s">
        <v>17</v>
      </c>
      <c r="K97">
        <v>96</v>
      </c>
      <c r="L97" t="s">
        <v>29</v>
      </c>
      <c r="M97" t="s">
        <v>112</v>
      </c>
    </row>
    <row r="98" spans="1:13" x14ac:dyDescent="0.3">
      <c r="A98">
        <v>14</v>
      </c>
      <c r="B98" t="s">
        <v>302</v>
      </c>
      <c r="C98">
        <v>2</v>
      </c>
      <c r="D98" s="1">
        <v>45017.073611111111</v>
      </c>
      <c r="E98" s="1">
        <v>45017.127083333333</v>
      </c>
      <c r="F98" t="s">
        <v>32</v>
      </c>
      <c r="G98" t="s">
        <v>15</v>
      </c>
      <c r="H98" t="s">
        <v>16</v>
      </c>
      <c r="I98">
        <v>1922</v>
      </c>
      <c r="J98" t="s">
        <v>24</v>
      </c>
      <c r="K98">
        <v>97</v>
      </c>
      <c r="L98" t="s">
        <v>62</v>
      </c>
      <c r="M98" t="s">
        <v>71</v>
      </c>
    </row>
    <row r="99" spans="1:13" x14ac:dyDescent="0.3">
      <c r="A99">
        <v>7</v>
      </c>
      <c r="B99" t="s">
        <v>303</v>
      </c>
      <c r="C99">
        <v>3</v>
      </c>
      <c r="D99" s="1">
        <v>45017.042361111111</v>
      </c>
      <c r="E99" s="1">
        <v>45017.140277777777</v>
      </c>
      <c r="F99" t="s">
        <v>21</v>
      </c>
      <c r="G99" t="s">
        <v>22</v>
      </c>
      <c r="H99" t="s">
        <v>16</v>
      </c>
      <c r="I99">
        <v>1715</v>
      </c>
      <c r="J99" t="s">
        <v>24</v>
      </c>
      <c r="K99">
        <v>98</v>
      </c>
      <c r="L99" t="s">
        <v>29</v>
      </c>
      <c r="M99" t="s">
        <v>66</v>
      </c>
    </row>
    <row r="100" spans="1:13" x14ac:dyDescent="0.3">
      <c r="A100">
        <v>2</v>
      </c>
      <c r="B100" t="s">
        <v>20</v>
      </c>
      <c r="C100">
        <v>6</v>
      </c>
      <c r="D100" s="1">
        <v>45017.098611111112</v>
      </c>
      <c r="E100" s="1">
        <v>45017.262499999997</v>
      </c>
      <c r="F100" t="s">
        <v>32</v>
      </c>
      <c r="G100" t="s">
        <v>22</v>
      </c>
      <c r="H100" t="s">
        <v>16</v>
      </c>
      <c r="I100">
        <v>3355</v>
      </c>
      <c r="J100" t="s">
        <v>24</v>
      </c>
      <c r="K100">
        <v>99</v>
      </c>
      <c r="L100" t="s">
        <v>33</v>
      </c>
      <c r="M100" t="s">
        <v>40</v>
      </c>
    </row>
    <row r="101" spans="1:13" x14ac:dyDescent="0.3">
      <c r="A101">
        <v>18</v>
      </c>
      <c r="B101" t="s">
        <v>13</v>
      </c>
      <c r="C101">
        <v>1</v>
      </c>
      <c r="D101" s="1">
        <v>45017.147222222222</v>
      </c>
      <c r="E101" s="1">
        <v>45017.28125</v>
      </c>
      <c r="F101" t="s">
        <v>73</v>
      </c>
      <c r="G101" t="s">
        <v>22</v>
      </c>
      <c r="H101" t="s">
        <v>16</v>
      </c>
      <c r="I101">
        <v>1515</v>
      </c>
      <c r="J101" t="s">
        <v>28</v>
      </c>
      <c r="K101">
        <v>100</v>
      </c>
      <c r="L101" t="s">
        <v>70</v>
      </c>
      <c r="M101" t="s">
        <v>75</v>
      </c>
    </row>
    <row r="102" spans="1:13" x14ac:dyDescent="0.3">
      <c r="A102">
        <v>1</v>
      </c>
      <c r="B102" t="s">
        <v>304</v>
      </c>
      <c r="C102">
        <v>5</v>
      </c>
      <c r="D102" s="1">
        <v>45017.009722222225</v>
      </c>
      <c r="E102" s="1">
        <v>45017.09375</v>
      </c>
      <c r="F102" t="s">
        <v>14</v>
      </c>
      <c r="G102" t="s">
        <v>22</v>
      </c>
      <c r="H102" t="s">
        <v>16</v>
      </c>
      <c r="I102">
        <v>1509</v>
      </c>
      <c r="J102" t="s">
        <v>17</v>
      </c>
      <c r="K102">
        <v>101</v>
      </c>
      <c r="L102" t="s">
        <v>91</v>
      </c>
      <c r="M102" t="s">
        <v>56</v>
      </c>
    </row>
    <row r="103" spans="1:13" x14ac:dyDescent="0.3">
      <c r="A103">
        <v>19</v>
      </c>
      <c r="B103" t="s">
        <v>305</v>
      </c>
      <c r="C103">
        <v>2</v>
      </c>
      <c r="D103" s="1">
        <v>45017.064583333333</v>
      </c>
      <c r="E103" s="1">
        <v>45017.176388888889</v>
      </c>
      <c r="F103" t="s">
        <v>52</v>
      </c>
      <c r="G103" t="s">
        <v>22</v>
      </c>
      <c r="H103" t="s">
        <v>16</v>
      </c>
      <c r="I103">
        <v>1265</v>
      </c>
      <c r="J103" t="s">
        <v>28</v>
      </c>
      <c r="K103">
        <v>102</v>
      </c>
      <c r="L103" t="s">
        <v>91</v>
      </c>
      <c r="M103" t="s">
        <v>30</v>
      </c>
    </row>
    <row r="104" spans="1:13" x14ac:dyDescent="0.3">
      <c r="A104">
        <v>13</v>
      </c>
      <c r="B104" t="s">
        <v>306</v>
      </c>
      <c r="C104">
        <v>3</v>
      </c>
      <c r="D104" s="1">
        <v>45017.070833333331</v>
      </c>
      <c r="E104" s="1">
        <v>45017.215277777781</v>
      </c>
      <c r="F104" t="s">
        <v>14</v>
      </c>
      <c r="G104" t="s">
        <v>22</v>
      </c>
      <c r="H104" t="s">
        <v>36</v>
      </c>
      <c r="I104">
        <v>2675</v>
      </c>
      <c r="J104" t="s">
        <v>28</v>
      </c>
      <c r="K104">
        <v>103</v>
      </c>
      <c r="L104" t="s">
        <v>25</v>
      </c>
      <c r="M104" t="s">
        <v>42</v>
      </c>
    </row>
    <row r="105" spans="1:13" x14ac:dyDescent="0.3">
      <c r="A105">
        <v>14</v>
      </c>
      <c r="B105" t="s">
        <v>307</v>
      </c>
      <c r="C105">
        <v>4</v>
      </c>
      <c r="D105" s="1">
        <v>45017.061111111114</v>
      </c>
      <c r="E105" s="1">
        <v>45017.113888888889</v>
      </c>
      <c r="F105" t="s">
        <v>52</v>
      </c>
      <c r="G105" t="s">
        <v>48</v>
      </c>
      <c r="H105" t="s">
        <v>36</v>
      </c>
      <c r="I105">
        <v>1112</v>
      </c>
      <c r="J105" t="s">
        <v>28</v>
      </c>
      <c r="K105">
        <v>104</v>
      </c>
      <c r="L105" t="s">
        <v>55</v>
      </c>
      <c r="M105" t="s">
        <v>89</v>
      </c>
    </row>
    <row r="106" spans="1:13" x14ac:dyDescent="0.3">
      <c r="A106">
        <v>14</v>
      </c>
      <c r="B106" t="s">
        <v>308</v>
      </c>
      <c r="C106">
        <v>6</v>
      </c>
      <c r="D106" s="1">
        <v>45017.054166666669</v>
      </c>
      <c r="E106" s="1">
        <v>45017.166666666664</v>
      </c>
      <c r="F106" t="s">
        <v>52</v>
      </c>
      <c r="G106" t="s">
        <v>22</v>
      </c>
      <c r="H106" t="s">
        <v>16</v>
      </c>
      <c r="I106">
        <v>1564</v>
      </c>
      <c r="J106" t="s">
        <v>17</v>
      </c>
      <c r="K106">
        <v>105</v>
      </c>
      <c r="L106" t="s">
        <v>25</v>
      </c>
      <c r="M106" t="s">
        <v>66</v>
      </c>
    </row>
    <row r="107" spans="1:13" x14ac:dyDescent="0.3">
      <c r="A107">
        <v>15</v>
      </c>
      <c r="B107" t="s">
        <v>64</v>
      </c>
      <c r="C107">
        <v>3</v>
      </c>
      <c r="D107" s="1">
        <v>45017.083333333336</v>
      </c>
      <c r="E107" s="1">
        <v>45017.213888888888</v>
      </c>
      <c r="F107" t="s">
        <v>14</v>
      </c>
      <c r="G107" t="s">
        <v>48</v>
      </c>
      <c r="H107" t="s">
        <v>23</v>
      </c>
      <c r="I107">
        <v>2272</v>
      </c>
      <c r="J107" t="s">
        <v>17</v>
      </c>
      <c r="K107">
        <v>106</v>
      </c>
      <c r="L107" t="s">
        <v>55</v>
      </c>
      <c r="M107" t="s">
        <v>38</v>
      </c>
    </row>
    <row r="108" spans="1:13" x14ac:dyDescent="0.3">
      <c r="A108">
        <v>11</v>
      </c>
      <c r="B108" t="s">
        <v>309</v>
      </c>
      <c r="C108">
        <v>5</v>
      </c>
      <c r="D108" s="1">
        <v>45017.061805555553</v>
      </c>
      <c r="E108" s="1">
        <v>45017.123611111114</v>
      </c>
      <c r="F108" t="s">
        <v>32</v>
      </c>
      <c r="G108" t="s">
        <v>22</v>
      </c>
      <c r="H108" t="s">
        <v>36</v>
      </c>
      <c r="I108">
        <v>4877</v>
      </c>
      <c r="J108" t="s">
        <v>28</v>
      </c>
      <c r="K108">
        <v>107</v>
      </c>
      <c r="L108" t="s">
        <v>29</v>
      </c>
      <c r="M108" t="s">
        <v>105</v>
      </c>
    </row>
    <row r="109" spans="1:13" x14ac:dyDescent="0.3">
      <c r="A109">
        <v>3</v>
      </c>
      <c r="B109" t="s">
        <v>310</v>
      </c>
      <c r="C109">
        <v>3</v>
      </c>
      <c r="D109" s="1">
        <v>45017.063888888886</v>
      </c>
      <c r="E109" s="1">
        <v>45017.150694444441</v>
      </c>
      <c r="F109" t="s">
        <v>14</v>
      </c>
      <c r="G109" t="s">
        <v>48</v>
      </c>
      <c r="H109" t="s">
        <v>36</v>
      </c>
      <c r="I109">
        <v>2326</v>
      </c>
      <c r="J109" t="s">
        <v>28</v>
      </c>
      <c r="K109">
        <v>108</v>
      </c>
      <c r="L109" t="s">
        <v>70</v>
      </c>
      <c r="M109" t="s">
        <v>26</v>
      </c>
    </row>
    <row r="110" spans="1:13" x14ac:dyDescent="0.3">
      <c r="A110">
        <v>10</v>
      </c>
      <c r="B110" t="s">
        <v>311</v>
      </c>
      <c r="C110">
        <v>2</v>
      </c>
      <c r="D110" s="1">
        <v>45017.059027777781</v>
      </c>
      <c r="E110" s="1">
        <v>45017.101388888892</v>
      </c>
      <c r="F110" t="s">
        <v>14</v>
      </c>
      <c r="G110" t="s">
        <v>48</v>
      </c>
      <c r="H110" t="s">
        <v>16</v>
      </c>
      <c r="I110">
        <v>4295</v>
      </c>
      <c r="J110" t="s">
        <v>17</v>
      </c>
      <c r="K110">
        <v>109</v>
      </c>
      <c r="L110" t="s">
        <v>62</v>
      </c>
      <c r="M110" t="s">
        <v>38</v>
      </c>
    </row>
    <row r="111" spans="1:13" x14ac:dyDescent="0.3">
      <c r="A111">
        <v>5</v>
      </c>
      <c r="B111" t="s">
        <v>312</v>
      </c>
      <c r="C111">
        <v>1</v>
      </c>
      <c r="D111" s="1">
        <v>45017.147222222222</v>
      </c>
      <c r="E111" s="1">
        <v>45017.275694444441</v>
      </c>
      <c r="F111" t="s">
        <v>73</v>
      </c>
      <c r="G111" t="s">
        <v>22</v>
      </c>
      <c r="H111" t="s">
        <v>16</v>
      </c>
      <c r="I111">
        <v>4791</v>
      </c>
      <c r="J111" t="s">
        <v>28</v>
      </c>
      <c r="K111">
        <v>110</v>
      </c>
      <c r="L111" t="s">
        <v>70</v>
      </c>
      <c r="M111" t="s">
        <v>26</v>
      </c>
    </row>
    <row r="112" spans="1:13" x14ac:dyDescent="0.3">
      <c r="A112">
        <v>3</v>
      </c>
      <c r="B112" t="s">
        <v>313</v>
      </c>
      <c r="C112">
        <v>2</v>
      </c>
      <c r="D112" s="1">
        <v>45017.074999999997</v>
      </c>
      <c r="E112" s="1">
        <v>45017.213194444441</v>
      </c>
      <c r="F112" t="s">
        <v>52</v>
      </c>
      <c r="G112" t="s">
        <v>48</v>
      </c>
      <c r="H112" t="s">
        <v>16</v>
      </c>
      <c r="I112">
        <v>1882</v>
      </c>
      <c r="J112" t="s">
        <v>28</v>
      </c>
      <c r="K112">
        <v>111</v>
      </c>
      <c r="L112" t="s">
        <v>62</v>
      </c>
      <c r="M112" t="s">
        <v>105</v>
      </c>
    </row>
    <row r="113" spans="1:13" x14ac:dyDescent="0.3">
      <c r="A113">
        <v>6</v>
      </c>
      <c r="B113" t="s">
        <v>65</v>
      </c>
      <c r="C113">
        <v>2</v>
      </c>
      <c r="D113" s="1">
        <v>45017.075694444444</v>
      </c>
      <c r="E113" s="1">
        <v>45017.167361111111</v>
      </c>
      <c r="F113" t="s">
        <v>32</v>
      </c>
      <c r="G113" t="s">
        <v>15</v>
      </c>
      <c r="H113" t="s">
        <v>23</v>
      </c>
      <c r="I113">
        <v>3536</v>
      </c>
      <c r="J113" t="s">
        <v>24</v>
      </c>
      <c r="K113">
        <v>112</v>
      </c>
      <c r="L113" t="s">
        <v>18</v>
      </c>
      <c r="M113" t="s">
        <v>66</v>
      </c>
    </row>
    <row r="114" spans="1:13" x14ac:dyDescent="0.3">
      <c r="A114">
        <v>4</v>
      </c>
      <c r="B114" t="s">
        <v>67</v>
      </c>
      <c r="C114">
        <v>2</v>
      </c>
      <c r="D114" s="1">
        <v>45017.05</v>
      </c>
      <c r="E114" s="1">
        <v>45017.181250000001</v>
      </c>
      <c r="F114" t="s">
        <v>52</v>
      </c>
      <c r="G114" t="s">
        <v>22</v>
      </c>
      <c r="H114" t="s">
        <v>16</v>
      </c>
      <c r="I114">
        <v>2974</v>
      </c>
      <c r="J114" t="s">
        <v>24</v>
      </c>
      <c r="K114">
        <v>113</v>
      </c>
      <c r="L114" t="s">
        <v>25</v>
      </c>
      <c r="M114" t="s">
        <v>38</v>
      </c>
    </row>
    <row r="115" spans="1:13" x14ac:dyDescent="0.3">
      <c r="A115">
        <v>7</v>
      </c>
      <c r="B115" t="s">
        <v>314</v>
      </c>
      <c r="C115">
        <v>6</v>
      </c>
      <c r="D115" s="1">
        <v>45017.03402777778</v>
      </c>
      <c r="E115" s="1">
        <v>45017.145833333336</v>
      </c>
      <c r="F115" t="s">
        <v>73</v>
      </c>
      <c r="G115" t="s">
        <v>22</v>
      </c>
      <c r="H115" t="s">
        <v>16</v>
      </c>
      <c r="I115">
        <v>3881</v>
      </c>
      <c r="J115" t="s">
        <v>24</v>
      </c>
      <c r="K115">
        <v>114</v>
      </c>
      <c r="L115" t="s">
        <v>33</v>
      </c>
      <c r="M115" t="s">
        <v>40</v>
      </c>
    </row>
    <row r="116" spans="1:13" x14ac:dyDescent="0.3">
      <c r="A116">
        <v>12</v>
      </c>
      <c r="B116" t="s">
        <v>304</v>
      </c>
      <c r="C116">
        <v>6</v>
      </c>
      <c r="D116" s="1">
        <v>45017.154861111114</v>
      </c>
      <c r="E116" s="1">
        <v>45017.268055555556</v>
      </c>
      <c r="F116" t="s">
        <v>73</v>
      </c>
      <c r="G116" t="s">
        <v>15</v>
      </c>
      <c r="H116" t="s">
        <v>36</v>
      </c>
      <c r="I116">
        <v>4646</v>
      </c>
      <c r="J116" t="s">
        <v>24</v>
      </c>
      <c r="K116">
        <v>115</v>
      </c>
      <c r="L116" t="s">
        <v>55</v>
      </c>
      <c r="M116" t="s">
        <v>50</v>
      </c>
    </row>
    <row r="117" spans="1:13" x14ac:dyDescent="0.3">
      <c r="A117">
        <v>8</v>
      </c>
      <c r="B117" t="s">
        <v>315</v>
      </c>
      <c r="C117">
        <v>5</v>
      </c>
      <c r="D117" s="1">
        <v>45017.135416666664</v>
      </c>
      <c r="E117" s="1">
        <v>45017.272916666669</v>
      </c>
      <c r="F117" t="s">
        <v>73</v>
      </c>
      <c r="G117" t="s">
        <v>22</v>
      </c>
      <c r="H117" t="s">
        <v>16</v>
      </c>
      <c r="I117">
        <v>4769</v>
      </c>
      <c r="J117" t="s">
        <v>24</v>
      </c>
      <c r="K117">
        <v>116</v>
      </c>
      <c r="L117" t="s">
        <v>33</v>
      </c>
      <c r="M117" t="s">
        <v>105</v>
      </c>
    </row>
    <row r="118" spans="1:13" x14ac:dyDescent="0.3">
      <c r="A118">
        <v>8</v>
      </c>
      <c r="B118" t="s">
        <v>68</v>
      </c>
      <c r="C118">
        <v>4</v>
      </c>
      <c r="D118" s="1">
        <v>45017.121527777781</v>
      </c>
      <c r="E118" s="1">
        <v>45017.239583333336</v>
      </c>
      <c r="F118" t="s">
        <v>52</v>
      </c>
      <c r="G118" t="s">
        <v>48</v>
      </c>
      <c r="H118" t="s">
        <v>16</v>
      </c>
      <c r="I118">
        <v>1165</v>
      </c>
      <c r="J118" t="s">
        <v>24</v>
      </c>
      <c r="K118">
        <v>117</v>
      </c>
      <c r="L118" t="s">
        <v>33</v>
      </c>
      <c r="M118" t="s">
        <v>19</v>
      </c>
    </row>
    <row r="119" spans="1:13" x14ac:dyDescent="0.3">
      <c r="A119">
        <v>13</v>
      </c>
      <c r="B119" t="s">
        <v>180</v>
      </c>
      <c r="C119">
        <v>1</v>
      </c>
      <c r="D119" s="1">
        <v>45017.023611111108</v>
      </c>
      <c r="E119" s="1">
        <v>45017.072916666664</v>
      </c>
      <c r="F119" t="s">
        <v>21</v>
      </c>
      <c r="G119" t="s">
        <v>15</v>
      </c>
      <c r="H119" t="s">
        <v>36</v>
      </c>
      <c r="I119">
        <v>4932</v>
      </c>
      <c r="J119" t="s">
        <v>17</v>
      </c>
      <c r="K119">
        <v>118</v>
      </c>
      <c r="L119" t="s">
        <v>29</v>
      </c>
      <c r="M119" t="s">
        <v>46</v>
      </c>
    </row>
    <row r="120" spans="1:13" x14ac:dyDescent="0.3">
      <c r="A120">
        <v>17</v>
      </c>
      <c r="B120" t="s">
        <v>142</v>
      </c>
      <c r="C120">
        <v>3</v>
      </c>
      <c r="D120" s="1">
        <v>45018.14166666667</v>
      </c>
      <c r="E120" s="1">
        <v>45018.210416666669</v>
      </c>
      <c r="F120" t="s">
        <v>32</v>
      </c>
      <c r="G120" t="s">
        <v>48</v>
      </c>
      <c r="H120" t="s">
        <v>16</v>
      </c>
      <c r="I120">
        <v>115</v>
      </c>
      <c r="J120" t="s">
        <v>28</v>
      </c>
      <c r="K120">
        <v>119</v>
      </c>
      <c r="L120" t="s">
        <v>18</v>
      </c>
      <c r="M120" t="s">
        <v>71</v>
      </c>
    </row>
    <row r="121" spans="1:13" x14ac:dyDescent="0.3">
      <c r="A121">
        <v>4</v>
      </c>
      <c r="B121" t="s">
        <v>316</v>
      </c>
      <c r="C121">
        <v>2</v>
      </c>
      <c r="D121" s="1">
        <v>45018.026388888888</v>
      </c>
      <c r="E121" s="1">
        <v>45018.070833333331</v>
      </c>
      <c r="F121" t="s">
        <v>73</v>
      </c>
      <c r="G121" t="s">
        <v>22</v>
      </c>
      <c r="H121" t="s">
        <v>23</v>
      </c>
      <c r="I121">
        <v>1251</v>
      </c>
      <c r="J121" t="s">
        <v>28</v>
      </c>
      <c r="K121">
        <v>120</v>
      </c>
      <c r="L121" t="s">
        <v>55</v>
      </c>
      <c r="M121" t="s">
        <v>56</v>
      </c>
    </row>
    <row r="122" spans="1:13" x14ac:dyDescent="0.3">
      <c r="A122">
        <v>5</v>
      </c>
      <c r="B122" t="s">
        <v>69</v>
      </c>
      <c r="C122">
        <v>4</v>
      </c>
      <c r="D122" s="1">
        <v>45018.15625</v>
      </c>
      <c r="E122" s="1">
        <v>45018.259027777778</v>
      </c>
      <c r="F122" t="s">
        <v>14</v>
      </c>
      <c r="G122" t="s">
        <v>22</v>
      </c>
      <c r="H122" t="s">
        <v>16</v>
      </c>
      <c r="I122">
        <v>123</v>
      </c>
      <c r="J122" t="s">
        <v>28</v>
      </c>
      <c r="K122">
        <v>121</v>
      </c>
      <c r="L122" t="s">
        <v>70</v>
      </c>
      <c r="M122" t="s">
        <v>71</v>
      </c>
    </row>
    <row r="123" spans="1:13" x14ac:dyDescent="0.3">
      <c r="A123">
        <v>6</v>
      </c>
      <c r="B123" t="s">
        <v>72</v>
      </c>
      <c r="C123">
        <v>6</v>
      </c>
      <c r="D123" s="1">
        <v>45018.057638888888</v>
      </c>
      <c r="E123" s="1">
        <v>45018.116666666669</v>
      </c>
      <c r="F123" t="s">
        <v>73</v>
      </c>
      <c r="G123" t="s">
        <v>22</v>
      </c>
      <c r="H123" t="s">
        <v>36</v>
      </c>
      <c r="I123">
        <v>2038</v>
      </c>
      <c r="J123" t="s">
        <v>24</v>
      </c>
      <c r="K123">
        <v>122</v>
      </c>
      <c r="L123" t="s">
        <v>37</v>
      </c>
      <c r="M123" t="s">
        <v>19</v>
      </c>
    </row>
    <row r="124" spans="1:13" x14ac:dyDescent="0.3">
      <c r="A124">
        <v>16</v>
      </c>
      <c r="B124" t="s">
        <v>74</v>
      </c>
      <c r="C124">
        <v>6</v>
      </c>
      <c r="D124" s="1">
        <v>45018.131249999999</v>
      </c>
      <c r="E124" s="1">
        <v>45018.173611111109</v>
      </c>
      <c r="F124" t="s">
        <v>14</v>
      </c>
      <c r="G124" t="s">
        <v>22</v>
      </c>
      <c r="H124" t="s">
        <v>36</v>
      </c>
      <c r="I124">
        <v>4688</v>
      </c>
      <c r="J124" t="s">
        <v>28</v>
      </c>
      <c r="K124">
        <v>123</v>
      </c>
      <c r="L124" t="s">
        <v>49</v>
      </c>
      <c r="M124" t="s">
        <v>75</v>
      </c>
    </row>
    <row r="125" spans="1:13" x14ac:dyDescent="0.3">
      <c r="A125">
        <v>16</v>
      </c>
      <c r="B125" t="s">
        <v>317</v>
      </c>
      <c r="C125">
        <v>5</v>
      </c>
      <c r="D125" s="1">
        <v>45018.152083333334</v>
      </c>
      <c r="E125" s="1">
        <v>45018.223611111112</v>
      </c>
      <c r="F125" t="s">
        <v>52</v>
      </c>
      <c r="G125" t="s">
        <v>22</v>
      </c>
      <c r="H125" t="s">
        <v>36</v>
      </c>
      <c r="I125">
        <v>1085</v>
      </c>
      <c r="J125" t="s">
        <v>17</v>
      </c>
      <c r="K125">
        <v>124</v>
      </c>
      <c r="L125" t="s">
        <v>59</v>
      </c>
      <c r="M125" t="s">
        <v>66</v>
      </c>
    </row>
    <row r="126" spans="1:13" x14ac:dyDescent="0.3">
      <c r="A126">
        <v>14</v>
      </c>
      <c r="B126" t="s">
        <v>318</v>
      </c>
      <c r="C126">
        <v>2</v>
      </c>
      <c r="D126" s="1">
        <v>45018.12222222222</v>
      </c>
      <c r="E126" s="1">
        <v>45018.259027777778</v>
      </c>
      <c r="F126" t="s">
        <v>52</v>
      </c>
      <c r="G126" t="s">
        <v>22</v>
      </c>
      <c r="H126" t="s">
        <v>16</v>
      </c>
      <c r="I126">
        <v>2466</v>
      </c>
      <c r="J126" t="s">
        <v>17</v>
      </c>
      <c r="K126">
        <v>125</v>
      </c>
      <c r="L126" t="s">
        <v>29</v>
      </c>
      <c r="M126" t="s">
        <v>30</v>
      </c>
    </row>
    <row r="127" spans="1:13" x14ac:dyDescent="0.3">
      <c r="A127">
        <v>18</v>
      </c>
      <c r="B127" t="s">
        <v>319</v>
      </c>
      <c r="C127">
        <v>3</v>
      </c>
      <c r="D127" s="1">
        <v>45018.114583333336</v>
      </c>
      <c r="E127" s="1">
        <v>45018.216666666667</v>
      </c>
      <c r="F127" t="s">
        <v>73</v>
      </c>
      <c r="G127" t="s">
        <v>22</v>
      </c>
      <c r="H127" t="s">
        <v>16</v>
      </c>
      <c r="I127">
        <v>4182</v>
      </c>
      <c r="J127" t="s">
        <v>17</v>
      </c>
      <c r="K127">
        <v>126</v>
      </c>
      <c r="L127" t="s">
        <v>18</v>
      </c>
      <c r="M127" t="s">
        <v>30</v>
      </c>
    </row>
    <row r="128" spans="1:13" x14ac:dyDescent="0.3">
      <c r="A128">
        <v>6</v>
      </c>
      <c r="B128" t="s">
        <v>76</v>
      </c>
      <c r="C128">
        <v>4</v>
      </c>
      <c r="D128" s="1">
        <v>45018.029166666667</v>
      </c>
      <c r="E128" s="1">
        <v>45018.102777777778</v>
      </c>
      <c r="F128" t="s">
        <v>14</v>
      </c>
      <c r="G128" t="s">
        <v>22</v>
      </c>
      <c r="H128" t="s">
        <v>16</v>
      </c>
      <c r="I128">
        <v>3282</v>
      </c>
      <c r="J128" t="s">
        <v>17</v>
      </c>
      <c r="K128">
        <v>127</v>
      </c>
      <c r="L128" t="s">
        <v>49</v>
      </c>
      <c r="M128" t="s">
        <v>44</v>
      </c>
    </row>
    <row r="129" spans="1:13" x14ac:dyDescent="0.3">
      <c r="A129">
        <v>2</v>
      </c>
      <c r="B129" t="s">
        <v>320</v>
      </c>
      <c r="C129">
        <v>5</v>
      </c>
      <c r="D129" s="1">
        <v>45018.063194444447</v>
      </c>
      <c r="E129" s="1">
        <v>45018.144444444442</v>
      </c>
      <c r="F129" t="s">
        <v>32</v>
      </c>
      <c r="G129" t="s">
        <v>22</v>
      </c>
      <c r="H129" t="s">
        <v>23</v>
      </c>
      <c r="I129">
        <v>4936</v>
      </c>
      <c r="J129" t="s">
        <v>24</v>
      </c>
      <c r="K129">
        <v>128</v>
      </c>
      <c r="L129" t="s">
        <v>55</v>
      </c>
      <c r="M129" t="s">
        <v>60</v>
      </c>
    </row>
    <row r="130" spans="1:13" x14ac:dyDescent="0.3">
      <c r="A130">
        <v>16</v>
      </c>
      <c r="B130" t="s">
        <v>321</v>
      </c>
      <c r="C130">
        <v>5</v>
      </c>
      <c r="D130" s="1">
        <v>45018.02847222222</v>
      </c>
      <c r="E130" s="1">
        <v>45018.111805555556</v>
      </c>
      <c r="F130" t="s">
        <v>32</v>
      </c>
      <c r="G130" t="s">
        <v>22</v>
      </c>
      <c r="H130" t="s">
        <v>16</v>
      </c>
      <c r="I130">
        <v>493</v>
      </c>
      <c r="J130" t="s">
        <v>28</v>
      </c>
      <c r="K130">
        <v>129</v>
      </c>
      <c r="L130" t="s">
        <v>18</v>
      </c>
      <c r="M130" t="s">
        <v>53</v>
      </c>
    </row>
    <row r="131" spans="1:13" x14ac:dyDescent="0.3">
      <c r="A131">
        <v>10</v>
      </c>
      <c r="B131" t="s">
        <v>77</v>
      </c>
      <c r="C131">
        <v>4</v>
      </c>
      <c r="D131" s="1">
        <v>45018.018055555556</v>
      </c>
      <c r="E131" s="1">
        <v>45018.063888888886</v>
      </c>
      <c r="F131" t="s">
        <v>32</v>
      </c>
      <c r="G131" t="s">
        <v>22</v>
      </c>
      <c r="H131" t="s">
        <v>16</v>
      </c>
      <c r="I131">
        <v>3813</v>
      </c>
      <c r="J131" t="s">
        <v>17</v>
      </c>
      <c r="K131">
        <v>130</v>
      </c>
      <c r="L131" t="s">
        <v>37</v>
      </c>
      <c r="M131" t="s">
        <v>19</v>
      </c>
    </row>
    <row r="132" spans="1:13" x14ac:dyDescent="0.3">
      <c r="A132">
        <v>7</v>
      </c>
      <c r="B132" t="s">
        <v>193</v>
      </c>
      <c r="C132">
        <v>5</v>
      </c>
      <c r="D132" s="1">
        <v>45018.029861111114</v>
      </c>
      <c r="E132" s="1">
        <v>45018.179166666669</v>
      </c>
      <c r="F132" t="s">
        <v>14</v>
      </c>
      <c r="G132" t="s">
        <v>22</v>
      </c>
      <c r="H132" t="s">
        <v>16</v>
      </c>
      <c r="I132">
        <v>4241</v>
      </c>
      <c r="J132" t="s">
        <v>24</v>
      </c>
      <c r="K132">
        <v>131</v>
      </c>
      <c r="L132" t="s">
        <v>62</v>
      </c>
      <c r="M132" t="s">
        <v>34</v>
      </c>
    </row>
    <row r="133" spans="1:13" x14ac:dyDescent="0.3">
      <c r="A133">
        <v>9</v>
      </c>
      <c r="B133" t="s">
        <v>322</v>
      </c>
      <c r="C133">
        <v>2</v>
      </c>
      <c r="D133" s="1">
        <v>45018.05972222222</v>
      </c>
      <c r="E133" s="1">
        <v>45018.113194444442</v>
      </c>
      <c r="F133" t="s">
        <v>52</v>
      </c>
      <c r="G133" t="s">
        <v>15</v>
      </c>
      <c r="H133" t="s">
        <v>36</v>
      </c>
      <c r="I133">
        <v>3096</v>
      </c>
      <c r="J133" t="s">
        <v>28</v>
      </c>
      <c r="K133">
        <v>132</v>
      </c>
      <c r="L133" t="s">
        <v>29</v>
      </c>
      <c r="M133" t="s">
        <v>89</v>
      </c>
    </row>
    <row r="134" spans="1:13" x14ac:dyDescent="0.3">
      <c r="A134">
        <v>20</v>
      </c>
      <c r="B134" t="s">
        <v>130</v>
      </c>
      <c r="C134">
        <v>6</v>
      </c>
      <c r="D134" s="1">
        <v>45018.037499999999</v>
      </c>
      <c r="E134" s="1">
        <v>45018.161111111112</v>
      </c>
      <c r="F134" t="s">
        <v>32</v>
      </c>
      <c r="G134" t="s">
        <v>22</v>
      </c>
      <c r="H134" t="s">
        <v>16</v>
      </c>
      <c r="I134">
        <v>3974</v>
      </c>
      <c r="J134" t="s">
        <v>24</v>
      </c>
      <c r="K134">
        <v>133</v>
      </c>
      <c r="L134" t="s">
        <v>33</v>
      </c>
      <c r="M134" t="s">
        <v>105</v>
      </c>
    </row>
    <row r="135" spans="1:13" x14ac:dyDescent="0.3">
      <c r="A135">
        <v>3</v>
      </c>
      <c r="B135" t="s">
        <v>323</v>
      </c>
      <c r="C135">
        <v>6</v>
      </c>
      <c r="D135" s="1">
        <v>45018.004861111112</v>
      </c>
      <c r="E135" s="1">
        <v>45018.161111111112</v>
      </c>
      <c r="F135" t="s">
        <v>73</v>
      </c>
      <c r="G135" t="s">
        <v>15</v>
      </c>
      <c r="H135" t="s">
        <v>16</v>
      </c>
      <c r="I135">
        <v>301</v>
      </c>
      <c r="J135" t="s">
        <v>17</v>
      </c>
      <c r="K135">
        <v>134</v>
      </c>
      <c r="L135" t="s">
        <v>55</v>
      </c>
      <c r="M135" t="s">
        <v>75</v>
      </c>
    </row>
    <row r="136" spans="1:13" x14ac:dyDescent="0.3">
      <c r="A136">
        <v>11</v>
      </c>
      <c r="B136" t="s">
        <v>203</v>
      </c>
      <c r="C136">
        <v>1</v>
      </c>
      <c r="D136" s="1">
        <v>45018.041666666664</v>
      </c>
      <c r="E136" s="1">
        <v>45018.125694444447</v>
      </c>
      <c r="F136" t="s">
        <v>21</v>
      </c>
      <c r="G136" t="s">
        <v>15</v>
      </c>
      <c r="H136" t="s">
        <v>16</v>
      </c>
      <c r="I136">
        <v>347</v>
      </c>
      <c r="J136" t="s">
        <v>24</v>
      </c>
      <c r="K136">
        <v>135</v>
      </c>
      <c r="L136" t="s">
        <v>25</v>
      </c>
      <c r="M136" t="s">
        <v>56</v>
      </c>
    </row>
    <row r="137" spans="1:13" x14ac:dyDescent="0.3">
      <c r="A137">
        <v>6</v>
      </c>
      <c r="B137" t="s">
        <v>78</v>
      </c>
      <c r="C137">
        <v>1</v>
      </c>
      <c r="D137" s="1">
        <v>45018.076388888891</v>
      </c>
      <c r="E137" s="1">
        <v>45018.209027777775</v>
      </c>
      <c r="F137" t="s">
        <v>73</v>
      </c>
      <c r="G137" t="s">
        <v>22</v>
      </c>
      <c r="H137" t="s">
        <v>16</v>
      </c>
      <c r="I137">
        <v>3025</v>
      </c>
      <c r="J137" t="s">
        <v>24</v>
      </c>
      <c r="K137">
        <v>136</v>
      </c>
      <c r="L137" t="s">
        <v>29</v>
      </c>
      <c r="M137" t="s">
        <v>34</v>
      </c>
    </row>
    <row r="138" spans="1:13" x14ac:dyDescent="0.3">
      <c r="A138">
        <v>13</v>
      </c>
      <c r="B138" t="s">
        <v>79</v>
      </c>
      <c r="C138">
        <v>3</v>
      </c>
      <c r="D138" s="1">
        <v>45018.056250000001</v>
      </c>
      <c r="E138" s="1">
        <v>45018.174305555556</v>
      </c>
      <c r="F138" t="s">
        <v>14</v>
      </c>
      <c r="G138" t="s">
        <v>48</v>
      </c>
      <c r="H138" t="s">
        <v>16</v>
      </c>
      <c r="I138">
        <v>124</v>
      </c>
      <c r="J138" t="s">
        <v>24</v>
      </c>
      <c r="K138">
        <v>137</v>
      </c>
      <c r="L138" t="s">
        <v>37</v>
      </c>
      <c r="M138" t="s">
        <v>42</v>
      </c>
    </row>
    <row r="139" spans="1:13" x14ac:dyDescent="0.3">
      <c r="A139">
        <v>6</v>
      </c>
      <c r="B139" t="s">
        <v>324</v>
      </c>
      <c r="C139">
        <v>2</v>
      </c>
      <c r="D139" s="1">
        <v>45018.158333333333</v>
      </c>
      <c r="E139" s="1">
        <v>45018.214583333334</v>
      </c>
      <c r="F139" t="s">
        <v>32</v>
      </c>
      <c r="G139" t="s">
        <v>48</v>
      </c>
      <c r="H139" t="s">
        <v>36</v>
      </c>
      <c r="I139">
        <v>3279</v>
      </c>
      <c r="J139" t="s">
        <v>24</v>
      </c>
      <c r="K139">
        <v>138</v>
      </c>
      <c r="L139" t="s">
        <v>91</v>
      </c>
      <c r="M139" t="s">
        <v>56</v>
      </c>
    </row>
    <row r="140" spans="1:13" x14ac:dyDescent="0.3">
      <c r="A140">
        <v>16</v>
      </c>
      <c r="B140" t="s">
        <v>80</v>
      </c>
      <c r="C140">
        <v>3</v>
      </c>
      <c r="D140" s="1">
        <v>45018.027777777781</v>
      </c>
      <c r="E140" s="1">
        <v>45018.193749999999</v>
      </c>
      <c r="F140" t="s">
        <v>32</v>
      </c>
      <c r="G140" t="s">
        <v>22</v>
      </c>
      <c r="H140" t="s">
        <v>16</v>
      </c>
      <c r="I140">
        <v>472</v>
      </c>
      <c r="J140" t="s">
        <v>17</v>
      </c>
      <c r="K140">
        <v>139</v>
      </c>
      <c r="L140" t="s">
        <v>33</v>
      </c>
      <c r="M140" t="s">
        <v>19</v>
      </c>
    </row>
    <row r="141" spans="1:13" x14ac:dyDescent="0.3">
      <c r="A141">
        <v>11</v>
      </c>
      <c r="B141" t="s">
        <v>325</v>
      </c>
      <c r="C141">
        <v>4</v>
      </c>
      <c r="D141" s="1">
        <v>45018.15902777778</v>
      </c>
      <c r="E141" s="1">
        <v>45018.270138888889</v>
      </c>
      <c r="F141" t="s">
        <v>32</v>
      </c>
      <c r="G141" t="s">
        <v>22</v>
      </c>
      <c r="H141" t="s">
        <v>23</v>
      </c>
      <c r="I141">
        <v>3213</v>
      </c>
      <c r="J141" t="s">
        <v>17</v>
      </c>
      <c r="K141">
        <v>140</v>
      </c>
      <c r="L141" t="s">
        <v>70</v>
      </c>
      <c r="M141" t="s">
        <v>60</v>
      </c>
    </row>
    <row r="142" spans="1:13" x14ac:dyDescent="0.3">
      <c r="A142">
        <v>4</v>
      </c>
      <c r="B142" t="s">
        <v>81</v>
      </c>
      <c r="C142">
        <v>4</v>
      </c>
      <c r="D142" s="1">
        <v>45018.081944444442</v>
      </c>
      <c r="E142" s="1">
        <v>45018.239583333336</v>
      </c>
      <c r="F142" t="s">
        <v>52</v>
      </c>
      <c r="G142" t="s">
        <v>48</v>
      </c>
      <c r="H142" t="s">
        <v>16</v>
      </c>
      <c r="I142">
        <v>4156</v>
      </c>
      <c r="J142" t="s">
        <v>28</v>
      </c>
      <c r="K142">
        <v>141</v>
      </c>
      <c r="L142" t="s">
        <v>62</v>
      </c>
      <c r="M142" t="s">
        <v>42</v>
      </c>
    </row>
    <row r="143" spans="1:13" x14ac:dyDescent="0.3">
      <c r="A143">
        <v>14</v>
      </c>
      <c r="B143" t="s">
        <v>326</v>
      </c>
      <c r="C143">
        <v>3</v>
      </c>
      <c r="D143" s="1">
        <v>45018.086805555555</v>
      </c>
      <c r="E143" s="1">
        <v>45018.170138888891</v>
      </c>
      <c r="F143" t="s">
        <v>14</v>
      </c>
      <c r="G143" t="s">
        <v>22</v>
      </c>
      <c r="H143" t="s">
        <v>16</v>
      </c>
      <c r="I143">
        <v>1629</v>
      </c>
      <c r="J143" t="s">
        <v>24</v>
      </c>
      <c r="K143">
        <v>142</v>
      </c>
      <c r="L143" t="s">
        <v>49</v>
      </c>
      <c r="M143" t="s">
        <v>75</v>
      </c>
    </row>
    <row r="144" spans="1:13" x14ac:dyDescent="0.3">
      <c r="A144">
        <v>9</v>
      </c>
      <c r="B144" t="s">
        <v>82</v>
      </c>
      <c r="C144">
        <v>4</v>
      </c>
      <c r="D144" s="1">
        <v>45018.022222222222</v>
      </c>
      <c r="E144" s="1">
        <v>45018.1875</v>
      </c>
      <c r="F144" t="s">
        <v>14</v>
      </c>
      <c r="G144" t="s">
        <v>22</v>
      </c>
      <c r="H144" t="s">
        <v>23</v>
      </c>
      <c r="I144">
        <v>4826</v>
      </c>
      <c r="J144" t="s">
        <v>17</v>
      </c>
      <c r="K144">
        <v>143</v>
      </c>
      <c r="L144" t="s">
        <v>18</v>
      </c>
      <c r="M144" t="s">
        <v>60</v>
      </c>
    </row>
    <row r="145" spans="1:13" x14ac:dyDescent="0.3">
      <c r="A145">
        <v>18</v>
      </c>
      <c r="B145" t="s">
        <v>327</v>
      </c>
      <c r="C145">
        <v>1</v>
      </c>
      <c r="D145" s="1">
        <v>45018.123611111114</v>
      </c>
      <c r="E145" s="1">
        <v>45018.230555555558</v>
      </c>
      <c r="F145" t="s">
        <v>14</v>
      </c>
      <c r="G145" t="s">
        <v>15</v>
      </c>
      <c r="H145" t="s">
        <v>16</v>
      </c>
      <c r="I145">
        <v>1122</v>
      </c>
      <c r="J145" t="s">
        <v>24</v>
      </c>
      <c r="K145">
        <v>144</v>
      </c>
      <c r="L145" t="s">
        <v>18</v>
      </c>
      <c r="M145" t="s">
        <v>44</v>
      </c>
    </row>
    <row r="146" spans="1:13" x14ac:dyDescent="0.3">
      <c r="A146">
        <v>2</v>
      </c>
      <c r="B146" t="s">
        <v>328</v>
      </c>
      <c r="C146">
        <v>5</v>
      </c>
      <c r="D146" s="1">
        <v>45018.025694444441</v>
      </c>
      <c r="E146" s="1">
        <v>45018.070833333331</v>
      </c>
      <c r="F146" t="s">
        <v>32</v>
      </c>
      <c r="G146" t="s">
        <v>15</v>
      </c>
      <c r="H146" t="s">
        <v>16</v>
      </c>
      <c r="I146">
        <v>1132</v>
      </c>
      <c r="J146" t="s">
        <v>24</v>
      </c>
      <c r="K146">
        <v>145</v>
      </c>
      <c r="L146" t="s">
        <v>91</v>
      </c>
      <c r="M146" t="s">
        <v>92</v>
      </c>
    </row>
    <row r="147" spans="1:13" x14ac:dyDescent="0.3">
      <c r="A147">
        <v>8</v>
      </c>
      <c r="B147" t="s">
        <v>83</v>
      </c>
      <c r="C147">
        <v>6</v>
      </c>
      <c r="D147" s="1">
        <v>45018.069444444445</v>
      </c>
      <c r="E147" s="1">
        <v>45018.120833333334</v>
      </c>
      <c r="F147" t="s">
        <v>52</v>
      </c>
      <c r="G147" t="s">
        <v>22</v>
      </c>
      <c r="H147" t="s">
        <v>16</v>
      </c>
      <c r="I147">
        <v>384</v>
      </c>
      <c r="J147" t="s">
        <v>28</v>
      </c>
      <c r="K147">
        <v>146</v>
      </c>
      <c r="L147" t="s">
        <v>70</v>
      </c>
      <c r="M147" t="s">
        <v>56</v>
      </c>
    </row>
    <row r="148" spans="1:13" x14ac:dyDescent="0.3">
      <c r="A148">
        <v>5</v>
      </c>
      <c r="B148" t="s">
        <v>329</v>
      </c>
      <c r="C148">
        <v>4</v>
      </c>
      <c r="D148" s="1">
        <v>45018.137499999997</v>
      </c>
      <c r="E148" s="1">
        <v>45018.206944444442</v>
      </c>
      <c r="F148" t="s">
        <v>52</v>
      </c>
      <c r="G148" t="s">
        <v>48</v>
      </c>
      <c r="H148" t="s">
        <v>16</v>
      </c>
      <c r="I148">
        <v>2714</v>
      </c>
      <c r="J148" t="s">
        <v>28</v>
      </c>
      <c r="K148">
        <v>147</v>
      </c>
      <c r="L148" t="s">
        <v>37</v>
      </c>
      <c r="M148" t="s">
        <v>34</v>
      </c>
    </row>
    <row r="149" spans="1:13" x14ac:dyDescent="0.3">
      <c r="A149">
        <v>10</v>
      </c>
      <c r="B149" t="s">
        <v>330</v>
      </c>
      <c r="C149">
        <v>6</v>
      </c>
      <c r="D149" s="1">
        <v>45018.161111111112</v>
      </c>
      <c r="E149" s="1">
        <v>45018.249305555553</v>
      </c>
      <c r="F149" t="s">
        <v>52</v>
      </c>
      <c r="G149" t="s">
        <v>22</v>
      </c>
      <c r="H149" t="s">
        <v>36</v>
      </c>
      <c r="I149">
        <v>4626</v>
      </c>
      <c r="J149" t="s">
        <v>24</v>
      </c>
      <c r="K149">
        <v>148</v>
      </c>
      <c r="L149" t="s">
        <v>37</v>
      </c>
      <c r="M149" t="s">
        <v>26</v>
      </c>
    </row>
    <row r="150" spans="1:13" x14ac:dyDescent="0.3">
      <c r="A150">
        <v>18</v>
      </c>
      <c r="B150" t="s">
        <v>331</v>
      </c>
      <c r="C150">
        <v>4</v>
      </c>
      <c r="D150" s="1">
        <v>45018.065972222219</v>
      </c>
      <c r="E150" s="1">
        <v>45018.201388888891</v>
      </c>
      <c r="F150" t="s">
        <v>21</v>
      </c>
      <c r="G150" t="s">
        <v>48</v>
      </c>
      <c r="H150" t="s">
        <v>16</v>
      </c>
      <c r="I150">
        <v>1592</v>
      </c>
      <c r="J150" t="s">
        <v>24</v>
      </c>
      <c r="K150">
        <v>149</v>
      </c>
      <c r="L150" t="s">
        <v>25</v>
      </c>
      <c r="M150" t="s">
        <v>38</v>
      </c>
    </row>
    <row r="151" spans="1:13" x14ac:dyDescent="0.3">
      <c r="A151">
        <v>18</v>
      </c>
      <c r="B151" t="s">
        <v>332</v>
      </c>
      <c r="C151">
        <v>6</v>
      </c>
      <c r="D151" s="1">
        <v>45018.025694444441</v>
      </c>
      <c r="E151" s="1">
        <v>45018.131944444445</v>
      </c>
      <c r="F151" t="s">
        <v>73</v>
      </c>
      <c r="G151" t="s">
        <v>22</v>
      </c>
      <c r="H151" t="s">
        <v>36</v>
      </c>
      <c r="I151">
        <v>4843</v>
      </c>
      <c r="J151" t="s">
        <v>17</v>
      </c>
      <c r="K151">
        <v>150</v>
      </c>
      <c r="L151" t="s">
        <v>49</v>
      </c>
      <c r="M151" t="s">
        <v>92</v>
      </c>
    </row>
    <row r="152" spans="1:13" x14ac:dyDescent="0.3">
      <c r="A152">
        <v>6</v>
      </c>
      <c r="B152" t="s">
        <v>333</v>
      </c>
      <c r="C152">
        <v>2</v>
      </c>
      <c r="D152" s="1">
        <v>45018.135416666664</v>
      </c>
      <c r="E152" s="1">
        <v>45018.286805555559</v>
      </c>
      <c r="F152" t="s">
        <v>14</v>
      </c>
      <c r="G152" t="s">
        <v>15</v>
      </c>
      <c r="H152" t="s">
        <v>16</v>
      </c>
      <c r="I152">
        <v>4151</v>
      </c>
      <c r="J152" t="s">
        <v>24</v>
      </c>
      <c r="K152">
        <v>151</v>
      </c>
      <c r="L152" t="s">
        <v>62</v>
      </c>
      <c r="M152" t="s">
        <v>89</v>
      </c>
    </row>
    <row r="153" spans="1:13" x14ac:dyDescent="0.3">
      <c r="A153">
        <v>5</v>
      </c>
      <c r="B153" t="s">
        <v>84</v>
      </c>
      <c r="C153">
        <v>6</v>
      </c>
      <c r="D153" s="1">
        <v>45018.051388888889</v>
      </c>
      <c r="E153" s="1">
        <v>45018.119444444441</v>
      </c>
      <c r="F153" t="s">
        <v>14</v>
      </c>
      <c r="G153" t="s">
        <v>22</v>
      </c>
      <c r="H153" t="s">
        <v>36</v>
      </c>
      <c r="I153">
        <v>2557</v>
      </c>
      <c r="J153" t="s">
        <v>28</v>
      </c>
      <c r="K153">
        <v>152</v>
      </c>
      <c r="L153" t="s">
        <v>62</v>
      </c>
      <c r="M153" t="s">
        <v>30</v>
      </c>
    </row>
    <row r="154" spans="1:13" x14ac:dyDescent="0.3">
      <c r="A154">
        <v>10</v>
      </c>
      <c r="B154" t="s">
        <v>267</v>
      </c>
      <c r="C154">
        <v>1</v>
      </c>
      <c r="D154" s="1">
        <v>45018.129166666666</v>
      </c>
      <c r="E154" s="1">
        <v>45018.226388888892</v>
      </c>
      <c r="F154" t="s">
        <v>32</v>
      </c>
      <c r="G154" t="s">
        <v>48</v>
      </c>
      <c r="H154" t="s">
        <v>36</v>
      </c>
      <c r="I154">
        <v>4284</v>
      </c>
      <c r="J154" t="s">
        <v>24</v>
      </c>
      <c r="K154">
        <v>153</v>
      </c>
      <c r="L154" t="s">
        <v>70</v>
      </c>
      <c r="M154" t="s">
        <v>112</v>
      </c>
    </row>
    <row r="155" spans="1:13" x14ac:dyDescent="0.3">
      <c r="A155">
        <v>11</v>
      </c>
      <c r="B155" t="s">
        <v>334</v>
      </c>
      <c r="C155">
        <v>6</v>
      </c>
      <c r="D155" s="1">
        <v>45018.089583333334</v>
      </c>
      <c r="E155" s="1">
        <v>45018.15</v>
      </c>
      <c r="F155" t="s">
        <v>73</v>
      </c>
      <c r="G155" t="s">
        <v>48</v>
      </c>
      <c r="H155" t="s">
        <v>16</v>
      </c>
      <c r="I155">
        <v>172</v>
      </c>
      <c r="J155" t="s">
        <v>17</v>
      </c>
      <c r="K155">
        <v>154</v>
      </c>
      <c r="L155" t="s">
        <v>62</v>
      </c>
      <c r="M155" t="s">
        <v>44</v>
      </c>
    </row>
    <row r="156" spans="1:13" x14ac:dyDescent="0.3">
      <c r="A156">
        <v>7</v>
      </c>
      <c r="B156" t="s">
        <v>335</v>
      </c>
      <c r="C156">
        <v>2</v>
      </c>
      <c r="D156" s="1">
        <v>45018.078472222223</v>
      </c>
      <c r="E156" s="1">
        <v>45018.197222222225</v>
      </c>
      <c r="F156" t="s">
        <v>21</v>
      </c>
      <c r="G156" t="s">
        <v>22</v>
      </c>
      <c r="H156" t="s">
        <v>16</v>
      </c>
      <c r="I156">
        <v>2572</v>
      </c>
      <c r="J156" t="s">
        <v>28</v>
      </c>
      <c r="K156">
        <v>155</v>
      </c>
      <c r="L156" t="s">
        <v>91</v>
      </c>
      <c r="M156" t="s">
        <v>50</v>
      </c>
    </row>
    <row r="157" spans="1:13" x14ac:dyDescent="0.3">
      <c r="A157">
        <v>6</v>
      </c>
      <c r="B157" t="s">
        <v>85</v>
      </c>
      <c r="C157">
        <v>4</v>
      </c>
      <c r="D157" s="1">
        <v>45018.027777777781</v>
      </c>
      <c r="E157" s="1">
        <v>45018.178472222222</v>
      </c>
      <c r="F157" t="s">
        <v>52</v>
      </c>
      <c r="G157" t="s">
        <v>15</v>
      </c>
      <c r="H157" t="s">
        <v>16</v>
      </c>
      <c r="I157">
        <v>1903</v>
      </c>
      <c r="J157" t="s">
        <v>17</v>
      </c>
      <c r="K157">
        <v>156</v>
      </c>
      <c r="L157" t="s">
        <v>59</v>
      </c>
      <c r="M157" t="s">
        <v>30</v>
      </c>
    </row>
    <row r="158" spans="1:13" x14ac:dyDescent="0.3">
      <c r="A158">
        <v>13</v>
      </c>
      <c r="B158" t="s">
        <v>336</v>
      </c>
      <c r="C158">
        <v>5</v>
      </c>
      <c r="D158" s="1">
        <v>45018.140277777777</v>
      </c>
      <c r="E158" s="1">
        <v>45018.260416666664</v>
      </c>
      <c r="F158" t="s">
        <v>52</v>
      </c>
      <c r="G158" t="s">
        <v>48</v>
      </c>
      <c r="H158" t="s">
        <v>16</v>
      </c>
      <c r="I158">
        <v>2848</v>
      </c>
      <c r="J158" t="s">
        <v>24</v>
      </c>
      <c r="K158">
        <v>157</v>
      </c>
      <c r="L158" t="s">
        <v>18</v>
      </c>
      <c r="M158" t="s">
        <v>60</v>
      </c>
    </row>
    <row r="159" spans="1:13" x14ac:dyDescent="0.3">
      <c r="A159">
        <v>5</v>
      </c>
      <c r="B159" t="s">
        <v>177</v>
      </c>
      <c r="C159">
        <v>5</v>
      </c>
      <c r="D159" s="1">
        <v>45018.114583333336</v>
      </c>
      <c r="E159" s="1">
        <v>45018.165972222225</v>
      </c>
      <c r="F159" t="s">
        <v>52</v>
      </c>
      <c r="G159" t="s">
        <v>22</v>
      </c>
      <c r="H159" t="s">
        <v>16</v>
      </c>
      <c r="I159">
        <v>4875</v>
      </c>
      <c r="J159" t="s">
        <v>17</v>
      </c>
      <c r="K159">
        <v>158</v>
      </c>
      <c r="L159" t="s">
        <v>33</v>
      </c>
      <c r="M159" t="s">
        <v>53</v>
      </c>
    </row>
    <row r="160" spans="1:13" x14ac:dyDescent="0.3">
      <c r="A160">
        <v>16</v>
      </c>
      <c r="B160" t="s">
        <v>337</v>
      </c>
      <c r="C160">
        <v>1</v>
      </c>
      <c r="D160" s="1">
        <v>45018.006944444445</v>
      </c>
      <c r="E160" s="1">
        <v>45018.052083333336</v>
      </c>
      <c r="F160" t="s">
        <v>52</v>
      </c>
      <c r="G160" t="s">
        <v>48</v>
      </c>
      <c r="H160" t="s">
        <v>16</v>
      </c>
      <c r="I160">
        <v>4781</v>
      </c>
      <c r="J160" t="s">
        <v>24</v>
      </c>
      <c r="K160">
        <v>159</v>
      </c>
      <c r="L160" t="s">
        <v>25</v>
      </c>
      <c r="M160" t="s">
        <v>26</v>
      </c>
    </row>
    <row r="161" spans="1:13" x14ac:dyDescent="0.3">
      <c r="A161">
        <v>19</v>
      </c>
      <c r="B161" t="s">
        <v>116</v>
      </c>
      <c r="C161">
        <v>6</v>
      </c>
      <c r="D161" s="1">
        <v>45018.04583333333</v>
      </c>
      <c r="E161" s="1">
        <v>45018.189583333333</v>
      </c>
      <c r="F161" t="s">
        <v>32</v>
      </c>
      <c r="G161" t="s">
        <v>22</v>
      </c>
      <c r="H161" t="s">
        <v>16</v>
      </c>
      <c r="I161">
        <v>2602</v>
      </c>
      <c r="J161" t="s">
        <v>28</v>
      </c>
      <c r="K161">
        <v>160</v>
      </c>
      <c r="L161" t="s">
        <v>37</v>
      </c>
      <c r="M161" t="s">
        <v>44</v>
      </c>
    </row>
    <row r="162" spans="1:13" x14ac:dyDescent="0.3">
      <c r="A162">
        <v>13</v>
      </c>
      <c r="B162" t="s">
        <v>86</v>
      </c>
      <c r="C162">
        <v>6</v>
      </c>
      <c r="D162" s="1">
        <v>45018.03125</v>
      </c>
      <c r="E162" s="1">
        <v>45018.182638888888</v>
      </c>
      <c r="F162" t="s">
        <v>32</v>
      </c>
      <c r="G162" t="s">
        <v>22</v>
      </c>
      <c r="H162" t="s">
        <v>16</v>
      </c>
      <c r="I162">
        <v>1886</v>
      </c>
      <c r="J162" t="s">
        <v>28</v>
      </c>
      <c r="K162">
        <v>161</v>
      </c>
      <c r="L162" t="s">
        <v>70</v>
      </c>
      <c r="M162" t="s">
        <v>30</v>
      </c>
    </row>
    <row r="163" spans="1:13" x14ac:dyDescent="0.3">
      <c r="A163">
        <v>14</v>
      </c>
      <c r="B163" t="s">
        <v>87</v>
      </c>
      <c r="C163">
        <v>4</v>
      </c>
      <c r="D163" s="1">
        <v>45018.039583333331</v>
      </c>
      <c r="E163" s="1">
        <v>45018.106944444444</v>
      </c>
      <c r="F163" t="s">
        <v>73</v>
      </c>
      <c r="G163" t="s">
        <v>22</v>
      </c>
      <c r="H163" t="s">
        <v>16</v>
      </c>
      <c r="I163">
        <v>1755</v>
      </c>
      <c r="J163" t="s">
        <v>28</v>
      </c>
      <c r="K163">
        <v>162</v>
      </c>
      <c r="L163" t="s">
        <v>70</v>
      </c>
      <c r="M163" t="s">
        <v>75</v>
      </c>
    </row>
    <row r="164" spans="1:13" x14ac:dyDescent="0.3">
      <c r="A164">
        <v>6</v>
      </c>
      <c r="B164" t="s">
        <v>338</v>
      </c>
      <c r="C164">
        <v>1</v>
      </c>
      <c r="D164" s="1">
        <v>45018.065972222219</v>
      </c>
      <c r="E164" s="1">
        <v>45018.17291666667</v>
      </c>
      <c r="F164" t="s">
        <v>21</v>
      </c>
      <c r="G164" t="s">
        <v>22</v>
      </c>
      <c r="H164" t="s">
        <v>16</v>
      </c>
      <c r="I164">
        <v>1494</v>
      </c>
      <c r="J164" t="s">
        <v>24</v>
      </c>
      <c r="K164">
        <v>163</v>
      </c>
      <c r="L164" t="s">
        <v>33</v>
      </c>
      <c r="M164" t="s">
        <v>56</v>
      </c>
    </row>
    <row r="165" spans="1:13" x14ac:dyDescent="0.3">
      <c r="A165">
        <v>8</v>
      </c>
      <c r="B165" t="s">
        <v>339</v>
      </c>
      <c r="C165">
        <v>2</v>
      </c>
      <c r="D165" s="1">
        <v>45018.106944444444</v>
      </c>
      <c r="E165" s="1">
        <v>45018.251388888886</v>
      </c>
      <c r="F165" t="s">
        <v>14</v>
      </c>
      <c r="G165" t="s">
        <v>15</v>
      </c>
      <c r="H165" t="s">
        <v>16</v>
      </c>
      <c r="I165">
        <v>4753</v>
      </c>
      <c r="J165" t="s">
        <v>28</v>
      </c>
      <c r="K165">
        <v>164</v>
      </c>
      <c r="L165" t="s">
        <v>37</v>
      </c>
      <c r="M165" t="s">
        <v>92</v>
      </c>
    </row>
    <row r="166" spans="1:13" x14ac:dyDescent="0.3">
      <c r="A166">
        <v>10</v>
      </c>
      <c r="B166" t="s">
        <v>340</v>
      </c>
      <c r="C166">
        <v>3</v>
      </c>
      <c r="D166" s="1">
        <v>45018.097916666666</v>
      </c>
      <c r="E166" s="1">
        <v>45018.216666666667</v>
      </c>
      <c r="F166" t="s">
        <v>52</v>
      </c>
      <c r="G166" t="s">
        <v>15</v>
      </c>
      <c r="H166" t="s">
        <v>16</v>
      </c>
      <c r="I166">
        <v>419</v>
      </c>
      <c r="J166" t="s">
        <v>24</v>
      </c>
      <c r="K166">
        <v>165</v>
      </c>
      <c r="L166" t="s">
        <v>18</v>
      </c>
      <c r="M166" t="s">
        <v>75</v>
      </c>
    </row>
    <row r="167" spans="1:13" x14ac:dyDescent="0.3">
      <c r="A167">
        <v>12</v>
      </c>
      <c r="B167" t="s">
        <v>88</v>
      </c>
      <c r="C167">
        <v>1</v>
      </c>
      <c r="D167" s="1">
        <v>45018.054166666669</v>
      </c>
      <c r="E167" s="1">
        <v>45018.113888888889</v>
      </c>
      <c r="F167" t="s">
        <v>14</v>
      </c>
      <c r="G167" t="s">
        <v>22</v>
      </c>
      <c r="H167" t="s">
        <v>23</v>
      </c>
      <c r="I167">
        <v>4395</v>
      </c>
      <c r="J167" t="s">
        <v>24</v>
      </c>
      <c r="K167">
        <v>166</v>
      </c>
      <c r="L167" t="s">
        <v>18</v>
      </c>
      <c r="M167" t="s">
        <v>89</v>
      </c>
    </row>
    <row r="168" spans="1:13" x14ac:dyDescent="0.3">
      <c r="A168">
        <v>5</v>
      </c>
      <c r="B168" t="s">
        <v>341</v>
      </c>
      <c r="C168">
        <v>6</v>
      </c>
      <c r="D168" s="1">
        <v>45018.054861111108</v>
      </c>
      <c r="E168" s="1">
        <v>45018.115277777775</v>
      </c>
      <c r="F168" t="s">
        <v>32</v>
      </c>
      <c r="G168" t="s">
        <v>22</v>
      </c>
      <c r="H168" t="s">
        <v>36</v>
      </c>
      <c r="I168">
        <v>4274</v>
      </c>
      <c r="J168" t="s">
        <v>28</v>
      </c>
      <c r="K168">
        <v>167</v>
      </c>
      <c r="L168" t="s">
        <v>49</v>
      </c>
      <c r="M168" t="s">
        <v>53</v>
      </c>
    </row>
    <row r="169" spans="1:13" x14ac:dyDescent="0.3">
      <c r="A169">
        <v>17</v>
      </c>
      <c r="B169" t="s">
        <v>90</v>
      </c>
      <c r="C169">
        <v>4</v>
      </c>
      <c r="D169" s="1">
        <v>45018.086805555555</v>
      </c>
      <c r="E169" s="1">
        <v>45018.140972222223</v>
      </c>
      <c r="F169" t="s">
        <v>73</v>
      </c>
      <c r="G169" t="s">
        <v>22</v>
      </c>
      <c r="H169" t="s">
        <v>16</v>
      </c>
      <c r="I169">
        <v>1709</v>
      </c>
      <c r="J169" t="s">
        <v>28</v>
      </c>
      <c r="K169">
        <v>168</v>
      </c>
      <c r="L169" t="s">
        <v>91</v>
      </c>
      <c r="M169" t="s">
        <v>92</v>
      </c>
    </row>
    <row r="170" spans="1:13" x14ac:dyDescent="0.3">
      <c r="A170">
        <v>19</v>
      </c>
      <c r="B170" t="s">
        <v>219</v>
      </c>
      <c r="C170">
        <v>1</v>
      </c>
      <c r="D170" s="1">
        <v>45018.080555555556</v>
      </c>
      <c r="E170" s="1">
        <v>45018.218055555553</v>
      </c>
      <c r="F170" t="s">
        <v>52</v>
      </c>
      <c r="G170" t="s">
        <v>22</v>
      </c>
      <c r="H170" t="s">
        <v>36</v>
      </c>
      <c r="I170">
        <v>1662</v>
      </c>
      <c r="J170" t="s">
        <v>17</v>
      </c>
      <c r="K170">
        <v>169</v>
      </c>
      <c r="L170" t="s">
        <v>70</v>
      </c>
      <c r="M170" t="s">
        <v>42</v>
      </c>
    </row>
    <row r="171" spans="1:13" x14ac:dyDescent="0.3">
      <c r="A171">
        <v>12</v>
      </c>
      <c r="B171" t="s">
        <v>342</v>
      </c>
      <c r="C171">
        <v>2</v>
      </c>
      <c r="D171" s="1">
        <v>45018.109027777777</v>
      </c>
      <c r="E171" s="1">
        <v>45018.226388888892</v>
      </c>
      <c r="F171" t="s">
        <v>32</v>
      </c>
      <c r="G171" t="s">
        <v>15</v>
      </c>
      <c r="H171" t="s">
        <v>16</v>
      </c>
      <c r="I171">
        <v>2598</v>
      </c>
      <c r="J171" t="s">
        <v>17</v>
      </c>
      <c r="K171">
        <v>170</v>
      </c>
      <c r="L171" t="s">
        <v>37</v>
      </c>
      <c r="M171" t="s">
        <v>66</v>
      </c>
    </row>
    <row r="172" spans="1:13" x14ac:dyDescent="0.3">
      <c r="A172">
        <v>16</v>
      </c>
      <c r="B172" t="s">
        <v>223</v>
      </c>
      <c r="C172">
        <v>6</v>
      </c>
      <c r="D172" s="1">
        <v>45018.078472222223</v>
      </c>
      <c r="E172" s="1">
        <v>45018.12777777778</v>
      </c>
      <c r="F172" t="s">
        <v>32</v>
      </c>
      <c r="G172" t="s">
        <v>15</v>
      </c>
      <c r="H172" t="s">
        <v>16</v>
      </c>
      <c r="I172">
        <v>4656</v>
      </c>
      <c r="J172" t="s">
        <v>17</v>
      </c>
      <c r="K172">
        <v>171</v>
      </c>
      <c r="L172" t="s">
        <v>25</v>
      </c>
      <c r="M172" t="s">
        <v>71</v>
      </c>
    </row>
    <row r="173" spans="1:13" x14ac:dyDescent="0.3">
      <c r="A173">
        <v>12</v>
      </c>
      <c r="B173" t="s">
        <v>93</v>
      </c>
      <c r="C173">
        <v>3</v>
      </c>
      <c r="D173" s="1">
        <v>45018.117361111108</v>
      </c>
      <c r="E173" s="1">
        <v>45018.254166666666</v>
      </c>
      <c r="F173" t="s">
        <v>73</v>
      </c>
      <c r="G173" t="s">
        <v>22</v>
      </c>
      <c r="H173" t="s">
        <v>16</v>
      </c>
      <c r="I173">
        <v>4517</v>
      </c>
      <c r="J173" t="s">
        <v>24</v>
      </c>
      <c r="K173">
        <v>172</v>
      </c>
      <c r="L173" t="s">
        <v>29</v>
      </c>
      <c r="M173" t="s">
        <v>38</v>
      </c>
    </row>
    <row r="174" spans="1:13" x14ac:dyDescent="0.3">
      <c r="A174">
        <v>11</v>
      </c>
      <c r="B174" t="s">
        <v>343</v>
      </c>
      <c r="C174">
        <v>3</v>
      </c>
      <c r="D174" s="1">
        <v>45018.012499999997</v>
      </c>
      <c r="E174" s="1">
        <v>45018.154861111114</v>
      </c>
      <c r="F174" t="s">
        <v>14</v>
      </c>
      <c r="G174" t="s">
        <v>22</v>
      </c>
      <c r="H174" t="s">
        <v>16</v>
      </c>
      <c r="I174">
        <v>4873</v>
      </c>
      <c r="J174" t="s">
        <v>24</v>
      </c>
      <c r="K174">
        <v>173</v>
      </c>
      <c r="L174" t="s">
        <v>33</v>
      </c>
      <c r="M174" t="s">
        <v>50</v>
      </c>
    </row>
    <row r="175" spans="1:13" x14ac:dyDescent="0.3">
      <c r="A175">
        <v>10</v>
      </c>
      <c r="B175" t="s">
        <v>94</v>
      </c>
      <c r="C175">
        <v>5</v>
      </c>
      <c r="D175" s="1">
        <v>45018.006249999999</v>
      </c>
      <c r="E175" s="1">
        <v>45018.05</v>
      </c>
      <c r="F175" t="s">
        <v>14</v>
      </c>
      <c r="G175" t="s">
        <v>22</v>
      </c>
      <c r="H175" t="s">
        <v>16</v>
      </c>
      <c r="I175">
        <v>4824</v>
      </c>
      <c r="J175" t="s">
        <v>28</v>
      </c>
      <c r="K175">
        <v>174</v>
      </c>
      <c r="L175" t="s">
        <v>91</v>
      </c>
      <c r="M175" t="s">
        <v>40</v>
      </c>
    </row>
    <row r="176" spans="1:13" x14ac:dyDescent="0.3">
      <c r="A176">
        <v>14</v>
      </c>
      <c r="B176" t="s">
        <v>296</v>
      </c>
      <c r="C176">
        <v>3</v>
      </c>
      <c r="D176" s="1">
        <v>45018.060416666667</v>
      </c>
      <c r="E176" s="1">
        <v>45018.12777777778</v>
      </c>
      <c r="F176" t="s">
        <v>52</v>
      </c>
      <c r="G176" t="s">
        <v>22</v>
      </c>
      <c r="H176" t="s">
        <v>16</v>
      </c>
      <c r="I176">
        <v>2794</v>
      </c>
      <c r="J176" t="s">
        <v>28</v>
      </c>
      <c r="K176">
        <v>175</v>
      </c>
      <c r="L176" t="s">
        <v>37</v>
      </c>
      <c r="M176" t="s">
        <v>105</v>
      </c>
    </row>
    <row r="177" spans="1:13" x14ac:dyDescent="0.3">
      <c r="A177">
        <v>20</v>
      </c>
      <c r="B177" t="s">
        <v>95</v>
      </c>
      <c r="C177">
        <v>4</v>
      </c>
      <c r="D177" s="1">
        <v>45018.102083333331</v>
      </c>
      <c r="E177" s="1">
        <v>45018.188888888886</v>
      </c>
      <c r="F177" t="s">
        <v>32</v>
      </c>
      <c r="G177" t="s">
        <v>22</v>
      </c>
      <c r="H177" t="s">
        <v>16</v>
      </c>
      <c r="I177">
        <v>305</v>
      </c>
      <c r="J177" t="s">
        <v>24</v>
      </c>
      <c r="K177">
        <v>176</v>
      </c>
      <c r="L177" t="s">
        <v>33</v>
      </c>
      <c r="M177" t="s">
        <v>42</v>
      </c>
    </row>
    <row r="178" spans="1:13" x14ac:dyDescent="0.3">
      <c r="A178">
        <v>4</v>
      </c>
      <c r="B178" t="s">
        <v>344</v>
      </c>
      <c r="C178">
        <v>1</v>
      </c>
      <c r="D178" s="1">
        <v>45018.009722222225</v>
      </c>
      <c r="E178" s="1">
        <v>45018.051388888889</v>
      </c>
      <c r="F178" t="s">
        <v>14</v>
      </c>
      <c r="G178" t="s">
        <v>15</v>
      </c>
      <c r="H178" t="s">
        <v>16</v>
      </c>
      <c r="I178">
        <v>1039</v>
      </c>
      <c r="J178" t="s">
        <v>24</v>
      </c>
      <c r="K178">
        <v>177</v>
      </c>
      <c r="L178" t="s">
        <v>18</v>
      </c>
      <c r="M178" t="s">
        <v>75</v>
      </c>
    </row>
    <row r="179" spans="1:13" x14ac:dyDescent="0.3">
      <c r="A179">
        <v>11</v>
      </c>
      <c r="B179" t="s">
        <v>345</v>
      </c>
      <c r="C179">
        <v>6</v>
      </c>
      <c r="D179" s="1">
        <v>45018.078472222223</v>
      </c>
      <c r="E179" s="1">
        <v>45018.220833333333</v>
      </c>
      <c r="F179" t="s">
        <v>52</v>
      </c>
      <c r="G179" t="s">
        <v>15</v>
      </c>
      <c r="H179" t="s">
        <v>16</v>
      </c>
      <c r="I179">
        <v>316</v>
      </c>
      <c r="J179" t="s">
        <v>28</v>
      </c>
      <c r="K179">
        <v>178</v>
      </c>
      <c r="L179" t="s">
        <v>91</v>
      </c>
      <c r="M179" t="s">
        <v>40</v>
      </c>
    </row>
    <row r="180" spans="1:13" x14ac:dyDescent="0.3">
      <c r="A180">
        <v>12</v>
      </c>
      <c r="B180" t="s">
        <v>96</v>
      </c>
      <c r="C180">
        <v>2</v>
      </c>
      <c r="D180" s="1">
        <v>45018.030555555553</v>
      </c>
      <c r="E180" s="1">
        <v>45018.130555555559</v>
      </c>
      <c r="F180" t="s">
        <v>14</v>
      </c>
      <c r="G180" t="s">
        <v>48</v>
      </c>
      <c r="H180" t="s">
        <v>16</v>
      </c>
      <c r="I180">
        <v>133</v>
      </c>
      <c r="J180" t="s">
        <v>28</v>
      </c>
      <c r="K180">
        <v>179</v>
      </c>
      <c r="L180" t="s">
        <v>37</v>
      </c>
      <c r="M180" t="s">
        <v>56</v>
      </c>
    </row>
    <row r="181" spans="1:13" x14ac:dyDescent="0.3">
      <c r="A181">
        <v>10</v>
      </c>
      <c r="B181" t="s">
        <v>346</v>
      </c>
      <c r="C181">
        <v>1</v>
      </c>
      <c r="D181" s="1">
        <v>45018.097916666666</v>
      </c>
      <c r="E181" s="1">
        <v>45018.214583333334</v>
      </c>
      <c r="F181" t="s">
        <v>32</v>
      </c>
      <c r="G181" t="s">
        <v>15</v>
      </c>
      <c r="H181" t="s">
        <v>16</v>
      </c>
      <c r="I181">
        <v>4661</v>
      </c>
      <c r="J181" t="s">
        <v>28</v>
      </c>
      <c r="K181">
        <v>180</v>
      </c>
      <c r="L181" t="s">
        <v>25</v>
      </c>
      <c r="M181" t="s">
        <v>26</v>
      </c>
    </row>
    <row r="182" spans="1:13" x14ac:dyDescent="0.3">
      <c r="A182">
        <v>15</v>
      </c>
      <c r="B182" t="s">
        <v>97</v>
      </c>
      <c r="C182">
        <v>1</v>
      </c>
      <c r="D182" s="1">
        <v>45018.114583333336</v>
      </c>
      <c r="E182" s="1">
        <v>45018.162499999999</v>
      </c>
      <c r="F182" t="s">
        <v>73</v>
      </c>
      <c r="G182" t="s">
        <v>15</v>
      </c>
      <c r="H182" t="s">
        <v>16</v>
      </c>
      <c r="I182">
        <v>4258</v>
      </c>
      <c r="J182" t="s">
        <v>24</v>
      </c>
      <c r="K182">
        <v>181</v>
      </c>
      <c r="L182" t="s">
        <v>70</v>
      </c>
      <c r="M182" t="s">
        <v>50</v>
      </c>
    </row>
    <row r="183" spans="1:13" x14ac:dyDescent="0.3">
      <c r="A183">
        <v>18</v>
      </c>
      <c r="B183" t="s">
        <v>98</v>
      </c>
      <c r="C183">
        <v>2</v>
      </c>
      <c r="D183" s="1">
        <v>45018.161805555559</v>
      </c>
      <c r="E183" s="1">
        <v>45018.270833333336</v>
      </c>
      <c r="F183" t="s">
        <v>52</v>
      </c>
      <c r="G183" t="s">
        <v>22</v>
      </c>
      <c r="H183" t="s">
        <v>36</v>
      </c>
      <c r="I183">
        <v>3836</v>
      </c>
      <c r="J183" t="s">
        <v>17</v>
      </c>
      <c r="K183">
        <v>182</v>
      </c>
      <c r="L183" t="s">
        <v>70</v>
      </c>
      <c r="M183" t="s">
        <v>53</v>
      </c>
    </row>
    <row r="184" spans="1:13" x14ac:dyDescent="0.3">
      <c r="A184">
        <v>18</v>
      </c>
      <c r="B184" t="s">
        <v>347</v>
      </c>
      <c r="C184">
        <v>1</v>
      </c>
      <c r="D184" s="1">
        <v>45018.115277777775</v>
      </c>
      <c r="E184" s="1">
        <v>45018.269444444442</v>
      </c>
      <c r="F184" t="s">
        <v>73</v>
      </c>
      <c r="G184" t="s">
        <v>22</v>
      </c>
      <c r="H184" t="s">
        <v>16</v>
      </c>
      <c r="I184">
        <v>1169</v>
      </c>
      <c r="J184" t="s">
        <v>24</v>
      </c>
      <c r="K184">
        <v>183</v>
      </c>
      <c r="L184" t="s">
        <v>55</v>
      </c>
      <c r="M184" t="s">
        <v>105</v>
      </c>
    </row>
    <row r="185" spans="1:13" x14ac:dyDescent="0.3">
      <c r="A185">
        <v>4</v>
      </c>
      <c r="B185" t="s">
        <v>348</v>
      </c>
      <c r="C185">
        <v>6</v>
      </c>
      <c r="D185" s="1">
        <v>45018.163194444445</v>
      </c>
      <c r="E185" s="1">
        <v>45018.292361111111</v>
      </c>
      <c r="F185" t="s">
        <v>21</v>
      </c>
      <c r="G185" t="s">
        <v>22</v>
      </c>
      <c r="H185" t="s">
        <v>16</v>
      </c>
      <c r="I185">
        <v>2424</v>
      </c>
      <c r="J185" t="s">
        <v>24</v>
      </c>
      <c r="K185">
        <v>184</v>
      </c>
      <c r="L185" t="s">
        <v>33</v>
      </c>
      <c r="M185" t="s">
        <v>30</v>
      </c>
    </row>
    <row r="186" spans="1:13" x14ac:dyDescent="0.3">
      <c r="A186">
        <v>16</v>
      </c>
      <c r="B186" t="s">
        <v>83</v>
      </c>
      <c r="C186">
        <v>2</v>
      </c>
      <c r="D186" s="1">
        <v>45018.115972222222</v>
      </c>
      <c r="E186" s="1">
        <v>45018.268055555556</v>
      </c>
      <c r="F186" t="s">
        <v>73</v>
      </c>
      <c r="G186" t="s">
        <v>48</v>
      </c>
      <c r="H186" t="s">
        <v>16</v>
      </c>
      <c r="I186">
        <v>2807</v>
      </c>
      <c r="J186" t="s">
        <v>17</v>
      </c>
      <c r="K186">
        <v>185</v>
      </c>
      <c r="L186" t="s">
        <v>55</v>
      </c>
      <c r="M186" t="s">
        <v>42</v>
      </c>
    </row>
    <row r="187" spans="1:13" x14ac:dyDescent="0.3">
      <c r="A187">
        <v>13</v>
      </c>
      <c r="B187" t="s">
        <v>150</v>
      </c>
      <c r="C187">
        <v>6</v>
      </c>
      <c r="D187" s="1">
        <v>45018.027777777781</v>
      </c>
      <c r="E187" s="1">
        <v>45018.176388888889</v>
      </c>
      <c r="F187" t="s">
        <v>73</v>
      </c>
      <c r="G187" t="s">
        <v>22</v>
      </c>
      <c r="H187" t="s">
        <v>16</v>
      </c>
      <c r="I187">
        <v>1755</v>
      </c>
      <c r="J187" t="s">
        <v>28</v>
      </c>
      <c r="K187">
        <v>186</v>
      </c>
      <c r="L187" t="s">
        <v>37</v>
      </c>
      <c r="M187" t="s">
        <v>50</v>
      </c>
    </row>
    <row r="188" spans="1:13" x14ac:dyDescent="0.3">
      <c r="A188">
        <v>5</v>
      </c>
      <c r="B188" t="s">
        <v>349</v>
      </c>
      <c r="C188">
        <v>1</v>
      </c>
      <c r="D188" s="1">
        <v>45018.099305555559</v>
      </c>
      <c r="E188" s="1">
        <v>45018.227777777778</v>
      </c>
      <c r="F188" t="s">
        <v>14</v>
      </c>
      <c r="G188" t="s">
        <v>22</v>
      </c>
      <c r="H188" t="s">
        <v>16</v>
      </c>
      <c r="I188">
        <v>174</v>
      </c>
      <c r="J188" t="s">
        <v>17</v>
      </c>
      <c r="K188">
        <v>187</v>
      </c>
      <c r="L188" t="s">
        <v>91</v>
      </c>
      <c r="M188" t="s">
        <v>38</v>
      </c>
    </row>
    <row r="189" spans="1:13" x14ac:dyDescent="0.3">
      <c r="A189">
        <v>20</v>
      </c>
      <c r="B189" t="s">
        <v>350</v>
      </c>
      <c r="C189">
        <v>4</v>
      </c>
      <c r="D189" s="1">
        <v>45018.152777777781</v>
      </c>
      <c r="E189" s="1">
        <v>45018.222916666666</v>
      </c>
      <c r="F189" t="s">
        <v>52</v>
      </c>
      <c r="G189" t="s">
        <v>48</v>
      </c>
      <c r="H189" t="s">
        <v>16</v>
      </c>
      <c r="I189">
        <v>1395</v>
      </c>
      <c r="J189" t="s">
        <v>28</v>
      </c>
      <c r="K189">
        <v>188</v>
      </c>
      <c r="L189" t="s">
        <v>37</v>
      </c>
      <c r="M189" t="s">
        <v>56</v>
      </c>
    </row>
    <row r="190" spans="1:13" x14ac:dyDescent="0.3">
      <c r="A190">
        <v>11</v>
      </c>
      <c r="B190" t="s">
        <v>351</v>
      </c>
      <c r="C190">
        <v>4</v>
      </c>
      <c r="D190" s="1">
        <v>45018.158333333333</v>
      </c>
      <c r="E190" s="1">
        <v>45018.256944444445</v>
      </c>
      <c r="F190" t="s">
        <v>32</v>
      </c>
      <c r="G190" t="s">
        <v>22</v>
      </c>
      <c r="H190" t="s">
        <v>16</v>
      </c>
      <c r="I190">
        <v>4166</v>
      </c>
      <c r="J190" t="s">
        <v>28</v>
      </c>
      <c r="K190">
        <v>189</v>
      </c>
      <c r="L190" t="s">
        <v>59</v>
      </c>
      <c r="M190" t="s">
        <v>38</v>
      </c>
    </row>
    <row r="191" spans="1:13" x14ac:dyDescent="0.3">
      <c r="A191">
        <v>5</v>
      </c>
      <c r="B191" t="s">
        <v>331</v>
      </c>
      <c r="C191">
        <v>2</v>
      </c>
      <c r="D191" s="1">
        <v>45018.063194444447</v>
      </c>
      <c r="E191" s="1">
        <v>45018.140277777777</v>
      </c>
      <c r="F191" t="s">
        <v>32</v>
      </c>
      <c r="G191" t="s">
        <v>22</v>
      </c>
      <c r="H191" t="s">
        <v>16</v>
      </c>
      <c r="I191">
        <v>3888</v>
      </c>
      <c r="J191" t="s">
        <v>17</v>
      </c>
      <c r="K191">
        <v>190</v>
      </c>
      <c r="L191" t="s">
        <v>37</v>
      </c>
      <c r="M191" t="s">
        <v>46</v>
      </c>
    </row>
    <row r="192" spans="1:13" x14ac:dyDescent="0.3">
      <c r="A192">
        <v>12</v>
      </c>
      <c r="B192" t="s">
        <v>352</v>
      </c>
      <c r="C192">
        <v>6</v>
      </c>
      <c r="D192" s="1">
        <v>45018</v>
      </c>
      <c r="E192" s="1">
        <v>45018.10833333333</v>
      </c>
      <c r="F192" t="s">
        <v>32</v>
      </c>
      <c r="G192" t="s">
        <v>22</v>
      </c>
      <c r="H192" t="s">
        <v>16</v>
      </c>
      <c r="I192">
        <v>2436</v>
      </c>
      <c r="J192" t="s">
        <v>24</v>
      </c>
      <c r="K192">
        <v>191</v>
      </c>
      <c r="L192" t="s">
        <v>70</v>
      </c>
      <c r="M192" t="s">
        <v>60</v>
      </c>
    </row>
    <row r="193" spans="1:13" x14ac:dyDescent="0.3">
      <c r="A193">
        <v>17</v>
      </c>
      <c r="B193" t="s">
        <v>99</v>
      </c>
      <c r="C193">
        <v>4</v>
      </c>
      <c r="D193" s="1">
        <v>45018.10833333333</v>
      </c>
      <c r="E193" s="1">
        <v>45018.203472222223</v>
      </c>
      <c r="F193" t="s">
        <v>32</v>
      </c>
      <c r="G193" t="s">
        <v>48</v>
      </c>
      <c r="H193" t="s">
        <v>23</v>
      </c>
      <c r="I193">
        <v>1599</v>
      </c>
      <c r="J193" t="s">
        <v>17</v>
      </c>
      <c r="K193">
        <v>192</v>
      </c>
      <c r="L193" t="s">
        <v>33</v>
      </c>
      <c r="M193" t="s">
        <v>60</v>
      </c>
    </row>
    <row r="194" spans="1:13" x14ac:dyDescent="0.3">
      <c r="A194">
        <v>3</v>
      </c>
      <c r="B194" t="s">
        <v>353</v>
      </c>
      <c r="C194">
        <v>5</v>
      </c>
      <c r="D194" s="1">
        <v>45018.008333333331</v>
      </c>
      <c r="E194" s="1">
        <v>45018.12777777778</v>
      </c>
      <c r="F194" t="s">
        <v>21</v>
      </c>
      <c r="G194" t="s">
        <v>48</v>
      </c>
      <c r="H194" t="s">
        <v>16</v>
      </c>
      <c r="I194">
        <v>2485</v>
      </c>
      <c r="J194" t="s">
        <v>28</v>
      </c>
      <c r="K194">
        <v>193</v>
      </c>
      <c r="L194" t="s">
        <v>49</v>
      </c>
      <c r="M194" t="s">
        <v>71</v>
      </c>
    </row>
    <row r="195" spans="1:13" x14ac:dyDescent="0.3">
      <c r="A195">
        <v>3</v>
      </c>
      <c r="B195" t="s">
        <v>106</v>
      </c>
      <c r="C195">
        <v>6</v>
      </c>
      <c r="D195" s="1">
        <v>45018.111111111109</v>
      </c>
      <c r="E195" s="1">
        <v>45018.163888888892</v>
      </c>
      <c r="F195" t="s">
        <v>21</v>
      </c>
      <c r="G195" t="s">
        <v>22</v>
      </c>
      <c r="H195" t="s">
        <v>36</v>
      </c>
      <c r="I195">
        <v>1141</v>
      </c>
      <c r="J195" t="s">
        <v>28</v>
      </c>
      <c r="K195">
        <v>194</v>
      </c>
      <c r="L195" t="s">
        <v>18</v>
      </c>
      <c r="M195" t="s">
        <v>112</v>
      </c>
    </row>
    <row r="196" spans="1:13" x14ac:dyDescent="0.3">
      <c r="A196">
        <v>2</v>
      </c>
      <c r="B196" t="s">
        <v>100</v>
      </c>
      <c r="C196">
        <v>1</v>
      </c>
      <c r="D196" s="1">
        <v>45018.12777777778</v>
      </c>
      <c r="E196" s="1">
        <v>45018.17291666667</v>
      </c>
      <c r="F196" t="s">
        <v>52</v>
      </c>
      <c r="G196" t="s">
        <v>22</v>
      </c>
      <c r="H196" t="s">
        <v>36</v>
      </c>
      <c r="I196">
        <v>1006</v>
      </c>
      <c r="J196" t="s">
        <v>24</v>
      </c>
      <c r="K196">
        <v>195</v>
      </c>
      <c r="L196" t="s">
        <v>37</v>
      </c>
      <c r="M196" t="s">
        <v>60</v>
      </c>
    </row>
    <row r="197" spans="1:13" x14ac:dyDescent="0.3">
      <c r="A197">
        <v>4</v>
      </c>
      <c r="B197" t="s">
        <v>13</v>
      </c>
      <c r="C197">
        <v>3</v>
      </c>
      <c r="D197" s="1">
        <v>45018.007638888892</v>
      </c>
      <c r="E197" s="1">
        <v>45018.173611111109</v>
      </c>
      <c r="F197" t="s">
        <v>32</v>
      </c>
      <c r="G197" t="s">
        <v>22</v>
      </c>
      <c r="H197" t="s">
        <v>16</v>
      </c>
      <c r="I197">
        <v>4265</v>
      </c>
      <c r="J197" t="s">
        <v>28</v>
      </c>
      <c r="K197">
        <v>196</v>
      </c>
      <c r="L197" t="s">
        <v>59</v>
      </c>
      <c r="M197" t="s">
        <v>66</v>
      </c>
    </row>
    <row r="198" spans="1:13" x14ac:dyDescent="0.3">
      <c r="A198">
        <v>5</v>
      </c>
      <c r="B198" t="s">
        <v>208</v>
      </c>
      <c r="C198">
        <v>6</v>
      </c>
      <c r="D198" s="1">
        <v>45018.115277777775</v>
      </c>
      <c r="E198" s="1">
        <v>45018.20416666667</v>
      </c>
      <c r="F198" t="s">
        <v>32</v>
      </c>
      <c r="G198" t="s">
        <v>48</v>
      </c>
      <c r="H198" t="s">
        <v>36</v>
      </c>
      <c r="I198">
        <v>2011</v>
      </c>
      <c r="J198" t="s">
        <v>24</v>
      </c>
      <c r="K198">
        <v>197</v>
      </c>
      <c r="L198" t="s">
        <v>37</v>
      </c>
      <c r="M198" t="s">
        <v>38</v>
      </c>
    </row>
    <row r="199" spans="1:13" x14ac:dyDescent="0.3">
      <c r="A199">
        <v>9</v>
      </c>
      <c r="B199" t="s">
        <v>101</v>
      </c>
      <c r="C199">
        <v>4</v>
      </c>
      <c r="D199" s="1">
        <v>45018.025000000001</v>
      </c>
      <c r="E199" s="1">
        <v>45018.128472222219</v>
      </c>
      <c r="F199" t="s">
        <v>73</v>
      </c>
      <c r="G199" t="s">
        <v>22</v>
      </c>
      <c r="H199" t="s">
        <v>16</v>
      </c>
      <c r="I199">
        <v>3672</v>
      </c>
      <c r="J199" t="s">
        <v>28</v>
      </c>
      <c r="K199">
        <v>198</v>
      </c>
      <c r="L199" t="s">
        <v>59</v>
      </c>
      <c r="M199" t="s">
        <v>50</v>
      </c>
    </row>
    <row r="200" spans="1:13" x14ac:dyDescent="0.3">
      <c r="A200">
        <v>11</v>
      </c>
      <c r="B200" t="s">
        <v>354</v>
      </c>
      <c r="C200">
        <v>5</v>
      </c>
      <c r="D200" s="1">
        <v>45018.080555555556</v>
      </c>
      <c r="E200" s="1">
        <v>45018.236111111109</v>
      </c>
      <c r="F200" t="s">
        <v>32</v>
      </c>
      <c r="G200" t="s">
        <v>15</v>
      </c>
      <c r="H200" t="s">
        <v>36</v>
      </c>
      <c r="I200">
        <v>1326</v>
      </c>
      <c r="J200" t="s">
        <v>17</v>
      </c>
      <c r="K200">
        <v>199</v>
      </c>
      <c r="L200" t="s">
        <v>70</v>
      </c>
      <c r="M200" t="s">
        <v>26</v>
      </c>
    </row>
    <row r="201" spans="1:13" x14ac:dyDescent="0.3">
      <c r="A201">
        <v>11</v>
      </c>
      <c r="B201" t="s">
        <v>355</v>
      </c>
      <c r="C201">
        <v>4</v>
      </c>
      <c r="D201" s="1">
        <v>45018.107638888891</v>
      </c>
      <c r="E201" s="1">
        <v>45018.226388888892</v>
      </c>
      <c r="F201" t="s">
        <v>52</v>
      </c>
      <c r="G201" t="s">
        <v>22</v>
      </c>
      <c r="H201" t="s">
        <v>16</v>
      </c>
      <c r="I201">
        <v>4873</v>
      </c>
      <c r="J201" t="s">
        <v>28</v>
      </c>
      <c r="K201">
        <v>200</v>
      </c>
      <c r="L201" t="s">
        <v>37</v>
      </c>
      <c r="M201" t="s">
        <v>53</v>
      </c>
    </row>
    <row r="202" spans="1:13" x14ac:dyDescent="0.3">
      <c r="A202">
        <v>3</v>
      </c>
      <c r="B202" t="s">
        <v>102</v>
      </c>
      <c r="C202">
        <v>5</v>
      </c>
      <c r="D202" s="1">
        <v>45018.012499999997</v>
      </c>
      <c r="E202" s="1">
        <v>45018.076388888891</v>
      </c>
      <c r="F202" t="s">
        <v>73</v>
      </c>
      <c r="G202" t="s">
        <v>15</v>
      </c>
      <c r="H202" t="s">
        <v>16</v>
      </c>
      <c r="I202">
        <v>1984</v>
      </c>
      <c r="J202" t="s">
        <v>28</v>
      </c>
      <c r="K202">
        <v>201</v>
      </c>
      <c r="L202" t="s">
        <v>18</v>
      </c>
      <c r="M202" t="s">
        <v>75</v>
      </c>
    </row>
    <row r="203" spans="1:13" x14ac:dyDescent="0.3">
      <c r="A203">
        <v>16</v>
      </c>
      <c r="B203" t="s">
        <v>356</v>
      </c>
      <c r="C203">
        <v>5</v>
      </c>
      <c r="D203" s="1">
        <v>45018.040277777778</v>
      </c>
      <c r="E203" s="1">
        <v>45018.083333333336</v>
      </c>
      <c r="F203" t="s">
        <v>52</v>
      </c>
      <c r="G203" t="s">
        <v>22</v>
      </c>
      <c r="H203" t="s">
        <v>16</v>
      </c>
      <c r="I203">
        <v>2419</v>
      </c>
      <c r="J203" t="s">
        <v>24</v>
      </c>
      <c r="K203">
        <v>202</v>
      </c>
      <c r="L203" t="s">
        <v>29</v>
      </c>
      <c r="M203" t="s">
        <v>44</v>
      </c>
    </row>
    <row r="204" spans="1:13" x14ac:dyDescent="0.3">
      <c r="A204">
        <v>5</v>
      </c>
      <c r="B204" t="s">
        <v>357</v>
      </c>
      <c r="C204">
        <v>2</v>
      </c>
      <c r="D204" s="1">
        <v>45018.164583333331</v>
      </c>
      <c r="E204" s="1">
        <v>45018.222916666666</v>
      </c>
      <c r="F204" t="s">
        <v>73</v>
      </c>
      <c r="G204" t="s">
        <v>22</v>
      </c>
      <c r="H204" t="s">
        <v>16</v>
      </c>
      <c r="I204">
        <v>4019</v>
      </c>
      <c r="J204" t="s">
        <v>17</v>
      </c>
      <c r="K204">
        <v>203</v>
      </c>
      <c r="L204" t="s">
        <v>18</v>
      </c>
      <c r="M204" t="s">
        <v>56</v>
      </c>
    </row>
    <row r="205" spans="1:13" x14ac:dyDescent="0.3">
      <c r="A205">
        <v>16</v>
      </c>
      <c r="B205" t="s">
        <v>103</v>
      </c>
      <c r="C205">
        <v>5</v>
      </c>
      <c r="D205" s="1">
        <v>45018.011805555558</v>
      </c>
      <c r="E205" s="1">
        <v>45018.100694444445</v>
      </c>
      <c r="F205" t="s">
        <v>73</v>
      </c>
      <c r="G205" t="s">
        <v>22</v>
      </c>
      <c r="H205" t="s">
        <v>23</v>
      </c>
      <c r="I205">
        <v>4956</v>
      </c>
      <c r="J205" t="s">
        <v>17</v>
      </c>
      <c r="K205">
        <v>204</v>
      </c>
      <c r="L205" t="s">
        <v>55</v>
      </c>
      <c r="M205" t="s">
        <v>75</v>
      </c>
    </row>
    <row r="206" spans="1:13" x14ac:dyDescent="0.3">
      <c r="A206">
        <v>14</v>
      </c>
      <c r="B206" t="s">
        <v>198</v>
      </c>
      <c r="C206">
        <v>1</v>
      </c>
      <c r="D206" s="1">
        <v>45018.09375</v>
      </c>
      <c r="E206" s="1">
        <v>45018.259722222225</v>
      </c>
      <c r="F206" t="s">
        <v>32</v>
      </c>
      <c r="G206" t="s">
        <v>22</v>
      </c>
      <c r="H206" t="s">
        <v>36</v>
      </c>
      <c r="I206">
        <v>2649</v>
      </c>
      <c r="J206" t="s">
        <v>17</v>
      </c>
      <c r="K206">
        <v>205</v>
      </c>
      <c r="L206" t="s">
        <v>33</v>
      </c>
      <c r="M206" t="s">
        <v>105</v>
      </c>
    </row>
    <row r="207" spans="1:13" x14ac:dyDescent="0.3">
      <c r="A207">
        <v>4</v>
      </c>
      <c r="B207" t="s">
        <v>104</v>
      </c>
      <c r="C207">
        <v>6</v>
      </c>
      <c r="D207" s="1">
        <v>45018.143750000003</v>
      </c>
      <c r="E207" s="1">
        <v>45018.256249999999</v>
      </c>
      <c r="F207" t="s">
        <v>14</v>
      </c>
      <c r="G207" t="s">
        <v>22</v>
      </c>
      <c r="H207" t="s">
        <v>16</v>
      </c>
      <c r="I207">
        <v>3696</v>
      </c>
      <c r="J207" t="s">
        <v>24</v>
      </c>
      <c r="K207">
        <v>206</v>
      </c>
      <c r="L207" t="s">
        <v>29</v>
      </c>
      <c r="M207" t="s">
        <v>40</v>
      </c>
    </row>
    <row r="208" spans="1:13" x14ac:dyDescent="0.3">
      <c r="A208">
        <v>20</v>
      </c>
      <c r="B208" t="s">
        <v>358</v>
      </c>
      <c r="C208">
        <v>3</v>
      </c>
      <c r="D208" s="1">
        <v>45018.117361111108</v>
      </c>
      <c r="E208" s="1">
        <v>45018.168055555558</v>
      </c>
      <c r="F208" t="s">
        <v>21</v>
      </c>
      <c r="G208" t="s">
        <v>15</v>
      </c>
      <c r="H208" t="s">
        <v>16</v>
      </c>
      <c r="I208">
        <v>4654</v>
      </c>
      <c r="J208" t="s">
        <v>28</v>
      </c>
      <c r="K208">
        <v>207</v>
      </c>
      <c r="L208" t="s">
        <v>25</v>
      </c>
      <c r="M208" t="s">
        <v>71</v>
      </c>
    </row>
    <row r="209" spans="1:13" x14ac:dyDescent="0.3">
      <c r="A209">
        <v>16</v>
      </c>
      <c r="B209" t="s">
        <v>359</v>
      </c>
      <c r="C209">
        <v>4</v>
      </c>
      <c r="D209" s="1">
        <v>45018.147916666669</v>
      </c>
      <c r="E209" s="1">
        <v>45018.275000000001</v>
      </c>
      <c r="F209" t="s">
        <v>73</v>
      </c>
      <c r="G209" t="s">
        <v>22</v>
      </c>
      <c r="H209" t="s">
        <v>36</v>
      </c>
      <c r="I209">
        <v>367</v>
      </c>
      <c r="J209" t="s">
        <v>24</v>
      </c>
      <c r="K209">
        <v>208</v>
      </c>
      <c r="L209" t="s">
        <v>18</v>
      </c>
      <c r="M209" t="s">
        <v>105</v>
      </c>
    </row>
    <row r="210" spans="1:13" x14ac:dyDescent="0.3">
      <c r="A210">
        <v>9</v>
      </c>
      <c r="B210" t="s">
        <v>360</v>
      </c>
      <c r="C210">
        <v>6</v>
      </c>
      <c r="D210" s="1">
        <v>45018.063194444447</v>
      </c>
      <c r="E210" s="1">
        <v>45018.17083333333</v>
      </c>
      <c r="F210" t="s">
        <v>73</v>
      </c>
      <c r="G210" t="s">
        <v>15</v>
      </c>
      <c r="H210" t="s">
        <v>23</v>
      </c>
      <c r="I210">
        <v>3449</v>
      </c>
      <c r="J210" t="s">
        <v>28</v>
      </c>
      <c r="K210">
        <v>209</v>
      </c>
      <c r="L210" t="s">
        <v>29</v>
      </c>
      <c r="M210" t="s">
        <v>89</v>
      </c>
    </row>
    <row r="211" spans="1:13" x14ac:dyDescent="0.3">
      <c r="A211">
        <v>10</v>
      </c>
      <c r="B211" t="s">
        <v>361</v>
      </c>
      <c r="C211">
        <v>4</v>
      </c>
      <c r="D211" s="1">
        <v>45018.113194444442</v>
      </c>
      <c r="E211" s="1">
        <v>45018.186805555553</v>
      </c>
      <c r="F211" t="s">
        <v>32</v>
      </c>
      <c r="G211" t="s">
        <v>48</v>
      </c>
      <c r="H211" t="s">
        <v>16</v>
      </c>
      <c r="I211">
        <v>1467</v>
      </c>
      <c r="J211" t="s">
        <v>17</v>
      </c>
      <c r="K211">
        <v>210</v>
      </c>
      <c r="L211" t="s">
        <v>91</v>
      </c>
      <c r="M211" t="s">
        <v>42</v>
      </c>
    </row>
    <row r="212" spans="1:13" x14ac:dyDescent="0.3">
      <c r="A212">
        <v>1</v>
      </c>
      <c r="B212" t="s">
        <v>362</v>
      </c>
      <c r="C212">
        <v>2</v>
      </c>
      <c r="D212" s="1">
        <v>45018.152777777781</v>
      </c>
      <c r="E212" s="1">
        <v>45018.226388888892</v>
      </c>
      <c r="F212" t="s">
        <v>73</v>
      </c>
      <c r="G212" t="s">
        <v>22</v>
      </c>
      <c r="H212" t="s">
        <v>36</v>
      </c>
      <c r="I212">
        <v>1113</v>
      </c>
      <c r="J212" t="s">
        <v>28</v>
      </c>
      <c r="K212">
        <v>211</v>
      </c>
      <c r="L212" t="s">
        <v>49</v>
      </c>
      <c r="M212" t="s">
        <v>42</v>
      </c>
    </row>
    <row r="213" spans="1:13" x14ac:dyDescent="0.3">
      <c r="A213">
        <v>14</v>
      </c>
      <c r="B213" t="s">
        <v>218</v>
      </c>
      <c r="C213">
        <v>6</v>
      </c>
      <c r="D213" s="1">
        <v>45018.107638888891</v>
      </c>
      <c r="E213" s="1">
        <v>45018.152777777781</v>
      </c>
      <c r="F213" t="s">
        <v>14</v>
      </c>
      <c r="G213" t="s">
        <v>22</v>
      </c>
      <c r="H213" t="s">
        <v>36</v>
      </c>
      <c r="I213">
        <v>1885</v>
      </c>
      <c r="J213" t="s">
        <v>24</v>
      </c>
      <c r="K213">
        <v>212</v>
      </c>
      <c r="L213" t="s">
        <v>18</v>
      </c>
      <c r="M213" t="s">
        <v>40</v>
      </c>
    </row>
    <row r="214" spans="1:13" x14ac:dyDescent="0.3">
      <c r="A214">
        <v>13</v>
      </c>
      <c r="B214" t="s">
        <v>363</v>
      </c>
      <c r="C214">
        <v>6</v>
      </c>
      <c r="D214" s="1">
        <v>45018.073611111111</v>
      </c>
      <c r="E214" s="1">
        <v>45018.206944444442</v>
      </c>
      <c r="F214" t="s">
        <v>21</v>
      </c>
      <c r="G214" t="s">
        <v>22</v>
      </c>
      <c r="H214" t="s">
        <v>16</v>
      </c>
      <c r="I214">
        <v>281</v>
      </c>
      <c r="J214" t="s">
        <v>17</v>
      </c>
      <c r="K214">
        <v>213</v>
      </c>
      <c r="L214" t="s">
        <v>18</v>
      </c>
      <c r="M214" t="s">
        <v>50</v>
      </c>
    </row>
    <row r="215" spans="1:13" x14ac:dyDescent="0.3">
      <c r="A215">
        <v>2</v>
      </c>
      <c r="B215" t="s">
        <v>364</v>
      </c>
      <c r="C215">
        <v>4</v>
      </c>
      <c r="D215" s="1">
        <v>45018.137499999997</v>
      </c>
      <c r="E215" s="1">
        <v>45018.214583333334</v>
      </c>
      <c r="F215" t="s">
        <v>73</v>
      </c>
      <c r="G215" t="s">
        <v>22</v>
      </c>
      <c r="H215" t="s">
        <v>36</v>
      </c>
      <c r="I215">
        <v>3339</v>
      </c>
      <c r="J215" t="s">
        <v>24</v>
      </c>
      <c r="K215">
        <v>214</v>
      </c>
      <c r="L215" t="s">
        <v>49</v>
      </c>
      <c r="M215" t="s">
        <v>38</v>
      </c>
    </row>
    <row r="216" spans="1:13" x14ac:dyDescent="0.3">
      <c r="A216">
        <v>6</v>
      </c>
      <c r="B216" t="s">
        <v>365</v>
      </c>
      <c r="C216">
        <v>4</v>
      </c>
      <c r="D216" s="1">
        <v>45018.161111111112</v>
      </c>
      <c r="E216" s="1">
        <v>45018.267361111109</v>
      </c>
      <c r="F216" t="s">
        <v>52</v>
      </c>
      <c r="G216" t="s">
        <v>22</v>
      </c>
      <c r="H216" t="s">
        <v>36</v>
      </c>
      <c r="I216">
        <v>3564</v>
      </c>
      <c r="J216" t="s">
        <v>24</v>
      </c>
      <c r="K216">
        <v>215</v>
      </c>
      <c r="L216" t="s">
        <v>55</v>
      </c>
      <c r="M216" t="s">
        <v>38</v>
      </c>
    </row>
    <row r="217" spans="1:13" x14ac:dyDescent="0.3">
      <c r="A217">
        <v>17</v>
      </c>
      <c r="B217" t="s">
        <v>366</v>
      </c>
      <c r="C217">
        <v>6</v>
      </c>
      <c r="D217" s="1">
        <v>45018.073611111111</v>
      </c>
      <c r="E217" s="1">
        <v>45018.23333333333</v>
      </c>
      <c r="F217" t="s">
        <v>32</v>
      </c>
      <c r="G217" t="s">
        <v>22</v>
      </c>
      <c r="H217" t="s">
        <v>16</v>
      </c>
      <c r="I217">
        <v>3569</v>
      </c>
      <c r="J217" t="s">
        <v>17</v>
      </c>
      <c r="K217">
        <v>216</v>
      </c>
      <c r="L217" t="s">
        <v>55</v>
      </c>
      <c r="M217" t="s">
        <v>60</v>
      </c>
    </row>
    <row r="218" spans="1:13" x14ac:dyDescent="0.3">
      <c r="A218">
        <v>1</v>
      </c>
      <c r="B218" t="s">
        <v>94</v>
      </c>
      <c r="C218">
        <v>2</v>
      </c>
      <c r="D218" s="1">
        <v>45018.037499999999</v>
      </c>
      <c r="E218" s="1">
        <v>45018.197916666664</v>
      </c>
      <c r="F218" t="s">
        <v>52</v>
      </c>
      <c r="G218" t="s">
        <v>15</v>
      </c>
      <c r="H218" t="s">
        <v>16</v>
      </c>
      <c r="I218">
        <v>3117</v>
      </c>
      <c r="J218" t="s">
        <v>24</v>
      </c>
      <c r="K218">
        <v>217</v>
      </c>
      <c r="L218" t="s">
        <v>37</v>
      </c>
      <c r="M218" t="s">
        <v>105</v>
      </c>
    </row>
    <row r="219" spans="1:13" x14ac:dyDescent="0.3">
      <c r="A219">
        <v>13</v>
      </c>
      <c r="B219" t="s">
        <v>367</v>
      </c>
      <c r="C219">
        <v>3</v>
      </c>
      <c r="D219" s="1">
        <v>45018.018750000003</v>
      </c>
      <c r="E219" s="1">
        <v>45018.15347222222</v>
      </c>
      <c r="F219" t="s">
        <v>21</v>
      </c>
      <c r="G219" t="s">
        <v>22</v>
      </c>
      <c r="H219" t="s">
        <v>16</v>
      </c>
      <c r="I219">
        <v>2334</v>
      </c>
      <c r="J219" t="s">
        <v>24</v>
      </c>
      <c r="K219">
        <v>218</v>
      </c>
      <c r="L219" t="s">
        <v>49</v>
      </c>
      <c r="M219" t="s">
        <v>53</v>
      </c>
    </row>
    <row r="220" spans="1:13" x14ac:dyDescent="0.3">
      <c r="A220">
        <v>1</v>
      </c>
      <c r="B220" t="s">
        <v>204</v>
      </c>
      <c r="C220">
        <v>5</v>
      </c>
      <c r="D220" s="1">
        <v>45018.106249999997</v>
      </c>
      <c r="E220" s="1">
        <v>45018.200694444444</v>
      </c>
      <c r="F220" t="s">
        <v>52</v>
      </c>
      <c r="G220" t="s">
        <v>22</v>
      </c>
      <c r="H220" t="s">
        <v>16</v>
      </c>
      <c r="I220">
        <v>4696</v>
      </c>
      <c r="J220" t="s">
        <v>17</v>
      </c>
      <c r="K220">
        <v>219</v>
      </c>
      <c r="L220" t="s">
        <v>91</v>
      </c>
      <c r="M220" t="s">
        <v>89</v>
      </c>
    </row>
    <row r="221" spans="1:13" x14ac:dyDescent="0.3">
      <c r="A221">
        <v>15</v>
      </c>
      <c r="B221" t="s">
        <v>106</v>
      </c>
      <c r="C221">
        <v>6</v>
      </c>
      <c r="D221" s="1">
        <v>45018.042361111111</v>
      </c>
      <c r="E221" s="1">
        <v>45018.206250000003</v>
      </c>
      <c r="F221" t="s">
        <v>21</v>
      </c>
      <c r="G221" t="s">
        <v>22</v>
      </c>
      <c r="H221" t="s">
        <v>16</v>
      </c>
      <c r="I221">
        <v>485</v>
      </c>
      <c r="J221" t="s">
        <v>28</v>
      </c>
      <c r="K221">
        <v>220</v>
      </c>
      <c r="L221" t="s">
        <v>62</v>
      </c>
      <c r="M221" t="s">
        <v>75</v>
      </c>
    </row>
    <row r="222" spans="1:13" x14ac:dyDescent="0.3">
      <c r="A222">
        <v>16</v>
      </c>
      <c r="B222" t="s">
        <v>368</v>
      </c>
      <c r="C222">
        <v>1</v>
      </c>
      <c r="D222" s="1">
        <v>45018.07708333333</v>
      </c>
      <c r="E222" s="1">
        <v>45018.128472222219</v>
      </c>
      <c r="F222" t="s">
        <v>52</v>
      </c>
      <c r="G222" t="s">
        <v>22</v>
      </c>
      <c r="H222" t="s">
        <v>16</v>
      </c>
      <c r="I222">
        <v>1783</v>
      </c>
      <c r="J222" t="s">
        <v>17</v>
      </c>
      <c r="K222">
        <v>221</v>
      </c>
      <c r="L222" t="s">
        <v>33</v>
      </c>
      <c r="M222" t="s">
        <v>105</v>
      </c>
    </row>
    <row r="223" spans="1:13" x14ac:dyDescent="0.3">
      <c r="A223">
        <v>3</v>
      </c>
      <c r="B223" t="s">
        <v>369</v>
      </c>
      <c r="C223">
        <v>3</v>
      </c>
      <c r="D223" s="1">
        <v>45018.151388888888</v>
      </c>
      <c r="E223" s="1">
        <v>45018.279166666667</v>
      </c>
      <c r="F223" t="s">
        <v>21</v>
      </c>
      <c r="G223" t="s">
        <v>15</v>
      </c>
      <c r="H223" t="s">
        <v>36</v>
      </c>
      <c r="I223">
        <v>3258</v>
      </c>
      <c r="J223" t="s">
        <v>17</v>
      </c>
      <c r="K223">
        <v>222</v>
      </c>
      <c r="L223" t="s">
        <v>62</v>
      </c>
      <c r="M223" t="s">
        <v>89</v>
      </c>
    </row>
    <row r="224" spans="1:13" x14ac:dyDescent="0.3">
      <c r="A224">
        <v>19</v>
      </c>
      <c r="B224" t="s">
        <v>107</v>
      </c>
      <c r="C224">
        <v>2</v>
      </c>
      <c r="D224" s="1">
        <v>45018.052777777775</v>
      </c>
      <c r="E224" s="1">
        <v>45018.118055555555</v>
      </c>
      <c r="F224" t="s">
        <v>21</v>
      </c>
      <c r="G224" t="s">
        <v>15</v>
      </c>
      <c r="H224" t="s">
        <v>16</v>
      </c>
      <c r="I224">
        <v>4962</v>
      </c>
      <c r="J224" t="s">
        <v>28</v>
      </c>
      <c r="K224">
        <v>223</v>
      </c>
      <c r="L224" t="s">
        <v>49</v>
      </c>
      <c r="M224" t="s">
        <v>105</v>
      </c>
    </row>
    <row r="225" spans="1:13" x14ac:dyDescent="0.3">
      <c r="A225">
        <v>7</v>
      </c>
      <c r="B225" t="s">
        <v>108</v>
      </c>
      <c r="C225">
        <v>6</v>
      </c>
      <c r="D225" s="1">
        <v>45018.088194444441</v>
      </c>
      <c r="E225" s="1">
        <v>45018.240972222222</v>
      </c>
      <c r="F225" t="s">
        <v>52</v>
      </c>
      <c r="G225" t="s">
        <v>22</v>
      </c>
      <c r="H225" t="s">
        <v>16</v>
      </c>
      <c r="I225">
        <v>1761</v>
      </c>
      <c r="J225" t="s">
        <v>24</v>
      </c>
      <c r="K225">
        <v>224</v>
      </c>
      <c r="L225" t="s">
        <v>29</v>
      </c>
      <c r="M225" t="s">
        <v>71</v>
      </c>
    </row>
    <row r="226" spans="1:13" x14ac:dyDescent="0.3">
      <c r="A226">
        <v>19</v>
      </c>
      <c r="B226" t="s">
        <v>370</v>
      </c>
      <c r="C226">
        <v>4</v>
      </c>
      <c r="D226" s="1">
        <v>45018.009722222225</v>
      </c>
      <c r="E226" s="1">
        <v>45018.058333333334</v>
      </c>
      <c r="F226" t="s">
        <v>52</v>
      </c>
      <c r="G226" t="s">
        <v>48</v>
      </c>
      <c r="H226" t="s">
        <v>16</v>
      </c>
      <c r="I226">
        <v>3502</v>
      </c>
      <c r="J226" t="s">
        <v>28</v>
      </c>
      <c r="K226">
        <v>225</v>
      </c>
      <c r="L226" t="s">
        <v>18</v>
      </c>
      <c r="M226" t="s">
        <v>112</v>
      </c>
    </row>
    <row r="227" spans="1:13" x14ac:dyDescent="0.3">
      <c r="A227">
        <v>7</v>
      </c>
      <c r="B227" t="s">
        <v>371</v>
      </c>
      <c r="C227">
        <v>6</v>
      </c>
      <c r="D227" s="1">
        <v>45018.040277777778</v>
      </c>
      <c r="E227" s="1">
        <v>45018.17291666667</v>
      </c>
      <c r="F227" t="s">
        <v>73</v>
      </c>
      <c r="G227" t="s">
        <v>15</v>
      </c>
      <c r="H227" t="s">
        <v>16</v>
      </c>
      <c r="I227">
        <v>3948</v>
      </c>
      <c r="J227" t="s">
        <v>28</v>
      </c>
      <c r="K227">
        <v>226</v>
      </c>
      <c r="L227" t="s">
        <v>91</v>
      </c>
      <c r="M227" t="s">
        <v>66</v>
      </c>
    </row>
    <row r="228" spans="1:13" x14ac:dyDescent="0.3">
      <c r="A228">
        <v>17</v>
      </c>
      <c r="B228" t="s">
        <v>299</v>
      </c>
      <c r="C228">
        <v>6</v>
      </c>
      <c r="D228" s="1">
        <v>45018.075694444444</v>
      </c>
      <c r="E228" s="1">
        <v>45018.202777777777</v>
      </c>
      <c r="F228" t="s">
        <v>21</v>
      </c>
      <c r="G228" t="s">
        <v>22</v>
      </c>
      <c r="H228" t="s">
        <v>16</v>
      </c>
      <c r="I228">
        <v>4105</v>
      </c>
      <c r="J228" t="s">
        <v>17</v>
      </c>
      <c r="K228">
        <v>227</v>
      </c>
      <c r="L228" t="s">
        <v>33</v>
      </c>
      <c r="M228" t="s">
        <v>75</v>
      </c>
    </row>
    <row r="229" spans="1:13" x14ac:dyDescent="0.3">
      <c r="A229">
        <v>16</v>
      </c>
      <c r="B229" t="s">
        <v>109</v>
      </c>
      <c r="C229">
        <v>4</v>
      </c>
      <c r="D229" s="1">
        <v>45018.069444444445</v>
      </c>
      <c r="E229" s="1">
        <v>45018.168055555558</v>
      </c>
      <c r="F229" t="s">
        <v>52</v>
      </c>
      <c r="G229" t="s">
        <v>22</v>
      </c>
      <c r="H229" t="s">
        <v>16</v>
      </c>
      <c r="I229">
        <v>1066</v>
      </c>
      <c r="J229" t="s">
        <v>24</v>
      </c>
      <c r="K229">
        <v>228</v>
      </c>
      <c r="L229" t="s">
        <v>62</v>
      </c>
      <c r="M229" t="s">
        <v>89</v>
      </c>
    </row>
    <row r="230" spans="1:13" x14ac:dyDescent="0.3">
      <c r="A230">
        <v>14</v>
      </c>
      <c r="B230" t="s">
        <v>372</v>
      </c>
      <c r="C230">
        <v>3</v>
      </c>
      <c r="D230" s="1">
        <v>45018.106944444444</v>
      </c>
      <c r="E230" s="1">
        <v>45018.1875</v>
      </c>
      <c r="F230" t="s">
        <v>32</v>
      </c>
      <c r="G230" t="s">
        <v>15</v>
      </c>
      <c r="H230" t="s">
        <v>16</v>
      </c>
      <c r="I230">
        <v>2858</v>
      </c>
      <c r="J230" t="s">
        <v>28</v>
      </c>
      <c r="K230">
        <v>229</v>
      </c>
      <c r="L230" t="s">
        <v>29</v>
      </c>
      <c r="M230" t="s">
        <v>60</v>
      </c>
    </row>
    <row r="231" spans="1:13" x14ac:dyDescent="0.3">
      <c r="A231">
        <v>5</v>
      </c>
      <c r="B231" t="s">
        <v>266</v>
      </c>
      <c r="C231">
        <v>5</v>
      </c>
      <c r="D231" s="1">
        <v>45018.09375</v>
      </c>
      <c r="E231" s="1">
        <v>45018.2</v>
      </c>
      <c r="F231" t="s">
        <v>32</v>
      </c>
      <c r="G231" t="s">
        <v>22</v>
      </c>
      <c r="H231" t="s">
        <v>16</v>
      </c>
      <c r="I231">
        <v>1584</v>
      </c>
      <c r="J231" t="s">
        <v>17</v>
      </c>
      <c r="K231">
        <v>230</v>
      </c>
      <c r="L231" t="s">
        <v>91</v>
      </c>
      <c r="M231" t="s">
        <v>105</v>
      </c>
    </row>
    <row r="232" spans="1:13" x14ac:dyDescent="0.3">
      <c r="A232">
        <v>8</v>
      </c>
      <c r="B232" t="s">
        <v>373</v>
      </c>
      <c r="C232">
        <v>2</v>
      </c>
      <c r="D232" s="1">
        <v>45018.05</v>
      </c>
      <c r="E232" s="1">
        <v>45018.131944444445</v>
      </c>
      <c r="F232" t="s">
        <v>32</v>
      </c>
      <c r="G232" t="s">
        <v>22</v>
      </c>
      <c r="H232" t="s">
        <v>16</v>
      </c>
      <c r="I232">
        <v>491</v>
      </c>
      <c r="J232" t="s">
        <v>24</v>
      </c>
      <c r="K232">
        <v>231</v>
      </c>
      <c r="L232" t="s">
        <v>18</v>
      </c>
      <c r="M232" t="s">
        <v>42</v>
      </c>
    </row>
    <row r="233" spans="1:13" x14ac:dyDescent="0.3">
      <c r="A233">
        <v>2</v>
      </c>
      <c r="B233" t="s">
        <v>374</v>
      </c>
      <c r="C233">
        <v>2</v>
      </c>
      <c r="D233" s="1">
        <v>45018.086111111108</v>
      </c>
      <c r="E233" s="1">
        <v>45018.142361111109</v>
      </c>
      <c r="F233" t="s">
        <v>73</v>
      </c>
      <c r="G233" t="s">
        <v>22</v>
      </c>
      <c r="H233" t="s">
        <v>16</v>
      </c>
      <c r="I233">
        <v>1543</v>
      </c>
      <c r="J233" t="s">
        <v>28</v>
      </c>
      <c r="K233">
        <v>232</v>
      </c>
      <c r="L233" t="s">
        <v>49</v>
      </c>
      <c r="M233" t="s">
        <v>75</v>
      </c>
    </row>
    <row r="234" spans="1:13" x14ac:dyDescent="0.3">
      <c r="A234">
        <v>8</v>
      </c>
      <c r="B234" t="s">
        <v>110</v>
      </c>
      <c r="C234">
        <v>1</v>
      </c>
      <c r="D234" s="1">
        <v>45018.036111111112</v>
      </c>
      <c r="E234" s="1">
        <v>45018.11041666667</v>
      </c>
      <c r="F234" t="s">
        <v>32</v>
      </c>
      <c r="G234" t="s">
        <v>48</v>
      </c>
      <c r="H234" t="s">
        <v>36</v>
      </c>
      <c r="I234">
        <v>4564</v>
      </c>
      <c r="J234" t="s">
        <v>17</v>
      </c>
      <c r="K234">
        <v>233</v>
      </c>
      <c r="L234" t="s">
        <v>49</v>
      </c>
      <c r="M234" t="s">
        <v>53</v>
      </c>
    </row>
    <row r="235" spans="1:13" x14ac:dyDescent="0.3">
      <c r="A235">
        <v>17</v>
      </c>
      <c r="B235" t="s">
        <v>375</v>
      </c>
      <c r="C235">
        <v>6</v>
      </c>
      <c r="D235" s="1">
        <v>45018.115277777775</v>
      </c>
      <c r="E235" s="1">
        <v>45018.227777777778</v>
      </c>
      <c r="F235" t="s">
        <v>52</v>
      </c>
      <c r="G235" t="s">
        <v>48</v>
      </c>
      <c r="H235" t="s">
        <v>16</v>
      </c>
      <c r="I235">
        <v>1022</v>
      </c>
      <c r="J235" t="s">
        <v>17</v>
      </c>
      <c r="K235">
        <v>234</v>
      </c>
      <c r="L235" t="s">
        <v>25</v>
      </c>
      <c r="M235" t="s">
        <v>40</v>
      </c>
    </row>
    <row r="236" spans="1:13" x14ac:dyDescent="0.3">
      <c r="A236">
        <v>13</v>
      </c>
      <c r="B236" t="s">
        <v>111</v>
      </c>
      <c r="C236">
        <v>5</v>
      </c>
      <c r="D236" s="1">
        <v>45018.015277777777</v>
      </c>
      <c r="E236" s="1">
        <v>45018.116666666669</v>
      </c>
      <c r="F236" t="s">
        <v>52</v>
      </c>
      <c r="G236" t="s">
        <v>15</v>
      </c>
      <c r="H236" t="s">
        <v>16</v>
      </c>
      <c r="I236">
        <v>2637</v>
      </c>
      <c r="J236" t="s">
        <v>28</v>
      </c>
      <c r="K236">
        <v>235</v>
      </c>
      <c r="L236" t="s">
        <v>59</v>
      </c>
      <c r="M236" t="s">
        <v>112</v>
      </c>
    </row>
    <row r="237" spans="1:13" x14ac:dyDescent="0.3">
      <c r="A237">
        <v>12</v>
      </c>
      <c r="B237" t="s">
        <v>376</v>
      </c>
      <c r="C237">
        <v>2</v>
      </c>
      <c r="D237" s="1">
        <v>45018.036111111112</v>
      </c>
      <c r="E237" s="1">
        <v>45018.101388888892</v>
      </c>
      <c r="F237" t="s">
        <v>52</v>
      </c>
      <c r="G237" t="s">
        <v>22</v>
      </c>
      <c r="H237" t="s">
        <v>16</v>
      </c>
      <c r="I237">
        <v>3981</v>
      </c>
      <c r="J237" t="s">
        <v>17</v>
      </c>
      <c r="K237">
        <v>236</v>
      </c>
      <c r="L237" t="s">
        <v>49</v>
      </c>
      <c r="M237" t="s">
        <v>112</v>
      </c>
    </row>
    <row r="238" spans="1:13" x14ac:dyDescent="0.3">
      <c r="A238">
        <v>4</v>
      </c>
      <c r="B238" t="s">
        <v>346</v>
      </c>
      <c r="C238">
        <v>6</v>
      </c>
      <c r="D238" s="1">
        <v>45018.114583333336</v>
      </c>
      <c r="E238" s="1">
        <v>45018.25</v>
      </c>
      <c r="F238" t="s">
        <v>32</v>
      </c>
      <c r="G238" t="s">
        <v>22</v>
      </c>
      <c r="H238" t="s">
        <v>16</v>
      </c>
      <c r="I238">
        <v>1315</v>
      </c>
      <c r="J238" t="s">
        <v>24</v>
      </c>
      <c r="K238">
        <v>237</v>
      </c>
      <c r="L238" t="s">
        <v>18</v>
      </c>
      <c r="M238" t="s">
        <v>89</v>
      </c>
    </row>
    <row r="239" spans="1:13" x14ac:dyDescent="0.3">
      <c r="A239">
        <v>13</v>
      </c>
      <c r="B239" t="s">
        <v>113</v>
      </c>
      <c r="C239">
        <v>6</v>
      </c>
      <c r="D239" s="1">
        <v>45018.095138888886</v>
      </c>
      <c r="E239" s="1">
        <v>45018.205555555556</v>
      </c>
      <c r="F239" t="s">
        <v>32</v>
      </c>
      <c r="G239" t="s">
        <v>48</v>
      </c>
      <c r="H239" t="s">
        <v>16</v>
      </c>
      <c r="I239">
        <v>3302</v>
      </c>
      <c r="J239" t="s">
        <v>17</v>
      </c>
      <c r="K239">
        <v>238</v>
      </c>
      <c r="L239" t="s">
        <v>25</v>
      </c>
      <c r="M239" t="s">
        <v>44</v>
      </c>
    </row>
    <row r="240" spans="1:13" x14ac:dyDescent="0.3">
      <c r="A240">
        <v>12</v>
      </c>
      <c r="B240" t="s">
        <v>377</v>
      </c>
      <c r="C240">
        <v>6</v>
      </c>
      <c r="D240" s="1">
        <v>45018.115277777775</v>
      </c>
      <c r="E240" s="1">
        <v>45018.254861111112</v>
      </c>
      <c r="F240" t="s">
        <v>14</v>
      </c>
      <c r="G240" t="s">
        <v>22</v>
      </c>
      <c r="H240" t="s">
        <v>23</v>
      </c>
      <c r="I240">
        <v>1176</v>
      </c>
      <c r="J240" t="s">
        <v>28</v>
      </c>
      <c r="K240">
        <v>239</v>
      </c>
      <c r="L240" t="s">
        <v>25</v>
      </c>
      <c r="M240" t="s">
        <v>71</v>
      </c>
    </row>
    <row r="241" spans="1:13" x14ac:dyDescent="0.3">
      <c r="A241">
        <v>9</v>
      </c>
      <c r="B241" t="s">
        <v>378</v>
      </c>
      <c r="C241">
        <v>1</v>
      </c>
      <c r="D241" s="1">
        <v>45018.011111111111</v>
      </c>
      <c r="E241" s="1">
        <v>45018.131944444445</v>
      </c>
      <c r="F241" t="s">
        <v>52</v>
      </c>
      <c r="G241" t="s">
        <v>22</v>
      </c>
      <c r="H241" t="s">
        <v>36</v>
      </c>
      <c r="I241">
        <v>3381</v>
      </c>
      <c r="J241" t="s">
        <v>17</v>
      </c>
      <c r="K241">
        <v>240</v>
      </c>
      <c r="L241" t="s">
        <v>18</v>
      </c>
      <c r="M241" t="s">
        <v>56</v>
      </c>
    </row>
    <row r="242" spans="1:13" x14ac:dyDescent="0.3">
      <c r="A242">
        <v>12</v>
      </c>
      <c r="B242" t="s">
        <v>114</v>
      </c>
      <c r="C242">
        <v>4</v>
      </c>
      <c r="D242" s="1">
        <v>45018.00277777778</v>
      </c>
      <c r="E242" s="1">
        <v>45018.044444444444</v>
      </c>
      <c r="F242" t="s">
        <v>21</v>
      </c>
      <c r="G242" t="s">
        <v>22</v>
      </c>
      <c r="H242" t="s">
        <v>16</v>
      </c>
      <c r="I242">
        <v>3897</v>
      </c>
      <c r="J242" t="s">
        <v>24</v>
      </c>
      <c r="K242">
        <v>241</v>
      </c>
      <c r="L242" t="s">
        <v>25</v>
      </c>
      <c r="M242" t="s">
        <v>46</v>
      </c>
    </row>
    <row r="243" spans="1:13" x14ac:dyDescent="0.3">
      <c r="A243">
        <v>12</v>
      </c>
      <c r="B243" t="s">
        <v>379</v>
      </c>
      <c r="C243">
        <v>2</v>
      </c>
      <c r="D243" s="1">
        <v>45018.154166666667</v>
      </c>
      <c r="E243" s="1">
        <v>45018.214583333334</v>
      </c>
      <c r="F243" t="s">
        <v>32</v>
      </c>
      <c r="G243" t="s">
        <v>22</v>
      </c>
      <c r="H243" t="s">
        <v>16</v>
      </c>
      <c r="I243">
        <v>3129</v>
      </c>
      <c r="J243" t="s">
        <v>28</v>
      </c>
      <c r="K243">
        <v>242</v>
      </c>
      <c r="L243" t="s">
        <v>91</v>
      </c>
      <c r="M243" t="s">
        <v>71</v>
      </c>
    </row>
    <row r="244" spans="1:13" x14ac:dyDescent="0.3">
      <c r="A244">
        <v>4</v>
      </c>
      <c r="B244" t="s">
        <v>115</v>
      </c>
      <c r="C244">
        <v>4</v>
      </c>
      <c r="D244" s="1">
        <v>45018.029166666667</v>
      </c>
      <c r="E244" s="1">
        <v>45018.174305555556</v>
      </c>
      <c r="F244" t="s">
        <v>32</v>
      </c>
      <c r="G244" t="s">
        <v>22</v>
      </c>
      <c r="H244" t="s">
        <v>16</v>
      </c>
      <c r="I244">
        <v>2145</v>
      </c>
      <c r="J244" t="s">
        <v>17</v>
      </c>
      <c r="K244">
        <v>243</v>
      </c>
      <c r="L244" t="s">
        <v>59</v>
      </c>
      <c r="M244" t="s">
        <v>34</v>
      </c>
    </row>
    <row r="245" spans="1:13" x14ac:dyDescent="0.3">
      <c r="A245">
        <v>17</v>
      </c>
      <c r="B245" t="s">
        <v>276</v>
      </c>
      <c r="C245">
        <v>6</v>
      </c>
      <c r="D245" s="1">
        <v>45018.155555555553</v>
      </c>
      <c r="E245" s="1">
        <v>45018.250694444447</v>
      </c>
      <c r="F245" t="s">
        <v>52</v>
      </c>
      <c r="G245" t="s">
        <v>22</v>
      </c>
      <c r="H245" t="s">
        <v>23</v>
      </c>
      <c r="I245">
        <v>1765</v>
      </c>
      <c r="J245" t="s">
        <v>28</v>
      </c>
      <c r="K245">
        <v>244</v>
      </c>
      <c r="L245" t="s">
        <v>18</v>
      </c>
      <c r="M245" t="s">
        <v>34</v>
      </c>
    </row>
    <row r="246" spans="1:13" x14ac:dyDescent="0.3">
      <c r="A246">
        <v>11</v>
      </c>
      <c r="B246" t="s">
        <v>380</v>
      </c>
      <c r="C246">
        <v>1</v>
      </c>
      <c r="D246" s="1">
        <v>45018.146527777775</v>
      </c>
      <c r="E246" s="1">
        <v>45018.289583333331</v>
      </c>
      <c r="F246" t="s">
        <v>73</v>
      </c>
      <c r="G246" t="s">
        <v>22</v>
      </c>
      <c r="H246" t="s">
        <v>16</v>
      </c>
      <c r="I246">
        <v>1482</v>
      </c>
      <c r="J246" t="s">
        <v>28</v>
      </c>
      <c r="K246">
        <v>245</v>
      </c>
      <c r="L246" t="s">
        <v>29</v>
      </c>
      <c r="M246" t="s">
        <v>46</v>
      </c>
    </row>
    <row r="247" spans="1:13" x14ac:dyDescent="0.3">
      <c r="A247">
        <v>2</v>
      </c>
      <c r="B247" t="s">
        <v>379</v>
      </c>
      <c r="C247">
        <v>6</v>
      </c>
      <c r="D247" s="1">
        <v>45018.076388888891</v>
      </c>
      <c r="E247" s="1">
        <v>45018.17291666667</v>
      </c>
      <c r="F247" t="s">
        <v>32</v>
      </c>
      <c r="G247" t="s">
        <v>22</v>
      </c>
      <c r="H247" t="s">
        <v>16</v>
      </c>
      <c r="I247">
        <v>4275</v>
      </c>
      <c r="J247" t="s">
        <v>17</v>
      </c>
      <c r="K247">
        <v>246</v>
      </c>
      <c r="L247" t="s">
        <v>29</v>
      </c>
      <c r="M247" t="s">
        <v>50</v>
      </c>
    </row>
    <row r="248" spans="1:13" x14ac:dyDescent="0.3">
      <c r="A248">
        <v>11</v>
      </c>
      <c r="B248" t="s">
        <v>116</v>
      </c>
      <c r="C248">
        <v>6</v>
      </c>
      <c r="D248" s="1">
        <v>45018.106944444444</v>
      </c>
      <c r="E248" s="1">
        <v>45018.222916666666</v>
      </c>
      <c r="F248" t="s">
        <v>32</v>
      </c>
      <c r="G248" t="s">
        <v>22</v>
      </c>
      <c r="H248" t="s">
        <v>16</v>
      </c>
      <c r="I248">
        <v>4907</v>
      </c>
      <c r="J248" t="s">
        <v>24</v>
      </c>
      <c r="K248">
        <v>247</v>
      </c>
      <c r="L248" t="s">
        <v>62</v>
      </c>
      <c r="M248" t="s">
        <v>112</v>
      </c>
    </row>
    <row r="249" spans="1:13" x14ac:dyDescent="0.3">
      <c r="A249">
        <v>12</v>
      </c>
      <c r="B249" t="s">
        <v>381</v>
      </c>
      <c r="C249">
        <v>6</v>
      </c>
      <c r="D249" s="1">
        <v>45018.018055555556</v>
      </c>
      <c r="E249" s="1">
        <v>45018.095833333333</v>
      </c>
      <c r="F249" t="s">
        <v>32</v>
      </c>
      <c r="G249" t="s">
        <v>22</v>
      </c>
      <c r="H249" t="s">
        <v>36</v>
      </c>
      <c r="I249">
        <v>1869</v>
      </c>
      <c r="J249" t="s">
        <v>24</v>
      </c>
      <c r="K249">
        <v>248</v>
      </c>
      <c r="L249" t="s">
        <v>33</v>
      </c>
      <c r="M249" t="s">
        <v>38</v>
      </c>
    </row>
    <row r="250" spans="1:13" x14ac:dyDescent="0.3">
      <c r="A250">
        <v>8</v>
      </c>
      <c r="B250" t="s">
        <v>382</v>
      </c>
      <c r="C250">
        <v>6</v>
      </c>
      <c r="D250" s="1">
        <v>45018.040277777778</v>
      </c>
      <c r="E250" s="1">
        <v>45018.163194444445</v>
      </c>
      <c r="F250" t="s">
        <v>32</v>
      </c>
      <c r="G250" t="s">
        <v>15</v>
      </c>
      <c r="H250" t="s">
        <v>16</v>
      </c>
      <c r="I250">
        <v>4771</v>
      </c>
      <c r="J250" t="s">
        <v>24</v>
      </c>
      <c r="K250">
        <v>249</v>
      </c>
      <c r="L250" t="s">
        <v>59</v>
      </c>
      <c r="M250" t="s">
        <v>92</v>
      </c>
    </row>
    <row r="251" spans="1:13" x14ac:dyDescent="0.3">
      <c r="A251">
        <v>8</v>
      </c>
      <c r="B251" t="s">
        <v>117</v>
      </c>
      <c r="C251">
        <v>2</v>
      </c>
      <c r="D251" s="1">
        <v>45018.12222222222</v>
      </c>
      <c r="E251" s="1">
        <v>45018.272916666669</v>
      </c>
      <c r="F251" t="s">
        <v>14</v>
      </c>
      <c r="G251" t="s">
        <v>22</v>
      </c>
      <c r="H251" t="s">
        <v>16</v>
      </c>
      <c r="I251">
        <v>2321</v>
      </c>
      <c r="J251" t="s">
        <v>17</v>
      </c>
      <c r="K251">
        <v>250</v>
      </c>
      <c r="L251" t="s">
        <v>59</v>
      </c>
      <c r="M251" t="s">
        <v>66</v>
      </c>
    </row>
    <row r="252" spans="1:13" x14ac:dyDescent="0.3">
      <c r="A252">
        <v>12</v>
      </c>
      <c r="B252" t="s">
        <v>383</v>
      </c>
      <c r="C252">
        <v>6</v>
      </c>
      <c r="D252" s="1">
        <v>45018.055555555555</v>
      </c>
      <c r="E252" s="1">
        <v>45018.183333333334</v>
      </c>
      <c r="F252" t="s">
        <v>73</v>
      </c>
      <c r="G252" t="s">
        <v>22</v>
      </c>
      <c r="H252" t="s">
        <v>16</v>
      </c>
      <c r="I252">
        <v>1369</v>
      </c>
      <c r="J252" t="s">
        <v>24</v>
      </c>
      <c r="K252">
        <v>251</v>
      </c>
      <c r="L252" t="s">
        <v>55</v>
      </c>
      <c r="M252" t="s">
        <v>71</v>
      </c>
    </row>
    <row r="253" spans="1:13" x14ac:dyDescent="0.3">
      <c r="A253">
        <v>4</v>
      </c>
      <c r="B253" t="s">
        <v>384</v>
      </c>
      <c r="C253">
        <v>3</v>
      </c>
      <c r="D253" s="1">
        <v>45018.027083333334</v>
      </c>
      <c r="E253" s="1">
        <v>45018.183333333334</v>
      </c>
      <c r="F253" t="s">
        <v>14</v>
      </c>
      <c r="G253" t="s">
        <v>22</v>
      </c>
      <c r="H253" t="s">
        <v>16</v>
      </c>
      <c r="I253">
        <v>4381</v>
      </c>
      <c r="J253" t="s">
        <v>17</v>
      </c>
      <c r="K253">
        <v>252</v>
      </c>
      <c r="L253" t="s">
        <v>37</v>
      </c>
      <c r="M253" t="s">
        <v>60</v>
      </c>
    </row>
    <row r="254" spans="1:13" x14ac:dyDescent="0.3">
      <c r="A254">
        <v>8</v>
      </c>
      <c r="B254" t="s">
        <v>385</v>
      </c>
      <c r="C254">
        <v>2</v>
      </c>
      <c r="D254" s="1">
        <v>45018.037499999999</v>
      </c>
      <c r="E254" s="1">
        <v>45018.15625</v>
      </c>
      <c r="F254" t="s">
        <v>52</v>
      </c>
      <c r="G254" t="s">
        <v>15</v>
      </c>
      <c r="H254" t="s">
        <v>16</v>
      </c>
      <c r="I254">
        <v>3469</v>
      </c>
      <c r="J254" t="s">
        <v>24</v>
      </c>
      <c r="K254">
        <v>253</v>
      </c>
      <c r="L254" t="s">
        <v>49</v>
      </c>
      <c r="M254" t="s">
        <v>60</v>
      </c>
    </row>
    <row r="255" spans="1:13" x14ac:dyDescent="0.3">
      <c r="A255">
        <v>10</v>
      </c>
      <c r="B255" t="s">
        <v>171</v>
      </c>
      <c r="C255">
        <v>6</v>
      </c>
      <c r="D255" s="1">
        <v>45018.128472222219</v>
      </c>
      <c r="E255" s="1">
        <v>45018.240972222222</v>
      </c>
      <c r="F255" t="s">
        <v>73</v>
      </c>
      <c r="G255" t="s">
        <v>15</v>
      </c>
      <c r="H255" t="s">
        <v>16</v>
      </c>
      <c r="I255">
        <v>3643</v>
      </c>
      <c r="J255" t="s">
        <v>28</v>
      </c>
      <c r="K255">
        <v>254</v>
      </c>
      <c r="L255" t="s">
        <v>70</v>
      </c>
      <c r="M255" t="s">
        <v>56</v>
      </c>
    </row>
    <row r="256" spans="1:13" x14ac:dyDescent="0.3">
      <c r="A256">
        <v>8</v>
      </c>
      <c r="B256" t="s">
        <v>118</v>
      </c>
      <c r="C256">
        <v>4</v>
      </c>
      <c r="D256" s="1">
        <v>45018.099305555559</v>
      </c>
      <c r="E256" s="1">
        <v>45018.165972222225</v>
      </c>
      <c r="F256" t="s">
        <v>32</v>
      </c>
      <c r="G256" t="s">
        <v>15</v>
      </c>
      <c r="H256" t="s">
        <v>23</v>
      </c>
      <c r="I256">
        <v>1334</v>
      </c>
      <c r="J256" t="s">
        <v>28</v>
      </c>
      <c r="K256">
        <v>255</v>
      </c>
      <c r="L256" t="s">
        <v>55</v>
      </c>
      <c r="M256" t="s">
        <v>60</v>
      </c>
    </row>
    <row r="257" spans="1:13" x14ac:dyDescent="0.3">
      <c r="A257">
        <v>5</v>
      </c>
      <c r="B257" t="s">
        <v>119</v>
      </c>
      <c r="C257">
        <v>2</v>
      </c>
      <c r="D257" s="1">
        <v>45018.015972222223</v>
      </c>
      <c r="E257" s="1">
        <v>45018.143750000003</v>
      </c>
      <c r="F257" t="s">
        <v>21</v>
      </c>
      <c r="G257" t="s">
        <v>48</v>
      </c>
      <c r="H257" t="s">
        <v>23</v>
      </c>
      <c r="I257">
        <v>4988</v>
      </c>
      <c r="J257" t="s">
        <v>28</v>
      </c>
      <c r="K257">
        <v>256</v>
      </c>
      <c r="L257" t="s">
        <v>49</v>
      </c>
      <c r="M257" t="s">
        <v>42</v>
      </c>
    </row>
    <row r="258" spans="1:13" x14ac:dyDescent="0.3">
      <c r="A258">
        <v>12</v>
      </c>
      <c r="B258" t="s">
        <v>120</v>
      </c>
      <c r="C258">
        <v>5</v>
      </c>
      <c r="D258" s="1">
        <v>45018.088888888888</v>
      </c>
      <c r="E258" s="1">
        <v>45018.136805555558</v>
      </c>
      <c r="F258" t="s">
        <v>32</v>
      </c>
      <c r="G258" t="s">
        <v>22</v>
      </c>
      <c r="H258" t="s">
        <v>16</v>
      </c>
      <c r="I258">
        <v>2678</v>
      </c>
      <c r="J258" t="s">
        <v>28</v>
      </c>
      <c r="K258">
        <v>257</v>
      </c>
      <c r="L258" t="s">
        <v>62</v>
      </c>
      <c r="M258" t="s">
        <v>89</v>
      </c>
    </row>
    <row r="259" spans="1:13" x14ac:dyDescent="0.3">
      <c r="A259">
        <v>12</v>
      </c>
      <c r="B259" t="s">
        <v>386</v>
      </c>
      <c r="C259">
        <v>1</v>
      </c>
      <c r="D259" s="1">
        <v>45018.027083333334</v>
      </c>
      <c r="E259" s="1">
        <v>45018.188888888886</v>
      </c>
      <c r="F259" t="s">
        <v>32</v>
      </c>
      <c r="G259" t="s">
        <v>48</v>
      </c>
      <c r="H259" t="s">
        <v>16</v>
      </c>
      <c r="I259">
        <v>4799</v>
      </c>
      <c r="J259" t="s">
        <v>28</v>
      </c>
      <c r="K259">
        <v>258</v>
      </c>
      <c r="L259" t="s">
        <v>29</v>
      </c>
      <c r="M259" t="s">
        <v>60</v>
      </c>
    </row>
    <row r="260" spans="1:13" x14ac:dyDescent="0.3">
      <c r="A260">
        <v>10</v>
      </c>
      <c r="B260" t="s">
        <v>121</v>
      </c>
      <c r="C260">
        <v>5</v>
      </c>
      <c r="D260" s="1">
        <v>45018.143750000003</v>
      </c>
      <c r="E260" s="1">
        <v>45018.261111111111</v>
      </c>
      <c r="F260" t="s">
        <v>73</v>
      </c>
      <c r="G260" t="s">
        <v>22</v>
      </c>
      <c r="H260" t="s">
        <v>16</v>
      </c>
      <c r="I260">
        <v>4672</v>
      </c>
      <c r="J260" t="s">
        <v>24</v>
      </c>
      <c r="K260">
        <v>259</v>
      </c>
      <c r="L260" t="s">
        <v>91</v>
      </c>
      <c r="M260" t="s">
        <v>50</v>
      </c>
    </row>
    <row r="261" spans="1:13" x14ac:dyDescent="0.3">
      <c r="A261">
        <v>20</v>
      </c>
      <c r="B261" t="s">
        <v>122</v>
      </c>
      <c r="C261">
        <v>6</v>
      </c>
      <c r="D261" s="1">
        <v>45018.057638888888</v>
      </c>
      <c r="E261" s="1">
        <v>45018.193055555559</v>
      </c>
      <c r="F261" t="s">
        <v>21</v>
      </c>
      <c r="G261" t="s">
        <v>22</v>
      </c>
      <c r="H261" t="s">
        <v>23</v>
      </c>
      <c r="I261">
        <v>4755</v>
      </c>
      <c r="J261" t="s">
        <v>24</v>
      </c>
      <c r="K261">
        <v>260</v>
      </c>
      <c r="L261" t="s">
        <v>55</v>
      </c>
      <c r="M261" t="s">
        <v>89</v>
      </c>
    </row>
    <row r="262" spans="1:13" x14ac:dyDescent="0.3">
      <c r="A262">
        <v>8</v>
      </c>
      <c r="B262" t="s">
        <v>387</v>
      </c>
      <c r="C262">
        <v>1</v>
      </c>
      <c r="D262" s="1">
        <v>45018.047222222223</v>
      </c>
      <c r="E262" s="1">
        <v>45018.121527777781</v>
      </c>
      <c r="F262" t="s">
        <v>14</v>
      </c>
      <c r="G262" t="s">
        <v>22</v>
      </c>
      <c r="H262" t="s">
        <v>16</v>
      </c>
      <c r="I262">
        <v>3242</v>
      </c>
      <c r="J262" t="s">
        <v>24</v>
      </c>
      <c r="K262">
        <v>261</v>
      </c>
      <c r="L262" t="s">
        <v>33</v>
      </c>
      <c r="M262" t="s">
        <v>105</v>
      </c>
    </row>
    <row r="263" spans="1:13" x14ac:dyDescent="0.3">
      <c r="A263">
        <v>18</v>
      </c>
      <c r="B263" t="s">
        <v>388</v>
      </c>
      <c r="C263">
        <v>4</v>
      </c>
      <c r="D263" s="1">
        <v>45018.155555555553</v>
      </c>
      <c r="E263" s="1">
        <v>45018.306250000001</v>
      </c>
      <c r="F263" t="s">
        <v>32</v>
      </c>
      <c r="G263" t="s">
        <v>22</v>
      </c>
      <c r="H263" t="s">
        <v>16</v>
      </c>
      <c r="I263">
        <v>4283</v>
      </c>
      <c r="J263" t="s">
        <v>24</v>
      </c>
      <c r="K263">
        <v>262</v>
      </c>
      <c r="L263" t="s">
        <v>91</v>
      </c>
      <c r="M263" t="s">
        <v>92</v>
      </c>
    </row>
    <row r="264" spans="1:13" x14ac:dyDescent="0.3">
      <c r="A264">
        <v>5</v>
      </c>
      <c r="B264" t="s">
        <v>318</v>
      </c>
      <c r="C264">
        <v>1</v>
      </c>
      <c r="D264" s="1">
        <v>45018.120138888888</v>
      </c>
      <c r="E264" s="1">
        <v>45018.226388888892</v>
      </c>
      <c r="F264" t="s">
        <v>73</v>
      </c>
      <c r="G264" t="s">
        <v>48</v>
      </c>
      <c r="H264" t="s">
        <v>16</v>
      </c>
      <c r="I264">
        <v>4296</v>
      </c>
      <c r="J264" t="s">
        <v>17</v>
      </c>
      <c r="K264">
        <v>263</v>
      </c>
      <c r="L264" t="s">
        <v>55</v>
      </c>
      <c r="M264" t="s">
        <v>105</v>
      </c>
    </row>
    <row r="265" spans="1:13" x14ac:dyDescent="0.3">
      <c r="A265">
        <v>2</v>
      </c>
      <c r="B265" t="s">
        <v>389</v>
      </c>
      <c r="C265">
        <v>1</v>
      </c>
      <c r="D265" s="1">
        <v>45018.132638888892</v>
      </c>
      <c r="E265" s="1">
        <v>45018.18472222222</v>
      </c>
      <c r="F265" t="s">
        <v>73</v>
      </c>
      <c r="G265" t="s">
        <v>22</v>
      </c>
      <c r="H265" t="s">
        <v>16</v>
      </c>
      <c r="I265">
        <v>4921</v>
      </c>
      <c r="J265" t="s">
        <v>17</v>
      </c>
      <c r="K265">
        <v>264</v>
      </c>
      <c r="L265" t="s">
        <v>29</v>
      </c>
      <c r="M265" t="s">
        <v>19</v>
      </c>
    </row>
    <row r="266" spans="1:13" x14ac:dyDescent="0.3">
      <c r="A266">
        <v>6</v>
      </c>
      <c r="B266" t="s">
        <v>390</v>
      </c>
      <c r="C266">
        <v>1</v>
      </c>
      <c r="D266" s="1">
        <v>45018.120833333334</v>
      </c>
      <c r="E266" s="1">
        <v>45018.260416666664</v>
      </c>
      <c r="F266" t="s">
        <v>32</v>
      </c>
      <c r="G266" t="s">
        <v>48</v>
      </c>
      <c r="H266" t="s">
        <v>36</v>
      </c>
      <c r="I266">
        <v>2148</v>
      </c>
      <c r="J266" t="s">
        <v>17</v>
      </c>
      <c r="K266">
        <v>265</v>
      </c>
      <c r="L266" t="s">
        <v>33</v>
      </c>
      <c r="M266" t="s">
        <v>89</v>
      </c>
    </row>
    <row r="267" spans="1:13" x14ac:dyDescent="0.3">
      <c r="A267">
        <v>4</v>
      </c>
      <c r="B267" t="s">
        <v>391</v>
      </c>
      <c r="C267">
        <v>4</v>
      </c>
      <c r="D267" s="1">
        <v>45018.020833333336</v>
      </c>
      <c r="E267" s="1">
        <v>45018.086111111108</v>
      </c>
      <c r="F267" t="s">
        <v>32</v>
      </c>
      <c r="G267" t="s">
        <v>22</v>
      </c>
      <c r="H267" t="s">
        <v>16</v>
      </c>
      <c r="I267">
        <v>2475</v>
      </c>
      <c r="J267" t="s">
        <v>28</v>
      </c>
      <c r="K267">
        <v>266</v>
      </c>
      <c r="L267" t="s">
        <v>70</v>
      </c>
      <c r="M267" t="s">
        <v>75</v>
      </c>
    </row>
    <row r="268" spans="1:13" x14ac:dyDescent="0.3">
      <c r="A268">
        <v>7</v>
      </c>
      <c r="B268" t="s">
        <v>392</v>
      </c>
      <c r="C268">
        <v>5</v>
      </c>
      <c r="D268" s="1">
        <v>45019.088194444441</v>
      </c>
      <c r="E268" s="1">
        <v>45019.158333333333</v>
      </c>
      <c r="F268" t="s">
        <v>32</v>
      </c>
      <c r="G268" t="s">
        <v>15</v>
      </c>
      <c r="H268" t="s">
        <v>16</v>
      </c>
      <c r="I268">
        <v>4466</v>
      </c>
      <c r="J268" t="s">
        <v>24</v>
      </c>
      <c r="K268">
        <v>267</v>
      </c>
      <c r="L268" t="s">
        <v>59</v>
      </c>
      <c r="M268" t="s">
        <v>105</v>
      </c>
    </row>
    <row r="269" spans="1:13" x14ac:dyDescent="0.3">
      <c r="A269">
        <v>14</v>
      </c>
      <c r="B269" t="s">
        <v>393</v>
      </c>
      <c r="C269">
        <v>1</v>
      </c>
      <c r="D269" s="1">
        <v>45019.031944444447</v>
      </c>
      <c r="E269" s="1">
        <v>45019.155555555553</v>
      </c>
      <c r="F269" t="s">
        <v>52</v>
      </c>
      <c r="G269" t="s">
        <v>22</v>
      </c>
      <c r="H269" t="s">
        <v>36</v>
      </c>
      <c r="I269">
        <v>2316</v>
      </c>
      <c r="J269" t="s">
        <v>17</v>
      </c>
      <c r="K269">
        <v>268</v>
      </c>
      <c r="L269" t="s">
        <v>55</v>
      </c>
      <c r="M269" t="s">
        <v>75</v>
      </c>
    </row>
    <row r="270" spans="1:13" x14ac:dyDescent="0.3">
      <c r="A270">
        <v>11</v>
      </c>
      <c r="B270" t="s">
        <v>394</v>
      </c>
      <c r="C270">
        <v>2</v>
      </c>
      <c r="D270" s="1">
        <v>45019.123611111114</v>
      </c>
      <c r="E270" s="1">
        <v>45019.177083333336</v>
      </c>
      <c r="F270" t="s">
        <v>32</v>
      </c>
      <c r="G270" t="s">
        <v>22</v>
      </c>
      <c r="H270" t="s">
        <v>36</v>
      </c>
      <c r="I270">
        <v>3917</v>
      </c>
      <c r="J270" t="s">
        <v>17</v>
      </c>
      <c r="K270">
        <v>269</v>
      </c>
      <c r="L270" t="s">
        <v>91</v>
      </c>
      <c r="M270" t="s">
        <v>44</v>
      </c>
    </row>
    <row r="271" spans="1:13" x14ac:dyDescent="0.3">
      <c r="A271">
        <v>10</v>
      </c>
      <c r="B271" t="s">
        <v>123</v>
      </c>
      <c r="C271">
        <v>1</v>
      </c>
      <c r="D271" s="1">
        <v>45019.049305555556</v>
      </c>
      <c r="E271" s="1">
        <v>45019.207638888889</v>
      </c>
      <c r="F271" t="s">
        <v>14</v>
      </c>
      <c r="G271" t="s">
        <v>22</v>
      </c>
      <c r="H271" t="s">
        <v>16</v>
      </c>
      <c r="I271">
        <v>1013</v>
      </c>
      <c r="J271" t="s">
        <v>17</v>
      </c>
      <c r="K271">
        <v>270</v>
      </c>
      <c r="L271" t="s">
        <v>62</v>
      </c>
      <c r="M271" t="s">
        <v>38</v>
      </c>
    </row>
    <row r="272" spans="1:13" x14ac:dyDescent="0.3">
      <c r="A272">
        <v>3</v>
      </c>
      <c r="B272" t="s">
        <v>124</v>
      </c>
      <c r="C272">
        <v>3</v>
      </c>
      <c r="D272" s="1">
        <v>45019.069444444445</v>
      </c>
      <c r="E272" s="1">
        <v>45019.215277777781</v>
      </c>
      <c r="F272" t="s">
        <v>52</v>
      </c>
      <c r="G272" t="s">
        <v>22</v>
      </c>
      <c r="H272" t="s">
        <v>16</v>
      </c>
      <c r="I272">
        <v>1611</v>
      </c>
      <c r="J272" t="s">
        <v>24</v>
      </c>
      <c r="K272">
        <v>271</v>
      </c>
      <c r="L272" t="s">
        <v>29</v>
      </c>
      <c r="M272" t="s">
        <v>92</v>
      </c>
    </row>
    <row r="273" spans="1:13" x14ac:dyDescent="0.3">
      <c r="A273">
        <v>7</v>
      </c>
      <c r="B273" t="s">
        <v>395</v>
      </c>
      <c r="C273">
        <v>1</v>
      </c>
      <c r="D273" s="1">
        <v>45019.023611111108</v>
      </c>
      <c r="E273" s="1">
        <v>45019.183333333334</v>
      </c>
      <c r="F273" t="s">
        <v>14</v>
      </c>
      <c r="G273" t="s">
        <v>22</v>
      </c>
      <c r="H273" t="s">
        <v>16</v>
      </c>
      <c r="I273">
        <v>4273</v>
      </c>
      <c r="J273" t="s">
        <v>28</v>
      </c>
      <c r="K273">
        <v>272</v>
      </c>
      <c r="L273" t="s">
        <v>59</v>
      </c>
      <c r="M273" t="s">
        <v>75</v>
      </c>
    </row>
    <row r="274" spans="1:13" x14ac:dyDescent="0.3">
      <c r="A274">
        <v>20</v>
      </c>
      <c r="B274" t="s">
        <v>331</v>
      </c>
      <c r="C274">
        <v>5</v>
      </c>
      <c r="D274" s="1">
        <v>45019.074305555558</v>
      </c>
      <c r="E274" s="1">
        <v>45019.145138888889</v>
      </c>
      <c r="F274" t="s">
        <v>32</v>
      </c>
      <c r="G274" t="s">
        <v>22</v>
      </c>
      <c r="H274" t="s">
        <v>23</v>
      </c>
      <c r="I274">
        <v>363</v>
      </c>
      <c r="J274" t="s">
        <v>24</v>
      </c>
      <c r="K274">
        <v>273</v>
      </c>
      <c r="L274" t="s">
        <v>37</v>
      </c>
      <c r="M274" t="s">
        <v>105</v>
      </c>
    </row>
    <row r="275" spans="1:13" x14ac:dyDescent="0.3">
      <c r="A275">
        <v>7</v>
      </c>
      <c r="B275" t="s">
        <v>396</v>
      </c>
      <c r="C275">
        <v>1</v>
      </c>
      <c r="D275" s="1">
        <v>45019.135416666664</v>
      </c>
      <c r="E275" s="1">
        <v>45019.244444444441</v>
      </c>
      <c r="F275" t="s">
        <v>73</v>
      </c>
      <c r="G275" t="s">
        <v>22</v>
      </c>
      <c r="H275" t="s">
        <v>36</v>
      </c>
      <c r="I275">
        <v>1993</v>
      </c>
      <c r="J275" t="s">
        <v>24</v>
      </c>
      <c r="K275">
        <v>274</v>
      </c>
      <c r="L275" t="s">
        <v>25</v>
      </c>
      <c r="M275" t="s">
        <v>71</v>
      </c>
    </row>
    <row r="276" spans="1:13" x14ac:dyDescent="0.3">
      <c r="A276">
        <v>5</v>
      </c>
      <c r="B276" t="s">
        <v>355</v>
      </c>
      <c r="C276">
        <v>3</v>
      </c>
      <c r="D276" s="1">
        <v>45019.092361111114</v>
      </c>
      <c r="E276" s="1">
        <v>45019.248611111114</v>
      </c>
      <c r="F276" t="s">
        <v>32</v>
      </c>
      <c r="G276" t="s">
        <v>22</v>
      </c>
      <c r="H276" t="s">
        <v>16</v>
      </c>
      <c r="I276">
        <v>4967</v>
      </c>
      <c r="J276" t="s">
        <v>28</v>
      </c>
      <c r="K276">
        <v>275</v>
      </c>
      <c r="L276" t="s">
        <v>29</v>
      </c>
      <c r="M276" t="s">
        <v>112</v>
      </c>
    </row>
    <row r="277" spans="1:13" x14ac:dyDescent="0.3">
      <c r="A277">
        <v>15</v>
      </c>
      <c r="B277" t="s">
        <v>397</v>
      </c>
      <c r="C277">
        <v>6</v>
      </c>
      <c r="D277" s="1">
        <v>45019.107638888891</v>
      </c>
      <c r="E277" s="1">
        <v>45019.231944444444</v>
      </c>
      <c r="F277" t="s">
        <v>14</v>
      </c>
      <c r="G277" t="s">
        <v>22</v>
      </c>
      <c r="H277" t="s">
        <v>36</v>
      </c>
      <c r="I277">
        <v>2098</v>
      </c>
      <c r="J277" t="s">
        <v>28</v>
      </c>
      <c r="K277">
        <v>276</v>
      </c>
      <c r="L277" t="s">
        <v>62</v>
      </c>
      <c r="M277" t="s">
        <v>92</v>
      </c>
    </row>
    <row r="278" spans="1:13" x14ac:dyDescent="0.3">
      <c r="A278">
        <v>4</v>
      </c>
      <c r="B278" t="s">
        <v>125</v>
      </c>
      <c r="C278">
        <v>2</v>
      </c>
      <c r="D278" s="1">
        <v>45019.061111111114</v>
      </c>
      <c r="E278" s="1">
        <v>45019.163888888892</v>
      </c>
      <c r="F278" t="s">
        <v>21</v>
      </c>
      <c r="G278" t="s">
        <v>22</v>
      </c>
      <c r="H278" t="s">
        <v>16</v>
      </c>
      <c r="I278">
        <v>1029</v>
      </c>
      <c r="J278" t="s">
        <v>17</v>
      </c>
      <c r="K278">
        <v>277</v>
      </c>
      <c r="L278" t="s">
        <v>59</v>
      </c>
      <c r="M278" t="s">
        <v>56</v>
      </c>
    </row>
    <row r="279" spans="1:13" x14ac:dyDescent="0.3">
      <c r="A279">
        <v>5</v>
      </c>
      <c r="B279" t="s">
        <v>41</v>
      </c>
      <c r="C279">
        <v>4</v>
      </c>
      <c r="D279" s="1">
        <v>45019.131944444445</v>
      </c>
      <c r="E279" s="1">
        <v>45019.216666666667</v>
      </c>
      <c r="F279" t="s">
        <v>52</v>
      </c>
      <c r="G279" t="s">
        <v>22</v>
      </c>
      <c r="H279" t="s">
        <v>23</v>
      </c>
      <c r="I279">
        <v>4136</v>
      </c>
      <c r="J279" t="s">
        <v>17</v>
      </c>
      <c r="K279">
        <v>278</v>
      </c>
      <c r="L279" t="s">
        <v>91</v>
      </c>
      <c r="M279" t="s">
        <v>56</v>
      </c>
    </row>
    <row r="280" spans="1:13" x14ac:dyDescent="0.3">
      <c r="A280">
        <v>11</v>
      </c>
      <c r="B280" t="s">
        <v>278</v>
      </c>
      <c r="C280">
        <v>5</v>
      </c>
      <c r="D280" s="1">
        <v>45019.010416666664</v>
      </c>
      <c r="E280" s="1">
        <v>45019.107638888891</v>
      </c>
      <c r="F280" t="s">
        <v>32</v>
      </c>
      <c r="G280" t="s">
        <v>15</v>
      </c>
      <c r="H280" t="s">
        <v>16</v>
      </c>
      <c r="I280">
        <v>4353</v>
      </c>
      <c r="J280" t="s">
        <v>17</v>
      </c>
      <c r="K280">
        <v>279</v>
      </c>
      <c r="L280" t="s">
        <v>91</v>
      </c>
      <c r="M280" t="s">
        <v>34</v>
      </c>
    </row>
    <row r="281" spans="1:13" x14ac:dyDescent="0.3">
      <c r="A281">
        <v>14</v>
      </c>
      <c r="B281" t="s">
        <v>398</v>
      </c>
      <c r="C281">
        <v>6</v>
      </c>
      <c r="D281" s="1">
        <v>45019.020833333336</v>
      </c>
      <c r="E281" s="1">
        <v>45019.111805555556</v>
      </c>
      <c r="F281" t="s">
        <v>21</v>
      </c>
      <c r="G281" t="s">
        <v>22</v>
      </c>
      <c r="H281" t="s">
        <v>16</v>
      </c>
      <c r="I281">
        <v>3608</v>
      </c>
      <c r="J281" t="s">
        <v>28</v>
      </c>
      <c r="K281">
        <v>280</v>
      </c>
      <c r="L281" t="s">
        <v>62</v>
      </c>
      <c r="M281" t="s">
        <v>75</v>
      </c>
    </row>
    <row r="282" spans="1:13" x14ac:dyDescent="0.3">
      <c r="A282">
        <v>18</v>
      </c>
      <c r="B282" t="s">
        <v>126</v>
      </c>
      <c r="C282">
        <v>2</v>
      </c>
      <c r="D282" s="1">
        <v>45019.161111111112</v>
      </c>
      <c r="E282" s="1">
        <v>45019.326388888891</v>
      </c>
      <c r="F282" t="s">
        <v>14</v>
      </c>
      <c r="G282" t="s">
        <v>48</v>
      </c>
      <c r="H282" t="s">
        <v>23</v>
      </c>
      <c r="I282">
        <v>443</v>
      </c>
      <c r="J282" t="s">
        <v>24</v>
      </c>
      <c r="K282">
        <v>281</v>
      </c>
      <c r="L282" t="s">
        <v>18</v>
      </c>
      <c r="M282" t="s">
        <v>112</v>
      </c>
    </row>
    <row r="283" spans="1:13" x14ac:dyDescent="0.3">
      <c r="A283">
        <v>6</v>
      </c>
      <c r="B283" t="s">
        <v>399</v>
      </c>
      <c r="C283">
        <v>1</v>
      </c>
      <c r="D283" s="1">
        <v>45019.049305555556</v>
      </c>
      <c r="E283" s="1">
        <v>45019.209722222222</v>
      </c>
      <c r="F283" t="s">
        <v>14</v>
      </c>
      <c r="G283" t="s">
        <v>22</v>
      </c>
      <c r="H283" t="s">
        <v>16</v>
      </c>
      <c r="I283">
        <v>1905</v>
      </c>
      <c r="J283" t="s">
        <v>17</v>
      </c>
      <c r="K283">
        <v>282</v>
      </c>
      <c r="L283" t="s">
        <v>55</v>
      </c>
      <c r="M283" t="s">
        <v>46</v>
      </c>
    </row>
    <row r="284" spans="1:13" x14ac:dyDescent="0.3">
      <c r="A284">
        <v>19</v>
      </c>
      <c r="B284" t="s">
        <v>127</v>
      </c>
      <c r="C284">
        <v>5</v>
      </c>
      <c r="D284" s="1">
        <v>45019.044444444444</v>
      </c>
      <c r="E284" s="1">
        <v>45019.199999999997</v>
      </c>
      <c r="F284" t="s">
        <v>21</v>
      </c>
      <c r="G284" t="s">
        <v>15</v>
      </c>
      <c r="H284" t="s">
        <v>16</v>
      </c>
      <c r="I284">
        <v>4307</v>
      </c>
      <c r="J284" t="s">
        <v>17</v>
      </c>
      <c r="K284">
        <v>283</v>
      </c>
      <c r="L284" t="s">
        <v>25</v>
      </c>
      <c r="M284" t="s">
        <v>71</v>
      </c>
    </row>
    <row r="285" spans="1:13" x14ac:dyDescent="0.3">
      <c r="A285">
        <v>11</v>
      </c>
      <c r="B285" t="s">
        <v>400</v>
      </c>
      <c r="C285">
        <v>4</v>
      </c>
      <c r="D285" s="1">
        <v>45019.102777777778</v>
      </c>
      <c r="E285" s="1">
        <v>45019.192361111112</v>
      </c>
      <c r="F285" t="s">
        <v>21</v>
      </c>
      <c r="G285" t="s">
        <v>22</v>
      </c>
      <c r="H285" t="s">
        <v>36</v>
      </c>
      <c r="I285">
        <v>2999</v>
      </c>
      <c r="J285" t="s">
        <v>24</v>
      </c>
      <c r="K285">
        <v>284</v>
      </c>
      <c r="L285" t="s">
        <v>18</v>
      </c>
      <c r="M285" t="s">
        <v>66</v>
      </c>
    </row>
    <row r="286" spans="1:13" x14ac:dyDescent="0.3">
      <c r="A286">
        <v>18</v>
      </c>
      <c r="B286" t="s">
        <v>128</v>
      </c>
      <c r="C286">
        <v>6</v>
      </c>
      <c r="D286" s="1">
        <v>45019.127083333333</v>
      </c>
      <c r="E286" s="1">
        <v>45019.253472222219</v>
      </c>
      <c r="F286" t="s">
        <v>14</v>
      </c>
      <c r="G286" t="s">
        <v>22</v>
      </c>
      <c r="H286" t="s">
        <v>36</v>
      </c>
      <c r="I286">
        <v>1094</v>
      </c>
      <c r="J286" t="s">
        <v>28</v>
      </c>
      <c r="K286">
        <v>285</v>
      </c>
      <c r="L286" t="s">
        <v>59</v>
      </c>
      <c r="M286" t="s">
        <v>42</v>
      </c>
    </row>
    <row r="287" spans="1:13" x14ac:dyDescent="0.3">
      <c r="A287">
        <v>15</v>
      </c>
      <c r="B287" t="s">
        <v>129</v>
      </c>
      <c r="C287">
        <v>6</v>
      </c>
      <c r="D287" s="1">
        <v>45019.015277777777</v>
      </c>
      <c r="E287" s="1">
        <v>45019.102777777778</v>
      </c>
      <c r="F287" t="s">
        <v>52</v>
      </c>
      <c r="G287" t="s">
        <v>22</v>
      </c>
      <c r="H287" t="s">
        <v>16</v>
      </c>
      <c r="I287">
        <v>4196</v>
      </c>
      <c r="J287" t="s">
        <v>24</v>
      </c>
      <c r="K287">
        <v>286</v>
      </c>
      <c r="L287" t="s">
        <v>49</v>
      </c>
      <c r="M287" t="s">
        <v>38</v>
      </c>
    </row>
    <row r="288" spans="1:13" x14ac:dyDescent="0.3">
      <c r="A288">
        <v>20</v>
      </c>
      <c r="B288" t="s">
        <v>326</v>
      </c>
      <c r="C288">
        <v>2</v>
      </c>
      <c r="D288" s="1">
        <v>45019.150694444441</v>
      </c>
      <c r="E288" s="1">
        <v>45019.197222222225</v>
      </c>
      <c r="F288" t="s">
        <v>21</v>
      </c>
      <c r="G288" t="s">
        <v>22</v>
      </c>
      <c r="H288" t="s">
        <v>36</v>
      </c>
      <c r="I288">
        <v>3167</v>
      </c>
      <c r="J288" t="s">
        <v>28</v>
      </c>
      <c r="K288">
        <v>287</v>
      </c>
      <c r="L288" t="s">
        <v>37</v>
      </c>
      <c r="M288" t="s">
        <v>105</v>
      </c>
    </row>
    <row r="289" spans="1:13" x14ac:dyDescent="0.3">
      <c r="A289">
        <v>15</v>
      </c>
      <c r="B289" t="s">
        <v>401</v>
      </c>
      <c r="C289">
        <v>3</v>
      </c>
      <c r="D289" s="1">
        <v>45019.088888888888</v>
      </c>
      <c r="E289" s="1">
        <v>45019.231249999997</v>
      </c>
      <c r="F289" t="s">
        <v>21</v>
      </c>
      <c r="G289" t="s">
        <v>15</v>
      </c>
      <c r="H289" t="s">
        <v>16</v>
      </c>
      <c r="I289">
        <v>133</v>
      </c>
      <c r="J289" t="s">
        <v>28</v>
      </c>
      <c r="K289">
        <v>288</v>
      </c>
      <c r="L289" t="s">
        <v>55</v>
      </c>
      <c r="M289" t="s">
        <v>75</v>
      </c>
    </row>
    <row r="290" spans="1:13" x14ac:dyDescent="0.3">
      <c r="A290">
        <v>15</v>
      </c>
      <c r="B290" t="s">
        <v>402</v>
      </c>
      <c r="C290">
        <v>5</v>
      </c>
      <c r="D290" s="1">
        <v>45019.130555555559</v>
      </c>
      <c r="E290" s="1">
        <v>45019.265972222223</v>
      </c>
      <c r="F290" t="s">
        <v>21</v>
      </c>
      <c r="G290" t="s">
        <v>22</v>
      </c>
      <c r="H290" t="s">
        <v>36</v>
      </c>
      <c r="I290">
        <v>2656</v>
      </c>
      <c r="J290" t="s">
        <v>17</v>
      </c>
      <c r="K290">
        <v>289</v>
      </c>
      <c r="L290" t="s">
        <v>59</v>
      </c>
      <c r="M290" t="s">
        <v>66</v>
      </c>
    </row>
    <row r="291" spans="1:13" x14ac:dyDescent="0.3">
      <c r="A291">
        <v>19</v>
      </c>
      <c r="B291" t="s">
        <v>130</v>
      </c>
      <c r="C291">
        <v>3</v>
      </c>
      <c r="D291" s="1">
        <v>45019.087500000001</v>
      </c>
      <c r="E291" s="1">
        <v>45019.189583333333</v>
      </c>
      <c r="F291" t="s">
        <v>52</v>
      </c>
      <c r="G291" t="s">
        <v>22</v>
      </c>
      <c r="H291" t="s">
        <v>16</v>
      </c>
      <c r="I291">
        <v>1459</v>
      </c>
      <c r="J291" t="s">
        <v>24</v>
      </c>
      <c r="K291">
        <v>290</v>
      </c>
      <c r="L291" t="s">
        <v>59</v>
      </c>
      <c r="M291" t="s">
        <v>34</v>
      </c>
    </row>
    <row r="292" spans="1:13" x14ac:dyDescent="0.3">
      <c r="A292">
        <v>2</v>
      </c>
      <c r="B292" t="s">
        <v>403</v>
      </c>
      <c r="C292">
        <v>6</v>
      </c>
      <c r="D292" s="1">
        <v>45019.137499999997</v>
      </c>
      <c r="E292" s="1">
        <v>45019.256249999999</v>
      </c>
      <c r="F292" t="s">
        <v>32</v>
      </c>
      <c r="G292" t="s">
        <v>48</v>
      </c>
      <c r="H292" t="s">
        <v>23</v>
      </c>
      <c r="I292">
        <v>1544</v>
      </c>
      <c r="J292" t="s">
        <v>24</v>
      </c>
      <c r="K292">
        <v>291</v>
      </c>
      <c r="L292" t="s">
        <v>29</v>
      </c>
      <c r="M292" t="s">
        <v>38</v>
      </c>
    </row>
    <row r="293" spans="1:13" x14ac:dyDescent="0.3">
      <c r="A293">
        <v>10</v>
      </c>
      <c r="B293" t="s">
        <v>131</v>
      </c>
      <c r="C293">
        <v>3</v>
      </c>
      <c r="D293" s="1">
        <v>45019.006249999999</v>
      </c>
      <c r="E293" s="1">
        <v>45019.07708333333</v>
      </c>
      <c r="F293" t="s">
        <v>52</v>
      </c>
      <c r="G293" t="s">
        <v>15</v>
      </c>
      <c r="H293" t="s">
        <v>36</v>
      </c>
      <c r="I293">
        <v>2972</v>
      </c>
      <c r="J293" t="s">
        <v>28</v>
      </c>
      <c r="K293">
        <v>292</v>
      </c>
      <c r="L293" t="s">
        <v>49</v>
      </c>
      <c r="M293" t="s">
        <v>30</v>
      </c>
    </row>
    <row r="294" spans="1:13" x14ac:dyDescent="0.3">
      <c r="A294">
        <v>16</v>
      </c>
      <c r="B294" t="s">
        <v>404</v>
      </c>
      <c r="C294">
        <v>4</v>
      </c>
      <c r="D294" s="1">
        <v>45019.121527777781</v>
      </c>
      <c r="E294" s="1">
        <v>45019.190972222219</v>
      </c>
      <c r="F294" t="s">
        <v>52</v>
      </c>
      <c r="G294" t="s">
        <v>22</v>
      </c>
      <c r="H294" t="s">
        <v>36</v>
      </c>
      <c r="I294">
        <v>3311</v>
      </c>
      <c r="J294" t="s">
        <v>28</v>
      </c>
      <c r="K294">
        <v>293</v>
      </c>
      <c r="L294" t="s">
        <v>49</v>
      </c>
      <c r="M294" t="s">
        <v>30</v>
      </c>
    </row>
    <row r="295" spans="1:13" x14ac:dyDescent="0.3">
      <c r="A295">
        <v>17</v>
      </c>
      <c r="B295" t="s">
        <v>104</v>
      </c>
      <c r="C295">
        <v>6</v>
      </c>
      <c r="D295" s="1">
        <v>45019.018055555556</v>
      </c>
      <c r="E295" s="1">
        <v>45019.164583333331</v>
      </c>
      <c r="F295" t="s">
        <v>32</v>
      </c>
      <c r="G295" t="s">
        <v>48</v>
      </c>
      <c r="H295" t="s">
        <v>16</v>
      </c>
      <c r="I295">
        <v>2036</v>
      </c>
      <c r="J295" t="s">
        <v>17</v>
      </c>
      <c r="K295">
        <v>294</v>
      </c>
      <c r="L295" t="s">
        <v>37</v>
      </c>
      <c r="M295" t="s">
        <v>56</v>
      </c>
    </row>
    <row r="296" spans="1:13" x14ac:dyDescent="0.3">
      <c r="A296">
        <v>3</v>
      </c>
      <c r="B296" t="s">
        <v>405</v>
      </c>
      <c r="C296">
        <v>1</v>
      </c>
      <c r="D296" s="1">
        <v>45019.006944444445</v>
      </c>
      <c r="E296" s="1">
        <v>45019.084027777775</v>
      </c>
      <c r="F296" t="s">
        <v>32</v>
      </c>
      <c r="G296" t="s">
        <v>22</v>
      </c>
      <c r="H296" t="s">
        <v>16</v>
      </c>
      <c r="I296">
        <v>4642</v>
      </c>
      <c r="J296" t="s">
        <v>28</v>
      </c>
      <c r="K296">
        <v>295</v>
      </c>
      <c r="L296" t="s">
        <v>55</v>
      </c>
      <c r="M296" t="s">
        <v>105</v>
      </c>
    </row>
    <row r="297" spans="1:13" x14ac:dyDescent="0.3">
      <c r="A297">
        <v>14</v>
      </c>
      <c r="B297" t="s">
        <v>406</v>
      </c>
      <c r="C297">
        <v>1</v>
      </c>
      <c r="D297" s="1">
        <v>45019.117361111108</v>
      </c>
      <c r="E297" s="1">
        <v>45019.248611111114</v>
      </c>
      <c r="F297" t="s">
        <v>32</v>
      </c>
      <c r="G297" t="s">
        <v>15</v>
      </c>
      <c r="H297" t="s">
        <v>16</v>
      </c>
      <c r="I297">
        <v>2907</v>
      </c>
      <c r="J297" t="s">
        <v>24</v>
      </c>
      <c r="K297">
        <v>296</v>
      </c>
      <c r="L297" t="s">
        <v>59</v>
      </c>
      <c r="M297" t="s">
        <v>89</v>
      </c>
    </row>
    <row r="298" spans="1:13" x14ac:dyDescent="0.3">
      <c r="A298">
        <v>4</v>
      </c>
      <c r="B298" t="s">
        <v>20</v>
      </c>
      <c r="C298">
        <v>3</v>
      </c>
      <c r="D298" s="1">
        <v>45019.043749999997</v>
      </c>
      <c r="E298" s="1">
        <v>45019.185416666667</v>
      </c>
      <c r="F298" t="s">
        <v>73</v>
      </c>
      <c r="G298" t="s">
        <v>22</v>
      </c>
      <c r="H298" t="s">
        <v>16</v>
      </c>
      <c r="I298">
        <v>4346</v>
      </c>
      <c r="J298" t="s">
        <v>24</v>
      </c>
      <c r="K298">
        <v>297</v>
      </c>
      <c r="L298" t="s">
        <v>59</v>
      </c>
      <c r="M298" t="s">
        <v>26</v>
      </c>
    </row>
    <row r="299" spans="1:13" x14ac:dyDescent="0.3">
      <c r="A299">
        <v>11</v>
      </c>
      <c r="B299" t="s">
        <v>407</v>
      </c>
      <c r="C299">
        <v>4</v>
      </c>
      <c r="D299" s="1">
        <v>45019.134722222225</v>
      </c>
      <c r="E299" s="1">
        <v>45019.228472222225</v>
      </c>
      <c r="F299" t="s">
        <v>21</v>
      </c>
      <c r="G299" t="s">
        <v>48</v>
      </c>
      <c r="H299" t="s">
        <v>16</v>
      </c>
      <c r="I299">
        <v>2324</v>
      </c>
      <c r="J299" t="s">
        <v>28</v>
      </c>
      <c r="K299">
        <v>298</v>
      </c>
      <c r="L299" t="s">
        <v>29</v>
      </c>
      <c r="M299" t="s">
        <v>50</v>
      </c>
    </row>
    <row r="300" spans="1:13" x14ac:dyDescent="0.3">
      <c r="A300">
        <v>6</v>
      </c>
      <c r="B300" t="s">
        <v>408</v>
      </c>
      <c r="C300">
        <v>1</v>
      </c>
      <c r="D300" s="1">
        <v>45019.054861111108</v>
      </c>
      <c r="E300" s="1">
        <v>45019.114583333336</v>
      </c>
      <c r="F300" t="s">
        <v>21</v>
      </c>
      <c r="G300" t="s">
        <v>15</v>
      </c>
      <c r="H300" t="s">
        <v>23</v>
      </c>
      <c r="I300">
        <v>2968</v>
      </c>
      <c r="J300" t="s">
        <v>24</v>
      </c>
      <c r="K300">
        <v>299</v>
      </c>
      <c r="L300" t="s">
        <v>55</v>
      </c>
      <c r="M300" t="s">
        <v>66</v>
      </c>
    </row>
    <row r="301" spans="1:13" x14ac:dyDescent="0.3">
      <c r="A301">
        <v>18</v>
      </c>
      <c r="B301" t="s">
        <v>319</v>
      </c>
      <c r="C301">
        <v>6</v>
      </c>
      <c r="D301" s="1">
        <v>45019.095138888886</v>
      </c>
      <c r="E301" s="1">
        <v>45019.179861111108</v>
      </c>
      <c r="F301" t="s">
        <v>32</v>
      </c>
      <c r="G301" t="s">
        <v>48</v>
      </c>
      <c r="H301" t="s">
        <v>16</v>
      </c>
      <c r="I301">
        <v>3838</v>
      </c>
      <c r="J301" t="s">
        <v>28</v>
      </c>
      <c r="K301">
        <v>300</v>
      </c>
      <c r="L301" t="s">
        <v>70</v>
      </c>
      <c r="M301" t="s">
        <v>34</v>
      </c>
    </row>
    <row r="302" spans="1:13" x14ac:dyDescent="0.3">
      <c r="A302">
        <v>8</v>
      </c>
      <c r="B302" t="s">
        <v>409</v>
      </c>
      <c r="C302">
        <v>6</v>
      </c>
      <c r="D302" s="1">
        <v>45019.093055555553</v>
      </c>
      <c r="E302" s="1">
        <v>45019.172222222223</v>
      </c>
      <c r="F302" t="s">
        <v>21</v>
      </c>
      <c r="G302" t="s">
        <v>22</v>
      </c>
      <c r="H302" t="s">
        <v>16</v>
      </c>
      <c r="I302">
        <v>1652</v>
      </c>
      <c r="J302" t="s">
        <v>28</v>
      </c>
      <c r="K302">
        <v>301</v>
      </c>
      <c r="L302" t="s">
        <v>55</v>
      </c>
      <c r="M302" t="s">
        <v>56</v>
      </c>
    </row>
    <row r="303" spans="1:13" x14ac:dyDescent="0.3">
      <c r="A303">
        <v>5</v>
      </c>
      <c r="B303" t="s">
        <v>132</v>
      </c>
      <c r="C303">
        <v>2</v>
      </c>
      <c r="D303" s="1">
        <v>45019.055555555555</v>
      </c>
      <c r="E303" s="1">
        <v>45019.205555555556</v>
      </c>
      <c r="F303" t="s">
        <v>73</v>
      </c>
      <c r="G303" t="s">
        <v>48</v>
      </c>
      <c r="H303" t="s">
        <v>16</v>
      </c>
      <c r="I303">
        <v>3989</v>
      </c>
      <c r="J303" t="s">
        <v>28</v>
      </c>
      <c r="K303">
        <v>302</v>
      </c>
      <c r="L303" t="s">
        <v>37</v>
      </c>
      <c r="M303" t="s">
        <v>105</v>
      </c>
    </row>
    <row r="304" spans="1:13" x14ac:dyDescent="0.3">
      <c r="A304">
        <v>14</v>
      </c>
      <c r="B304" t="s">
        <v>410</v>
      </c>
      <c r="C304">
        <v>5</v>
      </c>
      <c r="D304" s="1">
        <v>45019.151388888888</v>
      </c>
      <c r="E304" s="1">
        <v>45019.26666666667</v>
      </c>
      <c r="F304" t="s">
        <v>21</v>
      </c>
      <c r="G304" t="s">
        <v>48</v>
      </c>
      <c r="H304" t="s">
        <v>36</v>
      </c>
      <c r="I304">
        <v>1649</v>
      </c>
      <c r="J304" t="s">
        <v>24</v>
      </c>
      <c r="K304">
        <v>303</v>
      </c>
      <c r="L304" t="s">
        <v>25</v>
      </c>
      <c r="M304" t="s">
        <v>66</v>
      </c>
    </row>
    <row r="305" spans="1:13" x14ac:dyDescent="0.3">
      <c r="A305">
        <v>6</v>
      </c>
      <c r="B305" t="s">
        <v>411</v>
      </c>
      <c r="C305">
        <v>4</v>
      </c>
      <c r="D305" s="1">
        <v>45019.14166666667</v>
      </c>
      <c r="E305" s="1">
        <v>45019.194444444445</v>
      </c>
      <c r="F305" t="s">
        <v>73</v>
      </c>
      <c r="G305" t="s">
        <v>22</v>
      </c>
      <c r="H305" t="s">
        <v>16</v>
      </c>
      <c r="I305">
        <v>2205</v>
      </c>
      <c r="J305" t="s">
        <v>28</v>
      </c>
      <c r="K305">
        <v>304</v>
      </c>
      <c r="L305" t="s">
        <v>37</v>
      </c>
      <c r="M305" t="s">
        <v>105</v>
      </c>
    </row>
    <row r="306" spans="1:13" x14ac:dyDescent="0.3">
      <c r="A306">
        <v>1</v>
      </c>
      <c r="B306" t="s">
        <v>412</v>
      </c>
      <c r="C306">
        <v>2</v>
      </c>
      <c r="D306" s="1">
        <v>45019.03125</v>
      </c>
      <c r="E306" s="1">
        <v>45019.175694444442</v>
      </c>
      <c r="F306" t="s">
        <v>73</v>
      </c>
      <c r="G306" t="s">
        <v>22</v>
      </c>
      <c r="H306" t="s">
        <v>16</v>
      </c>
      <c r="I306">
        <v>3792</v>
      </c>
      <c r="J306" t="s">
        <v>28</v>
      </c>
      <c r="K306">
        <v>305</v>
      </c>
      <c r="L306" t="s">
        <v>33</v>
      </c>
      <c r="M306" t="s">
        <v>19</v>
      </c>
    </row>
    <row r="307" spans="1:13" x14ac:dyDescent="0.3">
      <c r="A307">
        <v>7</v>
      </c>
      <c r="B307" t="s">
        <v>133</v>
      </c>
      <c r="C307">
        <v>4</v>
      </c>
      <c r="D307" s="1">
        <v>45019.002083333333</v>
      </c>
      <c r="E307" s="1">
        <v>45019.105555555558</v>
      </c>
      <c r="F307" t="s">
        <v>21</v>
      </c>
      <c r="G307" t="s">
        <v>22</v>
      </c>
      <c r="H307" t="s">
        <v>16</v>
      </c>
      <c r="I307">
        <v>1696</v>
      </c>
      <c r="J307" t="s">
        <v>24</v>
      </c>
      <c r="K307">
        <v>306</v>
      </c>
      <c r="L307" t="s">
        <v>33</v>
      </c>
      <c r="M307" t="s">
        <v>105</v>
      </c>
    </row>
    <row r="308" spans="1:13" x14ac:dyDescent="0.3">
      <c r="A308">
        <v>20</v>
      </c>
      <c r="B308" t="s">
        <v>27</v>
      </c>
      <c r="C308">
        <v>5</v>
      </c>
      <c r="D308" s="1">
        <v>45019.131249999999</v>
      </c>
      <c r="E308" s="1">
        <v>45019.23541666667</v>
      </c>
      <c r="F308" t="s">
        <v>73</v>
      </c>
      <c r="G308" t="s">
        <v>22</v>
      </c>
      <c r="H308" t="s">
        <v>23</v>
      </c>
      <c r="I308">
        <v>3166</v>
      </c>
      <c r="J308" t="s">
        <v>17</v>
      </c>
      <c r="K308">
        <v>307</v>
      </c>
      <c r="L308" t="s">
        <v>18</v>
      </c>
      <c r="M308" t="s">
        <v>42</v>
      </c>
    </row>
    <row r="309" spans="1:13" x14ac:dyDescent="0.3">
      <c r="A309">
        <v>14</v>
      </c>
      <c r="B309" t="s">
        <v>413</v>
      </c>
      <c r="C309">
        <v>6</v>
      </c>
      <c r="D309" s="1">
        <v>45019.079861111109</v>
      </c>
      <c r="E309" s="1">
        <v>45019.193749999999</v>
      </c>
      <c r="F309" t="s">
        <v>32</v>
      </c>
      <c r="G309" t="s">
        <v>22</v>
      </c>
      <c r="H309" t="s">
        <v>16</v>
      </c>
      <c r="I309">
        <v>3379</v>
      </c>
      <c r="J309" t="s">
        <v>28</v>
      </c>
      <c r="K309">
        <v>308</v>
      </c>
      <c r="L309" t="s">
        <v>55</v>
      </c>
      <c r="M309" t="s">
        <v>38</v>
      </c>
    </row>
    <row r="310" spans="1:13" x14ac:dyDescent="0.3">
      <c r="A310">
        <v>9</v>
      </c>
      <c r="B310" t="s">
        <v>414</v>
      </c>
      <c r="C310">
        <v>3</v>
      </c>
      <c r="D310" s="1">
        <v>45019.019444444442</v>
      </c>
      <c r="E310" s="1">
        <v>45019.170138888891</v>
      </c>
      <c r="F310" t="s">
        <v>73</v>
      </c>
      <c r="G310" t="s">
        <v>22</v>
      </c>
      <c r="H310" t="s">
        <v>16</v>
      </c>
      <c r="I310">
        <v>3609</v>
      </c>
      <c r="J310" t="s">
        <v>28</v>
      </c>
      <c r="K310">
        <v>309</v>
      </c>
      <c r="L310" t="s">
        <v>49</v>
      </c>
      <c r="M310" t="s">
        <v>34</v>
      </c>
    </row>
    <row r="311" spans="1:13" x14ac:dyDescent="0.3">
      <c r="A311">
        <v>17</v>
      </c>
      <c r="B311" t="s">
        <v>415</v>
      </c>
      <c r="C311">
        <v>3</v>
      </c>
      <c r="D311" s="1">
        <v>45019.12777777778</v>
      </c>
      <c r="E311" s="1">
        <v>45019.265972222223</v>
      </c>
      <c r="F311" t="s">
        <v>21</v>
      </c>
      <c r="G311" t="s">
        <v>15</v>
      </c>
      <c r="H311" t="s">
        <v>16</v>
      </c>
      <c r="I311">
        <v>1147</v>
      </c>
      <c r="J311" t="s">
        <v>17</v>
      </c>
      <c r="K311">
        <v>310</v>
      </c>
      <c r="L311" t="s">
        <v>55</v>
      </c>
      <c r="M311" t="s">
        <v>71</v>
      </c>
    </row>
    <row r="312" spans="1:13" x14ac:dyDescent="0.3">
      <c r="A312">
        <v>6</v>
      </c>
      <c r="B312" t="s">
        <v>416</v>
      </c>
      <c r="C312">
        <v>4</v>
      </c>
      <c r="D312" s="1">
        <v>45019.069444444445</v>
      </c>
      <c r="E312" s="1">
        <v>45019.113194444442</v>
      </c>
      <c r="F312" t="s">
        <v>52</v>
      </c>
      <c r="G312" t="s">
        <v>48</v>
      </c>
      <c r="H312" t="s">
        <v>23</v>
      </c>
      <c r="I312">
        <v>3927</v>
      </c>
      <c r="J312" t="s">
        <v>24</v>
      </c>
      <c r="K312">
        <v>311</v>
      </c>
      <c r="L312" t="s">
        <v>70</v>
      </c>
      <c r="M312" t="s">
        <v>75</v>
      </c>
    </row>
    <row r="313" spans="1:13" x14ac:dyDescent="0.3">
      <c r="A313">
        <v>2</v>
      </c>
      <c r="B313" t="s">
        <v>197</v>
      </c>
      <c r="C313">
        <v>4</v>
      </c>
      <c r="D313" s="1">
        <v>45019.129861111112</v>
      </c>
      <c r="E313" s="1">
        <v>45019.258333333331</v>
      </c>
      <c r="F313" t="s">
        <v>52</v>
      </c>
      <c r="G313" t="s">
        <v>22</v>
      </c>
      <c r="H313" t="s">
        <v>16</v>
      </c>
      <c r="I313">
        <v>3089</v>
      </c>
      <c r="J313" t="s">
        <v>28</v>
      </c>
      <c r="K313">
        <v>312</v>
      </c>
      <c r="L313" t="s">
        <v>55</v>
      </c>
      <c r="M313" t="s">
        <v>105</v>
      </c>
    </row>
    <row r="314" spans="1:13" x14ac:dyDescent="0.3">
      <c r="A314">
        <v>10</v>
      </c>
      <c r="B314" t="s">
        <v>250</v>
      </c>
      <c r="C314">
        <v>3</v>
      </c>
      <c r="D314" s="1">
        <v>45019.099305555559</v>
      </c>
      <c r="E314" s="1">
        <v>45019.240277777775</v>
      </c>
      <c r="F314" t="s">
        <v>73</v>
      </c>
      <c r="G314" t="s">
        <v>48</v>
      </c>
      <c r="H314" t="s">
        <v>36</v>
      </c>
      <c r="I314">
        <v>4314</v>
      </c>
      <c r="J314" t="s">
        <v>28</v>
      </c>
      <c r="K314">
        <v>313</v>
      </c>
      <c r="L314" t="s">
        <v>59</v>
      </c>
      <c r="M314" t="s">
        <v>53</v>
      </c>
    </row>
    <row r="315" spans="1:13" x14ac:dyDescent="0.3">
      <c r="A315">
        <v>20</v>
      </c>
      <c r="B315" t="s">
        <v>134</v>
      </c>
      <c r="C315">
        <v>5</v>
      </c>
      <c r="D315" s="1">
        <v>45019.031944444447</v>
      </c>
      <c r="E315" s="1">
        <v>45019.161805555559</v>
      </c>
      <c r="F315" t="s">
        <v>14</v>
      </c>
      <c r="G315" t="s">
        <v>22</v>
      </c>
      <c r="H315" t="s">
        <v>36</v>
      </c>
      <c r="I315">
        <v>3218</v>
      </c>
      <c r="J315" t="s">
        <v>24</v>
      </c>
      <c r="K315">
        <v>314</v>
      </c>
      <c r="L315" t="s">
        <v>33</v>
      </c>
      <c r="M315" t="s">
        <v>50</v>
      </c>
    </row>
    <row r="316" spans="1:13" x14ac:dyDescent="0.3">
      <c r="A316">
        <v>14</v>
      </c>
      <c r="B316" t="s">
        <v>167</v>
      </c>
      <c r="C316">
        <v>1</v>
      </c>
      <c r="D316" s="1">
        <v>45019.008333333331</v>
      </c>
      <c r="E316" s="1">
        <v>45019.145138888889</v>
      </c>
      <c r="F316" t="s">
        <v>32</v>
      </c>
      <c r="G316" t="s">
        <v>22</v>
      </c>
      <c r="H316" t="s">
        <v>16</v>
      </c>
      <c r="I316">
        <v>206</v>
      </c>
      <c r="J316" t="s">
        <v>17</v>
      </c>
      <c r="K316">
        <v>315</v>
      </c>
      <c r="L316" t="s">
        <v>33</v>
      </c>
      <c r="M316" t="s">
        <v>60</v>
      </c>
    </row>
    <row r="317" spans="1:13" x14ac:dyDescent="0.3">
      <c r="A317">
        <v>2</v>
      </c>
      <c r="B317" t="s">
        <v>417</v>
      </c>
      <c r="C317">
        <v>2</v>
      </c>
      <c r="D317" s="1">
        <v>45019.068055555559</v>
      </c>
      <c r="E317" s="1">
        <v>45019.230555555558</v>
      </c>
      <c r="F317" t="s">
        <v>21</v>
      </c>
      <c r="G317" t="s">
        <v>48</v>
      </c>
      <c r="H317" t="s">
        <v>16</v>
      </c>
      <c r="I317">
        <v>3113</v>
      </c>
      <c r="J317" t="s">
        <v>28</v>
      </c>
      <c r="K317">
        <v>316</v>
      </c>
      <c r="L317" t="s">
        <v>18</v>
      </c>
      <c r="M317" t="s">
        <v>46</v>
      </c>
    </row>
    <row r="318" spans="1:13" x14ac:dyDescent="0.3">
      <c r="A318">
        <v>17</v>
      </c>
      <c r="B318" t="s">
        <v>287</v>
      </c>
      <c r="C318">
        <v>2</v>
      </c>
      <c r="D318" s="1">
        <v>45019.100694444445</v>
      </c>
      <c r="E318" s="1">
        <v>45019.261111111111</v>
      </c>
      <c r="F318" t="s">
        <v>32</v>
      </c>
      <c r="G318" t="s">
        <v>48</v>
      </c>
      <c r="H318" t="s">
        <v>23</v>
      </c>
      <c r="I318">
        <v>2455</v>
      </c>
      <c r="J318" t="s">
        <v>17</v>
      </c>
      <c r="K318">
        <v>317</v>
      </c>
      <c r="L318" t="s">
        <v>55</v>
      </c>
      <c r="M318" t="s">
        <v>92</v>
      </c>
    </row>
    <row r="319" spans="1:13" x14ac:dyDescent="0.3">
      <c r="A319">
        <v>13</v>
      </c>
      <c r="B319" t="s">
        <v>135</v>
      </c>
      <c r="C319">
        <v>3</v>
      </c>
      <c r="D319" s="1">
        <v>45019.147916666669</v>
      </c>
      <c r="E319" s="1">
        <v>45019.214583333334</v>
      </c>
      <c r="F319" t="s">
        <v>52</v>
      </c>
      <c r="G319" t="s">
        <v>15</v>
      </c>
      <c r="H319" t="s">
        <v>16</v>
      </c>
      <c r="I319">
        <v>1008</v>
      </c>
      <c r="J319" t="s">
        <v>28</v>
      </c>
      <c r="K319">
        <v>318</v>
      </c>
      <c r="L319" t="s">
        <v>91</v>
      </c>
      <c r="M319" t="s">
        <v>26</v>
      </c>
    </row>
    <row r="320" spans="1:13" x14ac:dyDescent="0.3">
      <c r="A320">
        <v>1</v>
      </c>
      <c r="B320" t="s">
        <v>158</v>
      </c>
      <c r="C320">
        <v>1</v>
      </c>
      <c r="D320" s="1">
        <v>45019.033333333333</v>
      </c>
      <c r="E320" s="1">
        <v>45019.165972222225</v>
      </c>
      <c r="F320" t="s">
        <v>73</v>
      </c>
      <c r="G320" t="s">
        <v>22</v>
      </c>
      <c r="H320" t="s">
        <v>23</v>
      </c>
      <c r="I320">
        <v>3005</v>
      </c>
      <c r="J320" t="s">
        <v>17</v>
      </c>
      <c r="K320">
        <v>319</v>
      </c>
      <c r="L320" t="s">
        <v>29</v>
      </c>
      <c r="M320" t="s">
        <v>105</v>
      </c>
    </row>
    <row r="321" spans="1:13" x14ac:dyDescent="0.3">
      <c r="A321">
        <v>9</v>
      </c>
      <c r="B321" t="s">
        <v>418</v>
      </c>
      <c r="C321">
        <v>1</v>
      </c>
      <c r="D321" s="1">
        <v>45019.0625</v>
      </c>
      <c r="E321" s="1">
        <v>45019.178472222222</v>
      </c>
      <c r="F321" t="s">
        <v>52</v>
      </c>
      <c r="G321" t="s">
        <v>22</v>
      </c>
      <c r="H321" t="s">
        <v>36</v>
      </c>
      <c r="I321">
        <v>4402</v>
      </c>
      <c r="J321" t="s">
        <v>28</v>
      </c>
      <c r="K321">
        <v>320</v>
      </c>
      <c r="L321" t="s">
        <v>59</v>
      </c>
      <c r="M321" t="s">
        <v>42</v>
      </c>
    </row>
    <row r="322" spans="1:13" x14ac:dyDescent="0.3">
      <c r="A322">
        <v>18</v>
      </c>
      <c r="B322" t="s">
        <v>419</v>
      </c>
      <c r="C322">
        <v>5</v>
      </c>
      <c r="D322" s="1">
        <v>45019.086111111108</v>
      </c>
      <c r="E322" s="1">
        <v>45019.179166666669</v>
      </c>
      <c r="F322" t="s">
        <v>73</v>
      </c>
      <c r="G322" t="s">
        <v>22</v>
      </c>
      <c r="H322" t="s">
        <v>16</v>
      </c>
      <c r="I322">
        <v>2359</v>
      </c>
      <c r="J322" t="s">
        <v>17</v>
      </c>
      <c r="K322">
        <v>321</v>
      </c>
      <c r="L322" t="s">
        <v>91</v>
      </c>
      <c r="M322" t="s">
        <v>30</v>
      </c>
    </row>
    <row r="323" spans="1:13" x14ac:dyDescent="0.3">
      <c r="A323">
        <v>12</v>
      </c>
      <c r="B323" t="s">
        <v>420</v>
      </c>
      <c r="C323">
        <v>1</v>
      </c>
      <c r="D323" s="1">
        <v>45019.15347222222</v>
      </c>
      <c r="E323" s="1">
        <v>45019.240972222222</v>
      </c>
      <c r="F323" t="s">
        <v>32</v>
      </c>
      <c r="G323" t="s">
        <v>15</v>
      </c>
      <c r="H323" t="s">
        <v>16</v>
      </c>
      <c r="I323">
        <v>2469</v>
      </c>
      <c r="J323" t="s">
        <v>24</v>
      </c>
      <c r="K323">
        <v>322</v>
      </c>
      <c r="L323" t="s">
        <v>62</v>
      </c>
      <c r="M323" t="s">
        <v>105</v>
      </c>
    </row>
    <row r="324" spans="1:13" x14ac:dyDescent="0.3">
      <c r="A324">
        <v>8</v>
      </c>
      <c r="B324" t="s">
        <v>421</v>
      </c>
      <c r="C324">
        <v>1</v>
      </c>
      <c r="D324" s="1">
        <v>45019.057638888888</v>
      </c>
      <c r="E324" s="1">
        <v>45019.179861111108</v>
      </c>
      <c r="F324" t="s">
        <v>21</v>
      </c>
      <c r="G324" t="s">
        <v>48</v>
      </c>
      <c r="H324" t="s">
        <v>23</v>
      </c>
      <c r="I324">
        <v>443</v>
      </c>
      <c r="J324" t="s">
        <v>17</v>
      </c>
      <c r="K324">
        <v>323</v>
      </c>
      <c r="L324" t="s">
        <v>33</v>
      </c>
      <c r="M324" t="s">
        <v>92</v>
      </c>
    </row>
    <row r="325" spans="1:13" x14ac:dyDescent="0.3">
      <c r="A325">
        <v>9</v>
      </c>
      <c r="B325" t="s">
        <v>422</v>
      </c>
      <c r="C325">
        <v>6</v>
      </c>
      <c r="D325" s="1">
        <v>45019.029861111114</v>
      </c>
      <c r="E325" s="1">
        <v>45019.07708333333</v>
      </c>
      <c r="F325" t="s">
        <v>73</v>
      </c>
      <c r="G325" t="s">
        <v>15</v>
      </c>
      <c r="H325" t="s">
        <v>16</v>
      </c>
      <c r="I325">
        <v>216</v>
      </c>
      <c r="J325" t="s">
        <v>17</v>
      </c>
      <c r="K325">
        <v>324</v>
      </c>
      <c r="L325" t="s">
        <v>18</v>
      </c>
      <c r="M325" t="s">
        <v>40</v>
      </c>
    </row>
    <row r="326" spans="1:13" x14ac:dyDescent="0.3">
      <c r="A326">
        <v>18</v>
      </c>
      <c r="B326" t="s">
        <v>423</v>
      </c>
      <c r="C326">
        <v>1</v>
      </c>
      <c r="D326" s="1">
        <v>45019.041666666664</v>
      </c>
      <c r="E326" s="1">
        <v>45019.095833333333</v>
      </c>
      <c r="F326" t="s">
        <v>32</v>
      </c>
      <c r="G326" t="s">
        <v>22</v>
      </c>
      <c r="H326" t="s">
        <v>16</v>
      </c>
      <c r="I326">
        <v>325</v>
      </c>
      <c r="J326" t="s">
        <v>28</v>
      </c>
      <c r="K326">
        <v>325</v>
      </c>
      <c r="L326" t="s">
        <v>18</v>
      </c>
      <c r="M326" t="s">
        <v>42</v>
      </c>
    </row>
    <row r="327" spans="1:13" x14ac:dyDescent="0.3">
      <c r="A327">
        <v>14</v>
      </c>
      <c r="B327" t="s">
        <v>230</v>
      </c>
      <c r="C327">
        <v>4</v>
      </c>
      <c r="D327" s="1">
        <v>45020.068749999999</v>
      </c>
      <c r="E327" s="1">
        <v>45020.231944444444</v>
      </c>
      <c r="F327" t="s">
        <v>73</v>
      </c>
      <c r="G327" t="s">
        <v>48</v>
      </c>
      <c r="H327" t="s">
        <v>36</v>
      </c>
      <c r="I327">
        <v>1385</v>
      </c>
      <c r="J327" t="s">
        <v>24</v>
      </c>
      <c r="K327">
        <v>326</v>
      </c>
      <c r="L327" t="s">
        <v>18</v>
      </c>
      <c r="M327" t="s">
        <v>19</v>
      </c>
    </row>
    <row r="328" spans="1:13" x14ac:dyDescent="0.3">
      <c r="A328">
        <v>12</v>
      </c>
      <c r="B328" t="s">
        <v>208</v>
      </c>
      <c r="C328">
        <v>5</v>
      </c>
      <c r="D328" s="1">
        <v>45020.124305555553</v>
      </c>
      <c r="E328" s="1">
        <v>45020.191666666666</v>
      </c>
      <c r="F328" t="s">
        <v>21</v>
      </c>
      <c r="G328" t="s">
        <v>15</v>
      </c>
      <c r="H328" t="s">
        <v>16</v>
      </c>
      <c r="I328">
        <v>1508</v>
      </c>
      <c r="J328" t="s">
        <v>28</v>
      </c>
      <c r="K328">
        <v>327</v>
      </c>
      <c r="L328" t="s">
        <v>37</v>
      </c>
      <c r="M328" t="s">
        <v>38</v>
      </c>
    </row>
    <row r="329" spans="1:13" x14ac:dyDescent="0.3">
      <c r="A329">
        <v>4</v>
      </c>
      <c r="B329" t="s">
        <v>136</v>
      </c>
      <c r="C329">
        <v>3</v>
      </c>
      <c r="D329" s="1">
        <v>45020.072222222225</v>
      </c>
      <c r="E329" s="1">
        <v>45020.171527777777</v>
      </c>
      <c r="F329" t="s">
        <v>32</v>
      </c>
      <c r="G329" t="s">
        <v>15</v>
      </c>
      <c r="H329" t="s">
        <v>16</v>
      </c>
      <c r="I329">
        <v>1385</v>
      </c>
      <c r="J329" t="s">
        <v>28</v>
      </c>
      <c r="K329">
        <v>328</v>
      </c>
      <c r="L329" t="s">
        <v>33</v>
      </c>
      <c r="M329" t="s">
        <v>19</v>
      </c>
    </row>
    <row r="330" spans="1:13" x14ac:dyDescent="0.3">
      <c r="A330">
        <v>13</v>
      </c>
      <c r="B330" t="s">
        <v>424</v>
      </c>
      <c r="C330">
        <v>1</v>
      </c>
      <c r="D330" s="1">
        <v>45020.018055555556</v>
      </c>
      <c r="E330" s="1">
        <v>45020.111805555556</v>
      </c>
      <c r="F330" t="s">
        <v>32</v>
      </c>
      <c r="G330" t="s">
        <v>22</v>
      </c>
      <c r="H330" t="s">
        <v>16</v>
      </c>
      <c r="I330">
        <v>3889</v>
      </c>
      <c r="J330" t="s">
        <v>24</v>
      </c>
      <c r="K330">
        <v>329</v>
      </c>
      <c r="L330" t="s">
        <v>29</v>
      </c>
      <c r="M330" t="s">
        <v>42</v>
      </c>
    </row>
    <row r="331" spans="1:13" x14ac:dyDescent="0.3">
      <c r="A331">
        <v>10</v>
      </c>
      <c r="B331" t="s">
        <v>153</v>
      </c>
      <c r="C331">
        <v>6</v>
      </c>
      <c r="D331" s="1">
        <v>45020.076388888891</v>
      </c>
      <c r="E331" s="1">
        <v>45020.164583333331</v>
      </c>
      <c r="F331" t="s">
        <v>52</v>
      </c>
      <c r="G331" t="s">
        <v>48</v>
      </c>
      <c r="H331" t="s">
        <v>16</v>
      </c>
      <c r="I331">
        <v>3217</v>
      </c>
      <c r="J331" t="s">
        <v>24</v>
      </c>
      <c r="K331">
        <v>330</v>
      </c>
      <c r="L331" t="s">
        <v>29</v>
      </c>
      <c r="M331" t="s">
        <v>60</v>
      </c>
    </row>
    <row r="332" spans="1:13" x14ac:dyDescent="0.3">
      <c r="A332">
        <v>20</v>
      </c>
      <c r="B332" t="s">
        <v>425</v>
      </c>
      <c r="C332">
        <v>3</v>
      </c>
      <c r="D332" s="1">
        <v>45020.129166666666</v>
      </c>
      <c r="E332" s="1">
        <v>45020.261805555558</v>
      </c>
      <c r="F332" t="s">
        <v>14</v>
      </c>
      <c r="G332" t="s">
        <v>15</v>
      </c>
      <c r="H332" t="s">
        <v>36</v>
      </c>
      <c r="I332">
        <v>3661</v>
      </c>
      <c r="J332" t="s">
        <v>28</v>
      </c>
      <c r="K332">
        <v>331</v>
      </c>
      <c r="L332" t="s">
        <v>70</v>
      </c>
      <c r="M332" t="s">
        <v>53</v>
      </c>
    </row>
    <row r="333" spans="1:13" x14ac:dyDescent="0.3">
      <c r="A333">
        <v>6</v>
      </c>
      <c r="B333" t="s">
        <v>137</v>
      </c>
      <c r="C333">
        <v>1</v>
      </c>
      <c r="D333" s="1">
        <v>45020.009722222225</v>
      </c>
      <c r="E333" s="1">
        <v>45020.061805555553</v>
      </c>
      <c r="F333" t="s">
        <v>32</v>
      </c>
      <c r="G333" t="s">
        <v>22</v>
      </c>
      <c r="H333" t="s">
        <v>36</v>
      </c>
      <c r="I333">
        <v>2521</v>
      </c>
      <c r="J333" t="s">
        <v>28</v>
      </c>
      <c r="K333">
        <v>332</v>
      </c>
      <c r="L333" t="s">
        <v>49</v>
      </c>
      <c r="M333" t="s">
        <v>34</v>
      </c>
    </row>
    <row r="334" spans="1:13" x14ac:dyDescent="0.3">
      <c r="A334">
        <v>6</v>
      </c>
      <c r="B334" t="s">
        <v>186</v>
      </c>
      <c r="C334">
        <v>1</v>
      </c>
      <c r="D334" s="1">
        <v>45020.131944444445</v>
      </c>
      <c r="E334" s="1">
        <v>45020.186805555553</v>
      </c>
      <c r="F334" t="s">
        <v>14</v>
      </c>
      <c r="G334" t="s">
        <v>15</v>
      </c>
      <c r="H334" t="s">
        <v>16</v>
      </c>
      <c r="I334">
        <v>1319</v>
      </c>
      <c r="J334" t="s">
        <v>17</v>
      </c>
      <c r="K334">
        <v>333</v>
      </c>
      <c r="L334" t="s">
        <v>70</v>
      </c>
      <c r="M334" t="s">
        <v>44</v>
      </c>
    </row>
    <row r="335" spans="1:13" x14ac:dyDescent="0.3">
      <c r="A335">
        <v>12</v>
      </c>
      <c r="B335" t="s">
        <v>426</v>
      </c>
      <c r="C335">
        <v>4</v>
      </c>
      <c r="D335" s="1">
        <v>45020.118750000001</v>
      </c>
      <c r="E335" s="1">
        <v>45020.271527777775</v>
      </c>
      <c r="F335" t="s">
        <v>73</v>
      </c>
      <c r="G335" t="s">
        <v>48</v>
      </c>
      <c r="H335" t="s">
        <v>16</v>
      </c>
      <c r="I335">
        <v>175</v>
      </c>
      <c r="J335" t="s">
        <v>17</v>
      </c>
      <c r="K335">
        <v>334</v>
      </c>
      <c r="L335" t="s">
        <v>49</v>
      </c>
      <c r="M335" t="s">
        <v>42</v>
      </c>
    </row>
    <row r="336" spans="1:13" x14ac:dyDescent="0.3">
      <c r="A336">
        <v>14</v>
      </c>
      <c r="B336" t="s">
        <v>427</v>
      </c>
      <c r="C336">
        <v>3</v>
      </c>
      <c r="D336" s="1">
        <v>45020.080555555556</v>
      </c>
      <c r="E336" s="1">
        <v>45020.131249999999</v>
      </c>
      <c r="F336" t="s">
        <v>14</v>
      </c>
      <c r="G336" t="s">
        <v>22</v>
      </c>
      <c r="H336" t="s">
        <v>36</v>
      </c>
      <c r="I336">
        <v>4156</v>
      </c>
      <c r="J336" t="s">
        <v>17</v>
      </c>
      <c r="K336">
        <v>335</v>
      </c>
      <c r="L336" t="s">
        <v>25</v>
      </c>
      <c r="M336" t="s">
        <v>40</v>
      </c>
    </row>
    <row r="337" spans="1:13" x14ac:dyDescent="0.3">
      <c r="A337">
        <v>4</v>
      </c>
      <c r="B337" t="s">
        <v>428</v>
      </c>
      <c r="C337">
        <v>5</v>
      </c>
      <c r="D337" s="1">
        <v>45020.065972222219</v>
      </c>
      <c r="E337" s="1">
        <v>45020.20208333333</v>
      </c>
      <c r="F337" t="s">
        <v>32</v>
      </c>
      <c r="G337" t="s">
        <v>15</v>
      </c>
      <c r="H337" t="s">
        <v>16</v>
      </c>
      <c r="I337">
        <v>1793</v>
      </c>
      <c r="J337" t="s">
        <v>17</v>
      </c>
      <c r="K337">
        <v>336</v>
      </c>
      <c r="L337" t="s">
        <v>49</v>
      </c>
      <c r="M337" t="s">
        <v>42</v>
      </c>
    </row>
    <row r="338" spans="1:13" x14ac:dyDescent="0.3">
      <c r="A338">
        <v>11</v>
      </c>
      <c r="B338" t="s">
        <v>429</v>
      </c>
      <c r="C338">
        <v>2</v>
      </c>
      <c r="D338" s="1">
        <v>45020.068055555559</v>
      </c>
      <c r="E338" s="1">
        <v>45020.188194444447</v>
      </c>
      <c r="F338" t="s">
        <v>21</v>
      </c>
      <c r="G338" t="s">
        <v>15</v>
      </c>
      <c r="H338" t="s">
        <v>16</v>
      </c>
      <c r="I338">
        <v>1928</v>
      </c>
      <c r="J338" t="s">
        <v>28</v>
      </c>
      <c r="K338">
        <v>337</v>
      </c>
      <c r="L338" t="s">
        <v>25</v>
      </c>
      <c r="M338" t="s">
        <v>75</v>
      </c>
    </row>
    <row r="339" spans="1:13" x14ac:dyDescent="0.3">
      <c r="A339">
        <v>18</v>
      </c>
      <c r="B339" t="s">
        <v>430</v>
      </c>
      <c r="C339">
        <v>2</v>
      </c>
      <c r="D339" s="1">
        <v>45020.022222222222</v>
      </c>
      <c r="E339" s="1">
        <v>45020.145833333336</v>
      </c>
      <c r="F339" t="s">
        <v>21</v>
      </c>
      <c r="G339" t="s">
        <v>22</v>
      </c>
      <c r="H339" t="s">
        <v>36</v>
      </c>
      <c r="I339">
        <v>3062</v>
      </c>
      <c r="J339" t="s">
        <v>28</v>
      </c>
      <c r="K339">
        <v>338</v>
      </c>
      <c r="L339" t="s">
        <v>62</v>
      </c>
      <c r="M339" t="s">
        <v>38</v>
      </c>
    </row>
    <row r="340" spans="1:13" x14ac:dyDescent="0.3">
      <c r="A340">
        <v>13</v>
      </c>
      <c r="B340" t="s">
        <v>431</v>
      </c>
      <c r="C340">
        <v>2</v>
      </c>
      <c r="D340" s="1">
        <v>45020</v>
      </c>
      <c r="E340" s="1">
        <v>45020.084027777775</v>
      </c>
      <c r="F340" t="s">
        <v>52</v>
      </c>
      <c r="G340" t="s">
        <v>48</v>
      </c>
      <c r="H340" t="s">
        <v>36</v>
      </c>
      <c r="I340">
        <v>196</v>
      </c>
      <c r="J340" t="s">
        <v>28</v>
      </c>
      <c r="K340">
        <v>339</v>
      </c>
      <c r="L340" t="s">
        <v>18</v>
      </c>
      <c r="M340" t="s">
        <v>26</v>
      </c>
    </row>
    <row r="341" spans="1:13" x14ac:dyDescent="0.3">
      <c r="A341">
        <v>15</v>
      </c>
      <c r="B341" t="s">
        <v>432</v>
      </c>
      <c r="C341">
        <v>1</v>
      </c>
      <c r="D341" s="1">
        <v>45020.05</v>
      </c>
      <c r="E341" s="1">
        <v>45020.193055555559</v>
      </c>
      <c r="F341" t="s">
        <v>52</v>
      </c>
      <c r="G341" t="s">
        <v>22</v>
      </c>
      <c r="H341" t="s">
        <v>16</v>
      </c>
      <c r="I341">
        <v>3852</v>
      </c>
      <c r="J341" t="s">
        <v>17</v>
      </c>
      <c r="K341">
        <v>340</v>
      </c>
      <c r="L341" t="s">
        <v>59</v>
      </c>
      <c r="M341" t="s">
        <v>34</v>
      </c>
    </row>
    <row r="342" spans="1:13" x14ac:dyDescent="0.3">
      <c r="A342">
        <v>14</v>
      </c>
      <c r="B342" t="s">
        <v>433</v>
      </c>
      <c r="C342">
        <v>5</v>
      </c>
      <c r="D342" s="1">
        <v>45020.086805555555</v>
      </c>
      <c r="E342" s="1">
        <v>45020.179861111108</v>
      </c>
      <c r="F342" t="s">
        <v>52</v>
      </c>
      <c r="G342" t="s">
        <v>48</v>
      </c>
      <c r="H342" t="s">
        <v>16</v>
      </c>
      <c r="I342">
        <v>4705</v>
      </c>
      <c r="J342" t="s">
        <v>17</v>
      </c>
      <c r="K342">
        <v>341</v>
      </c>
      <c r="L342" t="s">
        <v>18</v>
      </c>
      <c r="M342" t="s">
        <v>30</v>
      </c>
    </row>
    <row r="343" spans="1:13" x14ac:dyDescent="0.3">
      <c r="A343">
        <v>19</v>
      </c>
      <c r="B343" t="s">
        <v>434</v>
      </c>
      <c r="C343">
        <v>5</v>
      </c>
      <c r="D343" s="1">
        <v>45020.104166666664</v>
      </c>
      <c r="E343" s="1">
        <v>45020.257638888892</v>
      </c>
      <c r="F343" t="s">
        <v>52</v>
      </c>
      <c r="G343" t="s">
        <v>48</v>
      </c>
      <c r="H343" t="s">
        <v>16</v>
      </c>
      <c r="I343">
        <v>2006</v>
      </c>
      <c r="J343" t="s">
        <v>17</v>
      </c>
      <c r="K343">
        <v>342</v>
      </c>
      <c r="L343" t="s">
        <v>29</v>
      </c>
      <c r="M343" t="s">
        <v>89</v>
      </c>
    </row>
    <row r="344" spans="1:13" x14ac:dyDescent="0.3">
      <c r="A344">
        <v>12</v>
      </c>
      <c r="B344" t="s">
        <v>435</v>
      </c>
      <c r="C344">
        <v>1</v>
      </c>
      <c r="D344" s="1">
        <v>45020.163888888892</v>
      </c>
      <c r="E344" s="1">
        <v>45020.239583333336</v>
      </c>
      <c r="F344" t="s">
        <v>21</v>
      </c>
      <c r="G344" t="s">
        <v>22</v>
      </c>
      <c r="H344" t="s">
        <v>16</v>
      </c>
      <c r="I344">
        <v>2301</v>
      </c>
      <c r="J344" t="s">
        <v>24</v>
      </c>
      <c r="K344">
        <v>343</v>
      </c>
      <c r="L344" t="s">
        <v>18</v>
      </c>
      <c r="M344" t="s">
        <v>38</v>
      </c>
    </row>
    <row r="345" spans="1:13" x14ac:dyDescent="0.3">
      <c r="A345">
        <v>15</v>
      </c>
      <c r="B345" t="s">
        <v>436</v>
      </c>
      <c r="C345">
        <v>3</v>
      </c>
      <c r="D345" s="1">
        <v>45020.031944444447</v>
      </c>
      <c r="E345" s="1">
        <v>45020.086111111108</v>
      </c>
      <c r="F345" t="s">
        <v>32</v>
      </c>
      <c r="G345" t="s">
        <v>22</v>
      </c>
      <c r="H345" t="s">
        <v>16</v>
      </c>
      <c r="I345">
        <v>3301</v>
      </c>
      <c r="J345" t="s">
        <v>24</v>
      </c>
      <c r="K345">
        <v>344</v>
      </c>
      <c r="L345" t="s">
        <v>33</v>
      </c>
      <c r="M345" t="s">
        <v>19</v>
      </c>
    </row>
    <row r="346" spans="1:13" x14ac:dyDescent="0.3">
      <c r="A346">
        <v>16</v>
      </c>
      <c r="B346" t="s">
        <v>138</v>
      </c>
      <c r="C346">
        <v>3</v>
      </c>
      <c r="D346" s="1">
        <v>45020.054166666669</v>
      </c>
      <c r="E346" s="1">
        <v>45020.179861111108</v>
      </c>
      <c r="F346" t="s">
        <v>14</v>
      </c>
      <c r="G346" t="s">
        <v>22</v>
      </c>
      <c r="H346" t="s">
        <v>16</v>
      </c>
      <c r="I346">
        <v>1398</v>
      </c>
      <c r="J346" t="s">
        <v>24</v>
      </c>
      <c r="K346">
        <v>345</v>
      </c>
      <c r="L346" t="s">
        <v>33</v>
      </c>
      <c r="M346" t="s">
        <v>53</v>
      </c>
    </row>
    <row r="347" spans="1:13" x14ac:dyDescent="0.3">
      <c r="A347">
        <v>1</v>
      </c>
      <c r="B347" t="s">
        <v>139</v>
      </c>
      <c r="C347">
        <v>5</v>
      </c>
      <c r="D347" s="1">
        <v>45020.027777777781</v>
      </c>
      <c r="E347" s="1">
        <v>45020.163888888892</v>
      </c>
      <c r="F347" t="s">
        <v>21</v>
      </c>
      <c r="G347" t="s">
        <v>22</v>
      </c>
      <c r="H347" t="s">
        <v>36</v>
      </c>
      <c r="I347">
        <v>3593</v>
      </c>
      <c r="J347" t="s">
        <v>28</v>
      </c>
      <c r="K347">
        <v>346</v>
      </c>
      <c r="L347" t="s">
        <v>49</v>
      </c>
      <c r="M347" t="s">
        <v>44</v>
      </c>
    </row>
    <row r="348" spans="1:13" x14ac:dyDescent="0.3">
      <c r="A348">
        <v>7</v>
      </c>
      <c r="B348" t="s">
        <v>140</v>
      </c>
      <c r="C348">
        <v>4</v>
      </c>
      <c r="D348" s="1">
        <v>45020.075694444444</v>
      </c>
      <c r="E348" s="1">
        <v>45020.19027777778</v>
      </c>
      <c r="F348" t="s">
        <v>14</v>
      </c>
      <c r="G348" t="s">
        <v>22</v>
      </c>
      <c r="H348" t="s">
        <v>16</v>
      </c>
      <c r="I348">
        <v>4852</v>
      </c>
      <c r="J348" t="s">
        <v>28</v>
      </c>
      <c r="K348">
        <v>347</v>
      </c>
      <c r="L348" t="s">
        <v>33</v>
      </c>
      <c r="M348" t="s">
        <v>19</v>
      </c>
    </row>
    <row r="349" spans="1:13" x14ac:dyDescent="0.3">
      <c r="A349">
        <v>16</v>
      </c>
      <c r="B349" t="s">
        <v>437</v>
      </c>
      <c r="C349">
        <v>2</v>
      </c>
      <c r="D349" s="1">
        <v>45020.053472222222</v>
      </c>
      <c r="E349" s="1">
        <v>45020.207638888889</v>
      </c>
      <c r="F349" t="s">
        <v>32</v>
      </c>
      <c r="G349" t="s">
        <v>22</v>
      </c>
      <c r="H349" t="s">
        <v>16</v>
      </c>
      <c r="I349">
        <v>3078</v>
      </c>
      <c r="J349" t="s">
        <v>24</v>
      </c>
      <c r="K349">
        <v>348</v>
      </c>
      <c r="L349" t="s">
        <v>70</v>
      </c>
      <c r="M349" t="s">
        <v>71</v>
      </c>
    </row>
    <row r="350" spans="1:13" x14ac:dyDescent="0.3">
      <c r="A350">
        <v>13</v>
      </c>
      <c r="B350" t="s">
        <v>438</v>
      </c>
      <c r="C350">
        <v>1</v>
      </c>
      <c r="D350" s="1">
        <v>45020.158333333333</v>
      </c>
      <c r="E350" s="1">
        <v>45020.313194444447</v>
      </c>
      <c r="F350" t="s">
        <v>21</v>
      </c>
      <c r="G350" t="s">
        <v>48</v>
      </c>
      <c r="H350" t="s">
        <v>16</v>
      </c>
      <c r="I350">
        <v>4063</v>
      </c>
      <c r="J350" t="s">
        <v>24</v>
      </c>
      <c r="K350">
        <v>349</v>
      </c>
      <c r="L350" t="s">
        <v>25</v>
      </c>
      <c r="M350" t="s">
        <v>40</v>
      </c>
    </row>
    <row r="351" spans="1:13" x14ac:dyDescent="0.3">
      <c r="A351">
        <v>2</v>
      </c>
      <c r="B351" t="s">
        <v>439</v>
      </c>
      <c r="C351">
        <v>6</v>
      </c>
      <c r="D351" s="1">
        <v>45020.024305555555</v>
      </c>
      <c r="E351" s="1">
        <v>45020.124305555553</v>
      </c>
      <c r="F351" t="s">
        <v>21</v>
      </c>
      <c r="G351" t="s">
        <v>48</v>
      </c>
      <c r="H351" t="s">
        <v>36</v>
      </c>
      <c r="I351">
        <v>3621</v>
      </c>
      <c r="J351" t="s">
        <v>28</v>
      </c>
      <c r="K351">
        <v>350</v>
      </c>
      <c r="L351" t="s">
        <v>37</v>
      </c>
      <c r="M351" t="s">
        <v>56</v>
      </c>
    </row>
    <row r="352" spans="1:13" x14ac:dyDescent="0.3">
      <c r="A352">
        <v>1</v>
      </c>
      <c r="B352" t="s">
        <v>440</v>
      </c>
      <c r="C352">
        <v>6</v>
      </c>
      <c r="D352" s="1">
        <v>45020.161111111112</v>
      </c>
      <c r="E352" s="1">
        <v>45020.256249999999</v>
      </c>
      <c r="F352" t="s">
        <v>73</v>
      </c>
      <c r="G352" t="s">
        <v>48</v>
      </c>
      <c r="H352" t="s">
        <v>16</v>
      </c>
      <c r="I352">
        <v>4893</v>
      </c>
      <c r="J352" t="s">
        <v>17</v>
      </c>
      <c r="K352">
        <v>351</v>
      </c>
      <c r="L352" t="s">
        <v>25</v>
      </c>
      <c r="M352" t="s">
        <v>105</v>
      </c>
    </row>
    <row r="353" spans="1:13" x14ac:dyDescent="0.3">
      <c r="A353">
        <v>1</v>
      </c>
      <c r="B353" t="s">
        <v>141</v>
      </c>
      <c r="C353">
        <v>3</v>
      </c>
      <c r="D353" s="1">
        <v>45020.011805555558</v>
      </c>
      <c r="E353" s="1">
        <v>45020.120138888888</v>
      </c>
      <c r="F353" t="s">
        <v>52</v>
      </c>
      <c r="G353" t="s">
        <v>48</v>
      </c>
      <c r="H353" t="s">
        <v>23</v>
      </c>
      <c r="I353">
        <v>1755</v>
      </c>
      <c r="J353" t="s">
        <v>28</v>
      </c>
      <c r="K353">
        <v>352</v>
      </c>
      <c r="L353" t="s">
        <v>70</v>
      </c>
      <c r="M353" t="s">
        <v>112</v>
      </c>
    </row>
    <row r="354" spans="1:13" x14ac:dyDescent="0.3">
      <c r="A354">
        <v>7</v>
      </c>
      <c r="B354" t="s">
        <v>441</v>
      </c>
      <c r="C354">
        <v>5</v>
      </c>
      <c r="D354" s="1">
        <v>45020.156944444447</v>
      </c>
      <c r="E354" s="1">
        <v>45020.316666666666</v>
      </c>
      <c r="F354" t="s">
        <v>21</v>
      </c>
      <c r="G354" t="s">
        <v>15</v>
      </c>
      <c r="H354" t="s">
        <v>16</v>
      </c>
      <c r="I354">
        <v>2737</v>
      </c>
      <c r="J354" t="s">
        <v>28</v>
      </c>
      <c r="K354">
        <v>353</v>
      </c>
      <c r="L354" t="s">
        <v>25</v>
      </c>
      <c r="M354" t="s">
        <v>92</v>
      </c>
    </row>
    <row r="355" spans="1:13" x14ac:dyDescent="0.3">
      <c r="A355">
        <v>12</v>
      </c>
      <c r="B355" t="s">
        <v>442</v>
      </c>
      <c r="C355">
        <v>6</v>
      </c>
      <c r="D355" s="1">
        <v>45020.018055555556</v>
      </c>
      <c r="E355" s="1">
        <v>45020.14166666667</v>
      </c>
      <c r="F355" t="s">
        <v>21</v>
      </c>
      <c r="G355" t="s">
        <v>48</v>
      </c>
      <c r="H355" t="s">
        <v>16</v>
      </c>
      <c r="I355">
        <v>2958</v>
      </c>
      <c r="J355" t="s">
        <v>24</v>
      </c>
      <c r="K355">
        <v>354</v>
      </c>
      <c r="L355" t="s">
        <v>70</v>
      </c>
      <c r="M355" t="s">
        <v>53</v>
      </c>
    </row>
    <row r="356" spans="1:13" x14ac:dyDescent="0.3">
      <c r="A356">
        <v>4</v>
      </c>
      <c r="B356" t="s">
        <v>142</v>
      </c>
      <c r="C356">
        <v>4</v>
      </c>
      <c r="D356" s="1">
        <v>45020.070138888892</v>
      </c>
      <c r="E356" s="1">
        <v>45020.213194444441</v>
      </c>
      <c r="F356" t="s">
        <v>21</v>
      </c>
      <c r="G356" t="s">
        <v>48</v>
      </c>
      <c r="H356" t="s">
        <v>16</v>
      </c>
      <c r="I356">
        <v>3053</v>
      </c>
      <c r="J356" t="s">
        <v>28</v>
      </c>
      <c r="K356">
        <v>355</v>
      </c>
      <c r="L356" t="s">
        <v>59</v>
      </c>
      <c r="M356" t="s">
        <v>71</v>
      </c>
    </row>
    <row r="357" spans="1:13" x14ac:dyDescent="0.3">
      <c r="A357">
        <v>1</v>
      </c>
      <c r="B357" t="s">
        <v>143</v>
      </c>
      <c r="C357">
        <v>1</v>
      </c>
      <c r="D357" s="1">
        <v>45020.008333333331</v>
      </c>
      <c r="E357" s="1">
        <v>45020.095833333333</v>
      </c>
      <c r="F357" t="s">
        <v>52</v>
      </c>
      <c r="G357" t="s">
        <v>48</v>
      </c>
      <c r="H357" t="s">
        <v>16</v>
      </c>
      <c r="I357">
        <v>2892</v>
      </c>
      <c r="J357" t="s">
        <v>24</v>
      </c>
      <c r="K357">
        <v>356</v>
      </c>
      <c r="L357" t="s">
        <v>25</v>
      </c>
      <c r="M357" t="s">
        <v>46</v>
      </c>
    </row>
    <row r="358" spans="1:13" x14ac:dyDescent="0.3">
      <c r="A358">
        <v>17</v>
      </c>
      <c r="B358" t="s">
        <v>443</v>
      </c>
      <c r="C358">
        <v>2</v>
      </c>
      <c r="D358" s="1">
        <v>45020.054861111108</v>
      </c>
      <c r="E358" s="1">
        <v>45020.18472222222</v>
      </c>
      <c r="F358" t="s">
        <v>52</v>
      </c>
      <c r="G358" t="s">
        <v>48</v>
      </c>
      <c r="H358" t="s">
        <v>36</v>
      </c>
      <c r="I358">
        <v>2687</v>
      </c>
      <c r="J358" t="s">
        <v>24</v>
      </c>
      <c r="K358">
        <v>357</v>
      </c>
      <c r="L358" t="s">
        <v>33</v>
      </c>
      <c r="M358" t="s">
        <v>60</v>
      </c>
    </row>
    <row r="359" spans="1:13" x14ac:dyDescent="0.3">
      <c r="A359">
        <v>13</v>
      </c>
      <c r="B359" t="s">
        <v>399</v>
      </c>
      <c r="C359">
        <v>5</v>
      </c>
      <c r="D359" s="1">
        <v>45020.109027777777</v>
      </c>
      <c r="E359" s="1">
        <v>45020.247916666667</v>
      </c>
      <c r="F359" t="s">
        <v>21</v>
      </c>
      <c r="G359" t="s">
        <v>15</v>
      </c>
      <c r="H359" t="s">
        <v>16</v>
      </c>
      <c r="I359">
        <v>421</v>
      </c>
      <c r="J359" t="s">
        <v>28</v>
      </c>
      <c r="K359">
        <v>358</v>
      </c>
      <c r="L359" t="s">
        <v>55</v>
      </c>
      <c r="M359" t="s">
        <v>71</v>
      </c>
    </row>
    <row r="360" spans="1:13" x14ac:dyDescent="0.3">
      <c r="A360">
        <v>11</v>
      </c>
      <c r="B360" t="s">
        <v>313</v>
      </c>
      <c r="C360">
        <v>2</v>
      </c>
      <c r="D360" s="1">
        <v>45020.02847222222</v>
      </c>
      <c r="E360" s="1">
        <v>45020.173611111109</v>
      </c>
      <c r="F360" t="s">
        <v>32</v>
      </c>
      <c r="G360" t="s">
        <v>22</v>
      </c>
      <c r="H360" t="s">
        <v>16</v>
      </c>
      <c r="I360">
        <v>122</v>
      </c>
      <c r="J360" t="s">
        <v>28</v>
      </c>
      <c r="K360">
        <v>359</v>
      </c>
      <c r="L360" t="s">
        <v>18</v>
      </c>
      <c r="M360" t="s">
        <v>92</v>
      </c>
    </row>
    <row r="361" spans="1:13" x14ac:dyDescent="0.3">
      <c r="A361">
        <v>16</v>
      </c>
      <c r="B361" t="s">
        <v>444</v>
      </c>
      <c r="C361">
        <v>3</v>
      </c>
      <c r="D361" s="1">
        <v>45020.048611111109</v>
      </c>
      <c r="E361" s="1">
        <v>45020.206944444442</v>
      </c>
      <c r="F361" t="s">
        <v>52</v>
      </c>
      <c r="G361" t="s">
        <v>22</v>
      </c>
      <c r="H361" t="s">
        <v>16</v>
      </c>
      <c r="I361">
        <v>3926</v>
      </c>
      <c r="J361" t="s">
        <v>24</v>
      </c>
      <c r="K361">
        <v>360</v>
      </c>
      <c r="L361" t="s">
        <v>18</v>
      </c>
      <c r="M361" t="s">
        <v>42</v>
      </c>
    </row>
    <row r="362" spans="1:13" x14ac:dyDescent="0.3">
      <c r="A362">
        <v>16</v>
      </c>
      <c r="B362" t="s">
        <v>149</v>
      </c>
      <c r="C362">
        <v>1</v>
      </c>
      <c r="D362" s="1">
        <v>45020.078472222223</v>
      </c>
      <c r="E362" s="1">
        <v>45020.227777777778</v>
      </c>
      <c r="F362" t="s">
        <v>32</v>
      </c>
      <c r="G362" t="s">
        <v>15</v>
      </c>
      <c r="H362" t="s">
        <v>23</v>
      </c>
      <c r="I362">
        <v>4173</v>
      </c>
      <c r="J362" t="s">
        <v>17</v>
      </c>
      <c r="K362">
        <v>361</v>
      </c>
      <c r="L362" t="s">
        <v>37</v>
      </c>
      <c r="M362" t="s">
        <v>26</v>
      </c>
    </row>
    <row r="363" spans="1:13" x14ac:dyDescent="0.3">
      <c r="A363">
        <v>15</v>
      </c>
      <c r="B363" t="s">
        <v>345</v>
      </c>
      <c r="C363">
        <v>2</v>
      </c>
      <c r="D363" s="1">
        <v>45020.085416666669</v>
      </c>
      <c r="E363" s="1">
        <v>45020.249305555553</v>
      </c>
      <c r="F363" t="s">
        <v>73</v>
      </c>
      <c r="G363" t="s">
        <v>22</v>
      </c>
      <c r="H363" t="s">
        <v>16</v>
      </c>
      <c r="I363">
        <v>4721</v>
      </c>
      <c r="J363" t="s">
        <v>17</v>
      </c>
      <c r="K363">
        <v>362</v>
      </c>
      <c r="L363" t="s">
        <v>55</v>
      </c>
      <c r="M363" t="s">
        <v>66</v>
      </c>
    </row>
    <row r="364" spans="1:13" x14ac:dyDescent="0.3">
      <c r="A364">
        <v>5</v>
      </c>
      <c r="B364" t="s">
        <v>445</v>
      </c>
      <c r="C364">
        <v>2</v>
      </c>
      <c r="D364" s="1">
        <v>45020.073611111111</v>
      </c>
      <c r="E364" s="1">
        <v>45020.145138888889</v>
      </c>
      <c r="F364" t="s">
        <v>52</v>
      </c>
      <c r="G364" t="s">
        <v>22</v>
      </c>
      <c r="H364" t="s">
        <v>16</v>
      </c>
      <c r="I364">
        <v>4902</v>
      </c>
      <c r="J364" t="s">
        <v>24</v>
      </c>
      <c r="K364">
        <v>363</v>
      </c>
      <c r="L364" t="s">
        <v>25</v>
      </c>
      <c r="M364" t="s">
        <v>40</v>
      </c>
    </row>
    <row r="365" spans="1:13" x14ac:dyDescent="0.3">
      <c r="A365">
        <v>15</v>
      </c>
      <c r="B365" t="s">
        <v>446</v>
      </c>
      <c r="C365">
        <v>2</v>
      </c>
      <c r="D365" s="1">
        <v>45020.159722222219</v>
      </c>
      <c r="E365" s="1">
        <v>45020.298611111109</v>
      </c>
      <c r="F365" t="s">
        <v>21</v>
      </c>
      <c r="G365" t="s">
        <v>22</v>
      </c>
      <c r="H365" t="s">
        <v>36</v>
      </c>
      <c r="I365">
        <v>4828</v>
      </c>
      <c r="J365" t="s">
        <v>28</v>
      </c>
      <c r="K365">
        <v>364</v>
      </c>
      <c r="L365" t="s">
        <v>25</v>
      </c>
      <c r="M365" t="s">
        <v>30</v>
      </c>
    </row>
    <row r="366" spans="1:13" x14ac:dyDescent="0.3">
      <c r="A366">
        <v>4</v>
      </c>
      <c r="B366" t="s">
        <v>144</v>
      </c>
      <c r="C366">
        <v>1</v>
      </c>
      <c r="D366" s="1">
        <v>45020.043749999997</v>
      </c>
      <c r="E366" s="1">
        <v>45020.189583333333</v>
      </c>
      <c r="F366" t="s">
        <v>52</v>
      </c>
      <c r="G366" t="s">
        <v>22</v>
      </c>
      <c r="H366" t="s">
        <v>23</v>
      </c>
      <c r="I366">
        <v>3497</v>
      </c>
      <c r="J366" t="s">
        <v>24</v>
      </c>
      <c r="K366">
        <v>365</v>
      </c>
      <c r="L366" t="s">
        <v>33</v>
      </c>
      <c r="M366" t="s">
        <v>44</v>
      </c>
    </row>
    <row r="367" spans="1:13" x14ac:dyDescent="0.3">
      <c r="A367">
        <v>17</v>
      </c>
      <c r="B367" t="s">
        <v>447</v>
      </c>
      <c r="C367">
        <v>5</v>
      </c>
      <c r="D367" s="1">
        <v>45020.064583333333</v>
      </c>
      <c r="E367" s="1">
        <v>45020.198611111111</v>
      </c>
      <c r="F367" t="s">
        <v>52</v>
      </c>
      <c r="G367" t="s">
        <v>22</v>
      </c>
      <c r="H367" t="s">
        <v>23</v>
      </c>
      <c r="I367">
        <v>1057</v>
      </c>
      <c r="J367" t="s">
        <v>28</v>
      </c>
      <c r="K367">
        <v>366</v>
      </c>
      <c r="L367" t="s">
        <v>33</v>
      </c>
      <c r="M367" t="s">
        <v>50</v>
      </c>
    </row>
    <row r="368" spans="1:13" x14ac:dyDescent="0.3">
      <c r="A368">
        <v>12</v>
      </c>
      <c r="B368" t="s">
        <v>448</v>
      </c>
      <c r="C368">
        <v>2</v>
      </c>
      <c r="D368" s="1">
        <v>45020.036805555559</v>
      </c>
      <c r="E368" s="1">
        <v>45020.15625</v>
      </c>
      <c r="F368" t="s">
        <v>52</v>
      </c>
      <c r="G368" t="s">
        <v>15</v>
      </c>
      <c r="H368" t="s">
        <v>16</v>
      </c>
      <c r="I368">
        <v>1262</v>
      </c>
      <c r="J368" t="s">
        <v>17</v>
      </c>
      <c r="K368">
        <v>367</v>
      </c>
      <c r="L368" t="s">
        <v>33</v>
      </c>
      <c r="M368" t="s">
        <v>71</v>
      </c>
    </row>
    <row r="369" spans="1:13" x14ac:dyDescent="0.3">
      <c r="A369">
        <v>13</v>
      </c>
      <c r="B369" t="s">
        <v>449</v>
      </c>
      <c r="C369">
        <v>1</v>
      </c>
      <c r="D369" s="1">
        <v>45020.14166666667</v>
      </c>
      <c r="E369" s="1">
        <v>45020.231249999997</v>
      </c>
      <c r="F369" t="s">
        <v>73</v>
      </c>
      <c r="G369" t="s">
        <v>48</v>
      </c>
      <c r="H369" t="s">
        <v>36</v>
      </c>
      <c r="I369">
        <v>3765</v>
      </c>
      <c r="J369" t="s">
        <v>24</v>
      </c>
      <c r="K369">
        <v>368</v>
      </c>
      <c r="L369" t="s">
        <v>37</v>
      </c>
      <c r="M369" t="s">
        <v>112</v>
      </c>
    </row>
    <row r="370" spans="1:13" x14ac:dyDescent="0.3">
      <c r="A370">
        <v>20</v>
      </c>
      <c r="B370" t="s">
        <v>450</v>
      </c>
      <c r="C370">
        <v>2</v>
      </c>
      <c r="D370" s="1">
        <v>45020.09097222222</v>
      </c>
      <c r="E370" s="1">
        <v>45020.245833333334</v>
      </c>
      <c r="F370" t="s">
        <v>21</v>
      </c>
      <c r="G370" t="s">
        <v>22</v>
      </c>
      <c r="H370" t="s">
        <v>16</v>
      </c>
      <c r="I370">
        <v>3483</v>
      </c>
      <c r="J370" t="s">
        <v>17</v>
      </c>
      <c r="K370">
        <v>369</v>
      </c>
      <c r="L370" t="s">
        <v>55</v>
      </c>
      <c r="M370" t="s">
        <v>56</v>
      </c>
    </row>
    <row r="371" spans="1:13" x14ac:dyDescent="0.3">
      <c r="A371">
        <v>13</v>
      </c>
      <c r="B371" t="s">
        <v>145</v>
      </c>
      <c r="C371">
        <v>6</v>
      </c>
      <c r="D371" s="1">
        <v>45020.097222222219</v>
      </c>
      <c r="E371" s="1">
        <v>45020.140972222223</v>
      </c>
      <c r="F371" t="s">
        <v>52</v>
      </c>
      <c r="G371" t="s">
        <v>22</v>
      </c>
      <c r="H371" t="s">
        <v>16</v>
      </c>
      <c r="I371">
        <v>4779</v>
      </c>
      <c r="J371" t="s">
        <v>17</v>
      </c>
      <c r="K371">
        <v>370</v>
      </c>
      <c r="L371" t="s">
        <v>55</v>
      </c>
      <c r="M371" t="s">
        <v>44</v>
      </c>
    </row>
    <row r="372" spans="1:13" x14ac:dyDescent="0.3">
      <c r="A372">
        <v>4</v>
      </c>
      <c r="B372" t="s">
        <v>451</v>
      </c>
      <c r="C372">
        <v>3</v>
      </c>
      <c r="D372" s="1">
        <v>45020.052777777775</v>
      </c>
      <c r="E372" s="1">
        <v>45020.188194444447</v>
      </c>
      <c r="F372" t="s">
        <v>14</v>
      </c>
      <c r="G372" t="s">
        <v>15</v>
      </c>
      <c r="H372" t="s">
        <v>16</v>
      </c>
      <c r="I372">
        <v>3251</v>
      </c>
      <c r="J372" t="s">
        <v>24</v>
      </c>
      <c r="K372">
        <v>371</v>
      </c>
      <c r="L372" t="s">
        <v>62</v>
      </c>
      <c r="M372" t="s">
        <v>56</v>
      </c>
    </row>
    <row r="373" spans="1:13" x14ac:dyDescent="0.3">
      <c r="A373">
        <v>14</v>
      </c>
      <c r="B373" t="s">
        <v>146</v>
      </c>
      <c r="C373">
        <v>5</v>
      </c>
      <c r="D373" s="1">
        <v>45020.115277777775</v>
      </c>
      <c r="E373" s="1">
        <v>45020.259722222225</v>
      </c>
      <c r="F373" t="s">
        <v>32</v>
      </c>
      <c r="G373" t="s">
        <v>22</v>
      </c>
      <c r="H373" t="s">
        <v>16</v>
      </c>
      <c r="I373">
        <v>1717</v>
      </c>
      <c r="J373" t="s">
        <v>28</v>
      </c>
      <c r="K373">
        <v>372</v>
      </c>
      <c r="L373" t="s">
        <v>25</v>
      </c>
      <c r="M373" t="s">
        <v>46</v>
      </c>
    </row>
    <row r="374" spans="1:13" x14ac:dyDescent="0.3">
      <c r="A374">
        <v>19</v>
      </c>
      <c r="B374" t="s">
        <v>452</v>
      </c>
      <c r="C374">
        <v>2</v>
      </c>
      <c r="D374" s="1">
        <v>45020.025694444441</v>
      </c>
      <c r="E374" s="1">
        <v>45020.132638888892</v>
      </c>
      <c r="F374" t="s">
        <v>21</v>
      </c>
      <c r="G374" t="s">
        <v>48</v>
      </c>
      <c r="H374" t="s">
        <v>36</v>
      </c>
      <c r="I374">
        <v>2662</v>
      </c>
      <c r="J374" t="s">
        <v>24</v>
      </c>
      <c r="K374">
        <v>373</v>
      </c>
      <c r="L374" t="s">
        <v>49</v>
      </c>
      <c r="M374" t="s">
        <v>42</v>
      </c>
    </row>
    <row r="375" spans="1:13" x14ac:dyDescent="0.3">
      <c r="A375">
        <v>18</v>
      </c>
      <c r="B375" t="s">
        <v>147</v>
      </c>
      <c r="C375">
        <v>3</v>
      </c>
      <c r="D375" s="1">
        <v>45020.138194444444</v>
      </c>
      <c r="E375" s="1">
        <v>45020.183333333334</v>
      </c>
      <c r="F375" t="s">
        <v>32</v>
      </c>
      <c r="G375" t="s">
        <v>22</v>
      </c>
      <c r="H375" t="s">
        <v>16</v>
      </c>
      <c r="I375">
        <v>3335</v>
      </c>
      <c r="J375" t="s">
        <v>17</v>
      </c>
      <c r="K375">
        <v>374</v>
      </c>
      <c r="L375" t="s">
        <v>70</v>
      </c>
      <c r="M375" t="s">
        <v>19</v>
      </c>
    </row>
    <row r="376" spans="1:13" x14ac:dyDescent="0.3">
      <c r="A376">
        <v>18</v>
      </c>
      <c r="B376" t="s">
        <v>148</v>
      </c>
      <c r="C376">
        <v>1</v>
      </c>
      <c r="D376" s="1">
        <v>45020.011805555558</v>
      </c>
      <c r="E376" s="1">
        <v>45020.131249999999</v>
      </c>
      <c r="F376" t="s">
        <v>52</v>
      </c>
      <c r="G376" t="s">
        <v>22</v>
      </c>
      <c r="H376" t="s">
        <v>16</v>
      </c>
      <c r="I376">
        <v>223</v>
      </c>
      <c r="J376" t="s">
        <v>28</v>
      </c>
      <c r="K376">
        <v>375</v>
      </c>
      <c r="L376" t="s">
        <v>59</v>
      </c>
      <c r="M376" t="s">
        <v>56</v>
      </c>
    </row>
    <row r="377" spans="1:13" x14ac:dyDescent="0.3">
      <c r="A377">
        <v>16</v>
      </c>
      <c r="B377" t="s">
        <v>149</v>
      </c>
      <c r="C377">
        <v>4</v>
      </c>
      <c r="D377" s="1">
        <v>45020.120138888888</v>
      </c>
      <c r="E377" s="1">
        <v>45020.216666666667</v>
      </c>
      <c r="F377" t="s">
        <v>73</v>
      </c>
      <c r="G377" t="s">
        <v>22</v>
      </c>
      <c r="H377" t="s">
        <v>23</v>
      </c>
      <c r="I377">
        <v>2751</v>
      </c>
      <c r="J377" t="s">
        <v>24</v>
      </c>
      <c r="K377">
        <v>376</v>
      </c>
      <c r="L377" t="s">
        <v>62</v>
      </c>
      <c r="M377" t="s">
        <v>89</v>
      </c>
    </row>
    <row r="378" spans="1:13" x14ac:dyDescent="0.3">
      <c r="A378">
        <v>5</v>
      </c>
      <c r="B378" t="s">
        <v>209</v>
      </c>
      <c r="C378">
        <v>1</v>
      </c>
      <c r="D378" s="1">
        <v>45020.054166666669</v>
      </c>
      <c r="E378" s="1">
        <v>45020.198611111111</v>
      </c>
      <c r="F378" t="s">
        <v>14</v>
      </c>
      <c r="G378" t="s">
        <v>22</v>
      </c>
      <c r="H378" t="s">
        <v>16</v>
      </c>
      <c r="I378">
        <v>1496</v>
      </c>
      <c r="J378" t="s">
        <v>17</v>
      </c>
      <c r="K378">
        <v>377</v>
      </c>
      <c r="L378" t="s">
        <v>70</v>
      </c>
      <c r="M378" t="s">
        <v>38</v>
      </c>
    </row>
    <row r="379" spans="1:13" x14ac:dyDescent="0.3">
      <c r="A379">
        <v>3</v>
      </c>
      <c r="B379" t="s">
        <v>453</v>
      </c>
      <c r="C379">
        <v>1</v>
      </c>
      <c r="D379" s="1">
        <v>45020.163194444445</v>
      </c>
      <c r="E379" s="1">
        <v>45020.220833333333</v>
      </c>
      <c r="F379" t="s">
        <v>73</v>
      </c>
      <c r="G379" t="s">
        <v>22</v>
      </c>
      <c r="H379" t="s">
        <v>23</v>
      </c>
      <c r="I379">
        <v>4031</v>
      </c>
      <c r="J379" t="s">
        <v>17</v>
      </c>
      <c r="K379">
        <v>378</v>
      </c>
      <c r="L379" t="s">
        <v>18</v>
      </c>
      <c r="M379" t="s">
        <v>40</v>
      </c>
    </row>
    <row r="380" spans="1:13" x14ac:dyDescent="0.3">
      <c r="A380">
        <v>4</v>
      </c>
      <c r="B380" t="s">
        <v>150</v>
      </c>
      <c r="C380">
        <v>2</v>
      </c>
      <c r="D380" s="1">
        <v>45020.063194444447</v>
      </c>
      <c r="E380" s="1">
        <v>45020.164583333331</v>
      </c>
      <c r="F380" t="s">
        <v>52</v>
      </c>
      <c r="G380" t="s">
        <v>48</v>
      </c>
      <c r="H380" t="s">
        <v>16</v>
      </c>
      <c r="I380">
        <v>1061</v>
      </c>
      <c r="J380" t="s">
        <v>24</v>
      </c>
      <c r="K380">
        <v>379</v>
      </c>
      <c r="L380" t="s">
        <v>33</v>
      </c>
      <c r="M380" t="s">
        <v>19</v>
      </c>
    </row>
    <row r="381" spans="1:13" x14ac:dyDescent="0.3">
      <c r="A381">
        <v>5</v>
      </c>
      <c r="B381" t="s">
        <v>334</v>
      </c>
      <c r="C381">
        <v>1</v>
      </c>
      <c r="D381" s="1">
        <v>45020.040277777778</v>
      </c>
      <c r="E381" s="1">
        <v>45020.189583333333</v>
      </c>
      <c r="F381" t="s">
        <v>52</v>
      </c>
      <c r="G381" t="s">
        <v>15</v>
      </c>
      <c r="H381" t="s">
        <v>36</v>
      </c>
      <c r="I381">
        <v>2253</v>
      </c>
      <c r="J381" t="s">
        <v>17</v>
      </c>
      <c r="K381">
        <v>380</v>
      </c>
      <c r="L381" t="s">
        <v>49</v>
      </c>
      <c r="M381" t="s">
        <v>112</v>
      </c>
    </row>
    <row r="382" spans="1:13" x14ac:dyDescent="0.3">
      <c r="A382">
        <v>4</v>
      </c>
      <c r="B382" t="s">
        <v>454</v>
      </c>
      <c r="C382">
        <v>1</v>
      </c>
      <c r="D382" s="1">
        <v>45020.039583333331</v>
      </c>
      <c r="E382" s="1">
        <v>45020.188888888886</v>
      </c>
      <c r="F382" t="s">
        <v>73</v>
      </c>
      <c r="G382" t="s">
        <v>48</v>
      </c>
      <c r="H382" t="s">
        <v>36</v>
      </c>
      <c r="I382">
        <v>2769</v>
      </c>
      <c r="J382" t="s">
        <v>17</v>
      </c>
      <c r="K382">
        <v>381</v>
      </c>
      <c r="L382" t="s">
        <v>55</v>
      </c>
      <c r="M382" t="s">
        <v>71</v>
      </c>
    </row>
    <row r="383" spans="1:13" x14ac:dyDescent="0.3">
      <c r="A383">
        <v>20</v>
      </c>
      <c r="B383" t="s">
        <v>47</v>
      </c>
      <c r="C383">
        <v>6</v>
      </c>
      <c r="D383" s="1">
        <v>45020.131249999999</v>
      </c>
      <c r="E383" s="1">
        <v>45020.268750000003</v>
      </c>
      <c r="F383" t="s">
        <v>32</v>
      </c>
      <c r="G383" t="s">
        <v>15</v>
      </c>
      <c r="H383" t="s">
        <v>36</v>
      </c>
      <c r="I383">
        <v>198</v>
      </c>
      <c r="J383" t="s">
        <v>28</v>
      </c>
      <c r="K383">
        <v>382</v>
      </c>
      <c r="L383" t="s">
        <v>62</v>
      </c>
      <c r="M383" t="s">
        <v>26</v>
      </c>
    </row>
    <row r="384" spans="1:13" x14ac:dyDescent="0.3">
      <c r="A384">
        <v>6</v>
      </c>
      <c r="B384" t="s">
        <v>151</v>
      </c>
      <c r="C384">
        <v>6</v>
      </c>
      <c r="D384" s="1">
        <v>45020.145138888889</v>
      </c>
      <c r="E384" s="1">
        <v>45020.272916666669</v>
      </c>
      <c r="F384" t="s">
        <v>14</v>
      </c>
      <c r="G384" t="s">
        <v>22</v>
      </c>
      <c r="H384" t="s">
        <v>16</v>
      </c>
      <c r="I384">
        <v>3133</v>
      </c>
      <c r="J384" t="s">
        <v>17</v>
      </c>
      <c r="K384">
        <v>383</v>
      </c>
      <c r="L384" t="s">
        <v>33</v>
      </c>
      <c r="M384" t="s">
        <v>44</v>
      </c>
    </row>
    <row r="385" spans="1:13" x14ac:dyDescent="0.3">
      <c r="A385">
        <v>1</v>
      </c>
      <c r="B385" t="s">
        <v>455</v>
      </c>
      <c r="C385">
        <v>5</v>
      </c>
      <c r="D385" s="1">
        <v>45020.007638888892</v>
      </c>
      <c r="E385" s="1">
        <v>45020.106249999997</v>
      </c>
      <c r="F385" t="s">
        <v>73</v>
      </c>
      <c r="G385" t="s">
        <v>48</v>
      </c>
      <c r="H385" t="s">
        <v>36</v>
      </c>
      <c r="I385">
        <v>3932</v>
      </c>
      <c r="J385" t="s">
        <v>28</v>
      </c>
      <c r="K385">
        <v>384</v>
      </c>
      <c r="L385" t="s">
        <v>91</v>
      </c>
      <c r="M385" t="s">
        <v>46</v>
      </c>
    </row>
    <row r="386" spans="1:13" x14ac:dyDescent="0.3">
      <c r="A386">
        <v>6</v>
      </c>
      <c r="B386" t="s">
        <v>152</v>
      </c>
      <c r="C386">
        <v>6</v>
      </c>
      <c r="D386" s="1">
        <v>45021.150694444441</v>
      </c>
      <c r="E386" s="1">
        <v>45021.279861111114</v>
      </c>
      <c r="F386" t="s">
        <v>52</v>
      </c>
      <c r="G386" t="s">
        <v>48</v>
      </c>
      <c r="H386" t="s">
        <v>16</v>
      </c>
      <c r="I386">
        <v>1114</v>
      </c>
      <c r="J386" t="s">
        <v>24</v>
      </c>
      <c r="K386">
        <v>385</v>
      </c>
      <c r="L386" t="s">
        <v>59</v>
      </c>
      <c r="M386" t="s">
        <v>40</v>
      </c>
    </row>
    <row r="387" spans="1:13" x14ac:dyDescent="0.3">
      <c r="A387">
        <v>5</v>
      </c>
      <c r="B387" t="s">
        <v>153</v>
      </c>
      <c r="C387">
        <v>2</v>
      </c>
      <c r="D387" s="1">
        <v>45021.022916666669</v>
      </c>
      <c r="E387" s="1">
        <v>45021.123611111114</v>
      </c>
      <c r="F387" t="s">
        <v>14</v>
      </c>
      <c r="G387" t="s">
        <v>22</v>
      </c>
      <c r="H387" t="s">
        <v>36</v>
      </c>
      <c r="I387">
        <v>2896</v>
      </c>
      <c r="J387" t="s">
        <v>24</v>
      </c>
      <c r="K387">
        <v>386</v>
      </c>
      <c r="L387" t="s">
        <v>91</v>
      </c>
      <c r="M387" t="s">
        <v>112</v>
      </c>
    </row>
    <row r="388" spans="1:13" x14ac:dyDescent="0.3">
      <c r="A388">
        <v>6</v>
      </c>
      <c r="B388" t="s">
        <v>154</v>
      </c>
      <c r="C388">
        <v>5</v>
      </c>
      <c r="D388" s="1">
        <v>45021.131249999999</v>
      </c>
      <c r="E388" s="1">
        <v>45021.256944444445</v>
      </c>
      <c r="F388" t="s">
        <v>21</v>
      </c>
      <c r="G388" t="s">
        <v>22</v>
      </c>
      <c r="H388" t="s">
        <v>23</v>
      </c>
      <c r="I388">
        <v>2084</v>
      </c>
      <c r="J388" t="s">
        <v>24</v>
      </c>
      <c r="K388">
        <v>387</v>
      </c>
      <c r="L388" t="s">
        <v>91</v>
      </c>
      <c r="M388" t="s">
        <v>56</v>
      </c>
    </row>
    <row r="389" spans="1:13" x14ac:dyDescent="0.3">
      <c r="A389">
        <v>18</v>
      </c>
      <c r="B389" t="s">
        <v>88</v>
      </c>
      <c r="C389">
        <v>2</v>
      </c>
      <c r="D389" s="1">
        <v>45021.022916666669</v>
      </c>
      <c r="E389" s="1">
        <v>45021.149305555555</v>
      </c>
      <c r="F389" t="s">
        <v>32</v>
      </c>
      <c r="G389" t="s">
        <v>22</v>
      </c>
      <c r="H389" t="s">
        <v>16</v>
      </c>
      <c r="I389">
        <v>2703</v>
      </c>
      <c r="J389" t="s">
        <v>17</v>
      </c>
      <c r="K389">
        <v>388</v>
      </c>
      <c r="L389" t="s">
        <v>59</v>
      </c>
      <c r="M389" t="s">
        <v>56</v>
      </c>
    </row>
    <row r="390" spans="1:13" x14ac:dyDescent="0.3">
      <c r="A390">
        <v>19</v>
      </c>
      <c r="B390" t="s">
        <v>155</v>
      </c>
      <c r="C390">
        <v>5</v>
      </c>
      <c r="D390" s="1">
        <v>45021.001388888886</v>
      </c>
      <c r="E390" s="1">
        <v>45021.09375</v>
      </c>
      <c r="F390" t="s">
        <v>52</v>
      </c>
      <c r="G390" t="s">
        <v>22</v>
      </c>
      <c r="H390" t="s">
        <v>16</v>
      </c>
      <c r="I390">
        <v>3914</v>
      </c>
      <c r="J390" t="s">
        <v>28</v>
      </c>
      <c r="K390">
        <v>389</v>
      </c>
      <c r="L390" t="s">
        <v>91</v>
      </c>
      <c r="M390" t="s">
        <v>112</v>
      </c>
    </row>
    <row r="391" spans="1:13" x14ac:dyDescent="0.3">
      <c r="A391">
        <v>9</v>
      </c>
      <c r="B391" t="s">
        <v>39</v>
      </c>
      <c r="C391">
        <v>2</v>
      </c>
      <c r="D391" s="1">
        <v>45021.124305555553</v>
      </c>
      <c r="E391" s="1">
        <v>45021.22152777778</v>
      </c>
      <c r="F391" t="s">
        <v>52</v>
      </c>
      <c r="G391" t="s">
        <v>22</v>
      </c>
      <c r="H391" t="s">
        <v>16</v>
      </c>
      <c r="I391">
        <v>4268</v>
      </c>
      <c r="J391" t="s">
        <v>28</v>
      </c>
      <c r="K391">
        <v>390</v>
      </c>
      <c r="L391" t="s">
        <v>33</v>
      </c>
      <c r="M391" t="s">
        <v>92</v>
      </c>
    </row>
    <row r="392" spans="1:13" x14ac:dyDescent="0.3">
      <c r="A392">
        <v>15</v>
      </c>
      <c r="B392" t="s">
        <v>156</v>
      </c>
      <c r="C392">
        <v>1</v>
      </c>
      <c r="D392" s="1">
        <v>45021.086805555555</v>
      </c>
      <c r="E392" s="1">
        <v>45021.17291666667</v>
      </c>
      <c r="F392" t="s">
        <v>52</v>
      </c>
      <c r="G392" t="s">
        <v>22</v>
      </c>
      <c r="H392" t="s">
        <v>16</v>
      </c>
      <c r="I392">
        <v>486</v>
      </c>
      <c r="J392" t="s">
        <v>28</v>
      </c>
      <c r="K392">
        <v>391</v>
      </c>
      <c r="L392" t="s">
        <v>62</v>
      </c>
      <c r="M392" t="s">
        <v>92</v>
      </c>
    </row>
    <row r="393" spans="1:13" x14ac:dyDescent="0.3">
      <c r="A393">
        <v>14</v>
      </c>
      <c r="B393" t="s">
        <v>456</v>
      </c>
      <c r="C393">
        <v>3</v>
      </c>
      <c r="D393" s="1">
        <v>45021.022916666669</v>
      </c>
      <c r="E393" s="1">
        <v>45021.172222222223</v>
      </c>
      <c r="F393" t="s">
        <v>32</v>
      </c>
      <c r="G393" t="s">
        <v>22</v>
      </c>
      <c r="H393" t="s">
        <v>16</v>
      </c>
      <c r="I393">
        <v>3273</v>
      </c>
      <c r="J393" t="s">
        <v>24</v>
      </c>
      <c r="K393">
        <v>392</v>
      </c>
      <c r="L393" t="s">
        <v>29</v>
      </c>
      <c r="M393" t="s">
        <v>105</v>
      </c>
    </row>
    <row r="394" spans="1:13" x14ac:dyDescent="0.3">
      <c r="A394">
        <v>13</v>
      </c>
      <c r="B394" t="s">
        <v>457</v>
      </c>
      <c r="C394">
        <v>3</v>
      </c>
      <c r="D394" s="1">
        <v>45021.106249999997</v>
      </c>
      <c r="E394" s="1">
        <v>45021.220138888886</v>
      </c>
      <c r="F394" t="s">
        <v>14</v>
      </c>
      <c r="G394" t="s">
        <v>22</v>
      </c>
      <c r="H394" t="s">
        <v>16</v>
      </c>
      <c r="I394">
        <v>1254</v>
      </c>
      <c r="J394" t="s">
        <v>24</v>
      </c>
      <c r="K394">
        <v>393</v>
      </c>
      <c r="L394" t="s">
        <v>37</v>
      </c>
      <c r="M394" t="s">
        <v>53</v>
      </c>
    </row>
    <row r="395" spans="1:13" x14ac:dyDescent="0.3">
      <c r="A395">
        <v>17</v>
      </c>
      <c r="B395" t="s">
        <v>187</v>
      </c>
      <c r="C395">
        <v>1</v>
      </c>
      <c r="D395" s="1">
        <v>45021.143055555556</v>
      </c>
      <c r="E395" s="1">
        <v>45021.293055555558</v>
      </c>
      <c r="F395" t="s">
        <v>52</v>
      </c>
      <c r="G395" t="s">
        <v>22</v>
      </c>
      <c r="H395" t="s">
        <v>16</v>
      </c>
      <c r="I395">
        <v>1805</v>
      </c>
      <c r="J395" t="s">
        <v>24</v>
      </c>
      <c r="K395">
        <v>394</v>
      </c>
      <c r="L395" t="s">
        <v>25</v>
      </c>
      <c r="M395" t="s">
        <v>75</v>
      </c>
    </row>
    <row r="396" spans="1:13" x14ac:dyDescent="0.3">
      <c r="A396">
        <v>2</v>
      </c>
      <c r="B396" t="s">
        <v>157</v>
      </c>
      <c r="C396">
        <v>1</v>
      </c>
      <c r="D396" s="1">
        <v>45021.067361111112</v>
      </c>
      <c r="E396" s="1">
        <v>45021.231944444444</v>
      </c>
      <c r="F396" t="s">
        <v>32</v>
      </c>
      <c r="G396" t="s">
        <v>22</v>
      </c>
      <c r="H396" t="s">
        <v>36</v>
      </c>
      <c r="I396">
        <v>409</v>
      </c>
      <c r="J396" t="s">
        <v>17</v>
      </c>
      <c r="K396">
        <v>395</v>
      </c>
      <c r="L396" t="s">
        <v>62</v>
      </c>
      <c r="M396" t="s">
        <v>53</v>
      </c>
    </row>
    <row r="397" spans="1:13" x14ac:dyDescent="0.3">
      <c r="A397">
        <v>11</v>
      </c>
      <c r="B397" t="s">
        <v>458</v>
      </c>
      <c r="C397">
        <v>1</v>
      </c>
      <c r="D397" s="1">
        <v>45021.022222222222</v>
      </c>
      <c r="E397" s="1">
        <v>45021.15</v>
      </c>
      <c r="F397" t="s">
        <v>32</v>
      </c>
      <c r="G397" t="s">
        <v>15</v>
      </c>
      <c r="H397" t="s">
        <v>23</v>
      </c>
      <c r="I397">
        <v>345</v>
      </c>
      <c r="J397" t="s">
        <v>17</v>
      </c>
      <c r="K397">
        <v>396</v>
      </c>
      <c r="L397" t="s">
        <v>18</v>
      </c>
      <c r="M397" t="s">
        <v>66</v>
      </c>
    </row>
    <row r="398" spans="1:13" x14ac:dyDescent="0.3">
      <c r="A398">
        <v>4</v>
      </c>
      <c r="B398" t="s">
        <v>139</v>
      </c>
      <c r="C398">
        <v>2</v>
      </c>
      <c r="D398" s="1">
        <v>45021.013888888891</v>
      </c>
      <c r="E398" s="1">
        <v>45021.06527777778</v>
      </c>
      <c r="F398" t="s">
        <v>14</v>
      </c>
      <c r="G398" t="s">
        <v>48</v>
      </c>
      <c r="H398" t="s">
        <v>36</v>
      </c>
      <c r="I398">
        <v>3779</v>
      </c>
      <c r="J398" t="s">
        <v>17</v>
      </c>
      <c r="K398">
        <v>397</v>
      </c>
      <c r="L398" t="s">
        <v>33</v>
      </c>
      <c r="M398" t="s">
        <v>50</v>
      </c>
    </row>
    <row r="399" spans="1:13" x14ac:dyDescent="0.3">
      <c r="A399">
        <v>9</v>
      </c>
      <c r="B399" t="s">
        <v>459</v>
      </c>
      <c r="C399">
        <v>5</v>
      </c>
      <c r="D399" s="1">
        <v>45021.131944444445</v>
      </c>
      <c r="E399" s="1">
        <v>45021.295138888891</v>
      </c>
      <c r="F399" t="s">
        <v>73</v>
      </c>
      <c r="G399" t="s">
        <v>48</v>
      </c>
      <c r="H399" t="s">
        <v>16</v>
      </c>
      <c r="I399">
        <v>4896</v>
      </c>
      <c r="J399" t="s">
        <v>17</v>
      </c>
      <c r="K399">
        <v>398</v>
      </c>
      <c r="L399" t="s">
        <v>18</v>
      </c>
      <c r="M399" t="s">
        <v>30</v>
      </c>
    </row>
    <row r="400" spans="1:13" x14ac:dyDescent="0.3">
      <c r="A400">
        <v>7</v>
      </c>
      <c r="B400" t="s">
        <v>460</v>
      </c>
      <c r="C400">
        <v>6</v>
      </c>
      <c r="D400" s="1">
        <v>45021.116666666669</v>
      </c>
      <c r="E400" s="1">
        <v>45021.236111111109</v>
      </c>
      <c r="F400" t="s">
        <v>21</v>
      </c>
      <c r="G400" t="s">
        <v>22</v>
      </c>
      <c r="H400" t="s">
        <v>16</v>
      </c>
      <c r="I400">
        <v>2732</v>
      </c>
      <c r="J400" t="s">
        <v>17</v>
      </c>
      <c r="K400">
        <v>399</v>
      </c>
      <c r="L400" t="s">
        <v>59</v>
      </c>
      <c r="M400" t="s">
        <v>112</v>
      </c>
    </row>
    <row r="401" spans="1:13" x14ac:dyDescent="0.3">
      <c r="A401">
        <v>9</v>
      </c>
      <c r="B401" t="s">
        <v>461</v>
      </c>
      <c r="C401">
        <v>4</v>
      </c>
      <c r="D401" s="1">
        <v>45021.09097222222</v>
      </c>
      <c r="E401" s="1">
        <v>45021.176388888889</v>
      </c>
      <c r="F401" t="s">
        <v>14</v>
      </c>
      <c r="G401" t="s">
        <v>22</v>
      </c>
      <c r="H401" t="s">
        <v>16</v>
      </c>
      <c r="I401">
        <v>4296</v>
      </c>
      <c r="J401" t="s">
        <v>28</v>
      </c>
      <c r="K401">
        <v>400</v>
      </c>
      <c r="L401" t="s">
        <v>25</v>
      </c>
      <c r="M401" t="s">
        <v>34</v>
      </c>
    </row>
    <row r="402" spans="1:13" x14ac:dyDescent="0.3">
      <c r="A402">
        <v>16</v>
      </c>
      <c r="B402" t="s">
        <v>158</v>
      </c>
      <c r="C402">
        <v>2</v>
      </c>
      <c r="D402" s="1">
        <v>45021.160416666666</v>
      </c>
      <c r="E402" s="1">
        <v>45021.289583333331</v>
      </c>
      <c r="F402" t="s">
        <v>32</v>
      </c>
      <c r="G402" t="s">
        <v>22</v>
      </c>
      <c r="H402" t="s">
        <v>16</v>
      </c>
      <c r="I402">
        <v>1587</v>
      </c>
      <c r="J402" t="s">
        <v>24</v>
      </c>
      <c r="K402">
        <v>401</v>
      </c>
      <c r="L402" t="s">
        <v>70</v>
      </c>
      <c r="M402" t="s">
        <v>42</v>
      </c>
    </row>
    <row r="403" spans="1:13" x14ac:dyDescent="0.3">
      <c r="A403">
        <v>18</v>
      </c>
      <c r="B403" t="s">
        <v>462</v>
      </c>
      <c r="C403">
        <v>1</v>
      </c>
      <c r="D403" s="1">
        <v>45021.111805555556</v>
      </c>
      <c r="E403" s="1">
        <v>45021.213888888888</v>
      </c>
      <c r="F403" t="s">
        <v>52</v>
      </c>
      <c r="G403" t="s">
        <v>22</v>
      </c>
      <c r="H403" t="s">
        <v>16</v>
      </c>
      <c r="I403">
        <v>3102</v>
      </c>
      <c r="J403" t="s">
        <v>28</v>
      </c>
      <c r="K403">
        <v>402</v>
      </c>
      <c r="L403" t="s">
        <v>37</v>
      </c>
      <c r="M403" t="s">
        <v>60</v>
      </c>
    </row>
    <row r="404" spans="1:13" x14ac:dyDescent="0.3">
      <c r="A404">
        <v>14</v>
      </c>
      <c r="B404" t="s">
        <v>463</v>
      </c>
      <c r="C404">
        <v>5</v>
      </c>
      <c r="D404" s="1">
        <v>45021.09375</v>
      </c>
      <c r="E404" s="1">
        <v>45021.21875</v>
      </c>
      <c r="F404" t="s">
        <v>73</v>
      </c>
      <c r="G404" t="s">
        <v>22</v>
      </c>
      <c r="H404" t="s">
        <v>16</v>
      </c>
      <c r="I404">
        <v>1476</v>
      </c>
      <c r="J404" t="s">
        <v>17</v>
      </c>
      <c r="K404">
        <v>403</v>
      </c>
      <c r="L404" t="s">
        <v>33</v>
      </c>
      <c r="M404" t="s">
        <v>92</v>
      </c>
    </row>
    <row r="405" spans="1:13" x14ac:dyDescent="0.3">
      <c r="A405">
        <v>17</v>
      </c>
      <c r="B405" t="s">
        <v>434</v>
      </c>
      <c r="C405">
        <v>2</v>
      </c>
      <c r="D405" s="1">
        <v>45021.026388888888</v>
      </c>
      <c r="E405" s="1">
        <v>45021.186805555553</v>
      </c>
      <c r="F405" t="s">
        <v>21</v>
      </c>
      <c r="G405" t="s">
        <v>22</v>
      </c>
      <c r="H405" t="s">
        <v>16</v>
      </c>
      <c r="I405">
        <v>3256</v>
      </c>
      <c r="J405" t="s">
        <v>17</v>
      </c>
      <c r="K405">
        <v>404</v>
      </c>
      <c r="L405" t="s">
        <v>59</v>
      </c>
      <c r="M405" t="s">
        <v>42</v>
      </c>
    </row>
    <row r="406" spans="1:13" x14ac:dyDescent="0.3">
      <c r="A406">
        <v>5</v>
      </c>
      <c r="B406" t="s">
        <v>232</v>
      </c>
      <c r="C406">
        <v>6</v>
      </c>
      <c r="D406" s="1">
        <v>45021.11041666667</v>
      </c>
      <c r="E406" s="1">
        <v>45021.207638888889</v>
      </c>
      <c r="F406" t="s">
        <v>32</v>
      </c>
      <c r="G406" t="s">
        <v>15</v>
      </c>
      <c r="H406" t="s">
        <v>16</v>
      </c>
      <c r="I406">
        <v>1456</v>
      </c>
      <c r="J406" t="s">
        <v>28</v>
      </c>
      <c r="K406">
        <v>405</v>
      </c>
      <c r="L406" t="s">
        <v>49</v>
      </c>
      <c r="M406" t="s">
        <v>71</v>
      </c>
    </row>
    <row r="407" spans="1:13" x14ac:dyDescent="0.3">
      <c r="A407">
        <v>14</v>
      </c>
      <c r="B407" t="s">
        <v>382</v>
      </c>
      <c r="C407">
        <v>5</v>
      </c>
      <c r="D407" s="1">
        <v>45021.020138888889</v>
      </c>
      <c r="E407" s="1">
        <v>45021.109027777777</v>
      </c>
      <c r="F407" t="s">
        <v>32</v>
      </c>
      <c r="G407" t="s">
        <v>15</v>
      </c>
      <c r="H407" t="s">
        <v>23</v>
      </c>
      <c r="I407">
        <v>3403</v>
      </c>
      <c r="J407" t="s">
        <v>24</v>
      </c>
      <c r="K407">
        <v>406</v>
      </c>
      <c r="L407" t="s">
        <v>59</v>
      </c>
      <c r="M407" t="s">
        <v>66</v>
      </c>
    </row>
    <row r="408" spans="1:13" x14ac:dyDescent="0.3">
      <c r="A408">
        <v>4</v>
      </c>
      <c r="B408" t="s">
        <v>464</v>
      </c>
      <c r="C408">
        <v>1</v>
      </c>
      <c r="D408" s="1">
        <v>45021.092361111114</v>
      </c>
      <c r="E408" s="1">
        <v>45021.20208333333</v>
      </c>
      <c r="F408" t="s">
        <v>14</v>
      </c>
      <c r="G408" t="s">
        <v>48</v>
      </c>
      <c r="H408" t="s">
        <v>36</v>
      </c>
      <c r="I408">
        <v>2298</v>
      </c>
      <c r="J408" t="s">
        <v>28</v>
      </c>
      <c r="K408">
        <v>407</v>
      </c>
      <c r="L408" t="s">
        <v>62</v>
      </c>
      <c r="M408" t="s">
        <v>66</v>
      </c>
    </row>
    <row r="409" spans="1:13" x14ac:dyDescent="0.3">
      <c r="A409">
        <v>17</v>
      </c>
      <c r="B409" t="s">
        <v>407</v>
      </c>
      <c r="C409">
        <v>3</v>
      </c>
      <c r="D409" s="1">
        <v>45021.038888888892</v>
      </c>
      <c r="E409" s="1">
        <v>45021.170138888891</v>
      </c>
      <c r="F409" t="s">
        <v>32</v>
      </c>
      <c r="G409" t="s">
        <v>22</v>
      </c>
      <c r="H409" t="s">
        <v>16</v>
      </c>
      <c r="I409">
        <v>1014</v>
      </c>
      <c r="J409" t="s">
        <v>24</v>
      </c>
      <c r="K409">
        <v>408</v>
      </c>
      <c r="L409" t="s">
        <v>33</v>
      </c>
      <c r="M409" t="s">
        <v>60</v>
      </c>
    </row>
    <row r="410" spans="1:13" x14ac:dyDescent="0.3">
      <c r="A410">
        <v>15</v>
      </c>
      <c r="B410" t="s">
        <v>465</v>
      </c>
      <c r="C410">
        <v>5</v>
      </c>
      <c r="D410" s="1">
        <v>45021.079861111109</v>
      </c>
      <c r="E410" s="1">
        <v>45021.125694444447</v>
      </c>
      <c r="F410" t="s">
        <v>73</v>
      </c>
      <c r="G410" t="s">
        <v>22</v>
      </c>
      <c r="H410" t="s">
        <v>16</v>
      </c>
      <c r="I410">
        <v>487</v>
      </c>
      <c r="J410" t="s">
        <v>28</v>
      </c>
      <c r="K410">
        <v>409</v>
      </c>
      <c r="L410" t="s">
        <v>33</v>
      </c>
      <c r="M410" t="s">
        <v>42</v>
      </c>
    </row>
    <row r="411" spans="1:13" x14ac:dyDescent="0.3">
      <c r="A411">
        <v>1</v>
      </c>
      <c r="B411" t="s">
        <v>466</v>
      </c>
      <c r="C411">
        <v>3</v>
      </c>
      <c r="D411" s="1">
        <v>45021.115972222222</v>
      </c>
      <c r="E411" s="1">
        <v>45021.224305555559</v>
      </c>
      <c r="F411" t="s">
        <v>14</v>
      </c>
      <c r="G411" t="s">
        <v>15</v>
      </c>
      <c r="H411" t="s">
        <v>16</v>
      </c>
      <c r="I411">
        <v>4365</v>
      </c>
      <c r="J411" t="s">
        <v>28</v>
      </c>
      <c r="K411">
        <v>410</v>
      </c>
      <c r="L411" t="s">
        <v>18</v>
      </c>
      <c r="M411" t="s">
        <v>66</v>
      </c>
    </row>
    <row r="412" spans="1:13" x14ac:dyDescent="0.3">
      <c r="A412">
        <v>3</v>
      </c>
      <c r="B412" t="s">
        <v>362</v>
      </c>
      <c r="C412">
        <v>3</v>
      </c>
      <c r="D412" s="1">
        <v>45021.09097222222</v>
      </c>
      <c r="E412" s="1">
        <v>45021.211111111108</v>
      </c>
      <c r="F412" t="s">
        <v>73</v>
      </c>
      <c r="G412" t="s">
        <v>22</v>
      </c>
      <c r="H412" t="s">
        <v>36</v>
      </c>
      <c r="I412">
        <v>2188</v>
      </c>
      <c r="J412" t="s">
        <v>24</v>
      </c>
      <c r="K412">
        <v>411</v>
      </c>
      <c r="L412" t="s">
        <v>37</v>
      </c>
      <c r="M412" t="s">
        <v>34</v>
      </c>
    </row>
    <row r="413" spans="1:13" x14ac:dyDescent="0.3">
      <c r="A413">
        <v>11</v>
      </c>
      <c r="B413" t="s">
        <v>159</v>
      </c>
      <c r="C413">
        <v>4</v>
      </c>
      <c r="D413" s="1">
        <v>45021.015277777777</v>
      </c>
      <c r="E413" s="1">
        <v>45021.085416666669</v>
      </c>
      <c r="F413" t="s">
        <v>21</v>
      </c>
      <c r="G413" t="s">
        <v>15</v>
      </c>
      <c r="H413" t="s">
        <v>16</v>
      </c>
      <c r="I413">
        <v>1294</v>
      </c>
      <c r="J413" t="s">
        <v>24</v>
      </c>
      <c r="K413">
        <v>412</v>
      </c>
      <c r="L413" t="s">
        <v>18</v>
      </c>
      <c r="M413" t="s">
        <v>56</v>
      </c>
    </row>
    <row r="414" spans="1:13" x14ac:dyDescent="0.3">
      <c r="A414">
        <v>13</v>
      </c>
      <c r="B414" t="s">
        <v>160</v>
      </c>
      <c r="C414">
        <v>3</v>
      </c>
      <c r="D414" s="1">
        <v>45021.10833333333</v>
      </c>
      <c r="E414" s="1">
        <v>45021.206944444442</v>
      </c>
      <c r="F414" t="s">
        <v>14</v>
      </c>
      <c r="G414" t="s">
        <v>15</v>
      </c>
      <c r="H414" t="s">
        <v>16</v>
      </c>
      <c r="I414">
        <v>2301</v>
      </c>
      <c r="J414" t="s">
        <v>24</v>
      </c>
      <c r="K414">
        <v>413</v>
      </c>
      <c r="L414" t="s">
        <v>49</v>
      </c>
      <c r="M414" t="s">
        <v>19</v>
      </c>
    </row>
    <row r="415" spans="1:13" x14ac:dyDescent="0.3">
      <c r="A415">
        <v>14</v>
      </c>
      <c r="B415" t="s">
        <v>161</v>
      </c>
      <c r="C415">
        <v>6</v>
      </c>
      <c r="D415" s="1">
        <v>45021.154861111114</v>
      </c>
      <c r="E415" s="1">
        <v>45021.3</v>
      </c>
      <c r="F415" t="s">
        <v>21</v>
      </c>
      <c r="G415" t="s">
        <v>48</v>
      </c>
      <c r="H415" t="s">
        <v>16</v>
      </c>
      <c r="I415">
        <v>1317</v>
      </c>
      <c r="J415" t="s">
        <v>28</v>
      </c>
      <c r="K415">
        <v>414</v>
      </c>
      <c r="L415" t="s">
        <v>59</v>
      </c>
      <c r="M415" t="s">
        <v>112</v>
      </c>
    </row>
    <row r="416" spans="1:13" x14ac:dyDescent="0.3">
      <c r="A416">
        <v>14</v>
      </c>
      <c r="B416" t="s">
        <v>467</v>
      </c>
      <c r="C416">
        <v>4</v>
      </c>
      <c r="D416" s="1">
        <v>45021.027083333334</v>
      </c>
      <c r="E416" s="1">
        <v>45021.190972222219</v>
      </c>
      <c r="F416" t="s">
        <v>14</v>
      </c>
      <c r="G416" t="s">
        <v>15</v>
      </c>
      <c r="H416" t="s">
        <v>16</v>
      </c>
      <c r="I416">
        <v>2051</v>
      </c>
      <c r="J416" t="s">
        <v>24</v>
      </c>
      <c r="K416">
        <v>415</v>
      </c>
      <c r="L416" t="s">
        <v>25</v>
      </c>
      <c r="M416" t="s">
        <v>50</v>
      </c>
    </row>
    <row r="417" spans="1:13" x14ac:dyDescent="0.3">
      <c r="A417">
        <v>20</v>
      </c>
      <c r="B417" t="s">
        <v>162</v>
      </c>
      <c r="C417">
        <v>2</v>
      </c>
      <c r="D417" s="1">
        <v>45021.127083333333</v>
      </c>
      <c r="E417" s="1">
        <v>45021.275694444441</v>
      </c>
      <c r="F417" t="s">
        <v>73</v>
      </c>
      <c r="G417" t="s">
        <v>15</v>
      </c>
      <c r="H417" t="s">
        <v>16</v>
      </c>
      <c r="I417">
        <v>129</v>
      </c>
      <c r="J417" t="s">
        <v>28</v>
      </c>
      <c r="K417">
        <v>416</v>
      </c>
      <c r="L417" t="s">
        <v>55</v>
      </c>
      <c r="M417" t="s">
        <v>60</v>
      </c>
    </row>
    <row r="418" spans="1:13" x14ac:dyDescent="0.3">
      <c r="A418">
        <v>7</v>
      </c>
      <c r="B418" t="s">
        <v>468</v>
      </c>
      <c r="C418">
        <v>2</v>
      </c>
      <c r="D418" s="1">
        <v>45021.142361111109</v>
      </c>
      <c r="E418" s="1">
        <v>45021.189583333333</v>
      </c>
      <c r="F418" t="s">
        <v>32</v>
      </c>
      <c r="G418" t="s">
        <v>15</v>
      </c>
      <c r="H418" t="s">
        <v>16</v>
      </c>
      <c r="I418">
        <v>3508</v>
      </c>
      <c r="J418" t="s">
        <v>17</v>
      </c>
      <c r="K418">
        <v>417</v>
      </c>
      <c r="L418" t="s">
        <v>91</v>
      </c>
      <c r="M418" t="s">
        <v>26</v>
      </c>
    </row>
    <row r="419" spans="1:13" x14ac:dyDescent="0.3">
      <c r="A419">
        <v>17</v>
      </c>
      <c r="B419" t="s">
        <v>469</v>
      </c>
      <c r="C419">
        <v>4</v>
      </c>
      <c r="D419" s="1">
        <v>45021.036111111112</v>
      </c>
      <c r="E419" s="1">
        <v>45021.146527777775</v>
      </c>
      <c r="F419" t="s">
        <v>52</v>
      </c>
      <c r="G419" t="s">
        <v>15</v>
      </c>
      <c r="H419" t="s">
        <v>16</v>
      </c>
      <c r="I419">
        <v>3551</v>
      </c>
      <c r="J419" t="s">
        <v>28</v>
      </c>
      <c r="K419">
        <v>418</v>
      </c>
      <c r="L419" t="s">
        <v>59</v>
      </c>
      <c r="M419" t="s">
        <v>60</v>
      </c>
    </row>
    <row r="420" spans="1:13" x14ac:dyDescent="0.3">
      <c r="A420">
        <v>11</v>
      </c>
      <c r="B420" t="s">
        <v>470</v>
      </c>
      <c r="C420">
        <v>4</v>
      </c>
      <c r="D420" s="1">
        <v>45021.134722222225</v>
      </c>
      <c r="E420" s="1">
        <v>45021.238194444442</v>
      </c>
      <c r="F420" t="s">
        <v>21</v>
      </c>
      <c r="G420" t="s">
        <v>22</v>
      </c>
      <c r="H420" t="s">
        <v>16</v>
      </c>
      <c r="I420">
        <v>1409</v>
      </c>
      <c r="J420" t="s">
        <v>24</v>
      </c>
      <c r="K420">
        <v>419</v>
      </c>
      <c r="L420" t="s">
        <v>49</v>
      </c>
      <c r="M420" t="s">
        <v>38</v>
      </c>
    </row>
    <row r="421" spans="1:13" x14ac:dyDescent="0.3">
      <c r="A421">
        <v>18</v>
      </c>
      <c r="B421" t="s">
        <v>251</v>
      </c>
      <c r="C421">
        <v>6</v>
      </c>
      <c r="D421" s="1">
        <v>45021.095833333333</v>
      </c>
      <c r="E421" s="1">
        <v>45021.228472222225</v>
      </c>
      <c r="F421" t="s">
        <v>32</v>
      </c>
      <c r="G421" t="s">
        <v>22</v>
      </c>
      <c r="H421" t="s">
        <v>16</v>
      </c>
      <c r="I421">
        <v>3149</v>
      </c>
      <c r="J421" t="s">
        <v>24</v>
      </c>
      <c r="K421">
        <v>420</v>
      </c>
      <c r="L421" t="s">
        <v>29</v>
      </c>
      <c r="M421" t="s">
        <v>38</v>
      </c>
    </row>
    <row r="422" spans="1:13" x14ac:dyDescent="0.3">
      <c r="A422">
        <v>10</v>
      </c>
      <c r="B422" t="s">
        <v>471</v>
      </c>
      <c r="C422">
        <v>1</v>
      </c>
      <c r="D422" s="1">
        <v>45021.067361111112</v>
      </c>
      <c r="E422" s="1">
        <v>45021.171527777777</v>
      </c>
      <c r="F422" t="s">
        <v>73</v>
      </c>
      <c r="G422" t="s">
        <v>22</v>
      </c>
      <c r="H422" t="s">
        <v>16</v>
      </c>
      <c r="I422">
        <v>1757</v>
      </c>
      <c r="J422" t="s">
        <v>24</v>
      </c>
      <c r="K422">
        <v>421</v>
      </c>
      <c r="L422" t="s">
        <v>33</v>
      </c>
      <c r="M422" t="s">
        <v>56</v>
      </c>
    </row>
    <row r="423" spans="1:13" x14ac:dyDescent="0.3">
      <c r="A423">
        <v>12</v>
      </c>
      <c r="B423" t="s">
        <v>472</v>
      </c>
      <c r="C423">
        <v>6</v>
      </c>
      <c r="D423" s="1">
        <v>45021.025000000001</v>
      </c>
      <c r="E423" s="1">
        <v>45021.131249999999</v>
      </c>
      <c r="F423" t="s">
        <v>32</v>
      </c>
      <c r="G423" t="s">
        <v>22</v>
      </c>
      <c r="H423" t="s">
        <v>16</v>
      </c>
      <c r="I423">
        <v>3972</v>
      </c>
      <c r="J423" t="s">
        <v>28</v>
      </c>
      <c r="K423">
        <v>422</v>
      </c>
      <c r="L423" t="s">
        <v>59</v>
      </c>
      <c r="M423" t="s">
        <v>71</v>
      </c>
    </row>
    <row r="424" spans="1:13" x14ac:dyDescent="0.3">
      <c r="A424">
        <v>4</v>
      </c>
      <c r="B424" t="s">
        <v>106</v>
      </c>
      <c r="C424">
        <v>2</v>
      </c>
      <c r="D424" s="1">
        <v>45021.106944444444</v>
      </c>
      <c r="E424" s="1">
        <v>45021.206250000003</v>
      </c>
      <c r="F424" t="s">
        <v>73</v>
      </c>
      <c r="G424" t="s">
        <v>22</v>
      </c>
      <c r="H424" t="s">
        <v>23</v>
      </c>
      <c r="I424">
        <v>3413</v>
      </c>
      <c r="J424" t="s">
        <v>17</v>
      </c>
      <c r="K424">
        <v>423</v>
      </c>
      <c r="L424" t="s">
        <v>62</v>
      </c>
      <c r="M424" t="s">
        <v>30</v>
      </c>
    </row>
    <row r="425" spans="1:13" x14ac:dyDescent="0.3">
      <c r="A425">
        <v>13</v>
      </c>
      <c r="B425" t="s">
        <v>473</v>
      </c>
      <c r="C425">
        <v>3</v>
      </c>
      <c r="D425" s="1">
        <v>45021.047222222223</v>
      </c>
      <c r="E425" s="1">
        <v>45021.136805555558</v>
      </c>
      <c r="F425" t="s">
        <v>32</v>
      </c>
      <c r="G425" t="s">
        <v>15</v>
      </c>
      <c r="H425" t="s">
        <v>23</v>
      </c>
      <c r="I425">
        <v>1102</v>
      </c>
      <c r="J425" t="s">
        <v>28</v>
      </c>
      <c r="K425">
        <v>424</v>
      </c>
      <c r="L425" t="s">
        <v>37</v>
      </c>
      <c r="M425" t="s">
        <v>92</v>
      </c>
    </row>
    <row r="426" spans="1:13" x14ac:dyDescent="0.3">
      <c r="A426">
        <v>18</v>
      </c>
      <c r="B426" t="s">
        <v>163</v>
      </c>
      <c r="C426">
        <v>3</v>
      </c>
      <c r="D426" s="1">
        <v>45021.058333333334</v>
      </c>
      <c r="E426" s="1">
        <v>45021.15625</v>
      </c>
      <c r="F426" t="s">
        <v>32</v>
      </c>
      <c r="G426" t="s">
        <v>22</v>
      </c>
      <c r="H426" t="s">
        <v>16</v>
      </c>
      <c r="I426">
        <v>4943</v>
      </c>
      <c r="J426" t="s">
        <v>28</v>
      </c>
      <c r="K426">
        <v>425</v>
      </c>
      <c r="L426" t="s">
        <v>18</v>
      </c>
      <c r="M426" t="s">
        <v>53</v>
      </c>
    </row>
    <row r="427" spans="1:13" x14ac:dyDescent="0.3">
      <c r="A427">
        <v>5</v>
      </c>
      <c r="B427" t="s">
        <v>474</v>
      </c>
      <c r="C427">
        <v>2</v>
      </c>
      <c r="D427" s="1">
        <v>45021.132638888892</v>
      </c>
      <c r="E427" s="1">
        <v>45021.209722222222</v>
      </c>
      <c r="F427" t="s">
        <v>14</v>
      </c>
      <c r="G427" t="s">
        <v>22</v>
      </c>
      <c r="H427" t="s">
        <v>16</v>
      </c>
      <c r="I427">
        <v>478</v>
      </c>
      <c r="J427" t="s">
        <v>28</v>
      </c>
      <c r="K427">
        <v>426</v>
      </c>
      <c r="L427" t="s">
        <v>25</v>
      </c>
      <c r="M427" t="s">
        <v>112</v>
      </c>
    </row>
    <row r="428" spans="1:13" x14ac:dyDescent="0.3">
      <c r="A428">
        <v>2</v>
      </c>
      <c r="B428" t="s">
        <v>333</v>
      </c>
      <c r="C428">
        <v>4</v>
      </c>
      <c r="D428" s="1">
        <v>45021.106944444444</v>
      </c>
      <c r="E428" s="1">
        <v>45021.154861111114</v>
      </c>
      <c r="F428" t="s">
        <v>32</v>
      </c>
      <c r="G428" t="s">
        <v>22</v>
      </c>
      <c r="H428" t="s">
        <v>23</v>
      </c>
      <c r="I428">
        <v>4374</v>
      </c>
      <c r="J428" t="s">
        <v>17</v>
      </c>
      <c r="K428">
        <v>427</v>
      </c>
      <c r="L428" t="s">
        <v>29</v>
      </c>
      <c r="M428" t="s">
        <v>60</v>
      </c>
    </row>
    <row r="429" spans="1:13" x14ac:dyDescent="0.3">
      <c r="A429">
        <v>7</v>
      </c>
      <c r="B429" t="s">
        <v>475</v>
      </c>
      <c r="C429">
        <v>5</v>
      </c>
      <c r="D429" s="1">
        <v>45021.137499999997</v>
      </c>
      <c r="E429" s="1">
        <v>45021.252083333333</v>
      </c>
      <c r="F429" t="s">
        <v>14</v>
      </c>
      <c r="G429" t="s">
        <v>48</v>
      </c>
      <c r="H429" t="s">
        <v>16</v>
      </c>
      <c r="I429">
        <v>156</v>
      </c>
      <c r="J429" t="s">
        <v>28</v>
      </c>
      <c r="K429">
        <v>428</v>
      </c>
      <c r="L429" t="s">
        <v>62</v>
      </c>
      <c r="M429" t="s">
        <v>34</v>
      </c>
    </row>
    <row r="430" spans="1:13" x14ac:dyDescent="0.3">
      <c r="A430">
        <v>8</v>
      </c>
      <c r="B430" t="s">
        <v>164</v>
      </c>
      <c r="C430">
        <v>1</v>
      </c>
      <c r="D430" s="1">
        <v>45021.006944444445</v>
      </c>
      <c r="E430" s="1">
        <v>45021.156944444447</v>
      </c>
      <c r="F430" t="s">
        <v>14</v>
      </c>
      <c r="G430" t="s">
        <v>22</v>
      </c>
      <c r="H430" t="s">
        <v>16</v>
      </c>
      <c r="I430">
        <v>1095</v>
      </c>
      <c r="J430" t="s">
        <v>28</v>
      </c>
      <c r="K430">
        <v>429</v>
      </c>
      <c r="L430" t="s">
        <v>25</v>
      </c>
      <c r="M430" t="s">
        <v>71</v>
      </c>
    </row>
    <row r="431" spans="1:13" x14ac:dyDescent="0.3">
      <c r="A431">
        <v>7</v>
      </c>
      <c r="B431" t="s">
        <v>165</v>
      </c>
      <c r="C431">
        <v>3</v>
      </c>
      <c r="D431" s="1">
        <v>45021.097916666666</v>
      </c>
      <c r="E431" s="1">
        <v>45021.165972222225</v>
      </c>
      <c r="F431" t="s">
        <v>14</v>
      </c>
      <c r="G431" t="s">
        <v>22</v>
      </c>
      <c r="H431" t="s">
        <v>36</v>
      </c>
      <c r="I431">
        <v>4209</v>
      </c>
      <c r="J431" t="s">
        <v>28</v>
      </c>
      <c r="K431">
        <v>430</v>
      </c>
      <c r="L431" t="s">
        <v>91</v>
      </c>
      <c r="M431" t="s">
        <v>60</v>
      </c>
    </row>
    <row r="432" spans="1:13" x14ac:dyDescent="0.3">
      <c r="A432">
        <v>15</v>
      </c>
      <c r="B432" t="s">
        <v>125</v>
      </c>
      <c r="C432">
        <v>5</v>
      </c>
      <c r="D432" s="1">
        <v>45021.147916666669</v>
      </c>
      <c r="E432" s="1">
        <v>45021.309027777781</v>
      </c>
      <c r="F432" t="s">
        <v>21</v>
      </c>
      <c r="G432" t="s">
        <v>22</v>
      </c>
      <c r="H432" t="s">
        <v>16</v>
      </c>
      <c r="I432">
        <v>3982</v>
      </c>
      <c r="J432" t="s">
        <v>17</v>
      </c>
      <c r="K432">
        <v>431</v>
      </c>
      <c r="L432" t="s">
        <v>49</v>
      </c>
      <c r="M432" t="s">
        <v>40</v>
      </c>
    </row>
    <row r="433" spans="1:13" x14ac:dyDescent="0.3">
      <c r="A433">
        <v>10</v>
      </c>
      <c r="B433" t="s">
        <v>476</v>
      </c>
      <c r="C433">
        <v>2</v>
      </c>
      <c r="D433" s="1">
        <v>45021.146527777775</v>
      </c>
      <c r="E433" s="1">
        <v>45021.245833333334</v>
      </c>
      <c r="F433" t="s">
        <v>14</v>
      </c>
      <c r="G433" t="s">
        <v>15</v>
      </c>
      <c r="H433" t="s">
        <v>16</v>
      </c>
      <c r="I433">
        <v>1871</v>
      </c>
      <c r="J433" t="s">
        <v>17</v>
      </c>
      <c r="K433">
        <v>432</v>
      </c>
      <c r="L433" t="s">
        <v>37</v>
      </c>
      <c r="M433" t="s">
        <v>66</v>
      </c>
    </row>
    <row r="434" spans="1:13" x14ac:dyDescent="0.3">
      <c r="A434">
        <v>10</v>
      </c>
      <c r="B434" t="s">
        <v>249</v>
      </c>
      <c r="C434">
        <v>4</v>
      </c>
      <c r="D434" s="1">
        <v>45021.051388888889</v>
      </c>
      <c r="E434" s="1">
        <v>45021.131249999999</v>
      </c>
      <c r="F434" t="s">
        <v>14</v>
      </c>
      <c r="G434" t="s">
        <v>22</v>
      </c>
      <c r="H434" t="s">
        <v>16</v>
      </c>
      <c r="I434">
        <v>4577</v>
      </c>
      <c r="J434" t="s">
        <v>28</v>
      </c>
      <c r="K434">
        <v>433</v>
      </c>
      <c r="L434" t="s">
        <v>29</v>
      </c>
      <c r="M434" t="s">
        <v>40</v>
      </c>
    </row>
    <row r="435" spans="1:13" x14ac:dyDescent="0.3">
      <c r="A435">
        <v>15</v>
      </c>
      <c r="B435" t="s">
        <v>477</v>
      </c>
      <c r="C435">
        <v>4</v>
      </c>
      <c r="D435" s="1">
        <v>45021.010416666664</v>
      </c>
      <c r="E435" s="1">
        <v>45021.163194444445</v>
      </c>
      <c r="F435" t="s">
        <v>14</v>
      </c>
      <c r="G435" t="s">
        <v>22</v>
      </c>
      <c r="H435" t="s">
        <v>16</v>
      </c>
      <c r="I435">
        <v>3715</v>
      </c>
      <c r="J435" t="s">
        <v>28</v>
      </c>
      <c r="K435">
        <v>434</v>
      </c>
      <c r="L435" t="s">
        <v>29</v>
      </c>
      <c r="M435" t="s">
        <v>71</v>
      </c>
    </row>
    <row r="436" spans="1:13" x14ac:dyDescent="0.3">
      <c r="A436">
        <v>17</v>
      </c>
      <c r="B436" t="s">
        <v>478</v>
      </c>
      <c r="C436">
        <v>6</v>
      </c>
      <c r="D436" s="1">
        <v>45021.161805555559</v>
      </c>
      <c r="E436" s="1">
        <v>45021.250694444447</v>
      </c>
      <c r="F436" t="s">
        <v>21</v>
      </c>
      <c r="G436" t="s">
        <v>22</v>
      </c>
      <c r="H436" t="s">
        <v>16</v>
      </c>
      <c r="I436">
        <v>3048</v>
      </c>
      <c r="J436" t="s">
        <v>24</v>
      </c>
      <c r="K436">
        <v>435</v>
      </c>
      <c r="L436" t="s">
        <v>59</v>
      </c>
      <c r="M436" t="s">
        <v>71</v>
      </c>
    </row>
    <row r="437" spans="1:13" x14ac:dyDescent="0.3">
      <c r="A437">
        <v>10</v>
      </c>
      <c r="B437" t="s">
        <v>166</v>
      </c>
      <c r="C437">
        <v>3</v>
      </c>
      <c r="D437" s="1">
        <v>45021.008333333331</v>
      </c>
      <c r="E437" s="1">
        <v>45021.169444444444</v>
      </c>
      <c r="F437" t="s">
        <v>21</v>
      </c>
      <c r="G437" t="s">
        <v>22</v>
      </c>
      <c r="H437" t="s">
        <v>16</v>
      </c>
      <c r="I437">
        <v>1014</v>
      </c>
      <c r="J437" t="s">
        <v>24</v>
      </c>
      <c r="K437">
        <v>436</v>
      </c>
      <c r="L437" t="s">
        <v>25</v>
      </c>
      <c r="M437" t="s">
        <v>30</v>
      </c>
    </row>
    <row r="438" spans="1:13" x14ac:dyDescent="0.3">
      <c r="A438">
        <v>16</v>
      </c>
      <c r="B438" t="s">
        <v>167</v>
      </c>
      <c r="C438">
        <v>6</v>
      </c>
      <c r="D438" s="1">
        <v>45021.126388888886</v>
      </c>
      <c r="E438" s="1">
        <v>45021.225694444445</v>
      </c>
      <c r="F438" t="s">
        <v>52</v>
      </c>
      <c r="G438" t="s">
        <v>22</v>
      </c>
      <c r="H438" t="s">
        <v>16</v>
      </c>
      <c r="I438">
        <v>1256</v>
      </c>
      <c r="J438" t="s">
        <v>28</v>
      </c>
      <c r="K438">
        <v>437</v>
      </c>
      <c r="L438" t="s">
        <v>70</v>
      </c>
      <c r="M438" t="s">
        <v>19</v>
      </c>
    </row>
    <row r="439" spans="1:13" x14ac:dyDescent="0.3">
      <c r="A439">
        <v>2</v>
      </c>
      <c r="B439" t="s">
        <v>168</v>
      </c>
      <c r="C439">
        <v>1</v>
      </c>
      <c r="D439" s="1">
        <v>45021.165277777778</v>
      </c>
      <c r="E439" s="1">
        <v>45021.314583333333</v>
      </c>
      <c r="F439" t="s">
        <v>73</v>
      </c>
      <c r="G439" t="s">
        <v>22</v>
      </c>
      <c r="H439" t="s">
        <v>16</v>
      </c>
      <c r="I439">
        <v>193</v>
      </c>
      <c r="J439" t="s">
        <v>17</v>
      </c>
      <c r="K439">
        <v>438</v>
      </c>
      <c r="L439" t="s">
        <v>49</v>
      </c>
      <c r="M439" t="s">
        <v>112</v>
      </c>
    </row>
    <row r="440" spans="1:13" x14ac:dyDescent="0.3">
      <c r="A440">
        <v>15</v>
      </c>
      <c r="B440" t="s">
        <v>479</v>
      </c>
      <c r="C440">
        <v>1</v>
      </c>
      <c r="D440" s="1">
        <v>45021</v>
      </c>
      <c r="E440" s="1">
        <v>45021.057638888888</v>
      </c>
      <c r="F440" t="s">
        <v>52</v>
      </c>
      <c r="G440" t="s">
        <v>15</v>
      </c>
      <c r="H440" t="s">
        <v>16</v>
      </c>
      <c r="I440">
        <v>2556</v>
      </c>
      <c r="J440" t="s">
        <v>17</v>
      </c>
      <c r="K440">
        <v>439</v>
      </c>
      <c r="L440" t="s">
        <v>29</v>
      </c>
      <c r="M440" t="s">
        <v>112</v>
      </c>
    </row>
    <row r="441" spans="1:13" x14ac:dyDescent="0.3">
      <c r="A441">
        <v>13</v>
      </c>
      <c r="B441" t="s">
        <v>480</v>
      </c>
      <c r="C441">
        <v>1</v>
      </c>
      <c r="D441" s="1">
        <v>45021.082638888889</v>
      </c>
      <c r="E441" s="1">
        <v>45021.241666666669</v>
      </c>
      <c r="F441" t="s">
        <v>32</v>
      </c>
      <c r="G441" t="s">
        <v>22</v>
      </c>
      <c r="H441" t="s">
        <v>16</v>
      </c>
      <c r="I441">
        <v>3885</v>
      </c>
      <c r="J441" t="s">
        <v>24</v>
      </c>
      <c r="K441">
        <v>440</v>
      </c>
      <c r="L441" t="s">
        <v>49</v>
      </c>
      <c r="M441" t="s">
        <v>89</v>
      </c>
    </row>
    <row r="442" spans="1:13" x14ac:dyDescent="0.3">
      <c r="A442">
        <v>13</v>
      </c>
      <c r="B442" t="s">
        <v>224</v>
      </c>
      <c r="C442">
        <v>6</v>
      </c>
      <c r="D442" s="1">
        <v>45021.044444444444</v>
      </c>
      <c r="E442" s="1">
        <v>45021.140972222223</v>
      </c>
      <c r="F442" t="s">
        <v>32</v>
      </c>
      <c r="G442" t="s">
        <v>22</v>
      </c>
      <c r="H442" t="s">
        <v>23</v>
      </c>
      <c r="I442">
        <v>2331</v>
      </c>
      <c r="J442" t="s">
        <v>24</v>
      </c>
      <c r="K442">
        <v>441</v>
      </c>
      <c r="L442" t="s">
        <v>59</v>
      </c>
      <c r="M442" t="s">
        <v>19</v>
      </c>
    </row>
    <row r="443" spans="1:13" x14ac:dyDescent="0.3">
      <c r="A443">
        <v>15</v>
      </c>
      <c r="B443" t="s">
        <v>481</v>
      </c>
      <c r="C443">
        <v>3</v>
      </c>
      <c r="D443" s="1">
        <v>45021.086111111108</v>
      </c>
      <c r="E443" s="1">
        <v>45021.137499999997</v>
      </c>
      <c r="F443" t="s">
        <v>14</v>
      </c>
      <c r="G443" t="s">
        <v>15</v>
      </c>
      <c r="H443" t="s">
        <v>16</v>
      </c>
      <c r="I443">
        <v>2107</v>
      </c>
      <c r="J443" t="s">
        <v>24</v>
      </c>
      <c r="K443">
        <v>442</v>
      </c>
      <c r="L443" t="s">
        <v>55</v>
      </c>
      <c r="M443" t="s">
        <v>38</v>
      </c>
    </row>
    <row r="444" spans="1:13" x14ac:dyDescent="0.3">
      <c r="A444">
        <v>4</v>
      </c>
      <c r="B444" t="s">
        <v>163</v>
      </c>
      <c r="C444">
        <v>2</v>
      </c>
      <c r="D444" s="1">
        <v>45021.052083333336</v>
      </c>
      <c r="E444" s="1">
        <v>45021.134722222225</v>
      </c>
      <c r="F444" t="s">
        <v>32</v>
      </c>
      <c r="G444" t="s">
        <v>22</v>
      </c>
      <c r="H444" t="s">
        <v>36</v>
      </c>
      <c r="I444">
        <v>1448</v>
      </c>
      <c r="J444" t="s">
        <v>17</v>
      </c>
      <c r="K444">
        <v>443</v>
      </c>
      <c r="L444" t="s">
        <v>91</v>
      </c>
      <c r="M444" t="s">
        <v>89</v>
      </c>
    </row>
    <row r="445" spans="1:13" x14ac:dyDescent="0.3">
      <c r="A445">
        <v>8</v>
      </c>
      <c r="B445" t="s">
        <v>273</v>
      </c>
      <c r="C445">
        <v>5</v>
      </c>
      <c r="D445" s="1">
        <v>45021.140972222223</v>
      </c>
      <c r="E445" s="1">
        <v>45021.255555555559</v>
      </c>
      <c r="F445" t="s">
        <v>73</v>
      </c>
      <c r="G445" t="s">
        <v>22</v>
      </c>
      <c r="H445" t="s">
        <v>16</v>
      </c>
      <c r="I445">
        <v>2526</v>
      </c>
      <c r="J445" t="s">
        <v>17</v>
      </c>
      <c r="K445">
        <v>444</v>
      </c>
      <c r="L445" t="s">
        <v>49</v>
      </c>
      <c r="M445" t="s">
        <v>89</v>
      </c>
    </row>
    <row r="446" spans="1:13" x14ac:dyDescent="0.3">
      <c r="A446">
        <v>6</v>
      </c>
      <c r="B446" t="s">
        <v>169</v>
      </c>
      <c r="C446">
        <v>5</v>
      </c>
      <c r="D446" s="1">
        <v>45021.042361111111</v>
      </c>
      <c r="E446" s="1">
        <v>45021.131249999999</v>
      </c>
      <c r="F446" t="s">
        <v>73</v>
      </c>
      <c r="G446" t="s">
        <v>48</v>
      </c>
      <c r="H446" t="s">
        <v>16</v>
      </c>
      <c r="I446">
        <v>1428</v>
      </c>
      <c r="J446" t="s">
        <v>17</v>
      </c>
      <c r="K446">
        <v>445</v>
      </c>
      <c r="L446" t="s">
        <v>70</v>
      </c>
      <c r="M446" t="s">
        <v>50</v>
      </c>
    </row>
    <row r="447" spans="1:13" x14ac:dyDescent="0.3">
      <c r="A447">
        <v>12</v>
      </c>
      <c r="B447" t="s">
        <v>43</v>
      </c>
      <c r="C447">
        <v>2</v>
      </c>
      <c r="D447" s="1">
        <v>45021.116666666669</v>
      </c>
      <c r="E447" s="1">
        <v>45021.259027777778</v>
      </c>
      <c r="F447" t="s">
        <v>73</v>
      </c>
      <c r="G447" t="s">
        <v>22</v>
      </c>
      <c r="H447" t="s">
        <v>16</v>
      </c>
      <c r="I447">
        <v>3524</v>
      </c>
      <c r="J447" t="s">
        <v>17</v>
      </c>
      <c r="K447">
        <v>446</v>
      </c>
      <c r="L447" t="s">
        <v>62</v>
      </c>
      <c r="M447" t="s">
        <v>42</v>
      </c>
    </row>
    <row r="448" spans="1:13" x14ac:dyDescent="0.3">
      <c r="A448">
        <v>8</v>
      </c>
      <c r="B448" t="s">
        <v>482</v>
      </c>
      <c r="C448">
        <v>2</v>
      </c>
      <c r="D448" s="1">
        <v>45021.161805555559</v>
      </c>
      <c r="E448" s="1">
        <v>45021.308333333334</v>
      </c>
      <c r="F448" t="s">
        <v>14</v>
      </c>
      <c r="G448" t="s">
        <v>15</v>
      </c>
      <c r="H448" t="s">
        <v>16</v>
      </c>
      <c r="I448">
        <v>2868</v>
      </c>
      <c r="J448" t="s">
        <v>17</v>
      </c>
      <c r="K448">
        <v>447</v>
      </c>
      <c r="L448" t="s">
        <v>59</v>
      </c>
      <c r="M448" t="s">
        <v>66</v>
      </c>
    </row>
    <row r="449" spans="1:13" x14ac:dyDescent="0.3">
      <c r="A449">
        <v>4</v>
      </c>
      <c r="B449" t="s">
        <v>426</v>
      </c>
      <c r="C449">
        <v>5</v>
      </c>
      <c r="D449" s="1">
        <v>45021.004861111112</v>
      </c>
      <c r="E449" s="1">
        <v>45021.149305555555</v>
      </c>
      <c r="F449" t="s">
        <v>14</v>
      </c>
      <c r="G449" t="s">
        <v>15</v>
      </c>
      <c r="H449" t="s">
        <v>16</v>
      </c>
      <c r="I449">
        <v>3568</v>
      </c>
      <c r="J449" t="s">
        <v>24</v>
      </c>
      <c r="K449">
        <v>448</v>
      </c>
      <c r="L449" t="s">
        <v>91</v>
      </c>
      <c r="M449" t="s">
        <v>53</v>
      </c>
    </row>
    <row r="450" spans="1:13" x14ac:dyDescent="0.3">
      <c r="A450">
        <v>3</v>
      </c>
      <c r="B450" t="s">
        <v>170</v>
      </c>
      <c r="C450">
        <v>3</v>
      </c>
      <c r="D450" s="1">
        <v>45021.142361111109</v>
      </c>
      <c r="E450" s="1">
        <v>45021.209722222222</v>
      </c>
      <c r="F450" t="s">
        <v>52</v>
      </c>
      <c r="G450" t="s">
        <v>22</v>
      </c>
      <c r="H450" t="s">
        <v>23</v>
      </c>
      <c r="I450">
        <v>4225</v>
      </c>
      <c r="J450" t="s">
        <v>24</v>
      </c>
      <c r="K450">
        <v>449</v>
      </c>
      <c r="L450" t="s">
        <v>25</v>
      </c>
      <c r="M450" t="s">
        <v>105</v>
      </c>
    </row>
    <row r="451" spans="1:13" x14ac:dyDescent="0.3">
      <c r="A451">
        <v>9</v>
      </c>
      <c r="B451" t="s">
        <v>483</v>
      </c>
      <c r="C451">
        <v>6</v>
      </c>
      <c r="D451" s="1">
        <v>45021.160416666666</v>
      </c>
      <c r="E451" s="1">
        <v>45021.209027777775</v>
      </c>
      <c r="F451" t="s">
        <v>52</v>
      </c>
      <c r="G451" t="s">
        <v>22</v>
      </c>
      <c r="H451" t="s">
        <v>16</v>
      </c>
      <c r="I451">
        <v>489</v>
      </c>
      <c r="J451" t="s">
        <v>24</v>
      </c>
      <c r="K451">
        <v>450</v>
      </c>
      <c r="L451" t="s">
        <v>29</v>
      </c>
      <c r="M451" t="s">
        <v>46</v>
      </c>
    </row>
    <row r="452" spans="1:13" x14ac:dyDescent="0.3">
      <c r="A452">
        <v>3</v>
      </c>
      <c r="B452" t="s">
        <v>366</v>
      </c>
      <c r="C452">
        <v>1</v>
      </c>
      <c r="D452" s="1">
        <v>45021.053472222222</v>
      </c>
      <c r="E452" s="1">
        <v>45021.101388888892</v>
      </c>
      <c r="F452" t="s">
        <v>21</v>
      </c>
      <c r="G452" t="s">
        <v>48</v>
      </c>
      <c r="H452" t="s">
        <v>16</v>
      </c>
      <c r="I452">
        <v>4637</v>
      </c>
      <c r="J452" t="s">
        <v>17</v>
      </c>
      <c r="K452">
        <v>451</v>
      </c>
      <c r="L452" t="s">
        <v>29</v>
      </c>
      <c r="M452" t="s">
        <v>19</v>
      </c>
    </row>
    <row r="453" spans="1:13" x14ac:dyDescent="0.3">
      <c r="A453">
        <v>9</v>
      </c>
      <c r="B453" t="s">
        <v>484</v>
      </c>
      <c r="C453">
        <v>1</v>
      </c>
      <c r="D453" s="1">
        <v>45021.120138888888</v>
      </c>
      <c r="E453" s="1">
        <v>45021.22152777778</v>
      </c>
      <c r="F453" t="s">
        <v>14</v>
      </c>
      <c r="G453" t="s">
        <v>22</v>
      </c>
      <c r="H453" t="s">
        <v>16</v>
      </c>
      <c r="I453">
        <v>4348</v>
      </c>
      <c r="J453" t="s">
        <v>28</v>
      </c>
      <c r="K453">
        <v>452</v>
      </c>
      <c r="L453" t="s">
        <v>55</v>
      </c>
      <c r="M453" t="s">
        <v>56</v>
      </c>
    </row>
    <row r="454" spans="1:13" x14ac:dyDescent="0.3">
      <c r="A454">
        <v>6</v>
      </c>
      <c r="B454" t="s">
        <v>485</v>
      </c>
      <c r="C454">
        <v>1</v>
      </c>
      <c r="D454" s="1">
        <v>45021.154166666667</v>
      </c>
      <c r="E454" s="1">
        <v>45021.213194444441</v>
      </c>
      <c r="F454" t="s">
        <v>32</v>
      </c>
      <c r="G454" t="s">
        <v>48</v>
      </c>
      <c r="H454" t="s">
        <v>16</v>
      </c>
      <c r="I454">
        <v>3683</v>
      </c>
      <c r="J454" t="s">
        <v>17</v>
      </c>
      <c r="K454">
        <v>453</v>
      </c>
      <c r="L454" t="s">
        <v>33</v>
      </c>
      <c r="M454" t="s">
        <v>38</v>
      </c>
    </row>
    <row r="455" spans="1:13" x14ac:dyDescent="0.3">
      <c r="A455">
        <v>1</v>
      </c>
      <c r="B455" t="s">
        <v>473</v>
      </c>
      <c r="C455">
        <v>3</v>
      </c>
      <c r="D455" s="1">
        <v>45021.143055555556</v>
      </c>
      <c r="E455" s="1">
        <v>45021.203472222223</v>
      </c>
      <c r="F455" t="s">
        <v>73</v>
      </c>
      <c r="G455" t="s">
        <v>22</v>
      </c>
      <c r="H455" t="s">
        <v>16</v>
      </c>
      <c r="I455">
        <v>3962</v>
      </c>
      <c r="J455" t="s">
        <v>17</v>
      </c>
      <c r="K455">
        <v>454</v>
      </c>
      <c r="L455" t="s">
        <v>37</v>
      </c>
      <c r="M455" t="s">
        <v>50</v>
      </c>
    </row>
    <row r="456" spans="1:13" x14ac:dyDescent="0.3">
      <c r="A456">
        <v>12</v>
      </c>
      <c r="B456" t="s">
        <v>171</v>
      </c>
      <c r="C456">
        <v>6</v>
      </c>
      <c r="D456" s="1">
        <v>45021.165277777778</v>
      </c>
      <c r="E456" s="1">
        <v>45021.245833333334</v>
      </c>
      <c r="F456" t="s">
        <v>21</v>
      </c>
      <c r="G456" t="s">
        <v>48</v>
      </c>
      <c r="H456" t="s">
        <v>36</v>
      </c>
      <c r="I456">
        <v>197</v>
      </c>
      <c r="J456" t="s">
        <v>28</v>
      </c>
      <c r="K456">
        <v>455</v>
      </c>
      <c r="L456" t="s">
        <v>37</v>
      </c>
      <c r="M456" t="s">
        <v>75</v>
      </c>
    </row>
    <row r="457" spans="1:13" x14ac:dyDescent="0.3">
      <c r="A457">
        <v>13</v>
      </c>
      <c r="B457" t="s">
        <v>486</v>
      </c>
      <c r="C457">
        <v>6</v>
      </c>
      <c r="D457" s="1">
        <v>45021.091666666667</v>
      </c>
      <c r="E457" s="1">
        <v>45021.21875</v>
      </c>
      <c r="F457" t="s">
        <v>14</v>
      </c>
      <c r="G457" t="s">
        <v>22</v>
      </c>
      <c r="H457" t="s">
        <v>16</v>
      </c>
      <c r="I457">
        <v>2194</v>
      </c>
      <c r="J457" t="s">
        <v>17</v>
      </c>
      <c r="K457">
        <v>456</v>
      </c>
      <c r="L457" t="s">
        <v>49</v>
      </c>
      <c r="M457" t="s">
        <v>34</v>
      </c>
    </row>
    <row r="458" spans="1:13" x14ac:dyDescent="0.3">
      <c r="A458">
        <v>18</v>
      </c>
      <c r="B458" t="s">
        <v>487</v>
      </c>
      <c r="C458">
        <v>6</v>
      </c>
      <c r="D458" s="1">
        <v>45021.158333333333</v>
      </c>
      <c r="E458" s="1">
        <v>45021.313888888886</v>
      </c>
      <c r="F458" t="s">
        <v>32</v>
      </c>
      <c r="G458" t="s">
        <v>22</v>
      </c>
      <c r="H458" t="s">
        <v>23</v>
      </c>
      <c r="I458">
        <v>1726</v>
      </c>
      <c r="J458" t="s">
        <v>28</v>
      </c>
      <c r="K458">
        <v>457</v>
      </c>
      <c r="L458" t="s">
        <v>29</v>
      </c>
      <c r="M458" t="s">
        <v>112</v>
      </c>
    </row>
    <row r="459" spans="1:13" x14ac:dyDescent="0.3">
      <c r="A459">
        <v>4</v>
      </c>
      <c r="B459" t="s">
        <v>488</v>
      </c>
      <c r="C459">
        <v>3</v>
      </c>
      <c r="D459" s="1">
        <v>45021.111805555556</v>
      </c>
      <c r="E459" s="1">
        <v>45021.181250000001</v>
      </c>
      <c r="F459" t="s">
        <v>14</v>
      </c>
      <c r="G459" t="s">
        <v>22</v>
      </c>
      <c r="H459" t="s">
        <v>16</v>
      </c>
      <c r="I459">
        <v>1521</v>
      </c>
      <c r="J459" t="s">
        <v>24</v>
      </c>
      <c r="K459">
        <v>458</v>
      </c>
      <c r="L459" t="s">
        <v>29</v>
      </c>
      <c r="M459" t="s">
        <v>30</v>
      </c>
    </row>
    <row r="460" spans="1:13" x14ac:dyDescent="0.3">
      <c r="A460">
        <v>20</v>
      </c>
      <c r="B460" t="s">
        <v>172</v>
      </c>
      <c r="C460">
        <v>1</v>
      </c>
      <c r="D460" s="1">
        <v>45021.01666666667</v>
      </c>
      <c r="E460" s="1">
        <v>45021.091666666667</v>
      </c>
      <c r="F460" t="s">
        <v>73</v>
      </c>
      <c r="G460" t="s">
        <v>22</v>
      </c>
      <c r="H460" t="s">
        <v>16</v>
      </c>
      <c r="I460">
        <v>3277</v>
      </c>
      <c r="J460" t="s">
        <v>24</v>
      </c>
      <c r="K460">
        <v>459</v>
      </c>
      <c r="L460" t="s">
        <v>49</v>
      </c>
      <c r="M460" t="s">
        <v>30</v>
      </c>
    </row>
    <row r="461" spans="1:13" x14ac:dyDescent="0.3">
      <c r="A461">
        <v>19</v>
      </c>
      <c r="B461" t="s">
        <v>334</v>
      </c>
      <c r="C461">
        <v>6</v>
      </c>
      <c r="D461" s="1">
        <v>45021.143750000003</v>
      </c>
      <c r="E461" s="1">
        <v>45021.288888888892</v>
      </c>
      <c r="F461" t="s">
        <v>14</v>
      </c>
      <c r="G461" t="s">
        <v>15</v>
      </c>
      <c r="H461" t="s">
        <v>16</v>
      </c>
      <c r="I461">
        <v>496</v>
      </c>
      <c r="J461" t="s">
        <v>17</v>
      </c>
      <c r="K461">
        <v>460</v>
      </c>
      <c r="L461" t="s">
        <v>62</v>
      </c>
      <c r="M461" t="s">
        <v>30</v>
      </c>
    </row>
    <row r="462" spans="1:13" x14ac:dyDescent="0.3">
      <c r="A462">
        <v>4</v>
      </c>
      <c r="B462" t="s">
        <v>489</v>
      </c>
      <c r="C462">
        <v>3</v>
      </c>
      <c r="D462" s="1">
        <v>45021.113194444442</v>
      </c>
      <c r="E462" s="1">
        <v>45021.246527777781</v>
      </c>
      <c r="F462" t="s">
        <v>21</v>
      </c>
      <c r="G462" t="s">
        <v>15</v>
      </c>
      <c r="H462" t="s">
        <v>23</v>
      </c>
      <c r="I462">
        <v>2151</v>
      </c>
      <c r="J462" t="s">
        <v>17</v>
      </c>
      <c r="K462">
        <v>461</v>
      </c>
      <c r="L462" t="s">
        <v>18</v>
      </c>
      <c r="M462" t="s">
        <v>19</v>
      </c>
    </row>
    <row r="463" spans="1:13" x14ac:dyDescent="0.3">
      <c r="A463">
        <v>9</v>
      </c>
      <c r="B463" t="s">
        <v>173</v>
      </c>
      <c r="C463">
        <v>2</v>
      </c>
      <c r="D463" s="1">
        <v>45021.091666666667</v>
      </c>
      <c r="E463" s="1">
        <v>45021.185416666667</v>
      </c>
      <c r="F463" t="s">
        <v>32</v>
      </c>
      <c r="G463" t="s">
        <v>22</v>
      </c>
      <c r="H463" t="s">
        <v>16</v>
      </c>
      <c r="I463">
        <v>2117</v>
      </c>
      <c r="J463" t="s">
        <v>28</v>
      </c>
      <c r="K463">
        <v>462</v>
      </c>
      <c r="L463" t="s">
        <v>59</v>
      </c>
      <c r="M463" t="s">
        <v>112</v>
      </c>
    </row>
    <row r="464" spans="1:13" x14ac:dyDescent="0.3">
      <c r="A464">
        <v>7</v>
      </c>
      <c r="B464" t="s">
        <v>174</v>
      </c>
      <c r="C464">
        <v>2</v>
      </c>
      <c r="D464" s="1">
        <v>45021.036805555559</v>
      </c>
      <c r="E464" s="1">
        <v>45021.134027777778</v>
      </c>
      <c r="F464" t="s">
        <v>32</v>
      </c>
      <c r="G464" t="s">
        <v>22</v>
      </c>
      <c r="H464" t="s">
        <v>36</v>
      </c>
      <c r="I464">
        <v>1707</v>
      </c>
      <c r="J464" t="s">
        <v>24</v>
      </c>
      <c r="K464">
        <v>463</v>
      </c>
      <c r="L464" t="s">
        <v>70</v>
      </c>
      <c r="M464" t="s">
        <v>56</v>
      </c>
    </row>
    <row r="465" spans="1:13" x14ac:dyDescent="0.3">
      <c r="A465">
        <v>16</v>
      </c>
      <c r="B465" t="s">
        <v>287</v>
      </c>
      <c r="C465">
        <v>1</v>
      </c>
      <c r="D465" s="1">
        <v>45021.056250000001</v>
      </c>
      <c r="E465" s="1">
        <v>45021.193749999999</v>
      </c>
      <c r="F465" t="s">
        <v>14</v>
      </c>
      <c r="G465" t="s">
        <v>22</v>
      </c>
      <c r="H465" t="s">
        <v>16</v>
      </c>
      <c r="I465">
        <v>485</v>
      </c>
      <c r="J465" t="s">
        <v>28</v>
      </c>
      <c r="K465">
        <v>464</v>
      </c>
      <c r="L465" t="s">
        <v>33</v>
      </c>
      <c r="M465" t="s">
        <v>71</v>
      </c>
    </row>
    <row r="466" spans="1:13" x14ac:dyDescent="0.3">
      <c r="A466">
        <v>4</v>
      </c>
      <c r="B466" t="s">
        <v>490</v>
      </c>
      <c r="C466">
        <v>2</v>
      </c>
      <c r="D466" s="1">
        <v>45021.049305555556</v>
      </c>
      <c r="E466" s="1">
        <v>45021.151388888888</v>
      </c>
      <c r="F466" t="s">
        <v>73</v>
      </c>
      <c r="G466" t="s">
        <v>22</v>
      </c>
      <c r="H466" t="s">
        <v>16</v>
      </c>
      <c r="I466">
        <v>449</v>
      </c>
      <c r="J466" t="s">
        <v>24</v>
      </c>
      <c r="K466">
        <v>465</v>
      </c>
      <c r="L466" t="s">
        <v>55</v>
      </c>
      <c r="M466" t="s">
        <v>60</v>
      </c>
    </row>
    <row r="467" spans="1:13" x14ac:dyDescent="0.3">
      <c r="A467">
        <v>4</v>
      </c>
      <c r="B467" t="s">
        <v>491</v>
      </c>
      <c r="C467">
        <v>1</v>
      </c>
      <c r="D467" s="1">
        <v>45021.07916666667</v>
      </c>
      <c r="E467" s="1">
        <v>45021.180555555555</v>
      </c>
      <c r="F467" t="s">
        <v>73</v>
      </c>
      <c r="G467" t="s">
        <v>22</v>
      </c>
      <c r="H467" t="s">
        <v>16</v>
      </c>
      <c r="I467">
        <v>2663</v>
      </c>
      <c r="J467" t="s">
        <v>17</v>
      </c>
      <c r="K467">
        <v>466</v>
      </c>
      <c r="L467" t="s">
        <v>29</v>
      </c>
      <c r="M467" t="s">
        <v>92</v>
      </c>
    </row>
    <row r="468" spans="1:13" x14ac:dyDescent="0.3">
      <c r="A468">
        <v>15</v>
      </c>
      <c r="B468" t="s">
        <v>492</v>
      </c>
      <c r="C468">
        <v>3</v>
      </c>
      <c r="D468" s="1">
        <v>45021.112500000003</v>
      </c>
      <c r="E468" s="1">
        <v>45021.176388888889</v>
      </c>
      <c r="F468" t="s">
        <v>73</v>
      </c>
      <c r="G468" t="s">
        <v>22</v>
      </c>
      <c r="H468" t="s">
        <v>36</v>
      </c>
      <c r="I468">
        <v>4231</v>
      </c>
      <c r="J468" t="s">
        <v>28</v>
      </c>
      <c r="K468">
        <v>467</v>
      </c>
      <c r="L468" t="s">
        <v>18</v>
      </c>
      <c r="M468" t="s">
        <v>112</v>
      </c>
    </row>
    <row r="469" spans="1:13" x14ac:dyDescent="0.3">
      <c r="A469">
        <v>14</v>
      </c>
      <c r="B469" t="s">
        <v>493</v>
      </c>
      <c r="C469">
        <v>6</v>
      </c>
      <c r="D469" s="1">
        <v>45021.124305555553</v>
      </c>
      <c r="E469" s="1">
        <v>45021.239583333336</v>
      </c>
      <c r="F469" t="s">
        <v>32</v>
      </c>
      <c r="G469" t="s">
        <v>48</v>
      </c>
      <c r="H469" t="s">
        <v>16</v>
      </c>
      <c r="I469">
        <v>1428</v>
      </c>
      <c r="J469" t="s">
        <v>28</v>
      </c>
      <c r="K469">
        <v>468</v>
      </c>
      <c r="L469" t="s">
        <v>49</v>
      </c>
      <c r="M469" t="s">
        <v>53</v>
      </c>
    </row>
    <row r="470" spans="1:13" x14ac:dyDescent="0.3">
      <c r="A470">
        <v>1</v>
      </c>
      <c r="B470" t="s">
        <v>494</v>
      </c>
      <c r="C470">
        <v>2</v>
      </c>
      <c r="D470" s="1">
        <v>45021.122916666667</v>
      </c>
      <c r="E470" s="1">
        <v>45021.223611111112</v>
      </c>
      <c r="F470" t="s">
        <v>73</v>
      </c>
      <c r="G470" t="s">
        <v>15</v>
      </c>
      <c r="H470" t="s">
        <v>16</v>
      </c>
      <c r="I470">
        <v>2526</v>
      </c>
      <c r="J470" t="s">
        <v>28</v>
      </c>
      <c r="K470">
        <v>469</v>
      </c>
      <c r="L470" t="s">
        <v>37</v>
      </c>
      <c r="M470" t="s">
        <v>19</v>
      </c>
    </row>
    <row r="471" spans="1:13" x14ac:dyDescent="0.3">
      <c r="A471">
        <v>17</v>
      </c>
      <c r="B471" t="s">
        <v>495</v>
      </c>
      <c r="C471">
        <v>3</v>
      </c>
      <c r="D471" s="1">
        <v>45021.070138888892</v>
      </c>
      <c r="E471" s="1">
        <v>45021.178472222222</v>
      </c>
      <c r="F471" t="s">
        <v>14</v>
      </c>
      <c r="G471" t="s">
        <v>22</v>
      </c>
      <c r="H471" t="s">
        <v>16</v>
      </c>
      <c r="I471">
        <v>4746</v>
      </c>
      <c r="J471" t="s">
        <v>24</v>
      </c>
      <c r="K471">
        <v>470</v>
      </c>
      <c r="L471" t="s">
        <v>55</v>
      </c>
      <c r="M471" t="s">
        <v>75</v>
      </c>
    </row>
    <row r="472" spans="1:13" x14ac:dyDescent="0.3">
      <c r="A472">
        <v>7</v>
      </c>
      <c r="B472" t="s">
        <v>175</v>
      </c>
      <c r="C472">
        <v>6</v>
      </c>
      <c r="D472" s="1">
        <v>45021.15</v>
      </c>
      <c r="E472" s="1">
        <v>45021.234722222223</v>
      </c>
      <c r="F472" t="s">
        <v>14</v>
      </c>
      <c r="G472" t="s">
        <v>48</v>
      </c>
      <c r="H472" t="s">
        <v>36</v>
      </c>
      <c r="I472">
        <v>2849</v>
      </c>
      <c r="J472" t="s">
        <v>28</v>
      </c>
      <c r="K472">
        <v>471</v>
      </c>
      <c r="L472" t="s">
        <v>18</v>
      </c>
      <c r="M472" t="s">
        <v>19</v>
      </c>
    </row>
    <row r="473" spans="1:13" x14ac:dyDescent="0.3">
      <c r="A473">
        <v>20</v>
      </c>
      <c r="B473" t="s">
        <v>496</v>
      </c>
      <c r="C473">
        <v>2</v>
      </c>
      <c r="D473" s="1">
        <v>45021.164583333331</v>
      </c>
      <c r="E473" s="1">
        <v>45021.286111111112</v>
      </c>
      <c r="F473" t="s">
        <v>32</v>
      </c>
      <c r="G473" t="s">
        <v>22</v>
      </c>
      <c r="H473" t="s">
        <v>23</v>
      </c>
      <c r="I473">
        <v>3679</v>
      </c>
      <c r="J473" t="s">
        <v>24</v>
      </c>
      <c r="K473">
        <v>472</v>
      </c>
      <c r="L473" t="s">
        <v>55</v>
      </c>
      <c r="M473" t="s">
        <v>19</v>
      </c>
    </row>
    <row r="474" spans="1:13" x14ac:dyDescent="0.3">
      <c r="A474">
        <v>13</v>
      </c>
      <c r="B474" t="s">
        <v>497</v>
      </c>
      <c r="C474">
        <v>4</v>
      </c>
      <c r="D474" s="1">
        <v>45022.15</v>
      </c>
      <c r="E474" s="1">
        <v>45022.294444444444</v>
      </c>
      <c r="F474" t="s">
        <v>32</v>
      </c>
      <c r="G474" t="s">
        <v>22</v>
      </c>
      <c r="H474" t="s">
        <v>36</v>
      </c>
      <c r="I474">
        <v>1563</v>
      </c>
      <c r="J474" t="s">
        <v>24</v>
      </c>
      <c r="K474">
        <v>473</v>
      </c>
      <c r="L474" t="s">
        <v>70</v>
      </c>
      <c r="M474" t="s">
        <v>92</v>
      </c>
    </row>
    <row r="475" spans="1:13" x14ac:dyDescent="0.3">
      <c r="A475">
        <v>2</v>
      </c>
      <c r="B475" t="s">
        <v>498</v>
      </c>
      <c r="C475">
        <v>6</v>
      </c>
      <c r="D475" s="1">
        <v>45022.077777777777</v>
      </c>
      <c r="E475" s="1">
        <v>45022.147222222222</v>
      </c>
      <c r="F475" t="s">
        <v>14</v>
      </c>
      <c r="G475" t="s">
        <v>22</v>
      </c>
      <c r="H475" t="s">
        <v>16</v>
      </c>
      <c r="I475">
        <v>2166</v>
      </c>
      <c r="J475" t="s">
        <v>17</v>
      </c>
      <c r="K475">
        <v>474</v>
      </c>
      <c r="L475" t="s">
        <v>18</v>
      </c>
      <c r="M475" t="s">
        <v>38</v>
      </c>
    </row>
    <row r="476" spans="1:13" x14ac:dyDescent="0.3">
      <c r="A476">
        <v>18</v>
      </c>
      <c r="B476" t="s">
        <v>139</v>
      </c>
      <c r="C476">
        <v>4</v>
      </c>
      <c r="D476" s="1">
        <v>45022.136805555558</v>
      </c>
      <c r="E476" s="1">
        <v>45022.243055555555</v>
      </c>
      <c r="F476" t="s">
        <v>21</v>
      </c>
      <c r="G476" t="s">
        <v>15</v>
      </c>
      <c r="H476" t="s">
        <v>36</v>
      </c>
      <c r="I476">
        <v>1955</v>
      </c>
      <c r="J476" t="s">
        <v>24</v>
      </c>
      <c r="K476">
        <v>475</v>
      </c>
      <c r="L476" t="s">
        <v>70</v>
      </c>
      <c r="M476" t="s">
        <v>75</v>
      </c>
    </row>
    <row r="477" spans="1:13" x14ac:dyDescent="0.3">
      <c r="A477">
        <v>13</v>
      </c>
      <c r="B477" t="s">
        <v>499</v>
      </c>
      <c r="C477">
        <v>2</v>
      </c>
      <c r="D477" s="1">
        <v>45022.002083333333</v>
      </c>
      <c r="E477" s="1">
        <v>45022.074305555558</v>
      </c>
      <c r="F477" t="s">
        <v>52</v>
      </c>
      <c r="G477" t="s">
        <v>48</v>
      </c>
      <c r="H477" t="s">
        <v>36</v>
      </c>
      <c r="I477">
        <v>4353</v>
      </c>
      <c r="J477" t="s">
        <v>24</v>
      </c>
      <c r="K477">
        <v>476</v>
      </c>
      <c r="L477" t="s">
        <v>70</v>
      </c>
      <c r="M477" t="s">
        <v>75</v>
      </c>
    </row>
    <row r="478" spans="1:13" x14ac:dyDescent="0.3">
      <c r="A478">
        <v>8</v>
      </c>
      <c r="B478" t="s">
        <v>500</v>
      </c>
      <c r="C478">
        <v>6</v>
      </c>
      <c r="D478" s="1">
        <v>45022.068749999999</v>
      </c>
      <c r="E478" s="1">
        <v>45022.123611111114</v>
      </c>
      <c r="F478" t="s">
        <v>14</v>
      </c>
      <c r="G478" t="s">
        <v>48</v>
      </c>
      <c r="H478" t="s">
        <v>16</v>
      </c>
      <c r="I478">
        <v>3385</v>
      </c>
      <c r="J478" t="s">
        <v>28</v>
      </c>
      <c r="K478">
        <v>477</v>
      </c>
      <c r="L478" t="s">
        <v>37</v>
      </c>
      <c r="M478" t="s">
        <v>38</v>
      </c>
    </row>
    <row r="479" spans="1:13" x14ac:dyDescent="0.3">
      <c r="A479">
        <v>7</v>
      </c>
      <c r="B479" t="s">
        <v>303</v>
      </c>
      <c r="C479">
        <v>5</v>
      </c>
      <c r="D479" s="1">
        <v>45022.000694444447</v>
      </c>
      <c r="E479" s="1">
        <v>45022.144444444442</v>
      </c>
      <c r="F479" t="s">
        <v>73</v>
      </c>
      <c r="G479" t="s">
        <v>22</v>
      </c>
      <c r="H479" t="s">
        <v>23</v>
      </c>
      <c r="I479">
        <v>3278</v>
      </c>
      <c r="J479" t="s">
        <v>24</v>
      </c>
      <c r="K479">
        <v>478</v>
      </c>
      <c r="L479" t="s">
        <v>29</v>
      </c>
      <c r="M479" t="s">
        <v>40</v>
      </c>
    </row>
    <row r="480" spans="1:13" x14ac:dyDescent="0.3">
      <c r="A480">
        <v>1</v>
      </c>
      <c r="B480" t="s">
        <v>271</v>
      </c>
      <c r="C480">
        <v>3</v>
      </c>
      <c r="D480" s="1">
        <v>45022.029166666667</v>
      </c>
      <c r="E480" s="1">
        <v>45022.1875</v>
      </c>
      <c r="F480" t="s">
        <v>52</v>
      </c>
      <c r="G480" t="s">
        <v>22</v>
      </c>
      <c r="H480" t="s">
        <v>36</v>
      </c>
      <c r="I480">
        <v>3958</v>
      </c>
      <c r="J480" t="s">
        <v>28</v>
      </c>
      <c r="K480">
        <v>479</v>
      </c>
      <c r="L480" t="s">
        <v>49</v>
      </c>
      <c r="M480" t="s">
        <v>46</v>
      </c>
    </row>
    <row r="481" spans="1:13" x14ac:dyDescent="0.3">
      <c r="A481">
        <v>1</v>
      </c>
      <c r="B481" t="s">
        <v>501</v>
      </c>
      <c r="C481">
        <v>5</v>
      </c>
      <c r="D481" s="1">
        <v>45022.143055555556</v>
      </c>
      <c r="E481" s="1">
        <v>45022.304861111108</v>
      </c>
      <c r="F481" t="s">
        <v>21</v>
      </c>
      <c r="G481" t="s">
        <v>48</v>
      </c>
      <c r="H481" t="s">
        <v>23</v>
      </c>
      <c r="I481">
        <v>1863</v>
      </c>
      <c r="J481" t="s">
        <v>28</v>
      </c>
      <c r="K481">
        <v>480</v>
      </c>
      <c r="L481" t="s">
        <v>55</v>
      </c>
      <c r="M481" t="s">
        <v>19</v>
      </c>
    </row>
    <row r="482" spans="1:13" x14ac:dyDescent="0.3">
      <c r="A482">
        <v>9</v>
      </c>
      <c r="B482" t="s">
        <v>176</v>
      </c>
      <c r="C482">
        <v>4</v>
      </c>
      <c r="D482" s="1">
        <v>45022.081250000003</v>
      </c>
      <c r="E482" s="1">
        <v>45022.196527777778</v>
      </c>
      <c r="F482" t="s">
        <v>73</v>
      </c>
      <c r="G482" t="s">
        <v>22</v>
      </c>
      <c r="H482" t="s">
        <v>16</v>
      </c>
      <c r="I482">
        <v>4202</v>
      </c>
      <c r="J482" t="s">
        <v>28</v>
      </c>
      <c r="K482">
        <v>481</v>
      </c>
      <c r="L482" t="s">
        <v>18</v>
      </c>
      <c r="M482" t="s">
        <v>71</v>
      </c>
    </row>
    <row r="483" spans="1:13" x14ac:dyDescent="0.3">
      <c r="A483">
        <v>9</v>
      </c>
      <c r="B483" t="s">
        <v>177</v>
      </c>
      <c r="C483">
        <v>4</v>
      </c>
      <c r="D483" s="1">
        <v>45022.02847222222</v>
      </c>
      <c r="E483" s="1">
        <v>45022.124305555553</v>
      </c>
      <c r="F483" t="s">
        <v>52</v>
      </c>
      <c r="G483" t="s">
        <v>48</v>
      </c>
      <c r="H483" t="s">
        <v>16</v>
      </c>
      <c r="I483">
        <v>1884</v>
      </c>
      <c r="J483" t="s">
        <v>17</v>
      </c>
      <c r="K483">
        <v>482</v>
      </c>
      <c r="L483" t="s">
        <v>37</v>
      </c>
      <c r="M483" t="s">
        <v>42</v>
      </c>
    </row>
    <row r="484" spans="1:13" x14ac:dyDescent="0.3">
      <c r="A484">
        <v>2</v>
      </c>
      <c r="B484" t="s">
        <v>178</v>
      </c>
      <c r="C484">
        <v>4</v>
      </c>
      <c r="D484" s="1">
        <v>45022.159722222219</v>
      </c>
      <c r="E484" s="1">
        <v>45022.292361111111</v>
      </c>
      <c r="F484" t="s">
        <v>73</v>
      </c>
      <c r="G484" t="s">
        <v>22</v>
      </c>
      <c r="H484" t="s">
        <v>16</v>
      </c>
      <c r="I484">
        <v>1274</v>
      </c>
      <c r="J484" t="s">
        <v>28</v>
      </c>
      <c r="K484">
        <v>483</v>
      </c>
      <c r="L484" t="s">
        <v>62</v>
      </c>
      <c r="M484" t="s">
        <v>50</v>
      </c>
    </row>
    <row r="485" spans="1:13" x14ac:dyDescent="0.3">
      <c r="A485">
        <v>18</v>
      </c>
      <c r="B485" t="s">
        <v>179</v>
      </c>
      <c r="C485">
        <v>2</v>
      </c>
      <c r="D485" s="1">
        <v>45022.064583333333</v>
      </c>
      <c r="E485" s="1">
        <v>45022.188194444447</v>
      </c>
      <c r="F485" t="s">
        <v>14</v>
      </c>
      <c r="G485" t="s">
        <v>22</v>
      </c>
      <c r="H485" t="s">
        <v>16</v>
      </c>
      <c r="I485">
        <v>2276</v>
      </c>
      <c r="J485" t="s">
        <v>17</v>
      </c>
      <c r="K485">
        <v>484</v>
      </c>
      <c r="L485" t="s">
        <v>33</v>
      </c>
      <c r="M485" t="s">
        <v>60</v>
      </c>
    </row>
    <row r="486" spans="1:13" x14ac:dyDescent="0.3">
      <c r="A486">
        <v>6</v>
      </c>
      <c r="B486" t="s">
        <v>428</v>
      </c>
      <c r="C486">
        <v>5</v>
      </c>
      <c r="D486" s="1">
        <v>45022.041666666664</v>
      </c>
      <c r="E486" s="1">
        <v>45022.119444444441</v>
      </c>
      <c r="F486" t="s">
        <v>21</v>
      </c>
      <c r="G486" t="s">
        <v>15</v>
      </c>
      <c r="H486" t="s">
        <v>16</v>
      </c>
      <c r="I486">
        <v>3907</v>
      </c>
      <c r="J486" t="s">
        <v>28</v>
      </c>
      <c r="K486">
        <v>485</v>
      </c>
      <c r="L486" t="s">
        <v>29</v>
      </c>
      <c r="M486" t="s">
        <v>75</v>
      </c>
    </row>
    <row r="487" spans="1:13" x14ac:dyDescent="0.3">
      <c r="A487">
        <v>15</v>
      </c>
      <c r="B487" t="s">
        <v>502</v>
      </c>
      <c r="C487">
        <v>3</v>
      </c>
      <c r="D487" s="1">
        <v>45022.115972222222</v>
      </c>
      <c r="E487" s="1">
        <v>45022.258333333331</v>
      </c>
      <c r="F487" t="s">
        <v>73</v>
      </c>
      <c r="G487" t="s">
        <v>48</v>
      </c>
      <c r="H487" t="s">
        <v>36</v>
      </c>
      <c r="I487">
        <v>1266</v>
      </c>
      <c r="J487" t="s">
        <v>24</v>
      </c>
      <c r="K487">
        <v>486</v>
      </c>
      <c r="L487" t="s">
        <v>37</v>
      </c>
      <c r="M487" t="s">
        <v>44</v>
      </c>
    </row>
    <row r="488" spans="1:13" x14ac:dyDescent="0.3">
      <c r="A488">
        <v>17</v>
      </c>
      <c r="B488" t="s">
        <v>214</v>
      </c>
      <c r="C488">
        <v>1</v>
      </c>
      <c r="D488" s="1">
        <v>45022.06527777778</v>
      </c>
      <c r="E488" s="1">
        <v>45022.159722222219</v>
      </c>
      <c r="F488" t="s">
        <v>73</v>
      </c>
      <c r="G488" t="s">
        <v>22</v>
      </c>
      <c r="H488" t="s">
        <v>16</v>
      </c>
      <c r="I488">
        <v>4576</v>
      </c>
      <c r="J488" t="s">
        <v>24</v>
      </c>
      <c r="K488">
        <v>487</v>
      </c>
      <c r="L488" t="s">
        <v>70</v>
      </c>
      <c r="M488" t="s">
        <v>38</v>
      </c>
    </row>
    <row r="489" spans="1:13" x14ac:dyDescent="0.3">
      <c r="A489">
        <v>10</v>
      </c>
      <c r="B489" t="s">
        <v>503</v>
      </c>
      <c r="C489">
        <v>4</v>
      </c>
      <c r="D489" s="1">
        <v>45022</v>
      </c>
      <c r="E489" s="1">
        <v>45022.081944444442</v>
      </c>
      <c r="F489" t="s">
        <v>52</v>
      </c>
      <c r="G489" t="s">
        <v>22</v>
      </c>
      <c r="H489" t="s">
        <v>36</v>
      </c>
      <c r="I489">
        <v>3738</v>
      </c>
      <c r="J489" t="s">
        <v>17</v>
      </c>
      <c r="K489">
        <v>488</v>
      </c>
      <c r="L489" t="s">
        <v>49</v>
      </c>
      <c r="M489" t="s">
        <v>46</v>
      </c>
    </row>
    <row r="490" spans="1:13" x14ac:dyDescent="0.3">
      <c r="A490">
        <v>3</v>
      </c>
      <c r="B490" t="s">
        <v>504</v>
      </c>
      <c r="C490">
        <v>1</v>
      </c>
      <c r="D490" s="1">
        <v>45022.122916666667</v>
      </c>
      <c r="E490" s="1">
        <v>45022.227083333331</v>
      </c>
      <c r="F490" t="s">
        <v>52</v>
      </c>
      <c r="G490" t="s">
        <v>48</v>
      </c>
      <c r="H490" t="s">
        <v>16</v>
      </c>
      <c r="I490">
        <v>2227</v>
      </c>
      <c r="J490" t="s">
        <v>24</v>
      </c>
      <c r="K490">
        <v>489</v>
      </c>
      <c r="L490" t="s">
        <v>49</v>
      </c>
      <c r="M490" t="s">
        <v>34</v>
      </c>
    </row>
    <row r="491" spans="1:13" x14ac:dyDescent="0.3">
      <c r="A491">
        <v>1</v>
      </c>
      <c r="B491" t="s">
        <v>174</v>
      </c>
      <c r="C491">
        <v>2</v>
      </c>
      <c r="D491" s="1">
        <v>45022.138888888891</v>
      </c>
      <c r="E491" s="1">
        <v>45022.206250000003</v>
      </c>
      <c r="F491" t="s">
        <v>21</v>
      </c>
      <c r="G491" t="s">
        <v>22</v>
      </c>
      <c r="H491" t="s">
        <v>16</v>
      </c>
      <c r="I491">
        <v>2679</v>
      </c>
      <c r="J491" t="s">
        <v>17</v>
      </c>
      <c r="K491">
        <v>490</v>
      </c>
      <c r="L491" t="s">
        <v>37</v>
      </c>
      <c r="M491" t="s">
        <v>71</v>
      </c>
    </row>
    <row r="492" spans="1:13" x14ac:dyDescent="0.3">
      <c r="A492">
        <v>7</v>
      </c>
      <c r="B492" t="s">
        <v>471</v>
      </c>
      <c r="C492">
        <v>4</v>
      </c>
      <c r="D492" s="1">
        <v>45022.004861111112</v>
      </c>
      <c r="E492" s="1">
        <v>45022.109027777777</v>
      </c>
      <c r="F492" t="s">
        <v>14</v>
      </c>
      <c r="G492" t="s">
        <v>48</v>
      </c>
      <c r="H492" t="s">
        <v>16</v>
      </c>
      <c r="I492">
        <v>3468</v>
      </c>
      <c r="J492" t="s">
        <v>24</v>
      </c>
      <c r="K492">
        <v>491</v>
      </c>
      <c r="L492" t="s">
        <v>59</v>
      </c>
      <c r="M492" t="s">
        <v>26</v>
      </c>
    </row>
    <row r="493" spans="1:13" x14ac:dyDescent="0.3">
      <c r="A493">
        <v>4</v>
      </c>
      <c r="B493" t="s">
        <v>505</v>
      </c>
      <c r="C493">
        <v>4</v>
      </c>
      <c r="D493" s="1">
        <v>45022.043749999997</v>
      </c>
      <c r="E493" s="1">
        <v>45022.191666666666</v>
      </c>
      <c r="F493" t="s">
        <v>73</v>
      </c>
      <c r="G493" t="s">
        <v>22</v>
      </c>
      <c r="H493" t="s">
        <v>16</v>
      </c>
      <c r="I493">
        <v>1662</v>
      </c>
      <c r="J493" t="s">
        <v>28</v>
      </c>
      <c r="K493">
        <v>492</v>
      </c>
      <c r="L493" t="s">
        <v>37</v>
      </c>
      <c r="M493" t="s">
        <v>112</v>
      </c>
    </row>
    <row r="494" spans="1:13" x14ac:dyDescent="0.3">
      <c r="A494">
        <v>2</v>
      </c>
      <c r="B494" t="s">
        <v>180</v>
      </c>
      <c r="C494">
        <v>2</v>
      </c>
      <c r="D494" s="1">
        <v>45022.021527777775</v>
      </c>
      <c r="E494" s="1">
        <v>45022.073611111111</v>
      </c>
      <c r="F494" t="s">
        <v>21</v>
      </c>
      <c r="G494" t="s">
        <v>22</v>
      </c>
      <c r="H494" t="s">
        <v>16</v>
      </c>
      <c r="I494">
        <v>3267</v>
      </c>
      <c r="J494" t="s">
        <v>24</v>
      </c>
      <c r="K494">
        <v>493</v>
      </c>
      <c r="L494" t="s">
        <v>18</v>
      </c>
      <c r="M494" t="s">
        <v>46</v>
      </c>
    </row>
    <row r="495" spans="1:13" x14ac:dyDescent="0.3">
      <c r="A495">
        <v>20</v>
      </c>
      <c r="B495" t="s">
        <v>427</v>
      </c>
      <c r="C495">
        <v>5</v>
      </c>
      <c r="D495" s="1">
        <v>45022.061111111114</v>
      </c>
      <c r="E495" s="1">
        <v>45022.200694444444</v>
      </c>
      <c r="F495" t="s">
        <v>73</v>
      </c>
      <c r="G495" t="s">
        <v>48</v>
      </c>
      <c r="H495" t="s">
        <v>16</v>
      </c>
      <c r="I495">
        <v>1185</v>
      </c>
      <c r="J495" t="s">
        <v>28</v>
      </c>
      <c r="K495">
        <v>494</v>
      </c>
      <c r="L495" t="s">
        <v>70</v>
      </c>
      <c r="M495" t="s">
        <v>105</v>
      </c>
    </row>
    <row r="496" spans="1:13" x14ac:dyDescent="0.3">
      <c r="A496">
        <v>11</v>
      </c>
      <c r="B496" t="s">
        <v>220</v>
      </c>
      <c r="C496">
        <v>6</v>
      </c>
      <c r="D496" s="1">
        <v>45022.125694444447</v>
      </c>
      <c r="E496" s="1">
        <v>45022.284722222219</v>
      </c>
      <c r="F496" t="s">
        <v>32</v>
      </c>
      <c r="G496" t="s">
        <v>48</v>
      </c>
      <c r="H496" t="s">
        <v>16</v>
      </c>
      <c r="I496">
        <v>3396</v>
      </c>
      <c r="J496" t="s">
        <v>17</v>
      </c>
      <c r="K496">
        <v>495</v>
      </c>
      <c r="L496" t="s">
        <v>91</v>
      </c>
      <c r="M496" t="s">
        <v>34</v>
      </c>
    </row>
    <row r="497" spans="1:13" x14ac:dyDescent="0.3">
      <c r="A497">
        <v>1</v>
      </c>
      <c r="B497" t="s">
        <v>330</v>
      </c>
      <c r="C497">
        <v>3</v>
      </c>
      <c r="D497" s="1">
        <v>45022.106944444444</v>
      </c>
      <c r="E497" s="1">
        <v>45022.265277777777</v>
      </c>
      <c r="F497" t="s">
        <v>73</v>
      </c>
      <c r="G497" t="s">
        <v>22</v>
      </c>
      <c r="H497" t="s">
        <v>16</v>
      </c>
      <c r="I497">
        <v>3942</v>
      </c>
      <c r="J497" t="s">
        <v>28</v>
      </c>
      <c r="K497">
        <v>496</v>
      </c>
      <c r="L497" t="s">
        <v>49</v>
      </c>
      <c r="M497" t="s">
        <v>112</v>
      </c>
    </row>
    <row r="498" spans="1:13" x14ac:dyDescent="0.3">
      <c r="A498">
        <v>13</v>
      </c>
      <c r="B498" t="s">
        <v>284</v>
      </c>
      <c r="C498">
        <v>6</v>
      </c>
      <c r="D498" s="1">
        <v>45022.145833333336</v>
      </c>
      <c r="E498" s="1">
        <v>45022.290277777778</v>
      </c>
      <c r="F498" t="s">
        <v>52</v>
      </c>
      <c r="G498" t="s">
        <v>22</v>
      </c>
      <c r="H498" t="s">
        <v>36</v>
      </c>
      <c r="I498">
        <v>2993</v>
      </c>
      <c r="J498" t="s">
        <v>28</v>
      </c>
      <c r="K498">
        <v>497</v>
      </c>
      <c r="L498" t="s">
        <v>49</v>
      </c>
      <c r="M498" t="s">
        <v>40</v>
      </c>
    </row>
    <row r="499" spans="1:13" x14ac:dyDescent="0.3">
      <c r="A499">
        <v>20</v>
      </c>
      <c r="B499" t="s">
        <v>165</v>
      </c>
      <c r="C499">
        <v>3</v>
      </c>
      <c r="D499" s="1">
        <v>45022.011805555558</v>
      </c>
      <c r="E499" s="1">
        <v>45022.156944444447</v>
      </c>
      <c r="F499" t="s">
        <v>52</v>
      </c>
      <c r="G499" t="s">
        <v>22</v>
      </c>
      <c r="H499" t="s">
        <v>16</v>
      </c>
      <c r="I499">
        <v>2199</v>
      </c>
      <c r="J499" t="s">
        <v>17</v>
      </c>
      <c r="K499">
        <v>498</v>
      </c>
      <c r="L499" t="s">
        <v>59</v>
      </c>
      <c r="M499" t="s">
        <v>53</v>
      </c>
    </row>
    <row r="500" spans="1:13" x14ac:dyDescent="0.3">
      <c r="A500">
        <v>5</v>
      </c>
      <c r="B500" t="s">
        <v>467</v>
      </c>
      <c r="C500">
        <v>5</v>
      </c>
      <c r="D500" s="1">
        <v>45022.056250000001</v>
      </c>
      <c r="E500" s="1">
        <v>45022.186111111114</v>
      </c>
      <c r="F500" t="s">
        <v>32</v>
      </c>
      <c r="G500" t="s">
        <v>15</v>
      </c>
      <c r="H500" t="s">
        <v>36</v>
      </c>
      <c r="I500">
        <v>2269</v>
      </c>
      <c r="J500" t="s">
        <v>28</v>
      </c>
      <c r="K500">
        <v>499</v>
      </c>
      <c r="L500" t="s">
        <v>25</v>
      </c>
      <c r="M500" t="s">
        <v>71</v>
      </c>
    </row>
    <row r="501" spans="1:13" x14ac:dyDescent="0.3">
      <c r="A501">
        <v>4</v>
      </c>
      <c r="B501" t="s">
        <v>504</v>
      </c>
      <c r="C501">
        <v>5</v>
      </c>
      <c r="D501" s="1">
        <v>45022.053472222222</v>
      </c>
      <c r="E501" s="1">
        <v>45022.21875</v>
      </c>
      <c r="F501" t="s">
        <v>14</v>
      </c>
      <c r="G501" t="s">
        <v>48</v>
      </c>
      <c r="H501" t="s">
        <v>36</v>
      </c>
      <c r="I501">
        <v>3762</v>
      </c>
      <c r="J501" t="s">
        <v>24</v>
      </c>
      <c r="K501">
        <v>500</v>
      </c>
      <c r="L501" t="s">
        <v>49</v>
      </c>
      <c r="M501" t="s">
        <v>50</v>
      </c>
    </row>
    <row r="502" spans="1:13" x14ac:dyDescent="0.3">
      <c r="A502">
        <v>7</v>
      </c>
      <c r="B502" t="s">
        <v>506</v>
      </c>
      <c r="C502">
        <v>1</v>
      </c>
      <c r="D502" s="1">
        <v>45022.155555555553</v>
      </c>
      <c r="E502" s="1">
        <v>45022.271527777775</v>
      </c>
      <c r="F502" t="s">
        <v>73</v>
      </c>
      <c r="G502" t="s">
        <v>15</v>
      </c>
      <c r="H502" t="s">
        <v>16</v>
      </c>
      <c r="I502">
        <v>2838</v>
      </c>
      <c r="J502" t="s">
        <v>24</v>
      </c>
      <c r="K502">
        <v>501</v>
      </c>
      <c r="L502" t="s">
        <v>91</v>
      </c>
      <c r="M502" t="s">
        <v>34</v>
      </c>
    </row>
    <row r="503" spans="1:13" x14ac:dyDescent="0.3">
      <c r="A503">
        <v>5</v>
      </c>
      <c r="B503" t="s">
        <v>367</v>
      </c>
      <c r="C503">
        <v>2</v>
      </c>
      <c r="D503" s="1">
        <v>45022.03125</v>
      </c>
      <c r="E503" s="1">
        <v>45022.081250000003</v>
      </c>
      <c r="F503" t="s">
        <v>21</v>
      </c>
      <c r="G503" t="s">
        <v>22</v>
      </c>
      <c r="H503" t="s">
        <v>16</v>
      </c>
      <c r="I503">
        <v>329</v>
      </c>
      <c r="J503" t="s">
        <v>28</v>
      </c>
      <c r="K503">
        <v>502</v>
      </c>
      <c r="L503" t="s">
        <v>29</v>
      </c>
      <c r="M503" t="s">
        <v>92</v>
      </c>
    </row>
    <row r="504" spans="1:13" x14ac:dyDescent="0.3">
      <c r="A504">
        <v>3</v>
      </c>
      <c r="B504" t="s">
        <v>507</v>
      </c>
      <c r="C504">
        <v>1</v>
      </c>
      <c r="D504" s="1">
        <v>45022.097222222219</v>
      </c>
      <c r="E504" s="1">
        <v>45022.168055555558</v>
      </c>
      <c r="F504" t="s">
        <v>52</v>
      </c>
      <c r="G504" t="s">
        <v>22</v>
      </c>
      <c r="H504" t="s">
        <v>16</v>
      </c>
      <c r="I504">
        <v>3584</v>
      </c>
      <c r="J504" t="s">
        <v>28</v>
      </c>
      <c r="K504">
        <v>503</v>
      </c>
      <c r="L504" t="s">
        <v>59</v>
      </c>
      <c r="M504" t="s">
        <v>34</v>
      </c>
    </row>
    <row r="505" spans="1:13" x14ac:dyDescent="0.3">
      <c r="A505">
        <v>2</v>
      </c>
      <c r="B505" t="s">
        <v>181</v>
      </c>
      <c r="C505">
        <v>5</v>
      </c>
      <c r="D505" s="1">
        <v>45022.090277777781</v>
      </c>
      <c r="E505" s="1">
        <v>45022.2</v>
      </c>
      <c r="F505" t="s">
        <v>21</v>
      </c>
      <c r="G505" t="s">
        <v>15</v>
      </c>
      <c r="H505" t="s">
        <v>23</v>
      </c>
      <c r="I505">
        <v>3131</v>
      </c>
      <c r="J505" t="s">
        <v>28</v>
      </c>
      <c r="K505">
        <v>504</v>
      </c>
      <c r="L505" t="s">
        <v>25</v>
      </c>
      <c r="M505" t="s">
        <v>50</v>
      </c>
    </row>
    <row r="506" spans="1:13" x14ac:dyDescent="0.3">
      <c r="A506">
        <v>5</v>
      </c>
      <c r="B506" t="s">
        <v>508</v>
      </c>
      <c r="C506">
        <v>1</v>
      </c>
      <c r="D506" s="1">
        <v>45022.109722222223</v>
      </c>
      <c r="E506" s="1">
        <v>45022.254861111112</v>
      </c>
      <c r="F506" t="s">
        <v>32</v>
      </c>
      <c r="G506" t="s">
        <v>15</v>
      </c>
      <c r="H506" t="s">
        <v>16</v>
      </c>
      <c r="I506">
        <v>2576</v>
      </c>
      <c r="J506" t="s">
        <v>28</v>
      </c>
      <c r="K506">
        <v>505</v>
      </c>
      <c r="L506" t="s">
        <v>37</v>
      </c>
      <c r="M506" t="s">
        <v>34</v>
      </c>
    </row>
    <row r="507" spans="1:13" x14ac:dyDescent="0.3">
      <c r="A507">
        <v>18</v>
      </c>
      <c r="B507" t="s">
        <v>182</v>
      </c>
      <c r="C507">
        <v>2</v>
      </c>
      <c r="D507" s="1">
        <v>45022.084027777775</v>
      </c>
      <c r="E507" s="1">
        <v>45022.168055555558</v>
      </c>
      <c r="F507" t="s">
        <v>52</v>
      </c>
      <c r="G507" t="s">
        <v>15</v>
      </c>
      <c r="H507" t="s">
        <v>16</v>
      </c>
      <c r="I507">
        <v>1165</v>
      </c>
      <c r="J507" t="s">
        <v>24</v>
      </c>
      <c r="K507">
        <v>506</v>
      </c>
      <c r="L507" t="s">
        <v>70</v>
      </c>
      <c r="M507" t="s">
        <v>19</v>
      </c>
    </row>
    <row r="508" spans="1:13" x14ac:dyDescent="0.3">
      <c r="A508">
        <v>18</v>
      </c>
      <c r="B508" t="s">
        <v>172</v>
      </c>
      <c r="C508">
        <v>4</v>
      </c>
      <c r="D508" s="1">
        <v>45022.143055555556</v>
      </c>
      <c r="E508" s="1">
        <v>45022.1875</v>
      </c>
      <c r="F508" t="s">
        <v>32</v>
      </c>
      <c r="G508" t="s">
        <v>48</v>
      </c>
      <c r="H508" t="s">
        <v>16</v>
      </c>
      <c r="I508">
        <v>4342</v>
      </c>
      <c r="J508" t="s">
        <v>17</v>
      </c>
      <c r="K508">
        <v>507</v>
      </c>
      <c r="L508" t="s">
        <v>29</v>
      </c>
      <c r="M508" t="s">
        <v>38</v>
      </c>
    </row>
    <row r="509" spans="1:13" x14ac:dyDescent="0.3">
      <c r="A509">
        <v>6</v>
      </c>
      <c r="B509" t="s">
        <v>183</v>
      </c>
      <c r="C509">
        <v>1</v>
      </c>
      <c r="D509" s="1">
        <v>45022.118055555555</v>
      </c>
      <c r="E509" s="1">
        <v>45022.274305555555</v>
      </c>
      <c r="F509" t="s">
        <v>21</v>
      </c>
      <c r="G509" t="s">
        <v>22</v>
      </c>
      <c r="H509" t="s">
        <v>16</v>
      </c>
      <c r="I509">
        <v>428</v>
      </c>
      <c r="J509" t="s">
        <v>28</v>
      </c>
      <c r="K509">
        <v>508</v>
      </c>
      <c r="L509" t="s">
        <v>25</v>
      </c>
      <c r="M509" t="s">
        <v>105</v>
      </c>
    </row>
    <row r="510" spans="1:13" x14ac:dyDescent="0.3">
      <c r="A510">
        <v>5</v>
      </c>
      <c r="B510" t="s">
        <v>184</v>
      </c>
      <c r="C510">
        <v>3</v>
      </c>
      <c r="D510" s="1">
        <v>45022.133333333331</v>
      </c>
      <c r="E510" s="1">
        <v>45022.251388888886</v>
      </c>
      <c r="F510" t="s">
        <v>73</v>
      </c>
      <c r="G510" t="s">
        <v>48</v>
      </c>
      <c r="H510" t="s">
        <v>16</v>
      </c>
      <c r="I510">
        <v>1626</v>
      </c>
      <c r="J510" t="s">
        <v>24</v>
      </c>
      <c r="K510">
        <v>509</v>
      </c>
      <c r="L510" t="s">
        <v>25</v>
      </c>
      <c r="M510" t="s">
        <v>34</v>
      </c>
    </row>
    <row r="511" spans="1:13" x14ac:dyDescent="0.3">
      <c r="A511">
        <v>6</v>
      </c>
      <c r="B511" t="s">
        <v>185</v>
      </c>
      <c r="C511">
        <v>4</v>
      </c>
      <c r="D511" s="1">
        <v>45022.147222222222</v>
      </c>
      <c r="E511" s="1">
        <v>45022.189583333333</v>
      </c>
      <c r="F511" t="s">
        <v>14</v>
      </c>
      <c r="G511" t="s">
        <v>22</v>
      </c>
      <c r="H511" t="s">
        <v>16</v>
      </c>
      <c r="I511">
        <v>1497</v>
      </c>
      <c r="J511" t="s">
        <v>17</v>
      </c>
      <c r="K511">
        <v>510</v>
      </c>
      <c r="L511" t="s">
        <v>70</v>
      </c>
      <c r="M511" t="s">
        <v>44</v>
      </c>
    </row>
    <row r="512" spans="1:13" x14ac:dyDescent="0.3">
      <c r="A512">
        <v>2</v>
      </c>
      <c r="B512" t="s">
        <v>509</v>
      </c>
      <c r="C512">
        <v>1</v>
      </c>
      <c r="D512" s="1">
        <v>45022.068055555559</v>
      </c>
      <c r="E512" s="1">
        <v>45022.140972222223</v>
      </c>
      <c r="F512" t="s">
        <v>73</v>
      </c>
      <c r="G512" t="s">
        <v>22</v>
      </c>
      <c r="H512" t="s">
        <v>16</v>
      </c>
      <c r="I512">
        <v>3595</v>
      </c>
      <c r="J512" t="s">
        <v>17</v>
      </c>
      <c r="K512">
        <v>511</v>
      </c>
      <c r="L512" t="s">
        <v>49</v>
      </c>
      <c r="M512" t="s">
        <v>89</v>
      </c>
    </row>
    <row r="513" spans="1:13" x14ac:dyDescent="0.3">
      <c r="A513">
        <v>2</v>
      </c>
      <c r="B513" t="s">
        <v>461</v>
      </c>
      <c r="C513">
        <v>1</v>
      </c>
      <c r="D513" s="1">
        <v>45022.054861111108</v>
      </c>
      <c r="E513" s="1">
        <v>45022.101388888892</v>
      </c>
      <c r="F513" t="s">
        <v>21</v>
      </c>
      <c r="G513" t="s">
        <v>22</v>
      </c>
      <c r="H513" t="s">
        <v>16</v>
      </c>
      <c r="I513">
        <v>3737</v>
      </c>
      <c r="J513" t="s">
        <v>24</v>
      </c>
      <c r="K513">
        <v>512</v>
      </c>
      <c r="L513" t="s">
        <v>59</v>
      </c>
      <c r="M513" t="s">
        <v>66</v>
      </c>
    </row>
    <row r="514" spans="1:13" x14ac:dyDescent="0.3">
      <c r="A514">
        <v>8</v>
      </c>
      <c r="B514" t="s">
        <v>20</v>
      </c>
      <c r="C514">
        <v>6</v>
      </c>
      <c r="D514" s="1">
        <v>45022.061111111114</v>
      </c>
      <c r="E514" s="1">
        <v>45022.20208333333</v>
      </c>
      <c r="F514" t="s">
        <v>52</v>
      </c>
      <c r="G514" t="s">
        <v>48</v>
      </c>
      <c r="H514" t="s">
        <v>16</v>
      </c>
      <c r="I514">
        <v>2274</v>
      </c>
      <c r="J514" t="s">
        <v>24</v>
      </c>
      <c r="K514">
        <v>513</v>
      </c>
      <c r="L514" t="s">
        <v>29</v>
      </c>
      <c r="M514" t="s">
        <v>46</v>
      </c>
    </row>
    <row r="515" spans="1:13" x14ac:dyDescent="0.3">
      <c r="A515">
        <v>18</v>
      </c>
      <c r="B515" t="s">
        <v>510</v>
      </c>
      <c r="C515">
        <v>5</v>
      </c>
      <c r="D515" s="1">
        <v>45022.054861111108</v>
      </c>
      <c r="E515" s="1">
        <v>45022.191666666666</v>
      </c>
      <c r="F515" t="s">
        <v>14</v>
      </c>
      <c r="G515" t="s">
        <v>22</v>
      </c>
      <c r="H515" t="s">
        <v>16</v>
      </c>
      <c r="I515">
        <v>3884</v>
      </c>
      <c r="J515" t="s">
        <v>17</v>
      </c>
      <c r="K515">
        <v>514</v>
      </c>
      <c r="L515" t="s">
        <v>33</v>
      </c>
      <c r="M515" t="s">
        <v>71</v>
      </c>
    </row>
    <row r="516" spans="1:13" x14ac:dyDescent="0.3">
      <c r="A516">
        <v>19</v>
      </c>
      <c r="B516" t="s">
        <v>186</v>
      </c>
      <c r="C516">
        <v>2</v>
      </c>
      <c r="D516" s="1">
        <v>45022.040277777778</v>
      </c>
      <c r="E516" s="1">
        <v>45022.085416666669</v>
      </c>
      <c r="F516" t="s">
        <v>32</v>
      </c>
      <c r="G516" t="s">
        <v>22</v>
      </c>
      <c r="H516" t="s">
        <v>16</v>
      </c>
      <c r="I516">
        <v>4379</v>
      </c>
      <c r="J516" t="s">
        <v>24</v>
      </c>
      <c r="K516">
        <v>515</v>
      </c>
      <c r="L516" t="s">
        <v>33</v>
      </c>
      <c r="M516" t="s">
        <v>46</v>
      </c>
    </row>
    <row r="517" spans="1:13" x14ac:dyDescent="0.3">
      <c r="A517">
        <v>7</v>
      </c>
      <c r="B517" t="s">
        <v>511</v>
      </c>
      <c r="C517">
        <v>2</v>
      </c>
      <c r="D517" s="1">
        <v>45022.163194444445</v>
      </c>
      <c r="E517" s="1">
        <v>45022.207638888889</v>
      </c>
      <c r="F517" t="s">
        <v>14</v>
      </c>
      <c r="G517" t="s">
        <v>22</v>
      </c>
      <c r="H517" t="s">
        <v>16</v>
      </c>
      <c r="I517">
        <v>2085</v>
      </c>
      <c r="J517" t="s">
        <v>28</v>
      </c>
      <c r="K517">
        <v>516</v>
      </c>
      <c r="L517" t="s">
        <v>70</v>
      </c>
      <c r="M517" t="s">
        <v>53</v>
      </c>
    </row>
    <row r="518" spans="1:13" x14ac:dyDescent="0.3">
      <c r="A518">
        <v>4</v>
      </c>
      <c r="B518" t="s">
        <v>152</v>
      </c>
      <c r="C518">
        <v>5</v>
      </c>
      <c r="D518" s="1">
        <v>45022.065972222219</v>
      </c>
      <c r="E518" s="1">
        <v>45022.229166666664</v>
      </c>
      <c r="F518" t="s">
        <v>14</v>
      </c>
      <c r="G518" t="s">
        <v>22</v>
      </c>
      <c r="H518" t="s">
        <v>23</v>
      </c>
      <c r="I518">
        <v>2392</v>
      </c>
      <c r="J518" t="s">
        <v>28</v>
      </c>
      <c r="K518">
        <v>517</v>
      </c>
      <c r="L518" t="s">
        <v>62</v>
      </c>
      <c r="M518" t="s">
        <v>75</v>
      </c>
    </row>
    <row r="519" spans="1:13" x14ac:dyDescent="0.3">
      <c r="A519">
        <v>5</v>
      </c>
      <c r="B519" t="s">
        <v>320</v>
      </c>
      <c r="C519">
        <v>6</v>
      </c>
      <c r="D519" s="1">
        <v>45022.088888888888</v>
      </c>
      <c r="E519" s="1">
        <v>45022.251388888886</v>
      </c>
      <c r="F519" t="s">
        <v>14</v>
      </c>
      <c r="G519" t="s">
        <v>48</v>
      </c>
      <c r="H519" t="s">
        <v>16</v>
      </c>
      <c r="I519">
        <v>1848</v>
      </c>
      <c r="J519" t="s">
        <v>24</v>
      </c>
      <c r="K519">
        <v>518</v>
      </c>
      <c r="L519" t="s">
        <v>37</v>
      </c>
      <c r="M519" t="s">
        <v>112</v>
      </c>
    </row>
    <row r="520" spans="1:13" x14ac:dyDescent="0.3">
      <c r="A520">
        <v>6</v>
      </c>
      <c r="B520" t="s">
        <v>512</v>
      </c>
      <c r="C520">
        <v>2</v>
      </c>
      <c r="D520" s="1">
        <v>45022.033333333333</v>
      </c>
      <c r="E520" s="1">
        <v>45022.15902777778</v>
      </c>
      <c r="F520" t="s">
        <v>21</v>
      </c>
      <c r="G520" t="s">
        <v>22</v>
      </c>
      <c r="H520" t="s">
        <v>16</v>
      </c>
      <c r="I520">
        <v>3459</v>
      </c>
      <c r="J520" t="s">
        <v>17</v>
      </c>
      <c r="K520">
        <v>519</v>
      </c>
      <c r="L520" t="s">
        <v>70</v>
      </c>
      <c r="M520" t="s">
        <v>50</v>
      </c>
    </row>
    <row r="521" spans="1:13" x14ac:dyDescent="0.3">
      <c r="A521">
        <v>4</v>
      </c>
      <c r="B521" t="s">
        <v>513</v>
      </c>
      <c r="C521">
        <v>4</v>
      </c>
      <c r="D521" s="1">
        <v>45022.149305555555</v>
      </c>
      <c r="E521" s="1">
        <v>45022.265972222223</v>
      </c>
      <c r="F521" t="s">
        <v>14</v>
      </c>
      <c r="G521" t="s">
        <v>15</v>
      </c>
      <c r="H521" t="s">
        <v>16</v>
      </c>
      <c r="I521">
        <v>4399</v>
      </c>
      <c r="J521" t="s">
        <v>17</v>
      </c>
      <c r="K521">
        <v>520</v>
      </c>
      <c r="L521" t="s">
        <v>37</v>
      </c>
      <c r="M521" t="s">
        <v>26</v>
      </c>
    </row>
    <row r="522" spans="1:13" x14ac:dyDescent="0.3">
      <c r="A522">
        <v>18</v>
      </c>
      <c r="B522" t="s">
        <v>514</v>
      </c>
      <c r="C522">
        <v>2</v>
      </c>
      <c r="D522" s="1">
        <v>45022.029861111114</v>
      </c>
      <c r="E522" s="1">
        <v>45022.120833333334</v>
      </c>
      <c r="F522" t="s">
        <v>14</v>
      </c>
      <c r="G522" t="s">
        <v>22</v>
      </c>
      <c r="H522" t="s">
        <v>16</v>
      </c>
      <c r="I522">
        <v>1518</v>
      </c>
      <c r="J522" t="s">
        <v>17</v>
      </c>
      <c r="K522">
        <v>521</v>
      </c>
      <c r="L522" t="s">
        <v>29</v>
      </c>
      <c r="M522" t="s">
        <v>60</v>
      </c>
    </row>
    <row r="523" spans="1:13" x14ac:dyDescent="0.3">
      <c r="A523">
        <v>2</v>
      </c>
      <c r="B523" t="s">
        <v>187</v>
      </c>
      <c r="C523">
        <v>5</v>
      </c>
      <c r="D523" s="1">
        <v>45022.068055555559</v>
      </c>
      <c r="E523" s="1">
        <v>45022.18472222222</v>
      </c>
      <c r="F523" t="s">
        <v>14</v>
      </c>
      <c r="G523" t="s">
        <v>22</v>
      </c>
      <c r="H523" t="s">
        <v>23</v>
      </c>
      <c r="I523">
        <v>3535</v>
      </c>
      <c r="J523" t="s">
        <v>17</v>
      </c>
      <c r="K523">
        <v>522</v>
      </c>
      <c r="L523" t="s">
        <v>55</v>
      </c>
      <c r="M523" t="s">
        <v>30</v>
      </c>
    </row>
    <row r="524" spans="1:13" x14ac:dyDescent="0.3">
      <c r="A524">
        <v>4</v>
      </c>
      <c r="B524" t="s">
        <v>188</v>
      </c>
      <c r="C524">
        <v>3</v>
      </c>
      <c r="D524" s="1">
        <v>45022.068749999999</v>
      </c>
      <c r="E524" s="1">
        <v>45022.195833333331</v>
      </c>
      <c r="F524" t="s">
        <v>21</v>
      </c>
      <c r="G524" t="s">
        <v>22</v>
      </c>
      <c r="H524" t="s">
        <v>16</v>
      </c>
      <c r="I524">
        <v>4541</v>
      </c>
      <c r="J524" t="s">
        <v>24</v>
      </c>
      <c r="K524">
        <v>523</v>
      </c>
      <c r="L524" t="s">
        <v>49</v>
      </c>
      <c r="M524" t="s">
        <v>50</v>
      </c>
    </row>
    <row r="525" spans="1:13" x14ac:dyDescent="0.3">
      <c r="A525">
        <v>16</v>
      </c>
      <c r="B525" t="s">
        <v>515</v>
      </c>
      <c r="C525">
        <v>4</v>
      </c>
      <c r="D525" s="1">
        <v>45022.002083333333</v>
      </c>
      <c r="E525" s="1">
        <v>45022.105555555558</v>
      </c>
      <c r="F525" t="s">
        <v>52</v>
      </c>
      <c r="G525" t="s">
        <v>22</v>
      </c>
      <c r="H525" t="s">
        <v>16</v>
      </c>
      <c r="I525">
        <v>2691</v>
      </c>
      <c r="J525" t="s">
        <v>24</v>
      </c>
      <c r="K525">
        <v>524</v>
      </c>
      <c r="L525" t="s">
        <v>18</v>
      </c>
      <c r="M525" t="s">
        <v>92</v>
      </c>
    </row>
    <row r="526" spans="1:13" x14ac:dyDescent="0.3">
      <c r="A526">
        <v>16</v>
      </c>
      <c r="B526" t="s">
        <v>100</v>
      </c>
      <c r="C526">
        <v>3</v>
      </c>
      <c r="D526" s="1">
        <v>45022.143750000003</v>
      </c>
      <c r="E526" s="1">
        <v>45022.301388888889</v>
      </c>
      <c r="F526" t="s">
        <v>52</v>
      </c>
      <c r="G526" t="s">
        <v>22</v>
      </c>
      <c r="H526" t="s">
        <v>16</v>
      </c>
      <c r="I526">
        <v>3287</v>
      </c>
      <c r="J526" t="s">
        <v>24</v>
      </c>
      <c r="K526">
        <v>525</v>
      </c>
      <c r="L526" t="s">
        <v>91</v>
      </c>
      <c r="M526" t="s">
        <v>89</v>
      </c>
    </row>
    <row r="527" spans="1:13" x14ac:dyDescent="0.3">
      <c r="A527">
        <v>4</v>
      </c>
      <c r="B527" t="s">
        <v>189</v>
      </c>
      <c r="C527">
        <v>6</v>
      </c>
      <c r="D527" s="1">
        <v>45022.155555555553</v>
      </c>
      <c r="E527" s="1">
        <v>45022.236805555556</v>
      </c>
      <c r="F527" t="s">
        <v>14</v>
      </c>
      <c r="G527" t="s">
        <v>15</v>
      </c>
      <c r="H527" t="s">
        <v>36</v>
      </c>
      <c r="I527">
        <v>4302</v>
      </c>
      <c r="J527" t="s">
        <v>17</v>
      </c>
      <c r="K527">
        <v>526</v>
      </c>
      <c r="L527" t="s">
        <v>29</v>
      </c>
      <c r="M527" t="s">
        <v>112</v>
      </c>
    </row>
    <row r="528" spans="1:13" x14ac:dyDescent="0.3">
      <c r="A528">
        <v>19</v>
      </c>
      <c r="B528" t="s">
        <v>190</v>
      </c>
      <c r="C528">
        <v>4</v>
      </c>
      <c r="D528" s="1">
        <v>45022.15347222222</v>
      </c>
      <c r="E528" s="1">
        <v>45022.246527777781</v>
      </c>
      <c r="F528" t="s">
        <v>73</v>
      </c>
      <c r="G528" t="s">
        <v>48</v>
      </c>
      <c r="H528" t="s">
        <v>23</v>
      </c>
      <c r="I528">
        <v>2295</v>
      </c>
      <c r="J528" t="s">
        <v>24</v>
      </c>
      <c r="K528">
        <v>527</v>
      </c>
      <c r="L528" t="s">
        <v>59</v>
      </c>
      <c r="M528" t="s">
        <v>50</v>
      </c>
    </row>
    <row r="529" spans="1:13" x14ac:dyDescent="0.3">
      <c r="A529">
        <v>14</v>
      </c>
      <c r="B529" t="s">
        <v>516</v>
      </c>
      <c r="C529">
        <v>2</v>
      </c>
      <c r="D529" s="1">
        <v>45022.074305555558</v>
      </c>
      <c r="E529" s="1">
        <v>45022.158333333333</v>
      </c>
      <c r="F529" t="s">
        <v>32</v>
      </c>
      <c r="G529" t="s">
        <v>22</v>
      </c>
      <c r="H529" t="s">
        <v>36</v>
      </c>
      <c r="I529">
        <v>1562</v>
      </c>
      <c r="J529" t="s">
        <v>28</v>
      </c>
      <c r="K529">
        <v>528</v>
      </c>
      <c r="L529" t="s">
        <v>29</v>
      </c>
      <c r="M529" t="s">
        <v>66</v>
      </c>
    </row>
    <row r="530" spans="1:13" x14ac:dyDescent="0.3">
      <c r="A530">
        <v>1</v>
      </c>
      <c r="B530" t="s">
        <v>517</v>
      </c>
      <c r="C530">
        <v>2</v>
      </c>
      <c r="D530" s="1">
        <v>45022.081944444442</v>
      </c>
      <c r="E530" s="1">
        <v>45022.195833333331</v>
      </c>
      <c r="F530" t="s">
        <v>52</v>
      </c>
      <c r="G530" t="s">
        <v>22</v>
      </c>
      <c r="H530" t="s">
        <v>16</v>
      </c>
      <c r="I530">
        <v>2591</v>
      </c>
      <c r="J530" t="s">
        <v>24</v>
      </c>
      <c r="K530">
        <v>529</v>
      </c>
      <c r="L530" t="s">
        <v>59</v>
      </c>
      <c r="M530" t="s">
        <v>38</v>
      </c>
    </row>
    <row r="531" spans="1:13" x14ac:dyDescent="0.3">
      <c r="A531">
        <v>7</v>
      </c>
      <c r="B531" t="s">
        <v>518</v>
      </c>
      <c r="C531">
        <v>5</v>
      </c>
      <c r="D531" s="1">
        <v>45022.092361111114</v>
      </c>
      <c r="E531" s="1">
        <v>45022.254861111112</v>
      </c>
      <c r="F531" t="s">
        <v>21</v>
      </c>
      <c r="G531" t="s">
        <v>22</v>
      </c>
      <c r="H531" t="s">
        <v>16</v>
      </c>
      <c r="I531">
        <v>3019</v>
      </c>
      <c r="J531" t="s">
        <v>24</v>
      </c>
      <c r="K531">
        <v>530</v>
      </c>
      <c r="L531" t="s">
        <v>70</v>
      </c>
      <c r="M531" t="s">
        <v>46</v>
      </c>
    </row>
    <row r="532" spans="1:13" x14ac:dyDescent="0.3">
      <c r="A532">
        <v>9</v>
      </c>
      <c r="B532" t="s">
        <v>452</v>
      </c>
      <c r="C532">
        <v>6</v>
      </c>
      <c r="D532" s="1">
        <v>45022.127083333333</v>
      </c>
      <c r="E532" s="1">
        <v>45022.211111111108</v>
      </c>
      <c r="F532" t="s">
        <v>32</v>
      </c>
      <c r="G532" t="s">
        <v>15</v>
      </c>
      <c r="H532" t="s">
        <v>23</v>
      </c>
      <c r="I532">
        <v>3439</v>
      </c>
      <c r="J532" t="s">
        <v>17</v>
      </c>
      <c r="K532">
        <v>531</v>
      </c>
      <c r="L532" t="s">
        <v>70</v>
      </c>
      <c r="M532" t="s">
        <v>42</v>
      </c>
    </row>
    <row r="533" spans="1:13" x14ac:dyDescent="0.3">
      <c r="A533">
        <v>13</v>
      </c>
      <c r="B533" t="s">
        <v>274</v>
      </c>
      <c r="C533">
        <v>3</v>
      </c>
      <c r="D533" s="1">
        <v>45022.074999999997</v>
      </c>
      <c r="E533" s="1">
        <v>45022.226388888892</v>
      </c>
      <c r="F533" t="s">
        <v>52</v>
      </c>
      <c r="G533" t="s">
        <v>48</v>
      </c>
      <c r="H533" t="s">
        <v>36</v>
      </c>
      <c r="I533">
        <v>1795</v>
      </c>
      <c r="J533" t="s">
        <v>28</v>
      </c>
      <c r="K533">
        <v>532</v>
      </c>
      <c r="L533" t="s">
        <v>49</v>
      </c>
      <c r="M533" t="s">
        <v>42</v>
      </c>
    </row>
    <row r="534" spans="1:13" x14ac:dyDescent="0.3">
      <c r="A534">
        <v>1</v>
      </c>
      <c r="B534" t="s">
        <v>208</v>
      </c>
      <c r="C534">
        <v>3</v>
      </c>
      <c r="D534" s="1">
        <v>45022.134722222225</v>
      </c>
      <c r="E534" s="1">
        <v>45022.222222222219</v>
      </c>
      <c r="F534" t="s">
        <v>21</v>
      </c>
      <c r="G534" t="s">
        <v>15</v>
      </c>
      <c r="H534" t="s">
        <v>36</v>
      </c>
      <c r="I534">
        <v>2009</v>
      </c>
      <c r="J534" t="s">
        <v>17</v>
      </c>
      <c r="K534">
        <v>533</v>
      </c>
      <c r="L534" t="s">
        <v>62</v>
      </c>
      <c r="M534" t="s">
        <v>66</v>
      </c>
    </row>
    <row r="535" spans="1:13" x14ac:dyDescent="0.3">
      <c r="A535">
        <v>1</v>
      </c>
      <c r="B535" t="s">
        <v>519</v>
      </c>
      <c r="C535">
        <v>6</v>
      </c>
      <c r="D535" s="1">
        <v>45022.043055555558</v>
      </c>
      <c r="E535" s="1">
        <v>45022.186805555553</v>
      </c>
      <c r="F535" t="s">
        <v>14</v>
      </c>
      <c r="G535" t="s">
        <v>15</v>
      </c>
      <c r="H535" t="s">
        <v>16</v>
      </c>
      <c r="I535">
        <v>2359</v>
      </c>
      <c r="J535" t="s">
        <v>28</v>
      </c>
      <c r="K535">
        <v>534</v>
      </c>
      <c r="L535" t="s">
        <v>25</v>
      </c>
      <c r="M535" t="s">
        <v>75</v>
      </c>
    </row>
    <row r="536" spans="1:13" x14ac:dyDescent="0.3">
      <c r="A536">
        <v>15</v>
      </c>
      <c r="B536" t="s">
        <v>64</v>
      </c>
      <c r="C536">
        <v>3</v>
      </c>
      <c r="D536" s="1">
        <v>45022.039583333331</v>
      </c>
      <c r="E536" s="1">
        <v>45022.147222222222</v>
      </c>
      <c r="F536" t="s">
        <v>73</v>
      </c>
      <c r="G536" t="s">
        <v>48</v>
      </c>
      <c r="H536" t="s">
        <v>16</v>
      </c>
      <c r="I536">
        <v>3945</v>
      </c>
      <c r="J536" t="s">
        <v>17</v>
      </c>
      <c r="K536">
        <v>535</v>
      </c>
      <c r="L536" t="s">
        <v>33</v>
      </c>
      <c r="M536" t="s">
        <v>34</v>
      </c>
    </row>
    <row r="537" spans="1:13" x14ac:dyDescent="0.3">
      <c r="A537">
        <v>9</v>
      </c>
      <c r="B537" t="s">
        <v>520</v>
      </c>
      <c r="C537">
        <v>2</v>
      </c>
      <c r="D537" s="1">
        <v>45022.104861111111</v>
      </c>
      <c r="E537" s="1">
        <v>45022.193749999999</v>
      </c>
      <c r="F537" t="s">
        <v>14</v>
      </c>
      <c r="G537" t="s">
        <v>22</v>
      </c>
      <c r="H537" t="s">
        <v>16</v>
      </c>
      <c r="I537">
        <v>460</v>
      </c>
      <c r="J537" t="s">
        <v>28</v>
      </c>
      <c r="K537">
        <v>536</v>
      </c>
      <c r="L537" t="s">
        <v>33</v>
      </c>
      <c r="M537" t="s">
        <v>46</v>
      </c>
    </row>
    <row r="538" spans="1:13" x14ac:dyDescent="0.3">
      <c r="A538">
        <v>18</v>
      </c>
      <c r="B538" t="s">
        <v>77</v>
      </c>
      <c r="C538">
        <v>6</v>
      </c>
      <c r="D538" s="1">
        <v>45022.01666666667</v>
      </c>
      <c r="E538" s="1">
        <v>45022.089583333334</v>
      </c>
      <c r="F538" t="s">
        <v>52</v>
      </c>
      <c r="G538" t="s">
        <v>48</v>
      </c>
      <c r="H538" t="s">
        <v>36</v>
      </c>
      <c r="I538">
        <v>2868</v>
      </c>
      <c r="J538" t="s">
        <v>24</v>
      </c>
      <c r="K538">
        <v>537</v>
      </c>
      <c r="L538" t="s">
        <v>18</v>
      </c>
      <c r="M538" t="s">
        <v>42</v>
      </c>
    </row>
    <row r="539" spans="1:13" x14ac:dyDescent="0.3">
      <c r="A539">
        <v>14</v>
      </c>
      <c r="B539" t="s">
        <v>392</v>
      </c>
      <c r="C539">
        <v>4</v>
      </c>
      <c r="D539" s="1">
        <v>45022.138194444444</v>
      </c>
      <c r="E539" s="1">
        <v>45022.231249999997</v>
      </c>
      <c r="F539" t="s">
        <v>14</v>
      </c>
      <c r="G539" t="s">
        <v>15</v>
      </c>
      <c r="H539" t="s">
        <v>36</v>
      </c>
      <c r="I539">
        <v>4135</v>
      </c>
      <c r="J539" t="s">
        <v>17</v>
      </c>
      <c r="K539">
        <v>538</v>
      </c>
      <c r="L539" t="s">
        <v>37</v>
      </c>
      <c r="M539" t="s">
        <v>40</v>
      </c>
    </row>
    <row r="540" spans="1:13" x14ac:dyDescent="0.3">
      <c r="A540">
        <v>18</v>
      </c>
      <c r="B540" t="s">
        <v>521</v>
      </c>
      <c r="C540">
        <v>3</v>
      </c>
      <c r="D540" s="1">
        <v>45022.160416666666</v>
      </c>
      <c r="E540" s="1">
        <v>45022.291666666664</v>
      </c>
      <c r="F540" t="s">
        <v>32</v>
      </c>
      <c r="G540" t="s">
        <v>48</v>
      </c>
      <c r="H540" t="s">
        <v>23</v>
      </c>
      <c r="I540">
        <v>209</v>
      </c>
      <c r="J540" t="s">
        <v>17</v>
      </c>
      <c r="K540">
        <v>539</v>
      </c>
      <c r="L540" t="s">
        <v>37</v>
      </c>
      <c r="M540" t="s">
        <v>40</v>
      </c>
    </row>
    <row r="541" spans="1:13" x14ac:dyDescent="0.3">
      <c r="A541">
        <v>6</v>
      </c>
      <c r="B541" t="s">
        <v>522</v>
      </c>
      <c r="C541">
        <v>4</v>
      </c>
      <c r="D541" s="1">
        <v>45022.156944444447</v>
      </c>
      <c r="E541" s="1">
        <v>45022.288888888892</v>
      </c>
      <c r="F541" t="s">
        <v>73</v>
      </c>
      <c r="G541" t="s">
        <v>22</v>
      </c>
      <c r="H541" t="s">
        <v>16</v>
      </c>
      <c r="I541">
        <v>4785</v>
      </c>
      <c r="J541" t="s">
        <v>28</v>
      </c>
      <c r="K541">
        <v>540</v>
      </c>
      <c r="L541" t="s">
        <v>55</v>
      </c>
      <c r="M541" t="s">
        <v>46</v>
      </c>
    </row>
    <row r="542" spans="1:13" x14ac:dyDescent="0.3">
      <c r="A542">
        <v>19</v>
      </c>
      <c r="B542" t="s">
        <v>257</v>
      </c>
      <c r="C542">
        <v>2</v>
      </c>
      <c r="D542" s="1">
        <v>45022.022916666669</v>
      </c>
      <c r="E542" s="1">
        <v>45022.188888888886</v>
      </c>
      <c r="F542" t="s">
        <v>73</v>
      </c>
      <c r="G542" t="s">
        <v>48</v>
      </c>
      <c r="H542" t="s">
        <v>36</v>
      </c>
      <c r="I542">
        <v>337</v>
      </c>
      <c r="J542" t="s">
        <v>28</v>
      </c>
      <c r="K542">
        <v>541</v>
      </c>
      <c r="L542" t="s">
        <v>37</v>
      </c>
      <c r="M542" t="s">
        <v>53</v>
      </c>
    </row>
    <row r="543" spans="1:13" x14ac:dyDescent="0.3">
      <c r="A543">
        <v>9</v>
      </c>
      <c r="B543" t="s">
        <v>317</v>
      </c>
      <c r="C543">
        <v>5</v>
      </c>
      <c r="D543" s="1">
        <v>45022.115972222222</v>
      </c>
      <c r="E543" s="1">
        <v>45022.196527777778</v>
      </c>
      <c r="F543" t="s">
        <v>52</v>
      </c>
      <c r="G543" t="s">
        <v>48</v>
      </c>
      <c r="H543" t="s">
        <v>16</v>
      </c>
      <c r="I543">
        <v>4905</v>
      </c>
      <c r="J543" t="s">
        <v>28</v>
      </c>
      <c r="K543">
        <v>542</v>
      </c>
      <c r="L543" t="s">
        <v>33</v>
      </c>
      <c r="M543" t="s">
        <v>38</v>
      </c>
    </row>
    <row r="544" spans="1:13" x14ac:dyDescent="0.3">
      <c r="A544">
        <v>19</v>
      </c>
      <c r="B544" t="s">
        <v>523</v>
      </c>
      <c r="C544">
        <v>5</v>
      </c>
      <c r="D544" s="1">
        <v>45022.032638888886</v>
      </c>
      <c r="E544" s="1">
        <v>45022.150694444441</v>
      </c>
      <c r="F544" t="s">
        <v>14</v>
      </c>
      <c r="G544" t="s">
        <v>15</v>
      </c>
      <c r="H544" t="s">
        <v>16</v>
      </c>
      <c r="I544">
        <v>4937</v>
      </c>
      <c r="J544" t="s">
        <v>28</v>
      </c>
      <c r="K544">
        <v>543</v>
      </c>
      <c r="L544" t="s">
        <v>70</v>
      </c>
      <c r="M544" t="s">
        <v>30</v>
      </c>
    </row>
    <row r="545" spans="1:13" x14ac:dyDescent="0.3">
      <c r="A545">
        <v>7</v>
      </c>
      <c r="B545" t="s">
        <v>191</v>
      </c>
      <c r="C545">
        <v>4</v>
      </c>
      <c r="D545" s="1">
        <v>45022.136805555558</v>
      </c>
      <c r="E545" s="1">
        <v>45022.197916666664</v>
      </c>
      <c r="F545" t="s">
        <v>21</v>
      </c>
      <c r="G545" t="s">
        <v>22</v>
      </c>
      <c r="H545" t="s">
        <v>16</v>
      </c>
      <c r="I545">
        <v>4491</v>
      </c>
      <c r="J545" t="s">
        <v>24</v>
      </c>
      <c r="K545">
        <v>544</v>
      </c>
      <c r="L545" t="s">
        <v>62</v>
      </c>
      <c r="M545" t="s">
        <v>19</v>
      </c>
    </row>
    <row r="546" spans="1:13" x14ac:dyDescent="0.3">
      <c r="A546">
        <v>20</v>
      </c>
      <c r="B546" t="s">
        <v>524</v>
      </c>
      <c r="C546">
        <v>5</v>
      </c>
      <c r="D546" s="1">
        <v>45022.11041666667</v>
      </c>
      <c r="E546" s="1">
        <v>45022.18472222222</v>
      </c>
      <c r="F546" t="s">
        <v>32</v>
      </c>
      <c r="G546" t="s">
        <v>22</v>
      </c>
      <c r="H546" t="s">
        <v>23</v>
      </c>
      <c r="I546">
        <v>1218</v>
      </c>
      <c r="J546" t="s">
        <v>24</v>
      </c>
      <c r="K546">
        <v>545</v>
      </c>
      <c r="L546" t="s">
        <v>33</v>
      </c>
      <c r="M546" t="s">
        <v>112</v>
      </c>
    </row>
    <row r="547" spans="1:13" x14ac:dyDescent="0.3">
      <c r="A547">
        <v>5</v>
      </c>
      <c r="B547" t="s">
        <v>525</v>
      </c>
      <c r="C547">
        <v>2</v>
      </c>
      <c r="D547" s="1">
        <v>45022.134722222225</v>
      </c>
      <c r="E547" s="1">
        <v>45022.228472222225</v>
      </c>
      <c r="F547" t="s">
        <v>14</v>
      </c>
      <c r="G547" t="s">
        <v>22</v>
      </c>
      <c r="H547" t="s">
        <v>36</v>
      </c>
      <c r="I547">
        <v>4781</v>
      </c>
      <c r="J547" t="s">
        <v>28</v>
      </c>
      <c r="K547">
        <v>546</v>
      </c>
      <c r="L547" t="s">
        <v>29</v>
      </c>
      <c r="M547" t="s">
        <v>105</v>
      </c>
    </row>
    <row r="548" spans="1:13" x14ac:dyDescent="0.3">
      <c r="A548">
        <v>9</v>
      </c>
      <c r="B548" t="s">
        <v>526</v>
      </c>
      <c r="C548">
        <v>3</v>
      </c>
      <c r="D548" s="1">
        <v>45022.113194444442</v>
      </c>
      <c r="E548" s="1">
        <v>45022.191666666666</v>
      </c>
      <c r="F548" t="s">
        <v>21</v>
      </c>
      <c r="G548" t="s">
        <v>15</v>
      </c>
      <c r="H548" t="s">
        <v>16</v>
      </c>
      <c r="I548">
        <v>2004</v>
      </c>
      <c r="J548" t="s">
        <v>24</v>
      </c>
      <c r="K548">
        <v>547</v>
      </c>
      <c r="L548" t="s">
        <v>37</v>
      </c>
      <c r="M548" t="s">
        <v>56</v>
      </c>
    </row>
    <row r="549" spans="1:13" x14ac:dyDescent="0.3">
      <c r="A549">
        <v>4</v>
      </c>
      <c r="B549" t="s">
        <v>527</v>
      </c>
      <c r="C549">
        <v>2</v>
      </c>
      <c r="D549" s="1">
        <v>45022.038194444445</v>
      </c>
      <c r="E549" s="1">
        <v>45022.168749999997</v>
      </c>
      <c r="F549" t="s">
        <v>32</v>
      </c>
      <c r="G549" t="s">
        <v>22</v>
      </c>
      <c r="H549" t="s">
        <v>16</v>
      </c>
      <c r="I549">
        <v>2888</v>
      </c>
      <c r="J549" t="s">
        <v>17</v>
      </c>
      <c r="K549">
        <v>548</v>
      </c>
      <c r="L549" t="s">
        <v>33</v>
      </c>
      <c r="M549" t="s">
        <v>38</v>
      </c>
    </row>
    <row r="550" spans="1:13" x14ac:dyDescent="0.3">
      <c r="A550">
        <v>12</v>
      </c>
      <c r="B550" t="s">
        <v>407</v>
      </c>
      <c r="C550">
        <v>2</v>
      </c>
      <c r="D550" s="1">
        <v>45022.064583333333</v>
      </c>
      <c r="E550" s="1">
        <v>45022.226388888892</v>
      </c>
      <c r="F550" t="s">
        <v>73</v>
      </c>
      <c r="G550" t="s">
        <v>22</v>
      </c>
      <c r="H550" t="s">
        <v>16</v>
      </c>
      <c r="I550">
        <v>3534</v>
      </c>
      <c r="J550" t="s">
        <v>17</v>
      </c>
      <c r="K550">
        <v>549</v>
      </c>
      <c r="L550" t="s">
        <v>37</v>
      </c>
      <c r="M550" t="s">
        <v>60</v>
      </c>
    </row>
    <row r="551" spans="1:13" x14ac:dyDescent="0.3">
      <c r="A551">
        <v>1</v>
      </c>
      <c r="B551" t="s">
        <v>480</v>
      </c>
      <c r="C551">
        <v>6</v>
      </c>
      <c r="D551" s="1">
        <v>45022.047222222223</v>
      </c>
      <c r="E551" s="1">
        <v>45022.11041666667</v>
      </c>
      <c r="F551" t="s">
        <v>52</v>
      </c>
      <c r="G551" t="s">
        <v>22</v>
      </c>
      <c r="H551" t="s">
        <v>16</v>
      </c>
      <c r="I551">
        <v>2833</v>
      </c>
      <c r="J551" t="s">
        <v>24</v>
      </c>
      <c r="K551">
        <v>550</v>
      </c>
      <c r="L551" t="s">
        <v>25</v>
      </c>
      <c r="M551" t="s">
        <v>40</v>
      </c>
    </row>
    <row r="552" spans="1:13" x14ac:dyDescent="0.3">
      <c r="A552">
        <v>4</v>
      </c>
      <c r="B552" t="s">
        <v>528</v>
      </c>
      <c r="C552">
        <v>2</v>
      </c>
      <c r="D552" s="1">
        <v>45022.123611111114</v>
      </c>
      <c r="E552" s="1">
        <v>45022.173611111109</v>
      </c>
      <c r="F552" t="s">
        <v>52</v>
      </c>
      <c r="G552" t="s">
        <v>48</v>
      </c>
      <c r="H552" t="s">
        <v>16</v>
      </c>
      <c r="I552">
        <v>1754</v>
      </c>
      <c r="J552" t="s">
        <v>28</v>
      </c>
      <c r="K552">
        <v>551</v>
      </c>
      <c r="L552" t="s">
        <v>70</v>
      </c>
      <c r="M552" t="s">
        <v>40</v>
      </c>
    </row>
    <row r="553" spans="1:13" x14ac:dyDescent="0.3">
      <c r="A553">
        <v>11</v>
      </c>
      <c r="B553" t="s">
        <v>529</v>
      </c>
      <c r="C553">
        <v>6</v>
      </c>
      <c r="D553" s="1">
        <v>45022.018055555556</v>
      </c>
      <c r="E553" s="1">
        <v>45022.162499999999</v>
      </c>
      <c r="F553" t="s">
        <v>52</v>
      </c>
      <c r="G553" t="s">
        <v>15</v>
      </c>
      <c r="H553" t="s">
        <v>36</v>
      </c>
      <c r="I553">
        <v>1028</v>
      </c>
      <c r="J553" t="s">
        <v>17</v>
      </c>
      <c r="K553">
        <v>552</v>
      </c>
      <c r="L553" t="s">
        <v>59</v>
      </c>
      <c r="M553" t="s">
        <v>34</v>
      </c>
    </row>
    <row r="554" spans="1:13" x14ac:dyDescent="0.3">
      <c r="A554">
        <v>14</v>
      </c>
      <c r="B554" t="s">
        <v>530</v>
      </c>
      <c r="C554">
        <v>2</v>
      </c>
      <c r="D554" s="1">
        <v>45022.114583333336</v>
      </c>
      <c r="E554" s="1">
        <v>45022.224999999999</v>
      </c>
      <c r="F554" t="s">
        <v>52</v>
      </c>
      <c r="G554" t="s">
        <v>22</v>
      </c>
      <c r="H554" t="s">
        <v>16</v>
      </c>
      <c r="I554">
        <v>4438</v>
      </c>
      <c r="J554" t="s">
        <v>17</v>
      </c>
      <c r="K554">
        <v>553</v>
      </c>
      <c r="L554" t="s">
        <v>25</v>
      </c>
      <c r="M554" t="s">
        <v>40</v>
      </c>
    </row>
    <row r="555" spans="1:13" x14ac:dyDescent="0.3">
      <c r="A555">
        <v>10</v>
      </c>
      <c r="B555" t="s">
        <v>531</v>
      </c>
      <c r="C555">
        <v>6</v>
      </c>
      <c r="D555" s="1">
        <v>45022.0625</v>
      </c>
      <c r="E555" s="1">
        <v>45022.121527777781</v>
      </c>
      <c r="F555" t="s">
        <v>52</v>
      </c>
      <c r="G555" t="s">
        <v>22</v>
      </c>
      <c r="H555" t="s">
        <v>36</v>
      </c>
      <c r="I555">
        <v>196</v>
      </c>
      <c r="J555" t="s">
        <v>24</v>
      </c>
      <c r="K555">
        <v>554</v>
      </c>
      <c r="L555" t="s">
        <v>59</v>
      </c>
      <c r="M555" t="s">
        <v>89</v>
      </c>
    </row>
    <row r="556" spans="1:13" x14ac:dyDescent="0.3">
      <c r="A556">
        <v>20</v>
      </c>
      <c r="B556" t="s">
        <v>192</v>
      </c>
      <c r="C556">
        <v>1</v>
      </c>
      <c r="D556" s="1">
        <v>45022.082638888889</v>
      </c>
      <c r="E556" s="1">
        <v>45022.209722222222</v>
      </c>
      <c r="F556" t="s">
        <v>32</v>
      </c>
      <c r="G556" t="s">
        <v>48</v>
      </c>
      <c r="H556" t="s">
        <v>23</v>
      </c>
      <c r="I556">
        <v>4108</v>
      </c>
      <c r="J556" t="s">
        <v>17</v>
      </c>
      <c r="K556">
        <v>555</v>
      </c>
      <c r="L556" t="s">
        <v>25</v>
      </c>
      <c r="M556" t="s">
        <v>40</v>
      </c>
    </row>
    <row r="557" spans="1:13" x14ac:dyDescent="0.3">
      <c r="A557">
        <v>9</v>
      </c>
      <c r="B557" t="s">
        <v>268</v>
      </c>
      <c r="C557">
        <v>6</v>
      </c>
      <c r="D557" s="1">
        <v>45022.164583333331</v>
      </c>
      <c r="E557" s="1">
        <v>45022.320138888892</v>
      </c>
      <c r="F557" t="s">
        <v>32</v>
      </c>
      <c r="G557" t="s">
        <v>22</v>
      </c>
      <c r="H557" t="s">
        <v>36</v>
      </c>
      <c r="I557">
        <v>1409</v>
      </c>
      <c r="J557" t="s">
        <v>17</v>
      </c>
      <c r="K557">
        <v>556</v>
      </c>
      <c r="L557" t="s">
        <v>70</v>
      </c>
      <c r="M557" t="s">
        <v>92</v>
      </c>
    </row>
    <row r="558" spans="1:13" x14ac:dyDescent="0.3">
      <c r="A558">
        <v>7</v>
      </c>
      <c r="B558" t="s">
        <v>74</v>
      </c>
      <c r="C558">
        <v>5</v>
      </c>
      <c r="D558" s="1">
        <v>45022.161111111112</v>
      </c>
      <c r="E558" s="1">
        <v>45022.318749999999</v>
      </c>
      <c r="F558" t="s">
        <v>32</v>
      </c>
      <c r="G558" t="s">
        <v>22</v>
      </c>
      <c r="H558" t="s">
        <v>23</v>
      </c>
      <c r="I558">
        <v>3588</v>
      </c>
      <c r="J558" t="s">
        <v>24</v>
      </c>
      <c r="K558">
        <v>557</v>
      </c>
      <c r="L558" t="s">
        <v>62</v>
      </c>
      <c r="M558" t="s">
        <v>105</v>
      </c>
    </row>
    <row r="559" spans="1:13" x14ac:dyDescent="0.3">
      <c r="A559">
        <v>6</v>
      </c>
      <c r="B559" t="s">
        <v>485</v>
      </c>
      <c r="C559">
        <v>4</v>
      </c>
      <c r="D559" s="1">
        <v>45022.012499999997</v>
      </c>
      <c r="E559" s="1">
        <v>45022.129166666666</v>
      </c>
      <c r="F559" t="s">
        <v>73</v>
      </c>
      <c r="G559" t="s">
        <v>22</v>
      </c>
      <c r="H559" t="s">
        <v>16</v>
      </c>
      <c r="I559">
        <v>4526</v>
      </c>
      <c r="J559" t="s">
        <v>28</v>
      </c>
      <c r="K559">
        <v>558</v>
      </c>
      <c r="L559" t="s">
        <v>70</v>
      </c>
      <c r="M559" t="s">
        <v>105</v>
      </c>
    </row>
    <row r="560" spans="1:13" x14ac:dyDescent="0.3">
      <c r="A560">
        <v>11</v>
      </c>
      <c r="B560" t="s">
        <v>193</v>
      </c>
      <c r="C560">
        <v>1</v>
      </c>
      <c r="D560" s="1">
        <v>45022.009722222225</v>
      </c>
      <c r="E560" s="1">
        <v>45022.165972222225</v>
      </c>
      <c r="F560" t="s">
        <v>32</v>
      </c>
      <c r="G560" t="s">
        <v>22</v>
      </c>
      <c r="H560" t="s">
        <v>16</v>
      </c>
      <c r="I560">
        <v>2436</v>
      </c>
      <c r="J560" t="s">
        <v>28</v>
      </c>
      <c r="K560">
        <v>559</v>
      </c>
      <c r="L560" t="s">
        <v>55</v>
      </c>
      <c r="M560" t="s">
        <v>112</v>
      </c>
    </row>
    <row r="561" spans="1:13" x14ac:dyDescent="0.3">
      <c r="A561">
        <v>6</v>
      </c>
      <c r="B561" t="s">
        <v>344</v>
      </c>
      <c r="C561">
        <v>6</v>
      </c>
      <c r="D561" s="1">
        <v>45022.010416666664</v>
      </c>
      <c r="E561" s="1">
        <v>45022.136805555558</v>
      </c>
      <c r="F561" t="s">
        <v>21</v>
      </c>
      <c r="G561" t="s">
        <v>15</v>
      </c>
      <c r="H561" t="s">
        <v>36</v>
      </c>
      <c r="I561">
        <v>3153</v>
      </c>
      <c r="J561" t="s">
        <v>28</v>
      </c>
      <c r="K561">
        <v>560</v>
      </c>
      <c r="L561" t="s">
        <v>49</v>
      </c>
      <c r="M561" t="s">
        <v>46</v>
      </c>
    </row>
    <row r="562" spans="1:13" x14ac:dyDescent="0.3">
      <c r="A562">
        <v>4</v>
      </c>
      <c r="B562" t="s">
        <v>254</v>
      </c>
      <c r="C562">
        <v>2</v>
      </c>
      <c r="D562" s="1">
        <v>45022.050694444442</v>
      </c>
      <c r="E562" s="1">
        <v>45022.152083333334</v>
      </c>
      <c r="F562" t="s">
        <v>73</v>
      </c>
      <c r="G562" t="s">
        <v>22</v>
      </c>
      <c r="H562" t="s">
        <v>16</v>
      </c>
      <c r="I562">
        <v>4424</v>
      </c>
      <c r="J562" t="s">
        <v>28</v>
      </c>
      <c r="K562">
        <v>561</v>
      </c>
      <c r="L562" t="s">
        <v>33</v>
      </c>
      <c r="M562" t="s">
        <v>46</v>
      </c>
    </row>
    <row r="563" spans="1:13" x14ac:dyDescent="0.3">
      <c r="A563">
        <v>20</v>
      </c>
      <c r="B563" t="s">
        <v>532</v>
      </c>
      <c r="C563">
        <v>3</v>
      </c>
      <c r="D563" s="1">
        <v>45022.10833333333</v>
      </c>
      <c r="E563" s="1">
        <v>45022.263888888891</v>
      </c>
      <c r="F563" t="s">
        <v>73</v>
      </c>
      <c r="G563" t="s">
        <v>15</v>
      </c>
      <c r="H563" t="s">
        <v>16</v>
      </c>
      <c r="I563">
        <v>2149</v>
      </c>
      <c r="J563" t="s">
        <v>17</v>
      </c>
      <c r="K563">
        <v>562</v>
      </c>
      <c r="L563" t="s">
        <v>91</v>
      </c>
      <c r="M563" t="s">
        <v>34</v>
      </c>
    </row>
    <row r="564" spans="1:13" x14ac:dyDescent="0.3">
      <c r="A564">
        <v>12</v>
      </c>
      <c r="B564" t="s">
        <v>194</v>
      </c>
      <c r="C564">
        <v>3</v>
      </c>
      <c r="D564" s="1">
        <v>45022.12777777778</v>
      </c>
      <c r="E564" s="1">
        <v>45022.196527777778</v>
      </c>
      <c r="F564" t="s">
        <v>21</v>
      </c>
      <c r="G564" t="s">
        <v>48</v>
      </c>
      <c r="H564" t="s">
        <v>23</v>
      </c>
      <c r="I564">
        <v>2007</v>
      </c>
      <c r="J564" t="s">
        <v>24</v>
      </c>
      <c r="K564">
        <v>563</v>
      </c>
      <c r="L564" t="s">
        <v>49</v>
      </c>
      <c r="M564" t="s">
        <v>50</v>
      </c>
    </row>
    <row r="565" spans="1:13" x14ac:dyDescent="0.3">
      <c r="A565">
        <v>9</v>
      </c>
      <c r="B565" t="s">
        <v>533</v>
      </c>
      <c r="C565">
        <v>3</v>
      </c>
      <c r="D565" s="1">
        <v>45022.021527777775</v>
      </c>
      <c r="E565" s="1">
        <v>45022.099305555559</v>
      </c>
      <c r="F565" t="s">
        <v>21</v>
      </c>
      <c r="G565" t="s">
        <v>15</v>
      </c>
      <c r="H565" t="s">
        <v>23</v>
      </c>
      <c r="I565">
        <v>3308</v>
      </c>
      <c r="J565" t="s">
        <v>28</v>
      </c>
      <c r="K565">
        <v>564</v>
      </c>
      <c r="L565" t="s">
        <v>91</v>
      </c>
      <c r="M565" t="s">
        <v>44</v>
      </c>
    </row>
    <row r="566" spans="1:13" x14ac:dyDescent="0.3">
      <c r="A566">
        <v>3</v>
      </c>
      <c r="B566" t="s">
        <v>534</v>
      </c>
      <c r="C566">
        <v>6</v>
      </c>
      <c r="D566" s="1">
        <v>45022.11041666667</v>
      </c>
      <c r="E566" s="1">
        <v>45022.228472222225</v>
      </c>
      <c r="F566" t="s">
        <v>73</v>
      </c>
      <c r="G566" t="s">
        <v>22</v>
      </c>
      <c r="H566" t="s">
        <v>16</v>
      </c>
      <c r="I566">
        <v>1511</v>
      </c>
      <c r="J566" t="s">
        <v>17</v>
      </c>
      <c r="K566">
        <v>565</v>
      </c>
      <c r="L566" t="s">
        <v>91</v>
      </c>
      <c r="M566" t="s">
        <v>105</v>
      </c>
    </row>
    <row r="567" spans="1:13" x14ac:dyDescent="0.3">
      <c r="A567">
        <v>4</v>
      </c>
      <c r="B567" t="s">
        <v>195</v>
      </c>
      <c r="C567">
        <v>3</v>
      </c>
      <c r="D567" s="1">
        <v>45022.072916666664</v>
      </c>
      <c r="E567" s="1">
        <v>45022.206250000003</v>
      </c>
      <c r="F567" t="s">
        <v>52</v>
      </c>
      <c r="G567" t="s">
        <v>22</v>
      </c>
      <c r="H567" t="s">
        <v>16</v>
      </c>
      <c r="I567">
        <v>4262</v>
      </c>
      <c r="J567" t="s">
        <v>17</v>
      </c>
      <c r="K567">
        <v>566</v>
      </c>
      <c r="L567" t="s">
        <v>55</v>
      </c>
      <c r="M567" t="s">
        <v>71</v>
      </c>
    </row>
    <row r="568" spans="1:13" x14ac:dyDescent="0.3">
      <c r="A568">
        <v>15</v>
      </c>
      <c r="B568" t="s">
        <v>453</v>
      </c>
      <c r="C568">
        <v>4</v>
      </c>
      <c r="D568" s="1">
        <v>45022.082638888889</v>
      </c>
      <c r="E568" s="1">
        <v>45022.219444444447</v>
      </c>
      <c r="F568" t="s">
        <v>14</v>
      </c>
      <c r="G568" t="s">
        <v>22</v>
      </c>
      <c r="H568" t="s">
        <v>36</v>
      </c>
      <c r="I568">
        <v>4283</v>
      </c>
      <c r="J568" t="s">
        <v>24</v>
      </c>
      <c r="K568">
        <v>567</v>
      </c>
      <c r="L568" t="s">
        <v>33</v>
      </c>
      <c r="M568" t="s">
        <v>30</v>
      </c>
    </row>
    <row r="569" spans="1:13" x14ac:dyDescent="0.3">
      <c r="A569">
        <v>5</v>
      </c>
      <c r="B569" t="s">
        <v>274</v>
      </c>
      <c r="C569">
        <v>1</v>
      </c>
      <c r="D569" s="1">
        <v>45022.068749999999</v>
      </c>
      <c r="E569" s="1">
        <v>45022.144444444442</v>
      </c>
      <c r="F569" t="s">
        <v>14</v>
      </c>
      <c r="G569" t="s">
        <v>22</v>
      </c>
      <c r="H569" t="s">
        <v>36</v>
      </c>
      <c r="I569">
        <v>2113</v>
      </c>
      <c r="J569" t="s">
        <v>24</v>
      </c>
      <c r="K569">
        <v>568</v>
      </c>
      <c r="L569" t="s">
        <v>37</v>
      </c>
      <c r="M569" t="s">
        <v>38</v>
      </c>
    </row>
    <row r="570" spans="1:13" x14ac:dyDescent="0.3">
      <c r="A570">
        <v>12</v>
      </c>
      <c r="B570" t="s">
        <v>535</v>
      </c>
      <c r="C570">
        <v>5</v>
      </c>
      <c r="D570" s="1">
        <v>45022.061111111114</v>
      </c>
      <c r="E570" s="1">
        <v>45022.128472222219</v>
      </c>
      <c r="F570" t="s">
        <v>73</v>
      </c>
      <c r="G570" t="s">
        <v>22</v>
      </c>
      <c r="H570" t="s">
        <v>16</v>
      </c>
      <c r="I570">
        <v>2852</v>
      </c>
      <c r="J570" t="s">
        <v>28</v>
      </c>
      <c r="K570">
        <v>569</v>
      </c>
      <c r="L570" t="s">
        <v>29</v>
      </c>
      <c r="M570" t="s">
        <v>38</v>
      </c>
    </row>
    <row r="571" spans="1:13" x14ac:dyDescent="0.3">
      <c r="A571">
        <v>1</v>
      </c>
      <c r="B571" t="s">
        <v>536</v>
      </c>
      <c r="C571">
        <v>6</v>
      </c>
      <c r="D571" s="1">
        <v>45022.111111111109</v>
      </c>
      <c r="E571" s="1">
        <v>45022.185416666667</v>
      </c>
      <c r="F571" t="s">
        <v>21</v>
      </c>
      <c r="G571" t="s">
        <v>22</v>
      </c>
      <c r="H571" t="s">
        <v>16</v>
      </c>
      <c r="I571">
        <v>384</v>
      </c>
      <c r="J571" t="s">
        <v>17</v>
      </c>
      <c r="K571">
        <v>570</v>
      </c>
      <c r="L571" t="s">
        <v>37</v>
      </c>
      <c r="M571" t="s">
        <v>112</v>
      </c>
    </row>
    <row r="572" spans="1:13" x14ac:dyDescent="0.3">
      <c r="A572">
        <v>15</v>
      </c>
      <c r="B572" t="s">
        <v>196</v>
      </c>
      <c r="C572">
        <v>2</v>
      </c>
      <c r="D572" s="1">
        <v>45022.056250000001</v>
      </c>
      <c r="E572" s="1">
        <v>45022.120833333334</v>
      </c>
      <c r="F572" t="s">
        <v>21</v>
      </c>
      <c r="G572" t="s">
        <v>22</v>
      </c>
      <c r="H572" t="s">
        <v>16</v>
      </c>
      <c r="I572">
        <v>4954</v>
      </c>
      <c r="J572" t="s">
        <v>17</v>
      </c>
      <c r="K572">
        <v>571</v>
      </c>
      <c r="L572" t="s">
        <v>18</v>
      </c>
      <c r="M572" t="s">
        <v>50</v>
      </c>
    </row>
    <row r="573" spans="1:13" x14ac:dyDescent="0.3">
      <c r="A573">
        <v>19</v>
      </c>
      <c r="B573" t="s">
        <v>537</v>
      </c>
      <c r="C573">
        <v>3</v>
      </c>
      <c r="D573" s="1">
        <v>45022.120138888888</v>
      </c>
      <c r="E573" s="1">
        <v>45022.268750000003</v>
      </c>
      <c r="F573" t="s">
        <v>14</v>
      </c>
      <c r="G573" t="s">
        <v>22</v>
      </c>
      <c r="H573" t="s">
        <v>23</v>
      </c>
      <c r="I573">
        <v>4621</v>
      </c>
      <c r="J573" t="s">
        <v>24</v>
      </c>
      <c r="K573">
        <v>572</v>
      </c>
      <c r="L573" t="s">
        <v>25</v>
      </c>
      <c r="M573" t="s">
        <v>40</v>
      </c>
    </row>
    <row r="574" spans="1:13" x14ac:dyDescent="0.3">
      <c r="A574">
        <v>7</v>
      </c>
      <c r="B574" t="s">
        <v>538</v>
      </c>
      <c r="C574">
        <v>3</v>
      </c>
      <c r="D574" s="1">
        <v>45022.133333333331</v>
      </c>
      <c r="E574" s="1">
        <v>45022.29791666667</v>
      </c>
      <c r="F574" t="s">
        <v>52</v>
      </c>
      <c r="G574" t="s">
        <v>22</v>
      </c>
      <c r="H574" t="s">
        <v>16</v>
      </c>
      <c r="I574">
        <v>4708</v>
      </c>
      <c r="J574" t="s">
        <v>24</v>
      </c>
      <c r="K574">
        <v>573</v>
      </c>
      <c r="L574" t="s">
        <v>33</v>
      </c>
      <c r="M574" t="s">
        <v>42</v>
      </c>
    </row>
    <row r="575" spans="1:13" x14ac:dyDescent="0.3">
      <c r="A575">
        <v>20</v>
      </c>
      <c r="B575" t="s">
        <v>539</v>
      </c>
      <c r="C575">
        <v>3</v>
      </c>
      <c r="D575" s="1">
        <v>45022.021527777775</v>
      </c>
      <c r="E575" s="1">
        <v>45022.130555555559</v>
      </c>
      <c r="F575" t="s">
        <v>21</v>
      </c>
      <c r="G575" t="s">
        <v>22</v>
      </c>
      <c r="H575" t="s">
        <v>16</v>
      </c>
      <c r="I575">
        <v>4257</v>
      </c>
      <c r="J575" t="s">
        <v>17</v>
      </c>
      <c r="K575">
        <v>574</v>
      </c>
      <c r="L575" t="s">
        <v>25</v>
      </c>
      <c r="M575" t="s">
        <v>71</v>
      </c>
    </row>
    <row r="576" spans="1:13" x14ac:dyDescent="0.3">
      <c r="A576">
        <v>15</v>
      </c>
      <c r="B576" t="s">
        <v>197</v>
      </c>
      <c r="C576">
        <v>4</v>
      </c>
      <c r="D576" s="1">
        <v>45022.066666666666</v>
      </c>
      <c r="E576" s="1">
        <v>45022.197222222225</v>
      </c>
      <c r="F576" t="s">
        <v>14</v>
      </c>
      <c r="G576" t="s">
        <v>22</v>
      </c>
      <c r="H576" t="s">
        <v>16</v>
      </c>
      <c r="I576">
        <v>3352</v>
      </c>
      <c r="J576" t="s">
        <v>17</v>
      </c>
      <c r="K576">
        <v>575</v>
      </c>
      <c r="L576" t="s">
        <v>70</v>
      </c>
      <c r="M576" t="s">
        <v>46</v>
      </c>
    </row>
    <row r="577" spans="1:13" x14ac:dyDescent="0.3">
      <c r="A577">
        <v>9</v>
      </c>
      <c r="B577" t="s">
        <v>540</v>
      </c>
      <c r="C577">
        <v>1</v>
      </c>
      <c r="D577" s="1">
        <v>45022.164583333331</v>
      </c>
      <c r="E577" s="1">
        <v>45022.29583333333</v>
      </c>
      <c r="F577" t="s">
        <v>14</v>
      </c>
      <c r="G577" t="s">
        <v>15</v>
      </c>
      <c r="H577" t="s">
        <v>23</v>
      </c>
      <c r="I577">
        <v>2171</v>
      </c>
      <c r="J577" t="s">
        <v>28</v>
      </c>
      <c r="K577">
        <v>576</v>
      </c>
      <c r="L577" t="s">
        <v>55</v>
      </c>
      <c r="M577" t="s">
        <v>112</v>
      </c>
    </row>
    <row r="578" spans="1:13" x14ac:dyDescent="0.3">
      <c r="A578">
        <v>5</v>
      </c>
      <c r="B578" t="s">
        <v>231</v>
      </c>
      <c r="C578">
        <v>4</v>
      </c>
      <c r="D578" s="1">
        <v>45022.134027777778</v>
      </c>
      <c r="E578" s="1">
        <v>45022.277777777781</v>
      </c>
      <c r="F578" t="s">
        <v>14</v>
      </c>
      <c r="G578" t="s">
        <v>22</v>
      </c>
      <c r="H578" t="s">
        <v>16</v>
      </c>
      <c r="I578">
        <v>3412</v>
      </c>
      <c r="J578" t="s">
        <v>17</v>
      </c>
      <c r="K578">
        <v>577</v>
      </c>
      <c r="L578" t="s">
        <v>18</v>
      </c>
      <c r="M578" t="s">
        <v>46</v>
      </c>
    </row>
    <row r="579" spans="1:13" x14ac:dyDescent="0.3">
      <c r="A579">
        <v>11</v>
      </c>
      <c r="B579" t="s">
        <v>198</v>
      </c>
      <c r="C579">
        <v>6</v>
      </c>
      <c r="D579" s="1">
        <v>45022.09097222222</v>
      </c>
      <c r="E579" s="1">
        <v>45022.183333333334</v>
      </c>
      <c r="F579" t="s">
        <v>52</v>
      </c>
      <c r="G579" t="s">
        <v>22</v>
      </c>
      <c r="H579" t="s">
        <v>16</v>
      </c>
      <c r="I579">
        <v>328</v>
      </c>
      <c r="J579" t="s">
        <v>24</v>
      </c>
      <c r="K579">
        <v>578</v>
      </c>
      <c r="L579" t="s">
        <v>59</v>
      </c>
      <c r="M579" t="s">
        <v>40</v>
      </c>
    </row>
    <row r="580" spans="1:13" x14ac:dyDescent="0.3">
      <c r="A580">
        <v>9</v>
      </c>
      <c r="B580" t="s">
        <v>199</v>
      </c>
      <c r="C580">
        <v>2</v>
      </c>
      <c r="D580" s="1">
        <v>45022.006944444445</v>
      </c>
      <c r="E580" s="1">
        <v>45022.095138888886</v>
      </c>
      <c r="F580" t="s">
        <v>52</v>
      </c>
      <c r="G580" t="s">
        <v>22</v>
      </c>
      <c r="H580" t="s">
        <v>16</v>
      </c>
      <c r="I580">
        <v>3596</v>
      </c>
      <c r="J580" t="s">
        <v>17</v>
      </c>
      <c r="K580">
        <v>579</v>
      </c>
      <c r="L580" t="s">
        <v>70</v>
      </c>
      <c r="M580" t="s">
        <v>60</v>
      </c>
    </row>
    <row r="581" spans="1:13" x14ac:dyDescent="0.3">
      <c r="A581">
        <v>10</v>
      </c>
      <c r="B581" t="s">
        <v>43</v>
      </c>
      <c r="C581">
        <v>5</v>
      </c>
      <c r="D581" s="1">
        <v>45022.004166666666</v>
      </c>
      <c r="E581" s="1">
        <v>45022.054166666669</v>
      </c>
      <c r="F581" t="s">
        <v>14</v>
      </c>
      <c r="G581" t="s">
        <v>22</v>
      </c>
      <c r="H581" t="s">
        <v>36</v>
      </c>
      <c r="I581">
        <v>4454</v>
      </c>
      <c r="J581" t="s">
        <v>17</v>
      </c>
      <c r="K581">
        <v>580</v>
      </c>
      <c r="L581" t="s">
        <v>55</v>
      </c>
      <c r="M581" t="s">
        <v>112</v>
      </c>
    </row>
    <row r="582" spans="1:13" x14ac:dyDescent="0.3">
      <c r="A582">
        <v>18</v>
      </c>
      <c r="B582" t="s">
        <v>307</v>
      </c>
      <c r="C582">
        <v>5</v>
      </c>
      <c r="D582" s="1">
        <v>45022.147916666669</v>
      </c>
      <c r="E582" s="1">
        <v>45022.213888888888</v>
      </c>
      <c r="F582" t="s">
        <v>14</v>
      </c>
      <c r="G582" t="s">
        <v>22</v>
      </c>
      <c r="H582" t="s">
        <v>16</v>
      </c>
      <c r="I582">
        <v>1327</v>
      </c>
      <c r="J582" t="s">
        <v>24</v>
      </c>
      <c r="K582">
        <v>581</v>
      </c>
      <c r="L582" t="s">
        <v>18</v>
      </c>
      <c r="M582" t="s">
        <v>112</v>
      </c>
    </row>
    <row r="583" spans="1:13" x14ac:dyDescent="0.3">
      <c r="A583">
        <v>3</v>
      </c>
      <c r="B583" t="s">
        <v>200</v>
      </c>
      <c r="C583">
        <v>1</v>
      </c>
      <c r="D583" s="1">
        <v>45022.158333333333</v>
      </c>
      <c r="E583" s="1">
        <v>45022.214583333334</v>
      </c>
      <c r="F583" t="s">
        <v>32</v>
      </c>
      <c r="G583" t="s">
        <v>22</v>
      </c>
      <c r="H583" t="s">
        <v>16</v>
      </c>
      <c r="I583">
        <v>2023</v>
      </c>
      <c r="J583" t="s">
        <v>28</v>
      </c>
      <c r="K583">
        <v>582</v>
      </c>
      <c r="L583" t="s">
        <v>55</v>
      </c>
      <c r="M583" t="s">
        <v>50</v>
      </c>
    </row>
    <row r="584" spans="1:13" x14ac:dyDescent="0.3">
      <c r="A584">
        <v>9</v>
      </c>
      <c r="B584" t="s">
        <v>120</v>
      </c>
      <c r="C584">
        <v>2</v>
      </c>
      <c r="D584" s="1">
        <v>45022.070138888892</v>
      </c>
      <c r="E584" s="1">
        <v>45022.148611111108</v>
      </c>
      <c r="F584" t="s">
        <v>32</v>
      </c>
      <c r="G584" t="s">
        <v>15</v>
      </c>
      <c r="H584" t="s">
        <v>36</v>
      </c>
      <c r="I584">
        <v>3599</v>
      </c>
      <c r="J584" t="s">
        <v>17</v>
      </c>
      <c r="K584">
        <v>583</v>
      </c>
      <c r="L584" t="s">
        <v>25</v>
      </c>
      <c r="M584" t="s">
        <v>53</v>
      </c>
    </row>
    <row r="585" spans="1:13" x14ac:dyDescent="0.3">
      <c r="A585">
        <v>9</v>
      </c>
      <c r="B585" t="s">
        <v>541</v>
      </c>
      <c r="C585">
        <v>4</v>
      </c>
      <c r="D585" s="1">
        <v>45022.149305555555</v>
      </c>
      <c r="E585" s="1">
        <v>45022.290972222225</v>
      </c>
      <c r="F585" t="s">
        <v>52</v>
      </c>
      <c r="G585" t="s">
        <v>22</v>
      </c>
      <c r="H585" t="s">
        <v>36</v>
      </c>
      <c r="I585">
        <v>3698</v>
      </c>
      <c r="J585" t="s">
        <v>28</v>
      </c>
      <c r="K585">
        <v>584</v>
      </c>
      <c r="L585" t="s">
        <v>33</v>
      </c>
      <c r="M585" t="s">
        <v>42</v>
      </c>
    </row>
    <row r="586" spans="1:13" x14ac:dyDescent="0.3">
      <c r="A586">
        <v>3</v>
      </c>
      <c r="B586" t="s">
        <v>490</v>
      </c>
      <c r="C586">
        <v>5</v>
      </c>
      <c r="D586" s="1">
        <v>45022.057638888888</v>
      </c>
      <c r="E586" s="1">
        <v>45022.109027777777</v>
      </c>
      <c r="F586" t="s">
        <v>52</v>
      </c>
      <c r="G586" t="s">
        <v>48</v>
      </c>
      <c r="H586" t="s">
        <v>16</v>
      </c>
      <c r="I586">
        <v>1007</v>
      </c>
      <c r="J586" t="s">
        <v>17</v>
      </c>
      <c r="K586">
        <v>585</v>
      </c>
      <c r="L586" t="s">
        <v>62</v>
      </c>
      <c r="M586" t="s">
        <v>105</v>
      </c>
    </row>
    <row r="587" spans="1:13" x14ac:dyDescent="0.3">
      <c r="A587">
        <v>17</v>
      </c>
      <c r="B587" t="s">
        <v>542</v>
      </c>
      <c r="C587">
        <v>5</v>
      </c>
      <c r="D587" s="1">
        <v>45022.030555555553</v>
      </c>
      <c r="E587" s="1">
        <v>45022.163194444445</v>
      </c>
      <c r="F587" t="s">
        <v>52</v>
      </c>
      <c r="G587" t="s">
        <v>15</v>
      </c>
      <c r="H587" t="s">
        <v>23</v>
      </c>
      <c r="I587">
        <v>3279</v>
      </c>
      <c r="J587" t="s">
        <v>24</v>
      </c>
      <c r="K587">
        <v>586</v>
      </c>
      <c r="L587" t="s">
        <v>91</v>
      </c>
      <c r="M587" t="s">
        <v>112</v>
      </c>
    </row>
    <row r="588" spans="1:13" x14ac:dyDescent="0.3">
      <c r="A588">
        <v>7</v>
      </c>
      <c r="B588" t="s">
        <v>201</v>
      </c>
      <c r="C588">
        <v>4</v>
      </c>
      <c r="D588" s="1">
        <v>45022.151388888888</v>
      </c>
      <c r="E588" s="1">
        <v>45022.195833333331</v>
      </c>
      <c r="F588" t="s">
        <v>52</v>
      </c>
      <c r="G588" t="s">
        <v>48</v>
      </c>
      <c r="H588" t="s">
        <v>16</v>
      </c>
      <c r="I588">
        <v>3503</v>
      </c>
      <c r="J588" t="s">
        <v>24</v>
      </c>
      <c r="K588">
        <v>587</v>
      </c>
      <c r="L588" t="s">
        <v>55</v>
      </c>
      <c r="M588" t="s">
        <v>75</v>
      </c>
    </row>
    <row r="589" spans="1:13" x14ac:dyDescent="0.3">
      <c r="A589">
        <v>15</v>
      </c>
      <c r="B589" t="s">
        <v>531</v>
      </c>
      <c r="C589">
        <v>2</v>
      </c>
      <c r="D589" s="1">
        <v>45022.097222222219</v>
      </c>
      <c r="E589" s="1">
        <v>45022.248611111114</v>
      </c>
      <c r="F589" t="s">
        <v>52</v>
      </c>
      <c r="G589" t="s">
        <v>15</v>
      </c>
      <c r="H589" t="s">
        <v>23</v>
      </c>
      <c r="I589">
        <v>3393</v>
      </c>
      <c r="J589" t="s">
        <v>17</v>
      </c>
      <c r="K589">
        <v>588</v>
      </c>
      <c r="L589" t="s">
        <v>70</v>
      </c>
      <c r="M589" t="s">
        <v>71</v>
      </c>
    </row>
    <row r="590" spans="1:13" x14ac:dyDescent="0.3">
      <c r="A590">
        <v>10</v>
      </c>
      <c r="B590" t="s">
        <v>543</v>
      </c>
      <c r="C590">
        <v>4</v>
      </c>
      <c r="D590" s="1">
        <v>45022.134722222225</v>
      </c>
      <c r="E590" s="1">
        <v>45022.247916666667</v>
      </c>
      <c r="F590" t="s">
        <v>14</v>
      </c>
      <c r="G590" t="s">
        <v>22</v>
      </c>
      <c r="H590" t="s">
        <v>36</v>
      </c>
      <c r="I590">
        <v>2896</v>
      </c>
      <c r="J590" t="s">
        <v>17</v>
      </c>
      <c r="K590">
        <v>589</v>
      </c>
      <c r="L590" t="s">
        <v>55</v>
      </c>
      <c r="M590" t="s">
        <v>89</v>
      </c>
    </row>
    <row r="591" spans="1:13" x14ac:dyDescent="0.3">
      <c r="A591">
        <v>3</v>
      </c>
      <c r="B591" t="s">
        <v>366</v>
      </c>
      <c r="C591">
        <v>6</v>
      </c>
      <c r="D591" s="1">
        <v>45022.114583333336</v>
      </c>
      <c r="E591" s="1">
        <v>45022.185416666667</v>
      </c>
      <c r="F591" t="s">
        <v>32</v>
      </c>
      <c r="G591" t="s">
        <v>48</v>
      </c>
      <c r="H591" t="s">
        <v>16</v>
      </c>
      <c r="I591">
        <v>4094</v>
      </c>
      <c r="J591" t="s">
        <v>24</v>
      </c>
      <c r="K591">
        <v>590</v>
      </c>
      <c r="L591" t="s">
        <v>91</v>
      </c>
      <c r="M591" t="s">
        <v>38</v>
      </c>
    </row>
    <row r="592" spans="1:13" x14ac:dyDescent="0.3">
      <c r="A592">
        <v>11</v>
      </c>
      <c r="B592" t="s">
        <v>202</v>
      </c>
      <c r="C592">
        <v>6</v>
      </c>
      <c r="D592" s="1">
        <v>45022.155555555553</v>
      </c>
      <c r="E592" s="1">
        <v>45022.263194444444</v>
      </c>
      <c r="F592" t="s">
        <v>52</v>
      </c>
      <c r="G592" t="s">
        <v>48</v>
      </c>
      <c r="H592" t="s">
        <v>16</v>
      </c>
      <c r="I592">
        <v>4433</v>
      </c>
      <c r="J592" t="s">
        <v>17</v>
      </c>
      <c r="K592">
        <v>591</v>
      </c>
      <c r="L592" t="s">
        <v>29</v>
      </c>
      <c r="M592" t="s">
        <v>34</v>
      </c>
    </row>
    <row r="593" spans="1:13" x14ac:dyDescent="0.3">
      <c r="A593">
        <v>5</v>
      </c>
      <c r="B593" t="s">
        <v>544</v>
      </c>
      <c r="C593">
        <v>1</v>
      </c>
      <c r="D593" s="1">
        <v>45022.033333333333</v>
      </c>
      <c r="E593" s="1">
        <v>45022.111111111109</v>
      </c>
      <c r="F593" t="s">
        <v>32</v>
      </c>
      <c r="G593" t="s">
        <v>22</v>
      </c>
      <c r="H593" t="s">
        <v>16</v>
      </c>
      <c r="I593">
        <v>3567</v>
      </c>
      <c r="J593" t="s">
        <v>28</v>
      </c>
      <c r="K593">
        <v>592</v>
      </c>
      <c r="L593" t="s">
        <v>62</v>
      </c>
      <c r="M593" t="s">
        <v>92</v>
      </c>
    </row>
    <row r="594" spans="1:13" x14ac:dyDescent="0.3">
      <c r="A594">
        <v>17</v>
      </c>
      <c r="B594" t="s">
        <v>545</v>
      </c>
      <c r="C594">
        <v>5</v>
      </c>
      <c r="D594" s="1">
        <v>45022.017361111109</v>
      </c>
      <c r="E594" s="1">
        <v>45022.095138888886</v>
      </c>
      <c r="F594" t="s">
        <v>14</v>
      </c>
      <c r="G594" t="s">
        <v>22</v>
      </c>
      <c r="H594" t="s">
        <v>36</v>
      </c>
      <c r="I594">
        <v>488</v>
      </c>
      <c r="J594" t="s">
        <v>28</v>
      </c>
      <c r="K594">
        <v>593</v>
      </c>
      <c r="L594" t="s">
        <v>59</v>
      </c>
      <c r="M594" t="s">
        <v>34</v>
      </c>
    </row>
    <row r="595" spans="1:13" x14ac:dyDescent="0.3">
      <c r="A595">
        <v>17</v>
      </c>
      <c r="B595" t="s">
        <v>546</v>
      </c>
      <c r="C595">
        <v>1</v>
      </c>
      <c r="D595" s="1">
        <v>45022.138888888891</v>
      </c>
      <c r="E595" s="1">
        <v>45022.200694444444</v>
      </c>
      <c r="F595" t="s">
        <v>52</v>
      </c>
      <c r="G595" t="s">
        <v>22</v>
      </c>
      <c r="H595" t="s">
        <v>36</v>
      </c>
      <c r="I595">
        <v>4601</v>
      </c>
      <c r="J595" t="s">
        <v>17</v>
      </c>
      <c r="K595">
        <v>594</v>
      </c>
      <c r="L595" t="s">
        <v>29</v>
      </c>
      <c r="M595" t="s">
        <v>112</v>
      </c>
    </row>
    <row r="596" spans="1:13" x14ac:dyDescent="0.3">
      <c r="A596">
        <v>9</v>
      </c>
      <c r="B596" t="s">
        <v>31</v>
      </c>
      <c r="C596">
        <v>5</v>
      </c>
      <c r="D596" s="1">
        <v>45022.127083333333</v>
      </c>
      <c r="E596" s="1">
        <v>45022.227083333331</v>
      </c>
      <c r="F596" t="s">
        <v>32</v>
      </c>
      <c r="G596" t="s">
        <v>22</v>
      </c>
      <c r="H596" t="s">
        <v>16</v>
      </c>
      <c r="I596">
        <v>4033</v>
      </c>
      <c r="J596" t="s">
        <v>24</v>
      </c>
      <c r="K596">
        <v>595</v>
      </c>
      <c r="L596" t="s">
        <v>70</v>
      </c>
      <c r="M596" t="s">
        <v>42</v>
      </c>
    </row>
    <row r="597" spans="1:13" x14ac:dyDescent="0.3">
      <c r="A597">
        <v>18</v>
      </c>
      <c r="B597" t="s">
        <v>547</v>
      </c>
      <c r="C597">
        <v>2</v>
      </c>
      <c r="D597" s="1">
        <v>45022.056250000001</v>
      </c>
      <c r="E597" s="1">
        <v>45022.152083333334</v>
      </c>
      <c r="F597" t="s">
        <v>32</v>
      </c>
      <c r="G597" t="s">
        <v>22</v>
      </c>
      <c r="H597" t="s">
        <v>36</v>
      </c>
      <c r="I597">
        <v>237</v>
      </c>
      <c r="J597" t="s">
        <v>24</v>
      </c>
      <c r="K597">
        <v>596</v>
      </c>
      <c r="L597" t="s">
        <v>62</v>
      </c>
      <c r="M597" t="s">
        <v>89</v>
      </c>
    </row>
    <row r="598" spans="1:13" x14ac:dyDescent="0.3">
      <c r="A598">
        <v>16</v>
      </c>
      <c r="B598" t="s">
        <v>504</v>
      </c>
      <c r="C598">
        <v>1</v>
      </c>
      <c r="D598" s="1">
        <v>45022.035416666666</v>
      </c>
      <c r="E598" s="1">
        <v>45022.160416666666</v>
      </c>
      <c r="F598" t="s">
        <v>73</v>
      </c>
      <c r="G598" t="s">
        <v>22</v>
      </c>
      <c r="H598" t="s">
        <v>16</v>
      </c>
      <c r="I598">
        <v>4546</v>
      </c>
      <c r="J598" t="s">
        <v>24</v>
      </c>
      <c r="K598">
        <v>597</v>
      </c>
      <c r="L598" t="s">
        <v>29</v>
      </c>
      <c r="M598" t="s">
        <v>30</v>
      </c>
    </row>
    <row r="599" spans="1:13" x14ac:dyDescent="0.3">
      <c r="A599">
        <v>9</v>
      </c>
      <c r="B599" t="s">
        <v>548</v>
      </c>
      <c r="C599">
        <v>6</v>
      </c>
      <c r="D599" s="1">
        <v>45022.136111111111</v>
      </c>
      <c r="E599" s="1">
        <v>45022.290972222225</v>
      </c>
      <c r="F599" t="s">
        <v>21</v>
      </c>
      <c r="G599" t="s">
        <v>22</v>
      </c>
      <c r="H599" t="s">
        <v>16</v>
      </c>
      <c r="I599">
        <v>1131</v>
      </c>
      <c r="J599" t="s">
        <v>28</v>
      </c>
      <c r="K599">
        <v>598</v>
      </c>
      <c r="L599" t="s">
        <v>59</v>
      </c>
      <c r="M599" t="s">
        <v>71</v>
      </c>
    </row>
    <row r="600" spans="1:13" x14ac:dyDescent="0.3">
      <c r="A600">
        <v>11</v>
      </c>
      <c r="B600" t="s">
        <v>549</v>
      </c>
      <c r="C600">
        <v>3</v>
      </c>
      <c r="D600" s="1">
        <v>45022.023611111108</v>
      </c>
      <c r="E600" s="1">
        <v>45022.181250000001</v>
      </c>
      <c r="F600" t="s">
        <v>32</v>
      </c>
      <c r="G600" t="s">
        <v>22</v>
      </c>
      <c r="H600" t="s">
        <v>16</v>
      </c>
      <c r="I600">
        <v>3097</v>
      </c>
      <c r="J600" t="s">
        <v>17</v>
      </c>
      <c r="K600">
        <v>599</v>
      </c>
      <c r="L600" t="s">
        <v>70</v>
      </c>
      <c r="M600" t="s">
        <v>38</v>
      </c>
    </row>
    <row r="601" spans="1:13" x14ac:dyDescent="0.3">
      <c r="A601">
        <v>14</v>
      </c>
      <c r="B601" t="s">
        <v>550</v>
      </c>
      <c r="C601">
        <v>4</v>
      </c>
      <c r="D601" s="1">
        <v>45022.165277777778</v>
      </c>
      <c r="E601" s="1">
        <v>45022.209027777775</v>
      </c>
      <c r="F601" t="s">
        <v>52</v>
      </c>
      <c r="G601" t="s">
        <v>22</v>
      </c>
      <c r="H601" t="s">
        <v>36</v>
      </c>
      <c r="I601">
        <v>4135</v>
      </c>
      <c r="J601" t="s">
        <v>24</v>
      </c>
      <c r="K601">
        <v>600</v>
      </c>
      <c r="L601" t="s">
        <v>33</v>
      </c>
      <c r="M601" t="s">
        <v>30</v>
      </c>
    </row>
    <row r="602" spans="1:13" x14ac:dyDescent="0.3">
      <c r="A602">
        <v>13</v>
      </c>
      <c r="B602" t="s">
        <v>195</v>
      </c>
      <c r="C602">
        <v>1</v>
      </c>
      <c r="D602" s="1">
        <v>45022.113194444442</v>
      </c>
      <c r="E602" s="1">
        <v>45022.260416666664</v>
      </c>
      <c r="F602" t="s">
        <v>14</v>
      </c>
      <c r="G602" t="s">
        <v>15</v>
      </c>
      <c r="H602" t="s">
        <v>16</v>
      </c>
      <c r="I602">
        <v>1681</v>
      </c>
      <c r="J602" t="s">
        <v>17</v>
      </c>
      <c r="K602">
        <v>601</v>
      </c>
      <c r="L602" t="s">
        <v>18</v>
      </c>
      <c r="M602" t="s">
        <v>34</v>
      </c>
    </row>
    <row r="603" spans="1:13" x14ac:dyDescent="0.3">
      <c r="A603">
        <v>12</v>
      </c>
      <c r="B603" t="s">
        <v>551</v>
      </c>
      <c r="C603">
        <v>3</v>
      </c>
      <c r="D603" s="1">
        <v>45022.161111111112</v>
      </c>
      <c r="E603" s="1">
        <v>45022.291666666664</v>
      </c>
      <c r="F603" t="s">
        <v>32</v>
      </c>
      <c r="G603" t="s">
        <v>22</v>
      </c>
      <c r="H603" t="s">
        <v>23</v>
      </c>
      <c r="I603">
        <v>165</v>
      </c>
      <c r="J603" t="s">
        <v>28</v>
      </c>
      <c r="K603">
        <v>602</v>
      </c>
      <c r="L603" t="s">
        <v>59</v>
      </c>
      <c r="M603" t="s">
        <v>19</v>
      </c>
    </row>
    <row r="604" spans="1:13" x14ac:dyDescent="0.3">
      <c r="A604">
        <v>19</v>
      </c>
      <c r="B604" t="s">
        <v>203</v>
      </c>
      <c r="C604">
        <v>6</v>
      </c>
      <c r="D604" s="1">
        <v>45022.035416666666</v>
      </c>
      <c r="E604" s="1">
        <v>45022.181250000001</v>
      </c>
      <c r="F604" t="s">
        <v>73</v>
      </c>
      <c r="G604" t="s">
        <v>22</v>
      </c>
      <c r="H604" t="s">
        <v>16</v>
      </c>
      <c r="I604">
        <v>242</v>
      </c>
      <c r="J604" t="s">
        <v>17</v>
      </c>
      <c r="K604">
        <v>603</v>
      </c>
      <c r="L604" t="s">
        <v>55</v>
      </c>
      <c r="M604" t="s">
        <v>56</v>
      </c>
    </row>
    <row r="605" spans="1:13" x14ac:dyDescent="0.3">
      <c r="A605">
        <v>14</v>
      </c>
      <c r="B605" t="s">
        <v>204</v>
      </c>
      <c r="C605">
        <v>5</v>
      </c>
      <c r="D605" s="1">
        <v>45022.054166666669</v>
      </c>
      <c r="E605" s="1">
        <v>45022.219444444447</v>
      </c>
      <c r="F605" t="s">
        <v>32</v>
      </c>
      <c r="G605" t="s">
        <v>22</v>
      </c>
      <c r="H605" t="s">
        <v>16</v>
      </c>
      <c r="I605">
        <v>426</v>
      </c>
      <c r="J605" t="s">
        <v>24</v>
      </c>
      <c r="K605">
        <v>604</v>
      </c>
      <c r="L605" t="s">
        <v>62</v>
      </c>
      <c r="M605" t="s">
        <v>19</v>
      </c>
    </row>
    <row r="606" spans="1:13" x14ac:dyDescent="0.3">
      <c r="A606">
        <v>19</v>
      </c>
      <c r="B606" t="s">
        <v>552</v>
      </c>
      <c r="C606">
        <v>2</v>
      </c>
      <c r="D606" s="1">
        <v>45022.117361111108</v>
      </c>
      <c r="E606" s="1">
        <v>45022.26666666667</v>
      </c>
      <c r="F606" t="s">
        <v>52</v>
      </c>
      <c r="G606" t="s">
        <v>22</v>
      </c>
      <c r="H606" t="s">
        <v>23</v>
      </c>
      <c r="I606">
        <v>2438</v>
      </c>
      <c r="J606" t="s">
        <v>24</v>
      </c>
      <c r="K606">
        <v>605</v>
      </c>
      <c r="L606" t="s">
        <v>55</v>
      </c>
      <c r="M606" t="s">
        <v>66</v>
      </c>
    </row>
    <row r="607" spans="1:13" x14ac:dyDescent="0.3">
      <c r="A607">
        <v>1</v>
      </c>
      <c r="B607" t="s">
        <v>499</v>
      </c>
      <c r="C607">
        <v>2</v>
      </c>
      <c r="D607" s="1">
        <v>45022.134722222225</v>
      </c>
      <c r="E607" s="1">
        <v>45022.254166666666</v>
      </c>
      <c r="F607" t="s">
        <v>21</v>
      </c>
      <c r="G607" t="s">
        <v>22</v>
      </c>
      <c r="H607" t="s">
        <v>16</v>
      </c>
      <c r="I607">
        <v>3158</v>
      </c>
      <c r="J607" t="s">
        <v>24</v>
      </c>
      <c r="K607">
        <v>606</v>
      </c>
      <c r="L607" t="s">
        <v>91</v>
      </c>
      <c r="M607" t="s">
        <v>60</v>
      </c>
    </row>
    <row r="608" spans="1:13" x14ac:dyDescent="0.3">
      <c r="A608">
        <v>10</v>
      </c>
      <c r="B608" t="s">
        <v>261</v>
      </c>
      <c r="C608">
        <v>1</v>
      </c>
      <c r="D608" s="1">
        <v>45022.058333333334</v>
      </c>
      <c r="E608" s="1">
        <v>45022.145138888889</v>
      </c>
      <c r="F608" t="s">
        <v>21</v>
      </c>
      <c r="G608" t="s">
        <v>22</v>
      </c>
      <c r="H608" t="s">
        <v>16</v>
      </c>
      <c r="I608">
        <v>289</v>
      </c>
      <c r="J608" t="s">
        <v>24</v>
      </c>
      <c r="K608">
        <v>607</v>
      </c>
      <c r="L608" t="s">
        <v>70</v>
      </c>
      <c r="M608" t="s">
        <v>34</v>
      </c>
    </row>
    <row r="609" spans="1:13" x14ac:dyDescent="0.3">
      <c r="A609">
        <v>7</v>
      </c>
      <c r="B609" t="s">
        <v>205</v>
      </c>
      <c r="C609">
        <v>6</v>
      </c>
      <c r="D609" s="1">
        <v>45022.165277777778</v>
      </c>
      <c r="E609" s="1">
        <v>45022.305555555555</v>
      </c>
      <c r="F609" t="s">
        <v>52</v>
      </c>
      <c r="G609" t="s">
        <v>22</v>
      </c>
      <c r="H609" t="s">
        <v>16</v>
      </c>
      <c r="I609">
        <v>3655</v>
      </c>
      <c r="J609" t="s">
        <v>28</v>
      </c>
      <c r="K609">
        <v>608</v>
      </c>
      <c r="L609" t="s">
        <v>59</v>
      </c>
      <c r="M609" t="s">
        <v>26</v>
      </c>
    </row>
    <row r="610" spans="1:13" x14ac:dyDescent="0.3">
      <c r="A610">
        <v>1</v>
      </c>
      <c r="B610" t="s">
        <v>103</v>
      </c>
      <c r="C610">
        <v>4</v>
      </c>
      <c r="D610" s="1">
        <v>45022.140972222223</v>
      </c>
      <c r="E610" s="1">
        <v>45022.293055555558</v>
      </c>
      <c r="F610" t="s">
        <v>73</v>
      </c>
      <c r="G610" t="s">
        <v>22</v>
      </c>
      <c r="H610" t="s">
        <v>16</v>
      </c>
      <c r="I610">
        <v>2329</v>
      </c>
      <c r="J610" t="s">
        <v>28</v>
      </c>
      <c r="K610">
        <v>609</v>
      </c>
      <c r="L610" t="s">
        <v>62</v>
      </c>
      <c r="M610" t="s">
        <v>105</v>
      </c>
    </row>
    <row r="611" spans="1:13" x14ac:dyDescent="0.3">
      <c r="A611">
        <v>19</v>
      </c>
      <c r="B611" t="s">
        <v>193</v>
      </c>
      <c r="C611">
        <v>4</v>
      </c>
      <c r="D611" s="1">
        <v>45022.091666666667</v>
      </c>
      <c r="E611" s="1">
        <v>45022.174305555556</v>
      </c>
      <c r="F611" t="s">
        <v>21</v>
      </c>
      <c r="G611" t="s">
        <v>15</v>
      </c>
      <c r="H611" t="s">
        <v>16</v>
      </c>
      <c r="I611">
        <v>379</v>
      </c>
      <c r="J611" t="s">
        <v>24</v>
      </c>
      <c r="K611">
        <v>610</v>
      </c>
      <c r="L611" t="s">
        <v>70</v>
      </c>
      <c r="M611" t="s">
        <v>71</v>
      </c>
    </row>
    <row r="612" spans="1:13" x14ac:dyDescent="0.3">
      <c r="A612">
        <v>13</v>
      </c>
      <c r="B612" t="s">
        <v>553</v>
      </c>
      <c r="C612">
        <v>1</v>
      </c>
      <c r="D612" s="1">
        <v>45022.163194444445</v>
      </c>
      <c r="E612" s="1">
        <v>45022.321527777778</v>
      </c>
      <c r="F612" t="s">
        <v>73</v>
      </c>
      <c r="G612" t="s">
        <v>22</v>
      </c>
      <c r="H612" t="s">
        <v>16</v>
      </c>
      <c r="I612">
        <v>4428</v>
      </c>
      <c r="J612" t="s">
        <v>24</v>
      </c>
      <c r="K612">
        <v>611</v>
      </c>
      <c r="L612" t="s">
        <v>25</v>
      </c>
      <c r="M612" t="s">
        <v>42</v>
      </c>
    </row>
    <row r="613" spans="1:13" x14ac:dyDescent="0.3">
      <c r="A613">
        <v>11</v>
      </c>
      <c r="B613" t="s">
        <v>554</v>
      </c>
      <c r="C613">
        <v>4</v>
      </c>
      <c r="D613" s="1">
        <v>45022.05</v>
      </c>
      <c r="E613" s="1">
        <v>45022.208333333336</v>
      </c>
      <c r="F613" t="s">
        <v>21</v>
      </c>
      <c r="G613" t="s">
        <v>22</v>
      </c>
      <c r="H613" t="s">
        <v>16</v>
      </c>
      <c r="I613">
        <v>2354</v>
      </c>
      <c r="J613" t="s">
        <v>28</v>
      </c>
      <c r="K613">
        <v>612</v>
      </c>
      <c r="L613" t="s">
        <v>70</v>
      </c>
      <c r="M613" t="s">
        <v>50</v>
      </c>
    </row>
    <row r="614" spans="1:13" x14ac:dyDescent="0.3">
      <c r="A614">
        <v>1</v>
      </c>
      <c r="B614" t="s">
        <v>111</v>
      </c>
      <c r="C614">
        <v>5</v>
      </c>
      <c r="D614" s="1">
        <v>45022.081250000003</v>
      </c>
      <c r="E614" s="1">
        <v>45022.149305555555</v>
      </c>
      <c r="F614" t="s">
        <v>32</v>
      </c>
      <c r="G614" t="s">
        <v>48</v>
      </c>
      <c r="H614" t="s">
        <v>23</v>
      </c>
      <c r="I614">
        <v>2356</v>
      </c>
      <c r="J614" t="s">
        <v>28</v>
      </c>
      <c r="K614">
        <v>613</v>
      </c>
      <c r="L614" t="s">
        <v>59</v>
      </c>
      <c r="M614" t="s">
        <v>53</v>
      </c>
    </row>
    <row r="615" spans="1:13" x14ac:dyDescent="0.3">
      <c r="A615">
        <v>19</v>
      </c>
      <c r="B615" t="s">
        <v>137</v>
      </c>
      <c r="C615">
        <v>6</v>
      </c>
      <c r="D615" s="1">
        <v>45022.105555555558</v>
      </c>
      <c r="E615" s="1">
        <v>45022.192361111112</v>
      </c>
      <c r="F615" t="s">
        <v>73</v>
      </c>
      <c r="G615" t="s">
        <v>48</v>
      </c>
      <c r="H615" t="s">
        <v>36</v>
      </c>
      <c r="I615">
        <v>2648</v>
      </c>
      <c r="J615" t="s">
        <v>28</v>
      </c>
      <c r="K615">
        <v>614</v>
      </c>
      <c r="L615" t="s">
        <v>91</v>
      </c>
      <c r="M615" t="s">
        <v>75</v>
      </c>
    </row>
    <row r="616" spans="1:13" x14ac:dyDescent="0.3">
      <c r="A616">
        <v>7</v>
      </c>
      <c r="B616" t="s">
        <v>555</v>
      </c>
      <c r="C616">
        <v>1</v>
      </c>
      <c r="D616" s="1">
        <v>45022.031944444447</v>
      </c>
      <c r="E616" s="1">
        <v>45022.078472222223</v>
      </c>
      <c r="F616" t="s">
        <v>21</v>
      </c>
      <c r="G616" t="s">
        <v>15</v>
      </c>
      <c r="H616" t="s">
        <v>16</v>
      </c>
      <c r="I616">
        <v>1842</v>
      </c>
      <c r="J616" t="s">
        <v>24</v>
      </c>
      <c r="K616">
        <v>615</v>
      </c>
      <c r="L616" t="s">
        <v>62</v>
      </c>
      <c r="M616" t="s">
        <v>56</v>
      </c>
    </row>
    <row r="617" spans="1:13" x14ac:dyDescent="0.3">
      <c r="A617">
        <v>4</v>
      </c>
      <c r="B617" t="s">
        <v>552</v>
      </c>
      <c r="C617">
        <v>4</v>
      </c>
      <c r="D617" s="1">
        <v>45022.009722222225</v>
      </c>
      <c r="E617" s="1">
        <v>45022.15</v>
      </c>
      <c r="F617" t="s">
        <v>21</v>
      </c>
      <c r="G617" t="s">
        <v>15</v>
      </c>
      <c r="H617" t="s">
        <v>16</v>
      </c>
      <c r="I617">
        <v>2389</v>
      </c>
      <c r="J617" t="s">
        <v>24</v>
      </c>
      <c r="K617">
        <v>616</v>
      </c>
      <c r="L617" t="s">
        <v>91</v>
      </c>
      <c r="M617" t="s">
        <v>75</v>
      </c>
    </row>
    <row r="618" spans="1:13" x14ac:dyDescent="0.3">
      <c r="A618">
        <v>13</v>
      </c>
      <c r="B618" t="s">
        <v>173</v>
      </c>
      <c r="C618">
        <v>5</v>
      </c>
      <c r="D618" s="1">
        <v>45022.055555555555</v>
      </c>
      <c r="E618" s="1">
        <v>45022.220138888886</v>
      </c>
      <c r="F618" t="s">
        <v>32</v>
      </c>
      <c r="G618" t="s">
        <v>22</v>
      </c>
      <c r="H618" t="s">
        <v>16</v>
      </c>
      <c r="I618">
        <v>3818</v>
      </c>
      <c r="J618" t="s">
        <v>17</v>
      </c>
      <c r="K618">
        <v>617</v>
      </c>
      <c r="L618" t="s">
        <v>55</v>
      </c>
      <c r="M618" t="s">
        <v>71</v>
      </c>
    </row>
    <row r="619" spans="1:13" x14ac:dyDescent="0.3">
      <c r="A619">
        <v>3</v>
      </c>
      <c r="B619" t="s">
        <v>556</v>
      </c>
      <c r="C619">
        <v>5</v>
      </c>
      <c r="D619" s="1">
        <v>45022.038888888892</v>
      </c>
      <c r="E619" s="1">
        <v>45022.133333333331</v>
      </c>
      <c r="F619" t="s">
        <v>14</v>
      </c>
      <c r="G619" t="s">
        <v>48</v>
      </c>
      <c r="H619" t="s">
        <v>16</v>
      </c>
      <c r="I619">
        <v>2593</v>
      </c>
      <c r="J619" t="s">
        <v>17</v>
      </c>
      <c r="K619">
        <v>618</v>
      </c>
      <c r="L619" t="s">
        <v>33</v>
      </c>
      <c r="M619" t="s">
        <v>105</v>
      </c>
    </row>
    <row r="620" spans="1:13" x14ac:dyDescent="0.3">
      <c r="A620">
        <v>6</v>
      </c>
      <c r="B620" t="s">
        <v>440</v>
      </c>
      <c r="C620">
        <v>4</v>
      </c>
      <c r="D620" s="1">
        <v>45022.011111111111</v>
      </c>
      <c r="E620" s="1">
        <v>45022.111805555556</v>
      </c>
      <c r="F620" t="s">
        <v>21</v>
      </c>
      <c r="G620" t="s">
        <v>15</v>
      </c>
      <c r="H620" t="s">
        <v>16</v>
      </c>
      <c r="I620">
        <v>1644</v>
      </c>
      <c r="J620" t="s">
        <v>28</v>
      </c>
      <c r="K620">
        <v>619</v>
      </c>
      <c r="L620" t="s">
        <v>62</v>
      </c>
      <c r="M620" t="s">
        <v>50</v>
      </c>
    </row>
    <row r="621" spans="1:13" x14ac:dyDescent="0.3">
      <c r="A621">
        <v>16</v>
      </c>
      <c r="B621" t="s">
        <v>206</v>
      </c>
      <c r="C621">
        <v>3</v>
      </c>
      <c r="D621" s="1">
        <v>45022.117361111108</v>
      </c>
      <c r="E621" s="1">
        <v>45022.254861111112</v>
      </c>
      <c r="F621" t="s">
        <v>14</v>
      </c>
      <c r="G621" t="s">
        <v>22</v>
      </c>
      <c r="H621" t="s">
        <v>16</v>
      </c>
      <c r="I621">
        <v>2664</v>
      </c>
      <c r="J621" t="s">
        <v>28</v>
      </c>
      <c r="K621">
        <v>620</v>
      </c>
      <c r="L621" t="s">
        <v>70</v>
      </c>
      <c r="M621" t="s">
        <v>53</v>
      </c>
    </row>
    <row r="622" spans="1:13" x14ac:dyDescent="0.3">
      <c r="A622">
        <v>5</v>
      </c>
      <c r="B622" t="s">
        <v>207</v>
      </c>
      <c r="C622">
        <v>2</v>
      </c>
      <c r="D622" s="1">
        <v>45022.047222222223</v>
      </c>
      <c r="E622" s="1">
        <v>45022.102083333331</v>
      </c>
      <c r="F622" t="s">
        <v>32</v>
      </c>
      <c r="G622" t="s">
        <v>22</v>
      </c>
      <c r="H622" t="s">
        <v>16</v>
      </c>
      <c r="I622">
        <v>4227</v>
      </c>
      <c r="J622" t="s">
        <v>24</v>
      </c>
      <c r="K622">
        <v>621</v>
      </c>
      <c r="L622" t="s">
        <v>62</v>
      </c>
      <c r="M622" t="s">
        <v>19</v>
      </c>
    </row>
    <row r="623" spans="1:13" x14ac:dyDescent="0.3">
      <c r="A623">
        <v>7</v>
      </c>
      <c r="B623" t="s">
        <v>231</v>
      </c>
      <c r="C623">
        <v>5</v>
      </c>
      <c r="D623" s="1">
        <v>45022.088194444441</v>
      </c>
      <c r="E623" s="1">
        <v>45022.229861111111</v>
      </c>
      <c r="F623" t="s">
        <v>52</v>
      </c>
      <c r="G623" t="s">
        <v>15</v>
      </c>
      <c r="H623" t="s">
        <v>16</v>
      </c>
      <c r="I623">
        <v>1147</v>
      </c>
      <c r="J623" t="s">
        <v>28</v>
      </c>
      <c r="K623">
        <v>622</v>
      </c>
      <c r="L623" t="s">
        <v>49</v>
      </c>
      <c r="M623" t="s">
        <v>56</v>
      </c>
    </row>
    <row r="624" spans="1:13" x14ac:dyDescent="0.3">
      <c r="A624">
        <v>13</v>
      </c>
      <c r="B624" t="s">
        <v>468</v>
      </c>
      <c r="C624">
        <v>1</v>
      </c>
      <c r="D624" s="1">
        <v>45022.03125</v>
      </c>
      <c r="E624" s="1">
        <v>45022.131944444445</v>
      </c>
      <c r="F624" t="s">
        <v>52</v>
      </c>
      <c r="G624" t="s">
        <v>22</v>
      </c>
      <c r="H624" t="s">
        <v>23</v>
      </c>
      <c r="I624">
        <v>2205</v>
      </c>
      <c r="J624" t="s">
        <v>17</v>
      </c>
      <c r="K624">
        <v>623</v>
      </c>
      <c r="L624" t="s">
        <v>55</v>
      </c>
      <c r="M624" t="s">
        <v>92</v>
      </c>
    </row>
    <row r="625" spans="1:13" x14ac:dyDescent="0.3">
      <c r="A625">
        <v>1</v>
      </c>
      <c r="B625" t="s">
        <v>441</v>
      </c>
      <c r="C625">
        <v>4</v>
      </c>
      <c r="D625" s="1">
        <v>45022.080555555556</v>
      </c>
      <c r="E625" s="1">
        <v>45022.143055555556</v>
      </c>
      <c r="F625" t="s">
        <v>73</v>
      </c>
      <c r="G625" t="s">
        <v>15</v>
      </c>
      <c r="H625" t="s">
        <v>16</v>
      </c>
      <c r="I625">
        <v>380</v>
      </c>
      <c r="J625" t="s">
        <v>28</v>
      </c>
      <c r="K625">
        <v>624</v>
      </c>
      <c r="L625" t="s">
        <v>49</v>
      </c>
      <c r="M625" t="s">
        <v>44</v>
      </c>
    </row>
    <row r="626" spans="1:13" x14ac:dyDescent="0.3">
      <c r="A626">
        <v>5</v>
      </c>
      <c r="B626" t="s">
        <v>557</v>
      </c>
      <c r="C626">
        <v>4</v>
      </c>
      <c r="D626" s="1">
        <v>45022.006249999999</v>
      </c>
      <c r="E626" s="1">
        <v>45022.140277777777</v>
      </c>
      <c r="F626" t="s">
        <v>14</v>
      </c>
      <c r="G626" t="s">
        <v>15</v>
      </c>
      <c r="H626" t="s">
        <v>16</v>
      </c>
      <c r="I626">
        <v>4173</v>
      </c>
      <c r="J626" t="s">
        <v>24</v>
      </c>
      <c r="K626">
        <v>625</v>
      </c>
      <c r="L626" t="s">
        <v>33</v>
      </c>
      <c r="M626" t="s">
        <v>46</v>
      </c>
    </row>
    <row r="627" spans="1:13" x14ac:dyDescent="0.3">
      <c r="A627">
        <v>14</v>
      </c>
      <c r="B627" t="s">
        <v>558</v>
      </c>
      <c r="C627">
        <v>4</v>
      </c>
      <c r="D627" s="1">
        <v>45022.114583333336</v>
      </c>
      <c r="E627" s="1">
        <v>45022.173611111109</v>
      </c>
      <c r="F627" t="s">
        <v>14</v>
      </c>
      <c r="G627" t="s">
        <v>48</v>
      </c>
      <c r="H627" t="s">
        <v>16</v>
      </c>
      <c r="I627">
        <v>1924</v>
      </c>
      <c r="J627" t="s">
        <v>17</v>
      </c>
      <c r="K627">
        <v>626</v>
      </c>
      <c r="L627" t="s">
        <v>49</v>
      </c>
      <c r="M627" t="s">
        <v>40</v>
      </c>
    </row>
    <row r="628" spans="1:13" x14ac:dyDescent="0.3">
      <c r="A628">
        <v>4</v>
      </c>
      <c r="B628" t="s">
        <v>208</v>
      </c>
      <c r="C628">
        <v>3</v>
      </c>
      <c r="D628" s="1">
        <v>45022.099305555559</v>
      </c>
      <c r="E628" s="1">
        <v>45022.175694444442</v>
      </c>
      <c r="F628" t="s">
        <v>52</v>
      </c>
      <c r="G628" t="s">
        <v>22</v>
      </c>
      <c r="H628" t="s">
        <v>16</v>
      </c>
      <c r="I628">
        <v>4424</v>
      </c>
      <c r="J628" t="s">
        <v>24</v>
      </c>
      <c r="K628">
        <v>627</v>
      </c>
      <c r="L628" t="s">
        <v>62</v>
      </c>
      <c r="M628" t="s">
        <v>42</v>
      </c>
    </row>
    <row r="629" spans="1:13" x14ac:dyDescent="0.3">
      <c r="A629">
        <v>2</v>
      </c>
      <c r="B629" t="s">
        <v>94</v>
      </c>
      <c r="C629">
        <v>1</v>
      </c>
      <c r="D629" s="1">
        <v>45022.006249999999</v>
      </c>
      <c r="E629" s="1">
        <v>45022.067361111112</v>
      </c>
      <c r="F629" t="s">
        <v>52</v>
      </c>
      <c r="G629" t="s">
        <v>48</v>
      </c>
      <c r="H629" t="s">
        <v>16</v>
      </c>
      <c r="I629">
        <v>1503</v>
      </c>
      <c r="J629" t="s">
        <v>28</v>
      </c>
      <c r="K629">
        <v>628</v>
      </c>
      <c r="L629" t="s">
        <v>33</v>
      </c>
      <c r="M629" t="s">
        <v>75</v>
      </c>
    </row>
    <row r="630" spans="1:13" x14ac:dyDescent="0.3">
      <c r="A630">
        <v>17</v>
      </c>
      <c r="B630" t="s">
        <v>265</v>
      </c>
      <c r="C630">
        <v>2</v>
      </c>
      <c r="D630" s="1">
        <v>45022.088194444441</v>
      </c>
      <c r="E630" s="1">
        <v>45022.246527777781</v>
      </c>
      <c r="F630" t="s">
        <v>14</v>
      </c>
      <c r="G630" t="s">
        <v>15</v>
      </c>
      <c r="H630" t="s">
        <v>36</v>
      </c>
      <c r="I630">
        <v>2607</v>
      </c>
      <c r="J630" t="s">
        <v>24</v>
      </c>
      <c r="K630">
        <v>629</v>
      </c>
      <c r="L630" t="s">
        <v>49</v>
      </c>
      <c r="M630" t="s">
        <v>38</v>
      </c>
    </row>
    <row r="631" spans="1:13" x14ac:dyDescent="0.3">
      <c r="A631">
        <v>2</v>
      </c>
      <c r="B631" t="s">
        <v>409</v>
      </c>
      <c r="C631">
        <v>2</v>
      </c>
      <c r="D631" s="1">
        <v>45022.001388888886</v>
      </c>
      <c r="E631" s="1">
        <v>45022.117361111108</v>
      </c>
      <c r="F631" t="s">
        <v>21</v>
      </c>
      <c r="G631" t="s">
        <v>22</v>
      </c>
      <c r="H631" t="s">
        <v>36</v>
      </c>
      <c r="I631">
        <v>3662</v>
      </c>
      <c r="J631" t="s">
        <v>17</v>
      </c>
      <c r="K631">
        <v>630</v>
      </c>
      <c r="L631" t="s">
        <v>29</v>
      </c>
      <c r="M631" t="s">
        <v>56</v>
      </c>
    </row>
    <row r="632" spans="1:13" x14ac:dyDescent="0.3">
      <c r="A632">
        <v>6</v>
      </c>
      <c r="B632" t="s">
        <v>209</v>
      </c>
      <c r="C632">
        <v>1</v>
      </c>
      <c r="D632" s="1">
        <v>45022.01458333333</v>
      </c>
      <c r="E632" s="1">
        <v>45022.118750000001</v>
      </c>
      <c r="F632" t="s">
        <v>21</v>
      </c>
      <c r="G632" t="s">
        <v>15</v>
      </c>
      <c r="H632" t="s">
        <v>16</v>
      </c>
      <c r="I632">
        <v>3971</v>
      </c>
      <c r="J632" t="s">
        <v>28</v>
      </c>
      <c r="K632">
        <v>631</v>
      </c>
      <c r="L632" t="s">
        <v>37</v>
      </c>
      <c r="M632" t="s">
        <v>92</v>
      </c>
    </row>
    <row r="633" spans="1:13" x14ac:dyDescent="0.3">
      <c r="A633">
        <v>16</v>
      </c>
      <c r="B633" t="s">
        <v>559</v>
      </c>
      <c r="C633">
        <v>2</v>
      </c>
      <c r="D633" s="1">
        <v>45022.010416666664</v>
      </c>
      <c r="E633" s="1">
        <v>45022.121527777781</v>
      </c>
      <c r="F633" t="s">
        <v>52</v>
      </c>
      <c r="G633" t="s">
        <v>48</v>
      </c>
      <c r="H633" t="s">
        <v>16</v>
      </c>
      <c r="I633">
        <v>2241</v>
      </c>
      <c r="J633" t="s">
        <v>17</v>
      </c>
      <c r="K633">
        <v>632</v>
      </c>
      <c r="L633" t="s">
        <v>62</v>
      </c>
      <c r="M633" t="s">
        <v>105</v>
      </c>
    </row>
    <row r="634" spans="1:13" x14ac:dyDescent="0.3">
      <c r="A634">
        <v>16</v>
      </c>
      <c r="B634" t="s">
        <v>560</v>
      </c>
      <c r="C634">
        <v>5</v>
      </c>
      <c r="D634" s="1">
        <v>45022.154861111114</v>
      </c>
      <c r="E634" s="1">
        <v>45022.227777777778</v>
      </c>
      <c r="F634" t="s">
        <v>52</v>
      </c>
      <c r="G634" t="s">
        <v>22</v>
      </c>
      <c r="H634" t="s">
        <v>16</v>
      </c>
      <c r="I634">
        <v>1119</v>
      </c>
      <c r="J634" t="s">
        <v>28</v>
      </c>
      <c r="K634">
        <v>633</v>
      </c>
      <c r="L634" t="s">
        <v>29</v>
      </c>
      <c r="M634" t="s">
        <v>40</v>
      </c>
    </row>
    <row r="635" spans="1:13" x14ac:dyDescent="0.3">
      <c r="A635">
        <v>2</v>
      </c>
      <c r="B635" t="s">
        <v>461</v>
      </c>
      <c r="C635">
        <v>1</v>
      </c>
      <c r="D635" s="1">
        <v>45022.002083333333</v>
      </c>
      <c r="E635" s="1">
        <v>45022.15</v>
      </c>
      <c r="F635" t="s">
        <v>73</v>
      </c>
      <c r="G635" t="s">
        <v>48</v>
      </c>
      <c r="H635" t="s">
        <v>16</v>
      </c>
      <c r="I635">
        <v>2925</v>
      </c>
      <c r="J635" t="s">
        <v>28</v>
      </c>
      <c r="K635">
        <v>634</v>
      </c>
      <c r="L635" t="s">
        <v>91</v>
      </c>
      <c r="M635" t="s">
        <v>92</v>
      </c>
    </row>
    <row r="636" spans="1:13" x14ac:dyDescent="0.3">
      <c r="A636">
        <v>5</v>
      </c>
      <c r="B636" t="s">
        <v>210</v>
      </c>
      <c r="C636">
        <v>2</v>
      </c>
      <c r="D636" s="1">
        <v>45022.011805555558</v>
      </c>
      <c r="E636" s="1">
        <v>45022.12777777778</v>
      </c>
      <c r="F636" t="s">
        <v>32</v>
      </c>
      <c r="G636" t="s">
        <v>22</v>
      </c>
      <c r="H636" t="s">
        <v>16</v>
      </c>
      <c r="I636">
        <v>2215</v>
      </c>
      <c r="J636" t="s">
        <v>17</v>
      </c>
      <c r="K636">
        <v>635</v>
      </c>
      <c r="L636" t="s">
        <v>18</v>
      </c>
      <c r="M636" t="s">
        <v>26</v>
      </c>
    </row>
    <row r="637" spans="1:13" x14ac:dyDescent="0.3">
      <c r="A637">
        <v>14</v>
      </c>
      <c r="B637" t="s">
        <v>561</v>
      </c>
      <c r="C637">
        <v>3</v>
      </c>
      <c r="D637" s="1">
        <v>45022.149305555555</v>
      </c>
      <c r="E637" s="1">
        <v>45022.241666666669</v>
      </c>
      <c r="F637" t="s">
        <v>21</v>
      </c>
      <c r="G637" t="s">
        <v>15</v>
      </c>
      <c r="H637" t="s">
        <v>36</v>
      </c>
      <c r="I637">
        <v>3286</v>
      </c>
      <c r="J637" t="s">
        <v>17</v>
      </c>
      <c r="K637">
        <v>636</v>
      </c>
      <c r="L637" t="s">
        <v>62</v>
      </c>
      <c r="M637" t="s">
        <v>75</v>
      </c>
    </row>
    <row r="638" spans="1:13" x14ac:dyDescent="0.3">
      <c r="A638">
        <v>6</v>
      </c>
      <c r="B638" t="s">
        <v>562</v>
      </c>
      <c r="C638">
        <v>3</v>
      </c>
      <c r="D638" s="1">
        <v>45022.079861111109</v>
      </c>
      <c r="E638" s="1">
        <v>45022.188888888886</v>
      </c>
      <c r="F638" t="s">
        <v>14</v>
      </c>
      <c r="G638" t="s">
        <v>22</v>
      </c>
      <c r="H638" t="s">
        <v>16</v>
      </c>
      <c r="I638">
        <v>3658</v>
      </c>
      <c r="J638" t="s">
        <v>28</v>
      </c>
      <c r="K638">
        <v>637</v>
      </c>
      <c r="L638" t="s">
        <v>62</v>
      </c>
      <c r="M638" t="s">
        <v>112</v>
      </c>
    </row>
    <row r="639" spans="1:13" x14ac:dyDescent="0.3">
      <c r="A639">
        <v>16</v>
      </c>
      <c r="B639" t="s">
        <v>87</v>
      </c>
      <c r="C639">
        <v>6</v>
      </c>
      <c r="D639" s="1">
        <v>45022.037499999999</v>
      </c>
      <c r="E639" s="1">
        <v>45022.094444444447</v>
      </c>
      <c r="F639" t="s">
        <v>52</v>
      </c>
      <c r="G639" t="s">
        <v>15</v>
      </c>
      <c r="H639" t="s">
        <v>16</v>
      </c>
      <c r="I639">
        <v>3071</v>
      </c>
      <c r="J639" t="s">
        <v>24</v>
      </c>
      <c r="K639">
        <v>638</v>
      </c>
      <c r="L639" t="s">
        <v>49</v>
      </c>
      <c r="M639" t="s">
        <v>40</v>
      </c>
    </row>
    <row r="640" spans="1:13" x14ac:dyDescent="0.3">
      <c r="A640">
        <v>8</v>
      </c>
      <c r="B640" t="s">
        <v>563</v>
      </c>
      <c r="C640">
        <v>4</v>
      </c>
      <c r="D640" s="1">
        <v>45022.095138888886</v>
      </c>
      <c r="E640" s="1">
        <v>45022.22152777778</v>
      </c>
      <c r="F640" t="s">
        <v>32</v>
      </c>
      <c r="G640" t="s">
        <v>15</v>
      </c>
      <c r="H640" t="s">
        <v>16</v>
      </c>
      <c r="I640">
        <v>1897</v>
      </c>
      <c r="J640" t="s">
        <v>28</v>
      </c>
      <c r="K640">
        <v>639</v>
      </c>
      <c r="L640" t="s">
        <v>59</v>
      </c>
      <c r="M640" t="s">
        <v>71</v>
      </c>
    </row>
    <row r="641" spans="1:13" x14ac:dyDescent="0.3">
      <c r="A641">
        <v>14</v>
      </c>
      <c r="B641" t="s">
        <v>564</v>
      </c>
      <c r="C641">
        <v>3</v>
      </c>
      <c r="D641" s="1">
        <v>45022.02847222222</v>
      </c>
      <c r="E641" s="1">
        <v>45022.076388888891</v>
      </c>
      <c r="F641" t="s">
        <v>52</v>
      </c>
      <c r="G641" t="s">
        <v>22</v>
      </c>
      <c r="H641" t="s">
        <v>36</v>
      </c>
      <c r="I641">
        <v>4929</v>
      </c>
      <c r="J641" t="s">
        <v>17</v>
      </c>
      <c r="K641">
        <v>640</v>
      </c>
      <c r="L641" t="s">
        <v>91</v>
      </c>
      <c r="M641" t="s">
        <v>71</v>
      </c>
    </row>
    <row r="642" spans="1:13" x14ac:dyDescent="0.3">
      <c r="A642">
        <v>2</v>
      </c>
      <c r="B642" t="s">
        <v>565</v>
      </c>
      <c r="C642">
        <v>4</v>
      </c>
      <c r="D642" s="1">
        <v>45022.047222222223</v>
      </c>
      <c r="E642" s="1">
        <v>45022.161111111112</v>
      </c>
      <c r="F642" t="s">
        <v>73</v>
      </c>
      <c r="G642" t="s">
        <v>22</v>
      </c>
      <c r="H642" t="s">
        <v>36</v>
      </c>
      <c r="I642">
        <v>3968</v>
      </c>
      <c r="J642" t="s">
        <v>28</v>
      </c>
      <c r="K642">
        <v>641</v>
      </c>
      <c r="L642" t="s">
        <v>62</v>
      </c>
      <c r="M642" t="s">
        <v>26</v>
      </c>
    </row>
    <row r="643" spans="1:13" x14ac:dyDescent="0.3">
      <c r="A643">
        <v>15</v>
      </c>
      <c r="B643" t="s">
        <v>566</v>
      </c>
      <c r="C643">
        <v>1</v>
      </c>
      <c r="D643" s="1">
        <v>45022.10833333333</v>
      </c>
      <c r="E643" s="1">
        <v>45022.224999999999</v>
      </c>
      <c r="F643" t="s">
        <v>32</v>
      </c>
      <c r="G643" t="s">
        <v>22</v>
      </c>
      <c r="H643" t="s">
        <v>16</v>
      </c>
      <c r="I643">
        <v>1111</v>
      </c>
      <c r="J643" t="s">
        <v>24</v>
      </c>
      <c r="K643">
        <v>642</v>
      </c>
      <c r="L643" t="s">
        <v>49</v>
      </c>
      <c r="M643" t="s">
        <v>42</v>
      </c>
    </row>
    <row r="644" spans="1:13" x14ac:dyDescent="0.3">
      <c r="A644">
        <v>17</v>
      </c>
      <c r="B644" t="s">
        <v>211</v>
      </c>
      <c r="C644">
        <v>2</v>
      </c>
      <c r="D644" s="1">
        <v>45022.011805555558</v>
      </c>
      <c r="E644" s="1">
        <v>45022.080555555556</v>
      </c>
      <c r="F644" t="s">
        <v>32</v>
      </c>
      <c r="G644" t="s">
        <v>48</v>
      </c>
      <c r="H644" t="s">
        <v>36</v>
      </c>
      <c r="I644">
        <v>2881</v>
      </c>
      <c r="J644" t="s">
        <v>24</v>
      </c>
      <c r="K644">
        <v>643</v>
      </c>
      <c r="L644" t="s">
        <v>55</v>
      </c>
      <c r="M644" t="s">
        <v>112</v>
      </c>
    </row>
    <row r="645" spans="1:13" x14ac:dyDescent="0.3">
      <c r="A645">
        <v>9</v>
      </c>
      <c r="B645" t="s">
        <v>212</v>
      </c>
      <c r="C645">
        <v>6</v>
      </c>
      <c r="D645" s="1">
        <v>45022.155555555553</v>
      </c>
      <c r="E645" s="1">
        <v>45022.298611111109</v>
      </c>
      <c r="F645" t="s">
        <v>73</v>
      </c>
      <c r="G645" t="s">
        <v>22</v>
      </c>
      <c r="H645" t="s">
        <v>36</v>
      </c>
      <c r="I645">
        <v>1386</v>
      </c>
      <c r="J645" t="s">
        <v>28</v>
      </c>
      <c r="K645">
        <v>644</v>
      </c>
      <c r="L645" t="s">
        <v>62</v>
      </c>
      <c r="M645" t="s">
        <v>56</v>
      </c>
    </row>
    <row r="646" spans="1:13" x14ac:dyDescent="0.3">
      <c r="A646">
        <v>6</v>
      </c>
      <c r="B646" t="s">
        <v>457</v>
      </c>
      <c r="C646">
        <v>6</v>
      </c>
      <c r="D646" s="1">
        <v>45022.118055555555</v>
      </c>
      <c r="E646" s="1">
        <v>45022.267361111109</v>
      </c>
      <c r="F646" t="s">
        <v>52</v>
      </c>
      <c r="G646" t="s">
        <v>15</v>
      </c>
      <c r="H646" t="s">
        <v>23</v>
      </c>
      <c r="I646">
        <v>4003</v>
      </c>
      <c r="J646" t="s">
        <v>17</v>
      </c>
      <c r="K646">
        <v>645</v>
      </c>
      <c r="L646" t="s">
        <v>29</v>
      </c>
      <c r="M646" t="s">
        <v>112</v>
      </c>
    </row>
    <row r="647" spans="1:13" x14ac:dyDescent="0.3">
      <c r="A647">
        <v>12</v>
      </c>
      <c r="B647" t="s">
        <v>213</v>
      </c>
      <c r="C647">
        <v>2</v>
      </c>
      <c r="D647" s="1">
        <v>45022.165972222225</v>
      </c>
      <c r="E647" s="1">
        <v>45022.276388888888</v>
      </c>
      <c r="F647" t="s">
        <v>32</v>
      </c>
      <c r="G647" t="s">
        <v>22</v>
      </c>
      <c r="H647" t="s">
        <v>36</v>
      </c>
      <c r="I647">
        <v>1259</v>
      </c>
      <c r="J647" t="s">
        <v>17</v>
      </c>
      <c r="K647">
        <v>646</v>
      </c>
      <c r="L647" t="s">
        <v>29</v>
      </c>
      <c r="M647" t="s">
        <v>19</v>
      </c>
    </row>
    <row r="648" spans="1:13" x14ac:dyDescent="0.3">
      <c r="A648">
        <v>12</v>
      </c>
      <c r="B648" t="s">
        <v>567</v>
      </c>
      <c r="C648">
        <v>2</v>
      </c>
      <c r="D648" s="1">
        <v>45022.121527777781</v>
      </c>
      <c r="E648" s="1">
        <v>45022.267361111109</v>
      </c>
      <c r="F648" t="s">
        <v>32</v>
      </c>
      <c r="G648" t="s">
        <v>22</v>
      </c>
      <c r="H648" t="s">
        <v>16</v>
      </c>
      <c r="I648">
        <v>4279</v>
      </c>
      <c r="J648" t="s">
        <v>28</v>
      </c>
      <c r="K648">
        <v>647</v>
      </c>
      <c r="L648" t="s">
        <v>29</v>
      </c>
      <c r="M648" t="s">
        <v>46</v>
      </c>
    </row>
    <row r="649" spans="1:13" x14ac:dyDescent="0.3">
      <c r="A649">
        <v>9</v>
      </c>
      <c r="B649" t="s">
        <v>214</v>
      </c>
      <c r="C649">
        <v>1</v>
      </c>
      <c r="D649" s="1">
        <v>45022.124305555553</v>
      </c>
      <c r="E649" s="1">
        <v>45022.204861111109</v>
      </c>
      <c r="F649" t="s">
        <v>32</v>
      </c>
      <c r="G649" t="s">
        <v>15</v>
      </c>
      <c r="H649" t="s">
        <v>16</v>
      </c>
      <c r="I649">
        <v>1743</v>
      </c>
      <c r="J649" t="s">
        <v>17</v>
      </c>
      <c r="K649">
        <v>648</v>
      </c>
      <c r="L649" t="s">
        <v>25</v>
      </c>
      <c r="M649" t="s">
        <v>30</v>
      </c>
    </row>
    <row r="650" spans="1:13" x14ac:dyDescent="0.3">
      <c r="A650">
        <v>9</v>
      </c>
      <c r="B650" t="s">
        <v>568</v>
      </c>
      <c r="C650">
        <v>1</v>
      </c>
      <c r="D650" s="1">
        <v>45022.038194444445</v>
      </c>
      <c r="E650" s="1">
        <v>45022.15625</v>
      </c>
      <c r="F650" t="s">
        <v>21</v>
      </c>
      <c r="G650" t="s">
        <v>22</v>
      </c>
      <c r="H650" t="s">
        <v>23</v>
      </c>
      <c r="I650">
        <v>1598</v>
      </c>
      <c r="J650" t="s">
        <v>24</v>
      </c>
      <c r="K650">
        <v>649</v>
      </c>
      <c r="L650" t="s">
        <v>70</v>
      </c>
      <c r="M650" t="s">
        <v>26</v>
      </c>
    </row>
    <row r="651" spans="1:13" x14ac:dyDescent="0.3">
      <c r="A651">
        <v>11</v>
      </c>
      <c r="B651" t="s">
        <v>518</v>
      </c>
      <c r="C651">
        <v>3</v>
      </c>
      <c r="D651" s="1">
        <v>45023.147916666669</v>
      </c>
      <c r="E651" s="1">
        <v>45023.209722222222</v>
      </c>
      <c r="F651" t="s">
        <v>52</v>
      </c>
      <c r="G651" t="s">
        <v>22</v>
      </c>
      <c r="H651" t="s">
        <v>36</v>
      </c>
      <c r="I651">
        <v>3821</v>
      </c>
      <c r="J651" t="s">
        <v>17</v>
      </c>
      <c r="K651">
        <v>650</v>
      </c>
      <c r="L651" t="s">
        <v>49</v>
      </c>
      <c r="M651" t="s">
        <v>42</v>
      </c>
    </row>
    <row r="652" spans="1:13" x14ac:dyDescent="0.3">
      <c r="A652">
        <v>16</v>
      </c>
      <c r="B652" t="s">
        <v>569</v>
      </c>
      <c r="C652">
        <v>4</v>
      </c>
      <c r="D652" s="1">
        <v>45023.086111111108</v>
      </c>
      <c r="E652" s="1">
        <v>45023.238888888889</v>
      </c>
      <c r="F652" t="s">
        <v>14</v>
      </c>
      <c r="G652" t="s">
        <v>15</v>
      </c>
      <c r="H652" t="s">
        <v>16</v>
      </c>
      <c r="I652">
        <v>2027</v>
      </c>
      <c r="J652" t="s">
        <v>17</v>
      </c>
      <c r="K652">
        <v>651</v>
      </c>
      <c r="L652" t="s">
        <v>49</v>
      </c>
      <c r="M652" t="s">
        <v>34</v>
      </c>
    </row>
    <row r="653" spans="1:13" x14ac:dyDescent="0.3">
      <c r="A653">
        <v>14</v>
      </c>
      <c r="B653" t="s">
        <v>525</v>
      </c>
      <c r="C653">
        <v>5</v>
      </c>
      <c r="D653" s="1">
        <v>45023.004166666666</v>
      </c>
      <c r="E653" s="1">
        <v>45023.101388888892</v>
      </c>
      <c r="F653" t="s">
        <v>32</v>
      </c>
      <c r="G653" t="s">
        <v>22</v>
      </c>
      <c r="H653" t="s">
        <v>36</v>
      </c>
      <c r="I653">
        <v>2326</v>
      </c>
      <c r="J653" t="s">
        <v>24</v>
      </c>
      <c r="K653">
        <v>652</v>
      </c>
      <c r="L653" t="s">
        <v>55</v>
      </c>
      <c r="M653" t="s">
        <v>56</v>
      </c>
    </row>
    <row r="654" spans="1:13" x14ac:dyDescent="0.3">
      <c r="A654">
        <v>13</v>
      </c>
      <c r="B654" t="s">
        <v>570</v>
      </c>
      <c r="C654">
        <v>5</v>
      </c>
      <c r="D654" s="1">
        <v>45023.104861111111</v>
      </c>
      <c r="E654" s="1">
        <v>45023.180555555555</v>
      </c>
      <c r="F654" t="s">
        <v>73</v>
      </c>
      <c r="G654" t="s">
        <v>22</v>
      </c>
      <c r="H654" t="s">
        <v>16</v>
      </c>
      <c r="I654">
        <v>3433</v>
      </c>
      <c r="J654" t="s">
        <v>17</v>
      </c>
      <c r="K654">
        <v>653</v>
      </c>
      <c r="L654" t="s">
        <v>91</v>
      </c>
      <c r="M654" t="s">
        <v>30</v>
      </c>
    </row>
    <row r="655" spans="1:13" x14ac:dyDescent="0.3">
      <c r="A655">
        <v>12</v>
      </c>
      <c r="B655" t="s">
        <v>571</v>
      </c>
      <c r="C655">
        <v>5</v>
      </c>
      <c r="D655" s="1">
        <v>45023.001388888886</v>
      </c>
      <c r="E655" s="1">
        <v>45023.072222222225</v>
      </c>
      <c r="F655" t="s">
        <v>21</v>
      </c>
      <c r="G655" t="s">
        <v>15</v>
      </c>
      <c r="H655" t="s">
        <v>16</v>
      </c>
      <c r="I655">
        <v>2398</v>
      </c>
      <c r="J655" t="s">
        <v>24</v>
      </c>
      <c r="K655">
        <v>654</v>
      </c>
      <c r="L655" t="s">
        <v>55</v>
      </c>
      <c r="M655" t="s">
        <v>92</v>
      </c>
    </row>
    <row r="656" spans="1:13" x14ac:dyDescent="0.3">
      <c r="A656">
        <v>5</v>
      </c>
      <c r="B656" t="s">
        <v>215</v>
      </c>
      <c r="C656">
        <v>4</v>
      </c>
      <c r="D656" s="1">
        <v>45023.052083333336</v>
      </c>
      <c r="E656" s="1">
        <v>45023.200694444444</v>
      </c>
      <c r="F656" t="s">
        <v>21</v>
      </c>
      <c r="G656" t="s">
        <v>22</v>
      </c>
      <c r="H656" t="s">
        <v>23</v>
      </c>
      <c r="I656">
        <v>217</v>
      </c>
      <c r="J656" t="s">
        <v>28</v>
      </c>
      <c r="K656">
        <v>655</v>
      </c>
      <c r="L656" t="s">
        <v>25</v>
      </c>
      <c r="M656" t="s">
        <v>56</v>
      </c>
    </row>
    <row r="657" spans="1:13" x14ac:dyDescent="0.3">
      <c r="A657">
        <v>19</v>
      </c>
      <c r="B657" t="s">
        <v>572</v>
      </c>
      <c r="C657">
        <v>6</v>
      </c>
      <c r="D657" s="1">
        <v>45023.15</v>
      </c>
      <c r="E657" s="1">
        <v>45023.277777777781</v>
      </c>
      <c r="F657" t="s">
        <v>73</v>
      </c>
      <c r="G657" t="s">
        <v>15</v>
      </c>
      <c r="H657" t="s">
        <v>16</v>
      </c>
      <c r="I657">
        <v>3123</v>
      </c>
      <c r="J657" t="s">
        <v>28</v>
      </c>
      <c r="K657">
        <v>656</v>
      </c>
      <c r="L657" t="s">
        <v>49</v>
      </c>
      <c r="M657" t="s">
        <v>89</v>
      </c>
    </row>
    <row r="658" spans="1:13" x14ac:dyDescent="0.3">
      <c r="A658">
        <v>1</v>
      </c>
      <c r="B658" t="s">
        <v>573</v>
      </c>
      <c r="C658">
        <v>2</v>
      </c>
      <c r="D658" s="1">
        <v>45023.035416666666</v>
      </c>
      <c r="E658" s="1">
        <v>45023.171527777777</v>
      </c>
      <c r="F658" t="s">
        <v>73</v>
      </c>
      <c r="G658" t="s">
        <v>22</v>
      </c>
      <c r="H658" t="s">
        <v>23</v>
      </c>
      <c r="I658">
        <v>442</v>
      </c>
      <c r="J658" t="s">
        <v>28</v>
      </c>
      <c r="K658">
        <v>657</v>
      </c>
      <c r="L658" t="s">
        <v>33</v>
      </c>
      <c r="M658" t="s">
        <v>34</v>
      </c>
    </row>
    <row r="659" spans="1:13" x14ac:dyDescent="0.3">
      <c r="A659">
        <v>19</v>
      </c>
      <c r="B659" t="s">
        <v>574</v>
      </c>
      <c r="C659">
        <v>5</v>
      </c>
      <c r="D659" s="1">
        <v>45023.071527777778</v>
      </c>
      <c r="E659" s="1">
        <v>45023.209722222222</v>
      </c>
      <c r="F659" t="s">
        <v>21</v>
      </c>
      <c r="G659" t="s">
        <v>48</v>
      </c>
      <c r="H659" t="s">
        <v>23</v>
      </c>
      <c r="I659">
        <v>3127</v>
      </c>
      <c r="J659" t="s">
        <v>28</v>
      </c>
      <c r="K659">
        <v>658</v>
      </c>
      <c r="L659" t="s">
        <v>25</v>
      </c>
      <c r="M659" t="s">
        <v>105</v>
      </c>
    </row>
    <row r="660" spans="1:13" x14ac:dyDescent="0.3">
      <c r="A660">
        <v>9</v>
      </c>
      <c r="B660" t="s">
        <v>117</v>
      </c>
      <c r="C660">
        <v>4</v>
      </c>
      <c r="D660" s="1">
        <v>45023.118055555555</v>
      </c>
      <c r="E660" s="1">
        <v>45023.168749999997</v>
      </c>
      <c r="F660" t="s">
        <v>14</v>
      </c>
      <c r="G660" t="s">
        <v>22</v>
      </c>
      <c r="H660" t="s">
        <v>16</v>
      </c>
      <c r="I660">
        <v>3524</v>
      </c>
      <c r="J660" t="s">
        <v>24</v>
      </c>
      <c r="K660">
        <v>659</v>
      </c>
      <c r="L660" t="s">
        <v>18</v>
      </c>
      <c r="M660" t="s">
        <v>26</v>
      </c>
    </row>
    <row r="661" spans="1:13" x14ac:dyDescent="0.3">
      <c r="A661">
        <v>19</v>
      </c>
      <c r="B661" t="s">
        <v>575</v>
      </c>
      <c r="C661">
        <v>4</v>
      </c>
      <c r="D661" s="1">
        <v>45023.080555555556</v>
      </c>
      <c r="E661" s="1">
        <v>45023.243750000001</v>
      </c>
      <c r="F661" t="s">
        <v>32</v>
      </c>
      <c r="G661" t="s">
        <v>48</v>
      </c>
      <c r="H661" t="s">
        <v>16</v>
      </c>
      <c r="I661">
        <v>1591</v>
      </c>
      <c r="J661" t="s">
        <v>28</v>
      </c>
      <c r="K661">
        <v>660</v>
      </c>
      <c r="L661" t="s">
        <v>25</v>
      </c>
      <c r="M661" t="s">
        <v>53</v>
      </c>
    </row>
    <row r="662" spans="1:13" x14ac:dyDescent="0.3">
      <c r="A662">
        <v>16</v>
      </c>
      <c r="B662" t="s">
        <v>315</v>
      </c>
      <c r="C662">
        <v>4</v>
      </c>
      <c r="D662" s="1">
        <v>45023.140277777777</v>
      </c>
      <c r="E662" s="1">
        <v>45023.286111111112</v>
      </c>
      <c r="F662" t="s">
        <v>14</v>
      </c>
      <c r="G662" t="s">
        <v>15</v>
      </c>
      <c r="H662" t="s">
        <v>16</v>
      </c>
      <c r="I662">
        <v>3254</v>
      </c>
      <c r="J662" t="s">
        <v>24</v>
      </c>
      <c r="K662">
        <v>661</v>
      </c>
      <c r="L662" t="s">
        <v>49</v>
      </c>
      <c r="M662" t="s">
        <v>89</v>
      </c>
    </row>
    <row r="663" spans="1:13" x14ac:dyDescent="0.3">
      <c r="A663">
        <v>15</v>
      </c>
      <c r="B663" t="s">
        <v>576</v>
      </c>
      <c r="C663">
        <v>4</v>
      </c>
      <c r="D663" s="1">
        <v>45023.084027777775</v>
      </c>
      <c r="E663" s="1">
        <v>45023.209722222222</v>
      </c>
      <c r="F663" t="s">
        <v>73</v>
      </c>
      <c r="G663" t="s">
        <v>22</v>
      </c>
      <c r="H663" t="s">
        <v>16</v>
      </c>
      <c r="I663">
        <v>1164</v>
      </c>
      <c r="J663" t="s">
        <v>17</v>
      </c>
      <c r="K663">
        <v>662</v>
      </c>
      <c r="L663" t="s">
        <v>29</v>
      </c>
      <c r="M663" t="s">
        <v>75</v>
      </c>
    </row>
    <row r="664" spans="1:13" x14ac:dyDescent="0.3">
      <c r="A664">
        <v>3</v>
      </c>
      <c r="B664" t="s">
        <v>577</v>
      </c>
      <c r="C664">
        <v>1</v>
      </c>
      <c r="D664" s="1">
        <v>45023.04791666667</v>
      </c>
      <c r="E664" s="1">
        <v>45023.157638888886</v>
      </c>
      <c r="F664" t="s">
        <v>73</v>
      </c>
      <c r="G664" t="s">
        <v>22</v>
      </c>
      <c r="H664" t="s">
        <v>23</v>
      </c>
      <c r="I664">
        <v>418</v>
      </c>
      <c r="J664" t="s">
        <v>24</v>
      </c>
      <c r="K664">
        <v>663</v>
      </c>
      <c r="L664" t="s">
        <v>59</v>
      </c>
      <c r="M664" t="s">
        <v>46</v>
      </c>
    </row>
    <row r="665" spans="1:13" x14ac:dyDescent="0.3">
      <c r="A665">
        <v>20</v>
      </c>
      <c r="B665" t="s">
        <v>578</v>
      </c>
      <c r="C665">
        <v>6</v>
      </c>
      <c r="D665" s="1">
        <v>45023.065972222219</v>
      </c>
      <c r="E665" s="1">
        <v>45023.161805555559</v>
      </c>
      <c r="F665" t="s">
        <v>14</v>
      </c>
      <c r="G665" t="s">
        <v>48</v>
      </c>
      <c r="H665" t="s">
        <v>36</v>
      </c>
      <c r="I665">
        <v>3127</v>
      </c>
      <c r="J665" t="s">
        <v>28</v>
      </c>
      <c r="K665">
        <v>664</v>
      </c>
      <c r="L665" t="s">
        <v>37</v>
      </c>
      <c r="M665" t="s">
        <v>46</v>
      </c>
    </row>
    <row r="666" spans="1:13" x14ac:dyDescent="0.3">
      <c r="A666">
        <v>6</v>
      </c>
      <c r="B666" t="s">
        <v>384</v>
      </c>
      <c r="C666">
        <v>1</v>
      </c>
      <c r="D666" s="1">
        <v>45023.086805555555</v>
      </c>
      <c r="E666" s="1">
        <v>45023.24722222222</v>
      </c>
      <c r="F666" t="s">
        <v>21</v>
      </c>
      <c r="G666" t="s">
        <v>22</v>
      </c>
      <c r="H666" t="s">
        <v>16</v>
      </c>
      <c r="I666">
        <v>2532</v>
      </c>
      <c r="J666" t="s">
        <v>24</v>
      </c>
      <c r="K666">
        <v>665</v>
      </c>
      <c r="L666" t="s">
        <v>29</v>
      </c>
      <c r="M666" t="s">
        <v>60</v>
      </c>
    </row>
    <row r="667" spans="1:13" x14ac:dyDescent="0.3">
      <c r="A667">
        <v>8</v>
      </c>
      <c r="B667" t="s">
        <v>216</v>
      </c>
      <c r="C667">
        <v>4</v>
      </c>
      <c r="D667" s="1">
        <v>45023.044444444444</v>
      </c>
      <c r="E667" s="1">
        <v>45023.206250000003</v>
      </c>
      <c r="F667" t="s">
        <v>32</v>
      </c>
      <c r="G667" t="s">
        <v>22</v>
      </c>
      <c r="H667" t="s">
        <v>16</v>
      </c>
      <c r="I667">
        <v>1186</v>
      </c>
      <c r="J667" t="s">
        <v>17</v>
      </c>
      <c r="K667">
        <v>666</v>
      </c>
      <c r="L667" t="s">
        <v>70</v>
      </c>
      <c r="M667" t="s">
        <v>66</v>
      </c>
    </row>
    <row r="668" spans="1:13" x14ac:dyDescent="0.3">
      <c r="A668">
        <v>6</v>
      </c>
      <c r="B668" t="s">
        <v>217</v>
      </c>
      <c r="C668">
        <v>5</v>
      </c>
      <c r="D668" s="1">
        <v>45023.152083333334</v>
      </c>
      <c r="E668" s="1">
        <v>45023.296527777777</v>
      </c>
      <c r="F668" t="s">
        <v>52</v>
      </c>
      <c r="G668" t="s">
        <v>22</v>
      </c>
      <c r="H668" t="s">
        <v>16</v>
      </c>
      <c r="I668">
        <v>2049</v>
      </c>
      <c r="J668" t="s">
        <v>28</v>
      </c>
      <c r="K668">
        <v>667</v>
      </c>
      <c r="L668" t="s">
        <v>18</v>
      </c>
      <c r="M668" t="s">
        <v>44</v>
      </c>
    </row>
    <row r="669" spans="1:13" x14ac:dyDescent="0.3">
      <c r="A669">
        <v>12</v>
      </c>
      <c r="B669" t="s">
        <v>391</v>
      </c>
      <c r="C669">
        <v>4</v>
      </c>
      <c r="D669" s="1">
        <v>45023.071527777778</v>
      </c>
      <c r="E669" s="1">
        <v>45023.195138888892</v>
      </c>
      <c r="F669" t="s">
        <v>73</v>
      </c>
      <c r="G669" t="s">
        <v>48</v>
      </c>
      <c r="H669" t="s">
        <v>16</v>
      </c>
      <c r="I669">
        <v>1861</v>
      </c>
      <c r="J669" t="s">
        <v>28</v>
      </c>
      <c r="K669">
        <v>668</v>
      </c>
      <c r="L669" t="s">
        <v>29</v>
      </c>
      <c r="M669" t="s">
        <v>71</v>
      </c>
    </row>
    <row r="670" spans="1:13" x14ac:dyDescent="0.3">
      <c r="A670">
        <v>10</v>
      </c>
      <c r="B670" t="s">
        <v>579</v>
      </c>
      <c r="C670">
        <v>4</v>
      </c>
      <c r="D670" s="1">
        <v>45023.042361111111</v>
      </c>
      <c r="E670" s="1">
        <v>45023.19027777778</v>
      </c>
      <c r="F670" t="s">
        <v>52</v>
      </c>
      <c r="G670" t="s">
        <v>22</v>
      </c>
      <c r="H670" t="s">
        <v>16</v>
      </c>
      <c r="I670">
        <v>1068</v>
      </c>
      <c r="J670" t="s">
        <v>17</v>
      </c>
      <c r="K670">
        <v>669</v>
      </c>
      <c r="L670" t="s">
        <v>91</v>
      </c>
      <c r="M670" t="s">
        <v>56</v>
      </c>
    </row>
    <row r="671" spans="1:13" x14ac:dyDescent="0.3">
      <c r="A671">
        <v>16</v>
      </c>
      <c r="B671" t="s">
        <v>580</v>
      </c>
      <c r="C671">
        <v>6</v>
      </c>
      <c r="D671" s="1">
        <v>45023.077777777777</v>
      </c>
      <c r="E671" s="1">
        <v>45023.133333333331</v>
      </c>
      <c r="F671" t="s">
        <v>32</v>
      </c>
      <c r="G671" t="s">
        <v>22</v>
      </c>
      <c r="H671" t="s">
        <v>23</v>
      </c>
      <c r="I671">
        <v>3793</v>
      </c>
      <c r="J671" t="s">
        <v>24</v>
      </c>
      <c r="K671">
        <v>670</v>
      </c>
      <c r="L671" t="s">
        <v>29</v>
      </c>
      <c r="M671" t="s">
        <v>89</v>
      </c>
    </row>
    <row r="672" spans="1:13" x14ac:dyDescent="0.3">
      <c r="A672">
        <v>17</v>
      </c>
      <c r="B672" t="s">
        <v>367</v>
      </c>
      <c r="C672">
        <v>3</v>
      </c>
      <c r="D672" s="1">
        <v>45023.095833333333</v>
      </c>
      <c r="E672" s="1">
        <v>45023.145833333336</v>
      </c>
      <c r="F672" t="s">
        <v>52</v>
      </c>
      <c r="G672" t="s">
        <v>22</v>
      </c>
      <c r="H672" t="s">
        <v>23</v>
      </c>
      <c r="I672">
        <v>322</v>
      </c>
      <c r="J672" t="s">
        <v>28</v>
      </c>
      <c r="K672">
        <v>671</v>
      </c>
      <c r="L672" t="s">
        <v>29</v>
      </c>
      <c r="M672" t="s">
        <v>19</v>
      </c>
    </row>
    <row r="673" spans="1:13" x14ac:dyDescent="0.3">
      <c r="A673">
        <v>12</v>
      </c>
      <c r="B673" t="s">
        <v>308</v>
      </c>
      <c r="C673">
        <v>6</v>
      </c>
      <c r="D673" s="1">
        <v>45023.058333333334</v>
      </c>
      <c r="E673" s="1">
        <v>45023.160416666666</v>
      </c>
      <c r="F673" t="s">
        <v>14</v>
      </c>
      <c r="G673" t="s">
        <v>15</v>
      </c>
      <c r="H673" t="s">
        <v>16</v>
      </c>
      <c r="I673">
        <v>2919</v>
      </c>
      <c r="J673" t="s">
        <v>28</v>
      </c>
      <c r="K673">
        <v>672</v>
      </c>
      <c r="L673" t="s">
        <v>33</v>
      </c>
      <c r="M673" t="s">
        <v>105</v>
      </c>
    </row>
    <row r="674" spans="1:13" x14ac:dyDescent="0.3">
      <c r="A674">
        <v>20</v>
      </c>
      <c r="B674" t="s">
        <v>219</v>
      </c>
      <c r="C674">
        <v>6</v>
      </c>
      <c r="D674" s="1">
        <v>45023.025694444441</v>
      </c>
      <c r="E674" s="1">
        <v>45023.119444444441</v>
      </c>
      <c r="F674" t="s">
        <v>21</v>
      </c>
      <c r="G674" t="s">
        <v>22</v>
      </c>
      <c r="H674" t="s">
        <v>16</v>
      </c>
      <c r="I674">
        <v>365</v>
      </c>
      <c r="J674" t="s">
        <v>28</v>
      </c>
      <c r="K674">
        <v>673</v>
      </c>
      <c r="L674" t="s">
        <v>91</v>
      </c>
      <c r="M674" t="s">
        <v>34</v>
      </c>
    </row>
    <row r="675" spans="1:13" x14ac:dyDescent="0.3">
      <c r="A675">
        <v>1</v>
      </c>
      <c r="B675" t="s">
        <v>581</v>
      </c>
      <c r="C675">
        <v>3</v>
      </c>
      <c r="D675" s="1">
        <v>45023.002083333333</v>
      </c>
      <c r="E675" s="1">
        <v>45023.0625</v>
      </c>
      <c r="F675" t="s">
        <v>21</v>
      </c>
      <c r="G675" t="s">
        <v>15</v>
      </c>
      <c r="H675" t="s">
        <v>16</v>
      </c>
      <c r="I675">
        <v>4129</v>
      </c>
      <c r="J675" t="s">
        <v>17</v>
      </c>
      <c r="K675">
        <v>674</v>
      </c>
      <c r="L675" t="s">
        <v>70</v>
      </c>
      <c r="M675" t="s">
        <v>53</v>
      </c>
    </row>
    <row r="676" spans="1:13" x14ac:dyDescent="0.3">
      <c r="A676">
        <v>5</v>
      </c>
      <c r="B676" t="s">
        <v>582</v>
      </c>
      <c r="C676">
        <v>2</v>
      </c>
      <c r="D676" s="1">
        <v>45023.037499999999</v>
      </c>
      <c r="E676" s="1">
        <v>45023.189583333333</v>
      </c>
      <c r="F676" t="s">
        <v>32</v>
      </c>
      <c r="G676" t="s">
        <v>15</v>
      </c>
      <c r="H676" t="s">
        <v>23</v>
      </c>
      <c r="I676">
        <v>3074</v>
      </c>
      <c r="J676" t="s">
        <v>28</v>
      </c>
      <c r="K676">
        <v>675</v>
      </c>
      <c r="L676" t="s">
        <v>62</v>
      </c>
      <c r="M676" t="s">
        <v>60</v>
      </c>
    </row>
    <row r="677" spans="1:13" x14ac:dyDescent="0.3">
      <c r="A677">
        <v>7</v>
      </c>
      <c r="B677" t="s">
        <v>374</v>
      </c>
      <c r="C677">
        <v>6</v>
      </c>
      <c r="D677" s="1">
        <v>45023.019444444442</v>
      </c>
      <c r="E677" s="1">
        <v>45023.15625</v>
      </c>
      <c r="F677" t="s">
        <v>52</v>
      </c>
      <c r="G677" t="s">
        <v>22</v>
      </c>
      <c r="H677" t="s">
        <v>16</v>
      </c>
      <c r="I677">
        <v>416</v>
      </c>
      <c r="J677" t="s">
        <v>24</v>
      </c>
      <c r="K677">
        <v>676</v>
      </c>
      <c r="L677" t="s">
        <v>62</v>
      </c>
      <c r="M677" t="s">
        <v>56</v>
      </c>
    </row>
    <row r="678" spans="1:13" x14ac:dyDescent="0.3">
      <c r="A678">
        <v>14</v>
      </c>
      <c r="B678" t="s">
        <v>103</v>
      </c>
      <c r="C678">
        <v>6</v>
      </c>
      <c r="D678" s="1">
        <v>45023.023611111108</v>
      </c>
      <c r="E678" s="1">
        <v>45023.109027777777</v>
      </c>
      <c r="F678" t="s">
        <v>32</v>
      </c>
      <c r="G678" t="s">
        <v>22</v>
      </c>
      <c r="H678" t="s">
        <v>16</v>
      </c>
      <c r="I678">
        <v>1257</v>
      </c>
      <c r="J678" t="s">
        <v>24</v>
      </c>
      <c r="K678">
        <v>677</v>
      </c>
      <c r="L678" t="s">
        <v>29</v>
      </c>
      <c r="M678" t="s">
        <v>66</v>
      </c>
    </row>
    <row r="679" spans="1:13" x14ac:dyDescent="0.3">
      <c r="A679">
        <v>19</v>
      </c>
      <c r="B679" t="s">
        <v>575</v>
      </c>
      <c r="C679">
        <v>1</v>
      </c>
      <c r="D679" s="1">
        <v>45023.125694444447</v>
      </c>
      <c r="E679" s="1">
        <v>45023.223611111112</v>
      </c>
      <c r="F679" t="s">
        <v>52</v>
      </c>
      <c r="G679" t="s">
        <v>22</v>
      </c>
      <c r="H679" t="s">
        <v>16</v>
      </c>
      <c r="I679">
        <v>2676</v>
      </c>
      <c r="J679" t="s">
        <v>24</v>
      </c>
      <c r="K679">
        <v>678</v>
      </c>
      <c r="L679" t="s">
        <v>33</v>
      </c>
      <c r="M679" t="s">
        <v>26</v>
      </c>
    </row>
    <row r="680" spans="1:13" x14ac:dyDescent="0.3">
      <c r="A680">
        <v>9</v>
      </c>
      <c r="B680" t="s">
        <v>130</v>
      </c>
      <c r="C680">
        <v>4</v>
      </c>
      <c r="D680" s="1">
        <v>45023.001388888886</v>
      </c>
      <c r="E680" s="1">
        <v>45023.127083333333</v>
      </c>
      <c r="F680" t="s">
        <v>32</v>
      </c>
      <c r="G680" t="s">
        <v>22</v>
      </c>
      <c r="H680" t="s">
        <v>16</v>
      </c>
      <c r="I680">
        <v>3643</v>
      </c>
      <c r="J680" t="s">
        <v>24</v>
      </c>
      <c r="K680">
        <v>679</v>
      </c>
      <c r="L680" t="s">
        <v>33</v>
      </c>
      <c r="M680" t="s">
        <v>42</v>
      </c>
    </row>
    <row r="681" spans="1:13" x14ac:dyDescent="0.3">
      <c r="A681">
        <v>5</v>
      </c>
      <c r="B681" t="s">
        <v>583</v>
      </c>
      <c r="C681">
        <v>4</v>
      </c>
      <c r="D681" s="1">
        <v>45023.057638888888</v>
      </c>
      <c r="E681" s="1">
        <v>45023.222222222219</v>
      </c>
      <c r="F681" t="s">
        <v>52</v>
      </c>
      <c r="G681" t="s">
        <v>22</v>
      </c>
      <c r="H681" t="s">
        <v>23</v>
      </c>
      <c r="I681">
        <v>1206</v>
      </c>
      <c r="J681" t="s">
        <v>28</v>
      </c>
      <c r="K681">
        <v>680</v>
      </c>
      <c r="L681" t="s">
        <v>70</v>
      </c>
      <c r="M681" t="s">
        <v>46</v>
      </c>
    </row>
    <row r="682" spans="1:13" x14ac:dyDescent="0.3">
      <c r="A682">
        <v>2</v>
      </c>
      <c r="B682" t="s">
        <v>301</v>
      </c>
      <c r="C682">
        <v>4</v>
      </c>
      <c r="D682" s="1">
        <v>45023.12222222222</v>
      </c>
      <c r="E682" s="1">
        <v>45023.284722222219</v>
      </c>
      <c r="F682" t="s">
        <v>14</v>
      </c>
      <c r="G682" t="s">
        <v>22</v>
      </c>
      <c r="H682" t="s">
        <v>36</v>
      </c>
      <c r="I682">
        <v>3707</v>
      </c>
      <c r="J682" t="s">
        <v>17</v>
      </c>
      <c r="K682">
        <v>681</v>
      </c>
      <c r="L682" t="s">
        <v>70</v>
      </c>
      <c r="M682" t="s">
        <v>112</v>
      </c>
    </row>
    <row r="683" spans="1:13" x14ac:dyDescent="0.3">
      <c r="A683">
        <v>1</v>
      </c>
      <c r="B683" t="s">
        <v>218</v>
      </c>
      <c r="C683">
        <v>5</v>
      </c>
      <c r="D683" s="1">
        <v>45023.05972222222</v>
      </c>
      <c r="E683" s="1">
        <v>45023.170138888891</v>
      </c>
      <c r="F683" t="s">
        <v>21</v>
      </c>
      <c r="G683" t="s">
        <v>48</v>
      </c>
      <c r="H683" t="s">
        <v>16</v>
      </c>
      <c r="I683">
        <v>2104</v>
      </c>
      <c r="J683" t="s">
        <v>24</v>
      </c>
      <c r="K683">
        <v>682</v>
      </c>
      <c r="L683" t="s">
        <v>91</v>
      </c>
      <c r="M683" t="s">
        <v>89</v>
      </c>
    </row>
    <row r="684" spans="1:13" x14ac:dyDescent="0.3">
      <c r="A684">
        <v>2</v>
      </c>
      <c r="B684" t="s">
        <v>584</v>
      </c>
      <c r="C684">
        <v>6</v>
      </c>
      <c r="D684" s="1">
        <v>45023.163888888892</v>
      </c>
      <c r="E684" s="1">
        <v>45023.265277777777</v>
      </c>
      <c r="F684" t="s">
        <v>21</v>
      </c>
      <c r="G684" t="s">
        <v>22</v>
      </c>
      <c r="H684" t="s">
        <v>16</v>
      </c>
      <c r="I684">
        <v>4042</v>
      </c>
      <c r="J684" t="s">
        <v>24</v>
      </c>
      <c r="K684">
        <v>683</v>
      </c>
      <c r="L684" t="s">
        <v>37</v>
      </c>
      <c r="M684" t="s">
        <v>92</v>
      </c>
    </row>
    <row r="685" spans="1:13" x14ac:dyDescent="0.3">
      <c r="A685">
        <v>10</v>
      </c>
      <c r="B685" t="s">
        <v>585</v>
      </c>
      <c r="C685">
        <v>6</v>
      </c>
      <c r="D685" s="1">
        <v>45023.145138888889</v>
      </c>
      <c r="E685" s="1">
        <v>45023.194444444445</v>
      </c>
      <c r="F685" t="s">
        <v>14</v>
      </c>
      <c r="G685" t="s">
        <v>15</v>
      </c>
      <c r="H685" t="s">
        <v>16</v>
      </c>
      <c r="I685">
        <v>4815</v>
      </c>
      <c r="J685" t="s">
        <v>24</v>
      </c>
      <c r="K685">
        <v>684</v>
      </c>
      <c r="L685" t="s">
        <v>33</v>
      </c>
      <c r="M685" t="s">
        <v>44</v>
      </c>
    </row>
    <row r="686" spans="1:13" x14ac:dyDescent="0.3">
      <c r="A686">
        <v>5</v>
      </c>
      <c r="B686" t="s">
        <v>219</v>
      </c>
      <c r="C686">
        <v>5</v>
      </c>
      <c r="D686" s="1">
        <v>45023.019444444442</v>
      </c>
      <c r="E686" s="1">
        <v>45023.071527777778</v>
      </c>
      <c r="F686" t="s">
        <v>32</v>
      </c>
      <c r="G686" t="s">
        <v>22</v>
      </c>
      <c r="H686" t="s">
        <v>36</v>
      </c>
      <c r="I686">
        <v>1989</v>
      </c>
      <c r="J686" t="s">
        <v>17</v>
      </c>
      <c r="K686">
        <v>685</v>
      </c>
      <c r="L686" t="s">
        <v>59</v>
      </c>
      <c r="M686" t="s">
        <v>50</v>
      </c>
    </row>
    <row r="687" spans="1:13" x14ac:dyDescent="0.3">
      <c r="A687">
        <v>10</v>
      </c>
      <c r="B687" t="s">
        <v>545</v>
      </c>
      <c r="C687">
        <v>6</v>
      </c>
      <c r="D687" s="1">
        <v>45023.05</v>
      </c>
      <c r="E687" s="1">
        <v>45023.152083333334</v>
      </c>
      <c r="F687" t="s">
        <v>73</v>
      </c>
      <c r="G687" t="s">
        <v>22</v>
      </c>
      <c r="H687" t="s">
        <v>23</v>
      </c>
      <c r="I687">
        <v>1583</v>
      </c>
      <c r="J687" t="s">
        <v>28</v>
      </c>
      <c r="K687">
        <v>686</v>
      </c>
      <c r="L687" t="s">
        <v>70</v>
      </c>
      <c r="M687" t="s">
        <v>56</v>
      </c>
    </row>
    <row r="688" spans="1:13" x14ac:dyDescent="0.3">
      <c r="A688">
        <v>2</v>
      </c>
      <c r="B688" t="s">
        <v>220</v>
      </c>
      <c r="C688">
        <v>6</v>
      </c>
      <c r="D688" s="1">
        <v>45023.07916666667</v>
      </c>
      <c r="E688" s="1">
        <v>45023.23541666667</v>
      </c>
      <c r="F688" t="s">
        <v>14</v>
      </c>
      <c r="G688" t="s">
        <v>22</v>
      </c>
      <c r="H688" t="s">
        <v>23</v>
      </c>
      <c r="I688">
        <v>1053</v>
      </c>
      <c r="J688" t="s">
        <v>17</v>
      </c>
      <c r="K688">
        <v>687</v>
      </c>
      <c r="L688" t="s">
        <v>59</v>
      </c>
      <c r="M688" t="s">
        <v>44</v>
      </c>
    </row>
    <row r="689" spans="1:13" x14ac:dyDescent="0.3">
      <c r="A689">
        <v>3</v>
      </c>
      <c r="B689" t="s">
        <v>221</v>
      </c>
      <c r="C689">
        <v>1</v>
      </c>
      <c r="D689" s="1">
        <v>45023.143055555556</v>
      </c>
      <c r="E689" s="1">
        <v>45023.210416666669</v>
      </c>
      <c r="F689" t="s">
        <v>73</v>
      </c>
      <c r="G689" t="s">
        <v>22</v>
      </c>
      <c r="H689" t="s">
        <v>16</v>
      </c>
      <c r="I689">
        <v>487</v>
      </c>
      <c r="J689" t="s">
        <v>24</v>
      </c>
      <c r="K689">
        <v>688</v>
      </c>
      <c r="L689" t="s">
        <v>49</v>
      </c>
      <c r="M689" t="s">
        <v>26</v>
      </c>
    </row>
    <row r="690" spans="1:13" x14ac:dyDescent="0.3">
      <c r="A690">
        <v>14</v>
      </c>
      <c r="B690" t="s">
        <v>586</v>
      </c>
      <c r="C690">
        <v>1</v>
      </c>
      <c r="D690" s="1">
        <v>45023.025000000001</v>
      </c>
      <c r="E690" s="1">
        <v>45023.098611111112</v>
      </c>
      <c r="F690" t="s">
        <v>73</v>
      </c>
      <c r="G690" t="s">
        <v>22</v>
      </c>
      <c r="H690" t="s">
        <v>16</v>
      </c>
      <c r="I690">
        <v>1025</v>
      </c>
      <c r="J690" t="s">
        <v>24</v>
      </c>
      <c r="K690">
        <v>689</v>
      </c>
      <c r="L690" t="s">
        <v>70</v>
      </c>
      <c r="M690" t="s">
        <v>89</v>
      </c>
    </row>
    <row r="691" spans="1:13" x14ac:dyDescent="0.3">
      <c r="A691">
        <v>15</v>
      </c>
      <c r="B691" t="s">
        <v>516</v>
      </c>
      <c r="C691">
        <v>4</v>
      </c>
      <c r="D691" s="1">
        <v>45023.113194444442</v>
      </c>
      <c r="E691" s="1">
        <v>45023.238194444442</v>
      </c>
      <c r="F691" t="s">
        <v>21</v>
      </c>
      <c r="G691" t="s">
        <v>15</v>
      </c>
      <c r="H691" t="s">
        <v>36</v>
      </c>
      <c r="I691">
        <v>3722</v>
      </c>
      <c r="J691" t="s">
        <v>28</v>
      </c>
      <c r="K691">
        <v>690</v>
      </c>
      <c r="L691" t="s">
        <v>59</v>
      </c>
      <c r="M691" t="s">
        <v>34</v>
      </c>
    </row>
    <row r="692" spans="1:13" x14ac:dyDescent="0.3">
      <c r="A692">
        <v>19</v>
      </c>
      <c r="B692" t="s">
        <v>222</v>
      </c>
      <c r="C692">
        <v>4</v>
      </c>
      <c r="D692" s="1">
        <v>45023.071527777778</v>
      </c>
      <c r="E692" s="1">
        <v>45023.220138888886</v>
      </c>
      <c r="F692" t="s">
        <v>52</v>
      </c>
      <c r="G692" t="s">
        <v>15</v>
      </c>
      <c r="H692" t="s">
        <v>36</v>
      </c>
      <c r="I692">
        <v>139</v>
      </c>
      <c r="J692" t="s">
        <v>24</v>
      </c>
      <c r="K692">
        <v>691</v>
      </c>
      <c r="L692" t="s">
        <v>37</v>
      </c>
      <c r="M692" t="s">
        <v>92</v>
      </c>
    </row>
    <row r="693" spans="1:13" x14ac:dyDescent="0.3">
      <c r="A693">
        <v>9</v>
      </c>
      <c r="B693" t="s">
        <v>352</v>
      </c>
      <c r="C693">
        <v>2</v>
      </c>
      <c r="D693" s="1">
        <v>45023.036805555559</v>
      </c>
      <c r="E693" s="1">
        <v>45023.18472222222</v>
      </c>
      <c r="F693" t="s">
        <v>73</v>
      </c>
      <c r="G693" t="s">
        <v>15</v>
      </c>
      <c r="H693" t="s">
        <v>16</v>
      </c>
      <c r="I693">
        <v>2592</v>
      </c>
      <c r="J693" t="s">
        <v>28</v>
      </c>
      <c r="K693">
        <v>692</v>
      </c>
      <c r="L693" t="s">
        <v>49</v>
      </c>
      <c r="M693" t="s">
        <v>19</v>
      </c>
    </row>
    <row r="694" spans="1:13" x14ac:dyDescent="0.3">
      <c r="A694">
        <v>15</v>
      </c>
      <c r="B694" t="s">
        <v>459</v>
      </c>
      <c r="C694">
        <v>4</v>
      </c>
      <c r="D694" s="1">
        <v>45023.155555555553</v>
      </c>
      <c r="E694" s="1">
        <v>45023.313194444447</v>
      </c>
      <c r="F694" t="s">
        <v>52</v>
      </c>
      <c r="G694" t="s">
        <v>22</v>
      </c>
      <c r="H694" t="s">
        <v>16</v>
      </c>
      <c r="I694">
        <v>2831</v>
      </c>
      <c r="J694" t="s">
        <v>17</v>
      </c>
      <c r="K694">
        <v>693</v>
      </c>
      <c r="L694" t="s">
        <v>62</v>
      </c>
      <c r="M694" t="s">
        <v>44</v>
      </c>
    </row>
    <row r="695" spans="1:13" x14ac:dyDescent="0.3">
      <c r="A695">
        <v>5</v>
      </c>
      <c r="B695" t="s">
        <v>195</v>
      </c>
      <c r="C695">
        <v>4</v>
      </c>
      <c r="D695" s="1">
        <v>45023.07708333333</v>
      </c>
      <c r="E695" s="1">
        <v>45023.217361111114</v>
      </c>
      <c r="F695" t="s">
        <v>32</v>
      </c>
      <c r="G695" t="s">
        <v>22</v>
      </c>
      <c r="H695" t="s">
        <v>16</v>
      </c>
      <c r="I695">
        <v>2366</v>
      </c>
      <c r="J695" t="s">
        <v>17</v>
      </c>
      <c r="K695">
        <v>694</v>
      </c>
      <c r="L695" t="s">
        <v>91</v>
      </c>
      <c r="M695" t="s">
        <v>66</v>
      </c>
    </row>
    <row r="696" spans="1:13" x14ac:dyDescent="0.3">
      <c r="A696">
        <v>9</v>
      </c>
      <c r="B696" t="s">
        <v>408</v>
      </c>
      <c r="C696">
        <v>1</v>
      </c>
      <c r="D696" s="1">
        <v>45023.084722222222</v>
      </c>
      <c r="E696" s="1">
        <v>45023.230555555558</v>
      </c>
      <c r="F696" t="s">
        <v>52</v>
      </c>
      <c r="G696" t="s">
        <v>22</v>
      </c>
      <c r="H696" t="s">
        <v>16</v>
      </c>
      <c r="I696">
        <v>1823</v>
      </c>
      <c r="J696" t="s">
        <v>24</v>
      </c>
      <c r="K696">
        <v>695</v>
      </c>
      <c r="L696" t="s">
        <v>91</v>
      </c>
      <c r="M696" t="s">
        <v>30</v>
      </c>
    </row>
    <row r="697" spans="1:13" x14ac:dyDescent="0.3">
      <c r="A697">
        <v>2</v>
      </c>
      <c r="B697" t="s">
        <v>223</v>
      </c>
      <c r="C697">
        <v>6</v>
      </c>
      <c r="D697" s="1">
        <v>45023.094444444447</v>
      </c>
      <c r="E697" s="1">
        <v>45023.257638888892</v>
      </c>
      <c r="F697" t="s">
        <v>73</v>
      </c>
      <c r="G697" t="s">
        <v>15</v>
      </c>
      <c r="H697" t="s">
        <v>16</v>
      </c>
      <c r="I697">
        <v>1876</v>
      </c>
      <c r="J697" t="s">
        <v>24</v>
      </c>
      <c r="K697">
        <v>696</v>
      </c>
      <c r="L697" t="s">
        <v>18</v>
      </c>
      <c r="M697" t="s">
        <v>89</v>
      </c>
    </row>
    <row r="698" spans="1:13" x14ac:dyDescent="0.3">
      <c r="A698">
        <v>4</v>
      </c>
      <c r="B698" t="s">
        <v>587</v>
      </c>
      <c r="C698">
        <v>1</v>
      </c>
      <c r="D698" s="1">
        <v>45023.158333333333</v>
      </c>
      <c r="E698" s="1">
        <v>45023.279166666667</v>
      </c>
      <c r="F698" t="s">
        <v>32</v>
      </c>
      <c r="G698" t="s">
        <v>22</v>
      </c>
      <c r="H698" t="s">
        <v>16</v>
      </c>
      <c r="I698">
        <v>3435</v>
      </c>
      <c r="J698" t="s">
        <v>28</v>
      </c>
      <c r="K698">
        <v>697</v>
      </c>
      <c r="L698" t="s">
        <v>55</v>
      </c>
      <c r="M698" t="s">
        <v>89</v>
      </c>
    </row>
    <row r="699" spans="1:13" x14ac:dyDescent="0.3">
      <c r="A699">
        <v>19</v>
      </c>
      <c r="B699" t="s">
        <v>177</v>
      </c>
      <c r="C699">
        <v>4</v>
      </c>
      <c r="D699" s="1">
        <v>45023.104166666664</v>
      </c>
      <c r="E699" s="1">
        <v>45023.267361111109</v>
      </c>
      <c r="F699" t="s">
        <v>73</v>
      </c>
      <c r="G699" t="s">
        <v>15</v>
      </c>
      <c r="H699" t="s">
        <v>16</v>
      </c>
      <c r="I699">
        <v>3989</v>
      </c>
      <c r="J699" t="s">
        <v>17</v>
      </c>
      <c r="K699">
        <v>698</v>
      </c>
      <c r="L699" t="s">
        <v>29</v>
      </c>
      <c r="M699" t="s">
        <v>50</v>
      </c>
    </row>
    <row r="700" spans="1:13" x14ac:dyDescent="0.3">
      <c r="A700">
        <v>8</v>
      </c>
      <c r="B700" t="s">
        <v>224</v>
      </c>
      <c r="C700">
        <v>6</v>
      </c>
      <c r="D700" s="1">
        <v>45023.065972222219</v>
      </c>
      <c r="E700" s="1">
        <v>45023.12222222222</v>
      </c>
      <c r="F700" t="s">
        <v>32</v>
      </c>
      <c r="G700" t="s">
        <v>22</v>
      </c>
      <c r="H700" t="s">
        <v>16</v>
      </c>
      <c r="I700">
        <v>3844</v>
      </c>
      <c r="J700" t="s">
        <v>28</v>
      </c>
      <c r="K700">
        <v>699</v>
      </c>
      <c r="L700" t="s">
        <v>59</v>
      </c>
      <c r="M700" t="s">
        <v>26</v>
      </c>
    </row>
    <row r="701" spans="1:13" x14ac:dyDescent="0.3">
      <c r="A701">
        <v>8</v>
      </c>
      <c r="B701" t="s">
        <v>588</v>
      </c>
      <c r="C701">
        <v>2</v>
      </c>
      <c r="D701" s="1">
        <v>45023.015972222223</v>
      </c>
      <c r="E701" s="1">
        <v>45023.118055555555</v>
      </c>
      <c r="F701" t="s">
        <v>32</v>
      </c>
      <c r="G701" t="s">
        <v>22</v>
      </c>
      <c r="H701" t="s">
        <v>16</v>
      </c>
      <c r="I701">
        <v>2166</v>
      </c>
      <c r="J701" t="s">
        <v>28</v>
      </c>
      <c r="K701">
        <v>700</v>
      </c>
      <c r="L701" t="s">
        <v>49</v>
      </c>
      <c r="M701" t="s">
        <v>38</v>
      </c>
    </row>
    <row r="702" spans="1:13" x14ac:dyDescent="0.3">
      <c r="A702">
        <v>19</v>
      </c>
      <c r="B702" t="s">
        <v>589</v>
      </c>
      <c r="C702">
        <v>5</v>
      </c>
      <c r="D702" s="1">
        <v>45023.138888888891</v>
      </c>
      <c r="E702" s="1">
        <v>45023.239583333336</v>
      </c>
      <c r="F702" t="s">
        <v>14</v>
      </c>
      <c r="G702" t="s">
        <v>22</v>
      </c>
      <c r="H702" t="s">
        <v>16</v>
      </c>
      <c r="I702">
        <v>3983</v>
      </c>
      <c r="J702" t="s">
        <v>17</v>
      </c>
      <c r="K702">
        <v>701</v>
      </c>
      <c r="L702" t="s">
        <v>29</v>
      </c>
      <c r="M702" t="s">
        <v>112</v>
      </c>
    </row>
    <row r="703" spans="1:13" x14ac:dyDescent="0.3">
      <c r="A703">
        <v>13</v>
      </c>
      <c r="B703" t="s">
        <v>590</v>
      </c>
      <c r="C703">
        <v>2</v>
      </c>
      <c r="D703" s="1">
        <v>45023.104166666664</v>
      </c>
      <c r="E703" s="1">
        <v>45023.21875</v>
      </c>
      <c r="F703" t="s">
        <v>52</v>
      </c>
      <c r="G703" t="s">
        <v>15</v>
      </c>
      <c r="H703" t="s">
        <v>16</v>
      </c>
      <c r="I703">
        <v>4707</v>
      </c>
      <c r="J703" t="s">
        <v>17</v>
      </c>
      <c r="K703">
        <v>702</v>
      </c>
      <c r="L703" t="s">
        <v>25</v>
      </c>
      <c r="M703" t="s">
        <v>46</v>
      </c>
    </row>
    <row r="704" spans="1:13" x14ac:dyDescent="0.3">
      <c r="A704">
        <v>9</v>
      </c>
      <c r="B704" t="s">
        <v>225</v>
      </c>
      <c r="C704">
        <v>5</v>
      </c>
      <c r="D704" s="1">
        <v>45023.011805555558</v>
      </c>
      <c r="E704" s="1">
        <v>45023.09652777778</v>
      </c>
      <c r="F704" t="s">
        <v>73</v>
      </c>
      <c r="G704" t="s">
        <v>22</v>
      </c>
      <c r="H704" t="s">
        <v>16</v>
      </c>
      <c r="I704">
        <v>2224</v>
      </c>
      <c r="J704" t="s">
        <v>24</v>
      </c>
      <c r="K704">
        <v>703</v>
      </c>
      <c r="L704" t="s">
        <v>91</v>
      </c>
      <c r="M704" t="s">
        <v>42</v>
      </c>
    </row>
    <row r="705" spans="1:13" x14ac:dyDescent="0.3">
      <c r="A705">
        <v>13</v>
      </c>
      <c r="B705" t="s">
        <v>226</v>
      </c>
      <c r="C705">
        <v>6</v>
      </c>
      <c r="D705" s="1">
        <v>45023.069444444445</v>
      </c>
      <c r="E705" s="1">
        <v>45023.186805555553</v>
      </c>
      <c r="F705" t="s">
        <v>32</v>
      </c>
      <c r="G705" t="s">
        <v>15</v>
      </c>
      <c r="H705" t="s">
        <v>16</v>
      </c>
      <c r="I705">
        <v>3329</v>
      </c>
      <c r="J705" t="s">
        <v>28</v>
      </c>
      <c r="K705">
        <v>704</v>
      </c>
      <c r="L705" t="s">
        <v>29</v>
      </c>
      <c r="M705" t="s">
        <v>46</v>
      </c>
    </row>
    <row r="706" spans="1:13" x14ac:dyDescent="0.3">
      <c r="A706">
        <v>12</v>
      </c>
      <c r="B706" t="s">
        <v>200</v>
      </c>
      <c r="C706">
        <v>3</v>
      </c>
      <c r="D706" s="1">
        <v>45023.074999999997</v>
      </c>
      <c r="E706" s="1">
        <v>45023.120138888888</v>
      </c>
      <c r="F706" t="s">
        <v>32</v>
      </c>
      <c r="G706" t="s">
        <v>22</v>
      </c>
      <c r="H706" t="s">
        <v>16</v>
      </c>
      <c r="I706">
        <v>4307</v>
      </c>
      <c r="J706" t="s">
        <v>17</v>
      </c>
      <c r="K706">
        <v>705</v>
      </c>
      <c r="L706" t="s">
        <v>91</v>
      </c>
      <c r="M706" t="s">
        <v>66</v>
      </c>
    </row>
    <row r="707" spans="1:13" x14ac:dyDescent="0.3">
      <c r="A707">
        <v>20</v>
      </c>
      <c r="B707" t="s">
        <v>227</v>
      </c>
      <c r="C707">
        <v>6</v>
      </c>
      <c r="D707" s="1">
        <v>45023.051388888889</v>
      </c>
      <c r="E707" s="1">
        <v>45023.20416666667</v>
      </c>
      <c r="F707" t="s">
        <v>73</v>
      </c>
      <c r="G707" t="s">
        <v>22</v>
      </c>
      <c r="H707" t="s">
        <v>16</v>
      </c>
      <c r="I707">
        <v>4445</v>
      </c>
      <c r="J707" t="s">
        <v>24</v>
      </c>
      <c r="K707">
        <v>706</v>
      </c>
      <c r="L707" t="s">
        <v>49</v>
      </c>
      <c r="M707" t="s">
        <v>46</v>
      </c>
    </row>
    <row r="708" spans="1:13" x14ac:dyDescent="0.3">
      <c r="A708">
        <v>15</v>
      </c>
      <c r="B708" t="s">
        <v>591</v>
      </c>
      <c r="C708">
        <v>1</v>
      </c>
      <c r="D708" s="1">
        <v>45023.128472222219</v>
      </c>
      <c r="E708" s="1">
        <v>45023.224305555559</v>
      </c>
      <c r="F708" t="s">
        <v>32</v>
      </c>
      <c r="G708" t="s">
        <v>48</v>
      </c>
      <c r="H708" t="s">
        <v>16</v>
      </c>
      <c r="I708">
        <v>4039</v>
      </c>
      <c r="J708" t="s">
        <v>28</v>
      </c>
      <c r="K708">
        <v>707</v>
      </c>
      <c r="L708" t="s">
        <v>55</v>
      </c>
      <c r="M708" t="s">
        <v>105</v>
      </c>
    </row>
    <row r="709" spans="1:13" x14ac:dyDescent="0.3">
      <c r="A709">
        <v>5</v>
      </c>
      <c r="B709" t="s">
        <v>228</v>
      </c>
      <c r="C709">
        <v>2</v>
      </c>
      <c r="D709" s="1">
        <v>45023.15</v>
      </c>
      <c r="E709" s="1">
        <v>45023.308333333334</v>
      </c>
      <c r="F709" t="s">
        <v>52</v>
      </c>
      <c r="G709" t="s">
        <v>15</v>
      </c>
      <c r="H709" t="s">
        <v>16</v>
      </c>
      <c r="I709">
        <v>418</v>
      </c>
      <c r="J709" t="s">
        <v>24</v>
      </c>
      <c r="K709">
        <v>708</v>
      </c>
      <c r="L709" t="s">
        <v>59</v>
      </c>
      <c r="M709" t="s">
        <v>50</v>
      </c>
    </row>
    <row r="710" spans="1:13" x14ac:dyDescent="0.3">
      <c r="A710">
        <v>8</v>
      </c>
      <c r="B710" t="s">
        <v>201</v>
      </c>
      <c r="C710">
        <v>4</v>
      </c>
      <c r="D710" s="1">
        <v>45023.079861111109</v>
      </c>
      <c r="E710" s="1">
        <v>45023.152777777781</v>
      </c>
      <c r="F710" t="s">
        <v>32</v>
      </c>
      <c r="G710" t="s">
        <v>22</v>
      </c>
      <c r="H710" t="s">
        <v>23</v>
      </c>
      <c r="I710">
        <v>2615</v>
      </c>
      <c r="J710" t="s">
        <v>24</v>
      </c>
      <c r="K710">
        <v>709</v>
      </c>
      <c r="L710" t="s">
        <v>62</v>
      </c>
      <c r="M710" t="s">
        <v>42</v>
      </c>
    </row>
    <row r="711" spans="1:13" x14ac:dyDescent="0.3">
      <c r="A711">
        <v>18</v>
      </c>
      <c r="B711" t="s">
        <v>592</v>
      </c>
      <c r="C711">
        <v>1</v>
      </c>
      <c r="D711" s="1">
        <v>45023.102777777778</v>
      </c>
      <c r="E711" s="1">
        <v>45023.151388888888</v>
      </c>
      <c r="F711" t="s">
        <v>21</v>
      </c>
      <c r="G711" t="s">
        <v>22</v>
      </c>
      <c r="H711" t="s">
        <v>16</v>
      </c>
      <c r="I711">
        <v>2843</v>
      </c>
      <c r="J711" t="s">
        <v>24</v>
      </c>
      <c r="K711">
        <v>710</v>
      </c>
      <c r="L711" t="s">
        <v>59</v>
      </c>
      <c r="M711" t="s">
        <v>66</v>
      </c>
    </row>
    <row r="712" spans="1:13" x14ac:dyDescent="0.3">
      <c r="A712">
        <v>20</v>
      </c>
      <c r="B712" t="s">
        <v>173</v>
      </c>
      <c r="C712">
        <v>6</v>
      </c>
      <c r="D712" s="1">
        <v>45023.07708333333</v>
      </c>
      <c r="E712" s="1">
        <v>45023.220833333333</v>
      </c>
      <c r="F712" t="s">
        <v>73</v>
      </c>
      <c r="G712" t="s">
        <v>22</v>
      </c>
      <c r="H712" t="s">
        <v>36</v>
      </c>
      <c r="I712">
        <v>4974</v>
      </c>
      <c r="J712" t="s">
        <v>24</v>
      </c>
      <c r="K712">
        <v>711</v>
      </c>
      <c r="L712" t="s">
        <v>55</v>
      </c>
      <c r="M712" t="s">
        <v>38</v>
      </c>
    </row>
    <row r="713" spans="1:13" x14ac:dyDescent="0.3">
      <c r="A713">
        <v>10</v>
      </c>
      <c r="B713" t="s">
        <v>229</v>
      </c>
      <c r="C713">
        <v>5</v>
      </c>
      <c r="D713" s="1">
        <v>45023.004166666666</v>
      </c>
      <c r="E713" s="1">
        <v>45023.102083333331</v>
      </c>
      <c r="F713" t="s">
        <v>32</v>
      </c>
      <c r="G713" t="s">
        <v>48</v>
      </c>
      <c r="H713" t="s">
        <v>23</v>
      </c>
      <c r="I713">
        <v>4221</v>
      </c>
      <c r="J713" t="s">
        <v>28</v>
      </c>
      <c r="K713">
        <v>712</v>
      </c>
      <c r="L713" t="s">
        <v>18</v>
      </c>
      <c r="M713" t="s">
        <v>75</v>
      </c>
    </row>
    <row r="714" spans="1:13" x14ac:dyDescent="0.3">
      <c r="A714">
        <v>6</v>
      </c>
      <c r="B714" t="s">
        <v>593</v>
      </c>
      <c r="C714">
        <v>4</v>
      </c>
      <c r="D714" s="1">
        <v>45023.010416666664</v>
      </c>
      <c r="E714" s="1">
        <v>45023.119444444441</v>
      </c>
      <c r="F714" t="s">
        <v>73</v>
      </c>
      <c r="G714" t="s">
        <v>15</v>
      </c>
      <c r="H714" t="s">
        <v>16</v>
      </c>
      <c r="I714">
        <v>3511</v>
      </c>
      <c r="J714" t="s">
        <v>17</v>
      </c>
      <c r="K714">
        <v>713</v>
      </c>
      <c r="L714" t="s">
        <v>55</v>
      </c>
      <c r="M714" t="s">
        <v>112</v>
      </c>
    </row>
    <row r="715" spans="1:13" x14ac:dyDescent="0.3">
      <c r="A715">
        <v>19</v>
      </c>
      <c r="B715" t="s">
        <v>389</v>
      </c>
      <c r="C715">
        <v>2</v>
      </c>
      <c r="D715" s="1">
        <v>45023.097916666666</v>
      </c>
      <c r="E715" s="1">
        <v>45023.170138888891</v>
      </c>
      <c r="F715" t="s">
        <v>21</v>
      </c>
      <c r="G715" t="s">
        <v>22</v>
      </c>
      <c r="H715" t="s">
        <v>16</v>
      </c>
      <c r="I715">
        <v>1069</v>
      </c>
      <c r="J715" t="s">
        <v>17</v>
      </c>
      <c r="K715">
        <v>714</v>
      </c>
      <c r="L715" t="s">
        <v>37</v>
      </c>
      <c r="M715" t="s">
        <v>38</v>
      </c>
    </row>
    <row r="716" spans="1:13" x14ac:dyDescent="0.3">
      <c r="A716">
        <v>12</v>
      </c>
      <c r="B716" t="s">
        <v>594</v>
      </c>
      <c r="C716">
        <v>6</v>
      </c>
      <c r="D716" s="1">
        <v>45023.072916666664</v>
      </c>
      <c r="E716" s="1">
        <v>45023.177083333336</v>
      </c>
      <c r="F716" t="s">
        <v>52</v>
      </c>
      <c r="G716" t="s">
        <v>22</v>
      </c>
      <c r="H716" t="s">
        <v>36</v>
      </c>
      <c r="I716">
        <v>3991</v>
      </c>
      <c r="J716" t="s">
        <v>24</v>
      </c>
      <c r="K716">
        <v>715</v>
      </c>
      <c r="L716" t="s">
        <v>18</v>
      </c>
      <c r="M716" t="s">
        <v>40</v>
      </c>
    </row>
    <row r="717" spans="1:13" x14ac:dyDescent="0.3">
      <c r="A717">
        <v>12</v>
      </c>
      <c r="B717" t="s">
        <v>438</v>
      </c>
      <c r="C717">
        <v>4</v>
      </c>
      <c r="D717" s="1">
        <v>45023.074305555558</v>
      </c>
      <c r="E717" s="1">
        <v>45023.197222222225</v>
      </c>
      <c r="F717" t="s">
        <v>32</v>
      </c>
      <c r="G717" t="s">
        <v>15</v>
      </c>
      <c r="H717" t="s">
        <v>16</v>
      </c>
      <c r="I717">
        <v>4473</v>
      </c>
      <c r="J717" t="s">
        <v>24</v>
      </c>
      <c r="K717">
        <v>716</v>
      </c>
      <c r="L717" t="s">
        <v>25</v>
      </c>
      <c r="M717" t="s">
        <v>42</v>
      </c>
    </row>
    <row r="718" spans="1:13" x14ac:dyDescent="0.3">
      <c r="A718">
        <v>8</v>
      </c>
      <c r="B718" t="s">
        <v>191</v>
      </c>
      <c r="C718">
        <v>5</v>
      </c>
      <c r="D718" s="1">
        <v>45023.163888888892</v>
      </c>
      <c r="E718" s="1">
        <v>45023.252083333333</v>
      </c>
      <c r="F718" t="s">
        <v>73</v>
      </c>
      <c r="G718" t="s">
        <v>22</v>
      </c>
      <c r="H718" t="s">
        <v>16</v>
      </c>
      <c r="I718">
        <v>2367</v>
      </c>
      <c r="J718" t="s">
        <v>17</v>
      </c>
      <c r="K718">
        <v>717</v>
      </c>
      <c r="L718" t="s">
        <v>29</v>
      </c>
      <c r="M718" t="s">
        <v>92</v>
      </c>
    </row>
    <row r="719" spans="1:13" x14ac:dyDescent="0.3">
      <c r="A719">
        <v>7</v>
      </c>
      <c r="B719" t="s">
        <v>230</v>
      </c>
      <c r="C719">
        <v>6</v>
      </c>
      <c r="D719" s="1">
        <v>45023.137499999997</v>
      </c>
      <c r="E719" s="1">
        <v>45023.29583333333</v>
      </c>
      <c r="F719" t="s">
        <v>32</v>
      </c>
      <c r="G719" t="s">
        <v>48</v>
      </c>
      <c r="H719" t="s">
        <v>16</v>
      </c>
      <c r="I719">
        <v>3721</v>
      </c>
      <c r="J719" t="s">
        <v>17</v>
      </c>
      <c r="K719">
        <v>718</v>
      </c>
      <c r="L719" t="s">
        <v>91</v>
      </c>
      <c r="M719" t="s">
        <v>66</v>
      </c>
    </row>
    <row r="720" spans="1:13" x14ac:dyDescent="0.3">
      <c r="A720">
        <v>16</v>
      </c>
      <c r="B720" t="s">
        <v>595</v>
      </c>
      <c r="C720">
        <v>3</v>
      </c>
      <c r="D720" s="1">
        <v>45023.054166666669</v>
      </c>
      <c r="E720" s="1">
        <v>45023.117361111108</v>
      </c>
      <c r="F720" t="s">
        <v>73</v>
      </c>
      <c r="G720" t="s">
        <v>22</v>
      </c>
      <c r="H720" t="s">
        <v>36</v>
      </c>
      <c r="I720">
        <v>1723</v>
      </c>
      <c r="J720" t="s">
        <v>17</v>
      </c>
      <c r="K720">
        <v>719</v>
      </c>
      <c r="L720" t="s">
        <v>37</v>
      </c>
      <c r="M720" t="s">
        <v>34</v>
      </c>
    </row>
    <row r="721" spans="1:13" x14ac:dyDescent="0.3">
      <c r="A721">
        <v>4</v>
      </c>
      <c r="B721" t="s">
        <v>596</v>
      </c>
      <c r="C721">
        <v>5</v>
      </c>
      <c r="D721" s="1">
        <v>45023.092361111114</v>
      </c>
      <c r="E721" s="1">
        <v>45023.240277777775</v>
      </c>
      <c r="F721" t="s">
        <v>52</v>
      </c>
      <c r="G721" t="s">
        <v>22</v>
      </c>
      <c r="H721" t="s">
        <v>16</v>
      </c>
      <c r="I721">
        <v>4028</v>
      </c>
      <c r="J721" t="s">
        <v>28</v>
      </c>
      <c r="K721">
        <v>720</v>
      </c>
      <c r="L721" t="s">
        <v>70</v>
      </c>
      <c r="M721" t="s">
        <v>112</v>
      </c>
    </row>
    <row r="722" spans="1:13" x14ac:dyDescent="0.3">
      <c r="A722">
        <v>6</v>
      </c>
      <c r="B722" t="s">
        <v>297</v>
      </c>
      <c r="C722">
        <v>2</v>
      </c>
      <c r="D722" s="1">
        <v>45023.161805555559</v>
      </c>
      <c r="E722" s="1">
        <v>45023.292361111111</v>
      </c>
      <c r="F722" t="s">
        <v>32</v>
      </c>
      <c r="G722" t="s">
        <v>48</v>
      </c>
      <c r="H722" t="s">
        <v>16</v>
      </c>
      <c r="I722">
        <v>4713</v>
      </c>
      <c r="J722" t="s">
        <v>17</v>
      </c>
      <c r="K722">
        <v>721</v>
      </c>
      <c r="L722" t="s">
        <v>70</v>
      </c>
      <c r="M722" t="s">
        <v>26</v>
      </c>
    </row>
    <row r="723" spans="1:13" x14ac:dyDescent="0.3">
      <c r="A723">
        <v>13</v>
      </c>
      <c r="B723" t="s">
        <v>597</v>
      </c>
      <c r="C723">
        <v>5</v>
      </c>
      <c r="D723" s="1">
        <v>45023.118750000001</v>
      </c>
      <c r="E723" s="1">
        <v>45023.172222222223</v>
      </c>
      <c r="F723" t="s">
        <v>32</v>
      </c>
      <c r="G723" t="s">
        <v>22</v>
      </c>
      <c r="H723" t="s">
        <v>16</v>
      </c>
      <c r="I723">
        <v>2062</v>
      </c>
      <c r="J723" t="s">
        <v>17</v>
      </c>
      <c r="K723">
        <v>722</v>
      </c>
      <c r="L723" t="s">
        <v>62</v>
      </c>
      <c r="M723" t="s">
        <v>42</v>
      </c>
    </row>
    <row r="724" spans="1:13" x14ac:dyDescent="0.3">
      <c r="A724">
        <v>12</v>
      </c>
      <c r="B724" t="s">
        <v>311</v>
      </c>
      <c r="C724">
        <v>2</v>
      </c>
      <c r="D724" s="1">
        <v>45023.065972222219</v>
      </c>
      <c r="E724" s="1">
        <v>45023.200694444444</v>
      </c>
      <c r="F724" t="s">
        <v>14</v>
      </c>
      <c r="G724" t="s">
        <v>48</v>
      </c>
      <c r="H724" t="s">
        <v>23</v>
      </c>
      <c r="I724">
        <v>2779</v>
      </c>
      <c r="J724" t="s">
        <v>17</v>
      </c>
      <c r="K724">
        <v>723</v>
      </c>
      <c r="L724" t="s">
        <v>33</v>
      </c>
      <c r="M724" t="s">
        <v>30</v>
      </c>
    </row>
    <row r="725" spans="1:13" x14ac:dyDescent="0.3">
      <c r="A725">
        <v>8</v>
      </c>
      <c r="B725" t="s">
        <v>132</v>
      </c>
      <c r="C725">
        <v>6</v>
      </c>
      <c r="D725" s="1">
        <v>45023.12222222222</v>
      </c>
      <c r="E725" s="1">
        <v>45023.177083333336</v>
      </c>
      <c r="F725" t="s">
        <v>21</v>
      </c>
      <c r="G725" t="s">
        <v>15</v>
      </c>
      <c r="H725" t="s">
        <v>23</v>
      </c>
      <c r="I725">
        <v>1412</v>
      </c>
      <c r="J725" t="s">
        <v>17</v>
      </c>
      <c r="K725">
        <v>724</v>
      </c>
      <c r="L725" t="s">
        <v>91</v>
      </c>
      <c r="M725" t="s">
        <v>92</v>
      </c>
    </row>
    <row r="726" spans="1:13" x14ac:dyDescent="0.3">
      <c r="A726">
        <v>10</v>
      </c>
      <c r="B726" t="s">
        <v>598</v>
      </c>
      <c r="C726">
        <v>4</v>
      </c>
      <c r="D726" s="1">
        <v>45023.074999999997</v>
      </c>
      <c r="E726" s="1">
        <v>45023.138888888891</v>
      </c>
      <c r="F726" t="s">
        <v>14</v>
      </c>
      <c r="G726" t="s">
        <v>22</v>
      </c>
      <c r="H726" t="s">
        <v>23</v>
      </c>
      <c r="I726">
        <v>1866</v>
      </c>
      <c r="J726" t="s">
        <v>24</v>
      </c>
      <c r="K726">
        <v>725</v>
      </c>
      <c r="L726" t="s">
        <v>33</v>
      </c>
      <c r="M726" t="s">
        <v>38</v>
      </c>
    </row>
    <row r="727" spans="1:13" x14ac:dyDescent="0.3">
      <c r="A727">
        <v>11</v>
      </c>
      <c r="B727" t="s">
        <v>347</v>
      </c>
      <c r="C727">
        <v>2</v>
      </c>
      <c r="D727" s="1">
        <v>45023.102777777778</v>
      </c>
      <c r="E727" s="1">
        <v>45023.238194444442</v>
      </c>
      <c r="F727" t="s">
        <v>21</v>
      </c>
      <c r="G727" t="s">
        <v>48</v>
      </c>
      <c r="H727" t="s">
        <v>16</v>
      </c>
      <c r="I727">
        <v>4138</v>
      </c>
      <c r="J727" t="s">
        <v>28</v>
      </c>
      <c r="K727">
        <v>726</v>
      </c>
      <c r="L727" t="s">
        <v>59</v>
      </c>
      <c r="M727" t="s">
        <v>92</v>
      </c>
    </row>
    <row r="728" spans="1:13" x14ac:dyDescent="0.3">
      <c r="A728">
        <v>17</v>
      </c>
      <c r="B728" t="s">
        <v>231</v>
      </c>
      <c r="C728">
        <v>6</v>
      </c>
      <c r="D728" s="1">
        <v>45023.021527777775</v>
      </c>
      <c r="E728" s="1">
        <v>45023.126388888886</v>
      </c>
      <c r="F728" t="s">
        <v>32</v>
      </c>
      <c r="G728" t="s">
        <v>15</v>
      </c>
      <c r="H728" t="s">
        <v>36</v>
      </c>
      <c r="I728">
        <v>1324</v>
      </c>
      <c r="J728" t="s">
        <v>28</v>
      </c>
      <c r="K728">
        <v>727</v>
      </c>
      <c r="L728" t="s">
        <v>37</v>
      </c>
      <c r="M728" t="s">
        <v>66</v>
      </c>
    </row>
    <row r="729" spans="1:13" x14ac:dyDescent="0.3">
      <c r="A729">
        <v>9</v>
      </c>
      <c r="B729" t="s">
        <v>417</v>
      </c>
      <c r="C729">
        <v>6</v>
      </c>
      <c r="D729" s="1">
        <v>45023.087500000001</v>
      </c>
      <c r="E729" s="1">
        <v>45023.186805555553</v>
      </c>
      <c r="F729" t="s">
        <v>73</v>
      </c>
      <c r="G729" t="s">
        <v>48</v>
      </c>
      <c r="H729" t="s">
        <v>36</v>
      </c>
      <c r="I729">
        <v>3428</v>
      </c>
      <c r="J729" t="s">
        <v>24</v>
      </c>
      <c r="K729">
        <v>728</v>
      </c>
      <c r="L729" t="s">
        <v>49</v>
      </c>
      <c r="M729" t="s">
        <v>46</v>
      </c>
    </row>
    <row r="730" spans="1:13" x14ac:dyDescent="0.3">
      <c r="A730">
        <v>20</v>
      </c>
      <c r="B730" t="s">
        <v>375</v>
      </c>
      <c r="C730">
        <v>2</v>
      </c>
      <c r="D730" s="1">
        <v>45023.117361111108</v>
      </c>
      <c r="E730" s="1">
        <v>45023.253472222219</v>
      </c>
      <c r="F730" t="s">
        <v>21</v>
      </c>
      <c r="G730" t="s">
        <v>48</v>
      </c>
      <c r="H730" t="s">
        <v>16</v>
      </c>
      <c r="I730">
        <v>1897</v>
      </c>
      <c r="J730" t="s">
        <v>24</v>
      </c>
      <c r="K730">
        <v>729</v>
      </c>
      <c r="L730" t="s">
        <v>55</v>
      </c>
      <c r="M730" t="s">
        <v>38</v>
      </c>
    </row>
    <row r="731" spans="1:13" x14ac:dyDescent="0.3">
      <c r="A731">
        <v>8</v>
      </c>
      <c r="B731" t="s">
        <v>543</v>
      </c>
      <c r="C731">
        <v>3</v>
      </c>
      <c r="D731" s="1">
        <v>45023.020138888889</v>
      </c>
      <c r="E731" s="1">
        <v>45023.106249999997</v>
      </c>
      <c r="F731" t="s">
        <v>52</v>
      </c>
      <c r="G731" t="s">
        <v>22</v>
      </c>
      <c r="H731" t="s">
        <v>16</v>
      </c>
      <c r="I731">
        <v>1502</v>
      </c>
      <c r="J731" t="s">
        <v>24</v>
      </c>
      <c r="K731">
        <v>730</v>
      </c>
      <c r="L731" t="s">
        <v>59</v>
      </c>
      <c r="M731" t="s">
        <v>40</v>
      </c>
    </row>
    <row r="732" spans="1:13" x14ac:dyDescent="0.3">
      <c r="A732">
        <v>17</v>
      </c>
      <c r="B732" t="s">
        <v>232</v>
      </c>
      <c r="C732">
        <v>3</v>
      </c>
      <c r="D732" s="1">
        <v>45023.136111111111</v>
      </c>
      <c r="E732" s="1">
        <v>45023.267361111109</v>
      </c>
      <c r="F732" t="s">
        <v>32</v>
      </c>
      <c r="G732" t="s">
        <v>22</v>
      </c>
      <c r="H732" t="s">
        <v>16</v>
      </c>
      <c r="I732">
        <v>1435</v>
      </c>
      <c r="J732" t="s">
        <v>28</v>
      </c>
      <c r="K732">
        <v>731</v>
      </c>
      <c r="L732" t="s">
        <v>33</v>
      </c>
      <c r="M732" t="s">
        <v>105</v>
      </c>
    </row>
    <row r="733" spans="1:13" x14ac:dyDescent="0.3">
      <c r="A733">
        <v>12</v>
      </c>
      <c r="B733" t="s">
        <v>599</v>
      </c>
      <c r="C733">
        <v>3</v>
      </c>
      <c r="D733" s="1">
        <v>45023.136805555558</v>
      </c>
      <c r="E733" s="1">
        <v>45023.300694444442</v>
      </c>
      <c r="F733" t="s">
        <v>14</v>
      </c>
      <c r="G733" t="s">
        <v>22</v>
      </c>
      <c r="H733" t="s">
        <v>16</v>
      </c>
      <c r="I733">
        <v>4335</v>
      </c>
      <c r="J733" t="s">
        <v>28</v>
      </c>
      <c r="K733">
        <v>732</v>
      </c>
      <c r="L733" t="s">
        <v>25</v>
      </c>
      <c r="M733" t="s">
        <v>34</v>
      </c>
    </row>
    <row r="734" spans="1:13" x14ac:dyDescent="0.3">
      <c r="A734">
        <v>14</v>
      </c>
      <c r="B734" t="s">
        <v>341</v>
      </c>
      <c r="C734">
        <v>6</v>
      </c>
      <c r="D734" s="1">
        <v>45023.152777777781</v>
      </c>
      <c r="E734" s="1">
        <v>45023.227777777778</v>
      </c>
      <c r="F734" t="s">
        <v>14</v>
      </c>
      <c r="G734" t="s">
        <v>15</v>
      </c>
      <c r="H734" t="s">
        <v>16</v>
      </c>
      <c r="I734">
        <v>3509</v>
      </c>
      <c r="J734" t="s">
        <v>17</v>
      </c>
      <c r="K734">
        <v>733</v>
      </c>
      <c r="L734" t="s">
        <v>49</v>
      </c>
      <c r="M734" t="s">
        <v>44</v>
      </c>
    </row>
    <row r="735" spans="1:13" x14ac:dyDescent="0.3">
      <c r="A735">
        <v>14</v>
      </c>
      <c r="B735" t="s">
        <v>600</v>
      </c>
      <c r="C735">
        <v>2</v>
      </c>
      <c r="D735" s="1">
        <v>45023.102083333331</v>
      </c>
      <c r="E735" s="1">
        <v>45023.206250000003</v>
      </c>
      <c r="F735" t="s">
        <v>32</v>
      </c>
      <c r="G735" t="s">
        <v>22</v>
      </c>
      <c r="H735" t="s">
        <v>23</v>
      </c>
      <c r="I735">
        <v>4682</v>
      </c>
      <c r="J735" t="s">
        <v>17</v>
      </c>
      <c r="K735">
        <v>734</v>
      </c>
      <c r="L735" t="s">
        <v>91</v>
      </c>
      <c r="M735" t="s">
        <v>105</v>
      </c>
    </row>
    <row r="736" spans="1:13" x14ac:dyDescent="0.3">
      <c r="A736">
        <v>20</v>
      </c>
      <c r="B736" t="s">
        <v>423</v>
      </c>
      <c r="C736">
        <v>4</v>
      </c>
      <c r="D736" s="1">
        <v>45023.077777777777</v>
      </c>
      <c r="E736" s="1">
        <v>45023.157638888886</v>
      </c>
      <c r="F736" t="s">
        <v>52</v>
      </c>
      <c r="G736" t="s">
        <v>48</v>
      </c>
      <c r="H736" t="s">
        <v>16</v>
      </c>
      <c r="I736">
        <v>3843</v>
      </c>
      <c r="J736" t="s">
        <v>17</v>
      </c>
      <c r="K736">
        <v>735</v>
      </c>
      <c r="L736" t="s">
        <v>59</v>
      </c>
      <c r="M736" t="s">
        <v>89</v>
      </c>
    </row>
    <row r="737" spans="1:13" x14ac:dyDescent="0.3">
      <c r="A737">
        <v>17</v>
      </c>
      <c r="B737" t="s">
        <v>343</v>
      </c>
      <c r="C737">
        <v>2</v>
      </c>
      <c r="D737" s="1">
        <v>45023.047222222223</v>
      </c>
      <c r="E737" s="1">
        <v>45023.14166666667</v>
      </c>
      <c r="F737" t="s">
        <v>14</v>
      </c>
      <c r="G737" t="s">
        <v>48</v>
      </c>
      <c r="H737" t="s">
        <v>16</v>
      </c>
      <c r="I737">
        <v>2591</v>
      </c>
      <c r="J737" t="s">
        <v>24</v>
      </c>
      <c r="K737">
        <v>736</v>
      </c>
      <c r="L737" t="s">
        <v>59</v>
      </c>
      <c r="M737" t="s">
        <v>92</v>
      </c>
    </row>
    <row r="738" spans="1:13" x14ac:dyDescent="0.3">
      <c r="A738">
        <v>6</v>
      </c>
      <c r="B738" t="s">
        <v>601</v>
      </c>
      <c r="C738">
        <v>1</v>
      </c>
      <c r="D738" s="1">
        <v>45023.027083333334</v>
      </c>
      <c r="E738" s="1">
        <v>45023.129166666666</v>
      </c>
      <c r="F738" t="s">
        <v>32</v>
      </c>
      <c r="G738" t="s">
        <v>48</v>
      </c>
      <c r="H738" t="s">
        <v>36</v>
      </c>
      <c r="I738">
        <v>2409</v>
      </c>
      <c r="J738" t="s">
        <v>28</v>
      </c>
      <c r="K738">
        <v>737</v>
      </c>
      <c r="L738" t="s">
        <v>70</v>
      </c>
      <c r="M738" t="s">
        <v>26</v>
      </c>
    </row>
    <row r="739" spans="1:13" x14ac:dyDescent="0.3">
      <c r="A739">
        <v>15</v>
      </c>
      <c r="B739" t="s">
        <v>508</v>
      </c>
      <c r="C739">
        <v>1</v>
      </c>
      <c r="D739" s="1">
        <v>45023.035416666666</v>
      </c>
      <c r="E739" s="1">
        <v>45023.086111111108</v>
      </c>
      <c r="F739" t="s">
        <v>52</v>
      </c>
      <c r="G739" t="s">
        <v>22</v>
      </c>
      <c r="H739" t="s">
        <v>16</v>
      </c>
      <c r="I739">
        <v>1737</v>
      </c>
      <c r="J739" t="s">
        <v>24</v>
      </c>
      <c r="K739">
        <v>738</v>
      </c>
      <c r="L739" t="s">
        <v>59</v>
      </c>
      <c r="M739" t="s">
        <v>71</v>
      </c>
    </row>
    <row r="740" spans="1:13" x14ac:dyDescent="0.3">
      <c r="A740">
        <v>10</v>
      </c>
      <c r="B740" t="s">
        <v>233</v>
      </c>
      <c r="C740">
        <v>5</v>
      </c>
      <c r="D740" s="1">
        <v>45023.161805555559</v>
      </c>
      <c r="E740" s="1">
        <v>45023.256944444445</v>
      </c>
      <c r="F740" t="s">
        <v>32</v>
      </c>
      <c r="G740" t="s">
        <v>22</v>
      </c>
      <c r="H740" t="s">
        <v>36</v>
      </c>
      <c r="I740">
        <v>3369</v>
      </c>
      <c r="J740" t="s">
        <v>28</v>
      </c>
      <c r="K740">
        <v>739</v>
      </c>
      <c r="L740" t="s">
        <v>37</v>
      </c>
      <c r="M740" t="s">
        <v>89</v>
      </c>
    </row>
    <row r="741" spans="1:13" x14ac:dyDescent="0.3">
      <c r="A741">
        <v>16</v>
      </c>
      <c r="B741" t="s">
        <v>602</v>
      </c>
      <c r="C741">
        <v>6</v>
      </c>
      <c r="D741" s="1">
        <v>45023.15902777778</v>
      </c>
      <c r="E741" s="1">
        <v>45023.26666666667</v>
      </c>
      <c r="F741" t="s">
        <v>73</v>
      </c>
      <c r="G741" t="s">
        <v>22</v>
      </c>
      <c r="H741" t="s">
        <v>36</v>
      </c>
      <c r="I741">
        <v>1605</v>
      </c>
      <c r="J741" t="s">
        <v>28</v>
      </c>
      <c r="K741">
        <v>740</v>
      </c>
      <c r="L741" t="s">
        <v>62</v>
      </c>
      <c r="M741" t="s">
        <v>30</v>
      </c>
    </row>
    <row r="742" spans="1:13" x14ac:dyDescent="0.3">
      <c r="A742">
        <v>14</v>
      </c>
      <c r="B742" t="s">
        <v>457</v>
      </c>
      <c r="C742">
        <v>4</v>
      </c>
      <c r="D742" s="1">
        <v>45023.020138888889</v>
      </c>
      <c r="E742" s="1">
        <v>45023.182638888888</v>
      </c>
      <c r="F742" t="s">
        <v>32</v>
      </c>
      <c r="G742" t="s">
        <v>22</v>
      </c>
      <c r="H742" t="s">
        <v>36</v>
      </c>
      <c r="I742">
        <v>4031</v>
      </c>
      <c r="J742" t="s">
        <v>24</v>
      </c>
      <c r="K742">
        <v>741</v>
      </c>
      <c r="L742" t="s">
        <v>55</v>
      </c>
      <c r="M742" t="s">
        <v>75</v>
      </c>
    </row>
    <row r="743" spans="1:13" x14ac:dyDescent="0.3">
      <c r="A743">
        <v>20</v>
      </c>
      <c r="B743" t="s">
        <v>522</v>
      </c>
      <c r="C743">
        <v>4</v>
      </c>
      <c r="D743" s="1">
        <v>45023.025000000001</v>
      </c>
      <c r="E743" s="1">
        <v>45023.098611111112</v>
      </c>
      <c r="F743" t="s">
        <v>32</v>
      </c>
      <c r="G743" t="s">
        <v>48</v>
      </c>
      <c r="H743" t="s">
        <v>16</v>
      </c>
      <c r="I743">
        <v>1051</v>
      </c>
      <c r="J743" t="s">
        <v>28</v>
      </c>
      <c r="K743">
        <v>742</v>
      </c>
      <c r="L743" t="s">
        <v>37</v>
      </c>
      <c r="M743" t="s">
        <v>56</v>
      </c>
    </row>
    <row r="744" spans="1:13" x14ac:dyDescent="0.3">
      <c r="A744">
        <v>19</v>
      </c>
      <c r="B744" t="s">
        <v>425</v>
      </c>
      <c r="C744">
        <v>2</v>
      </c>
      <c r="D744" s="1">
        <v>45023.157638888886</v>
      </c>
      <c r="E744" s="1">
        <v>45023.322222222225</v>
      </c>
      <c r="F744" t="s">
        <v>52</v>
      </c>
      <c r="G744" t="s">
        <v>22</v>
      </c>
      <c r="H744" t="s">
        <v>36</v>
      </c>
      <c r="I744">
        <v>257</v>
      </c>
      <c r="J744" t="s">
        <v>24</v>
      </c>
      <c r="K744">
        <v>743</v>
      </c>
      <c r="L744" t="s">
        <v>25</v>
      </c>
      <c r="M744" t="s">
        <v>71</v>
      </c>
    </row>
    <row r="745" spans="1:13" x14ac:dyDescent="0.3">
      <c r="A745">
        <v>11</v>
      </c>
      <c r="B745" t="s">
        <v>250</v>
      </c>
      <c r="C745">
        <v>1</v>
      </c>
      <c r="D745" s="1">
        <v>45023.082638888889</v>
      </c>
      <c r="E745" s="1">
        <v>45023.242361111108</v>
      </c>
      <c r="F745" t="s">
        <v>73</v>
      </c>
      <c r="G745" t="s">
        <v>22</v>
      </c>
      <c r="H745" t="s">
        <v>16</v>
      </c>
      <c r="I745">
        <v>265</v>
      </c>
      <c r="J745" t="s">
        <v>17</v>
      </c>
      <c r="K745">
        <v>744</v>
      </c>
      <c r="L745" t="s">
        <v>59</v>
      </c>
      <c r="M745" t="s">
        <v>46</v>
      </c>
    </row>
    <row r="746" spans="1:13" x14ac:dyDescent="0.3">
      <c r="A746">
        <v>3</v>
      </c>
      <c r="B746" t="s">
        <v>587</v>
      </c>
      <c r="C746">
        <v>1</v>
      </c>
      <c r="D746" s="1">
        <v>45023.106944444444</v>
      </c>
      <c r="E746" s="1">
        <v>45023.202777777777</v>
      </c>
      <c r="F746" t="s">
        <v>21</v>
      </c>
      <c r="G746" t="s">
        <v>22</v>
      </c>
      <c r="H746" t="s">
        <v>23</v>
      </c>
      <c r="I746">
        <v>1875</v>
      </c>
      <c r="J746" t="s">
        <v>17</v>
      </c>
      <c r="K746">
        <v>745</v>
      </c>
      <c r="L746" t="s">
        <v>29</v>
      </c>
      <c r="M746" t="s">
        <v>19</v>
      </c>
    </row>
    <row r="747" spans="1:13" x14ac:dyDescent="0.3">
      <c r="A747">
        <v>13</v>
      </c>
      <c r="B747" t="s">
        <v>226</v>
      </c>
      <c r="C747">
        <v>2</v>
      </c>
      <c r="D747" s="1">
        <v>45023.131944444445</v>
      </c>
      <c r="E747" s="1">
        <v>45023.268750000003</v>
      </c>
      <c r="F747" t="s">
        <v>73</v>
      </c>
      <c r="G747" t="s">
        <v>22</v>
      </c>
      <c r="H747" t="s">
        <v>16</v>
      </c>
      <c r="I747">
        <v>449</v>
      </c>
      <c r="J747" t="s">
        <v>24</v>
      </c>
      <c r="K747">
        <v>746</v>
      </c>
      <c r="L747" t="s">
        <v>33</v>
      </c>
      <c r="M747" t="s">
        <v>19</v>
      </c>
    </row>
    <row r="748" spans="1:13" x14ac:dyDescent="0.3">
      <c r="A748">
        <v>16</v>
      </c>
      <c r="B748" t="s">
        <v>234</v>
      </c>
      <c r="C748">
        <v>3</v>
      </c>
      <c r="D748" s="1">
        <v>45023.120138888888</v>
      </c>
      <c r="E748" s="1">
        <v>45023.200694444444</v>
      </c>
      <c r="F748" t="s">
        <v>73</v>
      </c>
      <c r="G748" t="s">
        <v>48</v>
      </c>
      <c r="H748" t="s">
        <v>36</v>
      </c>
      <c r="I748">
        <v>3723</v>
      </c>
      <c r="J748" t="s">
        <v>28</v>
      </c>
      <c r="K748">
        <v>747</v>
      </c>
      <c r="L748" t="s">
        <v>55</v>
      </c>
      <c r="M748" t="s">
        <v>60</v>
      </c>
    </row>
    <row r="749" spans="1:13" x14ac:dyDescent="0.3">
      <c r="A749">
        <v>2</v>
      </c>
      <c r="B749" t="s">
        <v>603</v>
      </c>
      <c r="C749">
        <v>4</v>
      </c>
      <c r="D749" s="1">
        <v>45023.105555555558</v>
      </c>
      <c r="E749" s="1">
        <v>45023.248611111114</v>
      </c>
      <c r="F749" t="s">
        <v>32</v>
      </c>
      <c r="G749" t="s">
        <v>22</v>
      </c>
      <c r="H749" t="s">
        <v>16</v>
      </c>
      <c r="I749">
        <v>1255</v>
      </c>
      <c r="J749" t="s">
        <v>28</v>
      </c>
      <c r="K749">
        <v>748</v>
      </c>
      <c r="L749" t="s">
        <v>91</v>
      </c>
      <c r="M749" t="s">
        <v>105</v>
      </c>
    </row>
    <row r="750" spans="1:13" x14ac:dyDescent="0.3">
      <c r="A750">
        <v>1</v>
      </c>
      <c r="B750" t="s">
        <v>234</v>
      </c>
      <c r="C750">
        <v>2</v>
      </c>
      <c r="D750" s="1">
        <v>45023.056250000001</v>
      </c>
      <c r="E750" s="1">
        <v>45023.119444444441</v>
      </c>
      <c r="F750" t="s">
        <v>14</v>
      </c>
      <c r="G750" t="s">
        <v>22</v>
      </c>
      <c r="H750" t="s">
        <v>36</v>
      </c>
      <c r="I750">
        <v>2412</v>
      </c>
      <c r="J750" t="s">
        <v>24</v>
      </c>
      <c r="K750">
        <v>749</v>
      </c>
      <c r="L750" t="s">
        <v>18</v>
      </c>
      <c r="M750" t="s">
        <v>19</v>
      </c>
    </row>
    <row r="751" spans="1:13" x14ac:dyDescent="0.3">
      <c r="A751">
        <v>6</v>
      </c>
      <c r="B751" t="s">
        <v>604</v>
      </c>
      <c r="C751">
        <v>4</v>
      </c>
      <c r="D751" s="1">
        <v>45023.073611111111</v>
      </c>
      <c r="E751" s="1">
        <v>45023.125</v>
      </c>
      <c r="F751" t="s">
        <v>73</v>
      </c>
      <c r="G751" t="s">
        <v>22</v>
      </c>
      <c r="H751" t="s">
        <v>16</v>
      </c>
      <c r="I751">
        <v>2182</v>
      </c>
      <c r="J751" t="s">
        <v>17</v>
      </c>
      <c r="K751">
        <v>750</v>
      </c>
      <c r="L751" t="s">
        <v>29</v>
      </c>
      <c r="M751" t="s">
        <v>56</v>
      </c>
    </row>
    <row r="752" spans="1:13" x14ac:dyDescent="0.3">
      <c r="A752">
        <v>17</v>
      </c>
      <c r="B752" t="s">
        <v>466</v>
      </c>
      <c r="C752">
        <v>6</v>
      </c>
      <c r="D752" s="1">
        <v>45023.063888888886</v>
      </c>
      <c r="E752" s="1">
        <v>45023.131944444445</v>
      </c>
      <c r="F752" t="s">
        <v>32</v>
      </c>
      <c r="G752" t="s">
        <v>48</v>
      </c>
      <c r="H752" t="s">
        <v>16</v>
      </c>
      <c r="I752">
        <v>4935</v>
      </c>
      <c r="J752" t="s">
        <v>17</v>
      </c>
      <c r="K752">
        <v>751</v>
      </c>
      <c r="L752" t="s">
        <v>25</v>
      </c>
      <c r="M752" t="s">
        <v>26</v>
      </c>
    </row>
    <row r="753" spans="1:13" x14ac:dyDescent="0.3">
      <c r="A753">
        <v>3</v>
      </c>
      <c r="B753" t="s">
        <v>160</v>
      </c>
      <c r="C753">
        <v>5</v>
      </c>
      <c r="D753" s="1">
        <v>45023.086805555555</v>
      </c>
      <c r="E753" s="1">
        <v>45023.182638888888</v>
      </c>
      <c r="F753" t="s">
        <v>52</v>
      </c>
      <c r="G753" t="s">
        <v>22</v>
      </c>
      <c r="H753" t="s">
        <v>16</v>
      </c>
      <c r="I753">
        <v>4627</v>
      </c>
      <c r="J753" t="s">
        <v>17</v>
      </c>
      <c r="K753">
        <v>752</v>
      </c>
      <c r="L753" t="s">
        <v>18</v>
      </c>
      <c r="M753" t="s">
        <v>40</v>
      </c>
    </row>
    <row r="754" spans="1:13" x14ac:dyDescent="0.3">
      <c r="A754">
        <v>11</v>
      </c>
      <c r="B754" t="s">
        <v>399</v>
      </c>
      <c r="C754">
        <v>4</v>
      </c>
      <c r="D754" s="1">
        <v>45023.102083333331</v>
      </c>
      <c r="E754" s="1">
        <v>45023.193055555559</v>
      </c>
      <c r="F754" t="s">
        <v>14</v>
      </c>
      <c r="G754" t="s">
        <v>22</v>
      </c>
      <c r="H754" t="s">
        <v>36</v>
      </c>
      <c r="I754">
        <v>2624</v>
      </c>
      <c r="J754" t="s">
        <v>17</v>
      </c>
      <c r="K754">
        <v>753</v>
      </c>
      <c r="L754" t="s">
        <v>33</v>
      </c>
      <c r="M754" t="s">
        <v>105</v>
      </c>
    </row>
    <row r="755" spans="1:13" x14ac:dyDescent="0.3">
      <c r="A755">
        <v>8</v>
      </c>
      <c r="B755" t="s">
        <v>148</v>
      </c>
      <c r="C755">
        <v>3</v>
      </c>
      <c r="D755" s="1">
        <v>45023.13958333333</v>
      </c>
      <c r="E755" s="1">
        <v>45023.191666666666</v>
      </c>
      <c r="F755" t="s">
        <v>52</v>
      </c>
      <c r="G755" t="s">
        <v>22</v>
      </c>
      <c r="H755" t="s">
        <v>16</v>
      </c>
      <c r="I755">
        <v>4274</v>
      </c>
      <c r="J755" t="s">
        <v>28</v>
      </c>
      <c r="K755">
        <v>754</v>
      </c>
      <c r="L755" t="s">
        <v>59</v>
      </c>
      <c r="M755" t="s">
        <v>75</v>
      </c>
    </row>
    <row r="756" spans="1:13" x14ac:dyDescent="0.3">
      <c r="A756">
        <v>12</v>
      </c>
      <c r="B756" t="s">
        <v>605</v>
      </c>
      <c r="C756">
        <v>3</v>
      </c>
      <c r="D756" s="1">
        <v>45023.084027777775</v>
      </c>
      <c r="E756" s="1">
        <v>45023.185416666667</v>
      </c>
      <c r="F756" t="s">
        <v>32</v>
      </c>
      <c r="G756" t="s">
        <v>22</v>
      </c>
      <c r="H756" t="s">
        <v>16</v>
      </c>
      <c r="I756">
        <v>2665</v>
      </c>
      <c r="J756" t="s">
        <v>24</v>
      </c>
      <c r="K756">
        <v>755</v>
      </c>
      <c r="L756" t="s">
        <v>25</v>
      </c>
      <c r="M756" t="s">
        <v>42</v>
      </c>
    </row>
    <row r="757" spans="1:13" x14ac:dyDescent="0.3">
      <c r="A757">
        <v>11</v>
      </c>
      <c r="B757" t="s">
        <v>606</v>
      </c>
      <c r="C757">
        <v>1</v>
      </c>
      <c r="D757" s="1">
        <v>45023.161805555559</v>
      </c>
      <c r="E757" s="1">
        <v>45023.32708333333</v>
      </c>
      <c r="F757" t="s">
        <v>73</v>
      </c>
      <c r="G757" t="s">
        <v>15</v>
      </c>
      <c r="H757" t="s">
        <v>16</v>
      </c>
      <c r="I757">
        <v>3175</v>
      </c>
      <c r="J757" t="s">
        <v>17</v>
      </c>
      <c r="K757">
        <v>756</v>
      </c>
      <c r="L757" t="s">
        <v>18</v>
      </c>
      <c r="M757" t="s">
        <v>56</v>
      </c>
    </row>
    <row r="758" spans="1:13" x14ac:dyDescent="0.3">
      <c r="A758">
        <v>3</v>
      </c>
      <c r="B758" t="s">
        <v>235</v>
      </c>
      <c r="C758">
        <v>6</v>
      </c>
      <c r="D758" s="1">
        <v>45023.074305555558</v>
      </c>
      <c r="E758" s="1">
        <v>45023.195833333331</v>
      </c>
      <c r="F758" t="s">
        <v>32</v>
      </c>
      <c r="G758" t="s">
        <v>22</v>
      </c>
      <c r="H758" t="s">
        <v>36</v>
      </c>
      <c r="I758">
        <v>1003</v>
      </c>
      <c r="J758" t="s">
        <v>28</v>
      </c>
      <c r="K758">
        <v>757</v>
      </c>
      <c r="L758" t="s">
        <v>25</v>
      </c>
      <c r="M758" t="s">
        <v>40</v>
      </c>
    </row>
    <row r="759" spans="1:13" x14ac:dyDescent="0.3">
      <c r="A759">
        <v>18</v>
      </c>
      <c r="B759" t="s">
        <v>607</v>
      </c>
      <c r="C759">
        <v>4</v>
      </c>
      <c r="D759" s="1">
        <v>45023.011805555558</v>
      </c>
      <c r="E759" s="1">
        <v>45023.090277777781</v>
      </c>
      <c r="F759" t="s">
        <v>52</v>
      </c>
      <c r="G759" t="s">
        <v>48</v>
      </c>
      <c r="H759" t="s">
        <v>23</v>
      </c>
      <c r="I759">
        <v>2704</v>
      </c>
      <c r="J759" t="s">
        <v>28</v>
      </c>
      <c r="K759">
        <v>758</v>
      </c>
      <c r="L759" t="s">
        <v>18</v>
      </c>
      <c r="M759" t="s">
        <v>40</v>
      </c>
    </row>
    <row r="760" spans="1:13" x14ac:dyDescent="0.3">
      <c r="A760">
        <v>20</v>
      </c>
      <c r="B760" t="s">
        <v>608</v>
      </c>
      <c r="C760">
        <v>5</v>
      </c>
      <c r="D760" s="1">
        <v>45023.027777777781</v>
      </c>
      <c r="E760" s="1">
        <v>45023.15625</v>
      </c>
      <c r="F760" t="s">
        <v>73</v>
      </c>
      <c r="G760" t="s">
        <v>22</v>
      </c>
      <c r="H760" t="s">
        <v>16</v>
      </c>
      <c r="I760">
        <v>137</v>
      </c>
      <c r="J760" t="s">
        <v>28</v>
      </c>
      <c r="K760">
        <v>759</v>
      </c>
      <c r="L760" t="s">
        <v>49</v>
      </c>
      <c r="M760" t="s">
        <v>112</v>
      </c>
    </row>
    <row r="761" spans="1:13" x14ac:dyDescent="0.3">
      <c r="A761">
        <v>5</v>
      </c>
      <c r="B761" t="s">
        <v>236</v>
      </c>
      <c r="C761">
        <v>6</v>
      </c>
      <c r="D761" s="1">
        <v>45023.017361111109</v>
      </c>
      <c r="E761" s="1">
        <v>45023.069444444445</v>
      </c>
      <c r="F761" t="s">
        <v>14</v>
      </c>
      <c r="G761" t="s">
        <v>22</v>
      </c>
      <c r="H761" t="s">
        <v>16</v>
      </c>
      <c r="I761">
        <v>3942</v>
      </c>
      <c r="J761" t="s">
        <v>17</v>
      </c>
      <c r="K761">
        <v>760</v>
      </c>
      <c r="L761" t="s">
        <v>49</v>
      </c>
      <c r="M761" t="s">
        <v>19</v>
      </c>
    </row>
    <row r="762" spans="1:13" x14ac:dyDescent="0.3">
      <c r="A762">
        <v>4</v>
      </c>
      <c r="B762" t="s">
        <v>550</v>
      </c>
      <c r="C762">
        <v>4</v>
      </c>
      <c r="D762" s="1">
        <v>45023.11041666667</v>
      </c>
      <c r="E762" s="1">
        <v>45023.154166666667</v>
      </c>
      <c r="F762" t="s">
        <v>52</v>
      </c>
      <c r="G762" t="s">
        <v>48</v>
      </c>
      <c r="H762" t="s">
        <v>16</v>
      </c>
      <c r="I762">
        <v>1685</v>
      </c>
      <c r="J762" t="s">
        <v>17</v>
      </c>
      <c r="K762">
        <v>761</v>
      </c>
      <c r="L762" t="s">
        <v>59</v>
      </c>
      <c r="M762" t="s">
        <v>75</v>
      </c>
    </row>
    <row r="763" spans="1:13" x14ac:dyDescent="0.3">
      <c r="A763">
        <v>4</v>
      </c>
      <c r="B763" t="s">
        <v>405</v>
      </c>
      <c r="C763">
        <v>3</v>
      </c>
      <c r="D763" s="1">
        <v>45023.054166666669</v>
      </c>
      <c r="E763" s="1">
        <v>45023.142361111109</v>
      </c>
      <c r="F763" t="s">
        <v>21</v>
      </c>
      <c r="G763" t="s">
        <v>48</v>
      </c>
      <c r="H763" t="s">
        <v>16</v>
      </c>
      <c r="I763">
        <v>4945</v>
      </c>
      <c r="J763" t="s">
        <v>28</v>
      </c>
      <c r="K763">
        <v>762</v>
      </c>
      <c r="L763" t="s">
        <v>55</v>
      </c>
      <c r="M763" t="s">
        <v>42</v>
      </c>
    </row>
    <row r="764" spans="1:13" x14ac:dyDescent="0.3">
      <c r="A764">
        <v>18</v>
      </c>
      <c r="B764" t="s">
        <v>547</v>
      </c>
      <c r="C764">
        <v>3</v>
      </c>
      <c r="D764" s="1">
        <v>45023.15902777778</v>
      </c>
      <c r="E764" s="1">
        <v>45023.216666666667</v>
      </c>
      <c r="F764" t="s">
        <v>14</v>
      </c>
      <c r="G764" t="s">
        <v>22</v>
      </c>
      <c r="H764" t="s">
        <v>16</v>
      </c>
      <c r="I764">
        <v>2288</v>
      </c>
      <c r="J764" t="s">
        <v>28</v>
      </c>
      <c r="K764">
        <v>763</v>
      </c>
      <c r="L764" t="s">
        <v>49</v>
      </c>
      <c r="M764" t="s">
        <v>112</v>
      </c>
    </row>
    <row r="765" spans="1:13" x14ac:dyDescent="0.3">
      <c r="A765">
        <v>20</v>
      </c>
      <c r="B765" t="s">
        <v>609</v>
      </c>
      <c r="C765">
        <v>1</v>
      </c>
      <c r="D765" s="1">
        <v>45023.145833333336</v>
      </c>
      <c r="E765" s="1">
        <v>45023.240277777775</v>
      </c>
      <c r="F765" t="s">
        <v>14</v>
      </c>
      <c r="G765" t="s">
        <v>15</v>
      </c>
      <c r="H765" t="s">
        <v>16</v>
      </c>
      <c r="I765">
        <v>2041</v>
      </c>
      <c r="J765" t="s">
        <v>24</v>
      </c>
      <c r="K765">
        <v>764</v>
      </c>
      <c r="L765" t="s">
        <v>37</v>
      </c>
      <c r="M765" t="s">
        <v>50</v>
      </c>
    </row>
    <row r="766" spans="1:13" x14ac:dyDescent="0.3">
      <c r="A766">
        <v>20</v>
      </c>
      <c r="B766" t="s">
        <v>533</v>
      </c>
      <c r="C766">
        <v>4</v>
      </c>
      <c r="D766" s="1">
        <v>45023.01666666667</v>
      </c>
      <c r="E766" s="1">
        <v>45023.067361111112</v>
      </c>
      <c r="F766" t="s">
        <v>52</v>
      </c>
      <c r="G766" t="s">
        <v>15</v>
      </c>
      <c r="H766" t="s">
        <v>16</v>
      </c>
      <c r="I766">
        <v>3077</v>
      </c>
      <c r="J766" t="s">
        <v>17</v>
      </c>
      <c r="K766">
        <v>765</v>
      </c>
      <c r="L766" t="s">
        <v>33</v>
      </c>
      <c r="M766" t="s">
        <v>71</v>
      </c>
    </row>
    <row r="767" spans="1:13" x14ac:dyDescent="0.3">
      <c r="A767">
        <v>17</v>
      </c>
      <c r="B767" t="s">
        <v>27</v>
      </c>
      <c r="C767">
        <v>6</v>
      </c>
      <c r="D767" s="1">
        <v>45023.06527777778</v>
      </c>
      <c r="E767" s="1">
        <v>45023.201388888891</v>
      </c>
      <c r="F767" t="s">
        <v>32</v>
      </c>
      <c r="G767" t="s">
        <v>15</v>
      </c>
      <c r="H767" t="s">
        <v>16</v>
      </c>
      <c r="I767">
        <v>1257</v>
      </c>
      <c r="J767" t="s">
        <v>28</v>
      </c>
      <c r="K767">
        <v>766</v>
      </c>
      <c r="L767" t="s">
        <v>49</v>
      </c>
      <c r="M767" t="s">
        <v>40</v>
      </c>
    </row>
    <row r="768" spans="1:13" x14ac:dyDescent="0.3">
      <c r="A768">
        <v>10</v>
      </c>
      <c r="B768" t="s">
        <v>610</v>
      </c>
      <c r="C768">
        <v>3</v>
      </c>
      <c r="D768" s="1">
        <v>45023.047222222223</v>
      </c>
      <c r="E768" s="1">
        <v>45023.164583333331</v>
      </c>
      <c r="F768" t="s">
        <v>32</v>
      </c>
      <c r="G768" t="s">
        <v>48</v>
      </c>
      <c r="H768" t="s">
        <v>16</v>
      </c>
      <c r="I768">
        <v>1598</v>
      </c>
      <c r="J768" t="s">
        <v>28</v>
      </c>
      <c r="K768">
        <v>767</v>
      </c>
      <c r="L768" t="s">
        <v>62</v>
      </c>
      <c r="M768" t="s">
        <v>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7142B-7BA9-4F76-9A19-3E11DD64BC77}">
  <dimension ref="A1:I1903"/>
  <sheetViews>
    <sheetView topLeftCell="A1309" workbookViewId="0">
      <selection activeCell="E2" sqref="E2"/>
    </sheetView>
  </sheetViews>
  <sheetFormatPr baseColWidth="10" defaultRowHeight="14.4" x14ac:dyDescent="0.3"/>
  <cols>
    <col min="1" max="1" width="18.88671875" bestFit="1" customWidth="1"/>
    <col min="2" max="2" width="18" bestFit="1" customWidth="1"/>
    <col min="3" max="3" width="17.6640625" bestFit="1" customWidth="1"/>
    <col min="4" max="4" width="25.109375" customWidth="1"/>
    <col min="5" max="5" width="15" bestFit="1" customWidth="1"/>
    <col min="6" max="6" width="15.5546875" bestFit="1" customWidth="1"/>
    <col min="7" max="7" width="19.5546875" bestFit="1" customWidth="1"/>
    <col min="8" max="8" width="23.77734375" bestFit="1" customWidth="1"/>
    <col min="9" max="9" width="15.5546875" bestFit="1" customWidth="1"/>
    <col min="11" max="11" width="15.88671875" customWidth="1"/>
  </cols>
  <sheetData>
    <row r="1" spans="1:9" x14ac:dyDescent="0.3">
      <c r="A1" t="s">
        <v>10</v>
      </c>
      <c r="B1" t="s">
        <v>0</v>
      </c>
      <c r="C1" t="s">
        <v>237</v>
      </c>
      <c r="D1" t="s">
        <v>611</v>
      </c>
      <c r="E1" t="s">
        <v>238</v>
      </c>
      <c r="F1" t="s">
        <v>239</v>
      </c>
      <c r="G1" t="s">
        <v>240</v>
      </c>
      <c r="H1" t="s">
        <v>636</v>
      </c>
      <c r="I1" t="s">
        <v>241</v>
      </c>
    </row>
    <row r="2" spans="1:9" x14ac:dyDescent="0.3">
      <c r="A2">
        <v>1</v>
      </c>
      <c r="B2">
        <v>10</v>
      </c>
      <c r="C2" t="s">
        <v>40</v>
      </c>
      <c r="D2" t="s">
        <v>613</v>
      </c>
      <c r="E2">
        <v>18</v>
      </c>
      <c r="F2">
        <v>30</v>
      </c>
      <c r="G2">
        <v>3</v>
      </c>
      <c r="H2">
        <v>32</v>
      </c>
      <c r="I2" t="s">
        <v>243</v>
      </c>
    </row>
    <row r="3" spans="1:9" x14ac:dyDescent="0.3">
      <c r="A3">
        <v>1</v>
      </c>
      <c r="B3">
        <v>10</v>
      </c>
      <c r="C3" t="s">
        <v>75</v>
      </c>
      <c r="D3" t="s">
        <v>612</v>
      </c>
      <c r="E3">
        <v>14</v>
      </c>
      <c r="F3">
        <v>24</v>
      </c>
      <c r="G3">
        <v>2</v>
      </c>
      <c r="H3">
        <v>25</v>
      </c>
      <c r="I3" t="s">
        <v>242</v>
      </c>
    </row>
    <row r="4" spans="1:9" x14ac:dyDescent="0.3">
      <c r="A4">
        <v>2</v>
      </c>
      <c r="B4">
        <v>6</v>
      </c>
      <c r="C4" t="s">
        <v>56</v>
      </c>
      <c r="D4" t="s">
        <v>614</v>
      </c>
      <c r="E4">
        <v>19</v>
      </c>
      <c r="F4">
        <v>31</v>
      </c>
      <c r="G4">
        <v>1</v>
      </c>
      <c r="H4">
        <v>51</v>
      </c>
      <c r="I4" t="s">
        <v>242</v>
      </c>
    </row>
    <row r="5" spans="1:9" x14ac:dyDescent="0.3">
      <c r="A5">
        <v>2</v>
      </c>
      <c r="B5">
        <v>6</v>
      </c>
      <c r="C5" t="s">
        <v>50</v>
      </c>
      <c r="D5" t="s">
        <v>615</v>
      </c>
      <c r="E5">
        <v>16</v>
      </c>
      <c r="F5">
        <v>27</v>
      </c>
      <c r="G5">
        <v>1</v>
      </c>
      <c r="H5">
        <v>34</v>
      </c>
      <c r="I5" t="s">
        <v>243</v>
      </c>
    </row>
    <row r="6" spans="1:9" x14ac:dyDescent="0.3">
      <c r="A6">
        <v>3</v>
      </c>
      <c r="B6">
        <v>20</v>
      </c>
      <c r="C6" t="s">
        <v>56</v>
      </c>
      <c r="D6" t="s">
        <v>614</v>
      </c>
      <c r="E6">
        <v>19</v>
      </c>
      <c r="F6">
        <v>31</v>
      </c>
      <c r="G6">
        <v>1</v>
      </c>
      <c r="H6">
        <v>27</v>
      </c>
      <c r="I6" t="s">
        <v>242</v>
      </c>
    </row>
    <row r="7" spans="1:9" x14ac:dyDescent="0.3">
      <c r="A7">
        <v>3</v>
      </c>
      <c r="B7">
        <v>20</v>
      </c>
      <c r="C7" t="s">
        <v>44</v>
      </c>
      <c r="D7" t="s">
        <v>617</v>
      </c>
      <c r="E7">
        <v>22</v>
      </c>
      <c r="F7">
        <v>36</v>
      </c>
      <c r="G7">
        <v>1</v>
      </c>
      <c r="H7">
        <v>36</v>
      </c>
      <c r="I7" t="s">
        <v>242</v>
      </c>
    </row>
    <row r="8" spans="1:9" x14ac:dyDescent="0.3">
      <c r="A8">
        <v>3</v>
      </c>
      <c r="B8">
        <v>20</v>
      </c>
      <c r="C8" t="s">
        <v>34</v>
      </c>
      <c r="D8" t="s">
        <v>616</v>
      </c>
      <c r="E8">
        <v>25</v>
      </c>
      <c r="F8">
        <v>40</v>
      </c>
      <c r="G8">
        <v>1</v>
      </c>
      <c r="H8">
        <v>9</v>
      </c>
      <c r="I8" t="s">
        <v>243</v>
      </c>
    </row>
    <row r="9" spans="1:9" x14ac:dyDescent="0.3">
      <c r="A9">
        <v>3</v>
      </c>
      <c r="B9">
        <v>20</v>
      </c>
      <c r="C9" t="s">
        <v>26</v>
      </c>
      <c r="D9" t="s">
        <v>618</v>
      </c>
      <c r="E9">
        <v>17</v>
      </c>
      <c r="F9">
        <v>29</v>
      </c>
      <c r="G9">
        <v>2</v>
      </c>
      <c r="H9">
        <v>54</v>
      </c>
      <c r="I9" t="s">
        <v>243</v>
      </c>
    </row>
    <row r="10" spans="1:9" x14ac:dyDescent="0.3">
      <c r="A10">
        <v>4</v>
      </c>
      <c r="B10">
        <v>3</v>
      </c>
      <c r="C10" t="s">
        <v>112</v>
      </c>
      <c r="D10" t="s">
        <v>619</v>
      </c>
      <c r="E10">
        <v>20</v>
      </c>
      <c r="F10">
        <v>33</v>
      </c>
      <c r="G10">
        <v>3</v>
      </c>
      <c r="H10">
        <v>23</v>
      </c>
      <c r="I10" t="s">
        <v>243</v>
      </c>
    </row>
    <row r="11" spans="1:9" x14ac:dyDescent="0.3">
      <c r="A11">
        <v>4</v>
      </c>
      <c r="B11">
        <v>3</v>
      </c>
      <c r="C11" t="s">
        <v>30</v>
      </c>
      <c r="D11" t="s">
        <v>620</v>
      </c>
      <c r="E11">
        <v>16</v>
      </c>
      <c r="F11">
        <v>28</v>
      </c>
      <c r="G11">
        <v>3</v>
      </c>
      <c r="H11">
        <v>17</v>
      </c>
      <c r="I11" t="s">
        <v>242</v>
      </c>
    </row>
    <row r="12" spans="1:9" x14ac:dyDescent="0.3">
      <c r="A12">
        <v>5</v>
      </c>
      <c r="B12">
        <v>8</v>
      </c>
      <c r="C12" t="s">
        <v>53</v>
      </c>
      <c r="D12" t="s">
        <v>621</v>
      </c>
      <c r="E12">
        <v>11</v>
      </c>
      <c r="F12">
        <v>19</v>
      </c>
      <c r="G12">
        <v>1</v>
      </c>
      <c r="H12">
        <v>8</v>
      </c>
      <c r="I12" t="s">
        <v>242</v>
      </c>
    </row>
    <row r="13" spans="1:9" x14ac:dyDescent="0.3">
      <c r="A13">
        <v>5</v>
      </c>
      <c r="B13">
        <v>8</v>
      </c>
      <c r="C13" t="s">
        <v>75</v>
      </c>
      <c r="D13" t="s">
        <v>612</v>
      </c>
      <c r="E13">
        <v>14</v>
      </c>
      <c r="F13">
        <v>24</v>
      </c>
      <c r="G13">
        <v>2</v>
      </c>
      <c r="H13">
        <v>9</v>
      </c>
      <c r="I13" t="s">
        <v>243</v>
      </c>
    </row>
    <row r="14" spans="1:9" x14ac:dyDescent="0.3">
      <c r="A14">
        <v>6</v>
      </c>
      <c r="B14">
        <v>7</v>
      </c>
      <c r="C14" t="s">
        <v>19</v>
      </c>
      <c r="D14" t="s">
        <v>622</v>
      </c>
      <c r="E14">
        <v>21</v>
      </c>
      <c r="F14">
        <v>35</v>
      </c>
      <c r="G14">
        <v>2</v>
      </c>
      <c r="H14">
        <v>11</v>
      </c>
      <c r="I14" t="s">
        <v>243</v>
      </c>
    </row>
    <row r="15" spans="1:9" x14ac:dyDescent="0.3">
      <c r="A15">
        <v>7</v>
      </c>
      <c r="B15">
        <v>17</v>
      </c>
      <c r="C15" t="s">
        <v>105</v>
      </c>
      <c r="D15" t="s">
        <v>623</v>
      </c>
      <c r="E15">
        <v>19</v>
      </c>
      <c r="F15">
        <v>32</v>
      </c>
      <c r="G15">
        <v>2</v>
      </c>
      <c r="H15">
        <v>15</v>
      </c>
      <c r="I15" t="s">
        <v>243</v>
      </c>
    </row>
    <row r="16" spans="1:9" x14ac:dyDescent="0.3">
      <c r="A16">
        <v>7</v>
      </c>
      <c r="B16">
        <v>17</v>
      </c>
      <c r="C16" t="s">
        <v>44</v>
      </c>
      <c r="D16" t="s">
        <v>617</v>
      </c>
      <c r="E16">
        <v>22</v>
      </c>
      <c r="F16">
        <v>36</v>
      </c>
      <c r="G16">
        <v>3</v>
      </c>
      <c r="H16">
        <v>26</v>
      </c>
      <c r="I16" t="s">
        <v>242</v>
      </c>
    </row>
    <row r="17" spans="1:9" x14ac:dyDescent="0.3">
      <c r="A17">
        <v>8</v>
      </c>
      <c r="B17">
        <v>11</v>
      </c>
      <c r="C17" t="s">
        <v>30</v>
      </c>
      <c r="D17" t="s">
        <v>620</v>
      </c>
      <c r="E17">
        <v>16</v>
      </c>
      <c r="F17">
        <v>28</v>
      </c>
      <c r="G17">
        <v>2</v>
      </c>
      <c r="H17">
        <v>8</v>
      </c>
      <c r="I17" t="s">
        <v>242</v>
      </c>
    </row>
    <row r="18" spans="1:9" x14ac:dyDescent="0.3">
      <c r="A18">
        <v>8</v>
      </c>
      <c r="B18">
        <v>11</v>
      </c>
      <c r="C18" t="s">
        <v>34</v>
      </c>
      <c r="D18" t="s">
        <v>616</v>
      </c>
      <c r="E18">
        <v>25</v>
      </c>
      <c r="F18">
        <v>40</v>
      </c>
      <c r="G18">
        <v>3</v>
      </c>
      <c r="H18">
        <v>36</v>
      </c>
      <c r="I18" t="s">
        <v>242</v>
      </c>
    </row>
    <row r="19" spans="1:9" x14ac:dyDescent="0.3">
      <c r="A19">
        <v>8</v>
      </c>
      <c r="B19">
        <v>11</v>
      </c>
      <c r="C19" t="s">
        <v>92</v>
      </c>
      <c r="D19" t="s">
        <v>624</v>
      </c>
      <c r="E19">
        <v>13</v>
      </c>
      <c r="F19">
        <v>22</v>
      </c>
      <c r="G19">
        <v>3</v>
      </c>
      <c r="H19">
        <v>11</v>
      </c>
      <c r="I19" t="s">
        <v>242</v>
      </c>
    </row>
    <row r="20" spans="1:9" x14ac:dyDescent="0.3">
      <c r="A20">
        <v>9</v>
      </c>
      <c r="B20">
        <v>15</v>
      </c>
      <c r="C20" t="s">
        <v>53</v>
      </c>
      <c r="D20" t="s">
        <v>621</v>
      </c>
      <c r="E20">
        <v>11</v>
      </c>
      <c r="F20">
        <v>19</v>
      </c>
      <c r="G20">
        <v>1</v>
      </c>
      <c r="H20">
        <v>15</v>
      </c>
      <c r="I20" t="s">
        <v>242</v>
      </c>
    </row>
    <row r="21" spans="1:9" x14ac:dyDescent="0.3">
      <c r="A21">
        <v>9</v>
      </c>
      <c r="B21">
        <v>15</v>
      </c>
      <c r="C21" t="s">
        <v>105</v>
      </c>
      <c r="D21" t="s">
        <v>623</v>
      </c>
      <c r="E21">
        <v>19</v>
      </c>
      <c r="F21">
        <v>32</v>
      </c>
      <c r="G21">
        <v>3</v>
      </c>
      <c r="H21">
        <v>31</v>
      </c>
      <c r="I21" t="s">
        <v>242</v>
      </c>
    </row>
    <row r="22" spans="1:9" x14ac:dyDescent="0.3">
      <c r="A22">
        <v>9</v>
      </c>
      <c r="B22">
        <v>15</v>
      </c>
      <c r="C22" t="s">
        <v>40</v>
      </c>
      <c r="D22" t="s">
        <v>613</v>
      </c>
      <c r="E22">
        <v>18</v>
      </c>
      <c r="F22">
        <v>30</v>
      </c>
      <c r="G22">
        <v>1</v>
      </c>
      <c r="H22">
        <v>51</v>
      </c>
      <c r="I22" t="s">
        <v>242</v>
      </c>
    </row>
    <row r="23" spans="1:9" x14ac:dyDescent="0.3">
      <c r="A23">
        <v>9</v>
      </c>
      <c r="B23">
        <v>15</v>
      </c>
      <c r="C23" t="s">
        <v>75</v>
      </c>
      <c r="D23" t="s">
        <v>612</v>
      </c>
      <c r="E23">
        <v>14</v>
      </c>
      <c r="F23">
        <v>24</v>
      </c>
      <c r="G23">
        <v>1</v>
      </c>
      <c r="H23">
        <v>49</v>
      </c>
      <c r="I23" t="s">
        <v>243</v>
      </c>
    </row>
    <row r="24" spans="1:9" x14ac:dyDescent="0.3">
      <c r="A24">
        <v>10</v>
      </c>
      <c r="B24">
        <v>17</v>
      </c>
      <c r="C24" t="s">
        <v>38</v>
      </c>
      <c r="D24" t="s">
        <v>625</v>
      </c>
      <c r="E24">
        <v>20</v>
      </c>
      <c r="F24">
        <v>34</v>
      </c>
      <c r="G24">
        <v>2</v>
      </c>
      <c r="H24">
        <v>10</v>
      </c>
      <c r="I24" t="s">
        <v>243</v>
      </c>
    </row>
    <row r="25" spans="1:9" x14ac:dyDescent="0.3">
      <c r="A25">
        <v>10</v>
      </c>
      <c r="B25">
        <v>17</v>
      </c>
      <c r="C25" t="s">
        <v>34</v>
      </c>
      <c r="D25" t="s">
        <v>616</v>
      </c>
      <c r="E25">
        <v>25</v>
      </c>
      <c r="F25">
        <v>40</v>
      </c>
      <c r="G25">
        <v>2</v>
      </c>
      <c r="H25">
        <v>19</v>
      </c>
      <c r="I25" t="s">
        <v>242</v>
      </c>
    </row>
    <row r="26" spans="1:9" x14ac:dyDescent="0.3">
      <c r="A26">
        <v>11</v>
      </c>
      <c r="B26">
        <v>14</v>
      </c>
      <c r="C26" t="s">
        <v>30</v>
      </c>
      <c r="D26" t="s">
        <v>620</v>
      </c>
      <c r="E26">
        <v>16</v>
      </c>
      <c r="F26">
        <v>28</v>
      </c>
      <c r="G26">
        <v>1</v>
      </c>
      <c r="H26">
        <v>32</v>
      </c>
      <c r="I26" t="s">
        <v>243</v>
      </c>
    </row>
    <row r="27" spans="1:9" x14ac:dyDescent="0.3">
      <c r="A27">
        <v>11</v>
      </c>
      <c r="B27">
        <v>14</v>
      </c>
      <c r="C27" t="s">
        <v>40</v>
      </c>
      <c r="D27" t="s">
        <v>613</v>
      </c>
      <c r="E27">
        <v>18</v>
      </c>
      <c r="F27">
        <v>30</v>
      </c>
      <c r="G27">
        <v>2</v>
      </c>
      <c r="H27">
        <v>24</v>
      </c>
      <c r="I27" t="s">
        <v>243</v>
      </c>
    </row>
    <row r="28" spans="1:9" x14ac:dyDescent="0.3">
      <c r="A28">
        <v>12</v>
      </c>
      <c r="B28">
        <v>14</v>
      </c>
      <c r="C28" t="s">
        <v>30</v>
      </c>
      <c r="D28" t="s">
        <v>620</v>
      </c>
      <c r="E28">
        <v>16</v>
      </c>
      <c r="F28">
        <v>28</v>
      </c>
      <c r="G28">
        <v>1</v>
      </c>
      <c r="H28">
        <v>5</v>
      </c>
      <c r="I28" t="s">
        <v>243</v>
      </c>
    </row>
    <row r="29" spans="1:9" x14ac:dyDescent="0.3">
      <c r="A29">
        <v>12</v>
      </c>
      <c r="B29">
        <v>14</v>
      </c>
      <c r="C29" t="s">
        <v>44</v>
      </c>
      <c r="D29" t="s">
        <v>617</v>
      </c>
      <c r="E29">
        <v>22</v>
      </c>
      <c r="F29">
        <v>36</v>
      </c>
      <c r="G29">
        <v>3</v>
      </c>
      <c r="H29">
        <v>44</v>
      </c>
      <c r="I29" t="s">
        <v>242</v>
      </c>
    </row>
    <row r="30" spans="1:9" x14ac:dyDescent="0.3">
      <c r="A30">
        <v>12</v>
      </c>
      <c r="B30">
        <v>14</v>
      </c>
      <c r="C30" t="s">
        <v>34</v>
      </c>
      <c r="D30" t="s">
        <v>616</v>
      </c>
      <c r="E30">
        <v>25</v>
      </c>
      <c r="F30">
        <v>40</v>
      </c>
      <c r="G30">
        <v>3</v>
      </c>
      <c r="H30">
        <v>40</v>
      </c>
      <c r="I30" t="s">
        <v>242</v>
      </c>
    </row>
    <row r="31" spans="1:9" x14ac:dyDescent="0.3">
      <c r="A31">
        <v>12</v>
      </c>
      <c r="B31">
        <v>14</v>
      </c>
      <c r="C31" t="s">
        <v>19</v>
      </c>
      <c r="D31" t="s">
        <v>622</v>
      </c>
      <c r="E31">
        <v>21</v>
      </c>
      <c r="F31">
        <v>35</v>
      </c>
      <c r="G31">
        <v>2</v>
      </c>
      <c r="H31">
        <v>6</v>
      </c>
      <c r="I31" t="s">
        <v>242</v>
      </c>
    </row>
    <row r="32" spans="1:9" x14ac:dyDescent="0.3">
      <c r="A32">
        <v>13</v>
      </c>
      <c r="B32">
        <v>2</v>
      </c>
      <c r="C32" t="s">
        <v>26</v>
      </c>
      <c r="D32" t="s">
        <v>618</v>
      </c>
      <c r="E32">
        <v>17</v>
      </c>
      <c r="F32">
        <v>29</v>
      </c>
      <c r="G32">
        <v>3</v>
      </c>
      <c r="H32">
        <v>59</v>
      </c>
      <c r="I32" t="s">
        <v>243</v>
      </c>
    </row>
    <row r="33" spans="1:9" x14ac:dyDescent="0.3">
      <c r="A33">
        <v>14</v>
      </c>
      <c r="B33">
        <v>16</v>
      </c>
      <c r="C33" t="s">
        <v>112</v>
      </c>
      <c r="D33" t="s">
        <v>619</v>
      </c>
      <c r="E33">
        <v>20</v>
      </c>
      <c r="F33">
        <v>33</v>
      </c>
      <c r="G33">
        <v>1</v>
      </c>
      <c r="H33">
        <v>26</v>
      </c>
      <c r="I33" t="s">
        <v>242</v>
      </c>
    </row>
    <row r="34" spans="1:9" x14ac:dyDescent="0.3">
      <c r="A34">
        <v>14</v>
      </c>
      <c r="B34">
        <v>16</v>
      </c>
      <c r="C34" t="s">
        <v>89</v>
      </c>
      <c r="D34" t="s">
        <v>627</v>
      </c>
      <c r="E34">
        <v>14</v>
      </c>
      <c r="F34">
        <v>23</v>
      </c>
      <c r="G34">
        <v>2</v>
      </c>
      <c r="H34">
        <v>44</v>
      </c>
      <c r="I34" t="s">
        <v>243</v>
      </c>
    </row>
    <row r="35" spans="1:9" x14ac:dyDescent="0.3">
      <c r="A35">
        <v>14</v>
      </c>
      <c r="B35">
        <v>16</v>
      </c>
      <c r="C35" t="s">
        <v>40</v>
      </c>
      <c r="D35" t="s">
        <v>613</v>
      </c>
      <c r="E35">
        <v>18</v>
      </c>
      <c r="F35">
        <v>30</v>
      </c>
      <c r="G35">
        <v>1</v>
      </c>
      <c r="H35">
        <v>48</v>
      </c>
      <c r="I35" t="s">
        <v>242</v>
      </c>
    </row>
    <row r="36" spans="1:9" x14ac:dyDescent="0.3">
      <c r="A36">
        <v>14</v>
      </c>
      <c r="B36">
        <v>16</v>
      </c>
      <c r="C36" t="s">
        <v>66</v>
      </c>
      <c r="D36" t="s">
        <v>626</v>
      </c>
      <c r="E36">
        <v>12</v>
      </c>
      <c r="F36">
        <v>20</v>
      </c>
      <c r="G36">
        <v>1</v>
      </c>
      <c r="H36">
        <v>36</v>
      </c>
      <c r="I36" t="s">
        <v>242</v>
      </c>
    </row>
    <row r="37" spans="1:9" x14ac:dyDescent="0.3">
      <c r="A37">
        <v>15</v>
      </c>
      <c r="B37">
        <v>6</v>
      </c>
      <c r="C37" t="s">
        <v>42</v>
      </c>
      <c r="D37" t="s">
        <v>628</v>
      </c>
      <c r="E37">
        <v>13</v>
      </c>
      <c r="F37">
        <v>21</v>
      </c>
      <c r="G37">
        <v>3</v>
      </c>
      <c r="H37">
        <v>27</v>
      </c>
      <c r="I37" t="s">
        <v>242</v>
      </c>
    </row>
    <row r="38" spans="1:9" x14ac:dyDescent="0.3">
      <c r="A38">
        <v>15</v>
      </c>
      <c r="B38">
        <v>6</v>
      </c>
      <c r="C38" t="s">
        <v>30</v>
      </c>
      <c r="D38" t="s">
        <v>620</v>
      </c>
      <c r="E38">
        <v>16</v>
      </c>
      <c r="F38">
        <v>28</v>
      </c>
      <c r="G38">
        <v>2</v>
      </c>
      <c r="H38">
        <v>25</v>
      </c>
      <c r="I38" t="s">
        <v>242</v>
      </c>
    </row>
    <row r="39" spans="1:9" x14ac:dyDescent="0.3">
      <c r="A39">
        <v>15</v>
      </c>
      <c r="B39">
        <v>6</v>
      </c>
      <c r="C39" t="s">
        <v>19</v>
      </c>
      <c r="D39" t="s">
        <v>622</v>
      </c>
      <c r="E39">
        <v>21</v>
      </c>
      <c r="F39">
        <v>35</v>
      </c>
      <c r="G39">
        <v>3</v>
      </c>
      <c r="H39">
        <v>51</v>
      </c>
      <c r="I39" t="s">
        <v>242</v>
      </c>
    </row>
    <row r="40" spans="1:9" x14ac:dyDescent="0.3">
      <c r="A40">
        <v>16</v>
      </c>
      <c r="B40">
        <v>20</v>
      </c>
      <c r="C40" t="s">
        <v>30</v>
      </c>
      <c r="D40" t="s">
        <v>620</v>
      </c>
      <c r="E40">
        <v>16</v>
      </c>
      <c r="F40">
        <v>28</v>
      </c>
      <c r="G40">
        <v>1</v>
      </c>
      <c r="H40">
        <v>38</v>
      </c>
      <c r="I40" t="s">
        <v>242</v>
      </c>
    </row>
    <row r="41" spans="1:9" x14ac:dyDescent="0.3">
      <c r="A41">
        <v>17</v>
      </c>
      <c r="B41">
        <v>14</v>
      </c>
      <c r="C41" t="s">
        <v>46</v>
      </c>
      <c r="D41" t="s">
        <v>629</v>
      </c>
      <c r="E41">
        <v>10</v>
      </c>
      <c r="F41">
        <v>18</v>
      </c>
      <c r="G41">
        <v>2</v>
      </c>
      <c r="H41">
        <v>58</v>
      </c>
      <c r="I41" t="s">
        <v>242</v>
      </c>
    </row>
    <row r="42" spans="1:9" x14ac:dyDescent="0.3">
      <c r="A42">
        <v>17</v>
      </c>
      <c r="B42">
        <v>14</v>
      </c>
      <c r="C42" t="s">
        <v>92</v>
      </c>
      <c r="D42" t="s">
        <v>624</v>
      </c>
      <c r="E42">
        <v>13</v>
      </c>
      <c r="F42">
        <v>22</v>
      </c>
      <c r="G42">
        <v>3</v>
      </c>
      <c r="H42">
        <v>57</v>
      </c>
      <c r="I42" t="s">
        <v>243</v>
      </c>
    </row>
    <row r="43" spans="1:9" x14ac:dyDescent="0.3">
      <c r="A43">
        <v>17</v>
      </c>
      <c r="B43">
        <v>14</v>
      </c>
      <c r="C43" t="s">
        <v>19</v>
      </c>
      <c r="D43" t="s">
        <v>622</v>
      </c>
      <c r="E43">
        <v>21</v>
      </c>
      <c r="F43">
        <v>35</v>
      </c>
      <c r="G43">
        <v>1</v>
      </c>
      <c r="H43">
        <v>43</v>
      </c>
      <c r="I43" t="s">
        <v>243</v>
      </c>
    </row>
    <row r="44" spans="1:9" x14ac:dyDescent="0.3">
      <c r="A44">
        <v>18</v>
      </c>
      <c r="B44">
        <v>9</v>
      </c>
      <c r="C44" t="s">
        <v>71</v>
      </c>
      <c r="D44" t="s">
        <v>630</v>
      </c>
      <c r="E44">
        <v>15</v>
      </c>
      <c r="F44">
        <v>26</v>
      </c>
      <c r="G44">
        <v>3</v>
      </c>
      <c r="H44">
        <v>23</v>
      </c>
      <c r="I44" t="s">
        <v>242</v>
      </c>
    </row>
    <row r="45" spans="1:9" x14ac:dyDescent="0.3">
      <c r="A45">
        <v>18</v>
      </c>
      <c r="B45">
        <v>9</v>
      </c>
      <c r="C45" t="s">
        <v>105</v>
      </c>
      <c r="D45" t="s">
        <v>623</v>
      </c>
      <c r="E45">
        <v>19</v>
      </c>
      <c r="F45">
        <v>32</v>
      </c>
      <c r="G45">
        <v>2</v>
      </c>
      <c r="H45">
        <v>34</v>
      </c>
      <c r="I45" t="s">
        <v>242</v>
      </c>
    </row>
    <row r="46" spans="1:9" x14ac:dyDescent="0.3">
      <c r="A46">
        <v>18</v>
      </c>
      <c r="B46">
        <v>9</v>
      </c>
      <c r="C46" t="s">
        <v>34</v>
      </c>
      <c r="D46" t="s">
        <v>616</v>
      </c>
      <c r="E46">
        <v>25</v>
      </c>
      <c r="F46">
        <v>40</v>
      </c>
      <c r="G46">
        <v>2</v>
      </c>
      <c r="H46">
        <v>54</v>
      </c>
      <c r="I46" t="s">
        <v>242</v>
      </c>
    </row>
    <row r="47" spans="1:9" x14ac:dyDescent="0.3">
      <c r="A47">
        <v>18</v>
      </c>
      <c r="B47">
        <v>9</v>
      </c>
      <c r="C47" t="s">
        <v>26</v>
      </c>
      <c r="D47" t="s">
        <v>618</v>
      </c>
      <c r="E47">
        <v>17</v>
      </c>
      <c r="F47">
        <v>29</v>
      </c>
      <c r="G47">
        <v>1</v>
      </c>
      <c r="H47">
        <v>23</v>
      </c>
      <c r="I47" t="s">
        <v>242</v>
      </c>
    </row>
    <row r="48" spans="1:9" x14ac:dyDescent="0.3">
      <c r="A48">
        <v>19</v>
      </c>
      <c r="B48">
        <v>18</v>
      </c>
      <c r="C48" t="s">
        <v>34</v>
      </c>
      <c r="D48" t="s">
        <v>616</v>
      </c>
      <c r="E48">
        <v>25</v>
      </c>
      <c r="F48">
        <v>40</v>
      </c>
      <c r="G48">
        <v>2</v>
      </c>
      <c r="H48">
        <v>44</v>
      </c>
      <c r="I48" t="s">
        <v>243</v>
      </c>
    </row>
    <row r="49" spans="1:9" x14ac:dyDescent="0.3">
      <c r="A49">
        <v>20</v>
      </c>
      <c r="B49">
        <v>8</v>
      </c>
      <c r="C49" t="s">
        <v>60</v>
      </c>
      <c r="D49" t="s">
        <v>631</v>
      </c>
      <c r="E49">
        <v>15</v>
      </c>
      <c r="F49">
        <v>25</v>
      </c>
      <c r="G49">
        <v>2</v>
      </c>
      <c r="H49">
        <v>6</v>
      </c>
      <c r="I49" t="s">
        <v>243</v>
      </c>
    </row>
    <row r="50" spans="1:9" x14ac:dyDescent="0.3">
      <c r="A50">
        <v>20</v>
      </c>
      <c r="B50">
        <v>8</v>
      </c>
      <c r="C50" t="s">
        <v>89</v>
      </c>
      <c r="D50" t="s">
        <v>627</v>
      </c>
      <c r="E50">
        <v>14</v>
      </c>
      <c r="F50">
        <v>23</v>
      </c>
      <c r="G50">
        <v>1</v>
      </c>
      <c r="H50">
        <v>14</v>
      </c>
      <c r="I50" t="s">
        <v>243</v>
      </c>
    </row>
    <row r="51" spans="1:9" x14ac:dyDescent="0.3">
      <c r="A51">
        <v>20</v>
      </c>
      <c r="B51">
        <v>8</v>
      </c>
      <c r="C51" t="s">
        <v>19</v>
      </c>
      <c r="D51" t="s">
        <v>622</v>
      </c>
      <c r="E51">
        <v>21</v>
      </c>
      <c r="F51">
        <v>35</v>
      </c>
      <c r="G51">
        <v>3</v>
      </c>
      <c r="H51">
        <v>50</v>
      </c>
      <c r="I51" t="s">
        <v>243</v>
      </c>
    </row>
    <row r="52" spans="1:9" x14ac:dyDescent="0.3">
      <c r="A52">
        <v>21</v>
      </c>
      <c r="B52">
        <v>12</v>
      </c>
      <c r="C52" t="s">
        <v>60</v>
      </c>
      <c r="D52" t="s">
        <v>631</v>
      </c>
      <c r="E52">
        <v>15</v>
      </c>
      <c r="F52">
        <v>25</v>
      </c>
      <c r="G52">
        <v>2</v>
      </c>
      <c r="H52">
        <v>45</v>
      </c>
      <c r="I52" t="s">
        <v>243</v>
      </c>
    </row>
    <row r="53" spans="1:9" x14ac:dyDescent="0.3">
      <c r="A53">
        <v>21</v>
      </c>
      <c r="B53">
        <v>12</v>
      </c>
      <c r="C53" t="s">
        <v>105</v>
      </c>
      <c r="D53" t="s">
        <v>623</v>
      </c>
      <c r="E53">
        <v>19</v>
      </c>
      <c r="F53">
        <v>32</v>
      </c>
      <c r="G53">
        <v>2</v>
      </c>
      <c r="H53">
        <v>44</v>
      </c>
      <c r="I53" t="s">
        <v>243</v>
      </c>
    </row>
    <row r="54" spans="1:9" x14ac:dyDescent="0.3">
      <c r="A54">
        <v>21</v>
      </c>
      <c r="B54">
        <v>12</v>
      </c>
      <c r="C54" t="s">
        <v>34</v>
      </c>
      <c r="D54" t="s">
        <v>616</v>
      </c>
      <c r="E54">
        <v>25</v>
      </c>
      <c r="F54">
        <v>40</v>
      </c>
      <c r="G54">
        <v>3</v>
      </c>
      <c r="H54">
        <v>20</v>
      </c>
      <c r="I54" t="s">
        <v>242</v>
      </c>
    </row>
    <row r="55" spans="1:9" x14ac:dyDescent="0.3">
      <c r="A55">
        <v>21</v>
      </c>
      <c r="B55">
        <v>12</v>
      </c>
      <c r="C55" t="s">
        <v>66</v>
      </c>
      <c r="D55" t="s">
        <v>626</v>
      </c>
      <c r="E55">
        <v>12</v>
      </c>
      <c r="F55">
        <v>20</v>
      </c>
      <c r="G55">
        <v>2</v>
      </c>
      <c r="H55">
        <v>43</v>
      </c>
      <c r="I55" t="s">
        <v>242</v>
      </c>
    </row>
    <row r="56" spans="1:9" x14ac:dyDescent="0.3">
      <c r="A56">
        <v>22</v>
      </c>
      <c r="B56">
        <v>15</v>
      </c>
      <c r="C56" t="s">
        <v>38</v>
      </c>
      <c r="D56" t="s">
        <v>625</v>
      </c>
      <c r="E56">
        <v>20</v>
      </c>
      <c r="F56">
        <v>34</v>
      </c>
      <c r="G56">
        <v>3</v>
      </c>
      <c r="H56">
        <v>19</v>
      </c>
      <c r="I56" t="s">
        <v>242</v>
      </c>
    </row>
    <row r="57" spans="1:9" x14ac:dyDescent="0.3">
      <c r="A57">
        <v>22</v>
      </c>
      <c r="B57">
        <v>15</v>
      </c>
      <c r="C57" t="s">
        <v>46</v>
      </c>
      <c r="D57" t="s">
        <v>629</v>
      </c>
      <c r="E57">
        <v>10</v>
      </c>
      <c r="F57">
        <v>18</v>
      </c>
      <c r="G57">
        <v>1</v>
      </c>
      <c r="H57">
        <v>32</v>
      </c>
      <c r="I57" t="s">
        <v>242</v>
      </c>
    </row>
    <row r="58" spans="1:9" x14ac:dyDescent="0.3">
      <c r="A58">
        <v>22</v>
      </c>
      <c r="B58">
        <v>15</v>
      </c>
      <c r="C58" t="s">
        <v>19</v>
      </c>
      <c r="D58" t="s">
        <v>622</v>
      </c>
      <c r="E58">
        <v>21</v>
      </c>
      <c r="F58">
        <v>35</v>
      </c>
      <c r="G58">
        <v>1</v>
      </c>
      <c r="H58">
        <v>59</v>
      </c>
      <c r="I58" t="s">
        <v>243</v>
      </c>
    </row>
    <row r="59" spans="1:9" x14ac:dyDescent="0.3">
      <c r="A59">
        <v>22</v>
      </c>
      <c r="B59">
        <v>15</v>
      </c>
      <c r="C59" t="s">
        <v>26</v>
      </c>
      <c r="D59" t="s">
        <v>618</v>
      </c>
      <c r="E59">
        <v>17</v>
      </c>
      <c r="F59">
        <v>29</v>
      </c>
      <c r="G59">
        <v>2</v>
      </c>
      <c r="H59">
        <v>13</v>
      </c>
      <c r="I59" t="s">
        <v>243</v>
      </c>
    </row>
    <row r="60" spans="1:9" x14ac:dyDescent="0.3">
      <c r="A60">
        <v>23</v>
      </c>
      <c r="B60">
        <v>1</v>
      </c>
      <c r="C60" t="s">
        <v>53</v>
      </c>
      <c r="D60" t="s">
        <v>621</v>
      </c>
      <c r="E60">
        <v>11</v>
      </c>
      <c r="F60">
        <v>19</v>
      </c>
      <c r="G60">
        <v>3</v>
      </c>
      <c r="H60">
        <v>46</v>
      </c>
      <c r="I60" t="s">
        <v>243</v>
      </c>
    </row>
    <row r="61" spans="1:9" x14ac:dyDescent="0.3">
      <c r="A61">
        <v>23</v>
      </c>
      <c r="B61">
        <v>1</v>
      </c>
      <c r="C61" t="s">
        <v>50</v>
      </c>
      <c r="D61" t="s">
        <v>615</v>
      </c>
      <c r="E61">
        <v>16</v>
      </c>
      <c r="F61">
        <v>27</v>
      </c>
      <c r="G61">
        <v>3</v>
      </c>
      <c r="H61">
        <v>17</v>
      </c>
      <c r="I61" t="s">
        <v>243</v>
      </c>
    </row>
    <row r="62" spans="1:9" x14ac:dyDescent="0.3">
      <c r="A62">
        <v>24</v>
      </c>
      <c r="B62">
        <v>5</v>
      </c>
      <c r="C62" t="s">
        <v>71</v>
      </c>
      <c r="D62" t="s">
        <v>630</v>
      </c>
      <c r="E62">
        <v>15</v>
      </c>
      <c r="F62">
        <v>26</v>
      </c>
      <c r="G62">
        <v>3</v>
      </c>
      <c r="H62">
        <v>45</v>
      </c>
      <c r="I62" t="s">
        <v>242</v>
      </c>
    </row>
    <row r="63" spans="1:9" x14ac:dyDescent="0.3">
      <c r="A63">
        <v>24</v>
      </c>
      <c r="B63">
        <v>5</v>
      </c>
      <c r="C63" t="s">
        <v>89</v>
      </c>
      <c r="D63" t="s">
        <v>627</v>
      </c>
      <c r="E63">
        <v>14</v>
      </c>
      <c r="F63">
        <v>23</v>
      </c>
      <c r="G63">
        <v>2</v>
      </c>
      <c r="H63">
        <v>42</v>
      </c>
      <c r="I63" t="s">
        <v>243</v>
      </c>
    </row>
    <row r="64" spans="1:9" x14ac:dyDescent="0.3">
      <c r="A64">
        <v>24</v>
      </c>
      <c r="B64">
        <v>5</v>
      </c>
      <c r="C64" t="s">
        <v>34</v>
      </c>
      <c r="D64" t="s">
        <v>616</v>
      </c>
      <c r="E64">
        <v>25</v>
      </c>
      <c r="F64">
        <v>40</v>
      </c>
      <c r="G64">
        <v>2</v>
      </c>
      <c r="H64">
        <v>47</v>
      </c>
      <c r="I64" t="s">
        <v>243</v>
      </c>
    </row>
    <row r="65" spans="1:9" x14ac:dyDescent="0.3">
      <c r="A65">
        <v>24</v>
      </c>
      <c r="B65">
        <v>5</v>
      </c>
      <c r="C65" t="s">
        <v>26</v>
      </c>
      <c r="D65" t="s">
        <v>618</v>
      </c>
      <c r="E65">
        <v>17</v>
      </c>
      <c r="F65">
        <v>29</v>
      </c>
      <c r="G65">
        <v>1</v>
      </c>
      <c r="H65">
        <v>46</v>
      </c>
      <c r="I65" t="s">
        <v>242</v>
      </c>
    </row>
    <row r="66" spans="1:9" x14ac:dyDescent="0.3">
      <c r="A66">
        <v>25</v>
      </c>
      <c r="B66">
        <v>12</v>
      </c>
      <c r="C66" t="s">
        <v>38</v>
      </c>
      <c r="D66" t="s">
        <v>625</v>
      </c>
      <c r="E66">
        <v>20</v>
      </c>
      <c r="F66">
        <v>34</v>
      </c>
      <c r="G66">
        <v>1</v>
      </c>
      <c r="H66">
        <v>35</v>
      </c>
      <c r="I66" t="s">
        <v>243</v>
      </c>
    </row>
    <row r="67" spans="1:9" x14ac:dyDescent="0.3">
      <c r="A67">
        <v>26</v>
      </c>
      <c r="B67">
        <v>18</v>
      </c>
      <c r="C67" t="s">
        <v>42</v>
      </c>
      <c r="D67" t="s">
        <v>628</v>
      </c>
      <c r="E67">
        <v>13</v>
      </c>
      <c r="F67">
        <v>21</v>
      </c>
      <c r="G67">
        <v>2</v>
      </c>
      <c r="H67">
        <v>54</v>
      </c>
      <c r="I67" t="s">
        <v>242</v>
      </c>
    </row>
    <row r="68" spans="1:9" x14ac:dyDescent="0.3">
      <c r="A68">
        <v>26</v>
      </c>
      <c r="B68">
        <v>18</v>
      </c>
      <c r="C68" t="s">
        <v>46</v>
      </c>
      <c r="D68" t="s">
        <v>629</v>
      </c>
      <c r="E68">
        <v>10</v>
      </c>
      <c r="F68">
        <v>18</v>
      </c>
      <c r="G68">
        <v>2</v>
      </c>
      <c r="H68">
        <v>13</v>
      </c>
      <c r="I68" t="s">
        <v>243</v>
      </c>
    </row>
    <row r="69" spans="1:9" x14ac:dyDescent="0.3">
      <c r="A69">
        <v>26</v>
      </c>
      <c r="B69">
        <v>18</v>
      </c>
      <c r="C69" t="s">
        <v>75</v>
      </c>
      <c r="D69" t="s">
        <v>612</v>
      </c>
      <c r="E69">
        <v>14</v>
      </c>
      <c r="F69">
        <v>24</v>
      </c>
      <c r="G69">
        <v>2</v>
      </c>
      <c r="H69">
        <v>42</v>
      </c>
      <c r="I69" t="s">
        <v>243</v>
      </c>
    </row>
    <row r="70" spans="1:9" x14ac:dyDescent="0.3">
      <c r="A70">
        <v>27</v>
      </c>
      <c r="B70">
        <v>4</v>
      </c>
      <c r="C70" t="s">
        <v>71</v>
      </c>
      <c r="D70" t="s">
        <v>630</v>
      </c>
      <c r="E70">
        <v>15</v>
      </c>
      <c r="F70">
        <v>26</v>
      </c>
      <c r="G70">
        <v>1</v>
      </c>
      <c r="H70">
        <v>38</v>
      </c>
      <c r="I70" t="s">
        <v>243</v>
      </c>
    </row>
    <row r="71" spans="1:9" x14ac:dyDescent="0.3">
      <c r="A71">
        <v>27</v>
      </c>
      <c r="B71">
        <v>4</v>
      </c>
      <c r="C71" t="s">
        <v>19</v>
      </c>
      <c r="D71" t="s">
        <v>622</v>
      </c>
      <c r="E71">
        <v>21</v>
      </c>
      <c r="F71">
        <v>35</v>
      </c>
      <c r="G71">
        <v>1</v>
      </c>
      <c r="H71">
        <v>17</v>
      </c>
      <c r="I71" t="s">
        <v>242</v>
      </c>
    </row>
    <row r="72" spans="1:9" x14ac:dyDescent="0.3">
      <c r="A72">
        <v>28</v>
      </c>
      <c r="B72">
        <v>2</v>
      </c>
      <c r="C72" t="s">
        <v>46</v>
      </c>
      <c r="D72" t="s">
        <v>629</v>
      </c>
      <c r="E72">
        <v>10</v>
      </c>
      <c r="F72">
        <v>18</v>
      </c>
      <c r="G72">
        <v>2</v>
      </c>
      <c r="H72">
        <v>17</v>
      </c>
      <c r="I72" t="s">
        <v>243</v>
      </c>
    </row>
    <row r="73" spans="1:9" x14ac:dyDescent="0.3">
      <c r="A73">
        <v>28</v>
      </c>
      <c r="B73">
        <v>2</v>
      </c>
      <c r="C73" t="s">
        <v>26</v>
      </c>
      <c r="D73" t="s">
        <v>618</v>
      </c>
      <c r="E73">
        <v>17</v>
      </c>
      <c r="F73">
        <v>29</v>
      </c>
      <c r="G73">
        <v>2</v>
      </c>
      <c r="H73">
        <v>39</v>
      </c>
      <c r="I73" t="s">
        <v>243</v>
      </c>
    </row>
    <row r="74" spans="1:9" x14ac:dyDescent="0.3">
      <c r="A74">
        <v>29</v>
      </c>
      <c r="B74">
        <v>20</v>
      </c>
      <c r="C74" t="s">
        <v>60</v>
      </c>
      <c r="D74" t="s">
        <v>631</v>
      </c>
      <c r="E74">
        <v>15</v>
      </c>
      <c r="F74">
        <v>25</v>
      </c>
      <c r="G74">
        <v>3</v>
      </c>
      <c r="H74">
        <v>22</v>
      </c>
      <c r="I74" t="s">
        <v>243</v>
      </c>
    </row>
    <row r="75" spans="1:9" x14ac:dyDescent="0.3">
      <c r="A75">
        <v>29</v>
      </c>
      <c r="B75">
        <v>20</v>
      </c>
      <c r="C75" t="s">
        <v>56</v>
      </c>
      <c r="D75" t="s">
        <v>614</v>
      </c>
      <c r="E75">
        <v>19</v>
      </c>
      <c r="F75">
        <v>31</v>
      </c>
      <c r="G75">
        <v>2</v>
      </c>
      <c r="H75">
        <v>31</v>
      </c>
      <c r="I75" t="s">
        <v>243</v>
      </c>
    </row>
    <row r="76" spans="1:9" x14ac:dyDescent="0.3">
      <c r="A76">
        <v>29</v>
      </c>
      <c r="B76">
        <v>20</v>
      </c>
      <c r="C76" t="s">
        <v>46</v>
      </c>
      <c r="D76" t="s">
        <v>629</v>
      </c>
      <c r="E76">
        <v>10</v>
      </c>
      <c r="F76">
        <v>18</v>
      </c>
      <c r="G76">
        <v>2</v>
      </c>
      <c r="H76">
        <v>18</v>
      </c>
      <c r="I76" t="s">
        <v>242</v>
      </c>
    </row>
    <row r="77" spans="1:9" x14ac:dyDescent="0.3">
      <c r="A77">
        <v>30</v>
      </c>
      <c r="B77">
        <v>14</v>
      </c>
      <c r="C77" t="s">
        <v>71</v>
      </c>
      <c r="D77" t="s">
        <v>630</v>
      </c>
      <c r="E77">
        <v>15</v>
      </c>
      <c r="F77">
        <v>26</v>
      </c>
      <c r="G77">
        <v>2</v>
      </c>
      <c r="H77">
        <v>14</v>
      </c>
      <c r="I77" t="s">
        <v>242</v>
      </c>
    </row>
    <row r="78" spans="1:9" x14ac:dyDescent="0.3">
      <c r="A78">
        <v>30</v>
      </c>
      <c r="B78">
        <v>14</v>
      </c>
      <c r="C78" t="s">
        <v>66</v>
      </c>
      <c r="D78" t="s">
        <v>626</v>
      </c>
      <c r="E78">
        <v>12</v>
      </c>
      <c r="F78">
        <v>20</v>
      </c>
      <c r="G78">
        <v>3</v>
      </c>
      <c r="H78">
        <v>55</v>
      </c>
      <c r="I78" t="s">
        <v>242</v>
      </c>
    </row>
    <row r="79" spans="1:9" x14ac:dyDescent="0.3">
      <c r="A79">
        <v>31</v>
      </c>
      <c r="B79">
        <v>13</v>
      </c>
      <c r="C79" t="s">
        <v>53</v>
      </c>
      <c r="D79" t="s">
        <v>621</v>
      </c>
      <c r="E79">
        <v>11</v>
      </c>
      <c r="F79">
        <v>19</v>
      </c>
      <c r="G79">
        <v>2</v>
      </c>
      <c r="H79">
        <v>46</v>
      </c>
      <c r="I79" t="s">
        <v>243</v>
      </c>
    </row>
    <row r="80" spans="1:9" x14ac:dyDescent="0.3">
      <c r="A80">
        <v>31</v>
      </c>
      <c r="B80">
        <v>13</v>
      </c>
      <c r="C80" t="s">
        <v>26</v>
      </c>
      <c r="D80" t="s">
        <v>618</v>
      </c>
      <c r="E80">
        <v>17</v>
      </c>
      <c r="F80">
        <v>29</v>
      </c>
      <c r="G80">
        <v>1</v>
      </c>
      <c r="H80">
        <v>59</v>
      </c>
      <c r="I80" t="s">
        <v>243</v>
      </c>
    </row>
    <row r="81" spans="1:9" x14ac:dyDescent="0.3">
      <c r="A81">
        <v>32</v>
      </c>
      <c r="B81">
        <v>5</v>
      </c>
      <c r="C81" t="s">
        <v>71</v>
      </c>
      <c r="D81" t="s">
        <v>630</v>
      </c>
      <c r="E81">
        <v>15</v>
      </c>
      <c r="F81">
        <v>26</v>
      </c>
      <c r="G81">
        <v>3</v>
      </c>
      <c r="H81">
        <v>35</v>
      </c>
      <c r="I81" t="s">
        <v>242</v>
      </c>
    </row>
    <row r="82" spans="1:9" x14ac:dyDescent="0.3">
      <c r="A82">
        <v>32</v>
      </c>
      <c r="B82">
        <v>5</v>
      </c>
      <c r="C82" t="s">
        <v>112</v>
      </c>
      <c r="D82" t="s">
        <v>619</v>
      </c>
      <c r="E82">
        <v>20</v>
      </c>
      <c r="F82">
        <v>33</v>
      </c>
      <c r="G82">
        <v>1</v>
      </c>
      <c r="H82">
        <v>20</v>
      </c>
      <c r="I82" t="s">
        <v>243</v>
      </c>
    </row>
    <row r="83" spans="1:9" x14ac:dyDescent="0.3">
      <c r="A83">
        <v>32</v>
      </c>
      <c r="B83">
        <v>5</v>
      </c>
      <c r="C83" t="s">
        <v>105</v>
      </c>
      <c r="D83" t="s">
        <v>623</v>
      </c>
      <c r="E83">
        <v>19</v>
      </c>
      <c r="F83">
        <v>32</v>
      </c>
      <c r="G83">
        <v>2</v>
      </c>
      <c r="H83">
        <v>50</v>
      </c>
      <c r="I83" t="s">
        <v>243</v>
      </c>
    </row>
    <row r="84" spans="1:9" x14ac:dyDescent="0.3">
      <c r="A84">
        <v>32</v>
      </c>
      <c r="B84">
        <v>5</v>
      </c>
      <c r="C84" t="s">
        <v>46</v>
      </c>
      <c r="D84" t="s">
        <v>629</v>
      </c>
      <c r="E84">
        <v>10</v>
      </c>
      <c r="F84">
        <v>18</v>
      </c>
      <c r="G84">
        <v>2</v>
      </c>
      <c r="H84">
        <v>23</v>
      </c>
      <c r="I84" t="s">
        <v>242</v>
      </c>
    </row>
    <row r="85" spans="1:9" x14ac:dyDescent="0.3">
      <c r="A85">
        <v>33</v>
      </c>
      <c r="B85">
        <v>4</v>
      </c>
      <c r="C85" t="s">
        <v>71</v>
      </c>
      <c r="D85" t="s">
        <v>630</v>
      </c>
      <c r="E85">
        <v>15</v>
      </c>
      <c r="F85">
        <v>26</v>
      </c>
      <c r="G85">
        <v>3</v>
      </c>
      <c r="H85">
        <v>10</v>
      </c>
      <c r="I85" t="s">
        <v>242</v>
      </c>
    </row>
    <row r="86" spans="1:9" x14ac:dyDescent="0.3">
      <c r="A86">
        <v>33</v>
      </c>
      <c r="B86">
        <v>4</v>
      </c>
      <c r="C86" t="s">
        <v>105</v>
      </c>
      <c r="D86" t="s">
        <v>623</v>
      </c>
      <c r="E86">
        <v>19</v>
      </c>
      <c r="F86">
        <v>32</v>
      </c>
      <c r="G86">
        <v>3</v>
      </c>
      <c r="H86">
        <v>55</v>
      </c>
      <c r="I86" t="s">
        <v>243</v>
      </c>
    </row>
    <row r="87" spans="1:9" x14ac:dyDescent="0.3">
      <c r="A87">
        <v>33</v>
      </c>
      <c r="B87">
        <v>4</v>
      </c>
      <c r="C87" t="s">
        <v>50</v>
      </c>
      <c r="D87" t="s">
        <v>615</v>
      </c>
      <c r="E87">
        <v>16</v>
      </c>
      <c r="F87">
        <v>27</v>
      </c>
      <c r="G87">
        <v>1</v>
      </c>
      <c r="H87">
        <v>59</v>
      </c>
      <c r="I87" t="s">
        <v>242</v>
      </c>
    </row>
    <row r="88" spans="1:9" x14ac:dyDescent="0.3">
      <c r="A88">
        <v>33</v>
      </c>
      <c r="B88">
        <v>4</v>
      </c>
      <c r="C88" t="s">
        <v>19</v>
      </c>
      <c r="D88" t="s">
        <v>622</v>
      </c>
      <c r="E88">
        <v>21</v>
      </c>
      <c r="F88">
        <v>35</v>
      </c>
      <c r="G88">
        <v>3</v>
      </c>
      <c r="H88">
        <v>6</v>
      </c>
      <c r="I88" t="s">
        <v>243</v>
      </c>
    </row>
    <row r="89" spans="1:9" x14ac:dyDescent="0.3">
      <c r="A89">
        <v>34</v>
      </c>
      <c r="B89">
        <v>15</v>
      </c>
      <c r="C89" t="s">
        <v>71</v>
      </c>
      <c r="D89" t="s">
        <v>630</v>
      </c>
      <c r="E89">
        <v>15</v>
      </c>
      <c r="F89">
        <v>26</v>
      </c>
      <c r="G89">
        <v>3</v>
      </c>
      <c r="H89">
        <v>19</v>
      </c>
      <c r="I89" t="s">
        <v>243</v>
      </c>
    </row>
    <row r="90" spans="1:9" x14ac:dyDescent="0.3">
      <c r="A90">
        <v>34</v>
      </c>
      <c r="B90">
        <v>15</v>
      </c>
      <c r="C90" t="s">
        <v>38</v>
      </c>
      <c r="D90" t="s">
        <v>625</v>
      </c>
      <c r="E90">
        <v>20</v>
      </c>
      <c r="F90">
        <v>34</v>
      </c>
      <c r="G90">
        <v>1</v>
      </c>
      <c r="H90">
        <v>46</v>
      </c>
      <c r="I90" t="s">
        <v>242</v>
      </c>
    </row>
    <row r="91" spans="1:9" x14ac:dyDescent="0.3">
      <c r="A91">
        <v>35</v>
      </c>
      <c r="B91">
        <v>13</v>
      </c>
      <c r="C91" t="s">
        <v>112</v>
      </c>
      <c r="D91" t="s">
        <v>619</v>
      </c>
      <c r="E91">
        <v>20</v>
      </c>
      <c r="F91">
        <v>33</v>
      </c>
      <c r="G91">
        <v>1</v>
      </c>
      <c r="H91">
        <v>21</v>
      </c>
      <c r="I91" t="s">
        <v>242</v>
      </c>
    </row>
    <row r="92" spans="1:9" x14ac:dyDescent="0.3">
      <c r="A92">
        <v>35</v>
      </c>
      <c r="B92">
        <v>13</v>
      </c>
      <c r="C92" t="s">
        <v>56</v>
      </c>
      <c r="D92" t="s">
        <v>614</v>
      </c>
      <c r="E92">
        <v>19</v>
      </c>
      <c r="F92">
        <v>31</v>
      </c>
      <c r="G92">
        <v>2</v>
      </c>
      <c r="H92">
        <v>31</v>
      </c>
      <c r="I92" t="s">
        <v>243</v>
      </c>
    </row>
    <row r="93" spans="1:9" x14ac:dyDescent="0.3">
      <c r="A93">
        <v>35</v>
      </c>
      <c r="B93">
        <v>13</v>
      </c>
      <c r="C93" t="s">
        <v>40</v>
      </c>
      <c r="D93" t="s">
        <v>613</v>
      </c>
      <c r="E93">
        <v>18</v>
      </c>
      <c r="F93">
        <v>30</v>
      </c>
      <c r="G93">
        <v>3</v>
      </c>
      <c r="H93">
        <v>5</v>
      </c>
      <c r="I93" t="s">
        <v>243</v>
      </c>
    </row>
    <row r="94" spans="1:9" x14ac:dyDescent="0.3">
      <c r="A94">
        <v>35</v>
      </c>
      <c r="B94">
        <v>13</v>
      </c>
      <c r="C94" t="s">
        <v>26</v>
      </c>
      <c r="D94" t="s">
        <v>618</v>
      </c>
      <c r="E94">
        <v>17</v>
      </c>
      <c r="F94">
        <v>29</v>
      </c>
      <c r="G94">
        <v>1</v>
      </c>
      <c r="H94">
        <v>8</v>
      </c>
      <c r="I94" t="s">
        <v>242</v>
      </c>
    </row>
    <row r="95" spans="1:9" x14ac:dyDescent="0.3">
      <c r="A95">
        <v>36</v>
      </c>
      <c r="B95">
        <v>5</v>
      </c>
      <c r="C95" t="s">
        <v>40</v>
      </c>
      <c r="D95" t="s">
        <v>613</v>
      </c>
      <c r="E95">
        <v>18</v>
      </c>
      <c r="F95">
        <v>30</v>
      </c>
      <c r="G95">
        <v>1</v>
      </c>
      <c r="H95">
        <v>38</v>
      </c>
      <c r="I95" t="s">
        <v>242</v>
      </c>
    </row>
    <row r="96" spans="1:9" x14ac:dyDescent="0.3">
      <c r="A96">
        <v>37</v>
      </c>
      <c r="B96">
        <v>20</v>
      </c>
      <c r="C96" t="s">
        <v>42</v>
      </c>
      <c r="D96" t="s">
        <v>628</v>
      </c>
      <c r="E96">
        <v>13</v>
      </c>
      <c r="F96">
        <v>21</v>
      </c>
      <c r="G96">
        <v>1</v>
      </c>
      <c r="H96">
        <v>47</v>
      </c>
      <c r="I96" t="s">
        <v>242</v>
      </c>
    </row>
    <row r="97" spans="1:9" x14ac:dyDescent="0.3">
      <c r="A97">
        <v>38</v>
      </c>
      <c r="B97">
        <v>10</v>
      </c>
      <c r="C97" t="s">
        <v>56</v>
      </c>
      <c r="D97" t="s">
        <v>614</v>
      </c>
      <c r="E97">
        <v>19</v>
      </c>
      <c r="F97">
        <v>31</v>
      </c>
      <c r="G97">
        <v>3</v>
      </c>
      <c r="H97">
        <v>21</v>
      </c>
      <c r="I97" t="s">
        <v>243</v>
      </c>
    </row>
    <row r="98" spans="1:9" x14ac:dyDescent="0.3">
      <c r="A98">
        <v>38</v>
      </c>
      <c r="B98">
        <v>10</v>
      </c>
      <c r="C98" t="s">
        <v>44</v>
      </c>
      <c r="D98" t="s">
        <v>617</v>
      </c>
      <c r="E98">
        <v>22</v>
      </c>
      <c r="F98">
        <v>36</v>
      </c>
      <c r="G98">
        <v>2</v>
      </c>
      <c r="H98">
        <v>43</v>
      </c>
      <c r="I98" t="s">
        <v>242</v>
      </c>
    </row>
    <row r="99" spans="1:9" x14ac:dyDescent="0.3">
      <c r="A99">
        <v>38</v>
      </c>
      <c r="B99">
        <v>10</v>
      </c>
      <c r="C99" t="s">
        <v>19</v>
      </c>
      <c r="D99" t="s">
        <v>622</v>
      </c>
      <c r="E99">
        <v>21</v>
      </c>
      <c r="F99">
        <v>35</v>
      </c>
      <c r="G99">
        <v>2</v>
      </c>
      <c r="H99">
        <v>34</v>
      </c>
      <c r="I99" t="s">
        <v>242</v>
      </c>
    </row>
    <row r="100" spans="1:9" x14ac:dyDescent="0.3">
      <c r="A100">
        <v>39</v>
      </c>
      <c r="B100">
        <v>15</v>
      </c>
      <c r="C100" t="s">
        <v>44</v>
      </c>
      <c r="D100" t="s">
        <v>617</v>
      </c>
      <c r="E100">
        <v>22</v>
      </c>
      <c r="F100">
        <v>36</v>
      </c>
      <c r="G100">
        <v>3</v>
      </c>
      <c r="H100">
        <v>57</v>
      </c>
      <c r="I100" t="s">
        <v>242</v>
      </c>
    </row>
    <row r="101" spans="1:9" x14ac:dyDescent="0.3">
      <c r="A101">
        <v>40</v>
      </c>
      <c r="B101">
        <v>1</v>
      </c>
      <c r="C101" t="s">
        <v>112</v>
      </c>
      <c r="D101" t="s">
        <v>619</v>
      </c>
      <c r="E101">
        <v>20</v>
      </c>
      <c r="F101">
        <v>33</v>
      </c>
      <c r="G101">
        <v>1</v>
      </c>
      <c r="H101">
        <v>50</v>
      </c>
      <c r="I101" t="s">
        <v>243</v>
      </c>
    </row>
    <row r="102" spans="1:9" x14ac:dyDescent="0.3">
      <c r="A102">
        <v>40</v>
      </c>
      <c r="B102">
        <v>1</v>
      </c>
      <c r="C102" t="s">
        <v>30</v>
      </c>
      <c r="D102" t="s">
        <v>620</v>
      </c>
      <c r="E102">
        <v>16</v>
      </c>
      <c r="F102">
        <v>28</v>
      </c>
      <c r="G102">
        <v>1</v>
      </c>
      <c r="H102">
        <v>13</v>
      </c>
      <c r="I102" t="s">
        <v>243</v>
      </c>
    </row>
    <row r="103" spans="1:9" x14ac:dyDescent="0.3">
      <c r="A103">
        <v>40</v>
      </c>
      <c r="B103">
        <v>1</v>
      </c>
      <c r="C103" t="s">
        <v>26</v>
      </c>
      <c r="D103" t="s">
        <v>618</v>
      </c>
      <c r="E103">
        <v>17</v>
      </c>
      <c r="F103">
        <v>29</v>
      </c>
      <c r="G103">
        <v>3</v>
      </c>
      <c r="H103">
        <v>15</v>
      </c>
      <c r="I103" t="s">
        <v>243</v>
      </c>
    </row>
    <row r="104" spans="1:9" x14ac:dyDescent="0.3">
      <c r="A104">
        <v>41</v>
      </c>
      <c r="B104">
        <v>7</v>
      </c>
      <c r="C104" t="s">
        <v>71</v>
      </c>
      <c r="D104" t="s">
        <v>630</v>
      </c>
      <c r="E104">
        <v>15</v>
      </c>
      <c r="F104">
        <v>26</v>
      </c>
      <c r="G104">
        <v>3</v>
      </c>
      <c r="H104">
        <v>47</v>
      </c>
      <c r="I104" t="s">
        <v>243</v>
      </c>
    </row>
    <row r="105" spans="1:9" x14ac:dyDescent="0.3">
      <c r="A105">
        <v>41</v>
      </c>
      <c r="B105">
        <v>7</v>
      </c>
      <c r="C105" t="s">
        <v>105</v>
      </c>
      <c r="D105" t="s">
        <v>623</v>
      </c>
      <c r="E105">
        <v>19</v>
      </c>
      <c r="F105">
        <v>32</v>
      </c>
      <c r="G105">
        <v>3</v>
      </c>
      <c r="H105">
        <v>23</v>
      </c>
      <c r="I105" t="s">
        <v>243</v>
      </c>
    </row>
    <row r="106" spans="1:9" x14ac:dyDescent="0.3">
      <c r="A106">
        <v>41</v>
      </c>
      <c r="B106">
        <v>7</v>
      </c>
      <c r="C106" t="s">
        <v>40</v>
      </c>
      <c r="D106" t="s">
        <v>613</v>
      </c>
      <c r="E106">
        <v>18</v>
      </c>
      <c r="F106">
        <v>30</v>
      </c>
      <c r="G106">
        <v>1</v>
      </c>
      <c r="H106">
        <v>19</v>
      </c>
      <c r="I106" t="s">
        <v>243</v>
      </c>
    </row>
    <row r="107" spans="1:9" x14ac:dyDescent="0.3">
      <c r="A107">
        <v>42</v>
      </c>
      <c r="B107">
        <v>14</v>
      </c>
      <c r="C107" t="s">
        <v>34</v>
      </c>
      <c r="D107" t="s">
        <v>616</v>
      </c>
      <c r="E107">
        <v>25</v>
      </c>
      <c r="F107">
        <v>40</v>
      </c>
      <c r="G107">
        <v>2</v>
      </c>
      <c r="H107">
        <v>12</v>
      </c>
      <c r="I107" t="s">
        <v>243</v>
      </c>
    </row>
    <row r="108" spans="1:9" x14ac:dyDescent="0.3">
      <c r="A108">
        <v>42</v>
      </c>
      <c r="B108">
        <v>14</v>
      </c>
      <c r="C108" t="s">
        <v>92</v>
      </c>
      <c r="D108" t="s">
        <v>624</v>
      </c>
      <c r="E108">
        <v>13</v>
      </c>
      <c r="F108">
        <v>22</v>
      </c>
      <c r="G108">
        <v>1</v>
      </c>
      <c r="H108">
        <v>57</v>
      </c>
      <c r="I108" t="s">
        <v>243</v>
      </c>
    </row>
    <row r="109" spans="1:9" x14ac:dyDescent="0.3">
      <c r="A109">
        <v>43</v>
      </c>
      <c r="B109">
        <v>8</v>
      </c>
      <c r="C109" t="s">
        <v>105</v>
      </c>
      <c r="D109" t="s">
        <v>623</v>
      </c>
      <c r="E109">
        <v>19</v>
      </c>
      <c r="F109">
        <v>32</v>
      </c>
      <c r="G109">
        <v>1</v>
      </c>
      <c r="H109">
        <v>6</v>
      </c>
      <c r="I109" t="s">
        <v>243</v>
      </c>
    </row>
    <row r="110" spans="1:9" x14ac:dyDescent="0.3">
      <c r="A110">
        <v>43</v>
      </c>
      <c r="B110">
        <v>8</v>
      </c>
      <c r="C110" t="s">
        <v>56</v>
      </c>
      <c r="D110" t="s">
        <v>614</v>
      </c>
      <c r="E110">
        <v>19</v>
      </c>
      <c r="F110">
        <v>31</v>
      </c>
      <c r="G110">
        <v>1</v>
      </c>
      <c r="H110">
        <v>24</v>
      </c>
      <c r="I110" t="s">
        <v>242</v>
      </c>
    </row>
    <row r="111" spans="1:9" x14ac:dyDescent="0.3">
      <c r="A111">
        <v>43</v>
      </c>
      <c r="B111">
        <v>8</v>
      </c>
      <c r="C111" t="s">
        <v>38</v>
      </c>
      <c r="D111" t="s">
        <v>625</v>
      </c>
      <c r="E111">
        <v>20</v>
      </c>
      <c r="F111">
        <v>34</v>
      </c>
      <c r="G111">
        <v>2</v>
      </c>
      <c r="H111">
        <v>59</v>
      </c>
      <c r="I111" t="s">
        <v>243</v>
      </c>
    </row>
    <row r="112" spans="1:9" x14ac:dyDescent="0.3">
      <c r="A112">
        <v>43</v>
      </c>
      <c r="B112">
        <v>8</v>
      </c>
      <c r="C112" t="s">
        <v>75</v>
      </c>
      <c r="D112" t="s">
        <v>612</v>
      </c>
      <c r="E112">
        <v>14</v>
      </c>
      <c r="F112">
        <v>24</v>
      </c>
      <c r="G112">
        <v>3</v>
      </c>
      <c r="H112">
        <v>57</v>
      </c>
      <c r="I112" t="s">
        <v>242</v>
      </c>
    </row>
    <row r="113" spans="1:9" x14ac:dyDescent="0.3">
      <c r="A113">
        <v>44</v>
      </c>
      <c r="B113">
        <v>18</v>
      </c>
      <c r="C113" t="s">
        <v>60</v>
      </c>
      <c r="D113" t="s">
        <v>631</v>
      </c>
      <c r="E113">
        <v>15</v>
      </c>
      <c r="F113">
        <v>25</v>
      </c>
      <c r="G113">
        <v>3</v>
      </c>
      <c r="H113">
        <v>8</v>
      </c>
      <c r="I113" t="s">
        <v>242</v>
      </c>
    </row>
    <row r="114" spans="1:9" x14ac:dyDescent="0.3">
      <c r="A114">
        <v>44</v>
      </c>
      <c r="B114">
        <v>18</v>
      </c>
      <c r="C114" t="s">
        <v>71</v>
      </c>
      <c r="D114" t="s">
        <v>630</v>
      </c>
      <c r="E114">
        <v>15</v>
      </c>
      <c r="F114">
        <v>26</v>
      </c>
      <c r="G114">
        <v>1</v>
      </c>
      <c r="H114">
        <v>34</v>
      </c>
      <c r="I114" t="s">
        <v>243</v>
      </c>
    </row>
    <row r="115" spans="1:9" x14ac:dyDescent="0.3">
      <c r="A115">
        <v>44</v>
      </c>
      <c r="B115">
        <v>18</v>
      </c>
      <c r="C115" t="s">
        <v>42</v>
      </c>
      <c r="D115" t="s">
        <v>628</v>
      </c>
      <c r="E115">
        <v>13</v>
      </c>
      <c r="F115">
        <v>21</v>
      </c>
      <c r="G115">
        <v>1</v>
      </c>
      <c r="H115">
        <v>43</v>
      </c>
      <c r="I115" t="s">
        <v>242</v>
      </c>
    </row>
    <row r="116" spans="1:9" x14ac:dyDescent="0.3">
      <c r="A116">
        <v>45</v>
      </c>
      <c r="B116">
        <v>17</v>
      </c>
      <c r="C116" t="s">
        <v>46</v>
      </c>
      <c r="D116" t="s">
        <v>629</v>
      </c>
      <c r="E116">
        <v>10</v>
      </c>
      <c r="F116">
        <v>18</v>
      </c>
      <c r="G116">
        <v>3</v>
      </c>
      <c r="H116">
        <v>47</v>
      </c>
      <c r="I116" t="s">
        <v>242</v>
      </c>
    </row>
    <row r="117" spans="1:9" x14ac:dyDescent="0.3">
      <c r="A117">
        <v>46</v>
      </c>
      <c r="B117">
        <v>10</v>
      </c>
      <c r="C117" t="s">
        <v>89</v>
      </c>
      <c r="D117" t="s">
        <v>627</v>
      </c>
      <c r="E117">
        <v>14</v>
      </c>
      <c r="F117">
        <v>23</v>
      </c>
      <c r="G117">
        <v>2</v>
      </c>
      <c r="H117">
        <v>15</v>
      </c>
      <c r="I117" t="s">
        <v>242</v>
      </c>
    </row>
    <row r="118" spans="1:9" x14ac:dyDescent="0.3">
      <c r="A118">
        <v>46</v>
      </c>
      <c r="B118">
        <v>10</v>
      </c>
      <c r="C118" t="s">
        <v>38</v>
      </c>
      <c r="D118" t="s">
        <v>625</v>
      </c>
      <c r="E118">
        <v>20</v>
      </c>
      <c r="F118">
        <v>34</v>
      </c>
      <c r="G118">
        <v>1</v>
      </c>
      <c r="H118">
        <v>48</v>
      </c>
      <c r="I118" t="s">
        <v>243</v>
      </c>
    </row>
    <row r="119" spans="1:9" x14ac:dyDescent="0.3">
      <c r="A119">
        <v>46</v>
      </c>
      <c r="B119">
        <v>10</v>
      </c>
      <c r="C119" t="s">
        <v>40</v>
      </c>
      <c r="D119" t="s">
        <v>613</v>
      </c>
      <c r="E119">
        <v>18</v>
      </c>
      <c r="F119">
        <v>30</v>
      </c>
      <c r="G119">
        <v>2</v>
      </c>
      <c r="H119">
        <v>23</v>
      </c>
      <c r="I119" t="s">
        <v>243</v>
      </c>
    </row>
    <row r="120" spans="1:9" x14ac:dyDescent="0.3">
      <c r="A120">
        <v>47</v>
      </c>
      <c r="B120">
        <v>18</v>
      </c>
      <c r="C120" t="s">
        <v>112</v>
      </c>
      <c r="D120" t="s">
        <v>619</v>
      </c>
      <c r="E120">
        <v>20</v>
      </c>
      <c r="F120">
        <v>33</v>
      </c>
      <c r="G120">
        <v>2</v>
      </c>
      <c r="H120">
        <v>56</v>
      </c>
      <c r="I120" t="s">
        <v>242</v>
      </c>
    </row>
    <row r="121" spans="1:9" x14ac:dyDescent="0.3">
      <c r="A121">
        <v>47</v>
      </c>
      <c r="B121">
        <v>18</v>
      </c>
      <c r="C121" t="s">
        <v>89</v>
      </c>
      <c r="D121" t="s">
        <v>627</v>
      </c>
      <c r="E121">
        <v>14</v>
      </c>
      <c r="F121">
        <v>23</v>
      </c>
      <c r="G121">
        <v>1</v>
      </c>
      <c r="H121">
        <v>17</v>
      </c>
      <c r="I121" t="s">
        <v>243</v>
      </c>
    </row>
    <row r="122" spans="1:9" x14ac:dyDescent="0.3">
      <c r="A122">
        <v>47</v>
      </c>
      <c r="B122">
        <v>18</v>
      </c>
      <c r="C122" t="s">
        <v>66</v>
      </c>
      <c r="D122" t="s">
        <v>626</v>
      </c>
      <c r="E122">
        <v>12</v>
      </c>
      <c r="F122">
        <v>20</v>
      </c>
      <c r="G122">
        <v>1</v>
      </c>
      <c r="H122">
        <v>14</v>
      </c>
      <c r="I122" t="s">
        <v>243</v>
      </c>
    </row>
    <row r="123" spans="1:9" x14ac:dyDescent="0.3">
      <c r="A123">
        <v>48</v>
      </c>
      <c r="B123">
        <v>17</v>
      </c>
      <c r="C123" t="s">
        <v>112</v>
      </c>
      <c r="D123" t="s">
        <v>619</v>
      </c>
      <c r="E123">
        <v>20</v>
      </c>
      <c r="F123">
        <v>33</v>
      </c>
      <c r="G123">
        <v>1</v>
      </c>
      <c r="H123">
        <v>32</v>
      </c>
      <c r="I123" t="s">
        <v>243</v>
      </c>
    </row>
    <row r="124" spans="1:9" x14ac:dyDescent="0.3">
      <c r="A124">
        <v>48</v>
      </c>
      <c r="B124">
        <v>17</v>
      </c>
      <c r="C124" t="s">
        <v>92</v>
      </c>
      <c r="D124" t="s">
        <v>624</v>
      </c>
      <c r="E124">
        <v>13</v>
      </c>
      <c r="F124">
        <v>22</v>
      </c>
      <c r="G124">
        <v>2</v>
      </c>
      <c r="H124">
        <v>55</v>
      </c>
      <c r="I124" t="s">
        <v>242</v>
      </c>
    </row>
    <row r="125" spans="1:9" x14ac:dyDescent="0.3">
      <c r="A125">
        <v>48</v>
      </c>
      <c r="B125">
        <v>17</v>
      </c>
      <c r="C125" t="s">
        <v>50</v>
      </c>
      <c r="D125" t="s">
        <v>615</v>
      </c>
      <c r="E125">
        <v>16</v>
      </c>
      <c r="F125">
        <v>27</v>
      </c>
      <c r="G125">
        <v>3</v>
      </c>
      <c r="H125">
        <v>37</v>
      </c>
      <c r="I125" t="s">
        <v>243</v>
      </c>
    </row>
    <row r="126" spans="1:9" x14ac:dyDescent="0.3">
      <c r="A126">
        <v>49</v>
      </c>
      <c r="B126">
        <v>8</v>
      </c>
      <c r="C126" t="s">
        <v>105</v>
      </c>
      <c r="D126" t="s">
        <v>623</v>
      </c>
      <c r="E126">
        <v>19</v>
      </c>
      <c r="F126">
        <v>32</v>
      </c>
      <c r="G126">
        <v>3</v>
      </c>
      <c r="H126">
        <v>27</v>
      </c>
      <c r="I126" t="s">
        <v>242</v>
      </c>
    </row>
    <row r="127" spans="1:9" x14ac:dyDescent="0.3">
      <c r="A127">
        <v>49</v>
      </c>
      <c r="B127">
        <v>8</v>
      </c>
      <c r="C127" t="s">
        <v>46</v>
      </c>
      <c r="D127" t="s">
        <v>629</v>
      </c>
      <c r="E127">
        <v>10</v>
      </c>
      <c r="F127">
        <v>18</v>
      </c>
      <c r="G127">
        <v>1</v>
      </c>
      <c r="H127">
        <v>45</v>
      </c>
      <c r="I127" t="s">
        <v>243</v>
      </c>
    </row>
    <row r="128" spans="1:9" x14ac:dyDescent="0.3">
      <c r="A128">
        <v>49</v>
      </c>
      <c r="B128">
        <v>8</v>
      </c>
      <c r="C128" t="s">
        <v>75</v>
      </c>
      <c r="D128" t="s">
        <v>612</v>
      </c>
      <c r="E128">
        <v>14</v>
      </c>
      <c r="F128">
        <v>24</v>
      </c>
      <c r="G128">
        <v>3</v>
      </c>
      <c r="H128">
        <v>9</v>
      </c>
      <c r="I128" t="s">
        <v>242</v>
      </c>
    </row>
    <row r="129" spans="1:9" x14ac:dyDescent="0.3">
      <c r="A129">
        <v>50</v>
      </c>
      <c r="B129">
        <v>19</v>
      </c>
      <c r="C129" t="s">
        <v>105</v>
      </c>
      <c r="D129" t="s">
        <v>623</v>
      </c>
      <c r="E129">
        <v>19</v>
      </c>
      <c r="F129">
        <v>32</v>
      </c>
      <c r="G129">
        <v>1</v>
      </c>
      <c r="H129">
        <v>6</v>
      </c>
      <c r="I129" t="s">
        <v>242</v>
      </c>
    </row>
    <row r="130" spans="1:9" x14ac:dyDescent="0.3">
      <c r="A130">
        <v>50</v>
      </c>
      <c r="B130">
        <v>19</v>
      </c>
      <c r="C130" t="s">
        <v>92</v>
      </c>
      <c r="D130" t="s">
        <v>624</v>
      </c>
      <c r="E130">
        <v>13</v>
      </c>
      <c r="F130">
        <v>22</v>
      </c>
      <c r="G130">
        <v>2</v>
      </c>
      <c r="H130">
        <v>15</v>
      </c>
      <c r="I130" t="s">
        <v>242</v>
      </c>
    </row>
    <row r="131" spans="1:9" x14ac:dyDescent="0.3">
      <c r="A131">
        <v>51</v>
      </c>
      <c r="B131">
        <v>12</v>
      </c>
      <c r="C131" t="s">
        <v>112</v>
      </c>
      <c r="D131" t="s">
        <v>619</v>
      </c>
      <c r="E131">
        <v>20</v>
      </c>
      <c r="F131">
        <v>33</v>
      </c>
      <c r="G131">
        <v>3</v>
      </c>
      <c r="H131">
        <v>56</v>
      </c>
      <c r="I131" t="s">
        <v>242</v>
      </c>
    </row>
    <row r="132" spans="1:9" x14ac:dyDescent="0.3">
      <c r="A132">
        <v>51</v>
      </c>
      <c r="B132">
        <v>12</v>
      </c>
      <c r="C132" t="s">
        <v>89</v>
      </c>
      <c r="D132" t="s">
        <v>627</v>
      </c>
      <c r="E132">
        <v>14</v>
      </c>
      <c r="F132">
        <v>23</v>
      </c>
      <c r="G132">
        <v>2</v>
      </c>
      <c r="H132">
        <v>33</v>
      </c>
      <c r="I132" t="s">
        <v>243</v>
      </c>
    </row>
    <row r="133" spans="1:9" x14ac:dyDescent="0.3">
      <c r="A133">
        <v>51</v>
      </c>
      <c r="B133">
        <v>12</v>
      </c>
      <c r="C133" t="s">
        <v>46</v>
      </c>
      <c r="D133" t="s">
        <v>629</v>
      </c>
      <c r="E133">
        <v>10</v>
      </c>
      <c r="F133">
        <v>18</v>
      </c>
      <c r="G133">
        <v>2</v>
      </c>
      <c r="H133">
        <v>22</v>
      </c>
      <c r="I133" t="s">
        <v>242</v>
      </c>
    </row>
    <row r="134" spans="1:9" x14ac:dyDescent="0.3">
      <c r="A134">
        <v>51</v>
      </c>
      <c r="B134">
        <v>12</v>
      </c>
      <c r="C134" t="s">
        <v>92</v>
      </c>
      <c r="D134" t="s">
        <v>624</v>
      </c>
      <c r="E134">
        <v>13</v>
      </c>
      <c r="F134">
        <v>22</v>
      </c>
      <c r="G134">
        <v>2</v>
      </c>
      <c r="H134">
        <v>53</v>
      </c>
      <c r="I134" t="s">
        <v>242</v>
      </c>
    </row>
    <row r="135" spans="1:9" x14ac:dyDescent="0.3">
      <c r="A135">
        <v>52</v>
      </c>
      <c r="B135">
        <v>7</v>
      </c>
      <c r="C135" t="s">
        <v>112</v>
      </c>
      <c r="D135" t="s">
        <v>619</v>
      </c>
      <c r="E135">
        <v>20</v>
      </c>
      <c r="F135">
        <v>33</v>
      </c>
      <c r="G135">
        <v>3</v>
      </c>
      <c r="H135">
        <v>13</v>
      </c>
      <c r="I135" t="s">
        <v>242</v>
      </c>
    </row>
    <row r="136" spans="1:9" x14ac:dyDescent="0.3">
      <c r="A136">
        <v>52</v>
      </c>
      <c r="B136">
        <v>7</v>
      </c>
      <c r="C136" t="s">
        <v>56</v>
      </c>
      <c r="D136" t="s">
        <v>614</v>
      </c>
      <c r="E136">
        <v>19</v>
      </c>
      <c r="F136">
        <v>31</v>
      </c>
      <c r="G136">
        <v>2</v>
      </c>
      <c r="H136">
        <v>17</v>
      </c>
      <c r="I136" t="s">
        <v>243</v>
      </c>
    </row>
    <row r="137" spans="1:9" x14ac:dyDescent="0.3">
      <c r="A137">
        <v>52</v>
      </c>
      <c r="B137">
        <v>7</v>
      </c>
      <c r="C137" t="s">
        <v>38</v>
      </c>
      <c r="D137" t="s">
        <v>625</v>
      </c>
      <c r="E137">
        <v>20</v>
      </c>
      <c r="F137">
        <v>34</v>
      </c>
      <c r="G137">
        <v>3</v>
      </c>
      <c r="H137">
        <v>32</v>
      </c>
      <c r="I137" t="s">
        <v>242</v>
      </c>
    </row>
    <row r="138" spans="1:9" x14ac:dyDescent="0.3">
      <c r="A138">
        <v>53</v>
      </c>
      <c r="B138">
        <v>16</v>
      </c>
      <c r="C138" t="s">
        <v>89</v>
      </c>
      <c r="D138" t="s">
        <v>627</v>
      </c>
      <c r="E138">
        <v>14</v>
      </c>
      <c r="F138">
        <v>23</v>
      </c>
      <c r="G138">
        <v>3</v>
      </c>
      <c r="H138">
        <v>47</v>
      </c>
      <c r="I138" t="s">
        <v>243</v>
      </c>
    </row>
    <row r="139" spans="1:9" x14ac:dyDescent="0.3">
      <c r="A139">
        <v>53</v>
      </c>
      <c r="B139">
        <v>16</v>
      </c>
      <c r="C139" t="s">
        <v>44</v>
      </c>
      <c r="D139" t="s">
        <v>617</v>
      </c>
      <c r="E139">
        <v>22</v>
      </c>
      <c r="F139">
        <v>36</v>
      </c>
      <c r="G139">
        <v>3</v>
      </c>
      <c r="H139">
        <v>26</v>
      </c>
      <c r="I139" t="s">
        <v>242</v>
      </c>
    </row>
    <row r="140" spans="1:9" x14ac:dyDescent="0.3">
      <c r="A140">
        <v>53</v>
      </c>
      <c r="B140">
        <v>16</v>
      </c>
      <c r="C140" t="s">
        <v>40</v>
      </c>
      <c r="D140" t="s">
        <v>613</v>
      </c>
      <c r="E140">
        <v>18</v>
      </c>
      <c r="F140">
        <v>30</v>
      </c>
      <c r="G140">
        <v>3</v>
      </c>
      <c r="H140">
        <v>39</v>
      </c>
      <c r="I140" t="s">
        <v>243</v>
      </c>
    </row>
    <row r="141" spans="1:9" x14ac:dyDescent="0.3">
      <c r="A141">
        <v>54</v>
      </c>
      <c r="B141">
        <v>6</v>
      </c>
      <c r="C141" t="s">
        <v>112</v>
      </c>
      <c r="D141" t="s">
        <v>619</v>
      </c>
      <c r="E141">
        <v>20</v>
      </c>
      <c r="F141">
        <v>33</v>
      </c>
      <c r="G141">
        <v>1</v>
      </c>
      <c r="H141">
        <v>46</v>
      </c>
      <c r="I141" t="s">
        <v>243</v>
      </c>
    </row>
    <row r="142" spans="1:9" x14ac:dyDescent="0.3">
      <c r="A142">
        <v>54</v>
      </c>
      <c r="B142">
        <v>6</v>
      </c>
      <c r="C142" t="s">
        <v>56</v>
      </c>
      <c r="D142" t="s">
        <v>614</v>
      </c>
      <c r="E142">
        <v>19</v>
      </c>
      <c r="F142">
        <v>31</v>
      </c>
      <c r="G142">
        <v>1</v>
      </c>
      <c r="H142">
        <v>55</v>
      </c>
      <c r="I142" t="s">
        <v>243</v>
      </c>
    </row>
    <row r="143" spans="1:9" x14ac:dyDescent="0.3">
      <c r="A143">
        <v>54</v>
      </c>
      <c r="B143">
        <v>6</v>
      </c>
      <c r="C143" t="s">
        <v>46</v>
      </c>
      <c r="D143" t="s">
        <v>629</v>
      </c>
      <c r="E143">
        <v>10</v>
      </c>
      <c r="F143">
        <v>18</v>
      </c>
      <c r="G143">
        <v>1</v>
      </c>
      <c r="H143">
        <v>55</v>
      </c>
      <c r="I143" t="s">
        <v>243</v>
      </c>
    </row>
    <row r="144" spans="1:9" x14ac:dyDescent="0.3">
      <c r="A144">
        <v>54</v>
      </c>
      <c r="B144">
        <v>6</v>
      </c>
      <c r="C144" t="s">
        <v>19</v>
      </c>
      <c r="D144" t="s">
        <v>622</v>
      </c>
      <c r="E144">
        <v>21</v>
      </c>
      <c r="F144">
        <v>35</v>
      </c>
      <c r="G144">
        <v>3</v>
      </c>
      <c r="H144">
        <v>47</v>
      </c>
      <c r="I144" t="s">
        <v>242</v>
      </c>
    </row>
    <row r="145" spans="1:9" x14ac:dyDescent="0.3">
      <c r="A145">
        <v>55</v>
      </c>
      <c r="B145">
        <v>20</v>
      </c>
      <c r="C145" t="s">
        <v>112</v>
      </c>
      <c r="D145" t="s">
        <v>619</v>
      </c>
      <c r="E145">
        <v>20</v>
      </c>
      <c r="F145">
        <v>33</v>
      </c>
      <c r="G145">
        <v>3</v>
      </c>
      <c r="H145">
        <v>27</v>
      </c>
      <c r="I145" t="s">
        <v>243</v>
      </c>
    </row>
    <row r="146" spans="1:9" x14ac:dyDescent="0.3">
      <c r="A146">
        <v>55</v>
      </c>
      <c r="B146">
        <v>20</v>
      </c>
      <c r="C146" t="s">
        <v>105</v>
      </c>
      <c r="D146" t="s">
        <v>623</v>
      </c>
      <c r="E146">
        <v>19</v>
      </c>
      <c r="F146">
        <v>32</v>
      </c>
      <c r="G146">
        <v>3</v>
      </c>
      <c r="H146">
        <v>13</v>
      </c>
      <c r="I146" t="s">
        <v>242</v>
      </c>
    </row>
    <row r="147" spans="1:9" x14ac:dyDescent="0.3">
      <c r="A147">
        <v>55</v>
      </c>
      <c r="B147">
        <v>20</v>
      </c>
      <c r="C147" t="s">
        <v>44</v>
      </c>
      <c r="D147" t="s">
        <v>617</v>
      </c>
      <c r="E147">
        <v>22</v>
      </c>
      <c r="F147">
        <v>36</v>
      </c>
      <c r="G147">
        <v>1</v>
      </c>
      <c r="H147">
        <v>51</v>
      </c>
      <c r="I147" t="s">
        <v>243</v>
      </c>
    </row>
    <row r="148" spans="1:9" x14ac:dyDescent="0.3">
      <c r="A148">
        <v>55</v>
      </c>
      <c r="B148">
        <v>20</v>
      </c>
      <c r="C148" t="s">
        <v>75</v>
      </c>
      <c r="D148" t="s">
        <v>612</v>
      </c>
      <c r="E148">
        <v>14</v>
      </c>
      <c r="F148">
        <v>24</v>
      </c>
      <c r="G148">
        <v>1</v>
      </c>
      <c r="H148">
        <v>5</v>
      </c>
      <c r="I148" t="s">
        <v>242</v>
      </c>
    </row>
    <row r="149" spans="1:9" x14ac:dyDescent="0.3">
      <c r="A149">
        <v>56</v>
      </c>
      <c r="B149">
        <v>1</v>
      </c>
      <c r="C149" t="s">
        <v>53</v>
      </c>
      <c r="D149" t="s">
        <v>621</v>
      </c>
      <c r="E149">
        <v>11</v>
      </c>
      <c r="F149">
        <v>19</v>
      </c>
      <c r="G149">
        <v>1</v>
      </c>
      <c r="H149">
        <v>40</v>
      </c>
      <c r="I149" t="s">
        <v>243</v>
      </c>
    </row>
    <row r="150" spans="1:9" x14ac:dyDescent="0.3">
      <c r="A150">
        <v>56</v>
      </c>
      <c r="B150">
        <v>1</v>
      </c>
      <c r="C150" t="s">
        <v>26</v>
      </c>
      <c r="D150" t="s">
        <v>618</v>
      </c>
      <c r="E150">
        <v>17</v>
      </c>
      <c r="F150">
        <v>29</v>
      </c>
      <c r="G150">
        <v>1</v>
      </c>
      <c r="H150">
        <v>38</v>
      </c>
      <c r="I150" t="s">
        <v>242</v>
      </c>
    </row>
    <row r="151" spans="1:9" x14ac:dyDescent="0.3">
      <c r="A151">
        <v>57</v>
      </c>
      <c r="B151">
        <v>18</v>
      </c>
      <c r="C151" t="s">
        <v>44</v>
      </c>
      <c r="D151" t="s">
        <v>617</v>
      </c>
      <c r="E151">
        <v>22</v>
      </c>
      <c r="F151">
        <v>36</v>
      </c>
      <c r="G151">
        <v>2</v>
      </c>
      <c r="H151">
        <v>7</v>
      </c>
      <c r="I151" t="s">
        <v>243</v>
      </c>
    </row>
    <row r="152" spans="1:9" x14ac:dyDescent="0.3">
      <c r="A152">
        <v>57</v>
      </c>
      <c r="B152">
        <v>18</v>
      </c>
      <c r="C152" t="s">
        <v>34</v>
      </c>
      <c r="D152" t="s">
        <v>616</v>
      </c>
      <c r="E152">
        <v>25</v>
      </c>
      <c r="F152">
        <v>40</v>
      </c>
      <c r="G152">
        <v>1</v>
      </c>
      <c r="H152">
        <v>30</v>
      </c>
      <c r="I152" t="s">
        <v>243</v>
      </c>
    </row>
    <row r="153" spans="1:9" x14ac:dyDescent="0.3">
      <c r="A153">
        <v>57</v>
      </c>
      <c r="B153">
        <v>18</v>
      </c>
      <c r="C153" t="s">
        <v>92</v>
      </c>
      <c r="D153" t="s">
        <v>624</v>
      </c>
      <c r="E153">
        <v>13</v>
      </c>
      <c r="F153">
        <v>22</v>
      </c>
      <c r="G153">
        <v>1</v>
      </c>
      <c r="H153">
        <v>10</v>
      </c>
      <c r="I153" t="s">
        <v>242</v>
      </c>
    </row>
    <row r="154" spans="1:9" x14ac:dyDescent="0.3">
      <c r="A154">
        <v>57</v>
      </c>
      <c r="B154">
        <v>18</v>
      </c>
      <c r="C154" t="s">
        <v>19</v>
      </c>
      <c r="D154" t="s">
        <v>622</v>
      </c>
      <c r="E154">
        <v>21</v>
      </c>
      <c r="F154">
        <v>35</v>
      </c>
      <c r="G154">
        <v>1</v>
      </c>
      <c r="H154">
        <v>21</v>
      </c>
      <c r="I154" t="s">
        <v>243</v>
      </c>
    </row>
    <row r="155" spans="1:9" x14ac:dyDescent="0.3">
      <c r="A155">
        <v>58</v>
      </c>
      <c r="B155">
        <v>8</v>
      </c>
      <c r="C155" t="s">
        <v>66</v>
      </c>
      <c r="D155" t="s">
        <v>626</v>
      </c>
      <c r="E155">
        <v>12</v>
      </c>
      <c r="F155">
        <v>20</v>
      </c>
      <c r="G155">
        <v>3</v>
      </c>
      <c r="H155">
        <v>56</v>
      </c>
      <c r="I155" t="s">
        <v>243</v>
      </c>
    </row>
    <row r="156" spans="1:9" x14ac:dyDescent="0.3">
      <c r="A156">
        <v>58</v>
      </c>
      <c r="B156">
        <v>8</v>
      </c>
      <c r="C156" t="s">
        <v>92</v>
      </c>
      <c r="D156" t="s">
        <v>624</v>
      </c>
      <c r="E156">
        <v>13</v>
      </c>
      <c r="F156">
        <v>22</v>
      </c>
      <c r="G156">
        <v>1</v>
      </c>
      <c r="H156">
        <v>17</v>
      </c>
      <c r="I156" t="s">
        <v>243</v>
      </c>
    </row>
    <row r="157" spans="1:9" x14ac:dyDescent="0.3">
      <c r="A157">
        <v>59</v>
      </c>
      <c r="B157">
        <v>8</v>
      </c>
      <c r="C157" t="s">
        <v>53</v>
      </c>
      <c r="D157" t="s">
        <v>621</v>
      </c>
      <c r="E157">
        <v>11</v>
      </c>
      <c r="F157">
        <v>19</v>
      </c>
      <c r="G157">
        <v>2</v>
      </c>
      <c r="H157">
        <v>13</v>
      </c>
      <c r="I157" t="s">
        <v>242</v>
      </c>
    </row>
    <row r="158" spans="1:9" x14ac:dyDescent="0.3">
      <c r="A158">
        <v>59</v>
      </c>
      <c r="B158">
        <v>8</v>
      </c>
      <c r="C158" t="s">
        <v>89</v>
      </c>
      <c r="D158" t="s">
        <v>627</v>
      </c>
      <c r="E158">
        <v>14</v>
      </c>
      <c r="F158">
        <v>23</v>
      </c>
      <c r="G158">
        <v>2</v>
      </c>
      <c r="H158">
        <v>9</v>
      </c>
      <c r="I158" t="s">
        <v>242</v>
      </c>
    </row>
    <row r="159" spans="1:9" x14ac:dyDescent="0.3">
      <c r="A159">
        <v>59</v>
      </c>
      <c r="B159">
        <v>8</v>
      </c>
      <c r="C159" t="s">
        <v>34</v>
      </c>
      <c r="D159" t="s">
        <v>616</v>
      </c>
      <c r="E159">
        <v>25</v>
      </c>
      <c r="F159">
        <v>40</v>
      </c>
      <c r="G159">
        <v>1</v>
      </c>
      <c r="H159">
        <v>13</v>
      </c>
      <c r="I159" t="s">
        <v>243</v>
      </c>
    </row>
    <row r="160" spans="1:9" x14ac:dyDescent="0.3">
      <c r="A160">
        <v>59</v>
      </c>
      <c r="B160">
        <v>8</v>
      </c>
      <c r="C160" t="s">
        <v>46</v>
      </c>
      <c r="D160" t="s">
        <v>629</v>
      </c>
      <c r="E160">
        <v>10</v>
      </c>
      <c r="F160">
        <v>18</v>
      </c>
      <c r="G160">
        <v>2</v>
      </c>
      <c r="H160">
        <v>13</v>
      </c>
      <c r="I160" t="s">
        <v>243</v>
      </c>
    </row>
    <row r="161" spans="1:9" x14ac:dyDescent="0.3">
      <c r="A161">
        <v>60</v>
      </c>
      <c r="B161">
        <v>6</v>
      </c>
      <c r="C161" t="s">
        <v>112</v>
      </c>
      <c r="D161" t="s">
        <v>619</v>
      </c>
      <c r="E161">
        <v>20</v>
      </c>
      <c r="F161">
        <v>33</v>
      </c>
      <c r="G161">
        <v>2</v>
      </c>
      <c r="H161">
        <v>20</v>
      </c>
      <c r="I161" t="s">
        <v>243</v>
      </c>
    </row>
    <row r="162" spans="1:9" x14ac:dyDescent="0.3">
      <c r="A162">
        <v>60</v>
      </c>
      <c r="B162">
        <v>6</v>
      </c>
      <c r="C162" t="s">
        <v>46</v>
      </c>
      <c r="D162" t="s">
        <v>629</v>
      </c>
      <c r="E162">
        <v>10</v>
      </c>
      <c r="F162">
        <v>18</v>
      </c>
      <c r="G162">
        <v>2</v>
      </c>
      <c r="H162">
        <v>23</v>
      </c>
      <c r="I162" t="s">
        <v>242</v>
      </c>
    </row>
    <row r="163" spans="1:9" x14ac:dyDescent="0.3">
      <c r="A163">
        <v>61</v>
      </c>
      <c r="B163">
        <v>10</v>
      </c>
      <c r="C163" t="s">
        <v>30</v>
      </c>
      <c r="D163" t="s">
        <v>620</v>
      </c>
      <c r="E163">
        <v>16</v>
      </c>
      <c r="F163">
        <v>28</v>
      </c>
      <c r="G163">
        <v>3</v>
      </c>
      <c r="H163">
        <v>51</v>
      </c>
      <c r="I163" t="s">
        <v>243</v>
      </c>
    </row>
    <row r="164" spans="1:9" x14ac:dyDescent="0.3">
      <c r="A164">
        <v>61</v>
      </c>
      <c r="B164">
        <v>10</v>
      </c>
      <c r="C164" t="s">
        <v>40</v>
      </c>
      <c r="D164" t="s">
        <v>613</v>
      </c>
      <c r="E164">
        <v>18</v>
      </c>
      <c r="F164">
        <v>30</v>
      </c>
      <c r="G164">
        <v>2</v>
      </c>
      <c r="H164">
        <v>13</v>
      </c>
      <c r="I164" t="s">
        <v>242</v>
      </c>
    </row>
    <row r="165" spans="1:9" x14ac:dyDescent="0.3">
      <c r="A165">
        <v>61</v>
      </c>
      <c r="B165">
        <v>10</v>
      </c>
      <c r="C165" t="s">
        <v>34</v>
      </c>
      <c r="D165" t="s">
        <v>616</v>
      </c>
      <c r="E165">
        <v>25</v>
      </c>
      <c r="F165">
        <v>40</v>
      </c>
      <c r="G165">
        <v>2</v>
      </c>
      <c r="H165">
        <v>56</v>
      </c>
      <c r="I165" t="s">
        <v>242</v>
      </c>
    </row>
    <row r="166" spans="1:9" x14ac:dyDescent="0.3">
      <c r="A166">
        <v>61</v>
      </c>
      <c r="B166">
        <v>10</v>
      </c>
      <c r="C166" t="s">
        <v>46</v>
      </c>
      <c r="D166" t="s">
        <v>629</v>
      </c>
      <c r="E166">
        <v>10</v>
      </c>
      <c r="F166">
        <v>18</v>
      </c>
      <c r="G166">
        <v>1</v>
      </c>
      <c r="H166">
        <v>39</v>
      </c>
      <c r="I166" t="s">
        <v>243</v>
      </c>
    </row>
    <row r="167" spans="1:9" x14ac:dyDescent="0.3">
      <c r="A167">
        <v>62</v>
      </c>
      <c r="B167">
        <v>2</v>
      </c>
      <c r="C167" t="s">
        <v>53</v>
      </c>
      <c r="D167" t="s">
        <v>621</v>
      </c>
      <c r="E167">
        <v>11</v>
      </c>
      <c r="F167">
        <v>19</v>
      </c>
      <c r="G167">
        <v>3</v>
      </c>
      <c r="H167">
        <v>46</v>
      </c>
      <c r="I167" t="s">
        <v>243</v>
      </c>
    </row>
    <row r="168" spans="1:9" x14ac:dyDescent="0.3">
      <c r="A168">
        <v>62</v>
      </c>
      <c r="B168">
        <v>2</v>
      </c>
      <c r="C168" t="s">
        <v>56</v>
      </c>
      <c r="D168" t="s">
        <v>614</v>
      </c>
      <c r="E168">
        <v>19</v>
      </c>
      <c r="F168">
        <v>31</v>
      </c>
      <c r="G168">
        <v>1</v>
      </c>
      <c r="H168">
        <v>50</v>
      </c>
      <c r="I168" t="s">
        <v>243</v>
      </c>
    </row>
    <row r="169" spans="1:9" x14ac:dyDescent="0.3">
      <c r="A169">
        <v>62</v>
      </c>
      <c r="B169">
        <v>2</v>
      </c>
      <c r="C169" t="s">
        <v>40</v>
      </c>
      <c r="D169" t="s">
        <v>613</v>
      </c>
      <c r="E169">
        <v>18</v>
      </c>
      <c r="F169">
        <v>30</v>
      </c>
      <c r="G169">
        <v>2</v>
      </c>
      <c r="H169">
        <v>59</v>
      </c>
      <c r="I169" t="s">
        <v>243</v>
      </c>
    </row>
    <row r="170" spans="1:9" x14ac:dyDescent="0.3">
      <c r="A170">
        <v>63</v>
      </c>
      <c r="B170">
        <v>17</v>
      </c>
      <c r="C170" t="s">
        <v>66</v>
      </c>
      <c r="D170" t="s">
        <v>626</v>
      </c>
      <c r="E170">
        <v>12</v>
      </c>
      <c r="F170">
        <v>20</v>
      </c>
      <c r="G170">
        <v>1</v>
      </c>
      <c r="H170">
        <v>10</v>
      </c>
      <c r="I170" t="s">
        <v>243</v>
      </c>
    </row>
    <row r="171" spans="1:9" x14ac:dyDescent="0.3">
      <c r="A171">
        <v>63</v>
      </c>
      <c r="B171">
        <v>17</v>
      </c>
      <c r="C171" t="s">
        <v>19</v>
      </c>
      <c r="D171" t="s">
        <v>622</v>
      </c>
      <c r="E171">
        <v>21</v>
      </c>
      <c r="F171">
        <v>35</v>
      </c>
      <c r="G171">
        <v>1</v>
      </c>
      <c r="H171">
        <v>20</v>
      </c>
      <c r="I171" t="s">
        <v>242</v>
      </c>
    </row>
    <row r="172" spans="1:9" x14ac:dyDescent="0.3">
      <c r="A172">
        <v>64</v>
      </c>
      <c r="B172">
        <v>3</v>
      </c>
      <c r="C172" t="s">
        <v>44</v>
      </c>
      <c r="D172" t="s">
        <v>617</v>
      </c>
      <c r="E172">
        <v>22</v>
      </c>
      <c r="F172">
        <v>36</v>
      </c>
      <c r="G172">
        <v>3</v>
      </c>
      <c r="H172">
        <v>10</v>
      </c>
      <c r="I172" t="s">
        <v>242</v>
      </c>
    </row>
    <row r="173" spans="1:9" x14ac:dyDescent="0.3">
      <c r="A173">
        <v>64</v>
      </c>
      <c r="B173">
        <v>3</v>
      </c>
      <c r="C173" t="s">
        <v>34</v>
      </c>
      <c r="D173" t="s">
        <v>616</v>
      </c>
      <c r="E173">
        <v>25</v>
      </c>
      <c r="F173">
        <v>40</v>
      </c>
      <c r="G173">
        <v>3</v>
      </c>
      <c r="H173">
        <v>47</v>
      </c>
      <c r="I173" t="s">
        <v>243</v>
      </c>
    </row>
    <row r="174" spans="1:9" x14ac:dyDescent="0.3">
      <c r="A174">
        <v>64</v>
      </c>
      <c r="B174">
        <v>3</v>
      </c>
      <c r="C174" t="s">
        <v>66</v>
      </c>
      <c r="D174" t="s">
        <v>626</v>
      </c>
      <c r="E174">
        <v>12</v>
      </c>
      <c r="F174">
        <v>20</v>
      </c>
      <c r="G174">
        <v>3</v>
      </c>
      <c r="H174">
        <v>25</v>
      </c>
      <c r="I174" t="s">
        <v>242</v>
      </c>
    </row>
    <row r="175" spans="1:9" x14ac:dyDescent="0.3">
      <c r="A175">
        <v>65</v>
      </c>
      <c r="B175">
        <v>5</v>
      </c>
      <c r="C175" t="s">
        <v>53</v>
      </c>
      <c r="D175" t="s">
        <v>621</v>
      </c>
      <c r="E175">
        <v>11</v>
      </c>
      <c r="F175">
        <v>19</v>
      </c>
      <c r="G175">
        <v>3</v>
      </c>
      <c r="H175">
        <v>51</v>
      </c>
      <c r="I175" t="s">
        <v>242</v>
      </c>
    </row>
    <row r="176" spans="1:9" x14ac:dyDescent="0.3">
      <c r="A176">
        <v>65</v>
      </c>
      <c r="B176">
        <v>5</v>
      </c>
      <c r="C176" t="s">
        <v>30</v>
      </c>
      <c r="D176" t="s">
        <v>620</v>
      </c>
      <c r="E176">
        <v>16</v>
      </c>
      <c r="F176">
        <v>28</v>
      </c>
      <c r="G176">
        <v>1</v>
      </c>
      <c r="H176">
        <v>32</v>
      </c>
      <c r="I176" t="s">
        <v>243</v>
      </c>
    </row>
    <row r="177" spans="1:9" x14ac:dyDescent="0.3">
      <c r="A177">
        <v>65</v>
      </c>
      <c r="B177">
        <v>5</v>
      </c>
      <c r="C177" t="s">
        <v>56</v>
      </c>
      <c r="D177" t="s">
        <v>614</v>
      </c>
      <c r="E177">
        <v>19</v>
      </c>
      <c r="F177">
        <v>31</v>
      </c>
      <c r="G177">
        <v>1</v>
      </c>
      <c r="H177">
        <v>55</v>
      </c>
      <c r="I177" t="s">
        <v>243</v>
      </c>
    </row>
    <row r="178" spans="1:9" x14ac:dyDescent="0.3">
      <c r="A178">
        <v>65</v>
      </c>
      <c r="B178">
        <v>5</v>
      </c>
      <c r="C178" t="s">
        <v>34</v>
      </c>
      <c r="D178" t="s">
        <v>616</v>
      </c>
      <c r="E178">
        <v>25</v>
      </c>
      <c r="F178">
        <v>40</v>
      </c>
      <c r="G178">
        <v>2</v>
      </c>
      <c r="H178">
        <v>17</v>
      </c>
      <c r="I178" t="s">
        <v>242</v>
      </c>
    </row>
    <row r="179" spans="1:9" x14ac:dyDescent="0.3">
      <c r="A179">
        <v>66</v>
      </c>
      <c r="B179">
        <v>18</v>
      </c>
      <c r="C179" t="s">
        <v>44</v>
      </c>
      <c r="D179" t="s">
        <v>617</v>
      </c>
      <c r="E179">
        <v>22</v>
      </c>
      <c r="F179">
        <v>36</v>
      </c>
      <c r="G179">
        <v>1</v>
      </c>
      <c r="H179">
        <v>29</v>
      </c>
      <c r="I179" t="s">
        <v>242</v>
      </c>
    </row>
    <row r="180" spans="1:9" x14ac:dyDescent="0.3">
      <c r="A180">
        <v>66</v>
      </c>
      <c r="B180">
        <v>18</v>
      </c>
      <c r="C180" t="s">
        <v>34</v>
      </c>
      <c r="D180" t="s">
        <v>616</v>
      </c>
      <c r="E180">
        <v>25</v>
      </c>
      <c r="F180">
        <v>40</v>
      </c>
      <c r="G180">
        <v>3</v>
      </c>
      <c r="H180">
        <v>30</v>
      </c>
      <c r="I180" t="s">
        <v>242</v>
      </c>
    </row>
    <row r="181" spans="1:9" x14ac:dyDescent="0.3">
      <c r="A181">
        <v>66</v>
      </c>
      <c r="B181">
        <v>18</v>
      </c>
      <c r="C181" t="s">
        <v>46</v>
      </c>
      <c r="D181" t="s">
        <v>629</v>
      </c>
      <c r="E181">
        <v>10</v>
      </c>
      <c r="F181">
        <v>18</v>
      </c>
      <c r="G181">
        <v>3</v>
      </c>
      <c r="H181">
        <v>55</v>
      </c>
      <c r="I181" t="s">
        <v>243</v>
      </c>
    </row>
    <row r="182" spans="1:9" x14ac:dyDescent="0.3">
      <c r="A182">
        <v>67</v>
      </c>
      <c r="B182">
        <v>2</v>
      </c>
      <c r="C182" t="s">
        <v>71</v>
      </c>
      <c r="D182" t="s">
        <v>630</v>
      </c>
      <c r="E182">
        <v>15</v>
      </c>
      <c r="F182">
        <v>26</v>
      </c>
      <c r="G182">
        <v>3</v>
      </c>
      <c r="H182">
        <v>15</v>
      </c>
      <c r="I182" t="s">
        <v>243</v>
      </c>
    </row>
    <row r="183" spans="1:9" x14ac:dyDescent="0.3">
      <c r="A183">
        <v>67</v>
      </c>
      <c r="B183">
        <v>2</v>
      </c>
      <c r="C183" t="s">
        <v>44</v>
      </c>
      <c r="D183" t="s">
        <v>617</v>
      </c>
      <c r="E183">
        <v>22</v>
      </c>
      <c r="F183">
        <v>36</v>
      </c>
      <c r="G183">
        <v>3</v>
      </c>
      <c r="H183">
        <v>59</v>
      </c>
      <c r="I183" t="s">
        <v>243</v>
      </c>
    </row>
    <row r="184" spans="1:9" x14ac:dyDescent="0.3">
      <c r="A184">
        <v>67</v>
      </c>
      <c r="B184">
        <v>2</v>
      </c>
      <c r="C184" t="s">
        <v>40</v>
      </c>
      <c r="D184" t="s">
        <v>613</v>
      </c>
      <c r="E184">
        <v>18</v>
      </c>
      <c r="F184">
        <v>30</v>
      </c>
      <c r="G184">
        <v>1</v>
      </c>
      <c r="H184">
        <v>35</v>
      </c>
      <c r="I184" t="s">
        <v>243</v>
      </c>
    </row>
    <row r="185" spans="1:9" x14ac:dyDescent="0.3">
      <c r="A185">
        <v>67</v>
      </c>
      <c r="B185">
        <v>2</v>
      </c>
      <c r="C185" t="s">
        <v>34</v>
      </c>
      <c r="D185" t="s">
        <v>616</v>
      </c>
      <c r="E185">
        <v>25</v>
      </c>
      <c r="F185">
        <v>40</v>
      </c>
      <c r="G185">
        <v>1</v>
      </c>
      <c r="H185">
        <v>22</v>
      </c>
      <c r="I185" t="s">
        <v>242</v>
      </c>
    </row>
    <row r="186" spans="1:9" x14ac:dyDescent="0.3">
      <c r="A186">
        <v>68</v>
      </c>
      <c r="B186">
        <v>8</v>
      </c>
      <c r="C186" t="s">
        <v>60</v>
      </c>
      <c r="D186" t="s">
        <v>631</v>
      </c>
      <c r="E186">
        <v>15</v>
      </c>
      <c r="F186">
        <v>25</v>
      </c>
      <c r="G186">
        <v>1</v>
      </c>
      <c r="H186">
        <v>26</v>
      </c>
      <c r="I186" t="s">
        <v>243</v>
      </c>
    </row>
    <row r="187" spans="1:9" x14ac:dyDescent="0.3">
      <c r="A187">
        <v>68</v>
      </c>
      <c r="B187">
        <v>8</v>
      </c>
      <c r="C187" t="s">
        <v>89</v>
      </c>
      <c r="D187" t="s">
        <v>627</v>
      </c>
      <c r="E187">
        <v>14</v>
      </c>
      <c r="F187">
        <v>23</v>
      </c>
      <c r="G187">
        <v>3</v>
      </c>
      <c r="H187">
        <v>43</v>
      </c>
      <c r="I187" t="s">
        <v>242</v>
      </c>
    </row>
    <row r="188" spans="1:9" x14ac:dyDescent="0.3">
      <c r="A188">
        <v>68</v>
      </c>
      <c r="B188">
        <v>8</v>
      </c>
      <c r="C188" t="s">
        <v>105</v>
      </c>
      <c r="D188" t="s">
        <v>623</v>
      </c>
      <c r="E188">
        <v>19</v>
      </c>
      <c r="F188">
        <v>32</v>
      </c>
      <c r="G188">
        <v>3</v>
      </c>
      <c r="H188">
        <v>57</v>
      </c>
      <c r="I188" t="s">
        <v>243</v>
      </c>
    </row>
    <row r="189" spans="1:9" x14ac:dyDescent="0.3">
      <c r="A189">
        <v>68</v>
      </c>
      <c r="B189">
        <v>8</v>
      </c>
      <c r="C189" t="s">
        <v>30</v>
      </c>
      <c r="D189" t="s">
        <v>620</v>
      </c>
      <c r="E189">
        <v>16</v>
      </c>
      <c r="F189">
        <v>28</v>
      </c>
      <c r="G189">
        <v>1</v>
      </c>
      <c r="H189">
        <v>19</v>
      </c>
      <c r="I189" t="s">
        <v>243</v>
      </c>
    </row>
    <row r="190" spans="1:9" x14ac:dyDescent="0.3">
      <c r="A190">
        <v>69</v>
      </c>
      <c r="B190">
        <v>5</v>
      </c>
      <c r="C190" t="s">
        <v>112</v>
      </c>
      <c r="D190" t="s">
        <v>619</v>
      </c>
      <c r="E190">
        <v>20</v>
      </c>
      <c r="F190">
        <v>33</v>
      </c>
      <c r="G190">
        <v>3</v>
      </c>
      <c r="H190">
        <v>24</v>
      </c>
      <c r="I190" t="s">
        <v>243</v>
      </c>
    </row>
    <row r="191" spans="1:9" x14ac:dyDescent="0.3">
      <c r="A191">
        <v>69</v>
      </c>
      <c r="B191">
        <v>5</v>
      </c>
      <c r="C191" t="s">
        <v>42</v>
      </c>
      <c r="D191" t="s">
        <v>628</v>
      </c>
      <c r="E191">
        <v>13</v>
      </c>
      <c r="F191">
        <v>21</v>
      </c>
      <c r="G191">
        <v>3</v>
      </c>
      <c r="H191">
        <v>20</v>
      </c>
      <c r="I191" t="s">
        <v>242</v>
      </c>
    </row>
    <row r="192" spans="1:9" x14ac:dyDescent="0.3">
      <c r="A192">
        <v>69</v>
      </c>
      <c r="B192">
        <v>5</v>
      </c>
      <c r="C192" t="s">
        <v>75</v>
      </c>
      <c r="D192" t="s">
        <v>612</v>
      </c>
      <c r="E192">
        <v>14</v>
      </c>
      <c r="F192">
        <v>24</v>
      </c>
      <c r="G192">
        <v>3</v>
      </c>
      <c r="H192">
        <v>48</v>
      </c>
      <c r="I192" t="s">
        <v>243</v>
      </c>
    </row>
    <row r="193" spans="1:9" x14ac:dyDescent="0.3">
      <c r="A193">
        <v>70</v>
      </c>
      <c r="B193">
        <v>17</v>
      </c>
      <c r="C193" t="s">
        <v>60</v>
      </c>
      <c r="D193" t="s">
        <v>631</v>
      </c>
      <c r="E193">
        <v>15</v>
      </c>
      <c r="F193">
        <v>25</v>
      </c>
      <c r="G193">
        <v>2</v>
      </c>
      <c r="H193">
        <v>19</v>
      </c>
      <c r="I193" t="s">
        <v>243</v>
      </c>
    </row>
    <row r="194" spans="1:9" x14ac:dyDescent="0.3">
      <c r="A194">
        <v>70</v>
      </c>
      <c r="B194">
        <v>17</v>
      </c>
      <c r="C194" t="s">
        <v>38</v>
      </c>
      <c r="D194" t="s">
        <v>625</v>
      </c>
      <c r="E194">
        <v>20</v>
      </c>
      <c r="F194">
        <v>34</v>
      </c>
      <c r="G194">
        <v>2</v>
      </c>
      <c r="H194">
        <v>21</v>
      </c>
      <c r="I194" t="s">
        <v>243</v>
      </c>
    </row>
    <row r="195" spans="1:9" x14ac:dyDescent="0.3">
      <c r="A195">
        <v>71</v>
      </c>
      <c r="B195">
        <v>18</v>
      </c>
      <c r="C195" t="s">
        <v>89</v>
      </c>
      <c r="D195" t="s">
        <v>627</v>
      </c>
      <c r="E195">
        <v>14</v>
      </c>
      <c r="F195">
        <v>23</v>
      </c>
      <c r="G195">
        <v>2</v>
      </c>
      <c r="H195">
        <v>29</v>
      </c>
      <c r="I195" t="s">
        <v>243</v>
      </c>
    </row>
    <row r="196" spans="1:9" x14ac:dyDescent="0.3">
      <c r="A196">
        <v>71</v>
      </c>
      <c r="B196">
        <v>18</v>
      </c>
      <c r="C196" t="s">
        <v>40</v>
      </c>
      <c r="D196" t="s">
        <v>613</v>
      </c>
      <c r="E196">
        <v>18</v>
      </c>
      <c r="F196">
        <v>30</v>
      </c>
      <c r="G196">
        <v>3</v>
      </c>
      <c r="H196">
        <v>20</v>
      </c>
      <c r="I196" t="s">
        <v>243</v>
      </c>
    </row>
    <row r="197" spans="1:9" x14ac:dyDescent="0.3">
      <c r="A197">
        <v>72</v>
      </c>
      <c r="B197">
        <v>17</v>
      </c>
      <c r="C197" t="s">
        <v>42</v>
      </c>
      <c r="D197" t="s">
        <v>628</v>
      </c>
      <c r="E197">
        <v>13</v>
      </c>
      <c r="F197">
        <v>21</v>
      </c>
      <c r="G197">
        <v>1</v>
      </c>
      <c r="H197">
        <v>17</v>
      </c>
      <c r="I197" t="s">
        <v>243</v>
      </c>
    </row>
    <row r="198" spans="1:9" x14ac:dyDescent="0.3">
      <c r="A198">
        <v>72</v>
      </c>
      <c r="B198">
        <v>17</v>
      </c>
      <c r="C198" t="s">
        <v>46</v>
      </c>
      <c r="D198" t="s">
        <v>629</v>
      </c>
      <c r="E198">
        <v>10</v>
      </c>
      <c r="F198">
        <v>18</v>
      </c>
      <c r="G198">
        <v>3</v>
      </c>
      <c r="H198">
        <v>37</v>
      </c>
      <c r="I198" t="s">
        <v>243</v>
      </c>
    </row>
    <row r="199" spans="1:9" x14ac:dyDescent="0.3">
      <c r="A199">
        <v>73</v>
      </c>
      <c r="B199">
        <v>1</v>
      </c>
      <c r="C199" t="s">
        <v>50</v>
      </c>
      <c r="D199" t="s">
        <v>615</v>
      </c>
      <c r="E199">
        <v>16</v>
      </c>
      <c r="F199">
        <v>27</v>
      </c>
      <c r="G199">
        <v>3</v>
      </c>
      <c r="H199">
        <v>20</v>
      </c>
      <c r="I199" t="s">
        <v>242</v>
      </c>
    </row>
    <row r="200" spans="1:9" x14ac:dyDescent="0.3">
      <c r="A200">
        <v>74</v>
      </c>
      <c r="B200">
        <v>19</v>
      </c>
      <c r="C200" t="s">
        <v>71</v>
      </c>
      <c r="D200" t="s">
        <v>630</v>
      </c>
      <c r="E200">
        <v>15</v>
      </c>
      <c r="F200">
        <v>26</v>
      </c>
      <c r="G200">
        <v>2</v>
      </c>
      <c r="H200">
        <v>39</v>
      </c>
      <c r="I200" t="s">
        <v>243</v>
      </c>
    </row>
    <row r="201" spans="1:9" x14ac:dyDescent="0.3">
      <c r="A201">
        <v>74</v>
      </c>
      <c r="B201">
        <v>19</v>
      </c>
      <c r="C201" t="s">
        <v>105</v>
      </c>
      <c r="D201" t="s">
        <v>623</v>
      </c>
      <c r="E201">
        <v>19</v>
      </c>
      <c r="F201">
        <v>32</v>
      </c>
      <c r="G201">
        <v>2</v>
      </c>
      <c r="H201">
        <v>24</v>
      </c>
      <c r="I201" t="s">
        <v>243</v>
      </c>
    </row>
    <row r="202" spans="1:9" x14ac:dyDescent="0.3">
      <c r="A202">
        <v>74</v>
      </c>
      <c r="B202">
        <v>19</v>
      </c>
      <c r="C202" t="s">
        <v>38</v>
      </c>
      <c r="D202" t="s">
        <v>625</v>
      </c>
      <c r="E202">
        <v>20</v>
      </c>
      <c r="F202">
        <v>34</v>
      </c>
      <c r="G202">
        <v>3</v>
      </c>
      <c r="H202">
        <v>37</v>
      </c>
      <c r="I202" t="s">
        <v>242</v>
      </c>
    </row>
    <row r="203" spans="1:9" x14ac:dyDescent="0.3">
      <c r="A203">
        <v>75</v>
      </c>
      <c r="B203">
        <v>19</v>
      </c>
      <c r="C203" t="s">
        <v>89</v>
      </c>
      <c r="D203" t="s">
        <v>627</v>
      </c>
      <c r="E203">
        <v>14</v>
      </c>
      <c r="F203">
        <v>23</v>
      </c>
      <c r="G203">
        <v>3</v>
      </c>
      <c r="H203">
        <v>16</v>
      </c>
      <c r="I203" t="s">
        <v>243</v>
      </c>
    </row>
    <row r="204" spans="1:9" x14ac:dyDescent="0.3">
      <c r="A204">
        <v>75</v>
      </c>
      <c r="B204">
        <v>19</v>
      </c>
      <c r="C204" t="s">
        <v>34</v>
      </c>
      <c r="D204" t="s">
        <v>616</v>
      </c>
      <c r="E204">
        <v>25</v>
      </c>
      <c r="F204">
        <v>40</v>
      </c>
      <c r="G204">
        <v>1</v>
      </c>
      <c r="H204">
        <v>35</v>
      </c>
      <c r="I204" t="s">
        <v>242</v>
      </c>
    </row>
    <row r="205" spans="1:9" x14ac:dyDescent="0.3">
      <c r="A205">
        <v>76</v>
      </c>
      <c r="B205">
        <v>17</v>
      </c>
      <c r="C205" t="s">
        <v>71</v>
      </c>
      <c r="D205" t="s">
        <v>630</v>
      </c>
      <c r="E205">
        <v>15</v>
      </c>
      <c r="F205">
        <v>26</v>
      </c>
      <c r="G205">
        <v>1</v>
      </c>
      <c r="H205">
        <v>30</v>
      </c>
      <c r="I205" t="s">
        <v>242</v>
      </c>
    </row>
    <row r="206" spans="1:9" x14ac:dyDescent="0.3">
      <c r="A206">
        <v>76</v>
      </c>
      <c r="B206">
        <v>17</v>
      </c>
      <c r="C206" t="s">
        <v>40</v>
      </c>
      <c r="D206" t="s">
        <v>613</v>
      </c>
      <c r="E206">
        <v>18</v>
      </c>
      <c r="F206">
        <v>30</v>
      </c>
      <c r="G206">
        <v>3</v>
      </c>
      <c r="H206">
        <v>13</v>
      </c>
      <c r="I206" t="s">
        <v>243</v>
      </c>
    </row>
    <row r="207" spans="1:9" x14ac:dyDescent="0.3">
      <c r="A207">
        <v>76</v>
      </c>
      <c r="B207">
        <v>17</v>
      </c>
      <c r="C207" t="s">
        <v>46</v>
      </c>
      <c r="D207" t="s">
        <v>629</v>
      </c>
      <c r="E207">
        <v>10</v>
      </c>
      <c r="F207">
        <v>18</v>
      </c>
      <c r="G207">
        <v>1</v>
      </c>
      <c r="H207">
        <v>34</v>
      </c>
      <c r="I207" t="s">
        <v>243</v>
      </c>
    </row>
    <row r="208" spans="1:9" x14ac:dyDescent="0.3">
      <c r="A208">
        <v>76</v>
      </c>
      <c r="B208">
        <v>17</v>
      </c>
      <c r="C208" t="s">
        <v>75</v>
      </c>
      <c r="D208" t="s">
        <v>612</v>
      </c>
      <c r="E208">
        <v>14</v>
      </c>
      <c r="F208">
        <v>24</v>
      </c>
      <c r="G208">
        <v>1</v>
      </c>
      <c r="H208">
        <v>20</v>
      </c>
      <c r="I208" t="s">
        <v>242</v>
      </c>
    </row>
    <row r="209" spans="1:9" x14ac:dyDescent="0.3">
      <c r="A209">
        <v>77</v>
      </c>
      <c r="B209">
        <v>3</v>
      </c>
      <c r="C209" t="s">
        <v>112</v>
      </c>
      <c r="D209" t="s">
        <v>619</v>
      </c>
      <c r="E209">
        <v>20</v>
      </c>
      <c r="F209">
        <v>33</v>
      </c>
      <c r="G209">
        <v>1</v>
      </c>
      <c r="H209">
        <v>8</v>
      </c>
      <c r="I209" t="s">
        <v>243</v>
      </c>
    </row>
    <row r="210" spans="1:9" x14ac:dyDescent="0.3">
      <c r="A210">
        <v>77</v>
      </c>
      <c r="B210">
        <v>3</v>
      </c>
      <c r="C210" t="s">
        <v>46</v>
      </c>
      <c r="D210" t="s">
        <v>629</v>
      </c>
      <c r="E210">
        <v>10</v>
      </c>
      <c r="F210">
        <v>18</v>
      </c>
      <c r="G210">
        <v>1</v>
      </c>
      <c r="H210">
        <v>34</v>
      </c>
      <c r="I210" t="s">
        <v>243</v>
      </c>
    </row>
    <row r="211" spans="1:9" x14ac:dyDescent="0.3">
      <c r="A211">
        <v>77</v>
      </c>
      <c r="B211">
        <v>3</v>
      </c>
      <c r="C211" t="s">
        <v>75</v>
      </c>
      <c r="D211" t="s">
        <v>612</v>
      </c>
      <c r="E211">
        <v>14</v>
      </c>
      <c r="F211">
        <v>24</v>
      </c>
      <c r="G211">
        <v>2</v>
      </c>
      <c r="H211">
        <v>55</v>
      </c>
      <c r="I211" t="s">
        <v>242</v>
      </c>
    </row>
    <row r="212" spans="1:9" x14ac:dyDescent="0.3">
      <c r="A212">
        <v>78</v>
      </c>
      <c r="B212">
        <v>7</v>
      </c>
      <c r="C212" t="s">
        <v>53</v>
      </c>
      <c r="D212" t="s">
        <v>621</v>
      </c>
      <c r="E212">
        <v>11</v>
      </c>
      <c r="F212">
        <v>19</v>
      </c>
      <c r="G212">
        <v>3</v>
      </c>
      <c r="H212">
        <v>54</v>
      </c>
      <c r="I212" t="s">
        <v>243</v>
      </c>
    </row>
    <row r="213" spans="1:9" x14ac:dyDescent="0.3">
      <c r="A213">
        <v>79</v>
      </c>
      <c r="B213">
        <v>16</v>
      </c>
      <c r="C213" t="s">
        <v>112</v>
      </c>
      <c r="D213" t="s">
        <v>619</v>
      </c>
      <c r="E213">
        <v>20</v>
      </c>
      <c r="F213">
        <v>33</v>
      </c>
      <c r="G213">
        <v>3</v>
      </c>
      <c r="H213">
        <v>14</v>
      </c>
      <c r="I213" t="s">
        <v>243</v>
      </c>
    </row>
    <row r="214" spans="1:9" x14ac:dyDescent="0.3">
      <c r="A214">
        <v>79</v>
      </c>
      <c r="B214">
        <v>16</v>
      </c>
      <c r="C214" t="s">
        <v>42</v>
      </c>
      <c r="D214" t="s">
        <v>628</v>
      </c>
      <c r="E214">
        <v>13</v>
      </c>
      <c r="F214">
        <v>21</v>
      </c>
      <c r="G214">
        <v>3</v>
      </c>
      <c r="H214">
        <v>43</v>
      </c>
      <c r="I214" t="s">
        <v>242</v>
      </c>
    </row>
    <row r="215" spans="1:9" x14ac:dyDescent="0.3">
      <c r="A215">
        <v>79</v>
      </c>
      <c r="B215">
        <v>16</v>
      </c>
      <c r="C215" t="s">
        <v>66</v>
      </c>
      <c r="D215" t="s">
        <v>626</v>
      </c>
      <c r="E215">
        <v>12</v>
      </c>
      <c r="F215">
        <v>20</v>
      </c>
      <c r="G215">
        <v>3</v>
      </c>
      <c r="H215">
        <v>25</v>
      </c>
      <c r="I215" t="s">
        <v>242</v>
      </c>
    </row>
    <row r="216" spans="1:9" x14ac:dyDescent="0.3">
      <c r="A216">
        <v>79</v>
      </c>
      <c r="B216">
        <v>16</v>
      </c>
      <c r="C216" t="s">
        <v>26</v>
      </c>
      <c r="D216" t="s">
        <v>618</v>
      </c>
      <c r="E216">
        <v>17</v>
      </c>
      <c r="F216">
        <v>29</v>
      </c>
      <c r="G216">
        <v>3</v>
      </c>
      <c r="H216">
        <v>14</v>
      </c>
      <c r="I216" t="s">
        <v>242</v>
      </c>
    </row>
    <row r="217" spans="1:9" x14ac:dyDescent="0.3">
      <c r="A217">
        <v>80</v>
      </c>
      <c r="B217">
        <v>18</v>
      </c>
      <c r="C217" t="s">
        <v>92</v>
      </c>
      <c r="D217" t="s">
        <v>624</v>
      </c>
      <c r="E217">
        <v>13</v>
      </c>
      <c r="F217">
        <v>22</v>
      </c>
      <c r="G217">
        <v>2</v>
      </c>
      <c r="H217">
        <v>5</v>
      </c>
      <c r="I217" t="s">
        <v>242</v>
      </c>
    </row>
    <row r="218" spans="1:9" x14ac:dyDescent="0.3">
      <c r="A218">
        <v>80</v>
      </c>
      <c r="B218">
        <v>18</v>
      </c>
      <c r="C218" t="s">
        <v>75</v>
      </c>
      <c r="D218" t="s">
        <v>612</v>
      </c>
      <c r="E218">
        <v>14</v>
      </c>
      <c r="F218">
        <v>24</v>
      </c>
      <c r="G218">
        <v>2</v>
      </c>
      <c r="H218">
        <v>28</v>
      </c>
      <c r="I218" t="s">
        <v>242</v>
      </c>
    </row>
    <row r="219" spans="1:9" x14ac:dyDescent="0.3">
      <c r="A219">
        <v>80</v>
      </c>
      <c r="B219">
        <v>18</v>
      </c>
      <c r="C219" t="s">
        <v>26</v>
      </c>
      <c r="D219" t="s">
        <v>618</v>
      </c>
      <c r="E219">
        <v>17</v>
      </c>
      <c r="F219">
        <v>29</v>
      </c>
      <c r="G219">
        <v>1</v>
      </c>
      <c r="H219">
        <v>34</v>
      </c>
      <c r="I219" t="s">
        <v>243</v>
      </c>
    </row>
    <row r="220" spans="1:9" x14ac:dyDescent="0.3">
      <c r="A220">
        <v>81</v>
      </c>
      <c r="B220">
        <v>17</v>
      </c>
      <c r="C220" t="s">
        <v>56</v>
      </c>
      <c r="D220" t="s">
        <v>614</v>
      </c>
      <c r="E220">
        <v>19</v>
      </c>
      <c r="F220">
        <v>31</v>
      </c>
      <c r="G220">
        <v>2</v>
      </c>
      <c r="H220">
        <v>59</v>
      </c>
      <c r="I220" t="s">
        <v>243</v>
      </c>
    </row>
    <row r="221" spans="1:9" x14ac:dyDescent="0.3">
      <c r="A221">
        <v>82</v>
      </c>
      <c r="B221">
        <v>16</v>
      </c>
      <c r="C221" t="s">
        <v>60</v>
      </c>
      <c r="D221" t="s">
        <v>631</v>
      </c>
      <c r="E221">
        <v>15</v>
      </c>
      <c r="F221">
        <v>25</v>
      </c>
      <c r="G221">
        <v>2</v>
      </c>
      <c r="H221">
        <v>11</v>
      </c>
      <c r="I221" t="s">
        <v>243</v>
      </c>
    </row>
    <row r="222" spans="1:9" x14ac:dyDescent="0.3">
      <c r="A222">
        <v>82</v>
      </c>
      <c r="B222">
        <v>16</v>
      </c>
      <c r="C222" t="s">
        <v>40</v>
      </c>
      <c r="D222" t="s">
        <v>613</v>
      </c>
      <c r="E222">
        <v>18</v>
      </c>
      <c r="F222">
        <v>30</v>
      </c>
      <c r="G222">
        <v>1</v>
      </c>
      <c r="H222">
        <v>8</v>
      </c>
      <c r="I222" t="s">
        <v>243</v>
      </c>
    </row>
    <row r="223" spans="1:9" x14ac:dyDescent="0.3">
      <c r="A223">
        <v>83</v>
      </c>
      <c r="B223">
        <v>15</v>
      </c>
      <c r="C223" t="s">
        <v>105</v>
      </c>
      <c r="D223" t="s">
        <v>623</v>
      </c>
      <c r="E223">
        <v>19</v>
      </c>
      <c r="F223">
        <v>32</v>
      </c>
      <c r="G223">
        <v>3</v>
      </c>
      <c r="H223">
        <v>50</v>
      </c>
      <c r="I223" t="s">
        <v>242</v>
      </c>
    </row>
    <row r="224" spans="1:9" x14ac:dyDescent="0.3">
      <c r="A224">
        <v>83</v>
      </c>
      <c r="B224">
        <v>15</v>
      </c>
      <c r="C224" t="s">
        <v>66</v>
      </c>
      <c r="D224" t="s">
        <v>626</v>
      </c>
      <c r="E224">
        <v>12</v>
      </c>
      <c r="F224">
        <v>20</v>
      </c>
      <c r="G224">
        <v>1</v>
      </c>
      <c r="H224">
        <v>30</v>
      </c>
      <c r="I224" t="s">
        <v>243</v>
      </c>
    </row>
    <row r="225" spans="1:9" x14ac:dyDescent="0.3">
      <c r="A225">
        <v>83</v>
      </c>
      <c r="B225">
        <v>15</v>
      </c>
      <c r="C225" t="s">
        <v>50</v>
      </c>
      <c r="D225" t="s">
        <v>615</v>
      </c>
      <c r="E225">
        <v>16</v>
      </c>
      <c r="F225">
        <v>27</v>
      </c>
      <c r="G225">
        <v>2</v>
      </c>
      <c r="H225">
        <v>14</v>
      </c>
      <c r="I225" t="s">
        <v>242</v>
      </c>
    </row>
    <row r="226" spans="1:9" x14ac:dyDescent="0.3">
      <c r="A226">
        <v>84</v>
      </c>
      <c r="B226">
        <v>19</v>
      </c>
      <c r="C226" t="s">
        <v>40</v>
      </c>
      <c r="D226" t="s">
        <v>613</v>
      </c>
      <c r="E226">
        <v>18</v>
      </c>
      <c r="F226">
        <v>30</v>
      </c>
      <c r="G226">
        <v>2</v>
      </c>
      <c r="H226">
        <v>10</v>
      </c>
      <c r="I226" t="s">
        <v>243</v>
      </c>
    </row>
    <row r="227" spans="1:9" x14ac:dyDescent="0.3">
      <c r="A227">
        <v>85</v>
      </c>
      <c r="B227">
        <v>8</v>
      </c>
      <c r="C227" t="s">
        <v>105</v>
      </c>
      <c r="D227" t="s">
        <v>623</v>
      </c>
      <c r="E227">
        <v>19</v>
      </c>
      <c r="F227">
        <v>32</v>
      </c>
      <c r="G227">
        <v>1</v>
      </c>
      <c r="H227">
        <v>29</v>
      </c>
      <c r="I227" t="s">
        <v>243</v>
      </c>
    </row>
    <row r="228" spans="1:9" x14ac:dyDescent="0.3">
      <c r="A228">
        <v>85</v>
      </c>
      <c r="B228">
        <v>8</v>
      </c>
      <c r="C228" t="s">
        <v>30</v>
      </c>
      <c r="D228" t="s">
        <v>620</v>
      </c>
      <c r="E228">
        <v>16</v>
      </c>
      <c r="F228">
        <v>28</v>
      </c>
      <c r="G228">
        <v>3</v>
      </c>
      <c r="H228">
        <v>26</v>
      </c>
      <c r="I228" t="s">
        <v>243</v>
      </c>
    </row>
    <row r="229" spans="1:9" x14ac:dyDescent="0.3">
      <c r="A229">
        <v>85</v>
      </c>
      <c r="B229">
        <v>8</v>
      </c>
      <c r="C229" t="s">
        <v>44</v>
      </c>
      <c r="D229" t="s">
        <v>617</v>
      </c>
      <c r="E229">
        <v>22</v>
      </c>
      <c r="F229">
        <v>36</v>
      </c>
      <c r="G229">
        <v>2</v>
      </c>
      <c r="H229">
        <v>33</v>
      </c>
      <c r="I229" t="s">
        <v>243</v>
      </c>
    </row>
    <row r="230" spans="1:9" x14ac:dyDescent="0.3">
      <c r="A230">
        <v>85</v>
      </c>
      <c r="B230">
        <v>8</v>
      </c>
      <c r="C230" t="s">
        <v>66</v>
      </c>
      <c r="D230" t="s">
        <v>626</v>
      </c>
      <c r="E230">
        <v>12</v>
      </c>
      <c r="F230">
        <v>20</v>
      </c>
      <c r="G230">
        <v>1</v>
      </c>
      <c r="H230">
        <v>54</v>
      </c>
      <c r="I230" t="s">
        <v>243</v>
      </c>
    </row>
    <row r="231" spans="1:9" x14ac:dyDescent="0.3">
      <c r="A231">
        <v>86</v>
      </c>
      <c r="B231">
        <v>20</v>
      </c>
      <c r="C231" t="s">
        <v>60</v>
      </c>
      <c r="D231" t="s">
        <v>631</v>
      </c>
      <c r="E231">
        <v>15</v>
      </c>
      <c r="F231">
        <v>25</v>
      </c>
      <c r="G231">
        <v>2</v>
      </c>
      <c r="H231">
        <v>8</v>
      </c>
      <c r="I231" t="s">
        <v>243</v>
      </c>
    </row>
    <row r="232" spans="1:9" x14ac:dyDescent="0.3">
      <c r="A232">
        <v>87</v>
      </c>
      <c r="B232">
        <v>3</v>
      </c>
      <c r="C232" t="s">
        <v>105</v>
      </c>
      <c r="D232" t="s">
        <v>623</v>
      </c>
      <c r="E232">
        <v>19</v>
      </c>
      <c r="F232">
        <v>32</v>
      </c>
      <c r="G232">
        <v>1</v>
      </c>
      <c r="H232">
        <v>5</v>
      </c>
      <c r="I232" t="s">
        <v>243</v>
      </c>
    </row>
    <row r="233" spans="1:9" x14ac:dyDescent="0.3">
      <c r="A233">
        <v>87</v>
      </c>
      <c r="B233">
        <v>3</v>
      </c>
      <c r="C233" t="s">
        <v>56</v>
      </c>
      <c r="D233" t="s">
        <v>614</v>
      </c>
      <c r="E233">
        <v>19</v>
      </c>
      <c r="F233">
        <v>31</v>
      </c>
      <c r="G233">
        <v>1</v>
      </c>
      <c r="H233">
        <v>11</v>
      </c>
      <c r="I233" t="s">
        <v>242</v>
      </c>
    </row>
    <row r="234" spans="1:9" x14ac:dyDescent="0.3">
      <c r="A234">
        <v>87</v>
      </c>
      <c r="B234">
        <v>3</v>
      </c>
      <c r="C234" t="s">
        <v>46</v>
      </c>
      <c r="D234" t="s">
        <v>629</v>
      </c>
      <c r="E234">
        <v>10</v>
      </c>
      <c r="F234">
        <v>18</v>
      </c>
      <c r="G234">
        <v>2</v>
      </c>
      <c r="H234">
        <v>55</v>
      </c>
      <c r="I234" t="s">
        <v>242</v>
      </c>
    </row>
    <row r="235" spans="1:9" x14ac:dyDescent="0.3">
      <c r="A235">
        <v>88</v>
      </c>
      <c r="B235">
        <v>18</v>
      </c>
      <c r="C235" t="s">
        <v>71</v>
      </c>
      <c r="D235" t="s">
        <v>630</v>
      </c>
      <c r="E235">
        <v>15</v>
      </c>
      <c r="F235">
        <v>26</v>
      </c>
      <c r="G235">
        <v>1</v>
      </c>
      <c r="H235">
        <v>59</v>
      </c>
      <c r="I235" t="s">
        <v>242</v>
      </c>
    </row>
    <row r="236" spans="1:9" x14ac:dyDescent="0.3">
      <c r="A236">
        <v>88</v>
      </c>
      <c r="B236">
        <v>18</v>
      </c>
      <c r="C236" t="s">
        <v>53</v>
      </c>
      <c r="D236" t="s">
        <v>621</v>
      </c>
      <c r="E236">
        <v>11</v>
      </c>
      <c r="F236">
        <v>19</v>
      </c>
      <c r="G236">
        <v>3</v>
      </c>
      <c r="H236">
        <v>46</v>
      </c>
      <c r="I236" t="s">
        <v>243</v>
      </c>
    </row>
    <row r="237" spans="1:9" x14ac:dyDescent="0.3">
      <c r="A237">
        <v>88</v>
      </c>
      <c r="B237">
        <v>18</v>
      </c>
      <c r="C237" t="s">
        <v>34</v>
      </c>
      <c r="D237" t="s">
        <v>616</v>
      </c>
      <c r="E237">
        <v>25</v>
      </c>
      <c r="F237">
        <v>40</v>
      </c>
      <c r="G237">
        <v>1</v>
      </c>
      <c r="H237">
        <v>12</v>
      </c>
      <c r="I237" t="s">
        <v>242</v>
      </c>
    </row>
    <row r="238" spans="1:9" x14ac:dyDescent="0.3">
      <c r="A238">
        <v>89</v>
      </c>
      <c r="B238">
        <v>11</v>
      </c>
      <c r="C238" t="s">
        <v>89</v>
      </c>
      <c r="D238" t="s">
        <v>627</v>
      </c>
      <c r="E238">
        <v>14</v>
      </c>
      <c r="F238">
        <v>23</v>
      </c>
      <c r="G238">
        <v>3</v>
      </c>
      <c r="H238">
        <v>44</v>
      </c>
      <c r="I238" t="s">
        <v>243</v>
      </c>
    </row>
    <row r="239" spans="1:9" x14ac:dyDescent="0.3">
      <c r="A239">
        <v>89</v>
      </c>
      <c r="B239">
        <v>11</v>
      </c>
      <c r="C239" t="s">
        <v>38</v>
      </c>
      <c r="D239" t="s">
        <v>625</v>
      </c>
      <c r="E239">
        <v>20</v>
      </c>
      <c r="F239">
        <v>34</v>
      </c>
      <c r="G239">
        <v>2</v>
      </c>
      <c r="H239">
        <v>58</v>
      </c>
      <c r="I239" t="s">
        <v>242</v>
      </c>
    </row>
    <row r="240" spans="1:9" x14ac:dyDescent="0.3">
      <c r="A240">
        <v>89</v>
      </c>
      <c r="B240">
        <v>11</v>
      </c>
      <c r="C240" t="s">
        <v>92</v>
      </c>
      <c r="D240" t="s">
        <v>624</v>
      </c>
      <c r="E240">
        <v>13</v>
      </c>
      <c r="F240">
        <v>22</v>
      </c>
      <c r="G240">
        <v>1</v>
      </c>
      <c r="H240">
        <v>40</v>
      </c>
      <c r="I240" t="s">
        <v>243</v>
      </c>
    </row>
    <row r="241" spans="1:9" x14ac:dyDescent="0.3">
      <c r="A241">
        <v>90</v>
      </c>
      <c r="B241">
        <v>6</v>
      </c>
      <c r="C241" t="s">
        <v>38</v>
      </c>
      <c r="D241" t="s">
        <v>625</v>
      </c>
      <c r="E241">
        <v>20</v>
      </c>
      <c r="F241">
        <v>34</v>
      </c>
      <c r="G241">
        <v>1</v>
      </c>
      <c r="H241">
        <v>48</v>
      </c>
      <c r="I241" t="s">
        <v>243</v>
      </c>
    </row>
    <row r="242" spans="1:9" x14ac:dyDescent="0.3">
      <c r="A242">
        <v>91</v>
      </c>
      <c r="B242">
        <v>1</v>
      </c>
      <c r="C242" t="s">
        <v>42</v>
      </c>
      <c r="D242" t="s">
        <v>628</v>
      </c>
      <c r="E242">
        <v>13</v>
      </c>
      <c r="F242">
        <v>21</v>
      </c>
      <c r="G242">
        <v>3</v>
      </c>
      <c r="H242">
        <v>52</v>
      </c>
      <c r="I242" t="s">
        <v>242</v>
      </c>
    </row>
    <row r="243" spans="1:9" x14ac:dyDescent="0.3">
      <c r="A243">
        <v>91</v>
      </c>
      <c r="B243">
        <v>1</v>
      </c>
      <c r="C243" t="s">
        <v>92</v>
      </c>
      <c r="D243" t="s">
        <v>624</v>
      </c>
      <c r="E243">
        <v>13</v>
      </c>
      <c r="F243">
        <v>22</v>
      </c>
      <c r="G243">
        <v>2</v>
      </c>
      <c r="H243">
        <v>11</v>
      </c>
      <c r="I243" t="s">
        <v>242</v>
      </c>
    </row>
    <row r="244" spans="1:9" x14ac:dyDescent="0.3">
      <c r="A244">
        <v>91</v>
      </c>
      <c r="B244">
        <v>1</v>
      </c>
      <c r="C244" t="s">
        <v>50</v>
      </c>
      <c r="D244" t="s">
        <v>615</v>
      </c>
      <c r="E244">
        <v>16</v>
      </c>
      <c r="F244">
        <v>27</v>
      </c>
      <c r="G244">
        <v>3</v>
      </c>
      <c r="H244">
        <v>48</v>
      </c>
      <c r="I244" t="s">
        <v>242</v>
      </c>
    </row>
    <row r="245" spans="1:9" x14ac:dyDescent="0.3">
      <c r="A245">
        <v>91</v>
      </c>
      <c r="B245">
        <v>1</v>
      </c>
      <c r="C245" t="s">
        <v>19</v>
      </c>
      <c r="D245" t="s">
        <v>622</v>
      </c>
      <c r="E245">
        <v>21</v>
      </c>
      <c r="F245">
        <v>35</v>
      </c>
      <c r="G245">
        <v>3</v>
      </c>
      <c r="H245">
        <v>21</v>
      </c>
      <c r="I245" t="s">
        <v>243</v>
      </c>
    </row>
    <row r="246" spans="1:9" x14ac:dyDescent="0.3">
      <c r="A246">
        <v>92</v>
      </c>
      <c r="B246">
        <v>6</v>
      </c>
      <c r="C246" t="s">
        <v>75</v>
      </c>
      <c r="D246" t="s">
        <v>612</v>
      </c>
      <c r="E246">
        <v>14</v>
      </c>
      <c r="F246">
        <v>24</v>
      </c>
      <c r="G246">
        <v>1</v>
      </c>
      <c r="H246">
        <v>6</v>
      </c>
      <c r="I246" t="s">
        <v>243</v>
      </c>
    </row>
    <row r="247" spans="1:9" x14ac:dyDescent="0.3">
      <c r="A247">
        <v>92</v>
      </c>
      <c r="B247">
        <v>6</v>
      </c>
      <c r="C247" t="s">
        <v>26</v>
      </c>
      <c r="D247" t="s">
        <v>618</v>
      </c>
      <c r="E247">
        <v>17</v>
      </c>
      <c r="F247">
        <v>29</v>
      </c>
      <c r="G247">
        <v>2</v>
      </c>
      <c r="H247">
        <v>36</v>
      </c>
      <c r="I247" t="s">
        <v>242</v>
      </c>
    </row>
    <row r="248" spans="1:9" x14ac:dyDescent="0.3">
      <c r="A248">
        <v>93</v>
      </c>
      <c r="B248">
        <v>2</v>
      </c>
      <c r="C248" t="s">
        <v>26</v>
      </c>
      <c r="D248" t="s">
        <v>618</v>
      </c>
      <c r="E248">
        <v>17</v>
      </c>
      <c r="F248">
        <v>29</v>
      </c>
      <c r="G248">
        <v>1</v>
      </c>
      <c r="H248">
        <v>18</v>
      </c>
      <c r="I248" t="s">
        <v>243</v>
      </c>
    </row>
    <row r="249" spans="1:9" x14ac:dyDescent="0.3">
      <c r="A249">
        <v>94</v>
      </c>
      <c r="B249">
        <v>12</v>
      </c>
      <c r="C249" t="s">
        <v>112</v>
      </c>
      <c r="D249" t="s">
        <v>619</v>
      </c>
      <c r="E249">
        <v>20</v>
      </c>
      <c r="F249">
        <v>33</v>
      </c>
      <c r="G249">
        <v>3</v>
      </c>
      <c r="H249">
        <v>54</v>
      </c>
      <c r="I249" t="s">
        <v>243</v>
      </c>
    </row>
    <row r="250" spans="1:9" x14ac:dyDescent="0.3">
      <c r="A250">
        <v>94</v>
      </c>
      <c r="B250">
        <v>12</v>
      </c>
      <c r="C250" t="s">
        <v>105</v>
      </c>
      <c r="D250" t="s">
        <v>623</v>
      </c>
      <c r="E250">
        <v>19</v>
      </c>
      <c r="F250">
        <v>32</v>
      </c>
      <c r="G250">
        <v>2</v>
      </c>
      <c r="H250">
        <v>56</v>
      </c>
      <c r="I250" t="s">
        <v>243</v>
      </c>
    </row>
    <row r="251" spans="1:9" x14ac:dyDescent="0.3">
      <c r="A251">
        <v>94</v>
      </c>
      <c r="B251">
        <v>12</v>
      </c>
      <c r="C251" t="s">
        <v>40</v>
      </c>
      <c r="D251" t="s">
        <v>613</v>
      </c>
      <c r="E251">
        <v>18</v>
      </c>
      <c r="F251">
        <v>30</v>
      </c>
      <c r="G251">
        <v>3</v>
      </c>
      <c r="H251">
        <v>19</v>
      </c>
      <c r="I251" t="s">
        <v>243</v>
      </c>
    </row>
    <row r="252" spans="1:9" x14ac:dyDescent="0.3">
      <c r="A252">
        <v>95</v>
      </c>
      <c r="B252">
        <v>12</v>
      </c>
      <c r="C252" t="s">
        <v>53</v>
      </c>
      <c r="D252" t="s">
        <v>621</v>
      </c>
      <c r="E252">
        <v>11</v>
      </c>
      <c r="F252">
        <v>19</v>
      </c>
      <c r="G252">
        <v>3</v>
      </c>
      <c r="H252">
        <v>19</v>
      </c>
      <c r="I252" t="s">
        <v>243</v>
      </c>
    </row>
    <row r="253" spans="1:9" x14ac:dyDescent="0.3">
      <c r="A253">
        <v>95</v>
      </c>
      <c r="B253">
        <v>12</v>
      </c>
      <c r="C253" t="s">
        <v>105</v>
      </c>
      <c r="D253" t="s">
        <v>623</v>
      </c>
      <c r="E253">
        <v>19</v>
      </c>
      <c r="F253">
        <v>32</v>
      </c>
      <c r="G253">
        <v>3</v>
      </c>
      <c r="H253">
        <v>22</v>
      </c>
      <c r="I253" t="s">
        <v>243</v>
      </c>
    </row>
    <row r="254" spans="1:9" x14ac:dyDescent="0.3">
      <c r="A254">
        <v>96</v>
      </c>
      <c r="B254">
        <v>16</v>
      </c>
      <c r="C254" t="s">
        <v>112</v>
      </c>
      <c r="D254" t="s">
        <v>619</v>
      </c>
      <c r="E254">
        <v>20</v>
      </c>
      <c r="F254">
        <v>33</v>
      </c>
      <c r="G254">
        <v>2</v>
      </c>
      <c r="H254">
        <v>47</v>
      </c>
      <c r="I254" t="s">
        <v>242</v>
      </c>
    </row>
    <row r="255" spans="1:9" x14ac:dyDescent="0.3">
      <c r="A255">
        <v>96</v>
      </c>
      <c r="B255">
        <v>16</v>
      </c>
      <c r="C255" t="s">
        <v>53</v>
      </c>
      <c r="D255" t="s">
        <v>621</v>
      </c>
      <c r="E255">
        <v>11</v>
      </c>
      <c r="F255">
        <v>19</v>
      </c>
      <c r="G255">
        <v>2</v>
      </c>
      <c r="H255">
        <v>10</v>
      </c>
      <c r="I255" t="s">
        <v>242</v>
      </c>
    </row>
    <row r="256" spans="1:9" x14ac:dyDescent="0.3">
      <c r="A256">
        <v>96</v>
      </c>
      <c r="B256">
        <v>16</v>
      </c>
      <c r="C256" t="s">
        <v>75</v>
      </c>
      <c r="D256" t="s">
        <v>612</v>
      </c>
      <c r="E256">
        <v>14</v>
      </c>
      <c r="F256">
        <v>24</v>
      </c>
      <c r="G256">
        <v>3</v>
      </c>
      <c r="H256">
        <v>19</v>
      </c>
      <c r="I256" t="s">
        <v>243</v>
      </c>
    </row>
    <row r="257" spans="1:9" x14ac:dyDescent="0.3">
      <c r="A257">
        <v>97</v>
      </c>
      <c r="B257">
        <v>14</v>
      </c>
      <c r="C257" t="s">
        <v>71</v>
      </c>
      <c r="D257" t="s">
        <v>630</v>
      </c>
      <c r="E257">
        <v>15</v>
      </c>
      <c r="F257">
        <v>26</v>
      </c>
      <c r="G257">
        <v>1</v>
      </c>
      <c r="H257">
        <v>17</v>
      </c>
      <c r="I257" t="s">
        <v>243</v>
      </c>
    </row>
    <row r="258" spans="1:9" x14ac:dyDescent="0.3">
      <c r="A258">
        <v>97</v>
      </c>
      <c r="B258">
        <v>14</v>
      </c>
      <c r="C258" t="s">
        <v>38</v>
      </c>
      <c r="D258" t="s">
        <v>625</v>
      </c>
      <c r="E258">
        <v>20</v>
      </c>
      <c r="F258">
        <v>34</v>
      </c>
      <c r="G258">
        <v>3</v>
      </c>
      <c r="H258">
        <v>57</v>
      </c>
      <c r="I258" t="s">
        <v>242</v>
      </c>
    </row>
    <row r="259" spans="1:9" x14ac:dyDescent="0.3">
      <c r="A259">
        <v>97</v>
      </c>
      <c r="B259">
        <v>14</v>
      </c>
      <c r="C259" t="s">
        <v>66</v>
      </c>
      <c r="D259" t="s">
        <v>626</v>
      </c>
      <c r="E259">
        <v>12</v>
      </c>
      <c r="F259">
        <v>20</v>
      </c>
      <c r="G259">
        <v>3</v>
      </c>
      <c r="H259">
        <v>5</v>
      </c>
      <c r="I259" t="s">
        <v>242</v>
      </c>
    </row>
    <row r="260" spans="1:9" x14ac:dyDescent="0.3">
      <c r="A260">
        <v>98</v>
      </c>
      <c r="B260">
        <v>7</v>
      </c>
      <c r="C260" t="s">
        <v>53</v>
      </c>
      <c r="D260" t="s">
        <v>621</v>
      </c>
      <c r="E260">
        <v>11</v>
      </c>
      <c r="F260">
        <v>19</v>
      </c>
      <c r="G260">
        <v>1</v>
      </c>
      <c r="H260">
        <v>51</v>
      </c>
      <c r="I260" t="s">
        <v>243</v>
      </c>
    </row>
    <row r="261" spans="1:9" x14ac:dyDescent="0.3">
      <c r="A261">
        <v>98</v>
      </c>
      <c r="B261">
        <v>7</v>
      </c>
      <c r="C261" t="s">
        <v>66</v>
      </c>
      <c r="D261" t="s">
        <v>626</v>
      </c>
      <c r="E261">
        <v>12</v>
      </c>
      <c r="F261">
        <v>20</v>
      </c>
      <c r="G261">
        <v>3</v>
      </c>
      <c r="H261">
        <v>56</v>
      </c>
      <c r="I261" t="s">
        <v>243</v>
      </c>
    </row>
    <row r="262" spans="1:9" x14ac:dyDescent="0.3">
      <c r="A262">
        <v>98</v>
      </c>
      <c r="B262">
        <v>7</v>
      </c>
      <c r="C262" t="s">
        <v>26</v>
      </c>
      <c r="D262" t="s">
        <v>618</v>
      </c>
      <c r="E262">
        <v>17</v>
      </c>
      <c r="F262">
        <v>29</v>
      </c>
      <c r="G262">
        <v>3</v>
      </c>
      <c r="H262">
        <v>33</v>
      </c>
      <c r="I262" t="s">
        <v>243</v>
      </c>
    </row>
    <row r="263" spans="1:9" x14ac:dyDescent="0.3">
      <c r="A263">
        <v>99</v>
      </c>
      <c r="B263">
        <v>2</v>
      </c>
      <c r="C263" t="s">
        <v>53</v>
      </c>
      <c r="D263" t="s">
        <v>621</v>
      </c>
      <c r="E263">
        <v>11</v>
      </c>
      <c r="F263">
        <v>19</v>
      </c>
      <c r="G263">
        <v>1</v>
      </c>
      <c r="H263">
        <v>9</v>
      </c>
      <c r="I263" t="s">
        <v>242</v>
      </c>
    </row>
    <row r="264" spans="1:9" x14ac:dyDescent="0.3">
      <c r="A264">
        <v>99</v>
      </c>
      <c r="B264">
        <v>2</v>
      </c>
      <c r="C264" t="s">
        <v>56</v>
      </c>
      <c r="D264" t="s">
        <v>614</v>
      </c>
      <c r="E264">
        <v>19</v>
      </c>
      <c r="F264">
        <v>31</v>
      </c>
      <c r="G264">
        <v>1</v>
      </c>
      <c r="H264">
        <v>5</v>
      </c>
      <c r="I264" t="s">
        <v>243</v>
      </c>
    </row>
    <row r="265" spans="1:9" x14ac:dyDescent="0.3">
      <c r="A265">
        <v>99</v>
      </c>
      <c r="B265">
        <v>2</v>
      </c>
      <c r="C265" t="s">
        <v>40</v>
      </c>
      <c r="D265" t="s">
        <v>613</v>
      </c>
      <c r="E265">
        <v>18</v>
      </c>
      <c r="F265">
        <v>30</v>
      </c>
      <c r="G265">
        <v>2</v>
      </c>
      <c r="H265">
        <v>27</v>
      </c>
      <c r="I265" t="s">
        <v>243</v>
      </c>
    </row>
    <row r="266" spans="1:9" x14ac:dyDescent="0.3">
      <c r="A266">
        <v>99</v>
      </c>
      <c r="B266">
        <v>2</v>
      </c>
      <c r="C266" t="s">
        <v>26</v>
      </c>
      <c r="D266" t="s">
        <v>618</v>
      </c>
      <c r="E266">
        <v>17</v>
      </c>
      <c r="F266">
        <v>29</v>
      </c>
      <c r="G266">
        <v>1</v>
      </c>
      <c r="H266">
        <v>45</v>
      </c>
      <c r="I266" t="s">
        <v>242</v>
      </c>
    </row>
    <row r="267" spans="1:9" x14ac:dyDescent="0.3">
      <c r="A267">
        <v>100</v>
      </c>
      <c r="B267">
        <v>18</v>
      </c>
      <c r="C267" t="s">
        <v>60</v>
      </c>
      <c r="D267" t="s">
        <v>631</v>
      </c>
      <c r="E267">
        <v>15</v>
      </c>
      <c r="F267">
        <v>25</v>
      </c>
      <c r="G267">
        <v>2</v>
      </c>
      <c r="H267">
        <v>22</v>
      </c>
      <c r="I267" t="s">
        <v>243</v>
      </c>
    </row>
    <row r="268" spans="1:9" x14ac:dyDescent="0.3">
      <c r="A268">
        <v>100</v>
      </c>
      <c r="B268">
        <v>18</v>
      </c>
      <c r="C268" t="s">
        <v>92</v>
      </c>
      <c r="D268" t="s">
        <v>624</v>
      </c>
      <c r="E268">
        <v>13</v>
      </c>
      <c r="F268">
        <v>22</v>
      </c>
      <c r="G268">
        <v>2</v>
      </c>
      <c r="H268">
        <v>33</v>
      </c>
      <c r="I268" t="s">
        <v>242</v>
      </c>
    </row>
    <row r="269" spans="1:9" x14ac:dyDescent="0.3">
      <c r="A269">
        <v>100</v>
      </c>
      <c r="B269">
        <v>18</v>
      </c>
      <c r="C269" t="s">
        <v>75</v>
      </c>
      <c r="D269" t="s">
        <v>612</v>
      </c>
      <c r="E269">
        <v>14</v>
      </c>
      <c r="F269">
        <v>24</v>
      </c>
      <c r="G269">
        <v>3</v>
      </c>
      <c r="H269">
        <v>48</v>
      </c>
      <c r="I269" t="s">
        <v>243</v>
      </c>
    </row>
    <row r="270" spans="1:9" x14ac:dyDescent="0.3">
      <c r="A270">
        <v>101</v>
      </c>
      <c r="B270">
        <v>1</v>
      </c>
      <c r="C270" t="s">
        <v>60</v>
      </c>
      <c r="D270" t="s">
        <v>631</v>
      </c>
      <c r="E270">
        <v>15</v>
      </c>
      <c r="F270">
        <v>25</v>
      </c>
      <c r="G270">
        <v>2</v>
      </c>
      <c r="H270">
        <v>41</v>
      </c>
      <c r="I270" t="s">
        <v>243</v>
      </c>
    </row>
    <row r="271" spans="1:9" x14ac:dyDescent="0.3">
      <c r="A271">
        <v>101</v>
      </c>
      <c r="B271">
        <v>1</v>
      </c>
      <c r="C271" t="s">
        <v>56</v>
      </c>
      <c r="D271" t="s">
        <v>614</v>
      </c>
      <c r="E271">
        <v>19</v>
      </c>
      <c r="F271">
        <v>31</v>
      </c>
      <c r="G271">
        <v>1</v>
      </c>
      <c r="H271">
        <v>24</v>
      </c>
      <c r="I271" t="s">
        <v>243</v>
      </c>
    </row>
    <row r="272" spans="1:9" x14ac:dyDescent="0.3">
      <c r="A272">
        <v>101</v>
      </c>
      <c r="B272">
        <v>1</v>
      </c>
      <c r="C272" t="s">
        <v>92</v>
      </c>
      <c r="D272" t="s">
        <v>624</v>
      </c>
      <c r="E272">
        <v>13</v>
      </c>
      <c r="F272">
        <v>22</v>
      </c>
      <c r="G272">
        <v>1</v>
      </c>
      <c r="H272">
        <v>35</v>
      </c>
      <c r="I272" t="s">
        <v>243</v>
      </c>
    </row>
    <row r="273" spans="1:9" x14ac:dyDescent="0.3">
      <c r="A273">
        <v>101</v>
      </c>
      <c r="B273">
        <v>1</v>
      </c>
      <c r="C273" t="s">
        <v>19</v>
      </c>
      <c r="D273" t="s">
        <v>622</v>
      </c>
      <c r="E273">
        <v>21</v>
      </c>
      <c r="F273">
        <v>35</v>
      </c>
      <c r="G273">
        <v>1</v>
      </c>
      <c r="H273">
        <v>34</v>
      </c>
      <c r="I273" t="s">
        <v>243</v>
      </c>
    </row>
    <row r="274" spans="1:9" x14ac:dyDescent="0.3">
      <c r="A274">
        <v>102</v>
      </c>
      <c r="B274">
        <v>19</v>
      </c>
      <c r="C274" t="s">
        <v>30</v>
      </c>
      <c r="D274" t="s">
        <v>620</v>
      </c>
      <c r="E274">
        <v>16</v>
      </c>
      <c r="F274">
        <v>28</v>
      </c>
      <c r="G274">
        <v>3</v>
      </c>
      <c r="H274">
        <v>17</v>
      </c>
      <c r="I274" t="s">
        <v>243</v>
      </c>
    </row>
    <row r="275" spans="1:9" x14ac:dyDescent="0.3">
      <c r="A275">
        <v>102</v>
      </c>
      <c r="B275">
        <v>19</v>
      </c>
      <c r="C275" t="s">
        <v>26</v>
      </c>
      <c r="D275" t="s">
        <v>618</v>
      </c>
      <c r="E275">
        <v>17</v>
      </c>
      <c r="F275">
        <v>29</v>
      </c>
      <c r="G275">
        <v>3</v>
      </c>
      <c r="H275">
        <v>29</v>
      </c>
      <c r="I275" t="s">
        <v>242</v>
      </c>
    </row>
    <row r="276" spans="1:9" x14ac:dyDescent="0.3">
      <c r="A276">
        <v>103</v>
      </c>
      <c r="B276">
        <v>13</v>
      </c>
      <c r="C276" t="s">
        <v>42</v>
      </c>
      <c r="D276" t="s">
        <v>628</v>
      </c>
      <c r="E276">
        <v>13</v>
      </c>
      <c r="F276">
        <v>21</v>
      </c>
      <c r="G276">
        <v>1</v>
      </c>
      <c r="H276">
        <v>57</v>
      </c>
      <c r="I276" t="s">
        <v>243</v>
      </c>
    </row>
    <row r="277" spans="1:9" x14ac:dyDescent="0.3">
      <c r="A277">
        <v>103</v>
      </c>
      <c r="B277">
        <v>13</v>
      </c>
      <c r="C277" t="s">
        <v>38</v>
      </c>
      <c r="D277" t="s">
        <v>625</v>
      </c>
      <c r="E277">
        <v>20</v>
      </c>
      <c r="F277">
        <v>34</v>
      </c>
      <c r="G277">
        <v>1</v>
      </c>
      <c r="H277">
        <v>9</v>
      </c>
      <c r="I277" t="s">
        <v>242</v>
      </c>
    </row>
    <row r="278" spans="1:9" x14ac:dyDescent="0.3">
      <c r="A278">
        <v>103</v>
      </c>
      <c r="B278">
        <v>13</v>
      </c>
      <c r="C278" t="s">
        <v>46</v>
      </c>
      <c r="D278" t="s">
        <v>629</v>
      </c>
      <c r="E278">
        <v>10</v>
      </c>
      <c r="F278">
        <v>18</v>
      </c>
      <c r="G278">
        <v>1</v>
      </c>
      <c r="H278">
        <v>33</v>
      </c>
      <c r="I278" t="s">
        <v>243</v>
      </c>
    </row>
    <row r="279" spans="1:9" x14ac:dyDescent="0.3">
      <c r="A279">
        <v>104</v>
      </c>
      <c r="B279">
        <v>14</v>
      </c>
      <c r="C279" t="s">
        <v>89</v>
      </c>
      <c r="D279" t="s">
        <v>627</v>
      </c>
      <c r="E279">
        <v>14</v>
      </c>
      <c r="F279">
        <v>23</v>
      </c>
      <c r="G279">
        <v>2</v>
      </c>
      <c r="H279">
        <v>43</v>
      </c>
      <c r="I279" t="s">
        <v>243</v>
      </c>
    </row>
    <row r="280" spans="1:9" x14ac:dyDescent="0.3">
      <c r="A280">
        <v>104</v>
      </c>
      <c r="B280">
        <v>14</v>
      </c>
      <c r="C280" t="s">
        <v>56</v>
      </c>
      <c r="D280" t="s">
        <v>614</v>
      </c>
      <c r="E280">
        <v>19</v>
      </c>
      <c r="F280">
        <v>31</v>
      </c>
      <c r="G280">
        <v>1</v>
      </c>
      <c r="H280">
        <v>12</v>
      </c>
      <c r="I280" t="s">
        <v>242</v>
      </c>
    </row>
    <row r="281" spans="1:9" x14ac:dyDescent="0.3">
      <c r="A281">
        <v>105</v>
      </c>
      <c r="B281">
        <v>14</v>
      </c>
      <c r="C281" t="s">
        <v>66</v>
      </c>
      <c r="D281" t="s">
        <v>626</v>
      </c>
      <c r="E281">
        <v>12</v>
      </c>
      <c r="F281">
        <v>20</v>
      </c>
      <c r="G281">
        <v>3</v>
      </c>
      <c r="H281">
        <v>9</v>
      </c>
      <c r="I281" t="s">
        <v>242</v>
      </c>
    </row>
    <row r="282" spans="1:9" x14ac:dyDescent="0.3">
      <c r="A282">
        <v>105</v>
      </c>
      <c r="B282">
        <v>14</v>
      </c>
      <c r="C282" t="s">
        <v>50</v>
      </c>
      <c r="D282" t="s">
        <v>615</v>
      </c>
      <c r="E282">
        <v>16</v>
      </c>
      <c r="F282">
        <v>27</v>
      </c>
      <c r="G282">
        <v>3</v>
      </c>
      <c r="H282">
        <v>34</v>
      </c>
      <c r="I282" t="s">
        <v>242</v>
      </c>
    </row>
    <row r="283" spans="1:9" x14ac:dyDescent="0.3">
      <c r="A283">
        <v>106</v>
      </c>
      <c r="B283">
        <v>15</v>
      </c>
      <c r="C283" t="s">
        <v>38</v>
      </c>
      <c r="D283" t="s">
        <v>625</v>
      </c>
      <c r="E283">
        <v>20</v>
      </c>
      <c r="F283">
        <v>34</v>
      </c>
      <c r="G283">
        <v>2</v>
      </c>
      <c r="H283">
        <v>29</v>
      </c>
      <c r="I283" t="s">
        <v>242</v>
      </c>
    </row>
    <row r="284" spans="1:9" x14ac:dyDescent="0.3">
      <c r="A284">
        <v>107</v>
      </c>
      <c r="B284">
        <v>11</v>
      </c>
      <c r="C284" t="s">
        <v>105</v>
      </c>
      <c r="D284" t="s">
        <v>623</v>
      </c>
      <c r="E284">
        <v>19</v>
      </c>
      <c r="F284">
        <v>32</v>
      </c>
      <c r="G284">
        <v>2</v>
      </c>
      <c r="H284">
        <v>48</v>
      </c>
      <c r="I284" t="s">
        <v>242</v>
      </c>
    </row>
    <row r="285" spans="1:9" x14ac:dyDescent="0.3">
      <c r="A285">
        <v>107</v>
      </c>
      <c r="B285">
        <v>11</v>
      </c>
      <c r="C285" t="s">
        <v>38</v>
      </c>
      <c r="D285" t="s">
        <v>625</v>
      </c>
      <c r="E285">
        <v>20</v>
      </c>
      <c r="F285">
        <v>34</v>
      </c>
      <c r="G285">
        <v>3</v>
      </c>
      <c r="H285">
        <v>42</v>
      </c>
      <c r="I285" t="s">
        <v>243</v>
      </c>
    </row>
    <row r="286" spans="1:9" x14ac:dyDescent="0.3">
      <c r="A286">
        <v>107</v>
      </c>
      <c r="B286">
        <v>11</v>
      </c>
      <c r="C286" t="s">
        <v>26</v>
      </c>
      <c r="D286" t="s">
        <v>618</v>
      </c>
      <c r="E286">
        <v>17</v>
      </c>
      <c r="F286">
        <v>29</v>
      </c>
      <c r="G286">
        <v>3</v>
      </c>
      <c r="H286">
        <v>51</v>
      </c>
      <c r="I286" t="s">
        <v>243</v>
      </c>
    </row>
    <row r="287" spans="1:9" x14ac:dyDescent="0.3">
      <c r="A287">
        <v>108</v>
      </c>
      <c r="B287">
        <v>3</v>
      </c>
      <c r="C287" t="s">
        <v>30</v>
      </c>
      <c r="D287" t="s">
        <v>620</v>
      </c>
      <c r="E287">
        <v>16</v>
      </c>
      <c r="F287">
        <v>28</v>
      </c>
      <c r="G287">
        <v>1</v>
      </c>
      <c r="H287">
        <v>56</v>
      </c>
      <c r="I287" t="s">
        <v>242</v>
      </c>
    </row>
    <row r="288" spans="1:9" x14ac:dyDescent="0.3">
      <c r="A288">
        <v>108</v>
      </c>
      <c r="B288">
        <v>3</v>
      </c>
      <c r="C288" t="s">
        <v>66</v>
      </c>
      <c r="D288" t="s">
        <v>626</v>
      </c>
      <c r="E288">
        <v>12</v>
      </c>
      <c r="F288">
        <v>20</v>
      </c>
      <c r="G288">
        <v>1</v>
      </c>
      <c r="H288">
        <v>26</v>
      </c>
      <c r="I288" t="s">
        <v>243</v>
      </c>
    </row>
    <row r="289" spans="1:9" x14ac:dyDescent="0.3">
      <c r="A289">
        <v>108</v>
      </c>
      <c r="B289">
        <v>3</v>
      </c>
      <c r="C289" t="s">
        <v>46</v>
      </c>
      <c r="D289" t="s">
        <v>629</v>
      </c>
      <c r="E289">
        <v>10</v>
      </c>
      <c r="F289">
        <v>18</v>
      </c>
      <c r="G289">
        <v>1</v>
      </c>
      <c r="H289">
        <v>10</v>
      </c>
      <c r="I289" t="s">
        <v>243</v>
      </c>
    </row>
    <row r="290" spans="1:9" x14ac:dyDescent="0.3">
      <c r="A290">
        <v>108</v>
      </c>
      <c r="B290">
        <v>3</v>
      </c>
      <c r="C290" t="s">
        <v>26</v>
      </c>
      <c r="D290" t="s">
        <v>618</v>
      </c>
      <c r="E290">
        <v>17</v>
      </c>
      <c r="F290">
        <v>29</v>
      </c>
      <c r="G290">
        <v>2</v>
      </c>
      <c r="H290">
        <v>23</v>
      </c>
      <c r="I290" t="s">
        <v>242</v>
      </c>
    </row>
    <row r="291" spans="1:9" x14ac:dyDescent="0.3">
      <c r="A291">
        <v>109</v>
      </c>
      <c r="B291">
        <v>10</v>
      </c>
      <c r="C291" t="s">
        <v>89</v>
      </c>
      <c r="D291" t="s">
        <v>627</v>
      </c>
      <c r="E291">
        <v>14</v>
      </c>
      <c r="F291">
        <v>23</v>
      </c>
      <c r="G291">
        <v>1</v>
      </c>
      <c r="H291">
        <v>26</v>
      </c>
      <c r="I291" t="s">
        <v>243</v>
      </c>
    </row>
    <row r="292" spans="1:9" x14ac:dyDescent="0.3">
      <c r="A292">
        <v>109</v>
      </c>
      <c r="B292">
        <v>10</v>
      </c>
      <c r="C292" t="s">
        <v>38</v>
      </c>
      <c r="D292" t="s">
        <v>625</v>
      </c>
      <c r="E292">
        <v>20</v>
      </c>
      <c r="F292">
        <v>34</v>
      </c>
      <c r="G292">
        <v>3</v>
      </c>
      <c r="H292">
        <v>54</v>
      </c>
      <c r="I292" t="s">
        <v>243</v>
      </c>
    </row>
    <row r="293" spans="1:9" x14ac:dyDescent="0.3">
      <c r="A293">
        <v>109</v>
      </c>
      <c r="B293">
        <v>10</v>
      </c>
      <c r="C293" t="s">
        <v>92</v>
      </c>
      <c r="D293" t="s">
        <v>624</v>
      </c>
      <c r="E293">
        <v>13</v>
      </c>
      <c r="F293">
        <v>22</v>
      </c>
      <c r="G293">
        <v>2</v>
      </c>
      <c r="H293">
        <v>38</v>
      </c>
      <c r="I293" t="s">
        <v>242</v>
      </c>
    </row>
    <row r="294" spans="1:9" x14ac:dyDescent="0.3">
      <c r="A294">
        <v>110</v>
      </c>
      <c r="B294">
        <v>5</v>
      </c>
      <c r="C294" t="s">
        <v>71</v>
      </c>
      <c r="D294" t="s">
        <v>630</v>
      </c>
      <c r="E294">
        <v>15</v>
      </c>
      <c r="F294">
        <v>26</v>
      </c>
      <c r="G294">
        <v>3</v>
      </c>
      <c r="H294">
        <v>27</v>
      </c>
      <c r="I294" t="s">
        <v>242</v>
      </c>
    </row>
    <row r="295" spans="1:9" x14ac:dyDescent="0.3">
      <c r="A295">
        <v>110</v>
      </c>
      <c r="B295">
        <v>5</v>
      </c>
      <c r="C295" t="s">
        <v>50</v>
      </c>
      <c r="D295" t="s">
        <v>615</v>
      </c>
      <c r="E295">
        <v>16</v>
      </c>
      <c r="F295">
        <v>27</v>
      </c>
      <c r="G295">
        <v>1</v>
      </c>
      <c r="H295">
        <v>56</v>
      </c>
      <c r="I295" t="s">
        <v>243</v>
      </c>
    </row>
    <row r="296" spans="1:9" x14ac:dyDescent="0.3">
      <c r="A296">
        <v>110</v>
      </c>
      <c r="B296">
        <v>5</v>
      </c>
      <c r="C296" t="s">
        <v>26</v>
      </c>
      <c r="D296" t="s">
        <v>618</v>
      </c>
      <c r="E296">
        <v>17</v>
      </c>
      <c r="F296">
        <v>29</v>
      </c>
      <c r="G296">
        <v>2</v>
      </c>
      <c r="H296">
        <v>38</v>
      </c>
      <c r="I296" t="s">
        <v>242</v>
      </c>
    </row>
    <row r="297" spans="1:9" x14ac:dyDescent="0.3">
      <c r="A297">
        <v>111</v>
      </c>
      <c r="B297">
        <v>3</v>
      </c>
      <c r="C297" t="s">
        <v>105</v>
      </c>
      <c r="D297" t="s">
        <v>623</v>
      </c>
      <c r="E297">
        <v>19</v>
      </c>
      <c r="F297">
        <v>32</v>
      </c>
      <c r="G297">
        <v>1</v>
      </c>
      <c r="H297">
        <v>47</v>
      </c>
      <c r="I297" t="s">
        <v>243</v>
      </c>
    </row>
    <row r="298" spans="1:9" x14ac:dyDescent="0.3">
      <c r="A298">
        <v>111</v>
      </c>
      <c r="B298">
        <v>3</v>
      </c>
      <c r="C298" t="s">
        <v>92</v>
      </c>
      <c r="D298" t="s">
        <v>624</v>
      </c>
      <c r="E298">
        <v>13</v>
      </c>
      <c r="F298">
        <v>22</v>
      </c>
      <c r="G298">
        <v>3</v>
      </c>
      <c r="H298">
        <v>5</v>
      </c>
      <c r="I298" t="s">
        <v>242</v>
      </c>
    </row>
    <row r="299" spans="1:9" x14ac:dyDescent="0.3">
      <c r="A299">
        <v>111</v>
      </c>
      <c r="B299">
        <v>3</v>
      </c>
      <c r="C299" t="s">
        <v>75</v>
      </c>
      <c r="D299" t="s">
        <v>612</v>
      </c>
      <c r="E299">
        <v>14</v>
      </c>
      <c r="F299">
        <v>24</v>
      </c>
      <c r="G299">
        <v>2</v>
      </c>
      <c r="H299">
        <v>48</v>
      </c>
      <c r="I299" t="s">
        <v>242</v>
      </c>
    </row>
    <row r="300" spans="1:9" x14ac:dyDescent="0.3">
      <c r="A300">
        <v>111</v>
      </c>
      <c r="B300">
        <v>3</v>
      </c>
      <c r="C300" t="s">
        <v>26</v>
      </c>
      <c r="D300" t="s">
        <v>618</v>
      </c>
      <c r="E300">
        <v>17</v>
      </c>
      <c r="F300">
        <v>29</v>
      </c>
      <c r="G300">
        <v>2</v>
      </c>
      <c r="H300">
        <v>37</v>
      </c>
      <c r="I300" t="s">
        <v>243</v>
      </c>
    </row>
    <row r="301" spans="1:9" x14ac:dyDescent="0.3">
      <c r="A301">
        <v>112</v>
      </c>
      <c r="B301">
        <v>6</v>
      </c>
      <c r="C301" t="s">
        <v>66</v>
      </c>
      <c r="D301" t="s">
        <v>626</v>
      </c>
      <c r="E301">
        <v>12</v>
      </c>
      <c r="F301">
        <v>20</v>
      </c>
      <c r="G301">
        <v>1</v>
      </c>
      <c r="H301">
        <v>16</v>
      </c>
      <c r="I301" t="s">
        <v>243</v>
      </c>
    </row>
    <row r="302" spans="1:9" x14ac:dyDescent="0.3">
      <c r="A302">
        <v>113</v>
      </c>
      <c r="B302">
        <v>4</v>
      </c>
      <c r="C302" t="s">
        <v>38</v>
      </c>
      <c r="D302" t="s">
        <v>625</v>
      </c>
      <c r="E302">
        <v>20</v>
      </c>
      <c r="F302">
        <v>34</v>
      </c>
      <c r="G302">
        <v>2</v>
      </c>
      <c r="H302">
        <v>51</v>
      </c>
      <c r="I302" t="s">
        <v>242</v>
      </c>
    </row>
    <row r="303" spans="1:9" x14ac:dyDescent="0.3">
      <c r="A303">
        <v>114</v>
      </c>
      <c r="B303">
        <v>7</v>
      </c>
      <c r="C303" t="s">
        <v>40</v>
      </c>
      <c r="D303" t="s">
        <v>613</v>
      </c>
      <c r="E303">
        <v>18</v>
      </c>
      <c r="F303">
        <v>30</v>
      </c>
      <c r="G303">
        <v>3</v>
      </c>
      <c r="H303">
        <v>36</v>
      </c>
      <c r="I303" t="s">
        <v>242</v>
      </c>
    </row>
    <row r="304" spans="1:9" x14ac:dyDescent="0.3">
      <c r="A304">
        <v>114</v>
      </c>
      <c r="B304">
        <v>7</v>
      </c>
      <c r="C304" t="s">
        <v>46</v>
      </c>
      <c r="D304" t="s">
        <v>629</v>
      </c>
      <c r="E304">
        <v>10</v>
      </c>
      <c r="F304">
        <v>18</v>
      </c>
      <c r="G304">
        <v>3</v>
      </c>
      <c r="H304">
        <v>31</v>
      </c>
      <c r="I304" t="s">
        <v>243</v>
      </c>
    </row>
    <row r="305" spans="1:9" x14ac:dyDescent="0.3">
      <c r="A305">
        <v>114</v>
      </c>
      <c r="B305">
        <v>7</v>
      </c>
      <c r="C305" t="s">
        <v>92</v>
      </c>
      <c r="D305" t="s">
        <v>624</v>
      </c>
      <c r="E305">
        <v>13</v>
      </c>
      <c r="F305">
        <v>22</v>
      </c>
      <c r="G305">
        <v>1</v>
      </c>
      <c r="H305">
        <v>42</v>
      </c>
      <c r="I305" t="s">
        <v>243</v>
      </c>
    </row>
    <row r="306" spans="1:9" x14ac:dyDescent="0.3">
      <c r="A306">
        <v>114</v>
      </c>
      <c r="B306">
        <v>7</v>
      </c>
      <c r="C306" t="s">
        <v>26</v>
      </c>
      <c r="D306" t="s">
        <v>618</v>
      </c>
      <c r="E306">
        <v>17</v>
      </c>
      <c r="F306">
        <v>29</v>
      </c>
      <c r="G306">
        <v>3</v>
      </c>
      <c r="H306">
        <v>22</v>
      </c>
      <c r="I306" t="s">
        <v>242</v>
      </c>
    </row>
    <row r="307" spans="1:9" x14ac:dyDescent="0.3">
      <c r="A307">
        <v>115</v>
      </c>
      <c r="B307">
        <v>12</v>
      </c>
      <c r="C307" t="s">
        <v>105</v>
      </c>
      <c r="D307" t="s">
        <v>623</v>
      </c>
      <c r="E307">
        <v>19</v>
      </c>
      <c r="F307">
        <v>32</v>
      </c>
      <c r="G307">
        <v>3</v>
      </c>
      <c r="H307">
        <v>43</v>
      </c>
      <c r="I307" t="s">
        <v>243</v>
      </c>
    </row>
    <row r="308" spans="1:9" x14ac:dyDescent="0.3">
      <c r="A308">
        <v>115</v>
      </c>
      <c r="B308">
        <v>12</v>
      </c>
      <c r="C308" t="s">
        <v>40</v>
      </c>
      <c r="D308" t="s">
        <v>613</v>
      </c>
      <c r="E308">
        <v>18</v>
      </c>
      <c r="F308">
        <v>30</v>
      </c>
      <c r="G308">
        <v>2</v>
      </c>
      <c r="H308">
        <v>32</v>
      </c>
      <c r="I308" t="s">
        <v>243</v>
      </c>
    </row>
    <row r="309" spans="1:9" x14ac:dyDescent="0.3">
      <c r="A309">
        <v>115</v>
      </c>
      <c r="B309">
        <v>12</v>
      </c>
      <c r="C309" t="s">
        <v>50</v>
      </c>
      <c r="D309" t="s">
        <v>615</v>
      </c>
      <c r="E309">
        <v>16</v>
      </c>
      <c r="F309">
        <v>27</v>
      </c>
      <c r="G309">
        <v>3</v>
      </c>
      <c r="H309">
        <v>23</v>
      </c>
      <c r="I309" t="s">
        <v>243</v>
      </c>
    </row>
    <row r="310" spans="1:9" x14ac:dyDescent="0.3">
      <c r="A310">
        <v>116</v>
      </c>
      <c r="B310">
        <v>8</v>
      </c>
      <c r="C310" t="s">
        <v>105</v>
      </c>
      <c r="D310" t="s">
        <v>623</v>
      </c>
      <c r="E310">
        <v>19</v>
      </c>
      <c r="F310">
        <v>32</v>
      </c>
      <c r="G310">
        <v>3</v>
      </c>
      <c r="H310">
        <v>54</v>
      </c>
      <c r="I310" t="s">
        <v>243</v>
      </c>
    </row>
    <row r="311" spans="1:9" x14ac:dyDescent="0.3">
      <c r="A311">
        <v>116</v>
      </c>
      <c r="B311">
        <v>8</v>
      </c>
      <c r="C311" t="s">
        <v>38</v>
      </c>
      <c r="D311" t="s">
        <v>625</v>
      </c>
      <c r="E311">
        <v>20</v>
      </c>
      <c r="F311">
        <v>34</v>
      </c>
      <c r="G311">
        <v>3</v>
      </c>
      <c r="H311">
        <v>28</v>
      </c>
      <c r="I311" t="s">
        <v>243</v>
      </c>
    </row>
    <row r="312" spans="1:9" x14ac:dyDescent="0.3">
      <c r="A312">
        <v>116</v>
      </c>
      <c r="B312">
        <v>8</v>
      </c>
      <c r="C312" t="s">
        <v>44</v>
      </c>
      <c r="D312" t="s">
        <v>617</v>
      </c>
      <c r="E312">
        <v>22</v>
      </c>
      <c r="F312">
        <v>36</v>
      </c>
      <c r="G312">
        <v>1</v>
      </c>
      <c r="H312">
        <v>26</v>
      </c>
      <c r="I312" t="s">
        <v>243</v>
      </c>
    </row>
    <row r="313" spans="1:9" x14ac:dyDescent="0.3">
      <c r="A313">
        <v>116</v>
      </c>
      <c r="B313">
        <v>8</v>
      </c>
      <c r="C313" t="s">
        <v>19</v>
      </c>
      <c r="D313" t="s">
        <v>622</v>
      </c>
      <c r="E313">
        <v>21</v>
      </c>
      <c r="F313">
        <v>35</v>
      </c>
      <c r="G313">
        <v>1</v>
      </c>
      <c r="H313">
        <v>21</v>
      </c>
      <c r="I313" t="s">
        <v>242</v>
      </c>
    </row>
    <row r="314" spans="1:9" x14ac:dyDescent="0.3">
      <c r="A314">
        <v>117</v>
      </c>
      <c r="B314">
        <v>8</v>
      </c>
      <c r="C314" t="s">
        <v>19</v>
      </c>
      <c r="D314" t="s">
        <v>622</v>
      </c>
      <c r="E314">
        <v>21</v>
      </c>
      <c r="F314">
        <v>35</v>
      </c>
      <c r="G314">
        <v>2</v>
      </c>
      <c r="H314">
        <v>8</v>
      </c>
      <c r="I314" t="s">
        <v>243</v>
      </c>
    </row>
    <row r="315" spans="1:9" x14ac:dyDescent="0.3">
      <c r="A315">
        <v>118</v>
      </c>
      <c r="B315">
        <v>13</v>
      </c>
      <c r="C315" t="s">
        <v>89</v>
      </c>
      <c r="D315" t="s">
        <v>627</v>
      </c>
      <c r="E315">
        <v>14</v>
      </c>
      <c r="F315">
        <v>23</v>
      </c>
      <c r="G315">
        <v>3</v>
      </c>
      <c r="H315">
        <v>22</v>
      </c>
      <c r="I315" t="s">
        <v>243</v>
      </c>
    </row>
    <row r="316" spans="1:9" x14ac:dyDescent="0.3">
      <c r="A316">
        <v>118</v>
      </c>
      <c r="B316">
        <v>13</v>
      </c>
      <c r="C316" t="s">
        <v>105</v>
      </c>
      <c r="D316" t="s">
        <v>623</v>
      </c>
      <c r="E316">
        <v>19</v>
      </c>
      <c r="F316">
        <v>32</v>
      </c>
      <c r="G316">
        <v>1</v>
      </c>
      <c r="H316">
        <v>23</v>
      </c>
      <c r="I316" t="s">
        <v>243</v>
      </c>
    </row>
    <row r="317" spans="1:9" x14ac:dyDescent="0.3">
      <c r="A317">
        <v>118</v>
      </c>
      <c r="B317">
        <v>13</v>
      </c>
      <c r="C317" t="s">
        <v>46</v>
      </c>
      <c r="D317" t="s">
        <v>629</v>
      </c>
      <c r="E317">
        <v>10</v>
      </c>
      <c r="F317">
        <v>18</v>
      </c>
      <c r="G317">
        <v>3</v>
      </c>
      <c r="H317">
        <v>39</v>
      </c>
      <c r="I317" t="s">
        <v>242</v>
      </c>
    </row>
    <row r="318" spans="1:9" x14ac:dyDescent="0.3">
      <c r="A318">
        <v>118</v>
      </c>
      <c r="B318">
        <v>13</v>
      </c>
      <c r="C318" t="s">
        <v>50</v>
      </c>
      <c r="D318" t="s">
        <v>615</v>
      </c>
      <c r="E318">
        <v>16</v>
      </c>
      <c r="F318">
        <v>27</v>
      </c>
      <c r="G318">
        <v>2</v>
      </c>
      <c r="H318">
        <v>52</v>
      </c>
      <c r="I318" t="s">
        <v>243</v>
      </c>
    </row>
    <row r="319" spans="1:9" x14ac:dyDescent="0.3">
      <c r="A319">
        <v>119</v>
      </c>
      <c r="B319">
        <v>17</v>
      </c>
      <c r="C319" t="s">
        <v>71</v>
      </c>
      <c r="D319" t="s">
        <v>630</v>
      </c>
      <c r="E319">
        <v>15</v>
      </c>
      <c r="F319">
        <v>26</v>
      </c>
      <c r="G319">
        <v>1</v>
      </c>
      <c r="H319">
        <v>7</v>
      </c>
      <c r="I319" t="s">
        <v>242</v>
      </c>
    </row>
    <row r="320" spans="1:9" x14ac:dyDescent="0.3">
      <c r="A320">
        <v>119</v>
      </c>
      <c r="B320">
        <v>17</v>
      </c>
      <c r="C320" t="s">
        <v>44</v>
      </c>
      <c r="D320" t="s">
        <v>617</v>
      </c>
      <c r="E320">
        <v>22</v>
      </c>
      <c r="F320">
        <v>36</v>
      </c>
      <c r="G320">
        <v>2</v>
      </c>
      <c r="H320">
        <v>13</v>
      </c>
      <c r="I320" t="s">
        <v>243</v>
      </c>
    </row>
    <row r="321" spans="1:9" x14ac:dyDescent="0.3">
      <c r="A321">
        <v>119</v>
      </c>
      <c r="B321">
        <v>17</v>
      </c>
      <c r="C321" t="s">
        <v>46</v>
      </c>
      <c r="D321" t="s">
        <v>629</v>
      </c>
      <c r="E321">
        <v>10</v>
      </c>
      <c r="F321">
        <v>18</v>
      </c>
      <c r="G321">
        <v>2</v>
      </c>
      <c r="H321">
        <v>34</v>
      </c>
      <c r="I321" t="s">
        <v>243</v>
      </c>
    </row>
    <row r="322" spans="1:9" x14ac:dyDescent="0.3">
      <c r="A322">
        <v>120</v>
      </c>
      <c r="B322">
        <v>4</v>
      </c>
      <c r="C322" t="s">
        <v>71</v>
      </c>
      <c r="D322" t="s">
        <v>630</v>
      </c>
      <c r="E322">
        <v>15</v>
      </c>
      <c r="F322">
        <v>26</v>
      </c>
      <c r="G322">
        <v>2</v>
      </c>
      <c r="H322">
        <v>41</v>
      </c>
      <c r="I322" t="s">
        <v>243</v>
      </c>
    </row>
    <row r="323" spans="1:9" x14ac:dyDescent="0.3">
      <c r="A323">
        <v>120</v>
      </c>
      <c r="B323">
        <v>4</v>
      </c>
      <c r="C323" t="s">
        <v>56</v>
      </c>
      <c r="D323" t="s">
        <v>614</v>
      </c>
      <c r="E323">
        <v>19</v>
      </c>
      <c r="F323">
        <v>31</v>
      </c>
      <c r="G323">
        <v>3</v>
      </c>
      <c r="H323">
        <v>56</v>
      </c>
      <c r="I323" t="s">
        <v>243</v>
      </c>
    </row>
    <row r="324" spans="1:9" x14ac:dyDescent="0.3">
      <c r="A324">
        <v>121</v>
      </c>
      <c r="B324">
        <v>5</v>
      </c>
      <c r="C324" t="s">
        <v>71</v>
      </c>
      <c r="D324" t="s">
        <v>630</v>
      </c>
      <c r="E324">
        <v>15</v>
      </c>
      <c r="F324">
        <v>26</v>
      </c>
      <c r="G324">
        <v>2</v>
      </c>
      <c r="H324">
        <v>38</v>
      </c>
      <c r="I324" t="s">
        <v>242</v>
      </c>
    </row>
    <row r="325" spans="1:9" x14ac:dyDescent="0.3">
      <c r="A325">
        <v>122</v>
      </c>
      <c r="B325">
        <v>6</v>
      </c>
      <c r="C325" t="s">
        <v>19</v>
      </c>
      <c r="D325" t="s">
        <v>622</v>
      </c>
      <c r="E325">
        <v>21</v>
      </c>
      <c r="F325">
        <v>35</v>
      </c>
      <c r="G325">
        <v>3</v>
      </c>
      <c r="H325">
        <v>32</v>
      </c>
      <c r="I325" t="s">
        <v>242</v>
      </c>
    </row>
    <row r="326" spans="1:9" x14ac:dyDescent="0.3">
      <c r="A326">
        <v>123</v>
      </c>
      <c r="B326">
        <v>16</v>
      </c>
      <c r="C326" t="s">
        <v>75</v>
      </c>
      <c r="D326" t="s">
        <v>612</v>
      </c>
      <c r="E326">
        <v>14</v>
      </c>
      <c r="F326">
        <v>24</v>
      </c>
      <c r="G326">
        <v>1</v>
      </c>
      <c r="H326">
        <v>33</v>
      </c>
      <c r="I326" t="s">
        <v>243</v>
      </c>
    </row>
    <row r="327" spans="1:9" x14ac:dyDescent="0.3">
      <c r="A327">
        <v>124</v>
      </c>
      <c r="B327">
        <v>16</v>
      </c>
      <c r="C327" t="s">
        <v>60</v>
      </c>
      <c r="D327" t="s">
        <v>631</v>
      </c>
      <c r="E327">
        <v>15</v>
      </c>
      <c r="F327">
        <v>25</v>
      </c>
      <c r="G327">
        <v>1</v>
      </c>
      <c r="H327">
        <v>27</v>
      </c>
      <c r="I327" t="s">
        <v>243</v>
      </c>
    </row>
    <row r="328" spans="1:9" x14ac:dyDescent="0.3">
      <c r="A328">
        <v>124</v>
      </c>
      <c r="B328">
        <v>16</v>
      </c>
      <c r="C328" t="s">
        <v>112</v>
      </c>
      <c r="D328" t="s">
        <v>619</v>
      </c>
      <c r="E328">
        <v>20</v>
      </c>
      <c r="F328">
        <v>33</v>
      </c>
      <c r="G328">
        <v>3</v>
      </c>
      <c r="H328">
        <v>9</v>
      </c>
      <c r="I328" t="s">
        <v>243</v>
      </c>
    </row>
    <row r="329" spans="1:9" x14ac:dyDescent="0.3">
      <c r="A329">
        <v>124</v>
      </c>
      <c r="B329">
        <v>16</v>
      </c>
      <c r="C329" t="s">
        <v>66</v>
      </c>
      <c r="D329" t="s">
        <v>626</v>
      </c>
      <c r="E329">
        <v>12</v>
      </c>
      <c r="F329">
        <v>20</v>
      </c>
      <c r="G329">
        <v>2</v>
      </c>
      <c r="H329">
        <v>43</v>
      </c>
      <c r="I329" t="s">
        <v>242</v>
      </c>
    </row>
    <row r="330" spans="1:9" x14ac:dyDescent="0.3">
      <c r="A330">
        <v>124</v>
      </c>
      <c r="B330">
        <v>16</v>
      </c>
      <c r="C330" t="s">
        <v>26</v>
      </c>
      <c r="D330" t="s">
        <v>618</v>
      </c>
      <c r="E330">
        <v>17</v>
      </c>
      <c r="F330">
        <v>29</v>
      </c>
      <c r="G330">
        <v>2</v>
      </c>
      <c r="H330">
        <v>59</v>
      </c>
      <c r="I330" t="s">
        <v>243</v>
      </c>
    </row>
    <row r="331" spans="1:9" x14ac:dyDescent="0.3">
      <c r="A331">
        <v>125</v>
      </c>
      <c r="B331">
        <v>14</v>
      </c>
      <c r="C331" t="s">
        <v>30</v>
      </c>
      <c r="D331" t="s">
        <v>620</v>
      </c>
      <c r="E331">
        <v>16</v>
      </c>
      <c r="F331">
        <v>28</v>
      </c>
      <c r="G331">
        <v>2</v>
      </c>
      <c r="H331">
        <v>38</v>
      </c>
      <c r="I331" t="s">
        <v>243</v>
      </c>
    </row>
    <row r="332" spans="1:9" x14ac:dyDescent="0.3">
      <c r="A332">
        <v>125</v>
      </c>
      <c r="B332">
        <v>14</v>
      </c>
      <c r="C332" t="s">
        <v>38</v>
      </c>
      <c r="D332" t="s">
        <v>625</v>
      </c>
      <c r="E332">
        <v>20</v>
      </c>
      <c r="F332">
        <v>34</v>
      </c>
      <c r="G332">
        <v>2</v>
      </c>
      <c r="H332">
        <v>15</v>
      </c>
      <c r="I332" t="s">
        <v>242</v>
      </c>
    </row>
    <row r="333" spans="1:9" x14ac:dyDescent="0.3">
      <c r="A333">
        <v>125</v>
      </c>
      <c r="B333">
        <v>14</v>
      </c>
      <c r="C333" t="s">
        <v>66</v>
      </c>
      <c r="D333" t="s">
        <v>626</v>
      </c>
      <c r="E333">
        <v>12</v>
      </c>
      <c r="F333">
        <v>20</v>
      </c>
      <c r="G333">
        <v>3</v>
      </c>
      <c r="H333">
        <v>31</v>
      </c>
      <c r="I333" t="s">
        <v>242</v>
      </c>
    </row>
    <row r="334" spans="1:9" x14ac:dyDescent="0.3">
      <c r="A334">
        <v>126</v>
      </c>
      <c r="B334">
        <v>18</v>
      </c>
      <c r="C334" t="s">
        <v>30</v>
      </c>
      <c r="D334" t="s">
        <v>620</v>
      </c>
      <c r="E334">
        <v>16</v>
      </c>
      <c r="F334">
        <v>28</v>
      </c>
      <c r="G334">
        <v>1</v>
      </c>
      <c r="H334">
        <v>19</v>
      </c>
      <c r="I334" t="s">
        <v>243</v>
      </c>
    </row>
    <row r="335" spans="1:9" x14ac:dyDescent="0.3">
      <c r="A335">
        <v>126</v>
      </c>
      <c r="B335">
        <v>18</v>
      </c>
      <c r="C335" t="s">
        <v>40</v>
      </c>
      <c r="D335" t="s">
        <v>613</v>
      </c>
      <c r="E335">
        <v>18</v>
      </c>
      <c r="F335">
        <v>30</v>
      </c>
      <c r="G335">
        <v>1</v>
      </c>
      <c r="H335">
        <v>53</v>
      </c>
      <c r="I335" t="s">
        <v>242</v>
      </c>
    </row>
    <row r="336" spans="1:9" x14ac:dyDescent="0.3">
      <c r="A336">
        <v>126</v>
      </c>
      <c r="B336">
        <v>18</v>
      </c>
      <c r="C336" t="s">
        <v>75</v>
      </c>
      <c r="D336" t="s">
        <v>612</v>
      </c>
      <c r="E336">
        <v>14</v>
      </c>
      <c r="F336">
        <v>24</v>
      </c>
      <c r="G336">
        <v>3</v>
      </c>
      <c r="H336">
        <v>27</v>
      </c>
      <c r="I336" t="s">
        <v>242</v>
      </c>
    </row>
    <row r="337" spans="1:9" x14ac:dyDescent="0.3">
      <c r="A337">
        <v>126</v>
      </c>
      <c r="B337">
        <v>18</v>
      </c>
      <c r="C337" t="s">
        <v>19</v>
      </c>
      <c r="D337" t="s">
        <v>622</v>
      </c>
      <c r="E337">
        <v>21</v>
      </c>
      <c r="F337">
        <v>35</v>
      </c>
      <c r="G337">
        <v>1</v>
      </c>
      <c r="H337">
        <v>40</v>
      </c>
      <c r="I337" t="s">
        <v>243</v>
      </c>
    </row>
    <row r="338" spans="1:9" x14ac:dyDescent="0.3">
      <c r="A338">
        <v>127</v>
      </c>
      <c r="B338">
        <v>6</v>
      </c>
      <c r="C338" t="s">
        <v>44</v>
      </c>
      <c r="D338" t="s">
        <v>617</v>
      </c>
      <c r="E338">
        <v>22</v>
      </c>
      <c r="F338">
        <v>36</v>
      </c>
      <c r="G338">
        <v>2</v>
      </c>
      <c r="H338">
        <v>30</v>
      </c>
      <c r="I338" t="s">
        <v>243</v>
      </c>
    </row>
    <row r="339" spans="1:9" x14ac:dyDescent="0.3">
      <c r="A339">
        <v>128</v>
      </c>
      <c r="B339">
        <v>2</v>
      </c>
      <c r="C339" t="s">
        <v>60</v>
      </c>
      <c r="D339" t="s">
        <v>631</v>
      </c>
      <c r="E339">
        <v>15</v>
      </c>
      <c r="F339">
        <v>25</v>
      </c>
      <c r="G339">
        <v>3</v>
      </c>
      <c r="H339">
        <v>53</v>
      </c>
      <c r="I339" t="s">
        <v>242</v>
      </c>
    </row>
    <row r="340" spans="1:9" x14ac:dyDescent="0.3">
      <c r="A340">
        <v>128</v>
      </c>
      <c r="B340">
        <v>2</v>
      </c>
      <c r="C340" t="s">
        <v>56</v>
      </c>
      <c r="D340" t="s">
        <v>614</v>
      </c>
      <c r="E340">
        <v>19</v>
      </c>
      <c r="F340">
        <v>31</v>
      </c>
      <c r="G340">
        <v>2</v>
      </c>
      <c r="H340">
        <v>34</v>
      </c>
      <c r="I340" t="s">
        <v>243</v>
      </c>
    </row>
    <row r="341" spans="1:9" x14ac:dyDescent="0.3">
      <c r="A341">
        <v>128</v>
      </c>
      <c r="B341">
        <v>2</v>
      </c>
      <c r="C341" t="s">
        <v>46</v>
      </c>
      <c r="D341" t="s">
        <v>629</v>
      </c>
      <c r="E341">
        <v>10</v>
      </c>
      <c r="F341">
        <v>18</v>
      </c>
      <c r="G341">
        <v>3</v>
      </c>
      <c r="H341">
        <v>50</v>
      </c>
      <c r="I341" t="s">
        <v>243</v>
      </c>
    </row>
    <row r="342" spans="1:9" x14ac:dyDescent="0.3">
      <c r="A342">
        <v>128</v>
      </c>
      <c r="B342">
        <v>2</v>
      </c>
      <c r="C342" t="s">
        <v>75</v>
      </c>
      <c r="D342" t="s">
        <v>612</v>
      </c>
      <c r="E342">
        <v>14</v>
      </c>
      <c r="F342">
        <v>24</v>
      </c>
      <c r="G342">
        <v>2</v>
      </c>
      <c r="H342">
        <v>35</v>
      </c>
      <c r="I342" t="s">
        <v>243</v>
      </c>
    </row>
    <row r="343" spans="1:9" x14ac:dyDescent="0.3">
      <c r="A343">
        <v>129</v>
      </c>
      <c r="B343">
        <v>16</v>
      </c>
      <c r="C343" t="s">
        <v>53</v>
      </c>
      <c r="D343" t="s">
        <v>621</v>
      </c>
      <c r="E343">
        <v>11</v>
      </c>
      <c r="F343">
        <v>19</v>
      </c>
      <c r="G343">
        <v>3</v>
      </c>
      <c r="H343">
        <v>6</v>
      </c>
      <c r="I343" t="s">
        <v>243</v>
      </c>
    </row>
    <row r="344" spans="1:9" x14ac:dyDescent="0.3">
      <c r="A344">
        <v>129</v>
      </c>
      <c r="B344">
        <v>16</v>
      </c>
      <c r="C344" t="s">
        <v>66</v>
      </c>
      <c r="D344" t="s">
        <v>626</v>
      </c>
      <c r="E344">
        <v>12</v>
      </c>
      <c r="F344">
        <v>20</v>
      </c>
      <c r="G344">
        <v>1</v>
      </c>
      <c r="H344">
        <v>24</v>
      </c>
      <c r="I344" t="s">
        <v>242</v>
      </c>
    </row>
    <row r="345" spans="1:9" x14ac:dyDescent="0.3">
      <c r="A345">
        <v>129</v>
      </c>
      <c r="B345">
        <v>16</v>
      </c>
      <c r="C345" t="s">
        <v>26</v>
      </c>
      <c r="D345" t="s">
        <v>618</v>
      </c>
      <c r="E345">
        <v>17</v>
      </c>
      <c r="F345">
        <v>29</v>
      </c>
      <c r="G345">
        <v>1</v>
      </c>
      <c r="H345">
        <v>50</v>
      </c>
      <c r="I345" t="s">
        <v>242</v>
      </c>
    </row>
    <row r="346" spans="1:9" x14ac:dyDescent="0.3">
      <c r="A346">
        <v>130</v>
      </c>
      <c r="B346">
        <v>10</v>
      </c>
      <c r="C346" t="s">
        <v>19</v>
      </c>
      <c r="D346" t="s">
        <v>622</v>
      </c>
      <c r="E346">
        <v>21</v>
      </c>
      <c r="F346">
        <v>35</v>
      </c>
      <c r="G346">
        <v>1</v>
      </c>
      <c r="H346">
        <v>25</v>
      </c>
      <c r="I346" t="s">
        <v>243</v>
      </c>
    </row>
    <row r="347" spans="1:9" x14ac:dyDescent="0.3">
      <c r="A347">
        <v>131</v>
      </c>
      <c r="B347">
        <v>7</v>
      </c>
      <c r="C347" t="s">
        <v>42</v>
      </c>
      <c r="D347" t="s">
        <v>628</v>
      </c>
      <c r="E347">
        <v>13</v>
      </c>
      <c r="F347">
        <v>21</v>
      </c>
      <c r="G347">
        <v>3</v>
      </c>
      <c r="H347">
        <v>57</v>
      </c>
      <c r="I347" t="s">
        <v>243</v>
      </c>
    </row>
    <row r="348" spans="1:9" x14ac:dyDescent="0.3">
      <c r="A348">
        <v>131</v>
      </c>
      <c r="B348">
        <v>7</v>
      </c>
      <c r="C348" t="s">
        <v>34</v>
      </c>
      <c r="D348" t="s">
        <v>616</v>
      </c>
      <c r="E348">
        <v>25</v>
      </c>
      <c r="F348">
        <v>40</v>
      </c>
      <c r="G348">
        <v>1</v>
      </c>
      <c r="H348">
        <v>43</v>
      </c>
      <c r="I348" t="s">
        <v>243</v>
      </c>
    </row>
    <row r="349" spans="1:9" x14ac:dyDescent="0.3">
      <c r="A349">
        <v>131</v>
      </c>
      <c r="B349">
        <v>7</v>
      </c>
      <c r="C349" t="s">
        <v>46</v>
      </c>
      <c r="D349" t="s">
        <v>629</v>
      </c>
      <c r="E349">
        <v>10</v>
      </c>
      <c r="F349">
        <v>18</v>
      </c>
      <c r="G349">
        <v>3</v>
      </c>
      <c r="H349">
        <v>20</v>
      </c>
      <c r="I349" t="s">
        <v>242</v>
      </c>
    </row>
    <row r="350" spans="1:9" x14ac:dyDescent="0.3">
      <c r="A350">
        <v>132</v>
      </c>
      <c r="B350">
        <v>9</v>
      </c>
      <c r="C350" t="s">
        <v>42</v>
      </c>
      <c r="D350" t="s">
        <v>628</v>
      </c>
      <c r="E350">
        <v>13</v>
      </c>
      <c r="F350">
        <v>21</v>
      </c>
      <c r="G350">
        <v>2</v>
      </c>
      <c r="H350">
        <v>53</v>
      </c>
      <c r="I350" t="s">
        <v>242</v>
      </c>
    </row>
    <row r="351" spans="1:9" x14ac:dyDescent="0.3">
      <c r="A351">
        <v>132</v>
      </c>
      <c r="B351">
        <v>9</v>
      </c>
      <c r="C351" t="s">
        <v>89</v>
      </c>
      <c r="D351" t="s">
        <v>627</v>
      </c>
      <c r="E351">
        <v>14</v>
      </c>
      <c r="F351">
        <v>23</v>
      </c>
      <c r="G351">
        <v>1</v>
      </c>
      <c r="H351">
        <v>6</v>
      </c>
      <c r="I351" t="s">
        <v>243</v>
      </c>
    </row>
    <row r="352" spans="1:9" x14ac:dyDescent="0.3">
      <c r="A352">
        <v>132</v>
      </c>
      <c r="B352">
        <v>9</v>
      </c>
      <c r="C352" t="s">
        <v>44</v>
      </c>
      <c r="D352" t="s">
        <v>617</v>
      </c>
      <c r="E352">
        <v>22</v>
      </c>
      <c r="F352">
        <v>36</v>
      </c>
      <c r="G352">
        <v>1</v>
      </c>
      <c r="H352">
        <v>18</v>
      </c>
      <c r="I352" t="s">
        <v>242</v>
      </c>
    </row>
    <row r="353" spans="1:9" x14ac:dyDescent="0.3">
      <c r="A353">
        <v>132</v>
      </c>
      <c r="B353">
        <v>9</v>
      </c>
      <c r="C353" t="s">
        <v>19</v>
      </c>
      <c r="D353" t="s">
        <v>622</v>
      </c>
      <c r="E353">
        <v>21</v>
      </c>
      <c r="F353">
        <v>35</v>
      </c>
      <c r="G353">
        <v>3</v>
      </c>
      <c r="H353">
        <v>25</v>
      </c>
      <c r="I353" t="s">
        <v>243</v>
      </c>
    </row>
    <row r="354" spans="1:9" x14ac:dyDescent="0.3">
      <c r="A354">
        <v>133</v>
      </c>
      <c r="B354">
        <v>20</v>
      </c>
      <c r="C354" t="s">
        <v>105</v>
      </c>
      <c r="D354" t="s">
        <v>623</v>
      </c>
      <c r="E354">
        <v>19</v>
      </c>
      <c r="F354">
        <v>32</v>
      </c>
      <c r="G354">
        <v>1</v>
      </c>
      <c r="H354">
        <v>5</v>
      </c>
      <c r="I354" t="s">
        <v>242</v>
      </c>
    </row>
    <row r="355" spans="1:9" x14ac:dyDescent="0.3">
      <c r="A355">
        <v>133</v>
      </c>
      <c r="B355">
        <v>20</v>
      </c>
      <c r="C355" t="s">
        <v>56</v>
      </c>
      <c r="D355" t="s">
        <v>614</v>
      </c>
      <c r="E355">
        <v>19</v>
      </c>
      <c r="F355">
        <v>31</v>
      </c>
      <c r="G355">
        <v>2</v>
      </c>
      <c r="H355">
        <v>46</v>
      </c>
      <c r="I355" t="s">
        <v>242</v>
      </c>
    </row>
    <row r="356" spans="1:9" x14ac:dyDescent="0.3">
      <c r="A356">
        <v>133</v>
      </c>
      <c r="B356">
        <v>20</v>
      </c>
      <c r="C356" t="s">
        <v>38</v>
      </c>
      <c r="D356" t="s">
        <v>625</v>
      </c>
      <c r="E356">
        <v>20</v>
      </c>
      <c r="F356">
        <v>34</v>
      </c>
      <c r="G356">
        <v>1</v>
      </c>
      <c r="H356">
        <v>45</v>
      </c>
      <c r="I356" t="s">
        <v>243</v>
      </c>
    </row>
    <row r="357" spans="1:9" x14ac:dyDescent="0.3">
      <c r="A357">
        <v>133</v>
      </c>
      <c r="B357">
        <v>20</v>
      </c>
      <c r="C357" t="s">
        <v>46</v>
      </c>
      <c r="D357" t="s">
        <v>629</v>
      </c>
      <c r="E357">
        <v>10</v>
      </c>
      <c r="F357">
        <v>18</v>
      </c>
      <c r="G357">
        <v>3</v>
      </c>
      <c r="H357">
        <v>11</v>
      </c>
      <c r="I357" t="s">
        <v>242</v>
      </c>
    </row>
    <row r="358" spans="1:9" x14ac:dyDescent="0.3">
      <c r="A358">
        <v>134</v>
      </c>
      <c r="B358">
        <v>3</v>
      </c>
      <c r="C358" t="s">
        <v>105</v>
      </c>
      <c r="D358" t="s">
        <v>623</v>
      </c>
      <c r="E358">
        <v>19</v>
      </c>
      <c r="F358">
        <v>32</v>
      </c>
      <c r="G358">
        <v>3</v>
      </c>
      <c r="H358">
        <v>29</v>
      </c>
      <c r="I358" t="s">
        <v>242</v>
      </c>
    </row>
    <row r="359" spans="1:9" x14ac:dyDescent="0.3">
      <c r="A359">
        <v>134</v>
      </c>
      <c r="B359">
        <v>3</v>
      </c>
      <c r="C359" t="s">
        <v>75</v>
      </c>
      <c r="D359" t="s">
        <v>612</v>
      </c>
      <c r="E359">
        <v>14</v>
      </c>
      <c r="F359">
        <v>24</v>
      </c>
      <c r="G359">
        <v>1</v>
      </c>
      <c r="H359">
        <v>19</v>
      </c>
      <c r="I359" t="s">
        <v>242</v>
      </c>
    </row>
    <row r="360" spans="1:9" x14ac:dyDescent="0.3">
      <c r="A360">
        <v>135</v>
      </c>
      <c r="B360">
        <v>11</v>
      </c>
      <c r="C360" t="s">
        <v>56</v>
      </c>
      <c r="D360" t="s">
        <v>614</v>
      </c>
      <c r="E360">
        <v>19</v>
      </c>
      <c r="F360">
        <v>31</v>
      </c>
      <c r="G360">
        <v>3</v>
      </c>
      <c r="H360">
        <v>17</v>
      </c>
      <c r="I360" t="s">
        <v>242</v>
      </c>
    </row>
    <row r="361" spans="1:9" x14ac:dyDescent="0.3">
      <c r="A361">
        <v>135</v>
      </c>
      <c r="B361">
        <v>11</v>
      </c>
      <c r="C361" t="s">
        <v>34</v>
      </c>
      <c r="D361" t="s">
        <v>616</v>
      </c>
      <c r="E361">
        <v>25</v>
      </c>
      <c r="F361">
        <v>40</v>
      </c>
      <c r="G361">
        <v>2</v>
      </c>
      <c r="H361">
        <v>42</v>
      </c>
      <c r="I361" t="s">
        <v>242</v>
      </c>
    </row>
    <row r="362" spans="1:9" x14ac:dyDescent="0.3">
      <c r="A362">
        <v>135</v>
      </c>
      <c r="B362">
        <v>11</v>
      </c>
      <c r="C362" t="s">
        <v>26</v>
      </c>
      <c r="D362" t="s">
        <v>618</v>
      </c>
      <c r="E362">
        <v>17</v>
      </c>
      <c r="F362">
        <v>29</v>
      </c>
      <c r="G362">
        <v>3</v>
      </c>
      <c r="H362">
        <v>29</v>
      </c>
      <c r="I362" t="s">
        <v>243</v>
      </c>
    </row>
    <row r="363" spans="1:9" x14ac:dyDescent="0.3">
      <c r="A363">
        <v>136</v>
      </c>
      <c r="B363">
        <v>6</v>
      </c>
      <c r="C363" t="s">
        <v>34</v>
      </c>
      <c r="D363" t="s">
        <v>616</v>
      </c>
      <c r="E363">
        <v>25</v>
      </c>
      <c r="F363">
        <v>40</v>
      </c>
      <c r="G363">
        <v>2</v>
      </c>
      <c r="H363">
        <v>13</v>
      </c>
      <c r="I363" t="s">
        <v>243</v>
      </c>
    </row>
    <row r="364" spans="1:9" x14ac:dyDescent="0.3">
      <c r="A364">
        <v>137</v>
      </c>
      <c r="B364">
        <v>13</v>
      </c>
      <c r="C364" t="s">
        <v>42</v>
      </c>
      <c r="D364" t="s">
        <v>628</v>
      </c>
      <c r="E364">
        <v>13</v>
      </c>
      <c r="F364">
        <v>21</v>
      </c>
      <c r="G364">
        <v>3</v>
      </c>
      <c r="H364">
        <v>41</v>
      </c>
      <c r="I364" t="s">
        <v>243</v>
      </c>
    </row>
    <row r="365" spans="1:9" x14ac:dyDescent="0.3">
      <c r="A365">
        <v>138</v>
      </c>
      <c r="B365">
        <v>6</v>
      </c>
      <c r="C365" t="s">
        <v>71</v>
      </c>
      <c r="D365" t="s">
        <v>630</v>
      </c>
      <c r="E365">
        <v>15</v>
      </c>
      <c r="F365">
        <v>26</v>
      </c>
      <c r="G365">
        <v>3</v>
      </c>
      <c r="H365">
        <v>7</v>
      </c>
      <c r="I365" t="s">
        <v>243</v>
      </c>
    </row>
    <row r="366" spans="1:9" x14ac:dyDescent="0.3">
      <c r="A366">
        <v>138</v>
      </c>
      <c r="B366">
        <v>6</v>
      </c>
      <c r="C366" t="s">
        <v>53</v>
      </c>
      <c r="D366" t="s">
        <v>621</v>
      </c>
      <c r="E366">
        <v>11</v>
      </c>
      <c r="F366">
        <v>19</v>
      </c>
      <c r="G366">
        <v>2</v>
      </c>
      <c r="H366">
        <v>6</v>
      </c>
      <c r="I366" t="s">
        <v>242</v>
      </c>
    </row>
    <row r="367" spans="1:9" x14ac:dyDescent="0.3">
      <c r="A367">
        <v>138</v>
      </c>
      <c r="B367">
        <v>6</v>
      </c>
      <c r="C367" t="s">
        <v>56</v>
      </c>
      <c r="D367" t="s">
        <v>614</v>
      </c>
      <c r="E367">
        <v>19</v>
      </c>
      <c r="F367">
        <v>31</v>
      </c>
      <c r="G367">
        <v>2</v>
      </c>
      <c r="H367">
        <v>40</v>
      </c>
      <c r="I367" t="s">
        <v>242</v>
      </c>
    </row>
    <row r="368" spans="1:9" x14ac:dyDescent="0.3">
      <c r="A368">
        <v>138</v>
      </c>
      <c r="B368">
        <v>6</v>
      </c>
      <c r="C368" t="s">
        <v>40</v>
      </c>
      <c r="D368" t="s">
        <v>613</v>
      </c>
      <c r="E368">
        <v>18</v>
      </c>
      <c r="F368">
        <v>30</v>
      </c>
      <c r="G368">
        <v>2</v>
      </c>
      <c r="H368">
        <v>44</v>
      </c>
      <c r="I368" t="s">
        <v>243</v>
      </c>
    </row>
    <row r="369" spans="1:9" x14ac:dyDescent="0.3">
      <c r="A369">
        <v>139</v>
      </c>
      <c r="B369">
        <v>16</v>
      </c>
      <c r="C369" t="s">
        <v>19</v>
      </c>
      <c r="D369" t="s">
        <v>622</v>
      </c>
      <c r="E369">
        <v>21</v>
      </c>
      <c r="F369">
        <v>35</v>
      </c>
      <c r="G369">
        <v>1</v>
      </c>
      <c r="H369">
        <v>26</v>
      </c>
      <c r="I369" t="s">
        <v>242</v>
      </c>
    </row>
    <row r="370" spans="1:9" x14ac:dyDescent="0.3">
      <c r="A370">
        <v>140</v>
      </c>
      <c r="B370">
        <v>11</v>
      </c>
      <c r="C370" t="s">
        <v>60</v>
      </c>
      <c r="D370" t="s">
        <v>631</v>
      </c>
      <c r="E370">
        <v>15</v>
      </c>
      <c r="F370">
        <v>25</v>
      </c>
      <c r="G370">
        <v>2</v>
      </c>
      <c r="H370">
        <v>35</v>
      </c>
      <c r="I370" t="s">
        <v>242</v>
      </c>
    </row>
    <row r="371" spans="1:9" x14ac:dyDescent="0.3">
      <c r="A371">
        <v>140</v>
      </c>
      <c r="B371">
        <v>11</v>
      </c>
      <c r="C371" t="s">
        <v>46</v>
      </c>
      <c r="D371" t="s">
        <v>629</v>
      </c>
      <c r="E371">
        <v>10</v>
      </c>
      <c r="F371">
        <v>18</v>
      </c>
      <c r="G371">
        <v>2</v>
      </c>
      <c r="H371">
        <v>48</v>
      </c>
      <c r="I371" t="s">
        <v>243</v>
      </c>
    </row>
    <row r="372" spans="1:9" x14ac:dyDescent="0.3">
      <c r="A372">
        <v>140</v>
      </c>
      <c r="B372">
        <v>11</v>
      </c>
      <c r="C372" t="s">
        <v>19</v>
      </c>
      <c r="D372" t="s">
        <v>622</v>
      </c>
      <c r="E372">
        <v>21</v>
      </c>
      <c r="F372">
        <v>35</v>
      </c>
      <c r="G372">
        <v>3</v>
      </c>
      <c r="H372">
        <v>35</v>
      </c>
      <c r="I372" t="s">
        <v>243</v>
      </c>
    </row>
    <row r="373" spans="1:9" x14ac:dyDescent="0.3">
      <c r="A373">
        <v>141</v>
      </c>
      <c r="B373">
        <v>4</v>
      </c>
      <c r="C373" t="s">
        <v>42</v>
      </c>
      <c r="D373" t="s">
        <v>628</v>
      </c>
      <c r="E373">
        <v>13</v>
      </c>
      <c r="F373">
        <v>21</v>
      </c>
      <c r="G373">
        <v>1</v>
      </c>
      <c r="H373">
        <v>28</v>
      </c>
      <c r="I373" t="s">
        <v>243</v>
      </c>
    </row>
    <row r="374" spans="1:9" x14ac:dyDescent="0.3">
      <c r="A374">
        <v>142</v>
      </c>
      <c r="B374">
        <v>14</v>
      </c>
      <c r="C374" t="s">
        <v>89</v>
      </c>
      <c r="D374" t="s">
        <v>627</v>
      </c>
      <c r="E374">
        <v>14</v>
      </c>
      <c r="F374">
        <v>23</v>
      </c>
      <c r="G374">
        <v>3</v>
      </c>
      <c r="H374">
        <v>11</v>
      </c>
      <c r="I374" t="s">
        <v>243</v>
      </c>
    </row>
    <row r="375" spans="1:9" x14ac:dyDescent="0.3">
      <c r="A375">
        <v>142</v>
      </c>
      <c r="B375">
        <v>14</v>
      </c>
      <c r="C375" t="s">
        <v>34</v>
      </c>
      <c r="D375" t="s">
        <v>616</v>
      </c>
      <c r="E375">
        <v>25</v>
      </c>
      <c r="F375">
        <v>40</v>
      </c>
      <c r="G375">
        <v>1</v>
      </c>
      <c r="H375">
        <v>22</v>
      </c>
      <c r="I375" t="s">
        <v>242</v>
      </c>
    </row>
    <row r="376" spans="1:9" x14ac:dyDescent="0.3">
      <c r="A376">
        <v>142</v>
      </c>
      <c r="B376">
        <v>14</v>
      </c>
      <c r="C376" t="s">
        <v>75</v>
      </c>
      <c r="D376" t="s">
        <v>612</v>
      </c>
      <c r="E376">
        <v>14</v>
      </c>
      <c r="F376">
        <v>24</v>
      </c>
      <c r="G376">
        <v>3</v>
      </c>
      <c r="H376">
        <v>37</v>
      </c>
      <c r="I376" t="s">
        <v>242</v>
      </c>
    </row>
    <row r="377" spans="1:9" x14ac:dyDescent="0.3">
      <c r="A377">
        <v>143</v>
      </c>
      <c r="B377">
        <v>9</v>
      </c>
      <c r="C377" t="s">
        <v>60</v>
      </c>
      <c r="D377" t="s">
        <v>631</v>
      </c>
      <c r="E377">
        <v>15</v>
      </c>
      <c r="F377">
        <v>25</v>
      </c>
      <c r="G377">
        <v>2</v>
      </c>
      <c r="H377">
        <v>16</v>
      </c>
      <c r="I377" t="s">
        <v>243</v>
      </c>
    </row>
    <row r="378" spans="1:9" x14ac:dyDescent="0.3">
      <c r="A378">
        <v>144</v>
      </c>
      <c r="B378">
        <v>18</v>
      </c>
      <c r="C378" t="s">
        <v>53</v>
      </c>
      <c r="D378" t="s">
        <v>621</v>
      </c>
      <c r="E378">
        <v>11</v>
      </c>
      <c r="F378">
        <v>19</v>
      </c>
      <c r="G378">
        <v>3</v>
      </c>
      <c r="H378">
        <v>51</v>
      </c>
      <c r="I378" t="s">
        <v>242</v>
      </c>
    </row>
    <row r="379" spans="1:9" x14ac:dyDescent="0.3">
      <c r="A379">
        <v>144</v>
      </c>
      <c r="B379">
        <v>18</v>
      </c>
      <c r="C379" t="s">
        <v>38</v>
      </c>
      <c r="D379" t="s">
        <v>625</v>
      </c>
      <c r="E379">
        <v>20</v>
      </c>
      <c r="F379">
        <v>34</v>
      </c>
      <c r="G379">
        <v>1</v>
      </c>
      <c r="H379">
        <v>34</v>
      </c>
      <c r="I379" t="s">
        <v>243</v>
      </c>
    </row>
    <row r="380" spans="1:9" x14ac:dyDescent="0.3">
      <c r="A380">
        <v>144</v>
      </c>
      <c r="B380">
        <v>18</v>
      </c>
      <c r="C380" t="s">
        <v>44</v>
      </c>
      <c r="D380" t="s">
        <v>617</v>
      </c>
      <c r="E380">
        <v>22</v>
      </c>
      <c r="F380">
        <v>36</v>
      </c>
      <c r="G380">
        <v>1</v>
      </c>
      <c r="H380">
        <v>27</v>
      </c>
      <c r="I380" t="s">
        <v>243</v>
      </c>
    </row>
    <row r="381" spans="1:9" x14ac:dyDescent="0.3">
      <c r="A381">
        <v>144</v>
      </c>
      <c r="B381">
        <v>18</v>
      </c>
      <c r="C381" t="s">
        <v>26</v>
      </c>
      <c r="D381" t="s">
        <v>618</v>
      </c>
      <c r="E381">
        <v>17</v>
      </c>
      <c r="F381">
        <v>29</v>
      </c>
      <c r="G381">
        <v>2</v>
      </c>
      <c r="H381">
        <v>38</v>
      </c>
      <c r="I381" t="s">
        <v>242</v>
      </c>
    </row>
    <row r="382" spans="1:9" x14ac:dyDescent="0.3">
      <c r="A382">
        <v>145</v>
      </c>
      <c r="B382">
        <v>2</v>
      </c>
      <c r="C382" t="s">
        <v>40</v>
      </c>
      <c r="D382" t="s">
        <v>613</v>
      </c>
      <c r="E382">
        <v>18</v>
      </c>
      <c r="F382">
        <v>30</v>
      </c>
      <c r="G382">
        <v>2</v>
      </c>
      <c r="H382">
        <v>47</v>
      </c>
      <c r="I382" t="s">
        <v>243</v>
      </c>
    </row>
    <row r="383" spans="1:9" x14ac:dyDescent="0.3">
      <c r="A383">
        <v>145</v>
      </c>
      <c r="B383">
        <v>2</v>
      </c>
      <c r="C383" t="s">
        <v>92</v>
      </c>
      <c r="D383" t="s">
        <v>624</v>
      </c>
      <c r="E383">
        <v>13</v>
      </c>
      <c r="F383">
        <v>22</v>
      </c>
      <c r="G383">
        <v>3</v>
      </c>
      <c r="H383">
        <v>59</v>
      </c>
      <c r="I383" t="s">
        <v>242</v>
      </c>
    </row>
    <row r="384" spans="1:9" x14ac:dyDescent="0.3">
      <c r="A384">
        <v>146</v>
      </c>
      <c r="B384">
        <v>8</v>
      </c>
      <c r="C384" t="s">
        <v>56</v>
      </c>
      <c r="D384" t="s">
        <v>614</v>
      </c>
      <c r="E384">
        <v>19</v>
      </c>
      <c r="F384">
        <v>31</v>
      </c>
      <c r="G384">
        <v>2</v>
      </c>
      <c r="H384">
        <v>47</v>
      </c>
      <c r="I384" t="s">
        <v>243</v>
      </c>
    </row>
    <row r="385" spans="1:9" x14ac:dyDescent="0.3">
      <c r="A385">
        <v>147</v>
      </c>
      <c r="B385">
        <v>5</v>
      </c>
      <c r="C385" t="s">
        <v>34</v>
      </c>
      <c r="D385" t="s">
        <v>616</v>
      </c>
      <c r="E385">
        <v>25</v>
      </c>
      <c r="F385">
        <v>40</v>
      </c>
      <c r="G385">
        <v>1</v>
      </c>
      <c r="H385">
        <v>13</v>
      </c>
      <c r="I385" t="s">
        <v>243</v>
      </c>
    </row>
    <row r="386" spans="1:9" x14ac:dyDescent="0.3">
      <c r="A386">
        <v>147</v>
      </c>
      <c r="B386">
        <v>5</v>
      </c>
      <c r="C386" t="s">
        <v>92</v>
      </c>
      <c r="D386" t="s">
        <v>624</v>
      </c>
      <c r="E386">
        <v>13</v>
      </c>
      <c r="F386">
        <v>22</v>
      </c>
      <c r="G386">
        <v>2</v>
      </c>
      <c r="H386">
        <v>20</v>
      </c>
      <c r="I386" t="s">
        <v>242</v>
      </c>
    </row>
    <row r="387" spans="1:9" x14ac:dyDescent="0.3">
      <c r="A387">
        <v>148</v>
      </c>
      <c r="B387">
        <v>10</v>
      </c>
      <c r="C387" t="s">
        <v>71</v>
      </c>
      <c r="D387" t="s">
        <v>630</v>
      </c>
      <c r="E387">
        <v>15</v>
      </c>
      <c r="F387">
        <v>26</v>
      </c>
      <c r="G387">
        <v>1</v>
      </c>
      <c r="H387">
        <v>25</v>
      </c>
      <c r="I387" t="s">
        <v>242</v>
      </c>
    </row>
    <row r="388" spans="1:9" x14ac:dyDescent="0.3">
      <c r="A388">
        <v>148</v>
      </c>
      <c r="B388">
        <v>10</v>
      </c>
      <c r="C388" t="s">
        <v>38</v>
      </c>
      <c r="D388" t="s">
        <v>625</v>
      </c>
      <c r="E388">
        <v>20</v>
      </c>
      <c r="F388">
        <v>34</v>
      </c>
      <c r="G388">
        <v>2</v>
      </c>
      <c r="H388">
        <v>57</v>
      </c>
      <c r="I388" t="s">
        <v>242</v>
      </c>
    </row>
    <row r="389" spans="1:9" x14ac:dyDescent="0.3">
      <c r="A389">
        <v>148</v>
      </c>
      <c r="B389">
        <v>10</v>
      </c>
      <c r="C389" t="s">
        <v>66</v>
      </c>
      <c r="D389" t="s">
        <v>626</v>
      </c>
      <c r="E389">
        <v>12</v>
      </c>
      <c r="F389">
        <v>20</v>
      </c>
      <c r="G389">
        <v>3</v>
      </c>
      <c r="H389">
        <v>46</v>
      </c>
      <c r="I389" t="s">
        <v>242</v>
      </c>
    </row>
    <row r="390" spans="1:9" x14ac:dyDescent="0.3">
      <c r="A390">
        <v>148</v>
      </c>
      <c r="B390">
        <v>10</v>
      </c>
      <c r="C390" t="s">
        <v>26</v>
      </c>
      <c r="D390" t="s">
        <v>618</v>
      </c>
      <c r="E390">
        <v>17</v>
      </c>
      <c r="F390">
        <v>29</v>
      </c>
      <c r="G390">
        <v>2</v>
      </c>
      <c r="H390">
        <v>31</v>
      </c>
      <c r="I390" t="s">
        <v>242</v>
      </c>
    </row>
    <row r="391" spans="1:9" x14ac:dyDescent="0.3">
      <c r="A391">
        <v>149</v>
      </c>
      <c r="B391">
        <v>18</v>
      </c>
      <c r="C391" t="s">
        <v>38</v>
      </c>
      <c r="D391" t="s">
        <v>625</v>
      </c>
      <c r="E391">
        <v>20</v>
      </c>
      <c r="F391">
        <v>34</v>
      </c>
      <c r="G391">
        <v>3</v>
      </c>
      <c r="H391">
        <v>28</v>
      </c>
      <c r="I391" t="s">
        <v>243</v>
      </c>
    </row>
    <row r="392" spans="1:9" x14ac:dyDescent="0.3">
      <c r="A392">
        <v>149</v>
      </c>
      <c r="B392">
        <v>18</v>
      </c>
      <c r="C392" t="s">
        <v>40</v>
      </c>
      <c r="D392" t="s">
        <v>613</v>
      </c>
      <c r="E392">
        <v>18</v>
      </c>
      <c r="F392">
        <v>30</v>
      </c>
      <c r="G392">
        <v>1</v>
      </c>
      <c r="H392">
        <v>38</v>
      </c>
      <c r="I392" t="s">
        <v>243</v>
      </c>
    </row>
    <row r="393" spans="1:9" x14ac:dyDescent="0.3">
      <c r="A393">
        <v>149</v>
      </c>
      <c r="B393">
        <v>18</v>
      </c>
      <c r="C393" t="s">
        <v>46</v>
      </c>
      <c r="D393" t="s">
        <v>629</v>
      </c>
      <c r="E393">
        <v>10</v>
      </c>
      <c r="F393">
        <v>18</v>
      </c>
      <c r="G393">
        <v>2</v>
      </c>
      <c r="H393">
        <v>25</v>
      </c>
      <c r="I393" t="s">
        <v>242</v>
      </c>
    </row>
    <row r="394" spans="1:9" x14ac:dyDescent="0.3">
      <c r="A394">
        <v>149</v>
      </c>
      <c r="B394">
        <v>18</v>
      </c>
      <c r="C394" t="s">
        <v>26</v>
      </c>
      <c r="D394" t="s">
        <v>618</v>
      </c>
      <c r="E394">
        <v>17</v>
      </c>
      <c r="F394">
        <v>29</v>
      </c>
      <c r="G394">
        <v>2</v>
      </c>
      <c r="H394">
        <v>48</v>
      </c>
      <c r="I394" t="s">
        <v>243</v>
      </c>
    </row>
    <row r="395" spans="1:9" x14ac:dyDescent="0.3">
      <c r="A395">
        <v>150</v>
      </c>
      <c r="B395">
        <v>18</v>
      </c>
      <c r="C395" t="s">
        <v>112</v>
      </c>
      <c r="D395" t="s">
        <v>619</v>
      </c>
      <c r="E395">
        <v>20</v>
      </c>
      <c r="F395">
        <v>33</v>
      </c>
      <c r="G395">
        <v>2</v>
      </c>
      <c r="H395">
        <v>57</v>
      </c>
      <c r="I395" t="s">
        <v>243</v>
      </c>
    </row>
    <row r="396" spans="1:9" x14ac:dyDescent="0.3">
      <c r="A396">
        <v>150</v>
      </c>
      <c r="B396">
        <v>18</v>
      </c>
      <c r="C396" t="s">
        <v>66</v>
      </c>
      <c r="D396" t="s">
        <v>626</v>
      </c>
      <c r="E396">
        <v>12</v>
      </c>
      <c r="F396">
        <v>20</v>
      </c>
      <c r="G396">
        <v>2</v>
      </c>
      <c r="H396">
        <v>30</v>
      </c>
      <c r="I396" t="s">
        <v>243</v>
      </c>
    </row>
    <row r="397" spans="1:9" x14ac:dyDescent="0.3">
      <c r="A397">
        <v>150</v>
      </c>
      <c r="B397">
        <v>18</v>
      </c>
      <c r="C397" t="s">
        <v>92</v>
      </c>
      <c r="D397" t="s">
        <v>624</v>
      </c>
      <c r="E397">
        <v>13</v>
      </c>
      <c r="F397">
        <v>22</v>
      </c>
      <c r="G397">
        <v>2</v>
      </c>
      <c r="H397">
        <v>19</v>
      </c>
      <c r="I397" t="s">
        <v>242</v>
      </c>
    </row>
    <row r="398" spans="1:9" x14ac:dyDescent="0.3">
      <c r="A398">
        <v>151</v>
      </c>
      <c r="B398">
        <v>6</v>
      </c>
      <c r="C398" t="s">
        <v>42</v>
      </c>
      <c r="D398" t="s">
        <v>628</v>
      </c>
      <c r="E398">
        <v>13</v>
      </c>
      <c r="F398">
        <v>21</v>
      </c>
      <c r="G398">
        <v>3</v>
      </c>
      <c r="H398">
        <v>6</v>
      </c>
      <c r="I398" t="s">
        <v>242</v>
      </c>
    </row>
    <row r="399" spans="1:9" x14ac:dyDescent="0.3">
      <c r="A399">
        <v>151</v>
      </c>
      <c r="B399">
        <v>6</v>
      </c>
      <c r="C399" t="s">
        <v>89</v>
      </c>
      <c r="D399" t="s">
        <v>627</v>
      </c>
      <c r="E399">
        <v>14</v>
      </c>
      <c r="F399">
        <v>23</v>
      </c>
      <c r="G399">
        <v>3</v>
      </c>
      <c r="H399">
        <v>13</v>
      </c>
      <c r="I399" t="s">
        <v>242</v>
      </c>
    </row>
    <row r="400" spans="1:9" x14ac:dyDescent="0.3">
      <c r="A400">
        <v>152</v>
      </c>
      <c r="B400">
        <v>5</v>
      </c>
      <c r="C400" t="s">
        <v>30</v>
      </c>
      <c r="D400" t="s">
        <v>620</v>
      </c>
      <c r="E400">
        <v>16</v>
      </c>
      <c r="F400">
        <v>28</v>
      </c>
      <c r="G400">
        <v>2</v>
      </c>
      <c r="H400">
        <v>12</v>
      </c>
      <c r="I400" t="s">
        <v>242</v>
      </c>
    </row>
    <row r="401" spans="1:9" x14ac:dyDescent="0.3">
      <c r="A401">
        <v>153</v>
      </c>
      <c r="B401">
        <v>10</v>
      </c>
      <c r="C401" t="s">
        <v>112</v>
      </c>
      <c r="D401" t="s">
        <v>619</v>
      </c>
      <c r="E401">
        <v>20</v>
      </c>
      <c r="F401">
        <v>33</v>
      </c>
      <c r="G401">
        <v>3</v>
      </c>
      <c r="H401">
        <v>10</v>
      </c>
      <c r="I401" t="s">
        <v>243</v>
      </c>
    </row>
    <row r="402" spans="1:9" x14ac:dyDescent="0.3">
      <c r="A402">
        <v>153</v>
      </c>
      <c r="B402">
        <v>10</v>
      </c>
      <c r="C402" t="s">
        <v>34</v>
      </c>
      <c r="D402" t="s">
        <v>616</v>
      </c>
      <c r="E402">
        <v>25</v>
      </c>
      <c r="F402">
        <v>40</v>
      </c>
      <c r="G402">
        <v>2</v>
      </c>
      <c r="H402">
        <v>26</v>
      </c>
      <c r="I402" t="s">
        <v>242</v>
      </c>
    </row>
    <row r="403" spans="1:9" x14ac:dyDescent="0.3">
      <c r="A403">
        <v>153</v>
      </c>
      <c r="B403">
        <v>10</v>
      </c>
      <c r="C403" t="s">
        <v>75</v>
      </c>
      <c r="D403" t="s">
        <v>612</v>
      </c>
      <c r="E403">
        <v>14</v>
      </c>
      <c r="F403">
        <v>24</v>
      </c>
      <c r="G403">
        <v>1</v>
      </c>
      <c r="H403">
        <v>53</v>
      </c>
      <c r="I403" t="s">
        <v>243</v>
      </c>
    </row>
    <row r="404" spans="1:9" x14ac:dyDescent="0.3">
      <c r="A404">
        <v>154</v>
      </c>
      <c r="B404">
        <v>11</v>
      </c>
      <c r="C404" t="s">
        <v>44</v>
      </c>
      <c r="D404" t="s">
        <v>617</v>
      </c>
      <c r="E404">
        <v>22</v>
      </c>
      <c r="F404">
        <v>36</v>
      </c>
      <c r="G404">
        <v>3</v>
      </c>
      <c r="H404">
        <v>52</v>
      </c>
      <c r="I404" t="s">
        <v>242</v>
      </c>
    </row>
    <row r="405" spans="1:9" x14ac:dyDescent="0.3">
      <c r="A405">
        <v>154</v>
      </c>
      <c r="B405">
        <v>11</v>
      </c>
      <c r="C405" t="s">
        <v>46</v>
      </c>
      <c r="D405" t="s">
        <v>629</v>
      </c>
      <c r="E405">
        <v>10</v>
      </c>
      <c r="F405">
        <v>18</v>
      </c>
      <c r="G405">
        <v>2</v>
      </c>
      <c r="H405">
        <v>30</v>
      </c>
      <c r="I405" t="s">
        <v>242</v>
      </c>
    </row>
    <row r="406" spans="1:9" x14ac:dyDescent="0.3">
      <c r="A406">
        <v>155</v>
      </c>
      <c r="B406">
        <v>7</v>
      </c>
      <c r="C406" t="s">
        <v>56</v>
      </c>
      <c r="D406" t="s">
        <v>614</v>
      </c>
      <c r="E406">
        <v>19</v>
      </c>
      <c r="F406">
        <v>31</v>
      </c>
      <c r="G406">
        <v>2</v>
      </c>
      <c r="H406">
        <v>43</v>
      </c>
      <c r="I406" t="s">
        <v>242</v>
      </c>
    </row>
    <row r="407" spans="1:9" x14ac:dyDescent="0.3">
      <c r="A407">
        <v>155</v>
      </c>
      <c r="B407">
        <v>7</v>
      </c>
      <c r="C407" t="s">
        <v>66</v>
      </c>
      <c r="D407" t="s">
        <v>626</v>
      </c>
      <c r="E407">
        <v>12</v>
      </c>
      <c r="F407">
        <v>20</v>
      </c>
      <c r="G407">
        <v>1</v>
      </c>
      <c r="H407">
        <v>33</v>
      </c>
      <c r="I407" t="s">
        <v>243</v>
      </c>
    </row>
    <row r="408" spans="1:9" x14ac:dyDescent="0.3">
      <c r="A408">
        <v>155</v>
      </c>
      <c r="B408">
        <v>7</v>
      </c>
      <c r="C408" t="s">
        <v>50</v>
      </c>
      <c r="D408" t="s">
        <v>615</v>
      </c>
      <c r="E408">
        <v>16</v>
      </c>
      <c r="F408">
        <v>27</v>
      </c>
      <c r="G408">
        <v>2</v>
      </c>
      <c r="H408">
        <v>24</v>
      </c>
      <c r="I408" t="s">
        <v>243</v>
      </c>
    </row>
    <row r="409" spans="1:9" x14ac:dyDescent="0.3">
      <c r="A409">
        <v>156</v>
      </c>
      <c r="B409">
        <v>6</v>
      </c>
      <c r="C409" t="s">
        <v>30</v>
      </c>
      <c r="D409" t="s">
        <v>620</v>
      </c>
      <c r="E409">
        <v>16</v>
      </c>
      <c r="F409">
        <v>28</v>
      </c>
      <c r="G409">
        <v>2</v>
      </c>
      <c r="H409">
        <v>6</v>
      </c>
      <c r="I409" t="s">
        <v>242</v>
      </c>
    </row>
    <row r="410" spans="1:9" x14ac:dyDescent="0.3">
      <c r="A410">
        <v>157</v>
      </c>
      <c r="B410">
        <v>13</v>
      </c>
      <c r="C410" t="s">
        <v>60</v>
      </c>
      <c r="D410" t="s">
        <v>631</v>
      </c>
      <c r="E410">
        <v>15</v>
      </c>
      <c r="F410">
        <v>25</v>
      </c>
      <c r="G410">
        <v>3</v>
      </c>
      <c r="H410">
        <v>48</v>
      </c>
      <c r="I410" t="s">
        <v>243</v>
      </c>
    </row>
    <row r="411" spans="1:9" x14ac:dyDescent="0.3">
      <c r="A411">
        <v>157</v>
      </c>
      <c r="B411">
        <v>13</v>
      </c>
      <c r="C411" t="s">
        <v>30</v>
      </c>
      <c r="D411" t="s">
        <v>620</v>
      </c>
      <c r="E411">
        <v>16</v>
      </c>
      <c r="F411">
        <v>28</v>
      </c>
      <c r="G411">
        <v>1</v>
      </c>
      <c r="H411">
        <v>54</v>
      </c>
      <c r="I411" t="s">
        <v>243</v>
      </c>
    </row>
    <row r="412" spans="1:9" x14ac:dyDescent="0.3">
      <c r="A412">
        <v>157</v>
      </c>
      <c r="B412">
        <v>13</v>
      </c>
      <c r="C412" t="s">
        <v>44</v>
      </c>
      <c r="D412" t="s">
        <v>617</v>
      </c>
      <c r="E412">
        <v>22</v>
      </c>
      <c r="F412">
        <v>36</v>
      </c>
      <c r="G412">
        <v>3</v>
      </c>
      <c r="H412">
        <v>21</v>
      </c>
      <c r="I412" t="s">
        <v>242</v>
      </c>
    </row>
    <row r="413" spans="1:9" x14ac:dyDescent="0.3">
      <c r="A413">
        <v>157</v>
      </c>
      <c r="B413">
        <v>13</v>
      </c>
      <c r="C413" t="s">
        <v>40</v>
      </c>
      <c r="D413" t="s">
        <v>613</v>
      </c>
      <c r="E413">
        <v>18</v>
      </c>
      <c r="F413">
        <v>30</v>
      </c>
      <c r="G413">
        <v>2</v>
      </c>
      <c r="H413">
        <v>27</v>
      </c>
      <c r="I413" t="s">
        <v>242</v>
      </c>
    </row>
    <row r="414" spans="1:9" x14ac:dyDescent="0.3">
      <c r="A414">
        <v>158</v>
      </c>
      <c r="B414">
        <v>5</v>
      </c>
      <c r="C414" t="s">
        <v>71</v>
      </c>
      <c r="D414" t="s">
        <v>630</v>
      </c>
      <c r="E414">
        <v>15</v>
      </c>
      <c r="F414">
        <v>26</v>
      </c>
      <c r="G414">
        <v>3</v>
      </c>
      <c r="H414">
        <v>55</v>
      </c>
      <c r="I414" t="s">
        <v>242</v>
      </c>
    </row>
    <row r="415" spans="1:9" x14ac:dyDescent="0.3">
      <c r="A415">
        <v>158</v>
      </c>
      <c r="B415">
        <v>5</v>
      </c>
      <c r="C415" t="s">
        <v>53</v>
      </c>
      <c r="D415" t="s">
        <v>621</v>
      </c>
      <c r="E415">
        <v>11</v>
      </c>
      <c r="F415">
        <v>19</v>
      </c>
      <c r="G415">
        <v>1</v>
      </c>
      <c r="H415">
        <v>57</v>
      </c>
      <c r="I415" t="s">
        <v>242</v>
      </c>
    </row>
    <row r="416" spans="1:9" x14ac:dyDescent="0.3">
      <c r="A416">
        <v>158</v>
      </c>
      <c r="B416">
        <v>5</v>
      </c>
      <c r="C416" t="s">
        <v>44</v>
      </c>
      <c r="D416" t="s">
        <v>617</v>
      </c>
      <c r="E416">
        <v>22</v>
      </c>
      <c r="F416">
        <v>36</v>
      </c>
      <c r="G416">
        <v>3</v>
      </c>
      <c r="H416">
        <v>7</v>
      </c>
      <c r="I416" t="s">
        <v>242</v>
      </c>
    </row>
    <row r="417" spans="1:9" x14ac:dyDescent="0.3">
      <c r="A417">
        <v>158</v>
      </c>
      <c r="B417">
        <v>5</v>
      </c>
      <c r="C417" t="s">
        <v>19</v>
      </c>
      <c r="D417" t="s">
        <v>622</v>
      </c>
      <c r="E417">
        <v>21</v>
      </c>
      <c r="F417">
        <v>35</v>
      </c>
      <c r="G417">
        <v>3</v>
      </c>
      <c r="H417">
        <v>16</v>
      </c>
      <c r="I417" t="s">
        <v>243</v>
      </c>
    </row>
    <row r="418" spans="1:9" x14ac:dyDescent="0.3">
      <c r="A418">
        <v>159</v>
      </c>
      <c r="B418">
        <v>16</v>
      </c>
      <c r="C418" t="s">
        <v>112</v>
      </c>
      <c r="D418" t="s">
        <v>619</v>
      </c>
      <c r="E418">
        <v>20</v>
      </c>
      <c r="F418">
        <v>33</v>
      </c>
      <c r="G418">
        <v>3</v>
      </c>
      <c r="H418">
        <v>40</v>
      </c>
      <c r="I418" t="s">
        <v>242</v>
      </c>
    </row>
    <row r="419" spans="1:9" x14ac:dyDescent="0.3">
      <c r="A419">
        <v>159</v>
      </c>
      <c r="B419">
        <v>16</v>
      </c>
      <c r="C419" t="s">
        <v>56</v>
      </c>
      <c r="D419" t="s">
        <v>614</v>
      </c>
      <c r="E419">
        <v>19</v>
      </c>
      <c r="F419">
        <v>31</v>
      </c>
      <c r="G419">
        <v>1</v>
      </c>
      <c r="H419">
        <v>5</v>
      </c>
      <c r="I419" t="s">
        <v>242</v>
      </c>
    </row>
    <row r="420" spans="1:9" x14ac:dyDescent="0.3">
      <c r="A420">
        <v>159</v>
      </c>
      <c r="B420">
        <v>16</v>
      </c>
      <c r="C420" t="s">
        <v>46</v>
      </c>
      <c r="D420" t="s">
        <v>629</v>
      </c>
      <c r="E420">
        <v>10</v>
      </c>
      <c r="F420">
        <v>18</v>
      </c>
      <c r="G420">
        <v>2</v>
      </c>
      <c r="H420">
        <v>6</v>
      </c>
      <c r="I420" t="s">
        <v>242</v>
      </c>
    </row>
    <row r="421" spans="1:9" x14ac:dyDescent="0.3">
      <c r="A421">
        <v>159</v>
      </c>
      <c r="B421">
        <v>16</v>
      </c>
      <c r="C421" t="s">
        <v>26</v>
      </c>
      <c r="D421" t="s">
        <v>618</v>
      </c>
      <c r="E421">
        <v>17</v>
      </c>
      <c r="F421">
        <v>29</v>
      </c>
      <c r="G421">
        <v>3</v>
      </c>
      <c r="H421">
        <v>23</v>
      </c>
      <c r="I421" t="s">
        <v>243</v>
      </c>
    </row>
    <row r="422" spans="1:9" x14ac:dyDescent="0.3">
      <c r="A422">
        <v>160</v>
      </c>
      <c r="B422">
        <v>19</v>
      </c>
      <c r="C422" t="s">
        <v>44</v>
      </c>
      <c r="D422" t="s">
        <v>617</v>
      </c>
      <c r="E422">
        <v>22</v>
      </c>
      <c r="F422">
        <v>36</v>
      </c>
      <c r="G422">
        <v>3</v>
      </c>
      <c r="H422">
        <v>20</v>
      </c>
      <c r="I422" t="s">
        <v>242</v>
      </c>
    </row>
    <row r="423" spans="1:9" x14ac:dyDescent="0.3">
      <c r="A423">
        <v>160</v>
      </c>
      <c r="B423">
        <v>19</v>
      </c>
      <c r="C423" t="s">
        <v>75</v>
      </c>
      <c r="D423" t="s">
        <v>612</v>
      </c>
      <c r="E423">
        <v>14</v>
      </c>
      <c r="F423">
        <v>24</v>
      </c>
      <c r="G423">
        <v>2</v>
      </c>
      <c r="H423">
        <v>47</v>
      </c>
      <c r="I423" t="s">
        <v>242</v>
      </c>
    </row>
    <row r="424" spans="1:9" x14ac:dyDescent="0.3">
      <c r="A424">
        <v>161</v>
      </c>
      <c r="B424">
        <v>13</v>
      </c>
      <c r="C424" t="s">
        <v>30</v>
      </c>
      <c r="D424" t="s">
        <v>620</v>
      </c>
      <c r="E424">
        <v>16</v>
      </c>
      <c r="F424">
        <v>28</v>
      </c>
      <c r="G424">
        <v>3</v>
      </c>
      <c r="H424">
        <v>57</v>
      </c>
      <c r="I424" t="s">
        <v>242</v>
      </c>
    </row>
    <row r="425" spans="1:9" x14ac:dyDescent="0.3">
      <c r="A425">
        <v>162</v>
      </c>
      <c r="B425">
        <v>14</v>
      </c>
      <c r="C425" t="s">
        <v>75</v>
      </c>
      <c r="D425" t="s">
        <v>612</v>
      </c>
      <c r="E425">
        <v>14</v>
      </c>
      <c r="F425">
        <v>24</v>
      </c>
      <c r="G425">
        <v>3</v>
      </c>
      <c r="H425">
        <v>25</v>
      </c>
      <c r="I425" t="s">
        <v>242</v>
      </c>
    </row>
    <row r="426" spans="1:9" x14ac:dyDescent="0.3">
      <c r="A426">
        <v>163</v>
      </c>
      <c r="B426">
        <v>6</v>
      </c>
      <c r="C426" t="s">
        <v>112</v>
      </c>
      <c r="D426" t="s">
        <v>619</v>
      </c>
      <c r="E426">
        <v>20</v>
      </c>
      <c r="F426">
        <v>33</v>
      </c>
      <c r="G426">
        <v>2</v>
      </c>
      <c r="H426">
        <v>40</v>
      </c>
      <c r="I426" t="s">
        <v>243</v>
      </c>
    </row>
    <row r="427" spans="1:9" x14ac:dyDescent="0.3">
      <c r="A427">
        <v>163</v>
      </c>
      <c r="B427">
        <v>6</v>
      </c>
      <c r="C427" t="s">
        <v>56</v>
      </c>
      <c r="D427" t="s">
        <v>614</v>
      </c>
      <c r="E427">
        <v>19</v>
      </c>
      <c r="F427">
        <v>31</v>
      </c>
      <c r="G427">
        <v>3</v>
      </c>
      <c r="H427">
        <v>8</v>
      </c>
      <c r="I427" t="s">
        <v>243</v>
      </c>
    </row>
    <row r="428" spans="1:9" x14ac:dyDescent="0.3">
      <c r="A428">
        <v>163</v>
      </c>
      <c r="B428">
        <v>6</v>
      </c>
      <c r="C428" t="s">
        <v>40</v>
      </c>
      <c r="D428" t="s">
        <v>613</v>
      </c>
      <c r="E428">
        <v>18</v>
      </c>
      <c r="F428">
        <v>30</v>
      </c>
      <c r="G428">
        <v>3</v>
      </c>
      <c r="H428">
        <v>16</v>
      </c>
      <c r="I428" t="s">
        <v>243</v>
      </c>
    </row>
    <row r="429" spans="1:9" x14ac:dyDescent="0.3">
      <c r="A429">
        <v>163</v>
      </c>
      <c r="B429">
        <v>6</v>
      </c>
      <c r="C429" t="s">
        <v>92</v>
      </c>
      <c r="D429" t="s">
        <v>624</v>
      </c>
      <c r="E429">
        <v>13</v>
      </c>
      <c r="F429">
        <v>22</v>
      </c>
      <c r="G429">
        <v>1</v>
      </c>
      <c r="H429">
        <v>7</v>
      </c>
      <c r="I429" t="s">
        <v>242</v>
      </c>
    </row>
    <row r="430" spans="1:9" x14ac:dyDescent="0.3">
      <c r="A430">
        <v>164</v>
      </c>
      <c r="B430">
        <v>8</v>
      </c>
      <c r="C430" t="s">
        <v>105</v>
      </c>
      <c r="D430" t="s">
        <v>623</v>
      </c>
      <c r="E430">
        <v>19</v>
      </c>
      <c r="F430">
        <v>32</v>
      </c>
      <c r="G430">
        <v>2</v>
      </c>
      <c r="H430">
        <v>20</v>
      </c>
      <c r="I430" t="s">
        <v>242</v>
      </c>
    </row>
    <row r="431" spans="1:9" x14ac:dyDescent="0.3">
      <c r="A431">
        <v>164</v>
      </c>
      <c r="B431">
        <v>8</v>
      </c>
      <c r="C431" t="s">
        <v>44</v>
      </c>
      <c r="D431" t="s">
        <v>617</v>
      </c>
      <c r="E431">
        <v>22</v>
      </c>
      <c r="F431">
        <v>36</v>
      </c>
      <c r="G431">
        <v>1</v>
      </c>
      <c r="H431">
        <v>7</v>
      </c>
      <c r="I431" t="s">
        <v>242</v>
      </c>
    </row>
    <row r="432" spans="1:9" x14ac:dyDescent="0.3">
      <c r="A432">
        <v>164</v>
      </c>
      <c r="B432">
        <v>8</v>
      </c>
      <c r="C432" t="s">
        <v>92</v>
      </c>
      <c r="D432" t="s">
        <v>624</v>
      </c>
      <c r="E432">
        <v>13</v>
      </c>
      <c r="F432">
        <v>22</v>
      </c>
      <c r="G432">
        <v>1</v>
      </c>
      <c r="H432">
        <v>43</v>
      </c>
      <c r="I432" t="s">
        <v>243</v>
      </c>
    </row>
    <row r="433" spans="1:9" x14ac:dyDescent="0.3">
      <c r="A433">
        <v>164</v>
      </c>
      <c r="B433">
        <v>8</v>
      </c>
      <c r="C433" t="s">
        <v>75</v>
      </c>
      <c r="D433" t="s">
        <v>612</v>
      </c>
      <c r="E433">
        <v>14</v>
      </c>
      <c r="F433">
        <v>24</v>
      </c>
      <c r="G433">
        <v>2</v>
      </c>
      <c r="H433">
        <v>35</v>
      </c>
      <c r="I433" t="s">
        <v>242</v>
      </c>
    </row>
    <row r="434" spans="1:9" x14ac:dyDescent="0.3">
      <c r="A434">
        <v>165</v>
      </c>
      <c r="B434">
        <v>10</v>
      </c>
      <c r="C434" t="s">
        <v>42</v>
      </c>
      <c r="D434" t="s">
        <v>628</v>
      </c>
      <c r="E434">
        <v>13</v>
      </c>
      <c r="F434">
        <v>21</v>
      </c>
      <c r="G434">
        <v>2</v>
      </c>
      <c r="H434">
        <v>41</v>
      </c>
      <c r="I434" t="s">
        <v>242</v>
      </c>
    </row>
    <row r="435" spans="1:9" x14ac:dyDescent="0.3">
      <c r="A435">
        <v>165</v>
      </c>
      <c r="B435">
        <v>10</v>
      </c>
      <c r="C435" t="s">
        <v>75</v>
      </c>
      <c r="D435" t="s">
        <v>612</v>
      </c>
      <c r="E435">
        <v>14</v>
      </c>
      <c r="F435">
        <v>24</v>
      </c>
      <c r="G435">
        <v>2</v>
      </c>
      <c r="H435">
        <v>15</v>
      </c>
      <c r="I435" t="s">
        <v>243</v>
      </c>
    </row>
    <row r="436" spans="1:9" x14ac:dyDescent="0.3">
      <c r="A436">
        <v>166</v>
      </c>
      <c r="B436">
        <v>12</v>
      </c>
      <c r="C436" t="s">
        <v>89</v>
      </c>
      <c r="D436" t="s">
        <v>627</v>
      </c>
      <c r="E436">
        <v>14</v>
      </c>
      <c r="F436">
        <v>23</v>
      </c>
      <c r="G436">
        <v>2</v>
      </c>
      <c r="H436">
        <v>22</v>
      </c>
      <c r="I436" t="s">
        <v>243</v>
      </c>
    </row>
    <row r="437" spans="1:9" x14ac:dyDescent="0.3">
      <c r="A437">
        <v>167</v>
      </c>
      <c r="B437">
        <v>5</v>
      </c>
      <c r="C437" t="s">
        <v>53</v>
      </c>
      <c r="D437" t="s">
        <v>621</v>
      </c>
      <c r="E437">
        <v>11</v>
      </c>
      <c r="F437">
        <v>19</v>
      </c>
      <c r="G437">
        <v>1</v>
      </c>
      <c r="H437">
        <v>29</v>
      </c>
      <c r="I437" t="s">
        <v>242</v>
      </c>
    </row>
    <row r="438" spans="1:9" x14ac:dyDescent="0.3">
      <c r="A438">
        <v>167</v>
      </c>
      <c r="B438">
        <v>5</v>
      </c>
      <c r="C438" t="s">
        <v>56</v>
      </c>
      <c r="D438" t="s">
        <v>614</v>
      </c>
      <c r="E438">
        <v>19</v>
      </c>
      <c r="F438">
        <v>31</v>
      </c>
      <c r="G438">
        <v>1</v>
      </c>
      <c r="H438">
        <v>36</v>
      </c>
      <c r="I438" t="s">
        <v>243</v>
      </c>
    </row>
    <row r="439" spans="1:9" x14ac:dyDescent="0.3">
      <c r="A439">
        <v>167</v>
      </c>
      <c r="B439">
        <v>5</v>
      </c>
      <c r="C439" t="s">
        <v>38</v>
      </c>
      <c r="D439" t="s">
        <v>625</v>
      </c>
      <c r="E439">
        <v>20</v>
      </c>
      <c r="F439">
        <v>34</v>
      </c>
      <c r="G439">
        <v>3</v>
      </c>
      <c r="H439">
        <v>11</v>
      </c>
      <c r="I439" t="s">
        <v>242</v>
      </c>
    </row>
    <row r="440" spans="1:9" x14ac:dyDescent="0.3">
      <c r="A440">
        <v>168</v>
      </c>
      <c r="B440">
        <v>17</v>
      </c>
      <c r="C440" t="s">
        <v>92</v>
      </c>
      <c r="D440" t="s">
        <v>624</v>
      </c>
      <c r="E440">
        <v>13</v>
      </c>
      <c r="F440">
        <v>22</v>
      </c>
      <c r="G440">
        <v>2</v>
      </c>
      <c r="H440">
        <v>7</v>
      </c>
      <c r="I440" t="s">
        <v>243</v>
      </c>
    </row>
    <row r="441" spans="1:9" x14ac:dyDescent="0.3">
      <c r="A441">
        <v>169</v>
      </c>
      <c r="B441">
        <v>19</v>
      </c>
      <c r="C441" t="s">
        <v>42</v>
      </c>
      <c r="D441" t="s">
        <v>628</v>
      </c>
      <c r="E441">
        <v>13</v>
      </c>
      <c r="F441">
        <v>21</v>
      </c>
      <c r="G441">
        <v>2</v>
      </c>
      <c r="H441">
        <v>44</v>
      </c>
      <c r="I441" t="s">
        <v>243</v>
      </c>
    </row>
    <row r="442" spans="1:9" x14ac:dyDescent="0.3">
      <c r="A442">
        <v>169</v>
      </c>
      <c r="B442">
        <v>19</v>
      </c>
      <c r="C442" t="s">
        <v>38</v>
      </c>
      <c r="D442" t="s">
        <v>625</v>
      </c>
      <c r="E442">
        <v>20</v>
      </c>
      <c r="F442">
        <v>34</v>
      </c>
      <c r="G442">
        <v>2</v>
      </c>
      <c r="H442">
        <v>59</v>
      </c>
      <c r="I442" t="s">
        <v>243</v>
      </c>
    </row>
    <row r="443" spans="1:9" x14ac:dyDescent="0.3">
      <c r="A443">
        <v>169</v>
      </c>
      <c r="B443">
        <v>19</v>
      </c>
      <c r="C443" t="s">
        <v>92</v>
      </c>
      <c r="D443" t="s">
        <v>624</v>
      </c>
      <c r="E443">
        <v>13</v>
      </c>
      <c r="F443">
        <v>22</v>
      </c>
      <c r="G443">
        <v>2</v>
      </c>
      <c r="H443">
        <v>7</v>
      </c>
      <c r="I443" t="s">
        <v>242</v>
      </c>
    </row>
    <row r="444" spans="1:9" x14ac:dyDescent="0.3">
      <c r="A444">
        <v>170</v>
      </c>
      <c r="B444">
        <v>12</v>
      </c>
      <c r="C444" t="s">
        <v>44</v>
      </c>
      <c r="D444" t="s">
        <v>617</v>
      </c>
      <c r="E444">
        <v>22</v>
      </c>
      <c r="F444">
        <v>36</v>
      </c>
      <c r="G444">
        <v>1</v>
      </c>
      <c r="H444">
        <v>33</v>
      </c>
      <c r="I444" t="s">
        <v>243</v>
      </c>
    </row>
    <row r="445" spans="1:9" x14ac:dyDescent="0.3">
      <c r="A445">
        <v>170</v>
      </c>
      <c r="B445">
        <v>12</v>
      </c>
      <c r="C445" t="s">
        <v>40</v>
      </c>
      <c r="D445" t="s">
        <v>613</v>
      </c>
      <c r="E445">
        <v>18</v>
      </c>
      <c r="F445">
        <v>30</v>
      </c>
      <c r="G445">
        <v>2</v>
      </c>
      <c r="H445">
        <v>8</v>
      </c>
      <c r="I445" t="s">
        <v>243</v>
      </c>
    </row>
    <row r="446" spans="1:9" x14ac:dyDescent="0.3">
      <c r="A446">
        <v>170</v>
      </c>
      <c r="B446">
        <v>12</v>
      </c>
      <c r="C446" t="s">
        <v>66</v>
      </c>
      <c r="D446" t="s">
        <v>626</v>
      </c>
      <c r="E446">
        <v>12</v>
      </c>
      <c r="F446">
        <v>20</v>
      </c>
      <c r="G446">
        <v>3</v>
      </c>
      <c r="H446">
        <v>16</v>
      </c>
      <c r="I446" t="s">
        <v>242</v>
      </c>
    </row>
    <row r="447" spans="1:9" x14ac:dyDescent="0.3">
      <c r="A447">
        <v>170</v>
      </c>
      <c r="B447">
        <v>12</v>
      </c>
      <c r="C447" t="s">
        <v>26</v>
      </c>
      <c r="D447" t="s">
        <v>618</v>
      </c>
      <c r="E447">
        <v>17</v>
      </c>
      <c r="F447">
        <v>29</v>
      </c>
      <c r="G447">
        <v>3</v>
      </c>
      <c r="H447">
        <v>16</v>
      </c>
      <c r="I447" t="s">
        <v>242</v>
      </c>
    </row>
    <row r="448" spans="1:9" x14ac:dyDescent="0.3">
      <c r="A448">
        <v>171</v>
      </c>
      <c r="B448">
        <v>16</v>
      </c>
      <c r="C448" t="s">
        <v>71</v>
      </c>
      <c r="D448" t="s">
        <v>630</v>
      </c>
      <c r="E448">
        <v>15</v>
      </c>
      <c r="F448">
        <v>26</v>
      </c>
      <c r="G448">
        <v>2</v>
      </c>
      <c r="H448">
        <v>29</v>
      </c>
      <c r="I448" t="s">
        <v>242</v>
      </c>
    </row>
    <row r="449" spans="1:9" x14ac:dyDescent="0.3">
      <c r="A449">
        <v>171</v>
      </c>
      <c r="B449">
        <v>16</v>
      </c>
      <c r="C449" t="s">
        <v>26</v>
      </c>
      <c r="D449" t="s">
        <v>618</v>
      </c>
      <c r="E449">
        <v>17</v>
      </c>
      <c r="F449">
        <v>29</v>
      </c>
      <c r="G449">
        <v>3</v>
      </c>
      <c r="H449">
        <v>22</v>
      </c>
      <c r="I449" t="s">
        <v>243</v>
      </c>
    </row>
    <row r="450" spans="1:9" x14ac:dyDescent="0.3">
      <c r="A450">
        <v>172</v>
      </c>
      <c r="B450">
        <v>12</v>
      </c>
      <c r="C450" t="s">
        <v>38</v>
      </c>
      <c r="D450" t="s">
        <v>625</v>
      </c>
      <c r="E450">
        <v>20</v>
      </c>
      <c r="F450">
        <v>34</v>
      </c>
      <c r="G450">
        <v>2</v>
      </c>
      <c r="H450">
        <v>27</v>
      </c>
      <c r="I450" t="s">
        <v>243</v>
      </c>
    </row>
    <row r="451" spans="1:9" x14ac:dyDescent="0.3">
      <c r="A451">
        <v>173</v>
      </c>
      <c r="B451">
        <v>11</v>
      </c>
      <c r="C451" t="s">
        <v>105</v>
      </c>
      <c r="D451" t="s">
        <v>623</v>
      </c>
      <c r="E451">
        <v>19</v>
      </c>
      <c r="F451">
        <v>32</v>
      </c>
      <c r="G451">
        <v>3</v>
      </c>
      <c r="H451">
        <v>52</v>
      </c>
      <c r="I451" t="s">
        <v>243</v>
      </c>
    </row>
    <row r="452" spans="1:9" x14ac:dyDescent="0.3">
      <c r="A452">
        <v>173</v>
      </c>
      <c r="B452">
        <v>11</v>
      </c>
      <c r="C452" t="s">
        <v>50</v>
      </c>
      <c r="D452" t="s">
        <v>615</v>
      </c>
      <c r="E452">
        <v>16</v>
      </c>
      <c r="F452">
        <v>27</v>
      </c>
      <c r="G452">
        <v>3</v>
      </c>
      <c r="H452">
        <v>15</v>
      </c>
      <c r="I452" t="s">
        <v>243</v>
      </c>
    </row>
    <row r="453" spans="1:9" x14ac:dyDescent="0.3">
      <c r="A453">
        <v>174</v>
      </c>
      <c r="B453">
        <v>10</v>
      </c>
      <c r="C453" t="s">
        <v>40</v>
      </c>
      <c r="D453" t="s">
        <v>613</v>
      </c>
      <c r="E453">
        <v>18</v>
      </c>
      <c r="F453">
        <v>30</v>
      </c>
      <c r="G453">
        <v>2</v>
      </c>
      <c r="H453">
        <v>12</v>
      </c>
      <c r="I453" t="s">
        <v>243</v>
      </c>
    </row>
    <row r="454" spans="1:9" x14ac:dyDescent="0.3">
      <c r="A454">
        <v>175</v>
      </c>
      <c r="B454">
        <v>14</v>
      </c>
      <c r="C454" t="s">
        <v>105</v>
      </c>
      <c r="D454" t="s">
        <v>623</v>
      </c>
      <c r="E454">
        <v>19</v>
      </c>
      <c r="F454">
        <v>32</v>
      </c>
      <c r="G454">
        <v>3</v>
      </c>
      <c r="H454">
        <v>9</v>
      </c>
      <c r="I454" t="s">
        <v>243</v>
      </c>
    </row>
    <row r="455" spans="1:9" x14ac:dyDescent="0.3">
      <c r="A455">
        <v>175</v>
      </c>
      <c r="B455">
        <v>14</v>
      </c>
      <c r="C455" t="s">
        <v>75</v>
      </c>
      <c r="D455" t="s">
        <v>612</v>
      </c>
      <c r="E455">
        <v>14</v>
      </c>
      <c r="F455">
        <v>24</v>
      </c>
      <c r="G455">
        <v>2</v>
      </c>
      <c r="H455">
        <v>38</v>
      </c>
      <c r="I455" t="s">
        <v>242</v>
      </c>
    </row>
    <row r="456" spans="1:9" x14ac:dyDescent="0.3">
      <c r="A456">
        <v>176</v>
      </c>
      <c r="B456">
        <v>20</v>
      </c>
      <c r="C456" t="s">
        <v>42</v>
      </c>
      <c r="D456" t="s">
        <v>628</v>
      </c>
      <c r="E456">
        <v>13</v>
      </c>
      <c r="F456">
        <v>21</v>
      </c>
      <c r="G456">
        <v>3</v>
      </c>
      <c r="H456">
        <v>48</v>
      </c>
      <c r="I456" t="s">
        <v>243</v>
      </c>
    </row>
    <row r="457" spans="1:9" x14ac:dyDescent="0.3">
      <c r="A457">
        <v>177</v>
      </c>
      <c r="B457">
        <v>4</v>
      </c>
      <c r="C457" t="s">
        <v>71</v>
      </c>
      <c r="D457" t="s">
        <v>630</v>
      </c>
      <c r="E457">
        <v>15</v>
      </c>
      <c r="F457">
        <v>26</v>
      </c>
      <c r="G457">
        <v>1</v>
      </c>
      <c r="H457">
        <v>40</v>
      </c>
      <c r="I457" t="s">
        <v>242</v>
      </c>
    </row>
    <row r="458" spans="1:9" x14ac:dyDescent="0.3">
      <c r="A458">
        <v>177</v>
      </c>
      <c r="B458">
        <v>4</v>
      </c>
      <c r="C458" t="s">
        <v>53</v>
      </c>
      <c r="D458" t="s">
        <v>621</v>
      </c>
      <c r="E458">
        <v>11</v>
      </c>
      <c r="F458">
        <v>19</v>
      </c>
      <c r="G458">
        <v>3</v>
      </c>
      <c r="H458">
        <v>47</v>
      </c>
      <c r="I458" t="s">
        <v>242</v>
      </c>
    </row>
    <row r="459" spans="1:9" x14ac:dyDescent="0.3">
      <c r="A459">
        <v>177</v>
      </c>
      <c r="B459">
        <v>4</v>
      </c>
      <c r="C459" t="s">
        <v>42</v>
      </c>
      <c r="D459" t="s">
        <v>628</v>
      </c>
      <c r="E459">
        <v>13</v>
      </c>
      <c r="F459">
        <v>21</v>
      </c>
      <c r="G459">
        <v>2</v>
      </c>
      <c r="H459">
        <v>45</v>
      </c>
      <c r="I459" t="s">
        <v>243</v>
      </c>
    </row>
    <row r="460" spans="1:9" x14ac:dyDescent="0.3">
      <c r="A460">
        <v>177</v>
      </c>
      <c r="B460">
        <v>4</v>
      </c>
      <c r="C460" t="s">
        <v>75</v>
      </c>
      <c r="D460" t="s">
        <v>612</v>
      </c>
      <c r="E460">
        <v>14</v>
      </c>
      <c r="F460">
        <v>24</v>
      </c>
      <c r="G460">
        <v>2</v>
      </c>
      <c r="H460">
        <v>10</v>
      </c>
      <c r="I460" t="s">
        <v>243</v>
      </c>
    </row>
    <row r="461" spans="1:9" x14ac:dyDescent="0.3">
      <c r="A461">
        <v>178</v>
      </c>
      <c r="B461">
        <v>11</v>
      </c>
      <c r="C461" t="s">
        <v>112</v>
      </c>
      <c r="D461" t="s">
        <v>619</v>
      </c>
      <c r="E461">
        <v>20</v>
      </c>
      <c r="F461">
        <v>33</v>
      </c>
      <c r="G461">
        <v>3</v>
      </c>
      <c r="H461">
        <v>55</v>
      </c>
      <c r="I461" t="s">
        <v>242</v>
      </c>
    </row>
    <row r="462" spans="1:9" x14ac:dyDescent="0.3">
      <c r="A462">
        <v>178</v>
      </c>
      <c r="B462">
        <v>11</v>
      </c>
      <c r="C462" t="s">
        <v>40</v>
      </c>
      <c r="D462" t="s">
        <v>613</v>
      </c>
      <c r="E462">
        <v>18</v>
      </c>
      <c r="F462">
        <v>30</v>
      </c>
      <c r="G462">
        <v>1</v>
      </c>
      <c r="H462">
        <v>55</v>
      </c>
      <c r="I462" t="s">
        <v>243</v>
      </c>
    </row>
    <row r="463" spans="1:9" x14ac:dyDescent="0.3">
      <c r="A463">
        <v>178</v>
      </c>
      <c r="B463">
        <v>11</v>
      </c>
      <c r="C463" t="s">
        <v>92</v>
      </c>
      <c r="D463" t="s">
        <v>624</v>
      </c>
      <c r="E463">
        <v>13</v>
      </c>
      <c r="F463">
        <v>22</v>
      </c>
      <c r="G463">
        <v>2</v>
      </c>
      <c r="H463">
        <v>20</v>
      </c>
      <c r="I463" t="s">
        <v>242</v>
      </c>
    </row>
    <row r="464" spans="1:9" x14ac:dyDescent="0.3">
      <c r="A464">
        <v>178</v>
      </c>
      <c r="B464">
        <v>11</v>
      </c>
      <c r="C464" t="s">
        <v>19</v>
      </c>
      <c r="D464" t="s">
        <v>622</v>
      </c>
      <c r="E464">
        <v>21</v>
      </c>
      <c r="F464">
        <v>35</v>
      </c>
      <c r="G464">
        <v>1</v>
      </c>
      <c r="H464">
        <v>16</v>
      </c>
      <c r="I464" t="s">
        <v>243</v>
      </c>
    </row>
    <row r="465" spans="1:9" x14ac:dyDescent="0.3">
      <c r="A465">
        <v>179</v>
      </c>
      <c r="B465">
        <v>12</v>
      </c>
      <c r="C465" t="s">
        <v>56</v>
      </c>
      <c r="D465" t="s">
        <v>614</v>
      </c>
      <c r="E465">
        <v>19</v>
      </c>
      <c r="F465">
        <v>31</v>
      </c>
      <c r="G465">
        <v>2</v>
      </c>
      <c r="H465">
        <v>26</v>
      </c>
      <c r="I465" t="s">
        <v>242</v>
      </c>
    </row>
    <row r="466" spans="1:9" x14ac:dyDescent="0.3">
      <c r="A466">
        <v>180</v>
      </c>
      <c r="B466">
        <v>10</v>
      </c>
      <c r="C466" t="s">
        <v>40</v>
      </c>
      <c r="D466" t="s">
        <v>613</v>
      </c>
      <c r="E466">
        <v>18</v>
      </c>
      <c r="F466">
        <v>30</v>
      </c>
      <c r="G466">
        <v>3</v>
      </c>
      <c r="H466">
        <v>20</v>
      </c>
      <c r="I466" t="s">
        <v>243</v>
      </c>
    </row>
    <row r="467" spans="1:9" x14ac:dyDescent="0.3">
      <c r="A467">
        <v>180</v>
      </c>
      <c r="B467">
        <v>10</v>
      </c>
      <c r="C467" t="s">
        <v>66</v>
      </c>
      <c r="D467" t="s">
        <v>626</v>
      </c>
      <c r="E467">
        <v>12</v>
      </c>
      <c r="F467">
        <v>20</v>
      </c>
      <c r="G467">
        <v>1</v>
      </c>
      <c r="H467">
        <v>50</v>
      </c>
      <c r="I467" t="s">
        <v>242</v>
      </c>
    </row>
    <row r="468" spans="1:9" x14ac:dyDescent="0.3">
      <c r="A468">
        <v>180</v>
      </c>
      <c r="B468">
        <v>10</v>
      </c>
      <c r="C468" t="s">
        <v>50</v>
      </c>
      <c r="D468" t="s">
        <v>615</v>
      </c>
      <c r="E468">
        <v>16</v>
      </c>
      <c r="F468">
        <v>27</v>
      </c>
      <c r="G468">
        <v>1</v>
      </c>
      <c r="H468">
        <v>56</v>
      </c>
      <c r="I468" t="s">
        <v>242</v>
      </c>
    </row>
    <row r="469" spans="1:9" x14ac:dyDescent="0.3">
      <c r="A469">
        <v>180</v>
      </c>
      <c r="B469">
        <v>10</v>
      </c>
      <c r="C469" t="s">
        <v>26</v>
      </c>
      <c r="D469" t="s">
        <v>618</v>
      </c>
      <c r="E469">
        <v>17</v>
      </c>
      <c r="F469">
        <v>29</v>
      </c>
      <c r="G469">
        <v>1</v>
      </c>
      <c r="H469">
        <v>35</v>
      </c>
      <c r="I469" t="s">
        <v>243</v>
      </c>
    </row>
    <row r="470" spans="1:9" x14ac:dyDescent="0.3">
      <c r="A470">
        <v>181</v>
      </c>
      <c r="B470">
        <v>15</v>
      </c>
      <c r="C470" t="s">
        <v>50</v>
      </c>
      <c r="D470" t="s">
        <v>615</v>
      </c>
      <c r="E470">
        <v>16</v>
      </c>
      <c r="F470">
        <v>27</v>
      </c>
      <c r="G470">
        <v>1</v>
      </c>
      <c r="H470">
        <v>55</v>
      </c>
      <c r="I470" t="s">
        <v>243</v>
      </c>
    </row>
    <row r="471" spans="1:9" x14ac:dyDescent="0.3">
      <c r="A471">
        <v>182</v>
      </c>
      <c r="B471">
        <v>18</v>
      </c>
      <c r="C471" t="s">
        <v>53</v>
      </c>
      <c r="D471" t="s">
        <v>621</v>
      </c>
      <c r="E471">
        <v>11</v>
      </c>
      <c r="F471">
        <v>19</v>
      </c>
      <c r="G471">
        <v>2</v>
      </c>
      <c r="H471">
        <v>11</v>
      </c>
      <c r="I471" t="s">
        <v>243</v>
      </c>
    </row>
    <row r="472" spans="1:9" x14ac:dyDescent="0.3">
      <c r="A472">
        <v>183</v>
      </c>
      <c r="B472">
        <v>18</v>
      </c>
      <c r="C472" t="s">
        <v>71</v>
      </c>
      <c r="D472" t="s">
        <v>630</v>
      </c>
      <c r="E472">
        <v>15</v>
      </c>
      <c r="F472">
        <v>26</v>
      </c>
      <c r="G472">
        <v>1</v>
      </c>
      <c r="H472">
        <v>10</v>
      </c>
      <c r="I472" t="s">
        <v>242</v>
      </c>
    </row>
    <row r="473" spans="1:9" x14ac:dyDescent="0.3">
      <c r="A473">
        <v>183</v>
      </c>
      <c r="B473">
        <v>18</v>
      </c>
      <c r="C473" t="s">
        <v>105</v>
      </c>
      <c r="D473" t="s">
        <v>623</v>
      </c>
      <c r="E473">
        <v>19</v>
      </c>
      <c r="F473">
        <v>32</v>
      </c>
      <c r="G473">
        <v>2</v>
      </c>
      <c r="H473">
        <v>52</v>
      </c>
      <c r="I473" t="s">
        <v>242</v>
      </c>
    </row>
    <row r="474" spans="1:9" x14ac:dyDescent="0.3">
      <c r="A474">
        <v>183</v>
      </c>
      <c r="B474">
        <v>18</v>
      </c>
      <c r="C474" t="s">
        <v>66</v>
      </c>
      <c r="D474" t="s">
        <v>626</v>
      </c>
      <c r="E474">
        <v>12</v>
      </c>
      <c r="F474">
        <v>20</v>
      </c>
      <c r="G474">
        <v>3</v>
      </c>
      <c r="H474">
        <v>58</v>
      </c>
      <c r="I474" t="s">
        <v>242</v>
      </c>
    </row>
    <row r="475" spans="1:9" x14ac:dyDescent="0.3">
      <c r="A475">
        <v>183</v>
      </c>
      <c r="B475">
        <v>18</v>
      </c>
      <c r="C475" t="s">
        <v>19</v>
      </c>
      <c r="D475" t="s">
        <v>622</v>
      </c>
      <c r="E475">
        <v>21</v>
      </c>
      <c r="F475">
        <v>35</v>
      </c>
      <c r="G475">
        <v>3</v>
      </c>
      <c r="H475">
        <v>46</v>
      </c>
      <c r="I475" t="s">
        <v>242</v>
      </c>
    </row>
    <row r="476" spans="1:9" x14ac:dyDescent="0.3">
      <c r="A476">
        <v>184</v>
      </c>
      <c r="B476">
        <v>4</v>
      </c>
      <c r="C476" t="s">
        <v>30</v>
      </c>
      <c r="D476" t="s">
        <v>620</v>
      </c>
      <c r="E476">
        <v>16</v>
      </c>
      <c r="F476">
        <v>28</v>
      </c>
      <c r="G476">
        <v>3</v>
      </c>
      <c r="H476">
        <v>6</v>
      </c>
      <c r="I476" t="s">
        <v>243</v>
      </c>
    </row>
    <row r="477" spans="1:9" x14ac:dyDescent="0.3">
      <c r="A477">
        <v>184</v>
      </c>
      <c r="B477">
        <v>4</v>
      </c>
      <c r="C477" t="s">
        <v>66</v>
      </c>
      <c r="D477" t="s">
        <v>626</v>
      </c>
      <c r="E477">
        <v>12</v>
      </c>
      <c r="F477">
        <v>20</v>
      </c>
      <c r="G477">
        <v>2</v>
      </c>
      <c r="H477">
        <v>13</v>
      </c>
      <c r="I477" t="s">
        <v>243</v>
      </c>
    </row>
    <row r="478" spans="1:9" x14ac:dyDescent="0.3">
      <c r="A478">
        <v>184</v>
      </c>
      <c r="B478">
        <v>4</v>
      </c>
      <c r="C478" t="s">
        <v>50</v>
      </c>
      <c r="D478" t="s">
        <v>615</v>
      </c>
      <c r="E478">
        <v>16</v>
      </c>
      <c r="F478">
        <v>27</v>
      </c>
      <c r="G478">
        <v>3</v>
      </c>
      <c r="H478">
        <v>10</v>
      </c>
      <c r="I478" t="s">
        <v>242</v>
      </c>
    </row>
    <row r="479" spans="1:9" x14ac:dyDescent="0.3">
      <c r="A479">
        <v>185</v>
      </c>
      <c r="B479">
        <v>16</v>
      </c>
      <c r="C479" t="s">
        <v>42</v>
      </c>
      <c r="D479" t="s">
        <v>628</v>
      </c>
      <c r="E479">
        <v>13</v>
      </c>
      <c r="F479">
        <v>21</v>
      </c>
      <c r="G479">
        <v>3</v>
      </c>
      <c r="H479">
        <v>34</v>
      </c>
      <c r="I479" t="s">
        <v>242</v>
      </c>
    </row>
    <row r="480" spans="1:9" x14ac:dyDescent="0.3">
      <c r="A480">
        <v>185</v>
      </c>
      <c r="B480">
        <v>16</v>
      </c>
      <c r="C480" t="s">
        <v>30</v>
      </c>
      <c r="D480" t="s">
        <v>620</v>
      </c>
      <c r="E480">
        <v>16</v>
      </c>
      <c r="F480">
        <v>28</v>
      </c>
      <c r="G480">
        <v>1</v>
      </c>
      <c r="H480">
        <v>6</v>
      </c>
      <c r="I480" t="s">
        <v>243</v>
      </c>
    </row>
    <row r="481" spans="1:9" x14ac:dyDescent="0.3">
      <c r="A481">
        <v>186</v>
      </c>
      <c r="B481">
        <v>13</v>
      </c>
      <c r="C481" t="s">
        <v>105</v>
      </c>
      <c r="D481" t="s">
        <v>623</v>
      </c>
      <c r="E481">
        <v>19</v>
      </c>
      <c r="F481">
        <v>32</v>
      </c>
      <c r="G481">
        <v>3</v>
      </c>
      <c r="H481">
        <v>23</v>
      </c>
      <c r="I481" t="s">
        <v>243</v>
      </c>
    </row>
    <row r="482" spans="1:9" x14ac:dyDescent="0.3">
      <c r="A482">
        <v>186</v>
      </c>
      <c r="B482">
        <v>13</v>
      </c>
      <c r="C482" t="s">
        <v>56</v>
      </c>
      <c r="D482" t="s">
        <v>614</v>
      </c>
      <c r="E482">
        <v>19</v>
      </c>
      <c r="F482">
        <v>31</v>
      </c>
      <c r="G482">
        <v>3</v>
      </c>
      <c r="H482">
        <v>54</v>
      </c>
      <c r="I482" t="s">
        <v>242</v>
      </c>
    </row>
    <row r="483" spans="1:9" x14ac:dyDescent="0.3">
      <c r="A483">
        <v>186</v>
      </c>
      <c r="B483">
        <v>13</v>
      </c>
      <c r="C483" t="s">
        <v>50</v>
      </c>
      <c r="D483" t="s">
        <v>615</v>
      </c>
      <c r="E483">
        <v>16</v>
      </c>
      <c r="F483">
        <v>27</v>
      </c>
      <c r="G483">
        <v>3</v>
      </c>
      <c r="H483">
        <v>16</v>
      </c>
      <c r="I483" t="s">
        <v>242</v>
      </c>
    </row>
    <row r="484" spans="1:9" x14ac:dyDescent="0.3">
      <c r="A484">
        <v>187</v>
      </c>
      <c r="B484">
        <v>5</v>
      </c>
      <c r="C484" t="s">
        <v>71</v>
      </c>
      <c r="D484" t="s">
        <v>630</v>
      </c>
      <c r="E484">
        <v>15</v>
      </c>
      <c r="F484">
        <v>26</v>
      </c>
      <c r="G484">
        <v>1</v>
      </c>
      <c r="H484">
        <v>51</v>
      </c>
      <c r="I484" t="s">
        <v>242</v>
      </c>
    </row>
    <row r="485" spans="1:9" x14ac:dyDescent="0.3">
      <c r="A485">
        <v>187</v>
      </c>
      <c r="B485">
        <v>5</v>
      </c>
      <c r="C485" t="s">
        <v>38</v>
      </c>
      <c r="D485" t="s">
        <v>625</v>
      </c>
      <c r="E485">
        <v>20</v>
      </c>
      <c r="F485">
        <v>34</v>
      </c>
      <c r="G485">
        <v>2</v>
      </c>
      <c r="H485">
        <v>28</v>
      </c>
      <c r="I485" t="s">
        <v>243</v>
      </c>
    </row>
    <row r="486" spans="1:9" x14ac:dyDescent="0.3">
      <c r="A486">
        <v>187</v>
      </c>
      <c r="B486">
        <v>5</v>
      </c>
      <c r="C486" t="s">
        <v>50</v>
      </c>
      <c r="D486" t="s">
        <v>615</v>
      </c>
      <c r="E486">
        <v>16</v>
      </c>
      <c r="F486">
        <v>27</v>
      </c>
      <c r="G486">
        <v>1</v>
      </c>
      <c r="H486">
        <v>36</v>
      </c>
      <c r="I486" t="s">
        <v>243</v>
      </c>
    </row>
    <row r="487" spans="1:9" x14ac:dyDescent="0.3">
      <c r="A487">
        <v>187</v>
      </c>
      <c r="B487">
        <v>5</v>
      </c>
      <c r="C487" t="s">
        <v>26</v>
      </c>
      <c r="D487" t="s">
        <v>618</v>
      </c>
      <c r="E487">
        <v>17</v>
      </c>
      <c r="F487">
        <v>29</v>
      </c>
      <c r="G487">
        <v>3</v>
      </c>
      <c r="H487">
        <v>11</v>
      </c>
      <c r="I487" t="s">
        <v>242</v>
      </c>
    </row>
    <row r="488" spans="1:9" x14ac:dyDescent="0.3">
      <c r="A488">
        <v>188</v>
      </c>
      <c r="B488">
        <v>20</v>
      </c>
      <c r="C488" t="s">
        <v>71</v>
      </c>
      <c r="D488" t="s">
        <v>630</v>
      </c>
      <c r="E488">
        <v>15</v>
      </c>
      <c r="F488">
        <v>26</v>
      </c>
      <c r="G488">
        <v>2</v>
      </c>
      <c r="H488">
        <v>47</v>
      </c>
      <c r="I488" t="s">
        <v>242</v>
      </c>
    </row>
    <row r="489" spans="1:9" x14ac:dyDescent="0.3">
      <c r="A489">
        <v>188</v>
      </c>
      <c r="B489">
        <v>20</v>
      </c>
      <c r="C489" t="s">
        <v>56</v>
      </c>
      <c r="D489" t="s">
        <v>614</v>
      </c>
      <c r="E489">
        <v>19</v>
      </c>
      <c r="F489">
        <v>31</v>
      </c>
      <c r="G489">
        <v>1</v>
      </c>
      <c r="H489">
        <v>58</v>
      </c>
      <c r="I489" t="s">
        <v>242</v>
      </c>
    </row>
    <row r="490" spans="1:9" x14ac:dyDescent="0.3">
      <c r="A490">
        <v>189</v>
      </c>
      <c r="B490">
        <v>11</v>
      </c>
      <c r="C490" t="s">
        <v>71</v>
      </c>
      <c r="D490" t="s">
        <v>630</v>
      </c>
      <c r="E490">
        <v>15</v>
      </c>
      <c r="F490">
        <v>26</v>
      </c>
      <c r="G490">
        <v>2</v>
      </c>
      <c r="H490">
        <v>22</v>
      </c>
      <c r="I490" t="s">
        <v>243</v>
      </c>
    </row>
    <row r="491" spans="1:9" x14ac:dyDescent="0.3">
      <c r="A491">
        <v>189</v>
      </c>
      <c r="B491">
        <v>11</v>
      </c>
      <c r="C491" t="s">
        <v>38</v>
      </c>
      <c r="D491" t="s">
        <v>625</v>
      </c>
      <c r="E491">
        <v>20</v>
      </c>
      <c r="F491">
        <v>34</v>
      </c>
      <c r="G491">
        <v>2</v>
      </c>
      <c r="H491">
        <v>42</v>
      </c>
      <c r="I491" t="s">
        <v>243</v>
      </c>
    </row>
    <row r="492" spans="1:9" x14ac:dyDescent="0.3">
      <c r="A492">
        <v>189</v>
      </c>
      <c r="B492">
        <v>11</v>
      </c>
      <c r="C492" t="s">
        <v>75</v>
      </c>
      <c r="D492" t="s">
        <v>612</v>
      </c>
      <c r="E492">
        <v>14</v>
      </c>
      <c r="F492">
        <v>24</v>
      </c>
      <c r="G492">
        <v>3</v>
      </c>
      <c r="H492">
        <v>53</v>
      </c>
      <c r="I492" t="s">
        <v>243</v>
      </c>
    </row>
    <row r="493" spans="1:9" x14ac:dyDescent="0.3">
      <c r="A493">
        <v>190</v>
      </c>
      <c r="B493">
        <v>5</v>
      </c>
      <c r="C493" t="s">
        <v>89</v>
      </c>
      <c r="D493" t="s">
        <v>627</v>
      </c>
      <c r="E493">
        <v>14</v>
      </c>
      <c r="F493">
        <v>23</v>
      </c>
      <c r="G493">
        <v>3</v>
      </c>
      <c r="H493">
        <v>7</v>
      </c>
      <c r="I493" t="s">
        <v>243</v>
      </c>
    </row>
    <row r="494" spans="1:9" x14ac:dyDescent="0.3">
      <c r="A494">
        <v>190</v>
      </c>
      <c r="B494">
        <v>5</v>
      </c>
      <c r="C494" t="s">
        <v>34</v>
      </c>
      <c r="D494" t="s">
        <v>616</v>
      </c>
      <c r="E494">
        <v>25</v>
      </c>
      <c r="F494">
        <v>40</v>
      </c>
      <c r="G494">
        <v>2</v>
      </c>
      <c r="H494">
        <v>45</v>
      </c>
      <c r="I494" t="s">
        <v>242</v>
      </c>
    </row>
    <row r="495" spans="1:9" x14ac:dyDescent="0.3">
      <c r="A495">
        <v>190</v>
      </c>
      <c r="B495">
        <v>5</v>
      </c>
      <c r="C495" t="s">
        <v>46</v>
      </c>
      <c r="D495" t="s">
        <v>629</v>
      </c>
      <c r="E495">
        <v>10</v>
      </c>
      <c r="F495">
        <v>18</v>
      </c>
      <c r="G495">
        <v>1</v>
      </c>
      <c r="H495">
        <v>39</v>
      </c>
      <c r="I495" t="s">
        <v>242</v>
      </c>
    </row>
    <row r="496" spans="1:9" x14ac:dyDescent="0.3">
      <c r="A496">
        <v>190</v>
      </c>
      <c r="B496">
        <v>5</v>
      </c>
      <c r="C496" t="s">
        <v>19</v>
      </c>
      <c r="D496" t="s">
        <v>622</v>
      </c>
      <c r="E496">
        <v>21</v>
      </c>
      <c r="F496">
        <v>35</v>
      </c>
      <c r="G496">
        <v>1</v>
      </c>
      <c r="H496">
        <v>11</v>
      </c>
      <c r="I496" t="s">
        <v>243</v>
      </c>
    </row>
    <row r="497" spans="1:9" x14ac:dyDescent="0.3">
      <c r="A497">
        <v>191</v>
      </c>
      <c r="B497">
        <v>12</v>
      </c>
      <c r="C497" t="s">
        <v>60</v>
      </c>
      <c r="D497" t="s">
        <v>631</v>
      </c>
      <c r="E497">
        <v>15</v>
      </c>
      <c r="F497">
        <v>25</v>
      </c>
      <c r="G497">
        <v>3</v>
      </c>
      <c r="H497">
        <v>32</v>
      </c>
      <c r="I497" t="s">
        <v>243</v>
      </c>
    </row>
    <row r="498" spans="1:9" x14ac:dyDescent="0.3">
      <c r="A498">
        <v>191</v>
      </c>
      <c r="B498">
        <v>12</v>
      </c>
      <c r="C498" t="s">
        <v>26</v>
      </c>
      <c r="D498" t="s">
        <v>618</v>
      </c>
      <c r="E498">
        <v>17</v>
      </c>
      <c r="F498">
        <v>29</v>
      </c>
      <c r="G498">
        <v>3</v>
      </c>
      <c r="H498">
        <v>55</v>
      </c>
      <c r="I498" t="s">
        <v>242</v>
      </c>
    </row>
    <row r="499" spans="1:9" x14ac:dyDescent="0.3">
      <c r="A499">
        <v>192</v>
      </c>
      <c r="B499">
        <v>17</v>
      </c>
      <c r="C499" t="s">
        <v>60</v>
      </c>
      <c r="D499" t="s">
        <v>631</v>
      </c>
      <c r="E499">
        <v>15</v>
      </c>
      <c r="F499">
        <v>25</v>
      </c>
      <c r="G499">
        <v>3</v>
      </c>
      <c r="H499">
        <v>26</v>
      </c>
      <c r="I499" t="s">
        <v>242</v>
      </c>
    </row>
    <row r="500" spans="1:9" x14ac:dyDescent="0.3">
      <c r="A500">
        <v>193</v>
      </c>
      <c r="B500">
        <v>3</v>
      </c>
      <c r="C500" t="s">
        <v>71</v>
      </c>
      <c r="D500" t="s">
        <v>630</v>
      </c>
      <c r="E500">
        <v>15</v>
      </c>
      <c r="F500">
        <v>26</v>
      </c>
      <c r="G500">
        <v>2</v>
      </c>
      <c r="H500">
        <v>57</v>
      </c>
      <c r="I500" t="s">
        <v>243</v>
      </c>
    </row>
    <row r="501" spans="1:9" x14ac:dyDescent="0.3">
      <c r="A501">
        <v>193</v>
      </c>
      <c r="B501">
        <v>3</v>
      </c>
      <c r="C501" t="s">
        <v>89</v>
      </c>
      <c r="D501" t="s">
        <v>627</v>
      </c>
      <c r="E501">
        <v>14</v>
      </c>
      <c r="F501">
        <v>23</v>
      </c>
      <c r="G501">
        <v>3</v>
      </c>
      <c r="H501">
        <v>24</v>
      </c>
      <c r="I501" t="s">
        <v>242</v>
      </c>
    </row>
    <row r="502" spans="1:9" x14ac:dyDescent="0.3">
      <c r="A502">
        <v>193</v>
      </c>
      <c r="B502">
        <v>3</v>
      </c>
      <c r="C502" t="s">
        <v>44</v>
      </c>
      <c r="D502" t="s">
        <v>617</v>
      </c>
      <c r="E502">
        <v>22</v>
      </c>
      <c r="F502">
        <v>36</v>
      </c>
      <c r="G502">
        <v>2</v>
      </c>
      <c r="H502">
        <v>59</v>
      </c>
      <c r="I502" t="s">
        <v>242</v>
      </c>
    </row>
    <row r="503" spans="1:9" x14ac:dyDescent="0.3">
      <c r="A503">
        <v>193</v>
      </c>
      <c r="B503">
        <v>3</v>
      </c>
      <c r="C503" t="s">
        <v>50</v>
      </c>
      <c r="D503" t="s">
        <v>615</v>
      </c>
      <c r="E503">
        <v>16</v>
      </c>
      <c r="F503">
        <v>27</v>
      </c>
      <c r="G503">
        <v>1</v>
      </c>
      <c r="H503">
        <v>31</v>
      </c>
      <c r="I503" t="s">
        <v>243</v>
      </c>
    </row>
    <row r="504" spans="1:9" x14ac:dyDescent="0.3">
      <c r="A504">
        <v>194</v>
      </c>
      <c r="B504">
        <v>3</v>
      </c>
      <c r="C504" t="s">
        <v>112</v>
      </c>
      <c r="D504" t="s">
        <v>619</v>
      </c>
      <c r="E504">
        <v>20</v>
      </c>
      <c r="F504">
        <v>33</v>
      </c>
      <c r="G504">
        <v>2</v>
      </c>
      <c r="H504">
        <v>18</v>
      </c>
      <c r="I504" t="s">
        <v>242</v>
      </c>
    </row>
    <row r="505" spans="1:9" x14ac:dyDescent="0.3">
      <c r="A505">
        <v>194</v>
      </c>
      <c r="B505">
        <v>3</v>
      </c>
      <c r="C505" t="s">
        <v>40</v>
      </c>
      <c r="D505" t="s">
        <v>613</v>
      </c>
      <c r="E505">
        <v>18</v>
      </c>
      <c r="F505">
        <v>30</v>
      </c>
      <c r="G505">
        <v>1</v>
      </c>
      <c r="H505">
        <v>50</v>
      </c>
      <c r="I505" t="s">
        <v>242</v>
      </c>
    </row>
    <row r="506" spans="1:9" x14ac:dyDescent="0.3">
      <c r="A506">
        <v>195</v>
      </c>
      <c r="B506">
        <v>2</v>
      </c>
      <c r="C506" t="s">
        <v>60</v>
      </c>
      <c r="D506" t="s">
        <v>631</v>
      </c>
      <c r="E506">
        <v>15</v>
      </c>
      <c r="F506">
        <v>25</v>
      </c>
      <c r="G506">
        <v>2</v>
      </c>
      <c r="H506">
        <v>51</v>
      </c>
      <c r="I506" t="s">
        <v>242</v>
      </c>
    </row>
    <row r="507" spans="1:9" x14ac:dyDescent="0.3">
      <c r="A507">
        <v>196</v>
      </c>
      <c r="B507">
        <v>4</v>
      </c>
      <c r="C507" t="s">
        <v>89</v>
      </c>
      <c r="D507" t="s">
        <v>627</v>
      </c>
      <c r="E507">
        <v>14</v>
      </c>
      <c r="F507">
        <v>23</v>
      </c>
      <c r="G507">
        <v>2</v>
      </c>
      <c r="H507">
        <v>51</v>
      </c>
      <c r="I507" t="s">
        <v>242</v>
      </c>
    </row>
    <row r="508" spans="1:9" x14ac:dyDescent="0.3">
      <c r="A508">
        <v>196</v>
      </c>
      <c r="B508">
        <v>4</v>
      </c>
      <c r="C508" t="s">
        <v>30</v>
      </c>
      <c r="D508" t="s">
        <v>620</v>
      </c>
      <c r="E508">
        <v>16</v>
      </c>
      <c r="F508">
        <v>28</v>
      </c>
      <c r="G508">
        <v>2</v>
      </c>
      <c r="H508">
        <v>44</v>
      </c>
      <c r="I508" t="s">
        <v>243</v>
      </c>
    </row>
    <row r="509" spans="1:9" x14ac:dyDescent="0.3">
      <c r="A509">
        <v>196</v>
      </c>
      <c r="B509">
        <v>4</v>
      </c>
      <c r="C509" t="s">
        <v>66</v>
      </c>
      <c r="D509" t="s">
        <v>626</v>
      </c>
      <c r="E509">
        <v>12</v>
      </c>
      <c r="F509">
        <v>20</v>
      </c>
      <c r="G509">
        <v>3</v>
      </c>
      <c r="H509">
        <v>34</v>
      </c>
      <c r="I509" t="s">
        <v>243</v>
      </c>
    </row>
    <row r="510" spans="1:9" x14ac:dyDescent="0.3">
      <c r="A510">
        <v>196</v>
      </c>
      <c r="B510">
        <v>4</v>
      </c>
      <c r="C510" t="s">
        <v>26</v>
      </c>
      <c r="D510" t="s">
        <v>618</v>
      </c>
      <c r="E510">
        <v>17</v>
      </c>
      <c r="F510">
        <v>29</v>
      </c>
      <c r="G510">
        <v>1</v>
      </c>
      <c r="H510">
        <v>47</v>
      </c>
      <c r="I510" t="s">
        <v>243</v>
      </c>
    </row>
    <row r="511" spans="1:9" x14ac:dyDescent="0.3">
      <c r="A511">
        <v>197</v>
      </c>
      <c r="B511">
        <v>5</v>
      </c>
      <c r="C511" t="s">
        <v>38</v>
      </c>
      <c r="D511" t="s">
        <v>625</v>
      </c>
      <c r="E511">
        <v>20</v>
      </c>
      <c r="F511">
        <v>34</v>
      </c>
      <c r="G511">
        <v>3</v>
      </c>
      <c r="H511">
        <v>22</v>
      </c>
      <c r="I511" t="s">
        <v>242</v>
      </c>
    </row>
    <row r="512" spans="1:9" x14ac:dyDescent="0.3">
      <c r="A512">
        <v>197</v>
      </c>
      <c r="B512">
        <v>5</v>
      </c>
      <c r="C512" t="s">
        <v>50</v>
      </c>
      <c r="D512" t="s">
        <v>615</v>
      </c>
      <c r="E512">
        <v>16</v>
      </c>
      <c r="F512">
        <v>27</v>
      </c>
      <c r="G512">
        <v>1</v>
      </c>
      <c r="H512">
        <v>50</v>
      </c>
      <c r="I512" t="s">
        <v>242</v>
      </c>
    </row>
    <row r="513" spans="1:9" x14ac:dyDescent="0.3">
      <c r="A513">
        <v>198</v>
      </c>
      <c r="B513">
        <v>9</v>
      </c>
      <c r="C513" t="s">
        <v>50</v>
      </c>
      <c r="D513" t="s">
        <v>615</v>
      </c>
      <c r="E513">
        <v>16</v>
      </c>
      <c r="F513">
        <v>27</v>
      </c>
      <c r="G513">
        <v>2</v>
      </c>
      <c r="H513">
        <v>33</v>
      </c>
      <c r="I513" t="s">
        <v>242</v>
      </c>
    </row>
    <row r="514" spans="1:9" x14ac:dyDescent="0.3">
      <c r="A514">
        <v>199</v>
      </c>
      <c r="B514">
        <v>11</v>
      </c>
      <c r="C514" t="s">
        <v>42</v>
      </c>
      <c r="D514" t="s">
        <v>628</v>
      </c>
      <c r="E514">
        <v>13</v>
      </c>
      <c r="F514">
        <v>21</v>
      </c>
      <c r="G514">
        <v>2</v>
      </c>
      <c r="H514">
        <v>18</v>
      </c>
      <c r="I514" t="s">
        <v>243</v>
      </c>
    </row>
    <row r="515" spans="1:9" x14ac:dyDescent="0.3">
      <c r="A515">
        <v>199</v>
      </c>
      <c r="B515">
        <v>11</v>
      </c>
      <c r="C515" t="s">
        <v>50</v>
      </c>
      <c r="D515" t="s">
        <v>615</v>
      </c>
      <c r="E515">
        <v>16</v>
      </c>
      <c r="F515">
        <v>27</v>
      </c>
      <c r="G515">
        <v>1</v>
      </c>
      <c r="H515">
        <v>52</v>
      </c>
      <c r="I515" t="s">
        <v>243</v>
      </c>
    </row>
    <row r="516" spans="1:9" x14ac:dyDescent="0.3">
      <c r="A516">
        <v>199</v>
      </c>
      <c r="B516">
        <v>11</v>
      </c>
      <c r="C516" t="s">
        <v>19</v>
      </c>
      <c r="D516" t="s">
        <v>622</v>
      </c>
      <c r="E516">
        <v>21</v>
      </c>
      <c r="F516">
        <v>35</v>
      </c>
      <c r="G516">
        <v>3</v>
      </c>
      <c r="H516">
        <v>41</v>
      </c>
      <c r="I516" t="s">
        <v>243</v>
      </c>
    </row>
    <row r="517" spans="1:9" x14ac:dyDescent="0.3">
      <c r="A517">
        <v>199</v>
      </c>
      <c r="B517">
        <v>11</v>
      </c>
      <c r="C517" t="s">
        <v>26</v>
      </c>
      <c r="D517" t="s">
        <v>618</v>
      </c>
      <c r="E517">
        <v>17</v>
      </c>
      <c r="F517">
        <v>29</v>
      </c>
      <c r="G517">
        <v>3</v>
      </c>
      <c r="H517">
        <v>31</v>
      </c>
      <c r="I517" t="s">
        <v>242</v>
      </c>
    </row>
    <row r="518" spans="1:9" x14ac:dyDescent="0.3">
      <c r="A518">
        <v>200</v>
      </c>
      <c r="B518">
        <v>11</v>
      </c>
      <c r="C518" t="s">
        <v>60</v>
      </c>
      <c r="D518" t="s">
        <v>631</v>
      </c>
      <c r="E518">
        <v>15</v>
      </c>
      <c r="F518">
        <v>25</v>
      </c>
      <c r="G518">
        <v>2</v>
      </c>
      <c r="H518">
        <v>28</v>
      </c>
      <c r="I518" t="s">
        <v>243</v>
      </c>
    </row>
    <row r="519" spans="1:9" x14ac:dyDescent="0.3">
      <c r="A519">
        <v>200</v>
      </c>
      <c r="B519">
        <v>11</v>
      </c>
      <c r="C519" t="s">
        <v>53</v>
      </c>
      <c r="D519" t="s">
        <v>621</v>
      </c>
      <c r="E519">
        <v>11</v>
      </c>
      <c r="F519">
        <v>19</v>
      </c>
      <c r="G519">
        <v>2</v>
      </c>
      <c r="H519">
        <v>39</v>
      </c>
      <c r="I519" t="s">
        <v>242</v>
      </c>
    </row>
    <row r="520" spans="1:9" x14ac:dyDescent="0.3">
      <c r="A520">
        <v>201</v>
      </c>
      <c r="B520">
        <v>3</v>
      </c>
      <c r="C520" t="s">
        <v>75</v>
      </c>
      <c r="D520" t="s">
        <v>612</v>
      </c>
      <c r="E520">
        <v>14</v>
      </c>
      <c r="F520">
        <v>24</v>
      </c>
      <c r="G520">
        <v>3</v>
      </c>
      <c r="H520">
        <v>58</v>
      </c>
      <c r="I520" t="s">
        <v>243</v>
      </c>
    </row>
    <row r="521" spans="1:9" x14ac:dyDescent="0.3">
      <c r="A521">
        <v>202</v>
      </c>
      <c r="B521">
        <v>16</v>
      </c>
      <c r="C521" t="s">
        <v>44</v>
      </c>
      <c r="D521" t="s">
        <v>617</v>
      </c>
      <c r="E521">
        <v>22</v>
      </c>
      <c r="F521">
        <v>36</v>
      </c>
      <c r="G521">
        <v>2</v>
      </c>
      <c r="H521">
        <v>46</v>
      </c>
      <c r="I521" t="s">
        <v>243</v>
      </c>
    </row>
    <row r="522" spans="1:9" x14ac:dyDescent="0.3">
      <c r="A522">
        <v>202</v>
      </c>
      <c r="B522">
        <v>16</v>
      </c>
      <c r="C522" t="s">
        <v>40</v>
      </c>
      <c r="D522" t="s">
        <v>613</v>
      </c>
      <c r="E522">
        <v>18</v>
      </c>
      <c r="F522">
        <v>30</v>
      </c>
      <c r="G522">
        <v>1</v>
      </c>
      <c r="H522">
        <v>58</v>
      </c>
      <c r="I522" t="s">
        <v>242</v>
      </c>
    </row>
    <row r="523" spans="1:9" x14ac:dyDescent="0.3">
      <c r="A523">
        <v>202</v>
      </c>
      <c r="B523">
        <v>16</v>
      </c>
      <c r="C523" t="s">
        <v>34</v>
      </c>
      <c r="D523" t="s">
        <v>616</v>
      </c>
      <c r="E523">
        <v>25</v>
      </c>
      <c r="F523">
        <v>40</v>
      </c>
      <c r="G523">
        <v>2</v>
      </c>
      <c r="H523">
        <v>47</v>
      </c>
      <c r="I523" t="s">
        <v>242</v>
      </c>
    </row>
    <row r="524" spans="1:9" x14ac:dyDescent="0.3">
      <c r="A524">
        <v>202</v>
      </c>
      <c r="B524">
        <v>16</v>
      </c>
      <c r="C524" t="s">
        <v>75</v>
      </c>
      <c r="D524" t="s">
        <v>612</v>
      </c>
      <c r="E524">
        <v>14</v>
      </c>
      <c r="F524">
        <v>24</v>
      </c>
      <c r="G524">
        <v>1</v>
      </c>
      <c r="H524">
        <v>5</v>
      </c>
      <c r="I524" t="s">
        <v>242</v>
      </c>
    </row>
    <row r="525" spans="1:9" x14ac:dyDescent="0.3">
      <c r="A525">
        <v>203</v>
      </c>
      <c r="B525">
        <v>5</v>
      </c>
      <c r="C525" t="s">
        <v>42</v>
      </c>
      <c r="D525" t="s">
        <v>628</v>
      </c>
      <c r="E525">
        <v>13</v>
      </c>
      <c r="F525">
        <v>21</v>
      </c>
      <c r="G525">
        <v>3</v>
      </c>
      <c r="H525">
        <v>34</v>
      </c>
      <c r="I525" t="s">
        <v>243</v>
      </c>
    </row>
    <row r="526" spans="1:9" x14ac:dyDescent="0.3">
      <c r="A526">
        <v>203</v>
      </c>
      <c r="B526">
        <v>5</v>
      </c>
      <c r="C526" t="s">
        <v>56</v>
      </c>
      <c r="D526" t="s">
        <v>614</v>
      </c>
      <c r="E526">
        <v>19</v>
      </c>
      <c r="F526">
        <v>31</v>
      </c>
      <c r="G526">
        <v>3</v>
      </c>
      <c r="H526">
        <v>51</v>
      </c>
      <c r="I526" t="s">
        <v>242</v>
      </c>
    </row>
    <row r="527" spans="1:9" x14ac:dyDescent="0.3">
      <c r="A527">
        <v>204</v>
      </c>
      <c r="B527">
        <v>16</v>
      </c>
      <c r="C527" t="s">
        <v>75</v>
      </c>
      <c r="D527" t="s">
        <v>612</v>
      </c>
      <c r="E527">
        <v>14</v>
      </c>
      <c r="F527">
        <v>24</v>
      </c>
      <c r="G527">
        <v>2</v>
      </c>
      <c r="H527">
        <v>21</v>
      </c>
      <c r="I527" t="s">
        <v>242</v>
      </c>
    </row>
    <row r="528" spans="1:9" x14ac:dyDescent="0.3">
      <c r="A528">
        <v>205</v>
      </c>
      <c r="B528">
        <v>14</v>
      </c>
      <c r="C528" t="s">
        <v>105</v>
      </c>
      <c r="D528" t="s">
        <v>623</v>
      </c>
      <c r="E528">
        <v>19</v>
      </c>
      <c r="F528">
        <v>32</v>
      </c>
      <c r="G528">
        <v>1</v>
      </c>
      <c r="H528">
        <v>34</v>
      </c>
      <c r="I528" t="s">
        <v>242</v>
      </c>
    </row>
    <row r="529" spans="1:9" x14ac:dyDescent="0.3">
      <c r="A529">
        <v>205</v>
      </c>
      <c r="B529">
        <v>14</v>
      </c>
      <c r="C529" t="s">
        <v>26</v>
      </c>
      <c r="D529" t="s">
        <v>618</v>
      </c>
      <c r="E529">
        <v>17</v>
      </c>
      <c r="F529">
        <v>29</v>
      </c>
      <c r="G529">
        <v>1</v>
      </c>
      <c r="H529">
        <v>52</v>
      </c>
      <c r="I529" t="s">
        <v>243</v>
      </c>
    </row>
    <row r="530" spans="1:9" x14ac:dyDescent="0.3">
      <c r="A530">
        <v>206</v>
      </c>
      <c r="B530">
        <v>4</v>
      </c>
      <c r="C530" t="s">
        <v>40</v>
      </c>
      <c r="D530" t="s">
        <v>613</v>
      </c>
      <c r="E530">
        <v>18</v>
      </c>
      <c r="F530">
        <v>30</v>
      </c>
      <c r="G530">
        <v>1</v>
      </c>
      <c r="H530">
        <v>58</v>
      </c>
      <c r="I530" t="s">
        <v>243</v>
      </c>
    </row>
    <row r="531" spans="1:9" x14ac:dyDescent="0.3">
      <c r="A531">
        <v>207</v>
      </c>
      <c r="B531">
        <v>20</v>
      </c>
      <c r="C531" t="s">
        <v>71</v>
      </c>
      <c r="D531" t="s">
        <v>630</v>
      </c>
      <c r="E531">
        <v>15</v>
      </c>
      <c r="F531">
        <v>26</v>
      </c>
      <c r="G531">
        <v>2</v>
      </c>
      <c r="H531">
        <v>37</v>
      </c>
      <c r="I531" t="s">
        <v>242</v>
      </c>
    </row>
    <row r="532" spans="1:9" x14ac:dyDescent="0.3">
      <c r="A532">
        <v>207</v>
      </c>
      <c r="B532">
        <v>20</v>
      </c>
      <c r="C532" t="s">
        <v>56</v>
      </c>
      <c r="D532" t="s">
        <v>614</v>
      </c>
      <c r="E532">
        <v>19</v>
      </c>
      <c r="F532">
        <v>31</v>
      </c>
      <c r="G532">
        <v>3</v>
      </c>
      <c r="H532">
        <v>19</v>
      </c>
      <c r="I532" t="s">
        <v>243</v>
      </c>
    </row>
    <row r="533" spans="1:9" x14ac:dyDescent="0.3">
      <c r="A533">
        <v>207</v>
      </c>
      <c r="B533">
        <v>20</v>
      </c>
      <c r="C533" t="s">
        <v>19</v>
      </c>
      <c r="D533" t="s">
        <v>622</v>
      </c>
      <c r="E533">
        <v>21</v>
      </c>
      <c r="F533">
        <v>35</v>
      </c>
      <c r="G533">
        <v>1</v>
      </c>
      <c r="H533">
        <v>55</v>
      </c>
      <c r="I533" t="s">
        <v>243</v>
      </c>
    </row>
    <row r="534" spans="1:9" x14ac:dyDescent="0.3">
      <c r="A534">
        <v>208</v>
      </c>
      <c r="B534">
        <v>16</v>
      </c>
      <c r="C534" t="s">
        <v>105</v>
      </c>
      <c r="D534" t="s">
        <v>623</v>
      </c>
      <c r="E534">
        <v>19</v>
      </c>
      <c r="F534">
        <v>32</v>
      </c>
      <c r="G534">
        <v>1</v>
      </c>
      <c r="H534">
        <v>18</v>
      </c>
      <c r="I534" t="s">
        <v>243</v>
      </c>
    </row>
    <row r="535" spans="1:9" x14ac:dyDescent="0.3">
      <c r="A535">
        <v>208</v>
      </c>
      <c r="B535">
        <v>16</v>
      </c>
      <c r="C535" t="s">
        <v>44</v>
      </c>
      <c r="D535" t="s">
        <v>617</v>
      </c>
      <c r="E535">
        <v>22</v>
      </c>
      <c r="F535">
        <v>36</v>
      </c>
      <c r="G535">
        <v>3</v>
      </c>
      <c r="H535">
        <v>29</v>
      </c>
      <c r="I535" t="s">
        <v>243</v>
      </c>
    </row>
    <row r="536" spans="1:9" x14ac:dyDescent="0.3">
      <c r="A536">
        <v>208</v>
      </c>
      <c r="B536">
        <v>16</v>
      </c>
      <c r="C536" t="s">
        <v>66</v>
      </c>
      <c r="D536" t="s">
        <v>626</v>
      </c>
      <c r="E536">
        <v>12</v>
      </c>
      <c r="F536">
        <v>20</v>
      </c>
      <c r="G536">
        <v>2</v>
      </c>
      <c r="H536">
        <v>53</v>
      </c>
      <c r="I536" t="s">
        <v>242</v>
      </c>
    </row>
    <row r="537" spans="1:9" x14ac:dyDescent="0.3">
      <c r="A537">
        <v>209</v>
      </c>
      <c r="B537">
        <v>9</v>
      </c>
      <c r="C537" t="s">
        <v>60</v>
      </c>
      <c r="D537" t="s">
        <v>631</v>
      </c>
      <c r="E537">
        <v>15</v>
      </c>
      <c r="F537">
        <v>25</v>
      </c>
      <c r="G537">
        <v>1</v>
      </c>
      <c r="H537">
        <v>42</v>
      </c>
      <c r="I537" t="s">
        <v>242</v>
      </c>
    </row>
    <row r="538" spans="1:9" x14ac:dyDescent="0.3">
      <c r="A538">
        <v>209</v>
      </c>
      <c r="B538">
        <v>9</v>
      </c>
      <c r="C538" t="s">
        <v>71</v>
      </c>
      <c r="D538" t="s">
        <v>630</v>
      </c>
      <c r="E538">
        <v>15</v>
      </c>
      <c r="F538">
        <v>26</v>
      </c>
      <c r="G538">
        <v>2</v>
      </c>
      <c r="H538">
        <v>54</v>
      </c>
      <c r="I538" t="s">
        <v>242</v>
      </c>
    </row>
    <row r="539" spans="1:9" x14ac:dyDescent="0.3">
      <c r="A539">
        <v>209</v>
      </c>
      <c r="B539">
        <v>9</v>
      </c>
      <c r="C539" t="s">
        <v>89</v>
      </c>
      <c r="D539" t="s">
        <v>627</v>
      </c>
      <c r="E539">
        <v>14</v>
      </c>
      <c r="F539">
        <v>23</v>
      </c>
      <c r="G539">
        <v>3</v>
      </c>
      <c r="H539">
        <v>35</v>
      </c>
      <c r="I539" t="s">
        <v>243</v>
      </c>
    </row>
    <row r="540" spans="1:9" x14ac:dyDescent="0.3">
      <c r="A540">
        <v>209</v>
      </c>
      <c r="B540">
        <v>9</v>
      </c>
      <c r="C540" t="s">
        <v>38</v>
      </c>
      <c r="D540" t="s">
        <v>625</v>
      </c>
      <c r="E540">
        <v>20</v>
      </c>
      <c r="F540">
        <v>34</v>
      </c>
      <c r="G540">
        <v>2</v>
      </c>
      <c r="H540">
        <v>40</v>
      </c>
      <c r="I540" t="s">
        <v>243</v>
      </c>
    </row>
    <row r="541" spans="1:9" x14ac:dyDescent="0.3">
      <c r="A541">
        <v>210</v>
      </c>
      <c r="B541">
        <v>10</v>
      </c>
      <c r="C541" t="s">
        <v>42</v>
      </c>
      <c r="D541" t="s">
        <v>628</v>
      </c>
      <c r="E541">
        <v>13</v>
      </c>
      <c r="F541">
        <v>21</v>
      </c>
      <c r="G541">
        <v>1</v>
      </c>
      <c r="H541">
        <v>28</v>
      </c>
      <c r="I541" t="s">
        <v>243</v>
      </c>
    </row>
    <row r="542" spans="1:9" x14ac:dyDescent="0.3">
      <c r="A542">
        <v>210</v>
      </c>
      <c r="B542">
        <v>10</v>
      </c>
      <c r="C542" t="s">
        <v>40</v>
      </c>
      <c r="D542" t="s">
        <v>613</v>
      </c>
      <c r="E542">
        <v>18</v>
      </c>
      <c r="F542">
        <v>30</v>
      </c>
      <c r="G542">
        <v>1</v>
      </c>
      <c r="H542">
        <v>50</v>
      </c>
      <c r="I542" t="s">
        <v>242</v>
      </c>
    </row>
    <row r="543" spans="1:9" x14ac:dyDescent="0.3">
      <c r="A543">
        <v>210</v>
      </c>
      <c r="B543">
        <v>10</v>
      </c>
      <c r="C543" t="s">
        <v>34</v>
      </c>
      <c r="D543" t="s">
        <v>616</v>
      </c>
      <c r="E543">
        <v>25</v>
      </c>
      <c r="F543">
        <v>40</v>
      </c>
      <c r="G543">
        <v>3</v>
      </c>
      <c r="H543">
        <v>46</v>
      </c>
      <c r="I543" t="s">
        <v>242</v>
      </c>
    </row>
    <row r="544" spans="1:9" x14ac:dyDescent="0.3">
      <c r="A544">
        <v>210</v>
      </c>
      <c r="B544">
        <v>10</v>
      </c>
      <c r="C544" t="s">
        <v>75</v>
      </c>
      <c r="D544" t="s">
        <v>612</v>
      </c>
      <c r="E544">
        <v>14</v>
      </c>
      <c r="F544">
        <v>24</v>
      </c>
      <c r="G544">
        <v>1</v>
      </c>
      <c r="H544">
        <v>34</v>
      </c>
      <c r="I544" t="s">
        <v>242</v>
      </c>
    </row>
    <row r="545" spans="1:9" x14ac:dyDescent="0.3">
      <c r="A545">
        <v>211</v>
      </c>
      <c r="B545">
        <v>1</v>
      </c>
      <c r="C545" t="s">
        <v>60</v>
      </c>
      <c r="D545" t="s">
        <v>631</v>
      </c>
      <c r="E545">
        <v>15</v>
      </c>
      <c r="F545">
        <v>25</v>
      </c>
      <c r="G545">
        <v>2</v>
      </c>
      <c r="H545">
        <v>9</v>
      </c>
      <c r="I545" t="s">
        <v>242</v>
      </c>
    </row>
    <row r="546" spans="1:9" x14ac:dyDescent="0.3">
      <c r="A546">
        <v>211</v>
      </c>
      <c r="B546">
        <v>1</v>
      </c>
      <c r="C546" t="s">
        <v>42</v>
      </c>
      <c r="D546" t="s">
        <v>628</v>
      </c>
      <c r="E546">
        <v>13</v>
      </c>
      <c r="F546">
        <v>21</v>
      </c>
      <c r="G546">
        <v>3</v>
      </c>
      <c r="H546">
        <v>54</v>
      </c>
      <c r="I546" t="s">
        <v>243</v>
      </c>
    </row>
    <row r="547" spans="1:9" x14ac:dyDescent="0.3">
      <c r="A547">
        <v>211</v>
      </c>
      <c r="B547">
        <v>1</v>
      </c>
      <c r="C547" t="s">
        <v>66</v>
      </c>
      <c r="D547" t="s">
        <v>626</v>
      </c>
      <c r="E547">
        <v>12</v>
      </c>
      <c r="F547">
        <v>20</v>
      </c>
      <c r="G547">
        <v>1</v>
      </c>
      <c r="H547">
        <v>27</v>
      </c>
      <c r="I547" t="s">
        <v>242</v>
      </c>
    </row>
    <row r="548" spans="1:9" x14ac:dyDescent="0.3">
      <c r="A548">
        <v>211</v>
      </c>
      <c r="B548">
        <v>1</v>
      </c>
      <c r="C548" t="s">
        <v>46</v>
      </c>
      <c r="D548" t="s">
        <v>629</v>
      </c>
      <c r="E548">
        <v>10</v>
      </c>
      <c r="F548">
        <v>18</v>
      </c>
      <c r="G548">
        <v>2</v>
      </c>
      <c r="H548">
        <v>45</v>
      </c>
      <c r="I548" t="s">
        <v>242</v>
      </c>
    </row>
    <row r="549" spans="1:9" x14ac:dyDescent="0.3">
      <c r="A549">
        <v>212</v>
      </c>
      <c r="B549">
        <v>14</v>
      </c>
      <c r="C549" t="s">
        <v>71</v>
      </c>
      <c r="D549" t="s">
        <v>630</v>
      </c>
      <c r="E549">
        <v>15</v>
      </c>
      <c r="F549">
        <v>26</v>
      </c>
      <c r="G549">
        <v>3</v>
      </c>
      <c r="H549">
        <v>43</v>
      </c>
      <c r="I549" t="s">
        <v>243</v>
      </c>
    </row>
    <row r="550" spans="1:9" x14ac:dyDescent="0.3">
      <c r="A550">
        <v>212</v>
      </c>
      <c r="B550">
        <v>14</v>
      </c>
      <c r="C550" t="s">
        <v>42</v>
      </c>
      <c r="D550" t="s">
        <v>628</v>
      </c>
      <c r="E550">
        <v>13</v>
      </c>
      <c r="F550">
        <v>21</v>
      </c>
      <c r="G550">
        <v>1</v>
      </c>
      <c r="H550">
        <v>31</v>
      </c>
      <c r="I550" t="s">
        <v>243</v>
      </c>
    </row>
    <row r="551" spans="1:9" x14ac:dyDescent="0.3">
      <c r="A551">
        <v>212</v>
      </c>
      <c r="B551">
        <v>14</v>
      </c>
      <c r="C551" t="s">
        <v>30</v>
      </c>
      <c r="D551" t="s">
        <v>620</v>
      </c>
      <c r="E551">
        <v>16</v>
      </c>
      <c r="F551">
        <v>28</v>
      </c>
      <c r="G551">
        <v>2</v>
      </c>
      <c r="H551">
        <v>55</v>
      </c>
      <c r="I551" t="s">
        <v>243</v>
      </c>
    </row>
    <row r="552" spans="1:9" x14ac:dyDescent="0.3">
      <c r="A552">
        <v>212</v>
      </c>
      <c r="B552">
        <v>14</v>
      </c>
      <c r="C552" t="s">
        <v>40</v>
      </c>
      <c r="D552" t="s">
        <v>613</v>
      </c>
      <c r="E552">
        <v>18</v>
      </c>
      <c r="F552">
        <v>30</v>
      </c>
      <c r="G552">
        <v>3</v>
      </c>
      <c r="H552">
        <v>35</v>
      </c>
      <c r="I552" t="s">
        <v>243</v>
      </c>
    </row>
    <row r="553" spans="1:9" x14ac:dyDescent="0.3">
      <c r="A553">
        <v>213</v>
      </c>
      <c r="B553">
        <v>13</v>
      </c>
      <c r="C553" t="s">
        <v>40</v>
      </c>
      <c r="D553" t="s">
        <v>613</v>
      </c>
      <c r="E553">
        <v>18</v>
      </c>
      <c r="F553">
        <v>30</v>
      </c>
      <c r="G553">
        <v>2</v>
      </c>
      <c r="H553">
        <v>47</v>
      </c>
      <c r="I553" t="s">
        <v>243</v>
      </c>
    </row>
    <row r="554" spans="1:9" x14ac:dyDescent="0.3">
      <c r="A554">
        <v>213</v>
      </c>
      <c r="B554">
        <v>13</v>
      </c>
      <c r="C554" t="s">
        <v>50</v>
      </c>
      <c r="D554" t="s">
        <v>615</v>
      </c>
      <c r="E554">
        <v>16</v>
      </c>
      <c r="F554">
        <v>27</v>
      </c>
      <c r="G554">
        <v>1</v>
      </c>
      <c r="H554">
        <v>53</v>
      </c>
      <c r="I554" t="s">
        <v>242</v>
      </c>
    </row>
    <row r="555" spans="1:9" x14ac:dyDescent="0.3">
      <c r="A555">
        <v>214</v>
      </c>
      <c r="B555">
        <v>2</v>
      </c>
      <c r="C555" t="s">
        <v>38</v>
      </c>
      <c r="D555" t="s">
        <v>625</v>
      </c>
      <c r="E555">
        <v>20</v>
      </c>
      <c r="F555">
        <v>34</v>
      </c>
      <c r="G555">
        <v>2</v>
      </c>
      <c r="H555">
        <v>14</v>
      </c>
      <c r="I555" t="s">
        <v>242</v>
      </c>
    </row>
    <row r="556" spans="1:9" x14ac:dyDescent="0.3">
      <c r="A556">
        <v>214</v>
      </c>
      <c r="B556">
        <v>2</v>
      </c>
      <c r="C556" t="s">
        <v>34</v>
      </c>
      <c r="D556" t="s">
        <v>616</v>
      </c>
      <c r="E556">
        <v>25</v>
      </c>
      <c r="F556">
        <v>40</v>
      </c>
      <c r="G556">
        <v>3</v>
      </c>
      <c r="H556">
        <v>12</v>
      </c>
      <c r="I556" t="s">
        <v>243</v>
      </c>
    </row>
    <row r="557" spans="1:9" x14ac:dyDescent="0.3">
      <c r="A557">
        <v>214</v>
      </c>
      <c r="B557">
        <v>2</v>
      </c>
      <c r="C557" t="s">
        <v>66</v>
      </c>
      <c r="D557" t="s">
        <v>626</v>
      </c>
      <c r="E557">
        <v>12</v>
      </c>
      <c r="F557">
        <v>20</v>
      </c>
      <c r="G557">
        <v>2</v>
      </c>
      <c r="H557">
        <v>12</v>
      </c>
      <c r="I557" t="s">
        <v>243</v>
      </c>
    </row>
    <row r="558" spans="1:9" x14ac:dyDescent="0.3">
      <c r="A558">
        <v>215</v>
      </c>
      <c r="B558">
        <v>6</v>
      </c>
      <c r="C558" t="s">
        <v>38</v>
      </c>
      <c r="D558" t="s">
        <v>625</v>
      </c>
      <c r="E558">
        <v>20</v>
      </c>
      <c r="F558">
        <v>34</v>
      </c>
      <c r="G558">
        <v>2</v>
      </c>
      <c r="H558">
        <v>12</v>
      </c>
      <c r="I558" t="s">
        <v>242</v>
      </c>
    </row>
    <row r="559" spans="1:9" x14ac:dyDescent="0.3">
      <c r="A559">
        <v>215</v>
      </c>
      <c r="B559">
        <v>6</v>
      </c>
      <c r="C559" t="s">
        <v>40</v>
      </c>
      <c r="D559" t="s">
        <v>613</v>
      </c>
      <c r="E559">
        <v>18</v>
      </c>
      <c r="F559">
        <v>30</v>
      </c>
      <c r="G559">
        <v>3</v>
      </c>
      <c r="H559">
        <v>34</v>
      </c>
      <c r="I559" t="s">
        <v>242</v>
      </c>
    </row>
    <row r="560" spans="1:9" x14ac:dyDescent="0.3">
      <c r="A560">
        <v>216</v>
      </c>
      <c r="B560">
        <v>17</v>
      </c>
      <c r="C560" t="s">
        <v>60</v>
      </c>
      <c r="D560" t="s">
        <v>631</v>
      </c>
      <c r="E560">
        <v>15</v>
      </c>
      <c r="F560">
        <v>25</v>
      </c>
      <c r="G560">
        <v>1</v>
      </c>
      <c r="H560">
        <v>42</v>
      </c>
      <c r="I560" t="s">
        <v>242</v>
      </c>
    </row>
    <row r="561" spans="1:9" x14ac:dyDescent="0.3">
      <c r="A561">
        <v>216</v>
      </c>
      <c r="B561">
        <v>17</v>
      </c>
      <c r="C561" t="s">
        <v>42</v>
      </c>
      <c r="D561" t="s">
        <v>628</v>
      </c>
      <c r="E561">
        <v>13</v>
      </c>
      <c r="F561">
        <v>21</v>
      </c>
      <c r="G561">
        <v>3</v>
      </c>
      <c r="H561">
        <v>36</v>
      </c>
      <c r="I561" t="s">
        <v>242</v>
      </c>
    </row>
    <row r="562" spans="1:9" x14ac:dyDescent="0.3">
      <c r="A562">
        <v>216</v>
      </c>
      <c r="B562">
        <v>17</v>
      </c>
      <c r="C562" t="s">
        <v>50</v>
      </c>
      <c r="D562" t="s">
        <v>615</v>
      </c>
      <c r="E562">
        <v>16</v>
      </c>
      <c r="F562">
        <v>27</v>
      </c>
      <c r="G562">
        <v>2</v>
      </c>
      <c r="H562">
        <v>42</v>
      </c>
      <c r="I562" t="s">
        <v>242</v>
      </c>
    </row>
    <row r="563" spans="1:9" x14ac:dyDescent="0.3">
      <c r="A563">
        <v>217</v>
      </c>
      <c r="B563">
        <v>1</v>
      </c>
      <c r="C563" t="s">
        <v>105</v>
      </c>
      <c r="D563" t="s">
        <v>623</v>
      </c>
      <c r="E563">
        <v>19</v>
      </c>
      <c r="F563">
        <v>32</v>
      </c>
      <c r="G563">
        <v>3</v>
      </c>
      <c r="H563">
        <v>13</v>
      </c>
      <c r="I563" t="s">
        <v>243</v>
      </c>
    </row>
    <row r="564" spans="1:9" x14ac:dyDescent="0.3">
      <c r="A564">
        <v>218</v>
      </c>
      <c r="B564">
        <v>13</v>
      </c>
      <c r="C564" t="s">
        <v>53</v>
      </c>
      <c r="D564" t="s">
        <v>621</v>
      </c>
      <c r="E564">
        <v>11</v>
      </c>
      <c r="F564">
        <v>19</v>
      </c>
      <c r="G564">
        <v>3</v>
      </c>
      <c r="H564">
        <v>24</v>
      </c>
      <c r="I564" t="s">
        <v>243</v>
      </c>
    </row>
    <row r="565" spans="1:9" x14ac:dyDescent="0.3">
      <c r="A565">
        <v>218</v>
      </c>
      <c r="B565">
        <v>13</v>
      </c>
      <c r="C565" t="s">
        <v>89</v>
      </c>
      <c r="D565" t="s">
        <v>627</v>
      </c>
      <c r="E565">
        <v>14</v>
      </c>
      <c r="F565">
        <v>23</v>
      </c>
      <c r="G565">
        <v>2</v>
      </c>
      <c r="H565">
        <v>6</v>
      </c>
      <c r="I565" t="s">
        <v>242</v>
      </c>
    </row>
    <row r="566" spans="1:9" x14ac:dyDescent="0.3">
      <c r="A566">
        <v>218</v>
      </c>
      <c r="B566">
        <v>13</v>
      </c>
      <c r="C566" t="s">
        <v>50</v>
      </c>
      <c r="D566" t="s">
        <v>615</v>
      </c>
      <c r="E566">
        <v>16</v>
      </c>
      <c r="F566">
        <v>27</v>
      </c>
      <c r="G566">
        <v>3</v>
      </c>
      <c r="H566">
        <v>16</v>
      </c>
      <c r="I566" t="s">
        <v>242</v>
      </c>
    </row>
    <row r="567" spans="1:9" x14ac:dyDescent="0.3">
      <c r="A567">
        <v>219</v>
      </c>
      <c r="B567">
        <v>1</v>
      </c>
      <c r="C567" t="s">
        <v>89</v>
      </c>
      <c r="D567" t="s">
        <v>627</v>
      </c>
      <c r="E567">
        <v>14</v>
      </c>
      <c r="F567">
        <v>23</v>
      </c>
      <c r="G567">
        <v>2</v>
      </c>
      <c r="H567">
        <v>12</v>
      </c>
      <c r="I567" t="s">
        <v>242</v>
      </c>
    </row>
    <row r="568" spans="1:9" x14ac:dyDescent="0.3">
      <c r="A568">
        <v>219</v>
      </c>
      <c r="B568">
        <v>1</v>
      </c>
      <c r="C568" t="s">
        <v>56</v>
      </c>
      <c r="D568" t="s">
        <v>614</v>
      </c>
      <c r="E568">
        <v>19</v>
      </c>
      <c r="F568">
        <v>31</v>
      </c>
      <c r="G568">
        <v>3</v>
      </c>
      <c r="H568">
        <v>11</v>
      </c>
      <c r="I568" t="s">
        <v>243</v>
      </c>
    </row>
    <row r="569" spans="1:9" x14ac:dyDescent="0.3">
      <c r="A569">
        <v>220</v>
      </c>
      <c r="B569">
        <v>15</v>
      </c>
      <c r="C569" t="s">
        <v>75</v>
      </c>
      <c r="D569" t="s">
        <v>612</v>
      </c>
      <c r="E569">
        <v>14</v>
      </c>
      <c r="F569">
        <v>24</v>
      </c>
      <c r="G569">
        <v>1</v>
      </c>
      <c r="H569">
        <v>13</v>
      </c>
      <c r="I569" t="s">
        <v>242</v>
      </c>
    </row>
    <row r="570" spans="1:9" x14ac:dyDescent="0.3">
      <c r="A570">
        <v>221</v>
      </c>
      <c r="B570">
        <v>16</v>
      </c>
      <c r="C570" t="s">
        <v>105</v>
      </c>
      <c r="D570" t="s">
        <v>623</v>
      </c>
      <c r="E570">
        <v>19</v>
      </c>
      <c r="F570">
        <v>32</v>
      </c>
      <c r="G570">
        <v>3</v>
      </c>
      <c r="H570">
        <v>29</v>
      </c>
      <c r="I570" t="s">
        <v>242</v>
      </c>
    </row>
    <row r="571" spans="1:9" x14ac:dyDescent="0.3">
      <c r="A571">
        <v>221</v>
      </c>
      <c r="B571">
        <v>16</v>
      </c>
      <c r="C571" t="s">
        <v>38</v>
      </c>
      <c r="D571" t="s">
        <v>625</v>
      </c>
      <c r="E571">
        <v>20</v>
      </c>
      <c r="F571">
        <v>34</v>
      </c>
      <c r="G571">
        <v>2</v>
      </c>
      <c r="H571">
        <v>54</v>
      </c>
      <c r="I571" t="s">
        <v>243</v>
      </c>
    </row>
    <row r="572" spans="1:9" x14ac:dyDescent="0.3">
      <c r="A572">
        <v>221</v>
      </c>
      <c r="B572">
        <v>16</v>
      </c>
      <c r="C572" t="s">
        <v>26</v>
      </c>
      <c r="D572" t="s">
        <v>618</v>
      </c>
      <c r="E572">
        <v>17</v>
      </c>
      <c r="F572">
        <v>29</v>
      </c>
      <c r="G572">
        <v>1</v>
      </c>
      <c r="H572">
        <v>25</v>
      </c>
      <c r="I572" t="s">
        <v>242</v>
      </c>
    </row>
    <row r="573" spans="1:9" x14ac:dyDescent="0.3">
      <c r="A573">
        <v>222</v>
      </c>
      <c r="B573">
        <v>3</v>
      </c>
      <c r="C573" t="s">
        <v>89</v>
      </c>
      <c r="D573" t="s">
        <v>627</v>
      </c>
      <c r="E573">
        <v>14</v>
      </c>
      <c r="F573">
        <v>23</v>
      </c>
      <c r="G573">
        <v>3</v>
      </c>
      <c r="H573">
        <v>29</v>
      </c>
      <c r="I573" t="s">
        <v>242</v>
      </c>
    </row>
    <row r="574" spans="1:9" x14ac:dyDescent="0.3">
      <c r="A574">
        <v>222</v>
      </c>
      <c r="B574">
        <v>3</v>
      </c>
      <c r="C574" t="s">
        <v>30</v>
      </c>
      <c r="D574" t="s">
        <v>620</v>
      </c>
      <c r="E574">
        <v>16</v>
      </c>
      <c r="F574">
        <v>28</v>
      </c>
      <c r="G574">
        <v>1</v>
      </c>
      <c r="H574">
        <v>56</v>
      </c>
      <c r="I574" t="s">
        <v>242</v>
      </c>
    </row>
    <row r="575" spans="1:9" x14ac:dyDescent="0.3">
      <c r="A575">
        <v>223</v>
      </c>
      <c r="B575">
        <v>19</v>
      </c>
      <c r="C575" t="s">
        <v>105</v>
      </c>
      <c r="D575" t="s">
        <v>623</v>
      </c>
      <c r="E575">
        <v>19</v>
      </c>
      <c r="F575">
        <v>32</v>
      </c>
      <c r="G575">
        <v>1</v>
      </c>
      <c r="H575">
        <v>53</v>
      </c>
      <c r="I575" t="s">
        <v>242</v>
      </c>
    </row>
    <row r="576" spans="1:9" x14ac:dyDescent="0.3">
      <c r="A576">
        <v>224</v>
      </c>
      <c r="B576">
        <v>7</v>
      </c>
      <c r="C576" t="s">
        <v>71</v>
      </c>
      <c r="D576" t="s">
        <v>630</v>
      </c>
      <c r="E576">
        <v>15</v>
      </c>
      <c r="F576">
        <v>26</v>
      </c>
      <c r="G576">
        <v>2</v>
      </c>
      <c r="H576">
        <v>20</v>
      </c>
      <c r="I576" t="s">
        <v>242</v>
      </c>
    </row>
    <row r="577" spans="1:9" x14ac:dyDescent="0.3">
      <c r="A577">
        <v>225</v>
      </c>
      <c r="B577">
        <v>19</v>
      </c>
      <c r="C577" t="s">
        <v>112</v>
      </c>
      <c r="D577" t="s">
        <v>619</v>
      </c>
      <c r="E577">
        <v>20</v>
      </c>
      <c r="F577">
        <v>33</v>
      </c>
      <c r="G577">
        <v>3</v>
      </c>
      <c r="H577">
        <v>56</v>
      </c>
      <c r="I577" t="s">
        <v>243</v>
      </c>
    </row>
    <row r="578" spans="1:9" x14ac:dyDescent="0.3">
      <c r="A578">
        <v>225</v>
      </c>
      <c r="B578">
        <v>19</v>
      </c>
      <c r="C578" t="s">
        <v>89</v>
      </c>
      <c r="D578" t="s">
        <v>627</v>
      </c>
      <c r="E578">
        <v>14</v>
      </c>
      <c r="F578">
        <v>23</v>
      </c>
      <c r="G578">
        <v>3</v>
      </c>
      <c r="H578">
        <v>38</v>
      </c>
      <c r="I578" t="s">
        <v>243</v>
      </c>
    </row>
    <row r="579" spans="1:9" x14ac:dyDescent="0.3">
      <c r="A579">
        <v>226</v>
      </c>
      <c r="B579">
        <v>7</v>
      </c>
      <c r="C579" t="s">
        <v>42</v>
      </c>
      <c r="D579" t="s">
        <v>628</v>
      </c>
      <c r="E579">
        <v>13</v>
      </c>
      <c r="F579">
        <v>21</v>
      </c>
      <c r="G579">
        <v>1</v>
      </c>
      <c r="H579">
        <v>29</v>
      </c>
      <c r="I579" t="s">
        <v>243</v>
      </c>
    </row>
    <row r="580" spans="1:9" x14ac:dyDescent="0.3">
      <c r="A580">
        <v>226</v>
      </c>
      <c r="B580">
        <v>7</v>
      </c>
      <c r="C580" t="s">
        <v>66</v>
      </c>
      <c r="D580" t="s">
        <v>626</v>
      </c>
      <c r="E580">
        <v>12</v>
      </c>
      <c r="F580">
        <v>20</v>
      </c>
      <c r="G580">
        <v>2</v>
      </c>
      <c r="H580">
        <v>7</v>
      </c>
      <c r="I580" t="s">
        <v>242</v>
      </c>
    </row>
    <row r="581" spans="1:9" x14ac:dyDescent="0.3">
      <c r="A581">
        <v>226</v>
      </c>
      <c r="B581">
        <v>7</v>
      </c>
      <c r="C581" t="s">
        <v>50</v>
      </c>
      <c r="D581" t="s">
        <v>615</v>
      </c>
      <c r="E581">
        <v>16</v>
      </c>
      <c r="F581">
        <v>27</v>
      </c>
      <c r="G581">
        <v>3</v>
      </c>
      <c r="H581">
        <v>56</v>
      </c>
      <c r="I581" t="s">
        <v>242</v>
      </c>
    </row>
    <row r="582" spans="1:9" x14ac:dyDescent="0.3">
      <c r="A582">
        <v>226</v>
      </c>
      <c r="B582">
        <v>7</v>
      </c>
      <c r="C582" t="s">
        <v>26</v>
      </c>
      <c r="D582" t="s">
        <v>618</v>
      </c>
      <c r="E582">
        <v>17</v>
      </c>
      <c r="F582">
        <v>29</v>
      </c>
      <c r="G582">
        <v>1</v>
      </c>
      <c r="H582">
        <v>54</v>
      </c>
      <c r="I582" t="s">
        <v>243</v>
      </c>
    </row>
    <row r="583" spans="1:9" x14ac:dyDescent="0.3">
      <c r="A583">
        <v>227</v>
      </c>
      <c r="B583">
        <v>17</v>
      </c>
      <c r="C583" t="s">
        <v>112</v>
      </c>
      <c r="D583" t="s">
        <v>619</v>
      </c>
      <c r="E583">
        <v>20</v>
      </c>
      <c r="F583">
        <v>33</v>
      </c>
      <c r="G583">
        <v>2</v>
      </c>
      <c r="H583">
        <v>33</v>
      </c>
      <c r="I583" t="s">
        <v>242</v>
      </c>
    </row>
    <row r="584" spans="1:9" x14ac:dyDescent="0.3">
      <c r="A584">
        <v>227</v>
      </c>
      <c r="B584">
        <v>17</v>
      </c>
      <c r="C584" t="s">
        <v>30</v>
      </c>
      <c r="D584" t="s">
        <v>620</v>
      </c>
      <c r="E584">
        <v>16</v>
      </c>
      <c r="F584">
        <v>28</v>
      </c>
      <c r="G584">
        <v>1</v>
      </c>
      <c r="H584">
        <v>13</v>
      </c>
      <c r="I584" t="s">
        <v>242</v>
      </c>
    </row>
    <row r="585" spans="1:9" x14ac:dyDescent="0.3">
      <c r="A585">
        <v>227</v>
      </c>
      <c r="B585">
        <v>17</v>
      </c>
      <c r="C585" t="s">
        <v>56</v>
      </c>
      <c r="D585" t="s">
        <v>614</v>
      </c>
      <c r="E585">
        <v>19</v>
      </c>
      <c r="F585">
        <v>31</v>
      </c>
      <c r="G585">
        <v>3</v>
      </c>
      <c r="H585">
        <v>15</v>
      </c>
      <c r="I585" t="s">
        <v>243</v>
      </c>
    </row>
    <row r="586" spans="1:9" x14ac:dyDescent="0.3">
      <c r="A586">
        <v>227</v>
      </c>
      <c r="B586">
        <v>17</v>
      </c>
      <c r="C586" t="s">
        <v>75</v>
      </c>
      <c r="D586" t="s">
        <v>612</v>
      </c>
      <c r="E586">
        <v>14</v>
      </c>
      <c r="F586">
        <v>24</v>
      </c>
      <c r="G586">
        <v>1</v>
      </c>
      <c r="H586">
        <v>58</v>
      </c>
      <c r="I586" t="s">
        <v>242</v>
      </c>
    </row>
    <row r="587" spans="1:9" x14ac:dyDescent="0.3">
      <c r="A587">
        <v>228</v>
      </c>
      <c r="B587">
        <v>16</v>
      </c>
      <c r="C587" t="s">
        <v>89</v>
      </c>
      <c r="D587" t="s">
        <v>627</v>
      </c>
      <c r="E587">
        <v>14</v>
      </c>
      <c r="F587">
        <v>23</v>
      </c>
      <c r="G587">
        <v>3</v>
      </c>
      <c r="H587">
        <v>35</v>
      </c>
      <c r="I587" t="s">
        <v>242</v>
      </c>
    </row>
    <row r="588" spans="1:9" x14ac:dyDescent="0.3">
      <c r="A588">
        <v>229</v>
      </c>
      <c r="B588">
        <v>14</v>
      </c>
      <c r="C588" t="s">
        <v>60</v>
      </c>
      <c r="D588" t="s">
        <v>631</v>
      </c>
      <c r="E588">
        <v>15</v>
      </c>
      <c r="F588">
        <v>25</v>
      </c>
      <c r="G588">
        <v>1</v>
      </c>
      <c r="H588">
        <v>28</v>
      </c>
      <c r="I588" t="s">
        <v>243</v>
      </c>
    </row>
    <row r="589" spans="1:9" x14ac:dyDescent="0.3">
      <c r="A589">
        <v>229</v>
      </c>
      <c r="B589">
        <v>14</v>
      </c>
      <c r="C589" t="s">
        <v>30</v>
      </c>
      <c r="D589" t="s">
        <v>620</v>
      </c>
      <c r="E589">
        <v>16</v>
      </c>
      <c r="F589">
        <v>28</v>
      </c>
      <c r="G589">
        <v>1</v>
      </c>
      <c r="H589">
        <v>27</v>
      </c>
      <c r="I589" t="s">
        <v>243</v>
      </c>
    </row>
    <row r="590" spans="1:9" x14ac:dyDescent="0.3">
      <c r="A590">
        <v>229</v>
      </c>
      <c r="B590">
        <v>14</v>
      </c>
      <c r="C590" t="s">
        <v>44</v>
      </c>
      <c r="D590" t="s">
        <v>617</v>
      </c>
      <c r="E590">
        <v>22</v>
      </c>
      <c r="F590">
        <v>36</v>
      </c>
      <c r="G590">
        <v>1</v>
      </c>
      <c r="H590">
        <v>19</v>
      </c>
      <c r="I590" t="s">
        <v>243</v>
      </c>
    </row>
    <row r="591" spans="1:9" x14ac:dyDescent="0.3">
      <c r="A591">
        <v>229</v>
      </c>
      <c r="B591">
        <v>14</v>
      </c>
      <c r="C591" t="s">
        <v>19</v>
      </c>
      <c r="D591" t="s">
        <v>622</v>
      </c>
      <c r="E591">
        <v>21</v>
      </c>
      <c r="F591">
        <v>35</v>
      </c>
      <c r="G591">
        <v>1</v>
      </c>
      <c r="H591">
        <v>43</v>
      </c>
      <c r="I591" t="s">
        <v>242</v>
      </c>
    </row>
    <row r="592" spans="1:9" x14ac:dyDescent="0.3">
      <c r="A592">
        <v>230</v>
      </c>
      <c r="B592">
        <v>5</v>
      </c>
      <c r="C592" t="s">
        <v>105</v>
      </c>
      <c r="D592" t="s">
        <v>623</v>
      </c>
      <c r="E592">
        <v>19</v>
      </c>
      <c r="F592">
        <v>32</v>
      </c>
      <c r="G592">
        <v>3</v>
      </c>
      <c r="H592">
        <v>10</v>
      </c>
      <c r="I592" t="s">
        <v>243</v>
      </c>
    </row>
    <row r="593" spans="1:9" x14ac:dyDescent="0.3">
      <c r="A593">
        <v>230</v>
      </c>
      <c r="B593">
        <v>5</v>
      </c>
      <c r="C593" t="s">
        <v>30</v>
      </c>
      <c r="D593" t="s">
        <v>620</v>
      </c>
      <c r="E593">
        <v>16</v>
      </c>
      <c r="F593">
        <v>28</v>
      </c>
      <c r="G593">
        <v>2</v>
      </c>
      <c r="H593">
        <v>24</v>
      </c>
      <c r="I593" t="s">
        <v>243</v>
      </c>
    </row>
    <row r="594" spans="1:9" x14ac:dyDescent="0.3">
      <c r="A594">
        <v>230</v>
      </c>
      <c r="B594">
        <v>5</v>
      </c>
      <c r="C594" t="s">
        <v>56</v>
      </c>
      <c r="D594" t="s">
        <v>614</v>
      </c>
      <c r="E594">
        <v>19</v>
      </c>
      <c r="F594">
        <v>31</v>
      </c>
      <c r="G594">
        <v>2</v>
      </c>
      <c r="H594">
        <v>57</v>
      </c>
      <c r="I594" t="s">
        <v>243</v>
      </c>
    </row>
    <row r="595" spans="1:9" x14ac:dyDescent="0.3">
      <c r="A595">
        <v>231</v>
      </c>
      <c r="B595">
        <v>8</v>
      </c>
      <c r="C595" t="s">
        <v>112</v>
      </c>
      <c r="D595" t="s">
        <v>619</v>
      </c>
      <c r="E595">
        <v>20</v>
      </c>
      <c r="F595">
        <v>33</v>
      </c>
      <c r="G595">
        <v>1</v>
      </c>
      <c r="H595">
        <v>51</v>
      </c>
      <c r="I595" t="s">
        <v>242</v>
      </c>
    </row>
    <row r="596" spans="1:9" x14ac:dyDescent="0.3">
      <c r="A596">
        <v>231</v>
      </c>
      <c r="B596">
        <v>8</v>
      </c>
      <c r="C596" t="s">
        <v>42</v>
      </c>
      <c r="D596" t="s">
        <v>628</v>
      </c>
      <c r="E596">
        <v>13</v>
      </c>
      <c r="F596">
        <v>21</v>
      </c>
      <c r="G596">
        <v>2</v>
      </c>
      <c r="H596">
        <v>29</v>
      </c>
      <c r="I596" t="s">
        <v>243</v>
      </c>
    </row>
    <row r="597" spans="1:9" x14ac:dyDescent="0.3">
      <c r="A597">
        <v>231</v>
      </c>
      <c r="B597">
        <v>8</v>
      </c>
      <c r="C597" t="s">
        <v>56</v>
      </c>
      <c r="D597" t="s">
        <v>614</v>
      </c>
      <c r="E597">
        <v>19</v>
      </c>
      <c r="F597">
        <v>31</v>
      </c>
      <c r="G597">
        <v>1</v>
      </c>
      <c r="H597">
        <v>53</v>
      </c>
      <c r="I597" t="s">
        <v>243</v>
      </c>
    </row>
    <row r="598" spans="1:9" x14ac:dyDescent="0.3">
      <c r="A598">
        <v>231</v>
      </c>
      <c r="B598">
        <v>8</v>
      </c>
      <c r="C598" t="s">
        <v>38</v>
      </c>
      <c r="D598" t="s">
        <v>625</v>
      </c>
      <c r="E598">
        <v>20</v>
      </c>
      <c r="F598">
        <v>34</v>
      </c>
      <c r="G598">
        <v>3</v>
      </c>
      <c r="H598">
        <v>17</v>
      </c>
      <c r="I598" t="s">
        <v>243</v>
      </c>
    </row>
    <row r="599" spans="1:9" x14ac:dyDescent="0.3">
      <c r="A599">
        <v>232</v>
      </c>
      <c r="B599">
        <v>2</v>
      </c>
      <c r="C599" t="s">
        <v>71</v>
      </c>
      <c r="D599" t="s">
        <v>630</v>
      </c>
      <c r="E599">
        <v>15</v>
      </c>
      <c r="F599">
        <v>26</v>
      </c>
      <c r="G599">
        <v>2</v>
      </c>
      <c r="H599">
        <v>19</v>
      </c>
      <c r="I599" t="s">
        <v>242</v>
      </c>
    </row>
    <row r="600" spans="1:9" x14ac:dyDescent="0.3">
      <c r="A600">
        <v>232</v>
      </c>
      <c r="B600">
        <v>2</v>
      </c>
      <c r="C600" t="s">
        <v>40</v>
      </c>
      <c r="D600" t="s">
        <v>613</v>
      </c>
      <c r="E600">
        <v>18</v>
      </c>
      <c r="F600">
        <v>30</v>
      </c>
      <c r="G600">
        <v>2</v>
      </c>
      <c r="H600">
        <v>40</v>
      </c>
      <c r="I600" t="s">
        <v>243</v>
      </c>
    </row>
    <row r="601" spans="1:9" x14ac:dyDescent="0.3">
      <c r="A601">
        <v>232</v>
      </c>
      <c r="B601">
        <v>2</v>
      </c>
      <c r="C601" t="s">
        <v>50</v>
      </c>
      <c r="D601" t="s">
        <v>615</v>
      </c>
      <c r="E601">
        <v>16</v>
      </c>
      <c r="F601">
        <v>27</v>
      </c>
      <c r="G601">
        <v>2</v>
      </c>
      <c r="H601">
        <v>30</v>
      </c>
      <c r="I601" t="s">
        <v>243</v>
      </c>
    </row>
    <row r="602" spans="1:9" x14ac:dyDescent="0.3">
      <c r="A602">
        <v>232</v>
      </c>
      <c r="B602">
        <v>2</v>
      </c>
      <c r="C602" t="s">
        <v>75</v>
      </c>
      <c r="D602" t="s">
        <v>612</v>
      </c>
      <c r="E602">
        <v>14</v>
      </c>
      <c r="F602">
        <v>24</v>
      </c>
      <c r="G602">
        <v>1</v>
      </c>
      <c r="H602">
        <v>50</v>
      </c>
      <c r="I602" t="s">
        <v>243</v>
      </c>
    </row>
    <row r="603" spans="1:9" x14ac:dyDescent="0.3">
      <c r="A603">
        <v>233</v>
      </c>
      <c r="B603">
        <v>8</v>
      </c>
      <c r="C603" t="s">
        <v>53</v>
      </c>
      <c r="D603" t="s">
        <v>621</v>
      </c>
      <c r="E603">
        <v>11</v>
      </c>
      <c r="F603">
        <v>19</v>
      </c>
      <c r="G603">
        <v>2</v>
      </c>
      <c r="H603">
        <v>31</v>
      </c>
      <c r="I603" t="s">
        <v>243</v>
      </c>
    </row>
    <row r="604" spans="1:9" x14ac:dyDescent="0.3">
      <c r="A604">
        <v>234</v>
      </c>
      <c r="B604">
        <v>17</v>
      </c>
      <c r="C604" t="s">
        <v>56</v>
      </c>
      <c r="D604" t="s">
        <v>614</v>
      </c>
      <c r="E604">
        <v>19</v>
      </c>
      <c r="F604">
        <v>31</v>
      </c>
      <c r="G604">
        <v>3</v>
      </c>
      <c r="H604">
        <v>23</v>
      </c>
      <c r="I604" t="s">
        <v>243</v>
      </c>
    </row>
    <row r="605" spans="1:9" x14ac:dyDescent="0.3">
      <c r="A605">
        <v>234</v>
      </c>
      <c r="B605">
        <v>17</v>
      </c>
      <c r="C605" t="s">
        <v>40</v>
      </c>
      <c r="D605" t="s">
        <v>613</v>
      </c>
      <c r="E605">
        <v>18</v>
      </c>
      <c r="F605">
        <v>30</v>
      </c>
      <c r="G605">
        <v>2</v>
      </c>
      <c r="H605">
        <v>41</v>
      </c>
      <c r="I605" t="s">
        <v>243</v>
      </c>
    </row>
    <row r="606" spans="1:9" x14ac:dyDescent="0.3">
      <c r="A606">
        <v>234</v>
      </c>
      <c r="B606">
        <v>17</v>
      </c>
      <c r="C606" t="s">
        <v>75</v>
      </c>
      <c r="D606" t="s">
        <v>612</v>
      </c>
      <c r="E606">
        <v>14</v>
      </c>
      <c r="F606">
        <v>24</v>
      </c>
      <c r="G606">
        <v>3</v>
      </c>
      <c r="H606">
        <v>35</v>
      </c>
      <c r="I606" t="s">
        <v>242</v>
      </c>
    </row>
    <row r="607" spans="1:9" x14ac:dyDescent="0.3">
      <c r="A607">
        <v>235</v>
      </c>
      <c r="B607">
        <v>13</v>
      </c>
      <c r="C607" t="s">
        <v>112</v>
      </c>
      <c r="D607" t="s">
        <v>619</v>
      </c>
      <c r="E607">
        <v>20</v>
      </c>
      <c r="F607">
        <v>33</v>
      </c>
      <c r="G607">
        <v>1</v>
      </c>
      <c r="H607">
        <v>25</v>
      </c>
      <c r="I607" t="s">
        <v>242</v>
      </c>
    </row>
    <row r="608" spans="1:9" x14ac:dyDescent="0.3">
      <c r="A608">
        <v>236</v>
      </c>
      <c r="B608">
        <v>12</v>
      </c>
      <c r="C608" t="s">
        <v>112</v>
      </c>
      <c r="D608" t="s">
        <v>619</v>
      </c>
      <c r="E608">
        <v>20</v>
      </c>
      <c r="F608">
        <v>33</v>
      </c>
      <c r="G608">
        <v>3</v>
      </c>
      <c r="H608">
        <v>21</v>
      </c>
      <c r="I608" t="s">
        <v>242</v>
      </c>
    </row>
    <row r="609" spans="1:9" x14ac:dyDescent="0.3">
      <c r="A609">
        <v>236</v>
      </c>
      <c r="B609">
        <v>12</v>
      </c>
      <c r="C609" t="s">
        <v>105</v>
      </c>
      <c r="D609" t="s">
        <v>623</v>
      </c>
      <c r="E609">
        <v>19</v>
      </c>
      <c r="F609">
        <v>32</v>
      </c>
      <c r="G609">
        <v>2</v>
      </c>
      <c r="H609">
        <v>30</v>
      </c>
      <c r="I609" t="s">
        <v>242</v>
      </c>
    </row>
    <row r="610" spans="1:9" x14ac:dyDescent="0.3">
      <c r="A610">
        <v>236</v>
      </c>
      <c r="B610">
        <v>12</v>
      </c>
      <c r="C610" t="s">
        <v>92</v>
      </c>
      <c r="D610" t="s">
        <v>624</v>
      </c>
      <c r="E610">
        <v>13</v>
      </c>
      <c r="F610">
        <v>22</v>
      </c>
      <c r="G610">
        <v>1</v>
      </c>
      <c r="H610">
        <v>7</v>
      </c>
      <c r="I610" t="s">
        <v>242</v>
      </c>
    </row>
    <row r="611" spans="1:9" x14ac:dyDescent="0.3">
      <c r="A611">
        <v>236</v>
      </c>
      <c r="B611">
        <v>12</v>
      </c>
      <c r="C611" t="s">
        <v>19</v>
      </c>
      <c r="D611" t="s">
        <v>622</v>
      </c>
      <c r="E611">
        <v>21</v>
      </c>
      <c r="F611">
        <v>35</v>
      </c>
      <c r="G611">
        <v>2</v>
      </c>
      <c r="H611">
        <v>43</v>
      </c>
      <c r="I611" t="s">
        <v>243</v>
      </c>
    </row>
    <row r="612" spans="1:9" x14ac:dyDescent="0.3">
      <c r="A612">
        <v>237</v>
      </c>
      <c r="B612">
        <v>4</v>
      </c>
      <c r="C612" t="s">
        <v>89</v>
      </c>
      <c r="D612" t="s">
        <v>627</v>
      </c>
      <c r="E612">
        <v>14</v>
      </c>
      <c r="F612">
        <v>23</v>
      </c>
      <c r="G612">
        <v>2</v>
      </c>
      <c r="H612">
        <v>12</v>
      </c>
      <c r="I612" t="s">
        <v>242</v>
      </c>
    </row>
    <row r="613" spans="1:9" x14ac:dyDescent="0.3">
      <c r="A613">
        <v>237</v>
      </c>
      <c r="B613">
        <v>4</v>
      </c>
      <c r="C613" t="s">
        <v>40</v>
      </c>
      <c r="D613" t="s">
        <v>613</v>
      </c>
      <c r="E613">
        <v>18</v>
      </c>
      <c r="F613">
        <v>30</v>
      </c>
      <c r="G613">
        <v>2</v>
      </c>
      <c r="H613">
        <v>25</v>
      </c>
      <c r="I613" t="s">
        <v>243</v>
      </c>
    </row>
    <row r="614" spans="1:9" x14ac:dyDescent="0.3">
      <c r="A614">
        <v>238</v>
      </c>
      <c r="B614">
        <v>13</v>
      </c>
      <c r="C614" t="s">
        <v>44</v>
      </c>
      <c r="D614" t="s">
        <v>617</v>
      </c>
      <c r="E614">
        <v>22</v>
      </c>
      <c r="F614">
        <v>36</v>
      </c>
      <c r="G614">
        <v>2</v>
      </c>
      <c r="H614">
        <v>45</v>
      </c>
      <c r="I614" t="s">
        <v>243</v>
      </c>
    </row>
    <row r="615" spans="1:9" x14ac:dyDescent="0.3">
      <c r="A615">
        <v>239</v>
      </c>
      <c r="B615">
        <v>12</v>
      </c>
      <c r="C615" t="s">
        <v>71</v>
      </c>
      <c r="D615" t="s">
        <v>630</v>
      </c>
      <c r="E615">
        <v>15</v>
      </c>
      <c r="F615">
        <v>26</v>
      </c>
      <c r="G615">
        <v>1</v>
      </c>
      <c r="H615">
        <v>36</v>
      </c>
      <c r="I615" t="s">
        <v>242</v>
      </c>
    </row>
    <row r="616" spans="1:9" x14ac:dyDescent="0.3">
      <c r="A616">
        <v>239</v>
      </c>
      <c r="B616">
        <v>12</v>
      </c>
      <c r="C616" t="s">
        <v>75</v>
      </c>
      <c r="D616" t="s">
        <v>612</v>
      </c>
      <c r="E616">
        <v>14</v>
      </c>
      <c r="F616">
        <v>24</v>
      </c>
      <c r="G616">
        <v>2</v>
      </c>
      <c r="H616">
        <v>37</v>
      </c>
      <c r="I616" t="s">
        <v>242</v>
      </c>
    </row>
    <row r="617" spans="1:9" x14ac:dyDescent="0.3">
      <c r="A617">
        <v>240</v>
      </c>
      <c r="B617">
        <v>9</v>
      </c>
      <c r="C617" t="s">
        <v>89</v>
      </c>
      <c r="D617" t="s">
        <v>627</v>
      </c>
      <c r="E617">
        <v>14</v>
      </c>
      <c r="F617">
        <v>23</v>
      </c>
      <c r="G617">
        <v>3</v>
      </c>
      <c r="H617">
        <v>32</v>
      </c>
      <c r="I617" t="s">
        <v>243</v>
      </c>
    </row>
    <row r="618" spans="1:9" x14ac:dyDescent="0.3">
      <c r="A618">
        <v>240</v>
      </c>
      <c r="B618">
        <v>9</v>
      </c>
      <c r="C618" t="s">
        <v>105</v>
      </c>
      <c r="D618" t="s">
        <v>623</v>
      </c>
      <c r="E618">
        <v>19</v>
      </c>
      <c r="F618">
        <v>32</v>
      </c>
      <c r="G618">
        <v>3</v>
      </c>
      <c r="H618">
        <v>19</v>
      </c>
      <c r="I618" t="s">
        <v>242</v>
      </c>
    </row>
    <row r="619" spans="1:9" x14ac:dyDescent="0.3">
      <c r="A619">
        <v>240</v>
      </c>
      <c r="B619">
        <v>9</v>
      </c>
      <c r="C619" t="s">
        <v>56</v>
      </c>
      <c r="D619" t="s">
        <v>614</v>
      </c>
      <c r="E619">
        <v>19</v>
      </c>
      <c r="F619">
        <v>31</v>
      </c>
      <c r="G619">
        <v>3</v>
      </c>
      <c r="H619">
        <v>32</v>
      </c>
      <c r="I619" t="s">
        <v>243</v>
      </c>
    </row>
    <row r="620" spans="1:9" x14ac:dyDescent="0.3">
      <c r="A620">
        <v>240</v>
      </c>
      <c r="B620">
        <v>9</v>
      </c>
      <c r="C620" t="s">
        <v>46</v>
      </c>
      <c r="D620" t="s">
        <v>629</v>
      </c>
      <c r="E620">
        <v>10</v>
      </c>
      <c r="F620">
        <v>18</v>
      </c>
      <c r="G620">
        <v>2</v>
      </c>
      <c r="H620">
        <v>46</v>
      </c>
      <c r="I620" t="s">
        <v>242</v>
      </c>
    </row>
    <row r="621" spans="1:9" x14ac:dyDescent="0.3">
      <c r="A621">
        <v>241</v>
      </c>
      <c r="B621">
        <v>12</v>
      </c>
      <c r="C621" t="s">
        <v>46</v>
      </c>
      <c r="D621" t="s">
        <v>629</v>
      </c>
      <c r="E621">
        <v>10</v>
      </c>
      <c r="F621">
        <v>18</v>
      </c>
      <c r="G621">
        <v>1</v>
      </c>
      <c r="H621">
        <v>11</v>
      </c>
      <c r="I621" t="s">
        <v>243</v>
      </c>
    </row>
    <row r="622" spans="1:9" x14ac:dyDescent="0.3">
      <c r="A622">
        <v>242</v>
      </c>
      <c r="B622">
        <v>12</v>
      </c>
      <c r="C622" t="s">
        <v>60</v>
      </c>
      <c r="D622" t="s">
        <v>631</v>
      </c>
      <c r="E622">
        <v>15</v>
      </c>
      <c r="F622">
        <v>25</v>
      </c>
      <c r="G622">
        <v>3</v>
      </c>
      <c r="H622">
        <v>40</v>
      </c>
      <c r="I622" t="s">
        <v>243</v>
      </c>
    </row>
    <row r="623" spans="1:9" x14ac:dyDescent="0.3">
      <c r="A623">
        <v>242</v>
      </c>
      <c r="B623">
        <v>12</v>
      </c>
      <c r="C623" t="s">
        <v>71</v>
      </c>
      <c r="D623" t="s">
        <v>630</v>
      </c>
      <c r="E623">
        <v>15</v>
      </c>
      <c r="F623">
        <v>26</v>
      </c>
      <c r="G623">
        <v>1</v>
      </c>
      <c r="H623">
        <v>54</v>
      </c>
      <c r="I623" t="s">
        <v>242</v>
      </c>
    </row>
    <row r="624" spans="1:9" x14ac:dyDescent="0.3">
      <c r="A624">
        <v>242</v>
      </c>
      <c r="B624">
        <v>12</v>
      </c>
      <c r="C624" t="s">
        <v>112</v>
      </c>
      <c r="D624" t="s">
        <v>619</v>
      </c>
      <c r="E624">
        <v>20</v>
      </c>
      <c r="F624">
        <v>33</v>
      </c>
      <c r="G624">
        <v>1</v>
      </c>
      <c r="H624">
        <v>5</v>
      </c>
      <c r="I624" t="s">
        <v>242</v>
      </c>
    </row>
    <row r="625" spans="1:9" x14ac:dyDescent="0.3">
      <c r="A625">
        <v>243</v>
      </c>
      <c r="B625">
        <v>4</v>
      </c>
      <c r="C625" t="s">
        <v>34</v>
      </c>
      <c r="D625" t="s">
        <v>616</v>
      </c>
      <c r="E625">
        <v>25</v>
      </c>
      <c r="F625">
        <v>40</v>
      </c>
      <c r="G625">
        <v>3</v>
      </c>
      <c r="H625">
        <v>22</v>
      </c>
      <c r="I625" t="s">
        <v>243</v>
      </c>
    </row>
    <row r="626" spans="1:9" x14ac:dyDescent="0.3">
      <c r="A626">
        <v>244</v>
      </c>
      <c r="B626">
        <v>17</v>
      </c>
      <c r="C626" t="s">
        <v>53</v>
      </c>
      <c r="D626" t="s">
        <v>621</v>
      </c>
      <c r="E626">
        <v>11</v>
      </c>
      <c r="F626">
        <v>19</v>
      </c>
      <c r="G626">
        <v>2</v>
      </c>
      <c r="H626">
        <v>59</v>
      </c>
      <c r="I626" t="s">
        <v>242</v>
      </c>
    </row>
    <row r="627" spans="1:9" x14ac:dyDescent="0.3">
      <c r="A627">
        <v>244</v>
      </c>
      <c r="B627">
        <v>17</v>
      </c>
      <c r="C627" t="s">
        <v>34</v>
      </c>
      <c r="D627" t="s">
        <v>616</v>
      </c>
      <c r="E627">
        <v>25</v>
      </c>
      <c r="F627">
        <v>40</v>
      </c>
      <c r="G627">
        <v>3</v>
      </c>
      <c r="H627">
        <v>30</v>
      </c>
      <c r="I627" t="s">
        <v>242</v>
      </c>
    </row>
    <row r="628" spans="1:9" x14ac:dyDescent="0.3">
      <c r="A628">
        <v>245</v>
      </c>
      <c r="B628">
        <v>11</v>
      </c>
      <c r="C628" t="s">
        <v>56</v>
      </c>
      <c r="D628" t="s">
        <v>614</v>
      </c>
      <c r="E628">
        <v>19</v>
      </c>
      <c r="F628">
        <v>31</v>
      </c>
      <c r="G628">
        <v>1</v>
      </c>
      <c r="H628">
        <v>23</v>
      </c>
      <c r="I628" t="s">
        <v>242</v>
      </c>
    </row>
    <row r="629" spans="1:9" x14ac:dyDescent="0.3">
      <c r="A629">
        <v>245</v>
      </c>
      <c r="B629">
        <v>11</v>
      </c>
      <c r="C629" t="s">
        <v>44</v>
      </c>
      <c r="D629" t="s">
        <v>617</v>
      </c>
      <c r="E629">
        <v>22</v>
      </c>
      <c r="F629">
        <v>36</v>
      </c>
      <c r="G629">
        <v>3</v>
      </c>
      <c r="H629">
        <v>25</v>
      </c>
      <c r="I629" t="s">
        <v>243</v>
      </c>
    </row>
    <row r="630" spans="1:9" x14ac:dyDescent="0.3">
      <c r="A630">
        <v>245</v>
      </c>
      <c r="B630">
        <v>11</v>
      </c>
      <c r="C630" t="s">
        <v>34</v>
      </c>
      <c r="D630" t="s">
        <v>616</v>
      </c>
      <c r="E630">
        <v>25</v>
      </c>
      <c r="F630">
        <v>40</v>
      </c>
      <c r="G630">
        <v>2</v>
      </c>
      <c r="H630">
        <v>23</v>
      </c>
      <c r="I630" t="s">
        <v>242</v>
      </c>
    </row>
    <row r="631" spans="1:9" x14ac:dyDescent="0.3">
      <c r="A631">
        <v>245</v>
      </c>
      <c r="B631">
        <v>11</v>
      </c>
      <c r="C631" t="s">
        <v>46</v>
      </c>
      <c r="D631" t="s">
        <v>629</v>
      </c>
      <c r="E631">
        <v>10</v>
      </c>
      <c r="F631">
        <v>18</v>
      </c>
      <c r="G631">
        <v>3</v>
      </c>
      <c r="H631">
        <v>45</v>
      </c>
      <c r="I631" t="s">
        <v>243</v>
      </c>
    </row>
    <row r="632" spans="1:9" x14ac:dyDescent="0.3">
      <c r="A632">
        <v>246</v>
      </c>
      <c r="B632">
        <v>2</v>
      </c>
      <c r="C632" t="s">
        <v>56</v>
      </c>
      <c r="D632" t="s">
        <v>614</v>
      </c>
      <c r="E632">
        <v>19</v>
      </c>
      <c r="F632">
        <v>31</v>
      </c>
      <c r="G632">
        <v>3</v>
      </c>
      <c r="H632">
        <v>52</v>
      </c>
      <c r="I632" t="s">
        <v>242</v>
      </c>
    </row>
    <row r="633" spans="1:9" x14ac:dyDescent="0.3">
      <c r="A633">
        <v>246</v>
      </c>
      <c r="B633">
        <v>2</v>
      </c>
      <c r="C633" t="s">
        <v>50</v>
      </c>
      <c r="D633" t="s">
        <v>615</v>
      </c>
      <c r="E633">
        <v>16</v>
      </c>
      <c r="F633">
        <v>27</v>
      </c>
      <c r="G633">
        <v>3</v>
      </c>
      <c r="H633">
        <v>36</v>
      </c>
      <c r="I633" t="s">
        <v>243</v>
      </c>
    </row>
    <row r="634" spans="1:9" x14ac:dyDescent="0.3">
      <c r="A634">
        <v>246</v>
      </c>
      <c r="B634">
        <v>2</v>
      </c>
      <c r="C634" t="s">
        <v>75</v>
      </c>
      <c r="D634" t="s">
        <v>612</v>
      </c>
      <c r="E634">
        <v>14</v>
      </c>
      <c r="F634">
        <v>24</v>
      </c>
      <c r="G634">
        <v>2</v>
      </c>
      <c r="H634">
        <v>10</v>
      </c>
      <c r="I634" t="s">
        <v>242</v>
      </c>
    </row>
    <row r="635" spans="1:9" x14ac:dyDescent="0.3">
      <c r="A635">
        <v>246</v>
      </c>
      <c r="B635">
        <v>2</v>
      </c>
      <c r="C635" t="s">
        <v>19</v>
      </c>
      <c r="D635" t="s">
        <v>622</v>
      </c>
      <c r="E635">
        <v>21</v>
      </c>
      <c r="F635">
        <v>35</v>
      </c>
      <c r="G635">
        <v>3</v>
      </c>
      <c r="H635">
        <v>48</v>
      </c>
      <c r="I635" t="s">
        <v>242</v>
      </c>
    </row>
    <row r="636" spans="1:9" x14ac:dyDescent="0.3">
      <c r="A636">
        <v>247</v>
      </c>
      <c r="B636">
        <v>11</v>
      </c>
      <c r="C636" t="s">
        <v>112</v>
      </c>
      <c r="D636" t="s">
        <v>619</v>
      </c>
      <c r="E636">
        <v>20</v>
      </c>
      <c r="F636">
        <v>33</v>
      </c>
      <c r="G636">
        <v>2</v>
      </c>
      <c r="H636">
        <v>59</v>
      </c>
      <c r="I636" t="s">
        <v>243</v>
      </c>
    </row>
    <row r="637" spans="1:9" x14ac:dyDescent="0.3">
      <c r="A637">
        <v>248</v>
      </c>
      <c r="B637">
        <v>12</v>
      </c>
      <c r="C637" t="s">
        <v>60</v>
      </c>
      <c r="D637" t="s">
        <v>631</v>
      </c>
      <c r="E637">
        <v>15</v>
      </c>
      <c r="F637">
        <v>25</v>
      </c>
      <c r="G637">
        <v>2</v>
      </c>
      <c r="H637">
        <v>31</v>
      </c>
      <c r="I637" t="s">
        <v>242</v>
      </c>
    </row>
    <row r="638" spans="1:9" x14ac:dyDescent="0.3">
      <c r="A638">
        <v>248</v>
      </c>
      <c r="B638">
        <v>12</v>
      </c>
      <c r="C638" t="s">
        <v>38</v>
      </c>
      <c r="D638" t="s">
        <v>625</v>
      </c>
      <c r="E638">
        <v>20</v>
      </c>
      <c r="F638">
        <v>34</v>
      </c>
      <c r="G638">
        <v>1</v>
      </c>
      <c r="H638">
        <v>32</v>
      </c>
      <c r="I638" t="s">
        <v>243</v>
      </c>
    </row>
    <row r="639" spans="1:9" x14ac:dyDescent="0.3">
      <c r="A639">
        <v>248</v>
      </c>
      <c r="B639">
        <v>12</v>
      </c>
      <c r="C639" t="s">
        <v>50</v>
      </c>
      <c r="D639" t="s">
        <v>615</v>
      </c>
      <c r="E639">
        <v>16</v>
      </c>
      <c r="F639">
        <v>27</v>
      </c>
      <c r="G639">
        <v>2</v>
      </c>
      <c r="H639">
        <v>6</v>
      </c>
      <c r="I639" t="s">
        <v>243</v>
      </c>
    </row>
    <row r="640" spans="1:9" x14ac:dyDescent="0.3">
      <c r="A640">
        <v>248</v>
      </c>
      <c r="B640">
        <v>12</v>
      </c>
      <c r="C640" t="s">
        <v>26</v>
      </c>
      <c r="D640" t="s">
        <v>618</v>
      </c>
      <c r="E640">
        <v>17</v>
      </c>
      <c r="F640">
        <v>29</v>
      </c>
      <c r="G640">
        <v>3</v>
      </c>
      <c r="H640">
        <v>51</v>
      </c>
      <c r="I640" t="s">
        <v>243</v>
      </c>
    </row>
    <row r="641" spans="1:9" x14ac:dyDescent="0.3">
      <c r="A641">
        <v>249</v>
      </c>
      <c r="B641">
        <v>8</v>
      </c>
      <c r="C641" t="s">
        <v>46</v>
      </c>
      <c r="D641" t="s">
        <v>629</v>
      </c>
      <c r="E641">
        <v>10</v>
      </c>
      <c r="F641">
        <v>18</v>
      </c>
      <c r="G641">
        <v>2</v>
      </c>
      <c r="H641">
        <v>58</v>
      </c>
      <c r="I641" t="s">
        <v>242</v>
      </c>
    </row>
    <row r="642" spans="1:9" x14ac:dyDescent="0.3">
      <c r="A642">
        <v>249</v>
      </c>
      <c r="B642">
        <v>8</v>
      </c>
      <c r="C642" t="s">
        <v>92</v>
      </c>
      <c r="D642" t="s">
        <v>624</v>
      </c>
      <c r="E642">
        <v>13</v>
      </c>
      <c r="F642">
        <v>22</v>
      </c>
      <c r="G642">
        <v>2</v>
      </c>
      <c r="H642">
        <v>51</v>
      </c>
      <c r="I642" t="s">
        <v>243</v>
      </c>
    </row>
    <row r="643" spans="1:9" x14ac:dyDescent="0.3">
      <c r="A643">
        <v>250</v>
      </c>
      <c r="B643">
        <v>8</v>
      </c>
      <c r="C643" t="s">
        <v>66</v>
      </c>
      <c r="D643" t="s">
        <v>626</v>
      </c>
      <c r="E643">
        <v>12</v>
      </c>
      <c r="F643">
        <v>20</v>
      </c>
      <c r="G643">
        <v>1</v>
      </c>
      <c r="H643">
        <v>29</v>
      </c>
      <c r="I643" t="s">
        <v>243</v>
      </c>
    </row>
    <row r="644" spans="1:9" x14ac:dyDescent="0.3">
      <c r="A644">
        <v>251</v>
      </c>
      <c r="B644">
        <v>12</v>
      </c>
      <c r="C644" t="s">
        <v>71</v>
      </c>
      <c r="D644" t="s">
        <v>630</v>
      </c>
      <c r="E644">
        <v>15</v>
      </c>
      <c r="F644">
        <v>26</v>
      </c>
      <c r="G644">
        <v>1</v>
      </c>
      <c r="H644">
        <v>25</v>
      </c>
      <c r="I644" t="s">
        <v>243</v>
      </c>
    </row>
    <row r="645" spans="1:9" x14ac:dyDescent="0.3">
      <c r="A645">
        <v>251</v>
      </c>
      <c r="B645">
        <v>12</v>
      </c>
      <c r="C645" t="s">
        <v>53</v>
      </c>
      <c r="D645" t="s">
        <v>621</v>
      </c>
      <c r="E645">
        <v>11</v>
      </c>
      <c r="F645">
        <v>19</v>
      </c>
      <c r="G645">
        <v>2</v>
      </c>
      <c r="H645">
        <v>40</v>
      </c>
      <c r="I645" t="s">
        <v>243</v>
      </c>
    </row>
    <row r="646" spans="1:9" x14ac:dyDescent="0.3">
      <c r="A646">
        <v>251</v>
      </c>
      <c r="B646">
        <v>12</v>
      </c>
      <c r="C646" t="s">
        <v>89</v>
      </c>
      <c r="D646" t="s">
        <v>627</v>
      </c>
      <c r="E646">
        <v>14</v>
      </c>
      <c r="F646">
        <v>23</v>
      </c>
      <c r="G646">
        <v>1</v>
      </c>
      <c r="H646">
        <v>23</v>
      </c>
      <c r="I646" t="s">
        <v>243</v>
      </c>
    </row>
    <row r="647" spans="1:9" x14ac:dyDescent="0.3">
      <c r="A647">
        <v>251</v>
      </c>
      <c r="B647">
        <v>12</v>
      </c>
      <c r="C647" t="s">
        <v>92</v>
      </c>
      <c r="D647" t="s">
        <v>624</v>
      </c>
      <c r="E647">
        <v>13</v>
      </c>
      <c r="F647">
        <v>22</v>
      </c>
      <c r="G647">
        <v>1</v>
      </c>
      <c r="H647">
        <v>34</v>
      </c>
      <c r="I647" t="s">
        <v>242</v>
      </c>
    </row>
    <row r="648" spans="1:9" x14ac:dyDescent="0.3">
      <c r="A648">
        <v>252</v>
      </c>
      <c r="B648">
        <v>4</v>
      </c>
      <c r="C648" t="s">
        <v>60</v>
      </c>
      <c r="D648" t="s">
        <v>631</v>
      </c>
      <c r="E648">
        <v>15</v>
      </c>
      <c r="F648">
        <v>25</v>
      </c>
      <c r="G648">
        <v>2</v>
      </c>
      <c r="H648">
        <v>53</v>
      </c>
      <c r="I648" t="s">
        <v>243</v>
      </c>
    </row>
    <row r="649" spans="1:9" x14ac:dyDescent="0.3">
      <c r="A649">
        <v>252</v>
      </c>
      <c r="B649">
        <v>4</v>
      </c>
      <c r="C649" t="s">
        <v>71</v>
      </c>
      <c r="D649" t="s">
        <v>630</v>
      </c>
      <c r="E649">
        <v>15</v>
      </c>
      <c r="F649">
        <v>26</v>
      </c>
      <c r="G649">
        <v>2</v>
      </c>
      <c r="H649">
        <v>31</v>
      </c>
      <c r="I649" t="s">
        <v>242</v>
      </c>
    </row>
    <row r="650" spans="1:9" x14ac:dyDescent="0.3">
      <c r="A650">
        <v>253</v>
      </c>
      <c r="B650">
        <v>8</v>
      </c>
      <c r="C650" t="s">
        <v>60</v>
      </c>
      <c r="D650" t="s">
        <v>631</v>
      </c>
      <c r="E650">
        <v>15</v>
      </c>
      <c r="F650">
        <v>25</v>
      </c>
      <c r="G650">
        <v>1</v>
      </c>
      <c r="H650">
        <v>18</v>
      </c>
      <c r="I650" t="s">
        <v>242</v>
      </c>
    </row>
    <row r="651" spans="1:9" x14ac:dyDescent="0.3">
      <c r="A651">
        <v>253</v>
      </c>
      <c r="B651">
        <v>8</v>
      </c>
      <c r="C651" t="s">
        <v>42</v>
      </c>
      <c r="D651" t="s">
        <v>628</v>
      </c>
      <c r="E651">
        <v>13</v>
      </c>
      <c r="F651">
        <v>21</v>
      </c>
      <c r="G651">
        <v>2</v>
      </c>
      <c r="H651">
        <v>8</v>
      </c>
      <c r="I651" t="s">
        <v>242</v>
      </c>
    </row>
    <row r="652" spans="1:9" x14ac:dyDescent="0.3">
      <c r="A652">
        <v>253</v>
      </c>
      <c r="B652">
        <v>8</v>
      </c>
      <c r="C652" t="s">
        <v>26</v>
      </c>
      <c r="D652" t="s">
        <v>618</v>
      </c>
      <c r="E652">
        <v>17</v>
      </c>
      <c r="F652">
        <v>29</v>
      </c>
      <c r="G652">
        <v>3</v>
      </c>
      <c r="H652">
        <v>29</v>
      </c>
      <c r="I652" t="s">
        <v>243</v>
      </c>
    </row>
    <row r="653" spans="1:9" x14ac:dyDescent="0.3">
      <c r="A653">
        <v>254</v>
      </c>
      <c r="B653">
        <v>10</v>
      </c>
      <c r="C653" t="s">
        <v>71</v>
      </c>
      <c r="D653" t="s">
        <v>630</v>
      </c>
      <c r="E653">
        <v>15</v>
      </c>
      <c r="F653">
        <v>26</v>
      </c>
      <c r="G653">
        <v>2</v>
      </c>
      <c r="H653">
        <v>10</v>
      </c>
      <c r="I653" t="s">
        <v>243</v>
      </c>
    </row>
    <row r="654" spans="1:9" x14ac:dyDescent="0.3">
      <c r="A654">
        <v>254</v>
      </c>
      <c r="B654">
        <v>10</v>
      </c>
      <c r="C654" t="s">
        <v>30</v>
      </c>
      <c r="D654" t="s">
        <v>620</v>
      </c>
      <c r="E654">
        <v>16</v>
      </c>
      <c r="F654">
        <v>28</v>
      </c>
      <c r="G654">
        <v>3</v>
      </c>
      <c r="H654">
        <v>42</v>
      </c>
      <c r="I654" t="s">
        <v>243</v>
      </c>
    </row>
    <row r="655" spans="1:9" x14ac:dyDescent="0.3">
      <c r="A655">
        <v>254</v>
      </c>
      <c r="B655">
        <v>10</v>
      </c>
      <c r="C655" t="s">
        <v>56</v>
      </c>
      <c r="D655" t="s">
        <v>614</v>
      </c>
      <c r="E655">
        <v>19</v>
      </c>
      <c r="F655">
        <v>31</v>
      </c>
      <c r="G655">
        <v>3</v>
      </c>
      <c r="H655">
        <v>33</v>
      </c>
      <c r="I655" t="s">
        <v>242</v>
      </c>
    </row>
    <row r="656" spans="1:9" x14ac:dyDescent="0.3">
      <c r="A656">
        <v>254</v>
      </c>
      <c r="B656">
        <v>10</v>
      </c>
      <c r="C656" t="s">
        <v>38</v>
      </c>
      <c r="D656" t="s">
        <v>625</v>
      </c>
      <c r="E656">
        <v>20</v>
      </c>
      <c r="F656">
        <v>34</v>
      </c>
      <c r="G656">
        <v>2</v>
      </c>
      <c r="H656">
        <v>56</v>
      </c>
      <c r="I656" t="s">
        <v>242</v>
      </c>
    </row>
    <row r="657" spans="1:9" x14ac:dyDescent="0.3">
      <c r="A657">
        <v>255</v>
      </c>
      <c r="B657">
        <v>8</v>
      </c>
      <c r="C657" t="s">
        <v>60</v>
      </c>
      <c r="D657" t="s">
        <v>631</v>
      </c>
      <c r="E657">
        <v>15</v>
      </c>
      <c r="F657">
        <v>25</v>
      </c>
      <c r="G657">
        <v>1</v>
      </c>
      <c r="H657">
        <v>37</v>
      </c>
      <c r="I657" t="s">
        <v>242</v>
      </c>
    </row>
    <row r="658" spans="1:9" x14ac:dyDescent="0.3">
      <c r="A658">
        <v>256</v>
      </c>
      <c r="B658">
        <v>5</v>
      </c>
      <c r="C658" t="s">
        <v>42</v>
      </c>
      <c r="D658" t="s">
        <v>628</v>
      </c>
      <c r="E658">
        <v>13</v>
      </c>
      <c r="F658">
        <v>21</v>
      </c>
      <c r="G658">
        <v>1</v>
      </c>
      <c r="H658">
        <v>16</v>
      </c>
      <c r="I658" t="s">
        <v>242</v>
      </c>
    </row>
    <row r="659" spans="1:9" x14ac:dyDescent="0.3">
      <c r="A659">
        <v>257</v>
      </c>
      <c r="B659">
        <v>12</v>
      </c>
      <c r="C659" t="s">
        <v>89</v>
      </c>
      <c r="D659" t="s">
        <v>627</v>
      </c>
      <c r="E659">
        <v>14</v>
      </c>
      <c r="F659">
        <v>23</v>
      </c>
      <c r="G659">
        <v>2</v>
      </c>
      <c r="H659">
        <v>28</v>
      </c>
      <c r="I659" t="s">
        <v>243</v>
      </c>
    </row>
    <row r="660" spans="1:9" x14ac:dyDescent="0.3">
      <c r="A660">
        <v>258</v>
      </c>
      <c r="B660">
        <v>12</v>
      </c>
      <c r="C660" t="s">
        <v>60</v>
      </c>
      <c r="D660" t="s">
        <v>631</v>
      </c>
      <c r="E660">
        <v>15</v>
      </c>
      <c r="F660">
        <v>25</v>
      </c>
      <c r="G660">
        <v>1</v>
      </c>
      <c r="H660">
        <v>59</v>
      </c>
      <c r="I660" t="s">
        <v>242</v>
      </c>
    </row>
    <row r="661" spans="1:9" x14ac:dyDescent="0.3">
      <c r="A661">
        <v>258</v>
      </c>
      <c r="B661">
        <v>12</v>
      </c>
      <c r="C661" t="s">
        <v>105</v>
      </c>
      <c r="D661" t="s">
        <v>623</v>
      </c>
      <c r="E661">
        <v>19</v>
      </c>
      <c r="F661">
        <v>32</v>
      </c>
      <c r="G661">
        <v>1</v>
      </c>
      <c r="H661">
        <v>5</v>
      </c>
      <c r="I661" t="s">
        <v>242</v>
      </c>
    </row>
    <row r="662" spans="1:9" x14ac:dyDescent="0.3">
      <c r="A662">
        <v>258</v>
      </c>
      <c r="B662">
        <v>12</v>
      </c>
      <c r="C662" t="s">
        <v>34</v>
      </c>
      <c r="D662" t="s">
        <v>616</v>
      </c>
      <c r="E662">
        <v>25</v>
      </c>
      <c r="F662">
        <v>40</v>
      </c>
      <c r="G662">
        <v>1</v>
      </c>
      <c r="H662">
        <v>10</v>
      </c>
      <c r="I662" t="s">
        <v>242</v>
      </c>
    </row>
    <row r="663" spans="1:9" x14ac:dyDescent="0.3">
      <c r="A663">
        <v>258</v>
      </c>
      <c r="B663">
        <v>12</v>
      </c>
      <c r="C663" t="s">
        <v>66</v>
      </c>
      <c r="D663" t="s">
        <v>626</v>
      </c>
      <c r="E663">
        <v>12</v>
      </c>
      <c r="F663">
        <v>20</v>
      </c>
      <c r="G663">
        <v>1</v>
      </c>
      <c r="H663">
        <v>31</v>
      </c>
      <c r="I663" t="s">
        <v>242</v>
      </c>
    </row>
    <row r="664" spans="1:9" x14ac:dyDescent="0.3">
      <c r="A664">
        <v>259</v>
      </c>
      <c r="B664">
        <v>10</v>
      </c>
      <c r="C664" t="s">
        <v>50</v>
      </c>
      <c r="D664" t="s">
        <v>615</v>
      </c>
      <c r="E664">
        <v>16</v>
      </c>
      <c r="F664">
        <v>27</v>
      </c>
      <c r="G664">
        <v>3</v>
      </c>
      <c r="H664">
        <v>11</v>
      </c>
      <c r="I664" t="s">
        <v>243</v>
      </c>
    </row>
    <row r="665" spans="1:9" x14ac:dyDescent="0.3">
      <c r="A665">
        <v>260</v>
      </c>
      <c r="B665">
        <v>20</v>
      </c>
      <c r="C665" t="s">
        <v>89</v>
      </c>
      <c r="D665" t="s">
        <v>627</v>
      </c>
      <c r="E665">
        <v>14</v>
      </c>
      <c r="F665">
        <v>23</v>
      </c>
      <c r="G665">
        <v>3</v>
      </c>
      <c r="H665">
        <v>49</v>
      </c>
      <c r="I665" t="s">
        <v>243</v>
      </c>
    </row>
    <row r="666" spans="1:9" x14ac:dyDescent="0.3">
      <c r="A666">
        <v>261</v>
      </c>
      <c r="B666">
        <v>8</v>
      </c>
      <c r="C666" t="s">
        <v>105</v>
      </c>
      <c r="D666" t="s">
        <v>623</v>
      </c>
      <c r="E666">
        <v>19</v>
      </c>
      <c r="F666">
        <v>32</v>
      </c>
      <c r="G666">
        <v>3</v>
      </c>
      <c r="H666">
        <v>19</v>
      </c>
      <c r="I666" t="s">
        <v>243</v>
      </c>
    </row>
    <row r="667" spans="1:9" x14ac:dyDescent="0.3">
      <c r="A667">
        <v>261</v>
      </c>
      <c r="B667">
        <v>8</v>
      </c>
      <c r="C667" t="s">
        <v>26</v>
      </c>
      <c r="D667" t="s">
        <v>618</v>
      </c>
      <c r="E667">
        <v>17</v>
      </c>
      <c r="F667">
        <v>29</v>
      </c>
      <c r="G667">
        <v>2</v>
      </c>
      <c r="H667">
        <v>36</v>
      </c>
      <c r="I667" t="s">
        <v>243</v>
      </c>
    </row>
    <row r="668" spans="1:9" x14ac:dyDescent="0.3">
      <c r="A668">
        <v>262</v>
      </c>
      <c r="B668">
        <v>18</v>
      </c>
      <c r="C668" t="s">
        <v>56</v>
      </c>
      <c r="D668" t="s">
        <v>614</v>
      </c>
      <c r="E668">
        <v>19</v>
      </c>
      <c r="F668">
        <v>31</v>
      </c>
      <c r="G668">
        <v>3</v>
      </c>
      <c r="H668">
        <v>20</v>
      </c>
      <c r="I668" t="s">
        <v>243</v>
      </c>
    </row>
    <row r="669" spans="1:9" x14ac:dyDescent="0.3">
      <c r="A669">
        <v>262</v>
      </c>
      <c r="B669">
        <v>18</v>
      </c>
      <c r="C669" t="s">
        <v>92</v>
      </c>
      <c r="D669" t="s">
        <v>624</v>
      </c>
      <c r="E669">
        <v>13</v>
      </c>
      <c r="F669">
        <v>22</v>
      </c>
      <c r="G669">
        <v>1</v>
      </c>
      <c r="H669">
        <v>28</v>
      </c>
      <c r="I669" t="s">
        <v>243</v>
      </c>
    </row>
    <row r="670" spans="1:9" x14ac:dyDescent="0.3">
      <c r="A670">
        <v>263</v>
      </c>
      <c r="B670">
        <v>5</v>
      </c>
      <c r="C670" t="s">
        <v>105</v>
      </c>
      <c r="D670" t="s">
        <v>623</v>
      </c>
      <c r="E670">
        <v>19</v>
      </c>
      <c r="F670">
        <v>32</v>
      </c>
      <c r="G670">
        <v>1</v>
      </c>
      <c r="H670">
        <v>37</v>
      </c>
      <c r="I670" t="s">
        <v>243</v>
      </c>
    </row>
    <row r="671" spans="1:9" x14ac:dyDescent="0.3">
      <c r="A671">
        <v>263</v>
      </c>
      <c r="B671">
        <v>5</v>
      </c>
      <c r="C671" t="s">
        <v>40</v>
      </c>
      <c r="D671" t="s">
        <v>613</v>
      </c>
      <c r="E671">
        <v>18</v>
      </c>
      <c r="F671">
        <v>30</v>
      </c>
      <c r="G671">
        <v>1</v>
      </c>
      <c r="H671">
        <v>42</v>
      </c>
      <c r="I671" t="s">
        <v>242</v>
      </c>
    </row>
    <row r="672" spans="1:9" x14ac:dyDescent="0.3">
      <c r="A672">
        <v>263</v>
      </c>
      <c r="B672">
        <v>5</v>
      </c>
      <c r="C672" t="s">
        <v>75</v>
      </c>
      <c r="D672" t="s">
        <v>612</v>
      </c>
      <c r="E672">
        <v>14</v>
      </c>
      <c r="F672">
        <v>24</v>
      </c>
      <c r="G672">
        <v>1</v>
      </c>
      <c r="H672">
        <v>40</v>
      </c>
      <c r="I672" t="s">
        <v>243</v>
      </c>
    </row>
    <row r="673" spans="1:9" x14ac:dyDescent="0.3">
      <c r="A673">
        <v>263</v>
      </c>
      <c r="B673">
        <v>5</v>
      </c>
      <c r="C673" t="s">
        <v>19</v>
      </c>
      <c r="D673" t="s">
        <v>622</v>
      </c>
      <c r="E673">
        <v>21</v>
      </c>
      <c r="F673">
        <v>35</v>
      </c>
      <c r="G673">
        <v>1</v>
      </c>
      <c r="H673">
        <v>30</v>
      </c>
      <c r="I673" t="s">
        <v>243</v>
      </c>
    </row>
    <row r="674" spans="1:9" x14ac:dyDescent="0.3">
      <c r="A674">
        <v>264</v>
      </c>
      <c r="B674">
        <v>2</v>
      </c>
      <c r="C674" t="s">
        <v>60</v>
      </c>
      <c r="D674" t="s">
        <v>631</v>
      </c>
      <c r="E674">
        <v>15</v>
      </c>
      <c r="F674">
        <v>25</v>
      </c>
      <c r="G674">
        <v>2</v>
      </c>
      <c r="H674">
        <v>14</v>
      </c>
      <c r="I674" t="s">
        <v>242</v>
      </c>
    </row>
    <row r="675" spans="1:9" x14ac:dyDescent="0.3">
      <c r="A675">
        <v>264</v>
      </c>
      <c r="B675">
        <v>2</v>
      </c>
      <c r="C675" t="s">
        <v>105</v>
      </c>
      <c r="D675" t="s">
        <v>623</v>
      </c>
      <c r="E675">
        <v>19</v>
      </c>
      <c r="F675">
        <v>32</v>
      </c>
      <c r="G675">
        <v>1</v>
      </c>
      <c r="H675">
        <v>27</v>
      </c>
      <c r="I675" t="s">
        <v>243</v>
      </c>
    </row>
    <row r="676" spans="1:9" x14ac:dyDescent="0.3">
      <c r="A676">
        <v>264</v>
      </c>
      <c r="B676">
        <v>2</v>
      </c>
      <c r="C676" t="s">
        <v>40</v>
      </c>
      <c r="D676" t="s">
        <v>613</v>
      </c>
      <c r="E676">
        <v>18</v>
      </c>
      <c r="F676">
        <v>30</v>
      </c>
      <c r="G676">
        <v>1</v>
      </c>
      <c r="H676">
        <v>37</v>
      </c>
      <c r="I676" t="s">
        <v>242</v>
      </c>
    </row>
    <row r="677" spans="1:9" x14ac:dyDescent="0.3">
      <c r="A677">
        <v>264</v>
      </c>
      <c r="B677">
        <v>2</v>
      </c>
      <c r="C677" t="s">
        <v>19</v>
      </c>
      <c r="D677" t="s">
        <v>622</v>
      </c>
      <c r="E677">
        <v>21</v>
      </c>
      <c r="F677">
        <v>35</v>
      </c>
      <c r="G677">
        <v>2</v>
      </c>
      <c r="H677">
        <v>39</v>
      </c>
      <c r="I677" t="s">
        <v>243</v>
      </c>
    </row>
    <row r="678" spans="1:9" x14ac:dyDescent="0.3">
      <c r="A678">
        <v>265</v>
      </c>
      <c r="B678">
        <v>6</v>
      </c>
      <c r="C678" t="s">
        <v>89</v>
      </c>
      <c r="D678" t="s">
        <v>627</v>
      </c>
      <c r="E678">
        <v>14</v>
      </c>
      <c r="F678">
        <v>23</v>
      </c>
      <c r="G678">
        <v>1</v>
      </c>
      <c r="H678">
        <v>12</v>
      </c>
      <c r="I678" t="s">
        <v>242</v>
      </c>
    </row>
    <row r="679" spans="1:9" x14ac:dyDescent="0.3">
      <c r="A679">
        <v>265</v>
      </c>
      <c r="B679">
        <v>6</v>
      </c>
      <c r="C679" t="s">
        <v>56</v>
      </c>
      <c r="D679" t="s">
        <v>614</v>
      </c>
      <c r="E679">
        <v>19</v>
      </c>
      <c r="F679">
        <v>31</v>
      </c>
      <c r="G679">
        <v>1</v>
      </c>
      <c r="H679">
        <v>17</v>
      </c>
      <c r="I679" t="s">
        <v>243</v>
      </c>
    </row>
    <row r="680" spans="1:9" x14ac:dyDescent="0.3">
      <c r="A680">
        <v>265</v>
      </c>
      <c r="B680">
        <v>6</v>
      </c>
      <c r="C680" t="s">
        <v>40</v>
      </c>
      <c r="D680" t="s">
        <v>613</v>
      </c>
      <c r="E680">
        <v>18</v>
      </c>
      <c r="F680">
        <v>30</v>
      </c>
      <c r="G680">
        <v>3</v>
      </c>
      <c r="H680">
        <v>50</v>
      </c>
      <c r="I680" t="s">
        <v>243</v>
      </c>
    </row>
    <row r="681" spans="1:9" x14ac:dyDescent="0.3">
      <c r="A681">
        <v>265</v>
      </c>
      <c r="B681">
        <v>6</v>
      </c>
      <c r="C681" t="s">
        <v>50</v>
      </c>
      <c r="D681" t="s">
        <v>615</v>
      </c>
      <c r="E681">
        <v>16</v>
      </c>
      <c r="F681">
        <v>27</v>
      </c>
      <c r="G681">
        <v>1</v>
      </c>
      <c r="H681">
        <v>56</v>
      </c>
      <c r="I681" t="s">
        <v>242</v>
      </c>
    </row>
    <row r="682" spans="1:9" x14ac:dyDescent="0.3">
      <c r="A682">
        <v>266</v>
      </c>
      <c r="B682">
        <v>4</v>
      </c>
      <c r="C682" t="s">
        <v>60</v>
      </c>
      <c r="D682" t="s">
        <v>631</v>
      </c>
      <c r="E682">
        <v>15</v>
      </c>
      <c r="F682">
        <v>25</v>
      </c>
      <c r="G682">
        <v>3</v>
      </c>
      <c r="H682">
        <v>53</v>
      </c>
      <c r="I682" t="s">
        <v>242</v>
      </c>
    </row>
    <row r="683" spans="1:9" x14ac:dyDescent="0.3">
      <c r="A683">
        <v>266</v>
      </c>
      <c r="B683">
        <v>4</v>
      </c>
      <c r="C683" t="s">
        <v>75</v>
      </c>
      <c r="D683" t="s">
        <v>612</v>
      </c>
      <c r="E683">
        <v>14</v>
      </c>
      <c r="F683">
        <v>24</v>
      </c>
      <c r="G683">
        <v>1</v>
      </c>
      <c r="H683">
        <v>53</v>
      </c>
      <c r="I683" t="s">
        <v>242</v>
      </c>
    </row>
    <row r="684" spans="1:9" x14ac:dyDescent="0.3">
      <c r="A684">
        <v>267</v>
      </c>
      <c r="B684">
        <v>7</v>
      </c>
      <c r="C684" t="s">
        <v>105</v>
      </c>
      <c r="D684" t="s">
        <v>623</v>
      </c>
      <c r="E684">
        <v>19</v>
      </c>
      <c r="F684">
        <v>32</v>
      </c>
      <c r="G684">
        <v>1</v>
      </c>
      <c r="H684">
        <v>45</v>
      </c>
      <c r="I684" t="s">
        <v>243</v>
      </c>
    </row>
    <row r="685" spans="1:9" x14ac:dyDescent="0.3">
      <c r="A685">
        <v>267</v>
      </c>
      <c r="B685">
        <v>7</v>
      </c>
      <c r="C685" t="s">
        <v>30</v>
      </c>
      <c r="D685" t="s">
        <v>620</v>
      </c>
      <c r="E685">
        <v>16</v>
      </c>
      <c r="F685">
        <v>28</v>
      </c>
      <c r="G685">
        <v>2</v>
      </c>
      <c r="H685">
        <v>23</v>
      </c>
      <c r="I685" t="s">
        <v>242</v>
      </c>
    </row>
    <row r="686" spans="1:9" x14ac:dyDescent="0.3">
      <c r="A686">
        <v>267</v>
      </c>
      <c r="B686">
        <v>7</v>
      </c>
      <c r="C686" t="s">
        <v>40</v>
      </c>
      <c r="D686" t="s">
        <v>613</v>
      </c>
      <c r="E686">
        <v>18</v>
      </c>
      <c r="F686">
        <v>30</v>
      </c>
      <c r="G686">
        <v>1</v>
      </c>
      <c r="H686">
        <v>28</v>
      </c>
      <c r="I686" t="s">
        <v>243</v>
      </c>
    </row>
    <row r="687" spans="1:9" x14ac:dyDescent="0.3">
      <c r="A687">
        <v>268</v>
      </c>
      <c r="B687">
        <v>14</v>
      </c>
      <c r="C687" t="s">
        <v>92</v>
      </c>
      <c r="D687" t="s">
        <v>624</v>
      </c>
      <c r="E687">
        <v>13</v>
      </c>
      <c r="F687">
        <v>22</v>
      </c>
      <c r="G687">
        <v>2</v>
      </c>
      <c r="H687">
        <v>44</v>
      </c>
      <c r="I687" t="s">
        <v>243</v>
      </c>
    </row>
    <row r="688" spans="1:9" x14ac:dyDescent="0.3">
      <c r="A688">
        <v>268</v>
      </c>
      <c r="B688">
        <v>14</v>
      </c>
      <c r="C688" t="s">
        <v>75</v>
      </c>
      <c r="D688" t="s">
        <v>612</v>
      </c>
      <c r="E688">
        <v>14</v>
      </c>
      <c r="F688">
        <v>24</v>
      </c>
      <c r="G688">
        <v>1</v>
      </c>
      <c r="H688">
        <v>39</v>
      </c>
      <c r="I688" t="s">
        <v>243</v>
      </c>
    </row>
    <row r="689" spans="1:9" x14ac:dyDescent="0.3">
      <c r="A689">
        <v>269</v>
      </c>
      <c r="B689">
        <v>11</v>
      </c>
      <c r="C689" t="s">
        <v>38</v>
      </c>
      <c r="D689" t="s">
        <v>625</v>
      </c>
      <c r="E689">
        <v>20</v>
      </c>
      <c r="F689">
        <v>34</v>
      </c>
      <c r="G689">
        <v>3</v>
      </c>
      <c r="H689">
        <v>30</v>
      </c>
      <c r="I689" t="s">
        <v>243</v>
      </c>
    </row>
    <row r="690" spans="1:9" x14ac:dyDescent="0.3">
      <c r="A690">
        <v>269</v>
      </c>
      <c r="B690">
        <v>11</v>
      </c>
      <c r="C690" t="s">
        <v>44</v>
      </c>
      <c r="D690" t="s">
        <v>617</v>
      </c>
      <c r="E690">
        <v>22</v>
      </c>
      <c r="F690">
        <v>36</v>
      </c>
      <c r="G690">
        <v>3</v>
      </c>
      <c r="H690">
        <v>13</v>
      </c>
      <c r="I690" t="s">
        <v>242</v>
      </c>
    </row>
    <row r="691" spans="1:9" x14ac:dyDescent="0.3">
      <c r="A691">
        <v>269</v>
      </c>
      <c r="B691">
        <v>11</v>
      </c>
      <c r="C691" t="s">
        <v>34</v>
      </c>
      <c r="D691" t="s">
        <v>616</v>
      </c>
      <c r="E691">
        <v>25</v>
      </c>
      <c r="F691">
        <v>40</v>
      </c>
      <c r="G691">
        <v>1</v>
      </c>
      <c r="H691">
        <v>58</v>
      </c>
      <c r="I691" t="s">
        <v>243</v>
      </c>
    </row>
    <row r="692" spans="1:9" x14ac:dyDescent="0.3">
      <c r="A692">
        <v>270</v>
      </c>
      <c r="B692">
        <v>10</v>
      </c>
      <c r="C692" t="s">
        <v>38</v>
      </c>
      <c r="D692" t="s">
        <v>625</v>
      </c>
      <c r="E692">
        <v>20</v>
      </c>
      <c r="F692">
        <v>34</v>
      </c>
      <c r="G692">
        <v>3</v>
      </c>
      <c r="H692">
        <v>26</v>
      </c>
      <c r="I692" t="s">
        <v>242</v>
      </c>
    </row>
    <row r="693" spans="1:9" x14ac:dyDescent="0.3">
      <c r="A693">
        <v>271</v>
      </c>
      <c r="B693">
        <v>3</v>
      </c>
      <c r="C693" t="s">
        <v>92</v>
      </c>
      <c r="D693" t="s">
        <v>624</v>
      </c>
      <c r="E693">
        <v>13</v>
      </c>
      <c r="F693">
        <v>22</v>
      </c>
      <c r="G693">
        <v>2</v>
      </c>
      <c r="H693">
        <v>55</v>
      </c>
      <c r="I693" t="s">
        <v>243</v>
      </c>
    </row>
    <row r="694" spans="1:9" x14ac:dyDescent="0.3">
      <c r="A694">
        <v>272</v>
      </c>
      <c r="B694">
        <v>7</v>
      </c>
      <c r="C694" t="s">
        <v>75</v>
      </c>
      <c r="D694" t="s">
        <v>612</v>
      </c>
      <c r="E694">
        <v>14</v>
      </c>
      <c r="F694">
        <v>24</v>
      </c>
      <c r="G694">
        <v>2</v>
      </c>
      <c r="H694">
        <v>36</v>
      </c>
      <c r="I694" t="s">
        <v>242</v>
      </c>
    </row>
    <row r="695" spans="1:9" x14ac:dyDescent="0.3">
      <c r="A695">
        <v>272</v>
      </c>
      <c r="B695">
        <v>7</v>
      </c>
      <c r="C695" t="s">
        <v>19</v>
      </c>
      <c r="D695" t="s">
        <v>622</v>
      </c>
      <c r="E695">
        <v>21</v>
      </c>
      <c r="F695">
        <v>35</v>
      </c>
      <c r="G695">
        <v>1</v>
      </c>
      <c r="H695">
        <v>47</v>
      </c>
      <c r="I695" t="s">
        <v>243</v>
      </c>
    </row>
    <row r="696" spans="1:9" x14ac:dyDescent="0.3">
      <c r="A696">
        <v>273</v>
      </c>
      <c r="B696">
        <v>20</v>
      </c>
      <c r="C696" t="s">
        <v>60</v>
      </c>
      <c r="D696" t="s">
        <v>631</v>
      </c>
      <c r="E696">
        <v>15</v>
      </c>
      <c r="F696">
        <v>25</v>
      </c>
      <c r="G696">
        <v>1</v>
      </c>
      <c r="H696">
        <v>5</v>
      </c>
      <c r="I696" t="s">
        <v>243</v>
      </c>
    </row>
    <row r="697" spans="1:9" x14ac:dyDescent="0.3">
      <c r="A697">
        <v>273</v>
      </c>
      <c r="B697">
        <v>20</v>
      </c>
      <c r="C697" t="s">
        <v>105</v>
      </c>
      <c r="D697" t="s">
        <v>623</v>
      </c>
      <c r="E697">
        <v>19</v>
      </c>
      <c r="F697">
        <v>32</v>
      </c>
      <c r="G697">
        <v>1</v>
      </c>
      <c r="H697">
        <v>22</v>
      </c>
      <c r="I697" t="s">
        <v>243</v>
      </c>
    </row>
    <row r="698" spans="1:9" x14ac:dyDescent="0.3">
      <c r="A698">
        <v>273</v>
      </c>
      <c r="B698">
        <v>20</v>
      </c>
      <c r="C698" t="s">
        <v>92</v>
      </c>
      <c r="D698" t="s">
        <v>624</v>
      </c>
      <c r="E698">
        <v>13</v>
      </c>
      <c r="F698">
        <v>22</v>
      </c>
      <c r="G698">
        <v>3</v>
      </c>
      <c r="H698">
        <v>40</v>
      </c>
      <c r="I698" t="s">
        <v>242</v>
      </c>
    </row>
    <row r="699" spans="1:9" x14ac:dyDescent="0.3">
      <c r="A699">
        <v>274</v>
      </c>
      <c r="B699">
        <v>7</v>
      </c>
      <c r="C699" t="s">
        <v>71</v>
      </c>
      <c r="D699" t="s">
        <v>630</v>
      </c>
      <c r="E699">
        <v>15</v>
      </c>
      <c r="F699">
        <v>26</v>
      </c>
      <c r="G699">
        <v>3</v>
      </c>
      <c r="H699">
        <v>33</v>
      </c>
      <c r="I699" t="s">
        <v>242</v>
      </c>
    </row>
    <row r="700" spans="1:9" x14ac:dyDescent="0.3">
      <c r="A700">
        <v>274</v>
      </c>
      <c r="B700">
        <v>7</v>
      </c>
      <c r="C700" t="s">
        <v>53</v>
      </c>
      <c r="D700" t="s">
        <v>621</v>
      </c>
      <c r="E700">
        <v>11</v>
      </c>
      <c r="F700">
        <v>19</v>
      </c>
      <c r="G700">
        <v>2</v>
      </c>
      <c r="H700">
        <v>42</v>
      </c>
      <c r="I700" t="s">
        <v>243</v>
      </c>
    </row>
    <row r="701" spans="1:9" x14ac:dyDescent="0.3">
      <c r="A701">
        <v>275</v>
      </c>
      <c r="B701">
        <v>5</v>
      </c>
      <c r="C701" t="s">
        <v>71</v>
      </c>
      <c r="D701" t="s">
        <v>630</v>
      </c>
      <c r="E701">
        <v>15</v>
      </c>
      <c r="F701">
        <v>26</v>
      </c>
      <c r="G701">
        <v>1</v>
      </c>
      <c r="H701">
        <v>58</v>
      </c>
      <c r="I701" t="s">
        <v>242</v>
      </c>
    </row>
    <row r="702" spans="1:9" x14ac:dyDescent="0.3">
      <c r="A702">
        <v>275</v>
      </c>
      <c r="B702">
        <v>5</v>
      </c>
      <c r="C702" t="s">
        <v>112</v>
      </c>
      <c r="D702" t="s">
        <v>619</v>
      </c>
      <c r="E702">
        <v>20</v>
      </c>
      <c r="F702">
        <v>33</v>
      </c>
      <c r="G702">
        <v>1</v>
      </c>
      <c r="H702">
        <v>32</v>
      </c>
      <c r="I702" t="s">
        <v>243</v>
      </c>
    </row>
    <row r="703" spans="1:9" x14ac:dyDescent="0.3">
      <c r="A703">
        <v>275</v>
      </c>
      <c r="B703">
        <v>5</v>
      </c>
      <c r="C703" t="s">
        <v>56</v>
      </c>
      <c r="D703" t="s">
        <v>614</v>
      </c>
      <c r="E703">
        <v>19</v>
      </c>
      <c r="F703">
        <v>31</v>
      </c>
      <c r="G703">
        <v>2</v>
      </c>
      <c r="H703">
        <v>32</v>
      </c>
      <c r="I703" t="s">
        <v>242</v>
      </c>
    </row>
    <row r="704" spans="1:9" x14ac:dyDescent="0.3">
      <c r="A704">
        <v>276</v>
      </c>
      <c r="B704">
        <v>15</v>
      </c>
      <c r="C704" t="s">
        <v>71</v>
      </c>
      <c r="D704" t="s">
        <v>630</v>
      </c>
      <c r="E704">
        <v>15</v>
      </c>
      <c r="F704">
        <v>26</v>
      </c>
      <c r="G704">
        <v>1</v>
      </c>
      <c r="H704">
        <v>36</v>
      </c>
      <c r="I704" t="s">
        <v>243</v>
      </c>
    </row>
    <row r="705" spans="1:9" x14ac:dyDescent="0.3">
      <c r="A705">
        <v>276</v>
      </c>
      <c r="B705">
        <v>15</v>
      </c>
      <c r="C705" t="s">
        <v>92</v>
      </c>
      <c r="D705" t="s">
        <v>624</v>
      </c>
      <c r="E705">
        <v>13</v>
      </c>
      <c r="F705">
        <v>22</v>
      </c>
      <c r="G705">
        <v>2</v>
      </c>
      <c r="H705">
        <v>49</v>
      </c>
      <c r="I705" t="s">
        <v>242</v>
      </c>
    </row>
    <row r="706" spans="1:9" x14ac:dyDescent="0.3">
      <c r="A706">
        <v>277</v>
      </c>
      <c r="B706">
        <v>4</v>
      </c>
      <c r="C706" t="s">
        <v>56</v>
      </c>
      <c r="D706" t="s">
        <v>614</v>
      </c>
      <c r="E706">
        <v>19</v>
      </c>
      <c r="F706">
        <v>31</v>
      </c>
      <c r="G706">
        <v>3</v>
      </c>
      <c r="H706">
        <v>29</v>
      </c>
      <c r="I706" t="s">
        <v>242</v>
      </c>
    </row>
    <row r="707" spans="1:9" x14ac:dyDescent="0.3">
      <c r="A707">
        <v>278</v>
      </c>
      <c r="B707">
        <v>5</v>
      </c>
      <c r="C707" t="s">
        <v>56</v>
      </c>
      <c r="D707" t="s">
        <v>614</v>
      </c>
      <c r="E707">
        <v>19</v>
      </c>
      <c r="F707">
        <v>31</v>
      </c>
      <c r="G707">
        <v>3</v>
      </c>
      <c r="H707">
        <v>33</v>
      </c>
      <c r="I707" t="s">
        <v>242</v>
      </c>
    </row>
    <row r="708" spans="1:9" x14ac:dyDescent="0.3">
      <c r="A708">
        <v>278</v>
      </c>
      <c r="B708">
        <v>5</v>
      </c>
      <c r="C708" t="s">
        <v>75</v>
      </c>
      <c r="D708" t="s">
        <v>612</v>
      </c>
      <c r="E708">
        <v>14</v>
      </c>
      <c r="F708">
        <v>24</v>
      </c>
      <c r="G708">
        <v>2</v>
      </c>
      <c r="H708">
        <v>28</v>
      </c>
      <c r="I708" t="s">
        <v>243</v>
      </c>
    </row>
    <row r="709" spans="1:9" x14ac:dyDescent="0.3">
      <c r="A709">
        <v>279</v>
      </c>
      <c r="B709">
        <v>11</v>
      </c>
      <c r="C709" t="s">
        <v>30</v>
      </c>
      <c r="D709" t="s">
        <v>620</v>
      </c>
      <c r="E709">
        <v>16</v>
      </c>
      <c r="F709">
        <v>28</v>
      </c>
      <c r="G709">
        <v>1</v>
      </c>
      <c r="H709">
        <v>8</v>
      </c>
      <c r="I709" t="s">
        <v>242</v>
      </c>
    </row>
    <row r="710" spans="1:9" x14ac:dyDescent="0.3">
      <c r="A710">
        <v>279</v>
      </c>
      <c r="B710">
        <v>11</v>
      </c>
      <c r="C710" t="s">
        <v>34</v>
      </c>
      <c r="D710" t="s">
        <v>616</v>
      </c>
      <c r="E710">
        <v>25</v>
      </c>
      <c r="F710">
        <v>40</v>
      </c>
      <c r="G710">
        <v>3</v>
      </c>
      <c r="H710">
        <v>48</v>
      </c>
      <c r="I710" t="s">
        <v>243</v>
      </c>
    </row>
    <row r="711" spans="1:9" x14ac:dyDescent="0.3">
      <c r="A711">
        <v>279</v>
      </c>
      <c r="B711">
        <v>11</v>
      </c>
      <c r="C711" t="s">
        <v>46</v>
      </c>
      <c r="D711" t="s">
        <v>629</v>
      </c>
      <c r="E711">
        <v>10</v>
      </c>
      <c r="F711">
        <v>18</v>
      </c>
      <c r="G711">
        <v>1</v>
      </c>
      <c r="H711">
        <v>58</v>
      </c>
      <c r="I711" t="s">
        <v>242</v>
      </c>
    </row>
    <row r="712" spans="1:9" x14ac:dyDescent="0.3">
      <c r="A712">
        <v>279</v>
      </c>
      <c r="B712">
        <v>11</v>
      </c>
      <c r="C712" t="s">
        <v>19</v>
      </c>
      <c r="D712" t="s">
        <v>622</v>
      </c>
      <c r="E712">
        <v>21</v>
      </c>
      <c r="F712">
        <v>35</v>
      </c>
      <c r="G712">
        <v>1</v>
      </c>
      <c r="H712">
        <v>28</v>
      </c>
      <c r="I712" t="s">
        <v>242</v>
      </c>
    </row>
    <row r="713" spans="1:9" x14ac:dyDescent="0.3">
      <c r="A713">
        <v>280</v>
      </c>
      <c r="B713">
        <v>14</v>
      </c>
      <c r="C713" t="s">
        <v>89</v>
      </c>
      <c r="D713" t="s">
        <v>627</v>
      </c>
      <c r="E713">
        <v>14</v>
      </c>
      <c r="F713">
        <v>23</v>
      </c>
      <c r="G713">
        <v>3</v>
      </c>
      <c r="H713">
        <v>34</v>
      </c>
      <c r="I713" t="s">
        <v>242</v>
      </c>
    </row>
    <row r="714" spans="1:9" x14ac:dyDescent="0.3">
      <c r="A714">
        <v>280</v>
      </c>
      <c r="B714">
        <v>14</v>
      </c>
      <c r="C714" t="s">
        <v>75</v>
      </c>
      <c r="D714" t="s">
        <v>612</v>
      </c>
      <c r="E714">
        <v>14</v>
      </c>
      <c r="F714">
        <v>24</v>
      </c>
      <c r="G714">
        <v>2</v>
      </c>
      <c r="H714">
        <v>52</v>
      </c>
      <c r="I714" t="s">
        <v>242</v>
      </c>
    </row>
    <row r="715" spans="1:9" x14ac:dyDescent="0.3">
      <c r="A715">
        <v>281</v>
      </c>
      <c r="B715">
        <v>18</v>
      </c>
      <c r="C715" t="s">
        <v>112</v>
      </c>
      <c r="D715" t="s">
        <v>619</v>
      </c>
      <c r="E715">
        <v>20</v>
      </c>
      <c r="F715">
        <v>33</v>
      </c>
      <c r="G715">
        <v>2</v>
      </c>
      <c r="H715">
        <v>9</v>
      </c>
      <c r="I715" t="s">
        <v>243</v>
      </c>
    </row>
    <row r="716" spans="1:9" x14ac:dyDescent="0.3">
      <c r="A716">
        <v>282</v>
      </c>
      <c r="B716">
        <v>6</v>
      </c>
      <c r="C716" t="s">
        <v>66</v>
      </c>
      <c r="D716" t="s">
        <v>626</v>
      </c>
      <c r="E716">
        <v>12</v>
      </c>
      <c r="F716">
        <v>20</v>
      </c>
      <c r="G716">
        <v>1</v>
      </c>
      <c r="H716">
        <v>57</v>
      </c>
      <c r="I716" t="s">
        <v>243</v>
      </c>
    </row>
    <row r="717" spans="1:9" x14ac:dyDescent="0.3">
      <c r="A717">
        <v>282</v>
      </c>
      <c r="B717">
        <v>6</v>
      </c>
      <c r="C717" t="s">
        <v>46</v>
      </c>
      <c r="D717" t="s">
        <v>629</v>
      </c>
      <c r="E717">
        <v>10</v>
      </c>
      <c r="F717">
        <v>18</v>
      </c>
      <c r="G717">
        <v>3</v>
      </c>
      <c r="H717">
        <v>57</v>
      </c>
      <c r="I717" t="s">
        <v>243</v>
      </c>
    </row>
    <row r="718" spans="1:9" x14ac:dyDescent="0.3">
      <c r="A718">
        <v>283</v>
      </c>
      <c r="B718">
        <v>19</v>
      </c>
      <c r="C718" t="s">
        <v>71</v>
      </c>
      <c r="D718" t="s">
        <v>630</v>
      </c>
      <c r="E718">
        <v>15</v>
      </c>
      <c r="F718">
        <v>26</v>
      </c>
      <c r="G718">
        <v>3</v>
      </c>
      <c r="H718">
        <v>6</v>
      </c>
      <c r="I718" t="s">
        <v>242</v>
      </c>
    </row>
    <row r="719" spans="1:9" x14ac:dyDescent="0.3">
      <c r="A719">
        <v>284</v>
      </c>
      <c r="B719">
        <v>11</v>
      </c>
      <c r="C719" t="s">
        <v>112</v>
      </c>
      <c r="D719" t="s">
        <v>619</v>
      </c>
      <c r="E719">
        <v>20</v>
      </c>
      <c r="F719">
        <v>33</v>
      </c>
      <c r="G719">
        <v>1</v>
      </c>
      <c r="H719">
        <v>50</v>
      </c>
      <c r="I719" t="s">
        <v>243</v>
      </c>
    </row>
    <row r="720" spans="1:9" x14ac:dyDescent="0.3">
      <c r="A720">
        <v>284</v>
      </c>
      <c r="B720">
        <v>11</v>
      </c>
      <c r="C720" t="s">
        <v>53</v>
      </c>
      <c r="D720" t="s">
        <v>621</v>
      </c>
      <c r="E720">
        <v>11</v>
      </c>
      <c r="F720">
        <v>19</v>
      </c>
      <c r="G720">
        <v>2</v>
      </c>
      <c r="H720">
        <v>41</v>
      </c>
      <c r="I720" t="s">
        <v>242</v>
      </c>
    </row>
    <row r="721" spans="1:9" x14ac:dyDescent="0.3">
      <c r="A721">
        <v>284</v>
      </c>
      <c r="B721">
        <v>11</v>
      </c>
      <c r="C721" t="s">
        <v>66</v>
      </c>
      <c r="D721" t="s">
        <v>626</v>
      </c>
      <c r="E721">
        <v>12</v>
      </c>
      <c r="F721">
        <v>20</v>
      </c>
      <c r="G721">
        <v>3</v>
      </c>
      <c r="H721">
        <v>45</v>
      </c>
      <c r="I721" t="s">
        <v>242</v>
      </c>
    </row>
    <row r="722" spans="1:9" x14ac:dyDescent="0.3">
      <c r="A722">
        <v>284</v>
      </c>
      <c r="B722">
        <v>11</v>
      </c>
      <c r="C722" t="s">
        <v>50</v>
      </c>
      <c r="D722" t="s">
        <v>615</v>
      </c>
      <c r="E722">
        <v>16</v>
      </c>
      <c r="F722">
        <v>27</v>
      </c>
      <c r="G722">
        <v>1</v>
      </c>
      <c r="H722">
        <v>59</v>
      </c>
      <c r="I722" t="s">
        <v>242</v>
      </c>
    </row>
    <row r="723" spans="1:9" x14ac:dyDescent="0.3">
      <c r="A723">
        <v>285</v>
      </c>
      <c r="B723">
        <v>18</v>
      </c>
      <c r="C723" t="s">
        <v>42</v>
      </c>
      <c r="D723" t="s">
        <v>628</v>
      </c>
      <c r="E723">
        <v>13</v>
      </c>
      <c r="F723">
        <v>21</v>
      </c>
      <c r="G723">
        <v>2</v>
      </c>
      <c r="H723">
        <v>12</v>
      </c>
      <c r="I723" t="s">
        <v>243</v>
      </c>
    </row>
    <row r="724" spans="1:9" x14ac:dyDescent="0.3">
      <c r="A724">
        <v>286</v>
      </c>
      <c r="B724">
        <v>15</v>
      </c>
      <c r="C724" t="s">
        <v>38</v>
      </c>
      <c r="D724" t="s">
        <v>625</v>
      </c>
      <c r="E724">
        <v>20</v>
      </c>
      <c r="F724">
        <v>34</v>
      </c>
      <c r="G724">
        <v>2</v>
      </c>
      <c r="H724">
        <v>25</v>
      </c>
      <c r="I724" t="s">
        <v>242</v>
      </c>
    </row>
    <row r="725" spans="1:9" x14ac:dyDescent="0.3">
      <c r="A725">
        <v>287</v>
      </c>
      <c r="B725">
        <v>20</v>
      </c>
      <c r="C725" t="s">
        <v>89</v>
      </c>
      <c r="D725" t="s">
        <v>627</v>
      </c>
      <c r="E725">
        <v>14</v>
      </c>
      <c r="F725">
        <v>23</v>
      </c>
      <c r="G725">
        <v>2</v>
      </c>
      <c r="H725">
        <v>58</v>
      </c>
      <c r="I725" t="s">
        <v>242</v>
      </c>
    </row>
    <row r="726" spans="1:9" x14ac:dyDescent="0.3">
      <c r="A726">
        <v>287</v>
      </c>
      <c r="B726">
        <v>20</v>
      </c>
      <c r="C726" t="s">
        <v>105</v>
      </c>
      <c r="D726" t="s">
        <v>623</v>
      </c>
      <c r="E726">
        <v>19</v>
      </c>
      <c r="F726">
        <v>32</v>
      </c>
      <c r="G726">
        <v>3</v>
      </c>
      <c r="H726">
        <v>46</v>
      </c>
      <c r="I726" t="s">
        <v>242</v>
      </c>
    </row>
    <row r="727" spans="1:9" x14ac:dyDescent="0.3">
      <c r="A727">
        <v>287</v>
      </c>
      <c r="B727">
        <v>20</v>
      </c>
      <c r="C727" t="s">
        <v>40</v>
      </c>
      <c r="D727" t="s">
        <v>613</v>
      </c>
      <c r="E727">
        <v>18</v>
      </c>
      <c r="F727">
        <v>30</v>
      </c>
      <c r="G727">
        <v>2</v>
      </c>
      <c r="H727">
        <v>17</v>
      </c>
      <c r="I727" t="s">
        <v>243</v>
      </c>
    </row>
    <row r="728" spans="1:9" x14ac:dyDescent="0.3">
      <c r="A728">
        <v>288</v>
      </c>
      <c r="B728">
        <v>15</v>
      </c>
      <c r="C728" t="s">
        <v>53</v>
      </c>
      <c r="D728" t="s">
        <v>621</v>
      </c>
      <c r="E728">
        <v>11</v>
      </c>
      <c r="F728">
        <v>19</v>
      </c>
      <c r="G728">
        <v>2</v>
      </c>
      <c r="H728">
        <v>32</v>
      </c>
      <c r="I728" t="s">
        <v>242</v>
      </c>
    </row>
    <row r="729" spans="1:9" x14ac:dyDescent="0.3">
      <c r="A729">
        <v>288</v>
      </c>
      <c r="B729">
        <v>15</v>
      </c>
      <c r="C729" t="s">
        <v>75</v>
      </c>
      <c r="D729" t="s">
        <v>612</v>
      </c>
      <c r="E729">
        <v>14</v>
      </c>
      <c r="F729">
        <v>24</v>
      </c>
      <c r="G729">
        <v>2</v>
      </c>
      <c r="H729">
        <v>6</v>
      </c>
      <c r="I729" t="s">
        <v>243</v>
      </c>
    </row>
    <row r="730" spans="1:9" x14ac:dyDescent="0.3">
      <c r="A730">
        <v>289</v>
      </c>
      <c r="B730">
        <v>15</v>
      </c>
      <c r="C730" t="s">
        <v>71</v>
      </c>
      <c r="D730" t="s">
        <v>630</v>
      </c>
      <c r="E730">
        <v>15</v>
      </c>
      <c r="F730">
        <v>26</v>
      </c>
      <c r="G730">
        <v>3</v>
      </c>
      <c r="H730">
        <v>48</v>
      </c>
      <c r="I730" t="s">
        <v>243</v>
      </c>
    </row>
    <row r="731" spans="1:9" x14ac:dyDescent="0.3">
      <c r="A731">
        <v>289</v>
      </c>
      <c r="B731">
        <v>15</v>
      </c>
      <c r="C731" t="s">
        <v>66</v>
      </c>
      <c r="D731" t="s">
        <v>626</v>
      </c>
      <c r="E731">
        <v>12</v>
      </c>
      <c r="F731">
        <v>20</v>
      </c>
      <c r="G731">
        <v>3</v>
      </c>
      <c r="H731">
        <v>20</v>
      </c>
      <c r="I731" t="s">
        <v>242</v>
      </c>
    </row>
    <row r="732" spans="1:9" x14ac:dyDescent="0.3">
      <c r="A732">
        <v>290</v>
      </c>
      <c r="B732">
        <v>19</v>
      </c>
      <c r="C732" t="s">
        <v>34</v>
      </c>
      <c r="D732" t="s">
        <v>616</v>
      </c>
      <c r="E732">
        <v>25</v>
      </c>
      <c r="F732">
        <v>40</v>
      </c>
      <c r="G732">
        <v>1</v>
      </c>
      <c r="H732">
        <v>57</v>
      </c>
      <c r="I732" t="s">
        <v>242</v>
      </c>
    </row>
    <row r="733" spans="1:9" x14ac:dyDescent="0.3">
      <c r="A733">
        <v>291</v>
      </c>
      <c r="B733">
        <v>2</v>
      </c>
      <c r="C733" t="s">
        <v>60</v>
      </c>
      <c r="D733" t="s">
        <v>631</v>
      </c>
      <c r="E733">
        <v>15</v>
      </c>
      <c r="F733">
        <v>25</v>
      </c>
      <c r="G733">
        <v>1</v>
      </c>
      <c r="H733">
        <v>41</v>
      </c>
      <c r="I733" t="s">
        <v>242</v>
      </c>
    </row>
    <row r="734" spans="1:9" x14ac:dyDescent="0.3">
      <c r="A734">
        <v>291</v>
      </c>
      <c r="B734">
        <v>2</v>
      </c>
      <c r="C734" t="s">
        <v>56</v>
      </c>
      <c r="D734" t="s">
        <v>614</v>
      </c>
      <c r="E734">
        <v>19</v>
      </c>
      <c r="F734">
        <v>31</v>
      </c>
      <c r="G734">
        <v>2</v>
      </c>
      <c r="H734">
        <v>14</v>
      </c>
      <c r="I734" t="s">
        <v>242</v>
      </c>
    </row>
    <row r="735" spans="1:9" x14ac:dyDescent="0.3">
      <c r="A735">
        <v>291</v>
      </c>
      <c r="B735">
        <v>2</v>
      </c>
      <c r="C735" t="s">
        <v>38</v>
      </c>
      <c r="D735" t="s">
        <v>625</v>
      </c>
      <c r="E735">
        <v>20</v>
      </c>
      <c r="F735">
        <v>34</v>
      </c>
      <c r="G735">
        <v>2</v>
      </c>
      <c r="H735">
        <v>28</v>
      </c>
      <c r="I735" t="s">
        <v>243</v>
      </c>
    </row>
    <row r="736" spans="1:9" x14ac:dyDescent="0.3">
      <c r="A736">
        <v>291</v>
      </c>
      <c r="B736">
        <v>2</v>
      </c>
      <c r="C736" t="s">
        <v>19</v>
      </c>
      <c r="D736" t="s">
        <v>622</v>
      </c>
      <c r="E736">
        <v>21</v>
      </c>
      <c r="F736">
        <v>35</v>
      </c>
      <c r="G736">
        <v>3</v>
      </c>
      <c r="H736">
        <v>12</v>
      </c>
      <c r="I736" t="s">
        <v>243</v>
      </c>
    </row>
    <row r="737" spans="1:9" x14ac:dyDescent="0.3">
      <c r="A737">
        <v>292</v>
      </c>
      <c r="B737">
        <v>10</v>
      </c>
      <c r="C737" t="s">
        <v>30</v>
      </c>
      <c r="D737" t="s">
        <v>620</v>
      </c>
      <c r="E737">
        <v>16</v>
      </c>
      <c r="F737">
        <v>28</v>
      </c>
      <c r="G737">
        <v>3</v>
      </c>
      <c r="H737">
        <v>23</v>
      </c>
      <c r="I737" t="s">
        <v>243</v>
      </c>
    </row>
    <row r="738" spans="1:9" x14ac:dyDescent="0.3">
      <c r="A738">
        <v>293</v>
      </c>
      <c r="B738">
        <v>16</v>
      </c>
      <c r="C738" t="s">
        <v>30</v>
      </c>
      <c r="D738" t="s">
        <v>620</v>
      </c>
      <c r="E738">
        <v>16</v>
      </c>
      <c r="F738">
        <v>28</v>
      </c>
      <c r="G738">
        <v>3</v>
      </c>
      <c r="H738">
        <v>44</v>
      </c>
      <c r="I738" t="s">
        <v>242</v>
      </c>
    </row>
    <row r="739" spans="1:9" x14ac:dyDescent="0.3">
      <c r="A739">
        <v>293</v>
      </c>
      <c r="B739">
        <v>16</v>
      </c>
      <c r="C739" t="s">
        <v>44</v>
      </c>
      <c r="D739" t="s">
        <v>617</v>
      </c>
      <c r="E739">
        <v>22</v>
      </c>
      <c r="F739">
        <v>36</v>
      </c>
      <c r="G739">
        <v>2</v>
      </c>
      <c r="H739">
        <v>47</v>
      </c>
      <c r="I739" t="s">
        <v>242</v>
      </c>
    </row>
    <row r="740" spans="1:9" x14ac:dyDescent="0.3">
      <c r="A740">
        <v>293</v>
      </c>
      <c r="B740">
        <v>16</v>
      </c>
      <c r="C740" t="s">
        <v>40</v>
      </c>
      <c r="D740" t="s">
        <v>613</v>
      </c>
      <c r="E740">
        <v>18</v>
      </c>
      <c r="F740">
        <v>30</v>
      </c>
      <c r="G740">
        <v>2</v>
      </c>
      <c r="H740">
        <v>29</v>
      </c>
      <c r="I740" t="s">
        <v>242</v>
      </c>
    </row>
    <row r="741" spans="1:9" x14ac:dyDescent="0.3">
      <c r="A741">
        <v>294</v>
      </c>
      <c r="B741">
        <v>17</v>
      </c>
      <c r="C741" t="s">
        <v>56</v>
      </c>
      <c r="D741" t="s">
        <v>614</v>
      </c>
      <c r="E741">
        <v>19</v>
      </c>
      <c r="F741">
        <v>31</v>
      </c>
      <c r="G741">
        <v>2</v>
      </c>
      <c r="H741">
        <v>31</v>
      </c>
      <c r="I741" t="s">
        <v>243</v>
      </c>
    </row>
    <row r="742" spans="1:9" x14ac:dyDescent="0.3">
      <c r="A742">
        <v>294</v>
      </c>
      <c r="B742">
        <v>17</v>
      </c>
      <c r="C742" t="s">
        <v>38</v>
      </c>
      <c r="D742" t="s">
        <v>625</v>
      </c>
      <c r="E742">
        <v>20</v>
      </c>
      <c r="F742">
        <v>34</v>
      </c>
      <c r="G742">
        <v>3</v>
      </c>
      <c r="H742">
        <v>9</v>
      </c>
      <c r="I742" t="s">
        <v>243</v>
      </c>
    </row>
    <row r="743" spans="1:9" x14ac:dyDescent="0.3">
      <c r="A743">
        <v>294</v>
      </c>
      <c r="B743">
        <v>17</v>
      </c>
      <c r="C743" t="s">
        <v>44</v>
      </c>
      <c r="D743" t="s">
        <v>617</v>
      </c>
      <c r="E743">
        <v>22</v>
      </c>
      <c r="F743">
        <v>36</v>
      </c>
      <c r="G743">
        <v>3</v>
      </c>
      <c r="H743">
        <v>13</v>
      </c>
      <c r="I743" t="s">
        <v>242</v>
      </c>
    </row>
    <row r="744" spans="1:9" x14ac:dyDescent="0.3">
      <c r="A744">
        <v>294</v>
      </c>
      <c r="B744">
        <v>17</v>
      </c>
      <c r="C744" t="s">
        <v>46</v>
      </c>
      <c r="D744" t="s">
        <v>629</v>
      </c>
      <c r="E744">
        <v>10</v>
      </c>
      <c r="F744">
        <v>18</v>
      </c>
      <c r="G744">
        <v>3</v>
      </c>
      <c r="H744">
        <v>33</v>
      </c>
      <c r="I744" t="s">
        <v>242</v>
      </c>
    </row>
    <row r="745" spans="1:9" x14ac:dyDescent="0.3">
      <c r="A745">
        <v>295</v>
      </c>
      <c r="B745">
        <v>3</v>
      </c>
      <c r="C745" t="s">
        <v>42</v>
      </c>
      <c r="D745" t="s">
        <v>628</v>
      </c>
      <c r="E745">
        <v>13</v>
      </c>
      <c r="F745">
        <v>21</v>
      </c>
      <c r="G745">
        <v>3</v>
      </c>
      <c r="H745">
        <v>59</v>
      </c>
      <c r="I745" t="s">
        <v>242</v>
      </c>
    </row>
    <row r="746" spans="1:9" x14ac:dyDescent="0.3">
      <c r="A746">
        <v>295</v>
      </c>
      <c r="B746">
        <v>3</v>
      </c>
      <c r="C746" t="s">
        <v>105</v>
      </c>
      <c r="D746" t="s">
        <v>623</v>
      </c>
      <c r="E746">
        <v>19</v>
      </c>
      <c r="F746">
        <v>32</v>
      </c>
      <c r="G746">
        <v>1</v>
      </c>
      <c r="H746">
        <v>44</v>
      </c>
      <c r="I746" t="s">
        <v>243</v>
      </c>
    </row>
    <row r="747" spans="1:9" x14ac:dyDescent="0.3">
      <c r="A747">
        <v>295</v>
      </c>
      <c r="B747">
        <v>3</v>
      </c>
      <c r="C747" t="s">
        <v>56</v>
      </c>
      <c r="D747" t="s">
        <v>614</v>
      </c>
      <c r="E747">
        <v>19</v>
      </c>
      <c r="F747">
        <v>31</v>
      </c>
      <c r="G747">
        <v>2</v>
      </c>
      <c r="H747">
        <v>39</v>
      </c>
      <c r="I747" t="s">
        <v>243</v>
      </c>
    </row>
    <row r="748" spans="1:9" x14ac:dyDescent="0.3">
      <c r="A748">
        <v>295</v>
      </c>
      <c r="B748">
        <v>3</v>
      </c>
      <c r="C748" t="s">
        <v>40</v>
      </c>
      <c r="D748" t="s">
        <v>613</v>
      </c>
      <c r="E748">
        <v>18</v>
      </c>
      <c r="F748">
        <v>30</v>
      </c>
      <c r="G748">
        <v>3</v>
      </c>
      <c r="H748">
        <v>35</v>
      </c>
      <c r="I748" t="s">
        <v>242</v>
      </c>
    </row>
    <row r="749" spans="1:9" x14ac:dyDescent="0.3">
      <c r="A749">
        <v>296</v>
      </c>
      <c r="B749">
        <v>14</v>
      </c>
      <c r="C749" t="s">
        <v>89</v>
      </c>
      <c r="D749" t="s">
        <v>627</v>
      </c>
      <c r="E749">
        <v>14</v>
      </c>
      <c r="F749">
        <v>23</v>
      </c>
      <c r="G749">
        <v>1</v>
      </c>
      <c r="H749">
        <v>20</v>
      </c>
      <c r="I749" t="s">
        <v>242</v>
      </c>
    </row>
    <row r="750" spans="1:9" x14ac:dyDescent="0.3">
      <c r="A750">
        <v>296</v>
      </c>
      <c r="B750">
        <v>14</v>
      </c>
      <c r="C750" t="s">
        <v>44</v>
      </c>
      <c r="D750" t="s">
        <v>617</v>
      </c>
      <c r="E750">
        <v>22</v>
      </c>
      <c r="F750">
        <v>36</v>
      </c>
      <c r="G750">
        <v>1</v>
      </c>
      <c r="H750">
        <v>26</v>
      </c>
      <c r="I750" t="s">
        <v>243</v>
      </c>
    </row>
    <row r="751" spans="1:9" x14ac:dyDescent="0.3">
      <c r="A751">
        <v>297</v>
      </c>
      <c r="B751">
        <v>4</v>
      </c>
      <c r="C751" t="s">
        <v>42</v>
      </c>
      <c r="D751" t="s">
        <v>628</v>
      </c>
      <c r="E751">
        <v>13</v>
      </c>
      <c r="F751">
        <v>21</v>
      </c>
      <c r="G751">
        <v>3</v>
      </c>
      <c r="H751">
        <v>40</v>
      </c>
      <c r="I751" t="s">
        <v>243</v>
      </c>
    </row>
    <row r="752" spans="1:9" x14ac:dyDescent="0.3">
      <c r="A752">
        <v>297</v>
      </c>
      <c r="B752">
        <v>4</v>
      </c>
      <c r="C752" t="s">
        <v>46</v>
      </c>
      <c r="D752" t="s">
        <v>629</v>
      </c>
      <c r="E752">
        <v>10</v>
      </c>
      <c r="F752">
        <v>18</v>
      </c>
      <c r="G752">
        <v>3</v>
      </c>
      <c r="H752">
        <v>13</v>
      </c>
      <c r="I752" t="s">
        <v>243</v>
      </c>
    </row>
    <row r="753" spans="1:9" x14ac:dyDescent="0.3">
      <c r="A753">
        <v>297</v>
      </c>
      <c r="B753">
        <v>4</v>
      </c>
      <c r="C753" t="s">
        <v>26</v>
      </c>
      <c r="D753" t="s">
        <v>618</v>
      </c>
      <c r="E753">
        <v>17</v>
      </c>
      <c r="F753">
        <v>29</v>
      </c>
      <c r="G753">
        <v>2</v>
      </c>
      <c r="H753">
        <v>59</v>
      </c>
      <c r="I753" t="s">
        <v>243</v>
      </c>
    </row>
    <row r="754" spans="1:9" x14ac:dyDescent="0.3">
      <c r="A754">
        <v>298</v>
      </c>
      <c r="B754">
        <v>11</v>
      </c>
      <c r="C754" t="s">
        <v>44</v>
      </c>
      <c r="D754" t="s">
        <v>617</v>
      </c>
      <c r="E754">
        <v>22</v>
      </c>
      <c r="F754">
        <v>36</v>
      </c>
      <c r="G754">
        <v>3</v>
      </c>
      <c r="H754">
        <v>49</v>
      </c>
      <c r="I754" t="s">
        <v>242</v>
      </c>
    </row>
    <row r="755" spans="1:9" x14ac:dyDescent="0.3">
      <c r="A755">
        <v>298</v>
      </c>
      <c r="B755">
        <v>11</v>
      </c>
      <c r="C755" t="s">
        <v>92</v>
      </c>
      <c r="D755" t="s">
        <v>624</v>
      </c>
      <c r="E755">
        <v>13</v>
      </c>
      <c r="F755">
        <v>22</v>
      </c>
      <c r="G755">
        <v>3</v>
      </c>
      <c r="H755">
        <v>46</v>
      </c>
      <c r="I755" t="s">
        <v>243</v>
      </c>
    </row>
    <row r="756" spans="1:9" x14ac:dyDescent="0.3">
      <c r="A756">
        <v>298</v>
      </c>
      <c r="B756">
        <v>11</v>
      </c>
      <c r="C756" t="s">
        <v>50</v>
      </c>
      <c r="D756" t="s">
        <v>615</v>
      </c>
      <c r="E756">
        <v>16</v>
      </c>
      <c r="F756">
        <v>27</v>
      </c>
      <c r="G756">
        <v>3</v>
      </c>
      <c r="H756">
        <v>46</v>
      </c>
      <c r="I756" t="s">
        <v>242</v>
      </c>
    </row>
    <row r="757" spans="1:9" x14ac:dyDescent="0.3">
      <c r="A757">
        <v>299</v>
      </c>
      <c r="B757">
        <v>6</v>
      </c>
      <c r="C757" t="s">
        <v>44</v>
      </c>
      <c r="D757" t="s">
        <v>617</v>
      </c>
      <c r="E757">
        <v>22</v>
      </c>
      <c r="F757">
        <v>36</v>
      </c>
      <c r="G757">
        <v>2</v>
      </c>
      <c r="H757">
        <v>55</v>
      </c>
      <c r="I757" t="s">
        <v>242</v>
      </c>
    </row>
    <row r="758" spans="1:9" x14ac:dyDescent="0.3">
      <c r="A758">
        <v>299</v>
      </c>
      <c r="B758">
        <v>6</v>
      </c>
      <c r="C758" t="s">
        <v>66</v>
      </c>
      <c r="D758" t="s">
        <v>626</v>
      </c>
      <c r="E758">
        <v>12</v>
      </c>
      <c r="F758">
        <v>20</v>
      </c>
      <c r="G758">
        <v>1</v>
      </c>
      <c r="H758">
        <v>17</v>
      </c>
      <c r="I758" t="s">
        <v>242</v>
      </c>
    </row>
    <row r="759" spans="1:9" x14ac:dyDescent="0.3">
      <c r="A759">
        <v>299</v>
      </c>
      <c r="B759">
        <v>6</v>
      </c>
      <c r="C759" t="s">
        <v>46</v>
      </c>
      <c r="D759" t="s">
        <v>629</v>
      </c>
      <c r="E759">
        <v>10</v>
      </c>
      <c r="F759">
        <v>18</v>
      </c>
      <c r="G759">
        <v>1</v>
      </c>
      <c r="H759">
        <v>26</v>
      </c>
      <c r="I759" t="s">
        <v>242</v>
      </c>
    </row>
    <row r="760" spans="1:9" x14ac:dyDescent="0.3">
      <c r="A760">
        <v>299</v>
      </c>
      <c r="B760">
        <v>6</v>
      </c>
      <c r="C760" t="s">
        <v>75</v>
      </c>
      <c r="D760" t="s">
        <v>612</v>
      </c>
      <c r="E760">
        <v>14</v>
      </c>
      <c r="F760">
        <v>24</v>
      </c>
      <c r="G760">
        <v>3</v>
      </c>
      <c r="H760">
        <v>15</v>
      </c>
      <c r="I760" t="s">
        <v>243</v>
      </c>
    </row>
    <row r="761" spans="1:9" x14ac:dyDescent="0.3">
      <c r="A761">
        <v>300</v>
      </c>
      <c r="B761">
        <v>18</v>
      </c>
      <c r="C761" t="s">
        <v>71</v>
      </c>
      <c r="D761" t="s">
        <v>630</v>
      </c>
      <c r="E761">
        <v>15</v>
      </c>
      <c r="F761">
        <v>26</v>
      </c>
      <c r="G761">
        <v>1</v>
      </c>
      <c r="H761">
        <v>22</v>
      </c>
      <c r="I761" t="s">
        <v>243</v>
      </c>
    </row>
    <row r="762" spans="1:9" x14ac:dyDescent="0.3">
      <c r="A762">
        <v>300</v>
      </c>
      <c r="B762">
        <v>18</v>
      </c>
      <c r="C762" t="s">
        <v>40</v>
      </c>
      <c r="D762" t="s">
        <v>613</v>
      </c>
      <c r="E762">
        <v>18</v>
      </c>
      <c r="F762">
        <v>30</v>
      </c>
      <c r="G762">
        <v>3</v>
      </c>
      <c r="H762">
        <v>28</v>
      </c>
      <c r="I762" t="s">
        <v>242</v>
      </c>
    </row>
    <row r="763" spans="1:9" x14ac:dyDescent="0.3">
      <c r="A763">
        <v>300</v>
      </c>
      <c r="B763">
        <v>18</v>
      </c>
      <c r="C763" t="s">
        <v>34</v>
      </c>
      <c r="D763" t="s">
        <v>616</v>
      </c>
      <c r="E763">
        <v>25</v>
      </c>
      <c r="F763">
        <v>40</v>
      </c>
      <c r="G763">
        <v>3</v>
      </c>
      <c r="H763">
        <v>54</v>
      </c>
      <c r="I763" t="s">
        <v>243</v>
      </c>
    </row>
    <row r="764" spans="1:9" x14ac:dyDescent="0.3">
      <c r="A764">
        <v>300</v>
      </c>
      <c r="B764">
        <v>18</v>
      </c>
      <c r="C764" t="s">
        <v>46</v>
      </c>
      <c r="D764" t="s">
        <v>629</v>
      </c>
      <c r="E764">
        <v>10</v>
      </c>
      <c r="F764">
        <v>18</v>
      </c>
      <c r="G764">
        <v>3</v>
      </c>
      <c r="H764">
        <v>14</v>
      </c>
      <c r="I764" t="s">
        <v>242</v>
      </c>
    </row>
    <row r="765" spans="1:9" x14ac:dyDescent="0.3">
      <c r="A765">
        <v>301</v>
      </c>
      <c r="B765">
        <v>8</v>
      </c>
      <c r="C765" t="s">
        <v>71</v>
      </c>
      <c r="D765" t="s">
        <v>630</v>
      </c>
      <c r="E765">
        <v>15</v>
      </c>
      <c r="F765">
        <v>26</v>
      </c>
      <c r="G765">
        <v>2</v>
      </c>
      <c r="H765">
        <v>57</v>
      </c>
      <c r="I765" t="s">
        <v>243</v>
      </c>
    </row>
    <row r="766" spans="1:9" x14ac:dyDescent="0.3">
      <c r="A766">
        <v>301</v>
      </c>
      <c r="B766">
        <v>8</v>
      </c>
      <c r="C766" t="s">
        <v>56</v>
      </c>
      <c r="D766" t="s">
        <v>614</v>
      </c>
      <c r="E766">
        <v>19</v>
      </c>
      <c r="F766">
        <v>31</v>
      </c>
      <c r="G766">
        <v>3</v>
      </c>
      <c r="H766">
        <v>23</v>
      </c>
      <c r="I766" t="s">
        <v>243</v>
      </c>
    </row>
    <row r="767" spans="1:9" x14ac:dyDescent="0.3">
      <c r="A767">
        <v>301</v>
      </c>
      <c r="B767">
        <v>8</v>
      </c>
      <c r="C767" t="s">
        <v>66</v>
      </c>
      <c r="D767" t="s">
        <v>626</v>
      </c>
      <c r="E767">
        <v>12</v>
      </c>
      <c r="F767">
        <v>20</v>
      </c>
      <c r="G767">
        <v>1</v>
      </c>
      <c r="H767">
        <v>54</v>
      </c>
      <c r="I767" t="s">
        <v>242</v>
      </c>
    </row>
    <row r="768" spans="1:9" x14ac:dyDescent="0.3">
      <c r="A768">
        <v>301</v>
      </c>
      <c r="B768">
        <v>8</v>
      </c>
      <c r="C768" t="s">
        <v>26</v>
      </c>
      <c r="D768" t="s">
        <v>618</v>
      </c>
      <c r="E768">
        <v>17</v>
      </c>
      <c r="F768">
        <v>29</v>
      </c>
      <c r="G768">
        <v>2</v>
      </c>
      <c r="H768">
        <v>49</v>
      </c>
      <c r="I768" t="s">
        <v>242</v>
      </c>
    </row>
    <row r="769" spans="1:9" x14ac:dyDescent="0.3">
      <c r="A769">
        <v>302</v>
      </c>
      <c r="B769">
        <v>5</v>
      </c>
      <c r="C769" t="s">
        <v>105</v>
      </c>
      <c r="D769" t="s">
        <v>623</v>
      </c>
      <c r="E769">
        <v>19</v>
      </c>
      <c r="F769">
        <v>32</v>
      </c>
      <c r="G769">
        <v>3</v>
      </c>
      <c r="H769">
        <v>15</v>
      </c>
      <c r="I769" t="s">
        <v>242</v>
      </c>
    </row>
    <row r="770" spans="1:9" x14ac:dyDescent="0.3">
      <c r="A770">
        <v>303</v>
      </c>
      <c r="B770">
        <v>14</v>
      </c>
      <c r="C770" t="s">
        <v>71</v>
      </c>
      <c r="D770" t="s">
        <v>630</v>
      </c>
      <c r="E770">
        <v>15</v>
      </c>
      <c r="F770">
        <v>26</v>
      </c>
      <c r="G770">
        <v>1</v>
      </c>
      <c r="H770">
        <v>56</v>
      </c>
      <c r="I770" t="s">
        <v>243</v>
      </c>
    </row>
    <row r="771" spans="1:9" x14ac:dyDescent="0.3">
      <c r="A771">
        <v>303</v>
      </c>
      <c r="B771">
        <v>14</v>
      </c>
      <c r="C771" t="s">
        <v>34</v>
      </c>
      <c r="D771" t="s">
        <v>616</v>
      </c>
      <c r="E771">
        <v>25</v>
      </c>
      <c r="F771">
        <v>40</v>
      </c>
      <c r="G771">
        <v>3</v>
      </c>
      <c r="H771">
        <v>16</v>
      </c>
      <c r="I771" t="s">
        <v>242</v>
      </c>
    </row>
    <row r="772" spans="1:9" x14ac:dyDescent="0.3">
      <c r="A772">
        <v>303</v>
      </c>
      <c r="B772">
        <v>14</v>
      </c>
      <c r="C772" t="s">
        <v>66</v>
      </c>
      <c r="D772" t="s">
        <v>626</v>
      </c>
      <c r="E772">
        <v>12</v>
      </c>
      <c r="F772">
        <v>20</v>
      </c>
      <c r="G772">
        <v>2</v>
      </c>
      <c r="H772">
        <v>13</v>
      </c>
      <c r="I772" t="s">
        <v>242</v>
      </c>
    </row>
    <row r="773" spans="1:9" x14ac:dyDescent="0.3">
      <c r="A773">
        <v>303</v>
      </c>
      <c r="B773">
        <v>14</v>
      </c>
      <c r="C773" t="s">
        <v>75</v>
      </c>
      <c r="D773" t="s">
        <v>612</v>
      </c>
      <c r="E773">
        <v>14</v>
      </c>
      <c r="F773">
        <v>24</v>
      </c>
      <c r="G773">
        <v>1</v>
      </c>
      <c r="H773">
        <v>7</v>
      </c>
      <c r="I773" t="s">
        <v>242</v>
      </c>
    </row>
    <row r="774" spans="1:9" x14ac:dyDescent="0.3">
      <c r="A774">
        <v>304</v>
      </c>
      <c r="B774">
        <v>6</v>
      </c>
      <c r="C774" t="s">
        <v>42</v>
      </c>
      <c r="D774" t="s">
        <v>628</v>
      </c>
      <c r="E774">
        <v>13</v>
      </c>
      <c r="F774">
        <v>21</v>
      </c>
      <c r="G774">
        <v>2</v>
      </c>
      <c r="H774">
        <v>7</v>
      </c>
      <c r="I774" t="s">
        <v>243</v>
      </c>
    </row>
    <row r="775" spans="1:9" x14ac:dyDescent="0.3">
      <c r="A775">
        <v>304</v>
      </c>
      <c r="B775">
        <v>6</v>
      </c>
      <c r="C775" t="s">
        <v>105</v>
      </c>
      <c r="D775" t="s">
        <v>623</v>
      </c>
      <c r="E775">
        <v>19</v>
      </c>
      <c r="F775">
        <v>32</v>
      </c>
      <c r="G775">
        <v>2</v>
      </c>
      <c r="H775">
        <v>9</v>
      </c>
      <c r="I775" t="s">
        <v>242</v>
      </c>
    </row>
    <row r="776" spans="1:9" x14ac:dyDescent="0.3">
      <c r="A776">
        <v>304</v>
      </c>
      <c r="B776">
        <v>6</v>
      </c>
      <c r="C776" t="s">
        <v>56</v>
      </c>
      <c r="D776" t="s">
        <v>614</v>
      </c>
      <c r="E776">
        <v>19</v>
      </c>
      <c r="F776">
        <v>31</v>
      </c>
      <c r="G776">
        <v>3</v>
      </c>
      <c r="H776">
        <v>21</v>
      </c>
      <c r="I776" t="s">
        <v>242</v>
      </c>
    </row>
    <row r="777" spans="1:9" x14ac:dyDescent="0.3">
      <c r="A777">
        <v>304</v>
      </c>
      <c r="B777">
        <v>6</v>
      </c>
      <c r="C777" t="s">
        <v>34</v>
      </c>
      <c r="D777" t="s">
        <v>616</v>
      </c>
      <c r="E777">
        <v>25</v>
      </c>
      <c r="F777">
        <v>40</v>
      </c>
      <c r="G777">
        <v>2</v>
      </c>
      <c r="H777">
        <v>48</v>
      </c>
      <c r="I777" t="s">
        <v>242</v>
      </c>
    </row>
    <row r="778" spans="1:9" x14ac:dyDescent="0.3">
      <c r="A778">
        <v>305</v>
      </c>
      <c r="B778">
        <v>1</v>
      </c>
      <c r="C778" t="s">
        <v>89</v>
      </c>
      <c r="D778" t="s">
        <v>627</v>
      </c>
      <c r="E778">
        <v>14</v>
      </c>
      <c r="F778">
        <v>23</v>
      </c>
      <c r="G778">
        <v>1</v>
      </c>
      <c r="H778">
        <v>48</v>
      </c>
      <c r="I778" t="s">
        <v>242</v>
      </c>
    </row>
    <row r="779" spans="1:9" x14ac:dyDescent="0.3">
      <c r="A779">
        <v>305</v>
      </c>
      <c r="B779">
        <v>1</v>
      </c>
      <c r="C779" t="s">
        <v>19</v>
      </c>
      <c r="D779" t="s">
        <v>622</v>
      </c>
      <c r="E779">
        <v>21</v>
      </c>
      <c r="F779">
        <v>35</v>
      </c>
      <c r="G779">
        <v>3</v>
      </c>
      <c r="H779">
        <v>17</v>
      </c>
      <c r="I779" t="s">
        <v>242</v>
      </c>
    </row>
    <row r="780" spans="1:9" x14ac:dyDescent="0.3">
      <c r="A780">
        <v>306</v>
      </c>
      <c r="B780">
        <v>7</v>
      </c>
      <c r="C780" t="s">
        <v>105</v>
      </c>
      <c r="D780" t="s">
        <v>623</v>
      </c>
      <c r="E780">
        <v>19</v>
      </c>
      <c r="F780">
        <v>32</v>
      </c>
      <c r="G780">
        <v>1</v>
      </c>
      <c r="H780">
        <v>21</v>
      </c>
      <c r="I780" t="s">
        <v>243</v>
      </c>
    </row>
    <row r="781" spans="1:9" x14ac:dyDescent="0.3">
      <c r="A781">
        <v>307</v>
      </c>
      <c r="B781">
        <v>20</v>
      </c>
      <c r="C781" t="s">
        <v>42</v>
      </c>
      <c r="D781" t="s">
        <v>628</v>
      </c>
      <c r="E781">
        <v>13</v>
      </c>
      <c r="F781">
        <v>21</v>
      </c>
      <c r="G781">
        <v>3</v>
      </c>
      <c r="H781">
        <v>39</v>
      </c>
      <c r="I781" t="s">
        <v>243</v>
      </c>
    </row>
    <row r="782" spans="1:9" x14ac:dyDescent="0.3">
      <c r="A782">
        <v>308</v>
      </c>
      <c r="B782">
        <v>14</v>
      </c>
      <c r="C782" t="s">
        <v>30</v>
      </c>
      <c r="D782" t="s">
        <v>620</v>
      </c>
      <c r="E782">
        <v>16</v>
      </c>
      <c r="F782">
        <v>28</v>
      </c>
      <c r="G782">
        <v>2</v>
      </c>
      <c r="H782">
        <v>59</v>
      </c>
      <c r="I782" t="s">
        <v>242</v>
      </c>
    </row>
    <row r="783" spans="1:9" x14ac:dyDescent="0.3">
      <c r="A783">
        <v>308</v>
      </c>
      <c r="B783">
        <v>14</v>
      </c>
      <c r="C783" t="s">
        <v>56</v>
      </c>
      <c r="D783" t="s">
        <v>614</v>
      </c>
      <c r="E783">
        <v>19</v>
      </c>
      <c r="F783">
        <v>31</v>
      </c>
      <c r="G783">
        <v>2</v>
      </c>
      <c r="H783">
        <v>42</v>
      </c>
      <c r="I783" t="s">
        <v>242</v>
      </c>
    </row>
    <row r="784" spans="1:9" x14ac:dyDescent="0.3">
      <c r="A784">
        <v>308</v>
      </c>
      <c r="B784">
        <v>14</v>
      </c>
      <c r="C784" t="s">
        <v>38</v>
      </c>
      <c r="D784" t="s">
        <v>625</v>
      </c>
      <c r="E784">
        <v>20</v>
      </c>
      <c r="F784">
        <v>34</v>
      </c>
      <c r="G784">
        <v>1</v>
      </c>
      <c r="H784">
        <v>44</v>
      </c>
      <c r="I784" t="s">
        <v>243</v>
      </c>
    </row>
    <row r="785" spans="1:9" x14ac:dyDescent="0.3">
      <c r="A785">
        <v>308</v>
      </c>
      <c r="B785">
        <v>14</v>
      </c>
      <c r="C785" t="s">
        <v>19</v>
      </c>
      <c r="D785" t="s">
        <v>622</v>
      </c>
      <c r="E785">
        <v>21</v>
      </c>
      <c r="F785">
        <v>35</v>
      </c>
      <c r="G785">
        <v>2</v>
      </c>
      <c r="H785">
        <v>41</v>
      </c>
      <c r="I785" t="s">
        <v>242</v>
      </c>
    </row>
    <row r="786" spans="1:9" x14ac:dyDescent="0.3">
      <c r="A786">
        <v>309</v>
      </c>
      <c r="B786">
        <v>9</v>
      </c>
      <c r="C786" t="s">
        <v>56</v>
      </c>
      <c r="D786" t="s">
        <v>614</v>
      </c>
      <c r="E786">
        <v>19</v>
      </c>
      <c r="F786">
        <v>31</v>
      </c>
      <c r="G786">
        <v>2</v>
      </c>
      <c r="H786">
        <v>43</v>
      </c>
      <c r="I786" t="s">
        <v>243</v>
      </c>
    </row>
    <row r="787" spans="1:9" x14ac:dyDescent="0.3">
      <c r="A787">
        <v>309</v>
      </c>
      <c r="B787">
        <v>9</v>
      </c>
      <c r="C787" t="s">
        <v>34</v>
      </c>
      <c r="D787" t="s">
        <v>616</v>
      </c>
      <c r="E787">
        <v>25</v>
      </c>
      <c r="F787">
        <v>40</v>
      </c>
      <c r="G787">
        <v>1</v>
      </c>
      <c r="H787">
        <v>29</v>
      </c>
      <c r="I787" t="s">
        <v>242</v>
      </c>
    </row>
    <row r="788" spans="1:9" x14ac:dyDescent="0.3">
      <c r="A788">
        <v>309</v>
      </c>
      <c r="B788">
        <v>9</v>
      </c>
      <c r="C788" t="s">
        <v>19</v>
      </c>
      <c r="D788" t="s">
        <v>622</v>
      </c>
      <c r="E788">
        <v>21</v>
      </c>
      <c r="F788">
        <v>35</v>
      </c>
      <c r="G788">
        <v>2</v>
      </c>
      <c r="H788">
        <v>51</v>
      </c>
      <c r="I788" t="s">
        <v>243</v>
      </c>
    </row>
    <row r="789" spans="1:9" x14ac:dyDescent="0.3">
      <c r="A789">
        <v>310</v>
      </c>
      <c r="B789">
        <v>17</v>
      </c>
      <c r="C789" t="s">
        <v>71</v>
      </c>
      <c r="D789" t="s">
        <v>630</v>
      </c>
      <c r="E789">
        <v>15</v>
      </c>
      <c r="F789">
        <v>26</v>
      </c>
      <c r="G789">
        <v>3</v>
      </c>
      <c r="H789">
        <v>43</v>
      </c>
      <c r="I789" t="s">
        <v>242</v>
      </c>
    </row>
    <row r="790" spans="1:9" x14ac:dyDescent="0.3">
      <c r="A790">
        <v>310</v>
      </c>
      <c r="B790">
        <v>17</v>
      </c>
      <c r="C790" t="s">
        <v>40</v>
      </c>
      <c r="D790" t="s">
        <v>613</v>
      </c>
      <c r="E790">
        <v>18</v>
      </c>
      <c r="F790">
        <v>30</v>
      </c>
      <c r="G790">
        <v>2</v>
      </c>
      <c r="H790">
        <v>54</v>
      </c>
      <c r="I790" t="s">
        <v>243</v>
      </c>
    </row>
    <row r="791" spans="1:9" x14ac:dyDescent="0.3">
      <c r="A791">
        <v>311</v>
      </c>
      <c r="B791">
        <v>6</v>
      </c>
      <c r="C791" t="s">
        <v>75</v>
      </c>
      <c r="D791" t="s">
        <v>612</v>
      </c>
      <c r="E791">
        <v>14</v>
      </c>
      <c r="F791">
        <v>24</v>
      </c>
      <c r="G791">
        <v>1</v>
      </c>
      <c r="H791">
        <v>46</v>
      </c>
      <c r="I791" t="s">
        <v>243</v>
      </c>
    </row>
    <row r="792" spans="1:9" x14ac:dyDescent="0.3">
      <c r="A792">
        <v>311</v>
      </c>
      <c r="B792">
        <v>6</v>
      </c>
      <c r="C792" t="s">
        <v>26</v>
      </c>
      <c r="D792" t="s">
        <v>618</v>
      </c>
      <c r="E792">
        <v>17</v>
      </c>
      <c r="F792">
        <v>29</v>
      </c>
      <c r="G792">
        <v>1</v>
      </c>
      <c r="H792">
        <v>28</v>
      </c>
      <c r="I792" t="s">
        <v>243</v>
      </c>
    </row>
    <row r="793" spans="1:9" x14ac:dyDescent="0.3">
      <c r="A793">
        <v>312</v>
      </c>
      <c r="B793">
        <v>2</v>
      </c>
      <c r="C793" t="s">
        <v>105</v>
      </c>
      <c r="D793" t="s">
        <v>623</v>
      </c>
      <c r="E793">
        <v>19</v>
      </c>
      <c r="F793">
        <v>32</v>
      </c>
      <c r="G793">
        <v>2</v>
      </c>
      <c r="H793">
        <v>45</v>
      </c>
      <c r="I793" t="s">
        <v>243</v>
      </c>
    </row>
    <row r="794" spans="1:9" x14ac:dyDescent="0.3">
      <c r="A794">
        <v>312</v>
      </c>
      <c r="B794">
        <v>2</v>
      </c>
      <c r="C794" t="s">
        <v>19</v>
      </c>
      <c r="D794" t="s">
        <v>622</v>
      </c>
      <c r="E794">
        <v>21</v>
      </c>
      <c r="F794">
        <v>35</v>
      </c>
      <c r="G794">
        <v>2</v>
      </c>
      <c r="H794">
        <v>10</v>
      </c>
      <c r="I794" t="s">
        <v>243</v>
      </c>
    </row>
    <row r="795" spans="1:9" x14ac:dyDescent="0.3">
      <c r="A795">
        <v>313</v>
      </c>
      <c r="B795">
        <v>10</v>
      </c>
      <c r="C795" t="s">
        <v>53</v>
      </c>
      <c r="D795" t="s">
        <v>621</v>
      </c>
      <c r="E795">
        <v>11</v>
      </c>
      <c r="F795">
        <v>19</v>
      </c>
      <c r="G795">
        <v>2</v>
      </c>
      <c r="H795">
        <v>27</v>
      </c>
      <c r="I795" t="s">
        <v>243</v>
      </c>
    </row>
    <row r="796" spans="1:9" x14ac:dyDescent="0.3">
      <c r="A796">
        <v>313</v>
      </c>
      <c r="B796">
        <v>10</v>
      </c>
      <c r="C796" t="s">
        <v>56</v>
      </c>
      <c r="D796" t="s">
        <v>614</v>
      </c>
      <c r="E796">
        <v>19</v>
      </c>
      <c r="F796">
        <v>31</v>
      </c>
      <c r="G796">
        <v>2</v>
      </c>
      <c r="H796">
        <v>38</v>
      </c>
      <c r="I796" t="s">
        <v>242</v>
      </c>
    </row>
    <row r="797" spans="1:9" x14ac:dyDescent="0.3">
      <c r="A797">
        <v>313</v>
      </c>
      <c r="B797">
        <v>10</v>
      </c>
      <c r="C797" t="s">
        <v>44</v>
      </c>
      <c r="D797" t="s">
        <v>617</v>
      </c>
      <c r="E797">
        <v>22</v>
      </c>
      <c r="F797">
        <v>36</v>
      </c>
      <c r="G797">
        <v>3</v>
      </c>
      <c r="H797">
        <v>26</v>
      </c>
      <c r="I797" t="s">
        <v>242</v>
      </c>
    </row>
    <row r="798" spans="1:9" x14ac:dyDescent="0.3">
      <c r="A798">
        <v>313</v>
      </c>
      <c r="B798">
        <v>10</v>
      </c>
      <c r="C798" t="s">
        <v>75</v>
      </c>
      <c r="D798" t="s">
        <v>612</v>
      </c>
      <c r="E798">
        <v>14</v>
      </c>
      <c r="F798">
        <v>24</v>
      </c>
      <c r="G798">
        <v>1</v>
      </c>
      <c r="H798">
        <v>15</v>
      </c>
      <c r="I798" t="s">
        <v>243</v>
      </c>
    </row>
    <row r="799" spans="1:9" x14ac:dyDescent="0.3">
      <c r="A799">
        <v>314</v>
      </c>
      <c r="B799">
        <v>20</v>
      </c>
      <c r="C799" t="s">
        <v>50</v>
      </c>
      <c r="D799" t="s">
        <v>615</v>
      </c>
      <c r="E799">
        <v>16</v>
      </c>
      <c r="F799">
        <v>27</v>
      </c>
      <c r="G799">
        <v>1</v>
      </c>
      <c r="H799">
        <v>5</v>
      </c>
      <c r="I799" t="s">
        <v>242</v>
      </c>
    </row>
    <row r="800" spans="1:9" x14ac:dyDescent="0.3">
      <c r="A800">
        <v>315</v>
      </c>
      <c r="B800">
        <v>14</v>
      </c>
      <c r="C800" t="s">
        <v>60</v>
      </c>
      <c r="D800" t="s">
        <v>631</v>
      </c>
      <c r="E800">
        <v>15</v>
      </c>
      <c r="F800">
        <v>25</v>
      </c>
      <c r="G800">
        <v>1</v>
      </c>
      <c r="H800">
        <v>16</v>
      </c>
      <c r="I800" t="s">
        <v>243</v>
      </c>
    </row>
    <row r="801" spans="1:9" x14ac:dyDescent="0.3">
      <c r="A801">
        <v>315</v>
      </c>
      <c r="B801">
        <v>14</v>
      </c>
      <c r="C801" t="s">
        <v>42</v>
      </c>
      <c r="D801" t="s">
        <v>628</v>
      </c>
      <c r="E801">
        <v>13</v>
      </c>
      <c r="F801">
        <v>21</v>
      </c>
      <c r="G801">
        <v>1</v>
      </c>
      <c r="H801">
        <v>51</v>
      </c>
      <c r="I801" t="s">
        <v>243</v>
      </c>
    </row>
    <row r="802" spans="1:9" x14ac:dyDescent="0.3">
      <c r="A802">
        <v>315</v>
      </c>
      <c r="B802">
        <v>14</v>
      </c>
      <c r="C802" t="s">
        <v>30</v>
      </c>
      <c r="D802" t="s">
        <v>620</v>
      </c>
      <c r="E802">
        <v>16</v>
      </c>
      <c r="F802">
        <v>28</v>
      </c>
      <c r="G802">
        <v>1</v>
      </c>
      <c r="H802">
        <v>7</v>
      </c>
      <c r="I802" t="s">
        <v>243</v>
      </c>
    </row>
    <row r="803" spans="1:9" x14ac:dyDescent="0.3">
      <c r="A803">
        <v>315</v>
      </c>
      <c r="B803">
        <v>14</v>
      </c>
      <c r="C803" t="s">
        <v>26</v>
      </c>
      <c r="D803" t="s">
        <v>618</v>
      </c>
      <c r="E803">
        <v>17</v>
      </c>
      <c r="F803">
        <v>29</v>
      </c>
      <c r="G803">
        <v>3</v>
      </c>
      <c r="H803">
        <v>52</v>
      </c>
      <c r="I803" t="s">
        <v>243</v>
      </c>
    </row>
    <row r="804" spans="1:9" x14ac:dyDescent="0.3">
      <c r="A804">
        <v>316</v>
      </c>
      <c r="B804">
        <v>2</v>
      </c>
      <c r="C804" t="s">
        <v>42</v>
      </c>
      <c r="D804" t="s">
        <v>628</v>
      </c>
      <c r="E804">
        <v>13</v>
      </c>
      <c r="F804">
        <v>21</v>
      </c>
      <c r="G804">
        <v>1</v>
      </c>
      <c r="H804">
        <v>23</v>
      </c>
      <c r="I804" t="s">
        <v>242</v>
      </c>
    </row>
    <row r="805" spans="1:9" x14ac:dyDescent="0.3">
      <c r="A805">
        <v>316</v>
      </c>
      <c r="B805">
        <v>2</v>
      </c>
      <c r="C805" t="s">
        <v>34</v>
      </c>
      <c r="D805" t="s">
        <v>616</v>
      </c>
      <c r="E805">
        <v>25</v>
      </c>
      <c r="F805">
        <v>40</v>
      </c>
      <c r="G805">
        <v>1</v>
      </c>
      <c r="H805">
        <v>52</v>
      </c>
      <c r="I805" t="s">
        <v>243</v>
      </c>
    </row>
    <row r="806" spans="1:9" x14ac:dyDescent="0.3">
      <c r="A806">
        <v>316</v>
      </c>
      <c r="B806">
        <v>2</v>
      </c>
      <c r="C806" t="s">
        <v>46</v>
      </c>
      <c r="D806" t="s">
        <v>629</v>
      </c>
      <c r="E806">
        <v>10</v>
      </c>
      <c r="F806">
        <v>18</v>
      </c>
      <c r="G806">
        <v>1</v>
      </c>
      <c r="H806">
        <v>30</v>
      </c>
      <c r="I806" t="s">
        <v>242</v>
      </c>
    </row>
    <row r="807" spans="1:9" x14ac:dyDescent="0.3">
      <c r="A807">
        <v>316</v>
      </c>
      <c r="B807">
        <v>2</v>
      </c>
      <c r="C807" t="s">
        <v>50</v>
      </c>
      <c r="D807" t="s">
        <v>615</v>
      </c>
      <c r="E807">
        <v>16</v>
      </c>
      <c r="F807">
        <v>27</v>
      </c>
      <c r="G807">
        <v>3</v>
      </c>
      <c r="H807">
        <v>53</v>
      </c>
      <c r="I807" t="s">
        <v>243</v>
      </c>
    </row>
    <row r="808" spans="1:9" x14ac:dyDescent="0.3">
      <c r="A808">
        <v>317</v>
      </c>
      <c r="B808">
        <v>17</v>
      </c>
      <c r="C808" t="s">
        <v>105</v>
      </c>
      <c r="D808" t="s">
        <v>623</v>
      </c>
      <c r="E808">
        <v>19</v>
      </c>
      <c r="F808">
        <v>32</v>
      </c>
      <c r="G808">
        <v>1</v>
      </c>
      <c r="H808">
        <v>31</v>
      </c>
      <c r="I808" t="s">
        <v>243</v>
      </c>
    </row>
    <row r="809" spans="1:9" x14ac:dyDescent="0.3">
      <c r="A809">
        <v>317</v>
      </c>
      <c r="B809">
        <v>17</v>
      </c>
      <c r="C809" t="s">
        <v>38</v>
      </c>
      <c r="D809" t="s">
        <v>625</v>
      </c>
      <c r="E809">
        <v>20</v>
      </c>
      <c r="F809">
        <v>34</v>
      </c>
      <c r="G809">
        <v>3</v>
      </c>
      <c r="H809">
        <v>37</v>
      </c>
      <c r="I809" t="s">
        <v>243</v>
      </c>
    </row>
    <row r="810" spans="1:9" x14ac:dyDescent="0.3">
      <c r="A810">
        <v>317</v>
      </c>
      <c r="B810">
        <v>17</v>
      </c>
      <c r="C810" t="s">
        <v>92</v>
      </c>
      <c r="D810" t="s">
        <v>624</v>
      </c>
      <c r="E810">
        <v>13</v>
      </c>
      <c r="F810">
        <v>22</v>
      </c>
      <c r="G810">
        <v>2</v>
      </c>
      <c r="H810">
        <v>20</v>
      </c>
      <c r="I810" t="s">
        <v>243</v>
      </c>
    </row>
    <row r="811" spans="1:9" x14ac:dyDescent="0.3">
      <c r="A811">
        <v>318</v>
      </c>
      <c r="B811">
        <v>13</v>
      </c>
      <c r="C811" t="s">
        <v>26</v>
      </c>
      <c r="D811" t="s">
        <v>618</v>
      </c>
      <c r="E811">
        <v>17</v>
      </c>
      <c r="F811">
        <v>29</v>
      </c>
      <c r="G811">
        <v>1</v>
      </c>
      <c r="H811">
        <v>39</v>
      </c>
      <c r="I811" t="s">
        <v>243</v>
      </c>
    </row>
    <row r="812" spans="1:9" x14ac:dyDescent="0.3">
      <c r="A812">
        <v>319</v>
      </c>
      <c r="B812">
        <v>1</v>
      </c>
      <c r="C812" t="s">
        <v>105</v>
      </c>
      <c r="D812" t="s">
        <v>623</v>
      </c>
      <c r="E812">
        <v>19</v>
      </c>
      <c r="F812">
        <v>32</v>
      </c>
      <c r="G812">
        <v>3</v>
      </c>
      <c r="H812">
        <v>16</v>
      </c>
      <c r="I812" t="s">
        <v>243</v>
      </c>
    </row>
    <row r="813" spans="1:9" x14ac:dyDescent="0.3">
      <c r="A813">
        <v>319</v>
      </c>
      <c r="B813">
        <v>1</v>
      </c>
      <c r="C813" t="s">
        <v>56</v>
      </c>
      <c r="D813" t="s">
        <v>614</v>
      </c>
      <c r="E813">
        <v>19</v>
      </c>
      <c r="F813">
        <v>31</v>
      </c>
      <c r="G813">
        <v>2</v>
      </c>
      <c r="H813">
        <v>55</v>
      </c>
      <c r="I813" t="s">
        <v>243</v>
      </c>
    </row>
    <row r="814" spans="1:9" x14ac:dyDescent="0.3">
      <c r="A814">
        <v>319</v>
      </c>
      <c r="B814">
        <v>1</v>
      </c>
      <c r="C814" t="s">
        <v>34</v>
      </c>
      <c r="D814" t="s">
        <v>616</v>
      </c>
      <c r="E814">
        <v>25</v>
      </c>
      <c r="F814">
        <v>40</v>
      </c>
      <c r="G814">
        <v>1</v>
      </c>
      <c r="H814">
        <v>38</v>
      </c>
      <c r="I814" t="s">
        <v>243</v>
      </c>
    </row>
    <row r="815" spans="1:9" x14ac:dyDescent="0.3">
      <c r="A815">
        <v>319</v>
      </c>
      <c r="B815">
        <v>1</v>
      </c>
      <c r="C815" t="s">
        <v>19</v>
      </c>
      <c r="D815" t="s">
        <v>622</v>
      </c>
      <c r="E815">
        <v>21</v>
      </c>
      <c r="F815">
        <v>35</v>
      </c>
      <c r="G815">
        <v>2</v>
      </c>
      <c r="H815">
        <v>17</v>
      </c>
      <c r="I815" t="s">
        <v>242</v>
      </c>
    </row>
    <row r="816" spans="1:9" x14ac:dyDescent="0.3">
      <c r="A816">
        <v>320</v>
      </c>
      <c r="B816">
        <v>9</v>
      </c>
      <c r="C816" t="s">
        <v>42</v>
      </c>
      <c r="D816" t="s">
        <v>628</v>
      </c>
      <c r="E816">
        <v>13</v>
      </c>
      <c r="F816">
        <v>21</v>
      </c>
      <c r="G816">
        <v>2</v>
      </c>
      <c r="H816">
        <v>44</v>
      </c>
      <c r="I816" t="s">
        <v>243</v>
      </c>
    </row>
    <row r="817" spans="1:9" x14ac:dyDescent="0.3">
      <c r="A817">
        <v>320</v>
      </c>
      <c r="B817">
        <v>9</v>
      </c>
      <c r="C817" t="s">
        <v>38</v>
      </c>
      <c r="D817" t="s">
        <v>625</v>
      </c>
      <c r="E817">
        <v>20</v>
      </c>
      <c r="F817">
        <v>34</v>
      </c>
      <c r="G817">
        <v>1</v>
      </c>
      <c r="H817">
        <v>42</v>
      </c>
      <c r="I817" t="s">
        <v>242</v>
      </c>
    </row>
    <row r="818" spans="1:9" x14ac:dyDescent="0.3">
      <c r="A818">
        <v>320</v>
      </c>
      <c r="B818">
        <v>9</v>
      </c>
      <c r="C818" t="s">
        <v>92</v>
      </c>
      <c r="D818" t="s">
        <v>624</v>
      </c>
      <c r="E818">
        <v>13</v>
      </c>
      <c r="F818">
        <v>22</v>
      </c>
      <c r="G818">
        <v>1</v>
      </c>
      <c r="H818">
        <v>44</v>
      </c>
      <c r="I818" t="s">
        <v>243</v>
      </c>
    </row>
    <row r="819" spans="1:9" x14ac:dyDescent="0.3">
      <c r="A819">
        <v>321</v>
      </c>
      <c r="B819">
        <v>18</v>
      </c>
      <c r="C819" t="s">
        <v>89</v>
      </c>
      <c r="D819" t="s">
        <v>627</v>
      </c>
      <c r="E819">
        <v>14</v>
      </c>
      <c r="F819">
        <v>23</v>
      </c>
      <c r="G819">
        <v>3</v>
      </c>
      <c r="H819">
        <v>39</v>
      </c>
      <c r="I819" t="s">
        <v>242</v>
      </c>
    </row>
    <row r="820" spans="1:9" x14ac:dyDescent="0.3">
      <c r="A820">
        <v>321</v>
      </c>
      <c r="B820">
        <v>18</v>
      </c>
      <c r="C820" t="s">
        <v>30</v>
      </c>
      <c r="D820" t="s">
        <v>620</v>
      </c>
      <c r="E820">
        <v>16</v>
      </c>
      <c r="F820">
        <v>28</v>
      </c>
      <c r="G820">
        <v>1</v>
      </c>
      <c r="H820">
        <v>34</v>
      </c>
      <c r="I820" t="s">
        <v>243</v>
      </c>
    </row>
    <row r="821" spans="1:9" x14ac:dyDescent="0.3">
      <c r="A821">
        <v>321</v>
      </c>
      <c r="B821">
        <v>18</v>
      </c>
      <c r="C821" t="s">
        <v>92</v>
      </c>
      <c r="D821" t="s">
        <v>624</v>
      </c>
      <c r="E821">
        <v>13</v>
      </c>
      <c r="F821">
        <v>22</v>
      </c>
      <c r="G821">
        <v>2</v>
      </c>
      <c r="H821">
        <v>22</v>
      </c>
      <c r="I821" t="s">
        <v>243</v>
      </c>
    </row>
    <row r="822" spans="1:9" x14ac:dyDescent="0.3">
      <c r="A822">
        <v>322</v>
      </c>
      <c r="B822">
        <v>12</v>
      </c>
      <c r="C822" t="s">
        <v>42</v>
      </c>
      <c r="D822" t="s">
        <v>628</v>
      </c>
      <c r="E822">
        <v>13</v>
      </c>
      <c r="F822">
        <v>21</v>
      </c>
      <c r="G822">
        <v>1</v>
      </c>
      <c r="H822">
        <v>52</v>
      </c>
      <c r="I822" t="s">
        <v>243</v>
      </c>
    </row>
    <row r="823" spans="1:9" x14ac:dyDescent="0.3">
      <c r="A823">
        <v>322</v>
      </c>
      <c r="B823">
        <v>12</v>
      </c>
      <c r="C823" t="s">
        <v>105</v>
      </c>
      <c r="D823" t="s">
        <v>623</v>
      </c>
      <c r="E823">
        <v>19</v>
      </c>
      <c r="F823">
        <v>32</v>
      </c>
      <c r="G823">
        <v>2</v>
      </c>
      <c r="H823">
        <v>8</v>
      </c>
      <c r="I823" t="s">
        <v>242</v>
      </c>
    </row>
    <row r="824" spans="1:9" x14ac:dyDescent="0.3">
      <c r="A824">
        <v>323</v>
      </c>
      <c r="B824">
        <v>8</v>
      </c>
      <c r="C824" t="s">
        <v>46</v>
      </c>
      <c r="D824" t="s">
        <v>629</v>
      </c>
      <c r="E824">
        <v>10</v>
      </c>
      <c r="F824">
        <v>18</v>
      </c>
      <c r="G824">
        <v>2</v>
      </c>
      <c r="H824">
        <v>22</v>
      </c>
      <c r="I824" t="s">
        <v>243</v>
      </c>
    </row>
    <row r="825" spans="1:9" x14ac:dyDescent="0.3">
      <c r="A825">
        <v>323</v>
      </c>
      <c r="B825">
        <v>8</v>
      </c>
      <c r="C825" t="s">
        <v>92</v>
      </c>
      <c r="D825" t="s">
        <v>624</v>
      </c>
      <c r="E825">
        <v>13</v>
      </c>
      <c r="F825">
        <v>22</v>
      </c>
      <c r="G825">
        <v>3</v>
      </c>
      <c r="H825">
        <v>37</v>
      </c>
      <c r="I825" t="s">
        <v>243</v>
      </c>
    </row>
    <row r="826" spans="1:9" x14ac:dyDescent="0.3">
      <c r="A826">
        <v>323</v>
      </c>
      <c r="B826">
        <v>8</v>
      </c>
      <c r="C826" t="s">
        <v>75</v>
      </c>
      <c r="D826" t="s">
        <v>612</v>
      </c>
      <c r="E826">
        <v>14</v>
      </c>
      <c r="F826">
        <v>24</v>
      </c>
      <c r="G826">
        <v>2</v>
      </c>
      <c r="H826">
        <v>30</v>
      </c>
      <c r="I826" t="s">
        <v>242</v>
      </c>
    </row>
    <row r="827" spans="1:9" x14ac:dyDescent="0.3">
      <c r="A827">
        <v>323</v>
      </c>
      <c r="B827">
        <v>8</v>
      </c>
      <c r="C827" t="s">
        <v>26</v>
      </c>
      <c r="D827" t="s">
        <v>618</v>
      </c>
      <c r="E827">
        <v>17</v>
      </c>
      <c r="F827">
        <v>29</v>
      </c>
      <c r="G827">
        <v>2</v>
      </c>
      <c r="H827">
        <v>33</v>
      </c>
      <c r="I827" t="s">
        <v>242</v>
      </c>
    </row>
    <row r="828" spans="1:9" x14ac:dyDescent="0.3">
      <c r="A828">
        <v>324</v>
      </c>
      <c r="B828">
        <v>9</v>
      </c>
      <c r="C828" t="s">
        <v>71</v>
      </c>
      <c r="D828" t="s">
        <v>630</v>
      </c>
      <c r="E828">
        <v>15</v>
      </c>
      <c r="F828">
        <v>26</v>
      </c>
      <c r="G828">
        <v>1</v>
      </c>
      <c r="H828">
        <v>17</v>
      </c>
      <c r="I828" t="s">
        <v>242</v>
      </c>
    </row>
    <row r="829" spans="1:9" x14ac:dyDescent="0.3">
      <c r="A829">
        <v>324</v>
      </c>
      <c r="B829">
        <v>9</v>
      </c>
      <c r="C829" t="s">
        <v>40</v>
      </c>
      <c r="D829" t="s">
        <v>613</v>
      </c>
      <c r="E829">
        <v>18</v>
      </c>
      <c r="F829">
        <v>30</v>
      </c>
      <c r="G829">
        <v>1</v>
      </c>
      <c r="H829">
        <v>15</v>
      </c>
      <c r="I829" t="s">
        <v>243</v>
      </c>
    </row>
    <row r="830" spans="1:9" x14ac:dyDescent="0.3">
      <c r="A830">
        <v>324</v>
      </c>
      <c r="B830">
        <v>9</v>
      </c>
      <c r="C830" t="s">
        <v>50</v>
      </c>
      <c r="D830" t="s">
        <v>615</v>
      </c>
      <c r="E830">
        <v>16</v>
      </c>
      <c r="F830">
        <v>27</v>
      </c>
      <c r="G830">
        <v>3</v>
      </c>
      <c r="H830">
        <v>58</v>
      </c>
      <c r="I830" t="s">
        <v>242</v>
      </c>
    </row>
    <row r="831" spans="1:9" x14ac:dyDescent="0.3">
      <c r="A831">
        <v>325</v>
      </c>
      <c r="B831">
        <v>18</v>
      </c>
      <c r="C831" t="s">
        <v>42</v>
      </c>
      <c r="D831" t="s">
        <v>628</v>
      </c>
      <c r="E831">
        <v>13</v>
      </c>
      <c r="F831">
        <v>21</v>
      </c>
      <c r="G831">
        <v>1</v>
      </c>
      <c r="H831">
        <v>26</v>
      </c>
      <c r="I831" t="s">
        <v>243</v>
      </c>
    </row>
    <row r="832" spans="1:9" x14ac:dyDescent="0.3">
      <c r="A832">
        <v>325</v>
      </c>
      <c r="B832">
        <v>18</v>
      </c>
      <c r="C832" t="s">
        <v>105</v>
      </c>
      <c r="D832" t="s">
        <v>623</v>
      </c>
      <c r="E832">
        <v>19</v>
      </c>
      <c r="F832">
        <v>32</v>
      </c>
      <c r="G832">
        <v>1</v>
      </c>
      <c r="H832">
        <v>27</v>
      </c>
      <c r="I832" t="s">
        <v>242</v>
      </c>
    </row>
    <row r="833" spans="1:9" x14ac:dyDescent="0.3">
      <c r="A833">
        <v>325</v>
      </c>
      <c r="B833">
        <v>18</v>
      </c>
      <c r="C833" t="s">
        <v>56</v>
      </c>
      <c r="D833" t="s">
        <v>614</v>
      </c>
      <c r="E833">
        <v>19</v>
      </c>
      <c r="F833">
        <v>31</v>
      </c>
      <c r="G833">
        <v>1</v>
      </c>
      <c r="H833">
        <v>5</v>
      </c>
      <c r="I833" t="s">
        <v>243</v>
      </c>
    </row>
    <row r="834" spans="1:9" x14ac:dyDescent="0.3">
      <c r="A834">
        <v>325</v>
      </c>
      <c r="B834">
        <v>18</v>
      </c>
      <c r="C834" t="s">
        <v>19</v>
      </c>
      <c r="D834" t="s">
        <v>622</v>
      </c>
      <c r="E834">
        <v>21</v>
      </c>
      <c r="F834">
        <v>35</v>
      </c>
      <c r="G834">
        <v>2</v>
      </c>
      <c r="H834">
        <v>13</v>
      </c>
      <c r="I834" t="s">
        <v>243</v>
      </c>
    </row>
    <row r="835" spans="1:9" x14ac:dyDescent="0.3">
      <c r="A835">
        <v>326</v>
      </c>
      <c r="B835">
        <v>14</v>
      </c>
      <c r="C835" t="s">
        <v>30</v>
      </c>
      <c r="D835" t="s">
        <v>620</v>
      </c>
      <c r="E835">
        <v>16</v>
      </c>
      <c r="F835">
        <v>28</v>
      </c>
      <c r="G835">
        <v>1</v>
      </c>
      <c r="H835">
        <v>49</v>
      </c>
      <c r="I835" t="s">
        <v>242</v>
      </c>
    </row>
    <row r="836" spans="1:9" x14ac:dyDescent="0.3">
      <c r="A836">
        <v>326</v>
      </c>
      <c r="B836">
        <v>14</v>
      </c>
      <c r="C836" t="s">
        <v>46</v>
      </c>
      <c r="D836" t="s">
        <v>629</v>
      </c>
      <c r="E836">
        <v>10</v>
      </c>
      <c r="F836">
        <v>18</v>
      </c>
      <c r="G836">
        <v>1</v>
      </c>
      <c r="H836">
        <v>28</v>
      </c>
      <c r="I836" t="s">
        <v>242</v>
      </c>
    </row>
    <row r="837" spans="1:9" x14ac:dyDescent="0.3">
      <c r="A837">
        <v>326</v>
      </c>
      <c r="B837">
        <v>14</v>
      </c>
      <c r="C837" t="s">
        <v>19</v>
      </c>
      <c r="D837" t="s">
        <v>622</v>
      </c>
      <c r="E837">
        <v>21</v>
      </c>
      <c r="F837">
        <v>35</v>
      </c>
      <c r="G837">
        <v>1</v>
      </c>
      <c r="H837">
        <v>14</v>
      </c>
      <c r="I837" t="s">
        <v>242</v>
      </c>
    </row>
    <row r="838" spans="1:9" x14ac:dyDescent="0.3">
      <c r="A838">
        <v>327</v>
      </c>
      <c r="B838">
        <v>12</v>
      </c>
      <c r="C838" t="s">
        <v>38</v>
      </c>
      <c r="D838" t="s">
        <v>625</v>
      </c>
      <c r="E838">
        <v>20</v>
      </c>
      <c r="F838">
        <v>34</v>
      </c>
      <c r="G838">
        <v>3</v>
      </c>
      <c r="H838">
        <v>33</v>
      </c>
      <c r="I838" t="s">
        <v>242</v>
      </c>
    </row>
    <row r="839" spans="1:9" x14ac:dyDescent="0.3">
      <c r="A839">
        <v>327</v>
      </c>
      <c r="B839">
        <v>12</v>
      </c>
      <c r="C839" t="s">
        <v>46</v>
      </c>
      <c r="D839" t="s">
        <v>629</v>
      </c>
      <c r="E839">
        <v>10</v>
      </c>
      <c r="F839">
        <v>18</v>
      </c>
      <c r="G839">
        <v>1</v>
      </c>
      <c r="H839">
        <v>7</v>
      </c>
      <c r="I839" t="s">
        <v>243</v>
      </c>
    </row>
    <row r="840" spans="1:9" x14ac:dyDescent="0.3">
      <c r="A840">
        <v>327</v>
      </c>
      <c r="B840">
        <v>12</v>
      </c>
      <c r="C840" t="s">
        <v>50</v>
      </c>
      <c r="D840" t="s">
        <v>615</v>
      </c>
      <c r="E840">
        <v>16</v>
      </c>
      <c r="F840">
        <v>27</v>
      </c>
      <c r="G840">
        <v>1</v>
      </c>
      <c r="H840">
        <v>34</v>
      </c>
      <c r="I840" t="s">
        <v>242</v>
      </c>
    </row>
    <row r="841" spans="1:9" x14ac:dyDescent="0.3">
      <c r="A841">
        <v>328</v>
      </c>
      <c r="B841">
        <v>4</v>
      </c>
      <c r="C841" t="s">
        <v>19</v>
      </c>
      <c r="D841" t="s">
        <v>622</v>
      </c>
      <c r="E841">
        <v>21</v>
      </c>
      <c r="F841">
        <v>35</v>
      </c>
      <c r="G841">
        <v>1</v>
      </c>
      <c r="H841">
        <v>21</v>
      </c>
      <c r="I841" t="s">
        <v>242</v>
      </c>
    </row>
    <row r="842" spans="1:9" x14ac:dyDescent="0.3">
      <c r="A842">
        <v>329</v>
      </c>
      <c r="B842">
        <v>13</v>
      </c>
      <c r="C842" t="s">
        <v>42</v>
      </c>
      <c r="D842" t="s">
        <v>628</v>
      </c>
      <c r="E842">
        <v>13</v>
      </c>
      <c r="F842">
        <v>21</v>
      </c>
      <c r="G842">
        <v>2</v>
      </c>
      <c r="H842">
        <v>56</v>
      </c>
      <c r="I842" t="s">
        <v>242</v>
      </c>
    </row>
    <row r="843" spans="1:9" x14ac:dyDescent="0.3">
      <c r="A843">
        <v>329</v>
      </c>
      <c r="B843">
        <v>13</v>
      </c>
      <c r="C843" t="s">
        <v>89</v>
      </c>
      <c r="D843" t="s">
        <v>627</v>
      </c>
      <c r="E843">
        <v>14</v>
      </c>
      <c r="F843">
        <v>23</v>
      </c>
      <c r="G843">
        <v>1</v>
      </c>
      <c r="H843">
        <v>8</v>
      </c>
      <c r="I843" t="s">
        <v>242</v>
      </c>
    </row>
    <row r="844" spans="1:9" x14ac:dyDescent="0.3">
      <c r="A844">
        <v>329</v>
      </c>
      <c r="B844">
        <v>13</v>
      </c>
      <c r="C844" t="s">
        <v>56</v>
      </c>
      <c r="D844" t="s">
        <v>614</v>
      </c>
      <c r="E844">
        <v>19</v>
      </c>
      <c r="F844">
        <v>31</v>
      </c>
      <c r="G844">
        <v>2</v>
      </c>
      <c r="H844">
        <v>58</v>
      </c>
      <c r="I844" t="s">
        <v>242</v>
      </c>
    </row>
    <row r="845" spans="1:9" x14ac:dyDescent="0.3">
      <c r="A845">
        <v>329</v>
      </c>
      <c r="B845">
        <v>13</v>
      </c>
      <c r="C845" t="s">
        <v>34</v>
      </c>
      <c r="D845" t="s">
        <v>616</v>
      </c>
      <c r="E845">
        <v>25</v>
      </c>
      <c r="F845">
        <v>40</v>
      </c>
      <c r="G845">
        <v>2</v>
      </c>
      <c r="H845">
        <v>17</v>
      </c>
      <c r="I845" t="s">
        <v>242</v>
      </c>
    </row>
    <row r="846" spans="1:9" x14ac:dyDescent="0.3">
      <c r="A846">
        <v>330</v>
      </c>
      <c r="B846">
        <v>10</v>
      </c>
      <c r="C846" t="s">
        <v>60</v>
      </c>
      <c r="D846" t="s">
        <v>631</v>
      </c>
      <c r="E846">
        <v>15</v>
      </c>
      <c r="F846">
        <v>25</v>
      </c>
      <c r="G846">
        <v>2</v>
      </c>
      <c r="H846">
        <v>25</v>
      </c>
      <c r="I846" t="s">
        <v>243</v>
      </c>
    </row>
    <row r="847" spans="1:9" x14ac:dyDescent="0.3">
      <c r="A847">
        <v>330</v>
      </c>
      <c r="B847">
        <v>10</v>
      </c>
      <c r="C847" t="s">
        <v>42</v>
      </c>
      <c r="D847" t="s">
        <v>628</v>
      </c>
      <c r="E847">
        <v>13</v>
      </c>
      <c r="F847">
        <v>21</v>
      </c>
      <c r="G847">
        <v>2</v>
      </c>
      <c r="H847">
        <v>51</v>
      </c>
      <c r="I847" t="s">
        <v>243</v>
      </c>
    </row>
    <row r="848" spans="1:9" x14ac:dyDescent="0.3">
      <c r="A848">
        <v>330</v>
      </c>
      <c r="B848">
        <v>10</v>
      </c>
      <c r="C848" t="s">
        <v>89</v>
      </c>
      <c r="D848" t="s">
        <v>627</v>
      </c>
      <c r="E848">
        <v>14</v>
      </c>
      <c r="F848">
        <v>23</v>
      </c>
      <c r="G848">
        <v>3</v>
      </c>
      <c r="H848">
        <v>21</v>
      </c>
      <c r="I848" t="s">
        <v>242</v>
      </c>
    </row>
    <row r="849" spans="1:9" x14ac:dyDescent="0.3">
      <c r="A849">
        <v>330</v>
      </c>
      <c r="B849">
        <v>10</v>
      </c>
      <c r="C849" t="s">
        <v>30</v>
      </c>
      <c r="D849" t="s">
        <v>620</v>
      </c>
      <c r="E849">
        <v>16</v>
      </c>
      <c r="F849">
        <v>28</v>
      </c>
      <c r="G849">
        <v>2</v>
      </c>
      <c r="H849">
        <v>43</v>
      </c>
      <c r="I849" t="s">
        <v>242</v>
      </c>
    </row>
    <row r="850" spans="1:9" x14ac:dyDescent="0.3">
      <c r="A850">
        <v>331</v>
      </c>
      <c r="B850">
        <v>20</v>
      </c>
      <c r="C850" t="s">
        <v>60</v>
      </c>
      <c r="D850" t="s">
        <v>631</v>
      </c>
      <c r="E850">
        <v>15</v>
      </c>
      <c r="F850">
        <v>25</v>
      </c>
      <c r="G850">
        <v>1</v>
      </c>
      <c r="H850">
        <v>35</v>
      </c>
      <c r="I850" t="s">
        <v>242</v>
      </c>
    </row>
    <row r="851" spans="1:9" x14ac:dyDescent="0.3">
      <c r="A851">
        <v>331</v>
      </c>
      <c r="B851">
        <v>20</v>
      </c>
      <c r="C851" t="s">
        <v>53</v>
      </c>
      <c r="D851" t="s">
        <v>621</v>
      </c>
      <c r="E851">
        <v>11</v>
      </c>
      <c r="F851">
        <v>19</v>
      </c>
      <c r="G851">
        <v>1</v>
      </c>
      <c r="H851">
        <v>5</v>
      </c>
      <c r="I851" t="s">
        <v>242</v>
      </c>
    </row>
    <row r="852" spans="1:9" x14ac:dyDescent="0.3">
      <c r="A852">
        <v>331</v>
      </c>
      <c r="B852">
        <v>20</v>
      </c>
      <c r="C852" t="s">
        <v>75</v>
      </c>
      <c r="D852" t="s">
        <v>612</v>
      </c>
      <c r="E852">
        <v>14</v>
      </c>
      <c r="F852">
        <v>24</v>
      </c>
      <c r="G852">
        <v>1</v>
      </c>
      <c r="H852">
        <v>55</v>
      </c>
      <c r="I852" t="s">
        <v>242</v>
      </c>
    </row>
    <row r="853" spans="1:9" x14ac:dyDescent="0.3">
      <c r="A853">
        <v>331</v>
      </c>
      <c r="B853">
        <v>20</v>
      </c>
      <c r="C853" t="s">
        <v>19</v>
      </c>
      <c r="D853" t="s">
        <v>622</v>
      </c>
      <c r="E853">
        <v>21</v>
      </c>
      <c r="F853">
        <v>35</v>
      </c>
      <c r="G853">
        <v>3</v>
      </c>
      <c r="H853">
        <v>26</v>
      </c>
      <c r="I853" t="s">
        <v>243</v>
      </c>
    </row>
    <row r="854" spans="1:9" x14ac:dyDescent="0.3">
      <c r="A854">
        <v>332</v>
      </c>
      <c r="B854">
        <v>6</v>
      </c>
      <c r="C854" t="s">
        <v>34</v>
      </c>
      <c r="D854" t="s">
        <v>616</v>
      </c>
      <c r="E854">
        <v>25</v>
      </c>
      <c r="F854">
        <v>40</v>
      </c>
      <c r="G854">
        <v>3</v>
      </c>
      <c r="H854">
        <v>17</v>
      </c>
      <c r="I854" t="s">
        <v>242</v>
      </c>
    </row>
    <row r="855" spans="1:9" x14ac:dyDescent="0.3">
      <c r="A855">
        <v>333</v>
      </c>
      <c r="B855">
        <v>6</v>
      </c>
      <c r="C855" t="s">
        <v>44</v>
      </c>
      <c r="D855" t="s">
        <v>617</v>
      </c>
      <c r="E855">
        <v>22</v>
      </c>
      <c r="F855">
        <v>36</v>
      </c>
      <c r="G855">
        <v>1</v>
      </c>
      <c r="H855">
        <v>38</v>
      </c>
      <c r="I855" t="s">
        <v>243</v>
      </c>
    </row>
    <row r="856" spans="1:9" x14ac:dyDescent="0.3">
      <c r="A856">
        <v>333</v>
      </c>
      <c r="B856">
        <v>6</v>
      </c>
      <c r="C856" t="s">
        <v>46</v>
      </c>
      <c r="D856" t="s">
        <v>629</v>
      </c>
      <c r="E856">
        <v>10</v>
      </c>
      <c r="F856">
        <v>18</v>
      </c>
      <c r="G856">
        <v>2</v>
      </c>
      <c r="H856">
        <v>23</v>
      </c>
      <c r="I856" t="s">
        <v>243</v>
      </c>
    </row>
    <row r="857" spans="1:9" x14ac:dyDescent="0.3">
      <c r="A857">
        <v>334</v>
      </c>
      <c r="B857">
        <v>12</v>
      </c>
      <c r="C857" t="s">
        <v>42</v>
      </c>
      <c r="D857" t="s">
        <v>628</v>
      </c>
      <c r="E857">
        <v>13</v>
      </c>
      <c r="F857">
        <v>21</v>
      </c>
      <c r="G857">
        <v>2</v>
      </c>
      <c r="H857">
        <v>36</v>
      </c>
      <c r="I857" t="s">
        <v>243</v>
      </c>
    </row>
    <row r="858" spans="1:9" x14ac:dyDescent="0.3">
      <c r="A858">
        <v>334</v>
      </c>
      <c r="B858">
        <v>12</v>
      </c>
      <c r="C858" t="s">
        <v>89</v>
      </c>
      <c r="D858" t="s">
        <v>627</v>
      </c>
      <c r="E858">
        <v>14</v>
      </c>
      <c r="F858">
        <v>23</v>
      </c>
      <c r="G858">
        <v>1</v>
      </c>
      <c r="H858">
        <v>58</v>
      </c>
      <c r="I858" t="s">
        <v>242</v>
      </c>
    </row>
    <row r="859" spans="1:9" x14ac:dyDescent="0.3">
      <c r="A859">
        <v>334</v>
      </c>
      <c r="B859">
        <v>12</v>
      </c>
      <c r="C859" t="s">
        <v>40</v>
      </c>
      <c r="D859" t="s">
        <v>613</v>
      </c>
      <c r="E859">
        <v>18</v>
      </c>
      <c r="F859">
        <v>30</v>
      </c>
      <c r="G859">
        <v>2</v>
      </c>
      <c r="H859">
        <v>31</v>
      </c>
      <c r="I859" t="s">
        <v>242</v>
      </c>
    </row>
    <row r="860" spans="1:9" x14ac:dyDescent="0.3">
      <c r="A860">
        <v>334</v>
      </c>
      <c r="B860">
        <v>12</v>
      </c>
      <c r="C860" t="s">
        <v>75</v>
      </c>
      <c r="D860" t="s">
        <v>612</v>
      </c>
      <c r="E860">
        <v>14</v>
      </c>
      <c r="F860">
        <v>24</v>
      </c>
      <c r="G860">
        <v>2</v>
      </c>
      <c r="H860">
        <v>31</v>
      </c>
      <c r="I860" t="s">
        <v>242</v>
      </c>
    </row>
    <row r="861" spans="1:9" x14ac:dyDescent="0.3">
      <c r="A861">
        <v>335</v>
      </c>
      <c r="B861">
        <v>14</v>
      </c>
      <c r="C861" t="s">
        <v>30</v>
      </c>
      <c r="D861" t="s">
        <v>620</v>
      </c>
      <c r="E861">
        <v>16</v>
      </c>
      <c r="F861">
        <v>28</v>
      </c>
      <c r="G861">
        <v>3</v>
      </c>
      <c r="H861">
        <v>36</v>
      </c>
      <c r="I861" t="s">
        <v>243</v>
      </c>
    </row>
    <row r="862" spans="1:9" x14ac:dyDescent="0.3">
      <c r="A862">
        <v>335</v>
      </c>
      <c r="B862">
        <v>14</v>
      </c>
      <c r="C862" t="s">
        <v>40</v>
      </c>
      <c r="D862" t="s">
        <v>613</v>
      </c>
      <c r="E862">
        <v>18</v>
      </c>
      <c r="F862">
        <v>30</v>
      </c>
      <c r="G862">
        <v>1</v>
      </c>
      <c r="H862">
        <v>33</v>
      </c>
      <c r="I862" t="s">
        <v>243</v>
      </c>
    </row>
    <row r="863" spans="1:9" x14ac:dyDescent="0.3">
      <c r="A863">
        <v>336</v>
      </c>
      <c r="B863">
        <v>4</v>
      </c>
      <c r="C863" t="s">
        <v>71</v>
      </c>
      <c r="D863" t="s">
        <v>630</v>
      </c>
      <c r="E863">
        <v>15</v>
      </c>
      <c r="F863">
        <v>26</v>
      </c>
      <c r="G863">
        <v>3</v>
      </c>
      <c r="H863">
        <v>20</v>
      </c>
      <c r="I863" t="s">
        <v>243</v>
      </c>
    </row>
    <row r="864" spans="1:9" x14ac:dyDescent="0.3">
      <c r="A864">
        <v>336</v>
      </c>
      <c r="B864">
        <v>4</v>
      </c>
      <c r="C864" t="s">
        <v>53</v>
      </c>
      <c r="D864" t="s">
        <v>621</v>
      </c>
      <c r="E864">
        <v>11</v>
      </c>
      <c r="F864">
        <v>19</v>
      </c>
      <c r="G864">
        <v>2</v>
      </c>
      <c r="H864">
        <v>33</v>
      </c>
      <c r="I864" t="s">
        <v>243</v>
      </c>
    </row>
    <row r="865" spans="1:9" x14ac:dyDescent="0.3">
      <c r="A865">
        <v>336</v>
      </c>
      <c r="B865">
        <v>4</v>
      </c>
      <c r="C865" t="s">
        <v>42</v>
      </c>
      <c r="D865" t="s">
        <v>628</v>
      </c>
      <c r="E865">
        <v>13</v>
      </c>
      <c r="F865">
        <v>21</v>
      </c>
      <c r="G865">
        <v>2</v>
      </c>
      <c r="H865">
        <v>12</v>
      </c>
      <c r="I865" t="s">
        <v>243</v>
      </c>
    </row>
    <row r="866" spans="1:9" x14ac:dyDescent="0.3">
      <c r="A866">
        <v>337</v>
      </c>
      <c r="B866">
        <v>11</v>
      </c>
      <c r="C866" t="s">
        <v>30</v>
      </c>
      <c r="D866" t="s">
        <v>620</v>
      </c>
      <c r="E866">
        <v>16</v>
      </c>
      <c r="F866">
        <v>28</v>
      </c>
      <c r="G866">
        <v>1</v>
      </c>
      <c r="H866">
        <v>5</v>
      </c>
      <c r="I866" t="s">
        <v>243</v>
      </c>
    </row>
    <row r="867" spans="1:9" x14ac:dyDescent="0.3">
      <c r="A867">
        <v>337</v>
      </c>
      <c r="B867">
        <v>11</v>
      </c>
      <c r="C867" t="s">
        <v>75</v>
      </c>
      <c r="D867" t="s">
        <v>612</v>
      </c>
      <c r="E867">
        <v>14</v>
      </c>
      <c r="F867">
        <v>24</v>
      </c>
      <c r="G867">
        <v>3</v>
      </c>
      <c r="H867">
        <v>53</v>
      </c>
      <c r="I867" t="s">
        <v>242</v>
      </c>
    </row>
    <row r="868" spans="1:9" x14ac:dyDescent="0.3">
      <c r="A868">
        <v>338</v>
      </c>
      <c r="B868">
        <v>18</v>
      </c>
      <c r="C868" t="s">
        <v>42</v>
      </c>
      <c r="D868" t="s">
        <v>628</v>
      </c>
      <c r="E868">
        <v>13</v>
      </c>
      <c r="F868">
        <v>21</v>
      </c>
      <c r="G868">
        <v>1</v>
      </c>
      <c r="H868">
        <v>10</v>
      </c>
      <c r="I868" t="s">
        <v>243</v>
      </c>
    </row>
    <row r="869" spans="1:9" x14ac:dyDescent="0.3">
      <c r="A869">
        <v>338</v>
      </c>
      <c r="B869">
        <v>18</v>
      </c>
      <c r="C869" t="s">
        <v>105</v>
      </c>
      <c r="D869" t="s">
        <v>623</v>
      </c>
      <c r="E869">
        <v>19</v>
      </c>
      <c r="F869">
        <v>32</v>
      </c>
      <c r="G869">
        <v>3</v>
      </c>
      <c r="H869">
        <v>30</v>
      </c>
      <c r="I869" t="s">
        <v>243</v>
      </c>
    </row>
    <row r="870" spans="1:9" x14ac:dyDescent="0.3">
      <c r="A870">
        <v>338</v>
      </c>
      <c r="B870">
        <v>18</v>
      </c>
      <c r="C870" t="s">
        <v>38</v>
      </c>
      <c r="D870" t="s">
        <v>625</v>
      </c>
      <c r="E870">
        <v>20</v>
      </c>
      <c r="F870">
        <v>34</v>
      </c>
      <c r="G870">
        <v>3</v>
      </c>
      <c r="H870">
        <v>44</v>
      </c>
      <c r="I870" t="s">
        <v>242</v>
      </c>
    </row>
    <row r="871" spans="1:9" x14ac:dyDescent="0.3">
      <c r="A871">
        <v>338</v>
      </c>
      <c r="B871">
        <v>18</v>
      </c>
      <c r="C871" t="s">
        <v>66</v>
      </c>
      <c r="D871" t="s">
        <v>626</v>
      </c>
      <c r="E871">
        <v>12</v>
      </c>
      <c r="F871">
        <v>20</v>
      </c>
      <c r="G871">
        <v>3</v>
      </c>
      <c r="H871">
        <v>59</v>
      </c>
      <c r="I871" t="s">
        <v>242</v>
      </c>
    </row>
    <row r="872" spans="1:9" x14ac:dyDescent="0.3">
      <c r="A872">
        <v>339</v>
      </c>
      <c r="B872">
        <v>13</v>
      </c>
      <c r="C872" t="s">
        <v>89</v>
      </c>
      <c r="D872" t="s">
        <v>627</v>
      </c>
      <c r="E872">
        <v>14</v>
      </c>
      <c r="F872">
        <v>23</v>
      </c>
      <c r="G872">
        <v>2</v>
      </c>
      <c r="H872">
        <v>40</v>
      </c>
      <c r="I872" t="s">
        <v>242</v>
      </c>
    </row>
    <row r="873" spans="1:9" x14ac:dyDescent="0.3">
      <c r="A873">
        <v>339</v>
      </c>
      <c r="B873">
        <v>13</v>
      </c>
      <c r="C873" t="s">
        <v>26</v>
      </c>
      <c r="D873" t="s">
        <v>618</v>
      </c>
      <c r="E873">
        <v>17</v>
      </c>
      <c r="F873">
        <v>29</v>
      </c>
      <c r="G873">
        <v>2</v>
      </c>
      <c r="H873">
        <v>6</v>
      </c>
      <c r="I873" t="s">
        <v>243</v>
      </c>
    </row>
    <row r="874" spans="1:9" x14ac:dyDescent="0.3">
      <c r="A874">
        <v>340</v>
      </c>
      <c r="B874">
        <v>15</v>
      </c>
      <c r="C874" t="s">
        <v>30</v>
      </c>
      <c r="D874" t="s">
        <v>620</v>
      </c>
      <c r="E874">
        <v>16</v>
      </c>
      <c r="F874">
        <v>28</v>
      </c>
      <c r="G874">
        <v>3</v>
      </c>
      <c r="H874">
        <v>56</v>
      </c>
      <c r="I874" t="s">
        <v>242</v>
      </c>
    </row>
    <row r="875" spans="1:9" x14ac:dyDescent="0.3">
      <c r="A875">
        <v>340</v>
      </c>
      <c r="B875">
        <v>15</v>
      </c>
      <c r="C875" t="s">
        <v>34</v>
      </c>
      <c r="D875" t="s">
        <v>616</v>
      </c>
      <c r="E875">
        <v>25</v>
      </c>
      <c r="F875">
        <v>40</v>
      </c>
      <c r="G875">
        <v>2</v>
      </c>
      <c r="H875">
        <v>35</v>
      </c>
      <c r="I875" t="s">
        <v>243</v>
      </c>
    </row>
    <row r="876" spans="1:9" x14ac:dyDescent="0.3">
      <c r="A876">
        <v>341</v>
      </c>
      <c r="B876">
        <v>14</v>
      </c>
      <c r="C876" t="s">
        <v>30</v>
      </c>
      <c r="D876" t="s">
        <v>620</v>
      </c>
      <c r="E876">
        <v>16</v>
      </c>
      <c r="F876">
        <v>28</v>
      </c>
      <c r="G876">
        <v>1</v>
      </c>
      <c r="H876">
        <v>46</v>
      </c>
      <c r="I876" t="s">
        <v>242</v>
      </c>
    </row>
    <row r="877" spans="1:9" x14ac:dyDescent="0.3">
      <c r="A877">
        <v>341</v>
      </c>
      <c r="B877">
        <v>14</v>
      </c>
      <c r="C877" t="s">
        <v>92</v>
      </c>
      <c r="D877" t="s">
        <v>624</v>
      </c>
      <c r="E877">
        <v>13</v>
      </c>
      <c r="F877">
        <v>22</v>
      </c>
      <c r="G877">
        <v>2</v>
      </c>
      <c r="H877">
        <v>34</v>
      </c>
      <c r="I877" t="s">
        <v>243</v>
      </c>
    </row>
    <row r="878" spans="1:9" x14ac:dyDescent="0.3">
      <c r="A878">
        <v>341</v>
      </c>
      <c r="B878">
        <v>14</v>
      </c>
      <c r="C878" t="s">
        <v>19</v>
      </c>
      <c r="D878" t="s">
        <v>622</v>
      </c>
      <c r="E878">
        <v>21</v>
      </c>
      <c r="F878">
        <v>35</v>
      </c>
      <c r="G878">
        <v>3</v>
      </c>
      <c r="H878">
        <v>8</v>
      </c>
      <c r="I878" t="s">
        <v>243</v>
      </c>
    </row>
    <row r="879" spans="1:9" x14ac:dyDescent="0.3">
      <c r="A879">
        <v>342</v>
      </c>
      <c r="B879">
        <v>19</v>
      </c>
      <c r="C879" t="s">
        <v>89</v>
      </c>
      <c r="D879" t="s">
        <v>627</v>
      </c>
      <c r="E879">
        <v>14</v>
      </c>
      <c r="F879">
        <v>23</v>
      </c>
      <c r="G879">
        <v>2</v>
      </c>
      <c r="H879">
        <v>23</v>
      </c>
      <c r="I879" t="s">
        <v>243</v>
      </c>
    </row>
    <row r="880" spans="1:9" x14ac:dyDescent="0.3">
      <c r="A880">
        <v>342</v>
      </c>
      <c r="B880">
        <v>19</v>
      </c>
      <c r="C880" t="s">
        <v>30</v>
      </c>
      <c r="D880" t="s">
        <v>620</v>
      </c>
      <c r="E880">
        <v>16</v>
      </c>
      <c r="F880">
        <v>28</v>
      </c>
      <c r="G880">
        <v>2</v>
      </c>
      <c r="H880">
        <v>31</v>
      </c>
      <c r="I880" t="s">
        <v>243</v>
      </c>
    </row>
    <row r="881" spans="1:9" x14ac:dyDescent="0.3">
      <c r="A881">
        <v>343</v>
      </c>
      <c r="B881">
        <v>12</v>
      </c>
      <c r="C881" t="s">
        <v>89</v>
      </c>
      <c r="D881" t="s">
        <v>627</v>
      </c>
      <c r="E881">
        <v>14</v>
      </c>
      <c r="F881">
        <v>23</v>
      </c>
      <c r="G881">
        <v>3</v>
      </c>
      <c r="H881">
        <v>43</v>
      </c>
      <c r="I881" t="s">
        <v>242</v>
      </c>
    </row>
    <row r="882" spans="1:9" x14ac:dyDescent="0.3">
      <c r="A882">
        <v>343</v>
      </c>
      <c r="B882">
        <v>12</v>
      </c>
      <c r="C882" t="s">
        <v>38</v>
      </c>
      <c r="D882" t="s">
        <v>625</v>
      </c>
      <c r="E882">
        <v>20</v>
      </c>
      <c r="F882">
        <v>34</v>
      </c>
      <c r="G882">
        <v>2</v>
      </c>
      <c r="H882">
        <v>58</v>
      </c>
      <c r="I882" t="s">
        <v>243</v>
      </c>
    </row>
    <row r="883" spans="1:9" x14ac:dyDescent="0.3">
      <c r="A883">
        <v>344</v>
      </c>
      <c r="B883">
        <v>15</v>
      </c>
      <c r="C883" t="s">
        <v>105</v>
      </c>
      <c r="D883" t="s">
        <v>623</v>
      </c>
      <c r="E883">
        <v>19</v>
      </c>
      <c r="F883">
        <v>32</v>
      </c>
      <c r="G883">
        <v>2</v>
      </c>
      <c r="H883">
        <v>19</v>
      </c>
      <c r="I883" t="s">
        <v>243</v>
      </c>
    </row>
    <row r="884" spans="1:9" x14ac:dyDescent="0.3">
      <c r="A884">
        <v>344</v>
      </c>
      <c r="B884">
        <v>15</v>
      </c>
      <c r="C884" t="s">
        <v>56</v>
      </c>
      <c r="D884" t="s">
        <v>614</v>
      </c>
      <c r="E884">
        <v>19</v>
      </c>
      <c r="F884">
        <v>31</v>
      </c>
      <c r="G884">
        <v>2</v>
      </c>
      <c r="H884">
        <v>28</v>
      </c>
      <c r="I884" t="s">
        <v>243</v>
      </c>
    </row>
    <row r="885" spans="1:9" x14ac:dyDescent="0.3">
      <c r="A885">
        <v>344</v>
      </c>
      <c r="B885">
        <v>15</v>
      </c>
      <c r="C885" t="s">
        <v>92</v>
      </c>
      <c r="D885" t="s">
        <v>624</v>
      </c>
      <c r="E885">
        <v>13</v>
      </c>
      <c r="F885">
        <v>22</v>
      </c>
      <c r="G885">
        <v>1</v>
      </c>
      <c r="H885">
        <v>28</v>
      </c>
      <c r="I885" t="s">
        <v>242</v>
      </c>
    </row>
    <row r="886" spans="1:9" x14ac:dyDescent="0.3">
      <c r="A886">
        <v>344</v>
      </c>
      <c r="B886">
        <v>15</v>
      </c>
      <c r="C886" t="s">
        <v>19</v>
      </c>
      <c r="D886" t="s">
        <v>622</v>
      </c>
      <c r="E886">
        <v>21</v>
      </c>
      <c r="F886">
        <v>35</v>
      </c>
      <c r="G886">
        <v>1</v>
      </c>
      <c r="H886">
        <v>11</v>
      </c>
      <c r="I886" t="s">
        <v>243</v>
      </c>
    </row>
    <row r="887" spans="1:9" x14ac:dyDescent="0.3">
      <c r="A887">
        <v>345</v>
      </c>
      <c r="B887">
        <v>16</v>
      </c>
      <c r="C887" t="s">
        <v>53</v>
      </c>
      <c r="D887" t="s">
        <v>621</v>
      </c>
      <c r="E887">
        <v>11</v>
      </c>
      <c r="F887">
        <v>19</v>
      </c>
      <c r="G887">
        <v>2</v>
      </c>
      <c r="H887">
        <v>18</v>
      </c>
      <c r="I887" t="s">
        <v>242</v>
      </c>
    </row>
    <row r="888" spans="1:9" x14ac:dyDescent="0.3">
      <c r="A888">
        <v>346</v>
      </c>
      <c r="B888">
        <v>1</v>
      </c>
      <c r="C888" t="s">
        <v>44</v>
      </c>
      <c r="D888" t="s">
        <v>617</v>
      </c>
      <c r="E888">
        <v>22</v>
      </c>
      <c r="F888">
        <v>36</v>
      </c>
      <c r="G888">
        <v>2</v>
      </c>
      <c r="H888">
        <v>22</v>
      </c>
      <c r="I888" t="s">
        <v>243</v>
      </c>
    </row>
    <row r="889" spans="1:9" x14ac:dyDescent="0.3">
      <c r="A889">
        <v>347</v>
      </c>
      <c r="B889">
        <v>7</v>
      </c>
      <c r="C889" t="s">
        <v>19</v>
      </c>
      <c r="D889" t="s">
        <v>622</v>
      </c>
      <c r="E889">
        <v>21</v>
      </c>
      <c r="F889">
        <v>35</v>
      </c>
      <c r="G889">
        <v>2</v>
      </c>
      <c r="H889">
        <v>44</v>
      </c>
      <c r="I889" t="s">
        <v>242</v>
      </c>
    </row>
    <row r="890" spans="1:9" x14ac:dyDescent="0.3">
      <c r="A890">
        <v>348</v>
      </c>
      <c r="B890">
        <v>16</v>
      </c>
      <c r="C890" t="s">
        <v>71</v>
      </c>
      <c r="D890" t="s">
        <v>630</v>
      </c>
      <c r="E890">
        <v>15</v>
      </c>
      <c r="F890">
        <v>26</v>
      </c>
      <c r="G890">
        <v>1</v>
      </c>
      <c r="H890">
        <v>31</v>
      </c>
      <c r="I890" t="s">
        <v>243</v>
      </c>
    </row>
    <row r="891" spans="1:9" x14ac:dyDescent="0.3">
      <c r="A891">
        <v>348</v>
      </c>
      <c r="B891">
        <v>16</v>
      </c>
      <c r="C891" t="s">
        <v>66</v>
      </c>
      <c r="D891" t="s">
        <v>626</v>
      </c>
      <c r="E891">
        <v>12</v>
      </c>
      <c r="F891">
        <v>20</v>
      </c>
      <c r="G891">
        <v>3</v>
      </c>
      <c r="H891">
        <v>57</v>
      </c>
      <c r="I891" t="s">
        <v>242</v>
      </c>
    </row>
    <row r="892" spans="1:9" x14ac:dyDescent="0.3">
      <c r="A892">
        <v>349</v>
      </c>
      <c r="B892">
        <v>13</v>
      </c>
      <c r="C892" t="s">
        <v>53</v>
      </c>
      <c r="D892" t="s">
        <v>621</v>
      </c>
      <c r="E892">
        <v>11</v>
      </c>
      <c r="F892">
        <v>19</v>
      </c>
      <c r="G892">
        <v>3</v>
      </c>
      <c r="H892">
        <v>7</v>
      </c>
      <c r="I892" t="s">
        <v>242</v>
      </c>
    </row>
    <row r="893" spans="1:9" x14ac:dyDescent="0.3">
      <c r="A893">
        <v>349</v>
      </c>
      <c r="B893">
        <v>13</v>
      </c>
      <c r="C893" t="s">
        <v>40</v>
      </c>
      <c r="D893" t="s">
        <v>613</v>
      </c>
      <c r="E893">
        <v>18</v>
      </c>
      <c r="F893">
        <v>30</v>
      </c>
      <c r="G893">
        <v>2</v>
      </c>
      <c r="H893">
        <v>25</v>
      </c>
      <c r="I893" t="s">
        <v>243</v>
      </c>
    </row>
    <row r="894" spans="1:9" x14ac:dyDescent="0.3">
      <c r="A894">
        <v>349</v>
      </c>
      <c r="B894">
        <v>13</v>
      </c>
      <c r="C894" t="s">
        <v>19</v>
      </c>
      <c r="D894" t="s">
        <v>622</v>
      </c>
      <c r="E894">
        <v>21</v>
      </c>
      <c r="F894">
        <v>35</v>
      </c>
      <c r="G894">
        <v>1</v>
      </c>
      <c r="H894">
        <v>53</v>
      </c>
      <c r="I894" t="s">
        <v>242</v>
      </c>
    </row>
    <row r="895" spans="1:9" x14ac:dyDescent="0.3">
      <c r="A895">
        <v>350</v>
      </c>
      <c r="B895">
        <v>2</v>
      </c>
      <c r="C895" t="s">
        <v>56</v>
      </c>
      <c r="D895" t="s">
        <v>614</v>
      </c>
      <c r="E895">
        <v>19</v>
      </c>
      <c r="F895">
        <v>31</v>
      </c>
      <c r="G895">
        <v>2</v>
      </c>
      <c r="H895">
        <v>52</v>
      </c>
      <c r="I895" t="s">
        <v>243</v>
      </c>
    </row>
    <row r="896" spans="1:9" x14ac:dyDescent="0.3">
      <c r="A896">
        <v>350</v>
      </c>
      <c r="B896">
        <v>2</v>
      </c>
      <c r="C896" t="s">
        <v>50</v>
      </c>
      <c r="D896" t="s">
        <v>615</v>
      </c>
      <c r="E896">
        <v>16</v>
      </c>
      <c r="F896">
        <v>27</v>
      </c>
      <c r="G896">
        <v>3</v>
      </c>
      <c r="H896">
        <v>57</v>
      </c>
      <c r="I896" t="s">
        <v>243</v>
      </c>
    </row>
    <row r="897" spans="1:9" x14ac:dyDescent="0.3">
      <c r="A897">
        <v>351</v>
      </c>
      <c r="B897">
        <v>1</v>
      </c>
      <c r="C897" t="s">
        <v>105</v>
      </c>
      <c r="D897" t="s">
        <v>623</v>
      </c>
      <c r="E897">
        <v>19</v>
      </c>
      <c r="F897">
        <v>32</v>
      </c>
      <c r="G897">
        <v>3</v>
      </c>
      <c r="H897">
        <v>18</v>
      </c>
      <c r="I897" t="s">
        <v>243</v>
      </c>
    </row>
    <row r="898" spans="1:9" x14ac:dyDescent="0.3">
      <c r="A898">
        <v>351</v>
      </c>
      <c r="B898">
        <v>1</v>
      </c>
      <c r="C898" t="s">
        <v>19</v>
      </c>
      <c r="D898" t="s">
        <v>622</v>
      </c>
      <c r="E898">
        <v>21</v>
      </c>
      <c r="F898">
        <v>35</v>
      </c>
      <c r="G898">
        <v>3</v>
      </c>
      <c r="H898">
        <v>7</v>
      </c>
      <c r="I898" t="s">
        <v>243</v>
      </c>
    </row>
    <row r="899" spans="1:9" x14ac:dyDescent="0.3">
      <c r="A899">
        <v>352</v>
      </c>
      <c r="B899">
        <v>1</v>
      </c>
      <c r="C899" t="s">
        <v>112</v>
      </c>
      <c r="D899" t="s">
        <v>619</v>
      </c>
      <c r="E899">
        <v>20</v>
      </c>
      <c r="F899">
        <v>33</v>
      </c>
      <c r="G899">
        <v>3</v>
      </c>
      <c r="H899">
        <v>7</v>
      </c>
      <c r="I899" t="s">
        <v>243</v>
      </c>
    </row>
    <row r="900" spans="1:9" x14ac:dyDescent="0.3">
      <c r="A900">
        <v>353</v>
      </c>
      <c r="B900">
        <v>7</v>
      </c>
      <c r="C900" t="s">
        <v>38</v>
      </c>
      <c r="D900" t="s">
        <v>625</v>
      </c>
      <c r="E900">
        <v>20</v>
      </c>
      <c r="F900">
        <v>34</v>
      </c>
      <c r="G900">
        <v>2</v>
      </c>
      <c r="H900">
        <v>25</v>
      </c>
      <c r="I900" t="s">
        <v>243</v>
      </c>
    </row>
    <row r="901" spans="1:9" x14ac:dyDescent="0.3">
      <c r="A901">
        <v>353</v>
      </c>
      <c r="B901">
        <v>7</v>
      </c>
      <c r="C901" t="s">
        <v>40</v>
      </c>
      <c r="D901" t="s">
        <v>613</v>
      </c>
      <c r="E901">
        <v>18</v>
      </c>
      <c r="F901">
        <v>30</v>
      </c>
      <c r="G901">
        <v>1</v>
      </c>
      <c r="H901">
        <v>16</v>
      </c>
      <c r="I901" t="s">
        <v>242</v>
      </c>
    </row>
    <row r="902" spans="1:9" x14ac:dyDescent="0.3">
      <c r="A902">
        <v>353</v>
      </c>
      <c r="B902">
        <v>7</v>
      </c>
      <c r="C902" t="s">
        <v>92</v>
      </c>
      <c r="D902" t="s">
        <v>624</v>
      </c>
      <c r="E902">
        <v>13</v>
      </c>
      <c r="F902">
        <v>22</v>
      </c>
      <c r="G902">
        <v>2</v>
      </c>
      <c r="H902">
        <v>50</v>
      </c>
      <c r="I902" t="s">
        <v>243</v>
      </c>
    </row>
    <row r="903" spans="1:9" x14ac:dyDescent="0.3">
      <c r="A903">
        <v>353</v>
      </c>
      <c r="B903">
        <v>7</v>
      </c>
      <c r="C903" t="s">
        <v>19</v>
      </c>
      <c r="D903" t="s">
        <v>622</v>
      </c>
      <c r="E903">
        <v>21</v>
      </c>
      <c r="F903">
        <v>35</v>
      </c>
      <c r="G903">
        <v>2</v>
      </c>
      <c r="H903">
        <v>37</v>
      </c>
      <c r="I903" t="s">
        <v>242</v>
      </c>
    </row>
    <row r="904" spans="1:9" x14ac:dyDescent="0.3">
      <c r="A904">
        <v>354</v>
      </c>
      <c r="B904">
        <v>12</v>
      </c>
      <c r="C904" t="s">
        <v>53</v>
      </c>
      <c r="D904" t="s">
        <v>621</v>
      </c>
      <c r="E904">
        <v>11</v>
      </c>
      <c r="F904">
        <v>19</v>
      </c>
      <c r="G904">
        <v>3</v>
      </c>
      <c r="H904">
        <v>32</v>
      </c>
      <c r="I904" t="s">
        <v>243</v>
      </c>
    </row>
    <row r="905" spans="1:9" x14ac:dyDescent="0.3">
      <c r="A905">
        <v>354</v>
      </c>
      <c r="B905">
        <v>12</v>
      </c>
      <c r="C905" t="s">
        <v>105</v>
      </c>
      <c r="D905" t="s">
        <v>623</v>
      </c>
      <c r="E905">
        <v>19</v>
      </c>
      <c r="F905">
        <v>32</v>
      </c>
      <c r="G905">
        <v>2</v>
      </c>
      <c r="H905">
        <v>49</v>
      </c>
      <c r="I905" t="s">
        <v>243</v>
      </c>
    </row>
    <row r="906" spans="1:9" x14ac:dyDescent="0.3">
      <c r="A906">
        <v>354</v>
      </c>
      <c r="B906">
        <v>12</v>
      </c>
      <c r="C906" t="s">
        <v>46</v>
      </c>
      <c r="D906" t="s">
        <v>629</v>
      </c>
      <c r="E906">
        <v>10</v>
      </c>
      <c r="F906">
        <v>18</v>
      </c>
      <c r="G906">
        <v>2</v>
      </c>
      <c r="H906">
        <v>7</v>
      </c>
      <c r="I906" t="s">
        <v>243</v>
      </c>
    </row>
    <row r="907" spans="1:9" x14ac:dyDescent="0.3">
      <c r="A907">
        <v>354</v>
      </c>
      <c r="B907">
        <v>12</v>
      </c>
      <c r="C907" t="s">
        <v>75</v>
      </c>
      <c r="D907" t="s">
        <v>612</v>
      </c>
      <c r="E907">
        <v>14</v>
      </c>
      <c r="F907">
        <v>24</v>
      </c>
      <c r="G907">
        <v>1</v>
      </c>
      <c r="H907">
        <v>49</v>
      </c>
      <c r="I907" t="s">
        <v>243</v>
      </c>
    </row>
    <row r="908" spans="1:9" x14ac:dyDescent="0.3">
      <c r="A908">
        <v>355</v>
      </c>
      <c r="B908">
        <v>4</v>
      </c>
      <c r="C908" t="s">
        <v>71</v>
      </c>
      <c r="D908" t="s">
        <v>630</v>
      </c>
      <c r="E908">
        <v>15</v>
      </c>
      <c r="F908">
        <v>26</v>
      </c>
      <c r="G908">
        <v>1</v>
      </c>
      <c r="H908">
        <v>7</v>
      </c>
      <c r="I908" t="s">
        <v>243</v>
      </c>
    </row>
    <row r="909" spans="1:9" x14ac:dyDescent="0.3">
      <c r="A909">
        <v>356</v>
      </c>
      <c r="B909">
        <v>1</v>
      </c>
      <c r="C909" t="s">
        <v>46</v>
      </c>
      <c r="D909" t="s">
        <v>629</v>
      </c>
      <c r="E909">
        <v>10</v>
      </c>
      <c r="F909">
        <v>18</v>
      </c>
      <c r="G909">
        <v>2</v>
      </c>
      <c r="H909">
        <v>7</v>
      </c>
      <c r="I909" t="s">
        <v>242</v>
      </c>
    </row>
    <row r="910" spans="1:9" x14ac:dyDescent="0.3">
      <c r="A910">
        <v>357</v>
      </c>
      <c r="B910">
        <v>17</v>
      </c>
      <c r="C910" t="s">
        <v>60</v>
      </c>
      <c r="D910" t="s">
        <v>631</v>
      </c>
      <c r="E910">
        <v>15</v>
      </c>
      <c r="F910">
        <v>25</v>
      </c>
      <c r="G910">
        <v>1</v>
      </c>
      <c r="H910">
        <v>12</v>
      </c>
      <c r="I910" t="s">
        <v>242</v>
      </c>
    </row>
    <row r="911" spans="1:9" x14ac:dyDescent="0.3">
      <c r="A911">
        <v>357</v>
      </c>
      <c r="B911">
        <v>17</v>
      </c>
      <c r="C911" t="s">
        <v>66</v>
      </c>
      <c r="D911" t="s">
        <v>626</v>
      </c>
      <c r="E911">
        <v>12</v>
      </c>
      <c r="F911">
        <v>20</v>
      </c>
      <c r="G911">
        <v>2</v>
      </c>
      <c r="H911">
        <v>5</v>
      </c>
      <c r="I911" t="s">
        <v>243</v>
      </c>
    </row>
    <row r="912" spans="1:9" x14ac:dyDescent="0.3">
      <c r="A912">
        <v>357</v>
      </c>
      <c r="B912">
        <v>17</v>
      </c>
      <c r="C912" t="s">
        <v>92</v>
      </c>
      <c r="D912" t="s">
        <v>624</v>
      </c>
      <c r="E912">
        <v>13</v>
      </c>
      <c r="F912">
        <v>22</v>
      </c>
      <c r="G912">
        <v>1</v>
      </c>
      <c r="H912">
        <v>48</v>
      </c>
      <c r="I912" t="s">
        <v>242</v>
      </c>
    </row>
    <row r="913" spans="1:9" x14ac:dyDescent="0.3">
      <c r="A913">
        <v>357</v>
      </c>
      <c r="B913">
        <v>17</v>
      </c>
      <c r="C913" t="s">
        <v>50</v>
      </c>
      <c r="D913" t="s">
        <v>615</v>
      </c>
      <c r="E913">
        <v>16</v>
      </c>
      <c r="F913">
        <v>27</v>
      </c>
      <c r="G913">
        <v>3</v>
      </c>
      <c r="H913">
        <v>31</v>
      </c>
      <c r="I913" t="s">
        <v>243</v>
      </c>
    </row>
    <row r="914" spans="1:9" x14ac:dyDescent="0.3">
      <c r="A914">
        <v>358</v>
      </c>
      <c r="B914">
        <v>13</v>
      </c>
      <c r="C914" t="s">
        <v>71</v>
      </c>
      <c r="D914" t="s">
        <v>630</v>
      </c>
      <c r="E914">
        <v>15</v>
      </c>
      <c r="F914">
        <v>26</v>
      </c>
      <c r="G914">
        <v>2</v>
      </c>
      <c r="H914">
        <v>50</v>
      </c>
      <c r="I914" t="s">
        <v>242</v>
      </c>
    </row>
    <row r="915" spans="1:9" x14ac:dyDescent="0.3">
      <c r="A915">
        <v>358</v>
      </c>
      <c r="B915">
        <v>13</v>
      </c>
      <c r="C915" t="s">
        <v>66</v>
      </c>
      <c r="D915" t="s">
        <v>626</v>
      </c>
      <c r="E915">
        <v>12</v>
      </c>
      <c r="F915">
        <v>20</v>
      </c>
      <c r="G915">
        <v>3</v>
      </c>
      <c r="H915">
        <v>52</v>
      </c>
      <c r="I915" t="s">
        <v>242</v>
      </c>
    </row>
    <row r="916" spans="1:9" x14ac:dyDescent="0.3">
      <c r="A916">
        <v>358</v>
      </c>
      <c r="B916">
        <v>13</v>
      </c>
      <c r="C916" t="s">
        <v>46</v>
      </c>
      <c r="D916" t="s">
        <v>629</v>
      </c>
      <c r="E916">
        <v>10</v>
      </c>
      <c r="F916">
        <v>18</v>
      </c>
      <c r="G916">
        <v>3</v>
      </c>
      <c r="H916">
        <v>50</v>
      </c>
      <c r="I916" t="s">
        <v>243</v>
      </c>
    </row>
    <row r="917" spans="1:9" x14ac:dyDescent="0.3">
      <c r="A917">
        <v>359</v>
      </c>
      <c r="B917">
        <v>11</v>
      </c>
      <c r="C917" t="s">
        <v>71</v>
      </c>
      <c r="D917" t="s">
        <v>630</v>
      </c>
      <c r="E917">
        <v>15</v>
      </c>
      <c r="F917">
        <v>26</v>
      </c>
      <c r="G917">
        <v>1</v>
      </c>
      <c r="H917">
        <v>50</v>
      </c>
      <c r="I917" t="s">
        <v>243</v>
      </c>
    </row>
    <row r="918" spans="1:9" x14ac:dyDescent="0.3">
      <c r="A918">
        <v>359</v>
      </c>
      <c r="B918">
        <v>11</v>
      </c>
      <c r="C918" t="s">
        <v>30</v>
      </c>
      <c r="D918" t="s">
        <v>620</v>
      </c>
      <c r="E918">
        <v>16</v>
      </c>
      <c r="F918">
        <v>28</v>
      </c>
      <c r="G918">
        <v>3</v>
      </c>
      <c r="H918">
        <v>57</v>
      </c>
      <c r="I918" t="s">
        <v>243</v>
      </c>
    </row>
    <row r="919" spans="1:9" x14ac:dyDescent="0.3">
      <c r="A919">
        <v>359</v>
      </c>
      <c r="B919">
        <v>11</v>
      </c>
      <c r="C919" t="s">
        <v>92</v>
      </c>
      <c r="D919" t="s">
        <v>624</v>
      </c>
      <c r="E919">
        <v>13</v>
      </c>
      <c r="F919">
        <v>22</v>
      </c>
      <c r="G919">
        <v>1</v>
      </c>
      <c r="H919">
        <v>26</v>
      </c>
      <c r="I919" t="s">
        <v>243</v>
      </c>
    </row>
    <row r="920" spans="1:9" x14ac:dyDescent="0.3">
      <c r="A920">
        <v>359</v>
      </c>
      <c r="B920">
        <v>11</v>
      </c>
      <c r="C920" t="s">
        <v>26</v>
      </c>
      <c r="D920" t="s">
        <v>618</v>
      </c>
      <c r="E920">
        <v>17</v>
      </c>
      <c r="F920">
        <v>29</v>
      </c>
      <c r="G920">
        <v>2</v>
      </c>
      <c r="H920">
        <v>12</v>
      </c>
      <c r="I920" t="s">
        <v>243</v>
      </c>
    </row>
    <row r="921" spans="1:9" x14ac:dyDescent="0.3">
      <c r="A921">
        <v>360</v>
      </c>
      <c r="B921">
        <v>16</v>
      </c>
      <c r="C921" t="s">
        <v>71</v>
      </c>
      <c r="D921" t="s">
        <v>630</v>
      </c>
      <c r="E921">
        <v>15</v>
      </c>
      <c r="F921">
        <v>26</v>
      </c>
      <c r="G921">
        <v>1</v>
      </c>
      <c r="H921">
        <v>51</v>
      </c>
      <c r="I921" t="s">
        <v>243</v>
      </c>
    </row>
    <row r="922" spans="1:9" x14ac:dyDescent="0.3">
      <c r="A922">
        <v>360</v>
      </c>
      <c r="B922">
        <v>16</v>
      </c>
      <c r="C922" t="s">
        <v>42</v>
      </c>
      <c r="D922" t="s">
        <v>628</v>
      </c>
      <c r="E922">
        <v>13</v>
      </c>
      <c r="F922">
        <v>21</v>
      </c>
      <c r="G922">
        <v>1</v>
      </c>
      <c r="H922">
        <v>42</v>
      </c>
      <c r="I922" t="s">
        <v>242</v>
      </c>
    </row>
    <row r="923" spans="1:9" x14ac:dyDescent="0.3">
      <c r="A923">
        <v>360</v>
      </c>
      <c r="B923">
        <v>16</v>
      </c>
      <c r="C923" t="s">
        <v>105</v>
      </c>
      <c r="D923" t="s">
        <v>623</v>
      </c>
      <c r="E923">
        <v>19</v>
      </c>
      <c r="F923">
        <v>32</v>
      </c>
      <c r="G923">
        <v>3</v>
      </c>
      <c r="H923">
        <v>30</v>
      </c>
      <c r="I923" t="s">
        <v>243</v>
      </c>
    </row>
    <row r="924" spans="1:9" x14ac:dyDescent="0.3">
      <c r="A924">
        <v>360</v>
      </c>
      <c r="B924">
        <v>16</v>
      </c>
      <c r="C924" t="s">
        <v>40</v>
      </c>
      <c r="D924" t="s">
        <v>613</v>
      </c>
      <c r="E924">
        <v>18</v>
      </c>
      <c r="F924">
        <v>30</v>
      </c>
      <c r="G924">
        <v>3</v>
      </c>
      <c r="H924">
        <v>36</v>
      </c>
      <c r="I924" t="s">
        <v>243</v>
      </c>
    </row>
    <row r="925" spans="1:9" x14ac:dyDescent="0.3">
      <c r="A925">
        <v>361</v>
      </c>
      <c r="B925">
        <v>16</v>
      </c>
      <c r="C925" t="s">
        <v>75</v>
      </c>
      <c r="D925" t="s">
        <v>612</v>
      </c>
      <c r="E925">
        <v>14</v>
      </c>
      <c r="F925">
        <v>24</v>
      </c>
      <c r="G925">
        <v>3</v>
      </c>
      <c r="H925">
        <v>54</v>
      </c>
      <c r="I925" t="s">
        <v>243</v>
      </c>
    </row>
    <row r="926" spans="1:9" x14ac:dyDescent="0.3">
      <c r="A926">
        <v>361</v>
      </c>
      <c r="B926">
        <v>16</v>
      </c>
      <c r="C926" t="s">
        <v>26</v>
      </c>
      <c r="D926" t="s">
        <v>618</v>
      </c>
      <c r="E926">
        <v>17</v>
      </c>
      <c r="F926">
        <v>29</v>
      </c>
      <c r="G926">
        <v>1</v>
      </c>
      <c r="H926">
        <v>58</v>
      </c>
      <c r="I926" t="s">
        <v>242</v>
      </c>
    </row>
    <row r="927" spans="1:9" x14ac:dyDescent="0.3">
      <c r="A927">
        <v>362</v>
      </c>
      <c r="B927">
        <v>15</v>
      </c>
      <c r="C927" t="s">
        <v>66</v>
      </c>
      <c r="D927" t="s">
        <v>626</v>
      </c>
      <c r="E927">
        <v>12</v>
      </c>
      <c r="F927">
        <v>20</v>
      </c>
      <c r="G927">
        <v>1</v>
      </c>
      <c r="H927">
        <v>41</v>
      </c>
      <c r="I927" t="s">
        <v>242</v>
      </c>
    </row>
    <row r="928" spans="1:9" x14ac:dyDescent="0.3">
      <c r="A928">
        <v>362</v>
      </c>
      <c r="B928">
        <v>15</v>
      </c>
      <c r="C928" t="s">
        <v>46</v>
      </c>
      <c r="D928" t="s">
        <v>629</v>
      </c>
      <c r="E928">
        <v>10</v>
      </c>
      <c r="F928">
        <v>18</v>
      </c>
      <c r="G928">
        <v>1</v>
      </c>
      <c r="H928">
        <v>24</v>
      </c>
      <c r="I928" t="s">
        <v>242</v>
      </c>
    </row>
    <row r="929" spans="1:9" x14ac:dyDescent="0.3">
      <c r="A929">
        <v>362</v>
      </c>
      <c r="B929">
        <v>15</v>
      </c>
      <c r="C929" t="s">
        <v>75</v>
      </c>
      <c r="D929" t="s">
        <v>612</v>
      </c>
      <c r="E929">
        <v>14</v>
      </c>
      <c r="F929">
        <v>24</v>
      </c>
      <c r="G929">
        <v>1</v>
      </c>
      <c r="H929">
        <v>58</v>
      </c>
      <c r="I929" t="s">
        <v>242</v>
      </c>
    </row>
    <row r="930" spans="1:9" x14ac:dyDescent="0.3">
      <c r="A930">
        <v>363</v>
      </c>
      <c r="B930">
        <v>5</v>
      </c>
      <c r="C930" t="s">
        <v>112</v>
      </c>
      <c r="D930" t="s">
        <v>619</v>
      </c>
      <c r="E930">
        <v>20</v>
      </c>
      <c r="F930">
        <v>33</v>
      </c>
      <c r="G930">
        <v>2</v>
      </c>
      <c r="H930">
        <v>18</v>
      </c>
      <c r="I930" t="s">
        <v>242</v>
      </c>
    </row>
    <row r="931" spans="1:9" x14ac:dyDescent="0.3">
      <c r="A931">
        <v>363</v>
      </c>
      <c r="B931">
        <v>5</v>
      </c>
      <c r="C931" t="s">
        <v>44</v>
      </c>
      <c r="D931" t="s">
        <v>617</v>
      </c>
      <c r="E931">
        <v>22</v>
      </c>
      <c r="F931">
        <v>36</v>
      </c>
      <c r="G931">
        <v>2</v>
      </c>
      <c r="H931">
        <v>42</v>
      </c>
      <c r="I931" t="s">
        <v>242</v>
      </c>
    </row>
    <row r="932" spans="1:9" x14ac:dyDescent="0.3">
      <c r="A932">
        <v>363</v>
      </c>
      <c r="B932">
        <v>5</v>
      </c>
      <c r="C932" t="s">
        <v>40</v>
      </c>
      <c r="D932" t="s">
        <v>613</v>
      </c>
      <c r="E932">
        <v>18</v>
      </c>
      <c r="F932">
        <v>30</v>
      </c>
      <c r="G932">
        <v>1</v>
      </c>
      <c r="H932">
        <v>48</v>
      </c>
      <c r="I932" t="s">
        <v>242</v>
      </c>
    </row>
    <row r="933" spans="1:9" x14ac:dyDescent="0.3">
      <c r="A933">
        <v>363</v>
      </c>
      <c r="B933">
        <v>5</v>
      </c>
      <c r="C933" t="s">
        <v>75</v>
      </c>
      <c r="D933" t="s">
        <v>612</v>
      </c>
      <c r="E933">
        <v>14</v>
      </c>
      <c r="F933">
        <v>24</v>
      </c>
      <c r="G933">
        <v>3</v>
      </c>
      <c r="H933">
        <v>41</v>
      </c>
      <c r="I933" t="s">
        <v>243</v>
      </c>
    </row>
    <row r="934" spans="1:9" x14ac:dyDescent="0.3">
      <c r="A934">
        <v>364</v>
      </c>
      <c r="B934">
        <v>15</v>
      </c>
      <c r="C934" t="s">
        <v>60</v>
      </c>
      <c r="D934" t="s">
        <v>631</v>
      </c>
      <c r="E934">
        <v>15</v>
      </c>
      <c r="F934">
        <v>25</v>
      </c>
      <c r="G934">
        <v>2</v>
      </c>
      <c r="H934">
        <v>14</v>
      </c>
      <c r="I934" t="s">
        <v>242</v>
      </c>
    </row>
    <row r="935" spans="1:9" x14ac:dyDescent="0.3">
      <c r="A935">
        <v>364</v>
      </c>
      <c r="B935">
        <v>15</v>
      </c>
      <c r="C935" t="s">
        <v>30</v>
      </c>
      <c r="D935" t="s">
        <v>620</v>
      </c>
      <c r="E935">
        <v>16</v>
      </c>
      <c r="F935">
        <v>28</v>
      </c>
      <c r="G935">
        <v>2</v>
      </c>
      <c r="H935">
        <v>52</v>
      </c>
      <c r="I935" t="s">
        <v>242</v>
      </c>
    </row>
    <row r="936" spans="1:9" x14ac:dyDescent="0.3">
      <c r="A936">
        <v>364</v>
      </c>
      <c r="B936">
        <v>15</v>
      </c>
      <c r="C936" t="s">
        <v>92</v>
      </c>
      <c r="D936" t="s">
        <v>624</v>
      </c>
      <c r="E936">
        <v>13</v>
      </c>
      <c r="F936">
        <v>22</v>
      </c>
      <c r="G936">
        <v>1</v>
      </c>
      <c r="H936">
        <v>20</v>
      </c>
      <c r="I936" t="s">
        <v>242</v>
      </c>
    </row>
    <row r="937" spans="1:9" x14ac:dyDescent="0.3">
      <c r="A937">
        <v>364</v>
      </c>
      <c r="B937">
        <v>15</v>
      </c>
      <c r="C937" t="s">
        <v>26</v>
      </c>
      <c r="D937" t="s">
        <v>618</v>
      </c>
      <c r="E937">
        <v>17</v>
      </c>
      <c r="F937">
        <v>29</v>
      </c>
      <c r="G937">
        <v>1</v>
      </c>
      <c r="H937">
        <v>26</v>
      </c>
      <c r="I937" t="s">
        <v>242</v>
      </c>
    </row>
    <row r="938" spans="1:9" x14ac:dyDescent="0.3">
      <c r="A938">
        <v>365</v>
      </c>
      <c r="B938">
        <v>4</v>
      </c>
      <c r="C938" t="s">
        <v>44</v>
      </c>
      <c r="D938" t="s">
        <v>617</v>
      </c>
      <c r="E938">
        <v>22</v>
      </c>
      <c r="F938">
        <v>36</v>
      </c>
      <c r="G938">
        <v>3</v>
      </c>
      <c r="H938">
        <v>25</v>
      </c>
      <c r="I938" t="s">
        <v>243</v>
      </c>
    </row>
    <row r="939" spans="1:9" x14ac:dyDescent="0.3">
      <c r="A939">
        <v>366</v>
      </c>
      <c r="B939">
        <v>17</v>
      </c>
      <c r="C939" t="s">
        <v>34</v>
      </c>
      <c r="D939" t="s">
        <v>616</v>
      </c>
      <c r="E939">
        <v>25</v>
      </c>
      <c r="F939">
        <v>40</v>
      </c>
      <c r="G939">
        <v>2</v>
      </c>
      <c r="H939">
        <v>9</v>
      </c>
      <c r="I939" t="s">
        <v>242</v>
      </c>
    </row>
    <row r="940" spans="1:9" x14ac:dyDescent="0.3">
      <c r="A940">
        <v>366</v>
      </c>
      <c r="B940">
        <v>17</v>
      </c>
      <c r="C940" t="s">
        <v>50</v>
      </c>
      <c r="D940" t="s">
        <v>615</v>
      </c>
      <c r="E940">
        <v>16</v>
      </c>
      <c r="F940">
        <v>27</v>
      </c>
      <c r="G940">
        <v>2</v>
      </c>
      <c r="H940">
        <v>30</v>
      </c>
      <c r="I940" t="s">
        <v>242</v>
      </c>
    </row>
    <row r="941" spans="1:9" x14ac:dyDescent="0.3">
      <c r="A941">
        <v>366</v>
      </c>
      <c r="B941">
        <v>17</v>
      </c>
      <c r="C941" t="s">
        <v>19</v>
      </c>
      <c r="D941" t="s">
        <v>622</v>
      </c>
      <c r="E941">
        <v>21</v>
      </c>
      <c r="F941">
        <v>35</v>
      </c>
      <c r="G941">
        <v>3</v>
      </c>
      <c r="H941">
        <v>51</v>
      </c>
      <c r="I941" t="s">
        <v>243</v>
      </c>
    </row>
    <row r="942" spans="1:9" x14ac:dyDescent="0.3">
      <c r="A942">
        <v>367</v>
      </c>
      <c r="B942">
        <v>12</v>
      </c>
      <c r="C942" t="s">
        <v>71</v>
      </c>
      <c r="D942" t="s">
        <v>630</v>
      </c>
      <c r="E942">
        <v>15</v>
      </c>
      <c r="F942">
        <v>26</v>
      </c>
      <c r="G942">
        <v>2</v>
      </c>
      <c r="H942">
        <v>34</v>
      </c>
      <c r="I942" t="s">
        <v>243</v>
      </c>
    </row>
    <row r="943" spans="1:9" x14ac:dyDescent="0.3">
      <c r="A943">
        <v>367</v>
      </c>
      <c r="B943">
        <v>12</v>
      </c>
      <c r="C943" t="s">
        <v>66</v>
      </c>
      <c r="D943" t="s">
        <v>626</v>
      </c>
      <c r="E943">
        <v>12</v>
      </c>
      <c r="F943">
        <v>20</v>
      </c>
      <c r="G943">
        <v>1</v>
      </c>
      <c r="H943">
        <v>13</v>
      </c>
      <c r="I943" t="s">
        <v>243</v>
      </c>
    </row>
    <row r="944" spans="1:9" x14ac:dyDescent="0.3">
      <c r="A944">
        <v>367</v>
      </c>
      <c r="B944">
        <v>12</v>
      </c>
      <c r="C944" t="s">
        <v>26</v>
      </c>
      <c r="D944" t="s">
        <v>618</v>
      </c>
      <c r="E944">
        <v>17</v>
      </c>
      <c r="F944">
        <v>29</v>
      </c>
      <c r="G944">
        <v>1</v>
      </c>
      <c r="H944">
        <v>26</v>
      </c>
      <c r="I944" t="s">
        <v>243</v>
      </c>
    </row>
    <row r="945" spans="1:9" x14ac:dyDescent="0.3">
      <c r="A945">
        <v>368</v>
      </c>
      <c r="B945">
        <v>13</v>
      </c>
      <c r="C945" t="s">
        <v>112</v>
      </c>
      <c r="D945" t="s">
        <v>619</v>
      </c>
      <c r="E945">
        <v>20</v>
      </c>
      <c r="F945">
        <v>33</v>
      </c>
      <c r="G945">
        <v>3</v>
      </c>
      <c r="H945">
        <v>45</v>
      </c>
      <c r="I945" t="s">
        <v>242</v>
      </c>
    </row>
    <row r="946" spans="1:9" x14ac:dyDescent="0.3">
      <c r="A946">
        <v>368</v>
      </c>
      <c r="B946">
        <v>13</v>
      </c>
      <c r="C946" t="s">
        <v>75</v>
      </c>
      <c r="D946" t="s">
        <v>612</v>
      </c>
      <c r="E946">
        <v>14</v>
      </c>
      <c r="F946">
        <v>24</v>
      </c>
      <c r="G946">
        <v>1</v>
      </c>
      <c r="H946">
        <v>40</v>
      </c>
      <c r="I946" t="s">
        <v>243</v>
      </c>
    </row>
    <row r="947" spans="1:9" x14ac:dyDescent="0.3">
      <c r="A947">
        <v>369</v>
      </c>
      <c r="B947">
        <v>20</v>
      </c>
      <c r="C947" t="s">
        <v>71</v>
      </c>
      <c r="D947" t="s">
        <v>630</v>
      </c>
      <c r="E947">
        <v>15</v>
      </c>
      <c r="F947">
        <v>26</v>
      </c>
      <c r="G947">
        <v>3</v>
      </c>
      <c r="H947">
        <v>20</v>
      </c>
      <c r="I947" t="s">
        <v>243</v>
      </c>
    </row>
    <row r="948" spans="1:9" x14ac:dyDescent="0.3">
      <c r="A948">
        <v>369</v>
      </c>
      <c r="B948">
        <v>20</v>
      </c>
      <c r="C948" t="s">
        <v>89</v>
      </c>
      <c r="D948" t="s">
        <v>627</v>
      </c>
      <c r="E948">
        <v>14</v>
      </c>
      <c r="F948">
        <v>23</v>
      </c>
      <c r="G948">
        <v>2</v>
      </c>
      <c r="H948">
        <v>7</v>
      </c>
      <c r="I948" t="s">
        <v>243</v>
      </c>
    </row>
    <row r="949" spans="1:9" x14ac:dyDescent="0.3">
      <c r="A949">
        <v>369</v>
      </c>
      <c r="B949">
        <v>20</v>
      </c>
      <c r="C949" t="s">
        <v>30</v>
      </c>
      <c r="D949" t="s">
        <v>620</v>
      </c>
      <c r="E949">
        <v>16</v>
      </c>
      <c r="F949">
        <v>28</v>
      </c>
      <c r="G949">
        <v>2</v>
      </c>
      <c r="H949">
        <v>8</v>
      </c>
      <c r="I949" t="s">
        <v>243</v>
      </c>
    </row>
    <row r="950" spans="1:9" x14ac:dyDescent="0.3">
      <c r="A950">
        <v>369</v>
      </c>
      <c r="B950">
        <v>20</v>
      </c>
      <c r="C950" t="s">
        <v>56</v>
      </c>
      <c r="D950" t="s">
        <v>614</v>
      </c>
      <c r="E950">
        <v>19</v>
      </c>
      <c r="F950">
        <v>31</v>
      </c>
      <c r="G950">
        <v>2</v>
      </c>
      <c r="H950">
        <v>7</v>
      </c>
      <c r="I950" t="s">
        <v>243</v>
      </c>
    </row>
    <row r="951" spans="1:9" x14ac:dyDescent="0.3">
      <c r="A951">
        <v>370</v>
      </c>
      <c r="B951">
        <v>13</v>
      </c>
      <c r="C951" t="s">
        <v>44</v>
      </c>
      <c r="D951" t="s">
        <v>617</v>
      </c>
      <c r="E951">
        <v>22</v>
      </c>
      <c r="F951">
        <v>36</v>
      </c>
      <c r="G951">
        <v>2</v>
      </c>
      <c r="H951">
        <v>33</v>
      </c>
      <c r="I951" t="s">
        <v>243</v>
      </c>
    </row>
    <row r="952" spans="1:9" x14ac:dyDescent="0.3">
      <c r="A952">
        <v>371</v>
      </c>
      <c r="B952">
        <v>4</v>
      </c>
      <c r="C952" t="s">
        <v>89</v>
      </c>
      <c r="D952" t="s">
        <v>627</v>
      </c>
      <c r="E952">
        <v>14</v>
      </c>
      <c r="F952">
        <v>23</v>
      </c>
      <c r="G952">
        <v>2</v>
      </c>
      <c r="H952">
        <v>14</v>
      </c>
      <c r="I952" t="s">
        <v>243</v>
      </c>
    </row>
    <row r="953" spans="1:9" x14ac:dyDescent="0.3">
      <c r="A953">
        <v>371</v>
      </c>
      <c r="B953">
        <v>4</v>
      </c>
      <c r="C953" t="s">
        <v>30</v>
      </c>
      <c r="D953" t="s">
        <v>620</v>
      </c>
      <c r="E953">
        <v>16</v>
      </c>
      <c r="F953">
        <v>28</v>
      </c>
      <c r="G953">
        <v>2</v>
      </c>
      <c r="H953">
        <v>11</v>
      </c>
      <c r="I953" t="s">
        <v>242</v>
      </c>
    </row>
    <row r="954" spans="1:9" x14ac:dyDescent="0.3">
      <c r="A954">
        <v>371</v>
      </c>
      <c r="B954">
        <v>4</v>
      </c>
      <c r="C954" t="s">
        <v>56</v>
      </c>
      <c r="D954" t="s">
        <v>614</v>
      </c>
      <c r="E954">
        <v>19</v>
      </c>
      <c r="F954">
        <v>31</v>
      </c>
      <c r="G954">
        <v>2</v>
      </c>
      <c r="H954">
        <v>11</v>
      </c>
      <c r="I954" t="s">
        <v>243</v>
      </c>
    </row>
    <row r="955" spans="1:9" x14ac:dyDescent="0.3">
      <c r="A955">
        <v>371</v>
      </c>
      <c r="B955">
        <v>4</v>
      </c>
      <c r="C955" t="s">
        <v>44</v>
      </c>
      <c r="D955" t="s">
        <v>617</v>
      </c>
      <c r="E955">
        <v>22</v>
      </c>
      <c r="F955">
        <v>36</v>
      </c>
      <c r="G955">
        <v>1</v>
      </c>
      <c r="H955">
        <v>13</v>
      </c>
      <c r="I955" t="s">
        <v>242</v>
      </c>
    </row>
    <row r="956" spans="1:9" x14ac:dyDescent="0.3">
      <c r="A956">
        <v>372</v>
      </c>
      <c r="B956">
        <v>14</v>
      </c>
      <c r="C956" t="s">
        <v>46</v>
      </c>
      <c r="D956" t="s">
        <v>629</v>
      </c>
      <c r="E956">
        <v>10</v>
      </c>
      <c r="F956">
        <v>18</v>
      </c>
      <c r="G956">
        <v>2</v>
      </c>
      <c r="H956">
        <v>22</v>
      </c>
      <c r="I956" t="s">
        <v>242</v>
      </c>
    </row>
    <row r="957" spans="1:9" x14ac:dyDescent="0.3">
      <c r="A957">
        <v>373</v>
      </c>
      <c r="B957">
        <v>19</v>
      </c>
      <c r="C957" t="s">
        <v>42</v>
      </c>
      <c r="D957" t="s">
        <v>628</v>
      </c>
      <c r="E957">
        <v>13</v>
      </c>
      <c r="F957">
        <v>21</v>
      </c>
      <c r="G957">
        <v>1</v>
      </c>
      <c r="H957">
        <v>41</v>
      </c>
      <c r="I957" t="s">
        <v>243</v>
      </c>
    </row>
    <row r="958" spans="1:9" x14ac:dyDescent="0.3">
      <c r="A958">
        <v>373</v>
      </c>
      <c r="B958">
        <v>19</v>
      </c>
      <c r="C958" t="s">
        <v>66</v>
      </c>
      <c r="D958" t="s">
        <v>626</v>
      </c>
      <c r="E958">
        <v>12</v>
      </c>
      <c r="F958">
        <v>20</v>
      </c>
      <c r="G958">
        <v>3</v>
      </c>
      <c r="H958">
        <v>9</v>
      </c>
      <c r="I958" t="s">
        <v>243</v>
      </c>
    </row>
    <row r="959" spans="1:9" x14ac:dyDescent="0.3">
      <c r="A959">
        <v>373</v>
      </c>
      <c r="B959">
        <v>19</v>
      </c>
      <c r="C959" t="s">
        <v>92</v>
      </c>
      <c r="D959" t="s">
        <v>624</v>
      </c>
      <c r="E959">
        <v>13</v>
      </c>
      <c r="F959">
        <v>22</v>
      </c>
      <c r="G959">
        <v>2</v>
      </c>
      <c r="H959">
        <v>17</v>
      </c>
      <c r="I959" t="s">
        <v>243</v>
      </c>
    </row>
    <row r="960" spans="1:9" x14ac:dyDescent="0.3">
      <c r="A960">
        <v>373</v>
      </c>
      <c r="B960">
        <v>19</v>
      </c>
      <c r="C960" t="s">
        <v>19</v>
      </c>
      <c r="D960" t="s">
        <v>622</v>
      </c>
      <c r="E960">
        <v>21</v>
      </c>
      <c r="F960">
        <v>35</v>
      </c>
      <c r="G960">
        <v>1</v>
      </c>
      <c r="H960">
        <v>49</v>
      </c>
      <c r="I960" t="s">
        <v>242</v>
      </c>
    </row>
    <row r="961" spans="1:9" x14ac:dyDescent="0.3">
      <c r="A961">
        <v>374</v>
      </c>
      <c r="B961">
        <v>18</v>
      </c>
      <c r="C961" t="s">
        <v>19</v>
      </c>
      <c r="D961" t="s">
        <v>622</v>
      </c>
      <c r="E961">
        <v>21</v>
      </c>
      <c r="F961">
        <v>35</v>
      </c>
      <c r="G961">
        <v>1</v>
      </c>
      <c r="H961">
        <v>9</v>
      </c>
      <c r="I961" t="s">
        <v>243</v>
      </c>
    </row>
    <row r="962" spans="1:9" x14ac:dyDescent="0.3">
      <c r="A962">
        <v>375</v>
      </c>
      <c r="B962">
        <v>18</v>
      </c>
      <c r="C962" t="s">
        <v>56</v>
      </c>
      <c r="D962" t="s">
        <v>614</v>
      </c>
      <c r="E962">
        <v>19</v>
      </c>
      <c r="F962">
        <v>31</v>
      </c>
      <c r="G962">
        <v>3</v>
      </c>
      <c r="H962">
        <v>27</v>
      </c>
      <c r="I962" t="s">
        <v>242</v>
      </c>
    </row>
    <row r="963" spans="1:9" x14ac:dyDescent="0.3">
      <c r="A963">
        <v>376</v>
      </c>
      <c r="B963">
        <v>16</v>
      </c>
      <c r="C963" t="s">
        <v>89</v>
      </c>
      <c r="D963" t="s">
        <v>627</v>
      </c>
      <c r="E963">
        <v>14</v>
      </c>
      <c r="F963">
        <v>23</v>
      </c>
      <c r="G963">
        <v>2</v>
      </c>
      <c r="H963">
        <v>5</v>
      </c>
      <c r="I963" t="s">
        <v>243</v>
      </c>
    </row>
    <row r="964" spans="1:9" x14ac:dyDescent="0.3">
      <c r="A964">
        <v>377</v>
      </c>
      <c r="B964">
        <v>5</v>
      </c>
      <c r="C964" t="s">
        <v>105</v>
      </c>
      <c r="D964" t="s">
        <v>623</v>
      </c>
      <c r="E964">
        <v>19</v>
      </c>
      <c r="F964">
        <v>32</v>
      </c>
      <c r="G964">
        <v>1</v>
      </c>
      <c r="H964">
        <v>33</v>
      </c>
      <c r="I964" t="s">
        <v>242</v>
      </c>
    </row>
    <row r="965" spans="1:9" x14ac:dyDescent="0.3">
      <c r="A965">
        <v>377</v>
      </c>
      <c r="B965">
        <v>5</v>
      </c>
      <c r="C965" t="s">
        <v>38</v>
      </c>
      <c r="D965" t="s">
        <v>625</v>
      </c>
      <c r="E965">
        <v>20</v>
      </c>
      <c r="F965">
        <v>34</v>
      </c>
      <c r="G965">
        <v>2</v>
      </c>
      <c r="H965">
        <v>13</v>
      </c>
      <c r="I965" t="s">
        <v>242</v>
      </c>
    </row>
    <row r="966" spans="1:9" x14ac:dyDescent="0.3">
      <c r="A966">
        <v>378</v>
      </c>
      <c r="B966">
        <v>3</v>
      </c>
      <c r="C966" t="s">
        <v>53</v>
      </c>
      <c r="D966" t="s">
        <v>621</v>
      </c>
      <c r="E966">
        <v>11</v>
      </c>
      <c r="F966">
        <v>19</v>
      </c>
      <c r="G966">
        <v>1</v>
      </c>
      <c r="H966">
        <v>7</v>
      </c>
      <c r="I966" t="s">
        <v>243</v>
      </c>
    </row>
    <row r="967" spans="1:9" x14ac:dyDescent="0.3">
      <c r="A967">
        <v>378</v>
      </c>
      <c r="B967">
        <v>3</v>
      </c>
      <c r="C967" t="s">
        <v>40</v>
      </c>
      <c r="D967" t="s">
        <v>613</v>
      </c>
      <c r="E967">
        <v>18</v>
      </c>
      <c r="F967">
        <v>30</v>
      </c>
      <c r="G967">
        <v>1</v>
      </c>
      <c r="H967">
        <v>14</v>
      </c>
      <c r="I967" t="s">
        <v>243</v>
      </c>
    </row>
    <row r="968" spans="1:9" x14ac:dyDescent="0.3">
      <c r="A968">
        <v>379</v>
      </c>
      <c r="B968">
        <v>4</v>
      </c>
      <c r="C968" t="s">
        <v>19</v>
      </c>
      <c r="D968" t="s">
        <v>622</v>
      </c>
      <c r="E968">
        <v>21</v>
      </c>
      <c r="F968">
        <v>35</v>
      </c>
      <c r="G968">
        <v>2</v>
      </c>
      <c r="H968">
        <v>6</v>
      </c>
      <c r="I968" t="s">
        <v>242</v>
      </c>
    </row>
    <row r="969" spans="1:9" x14ac:dyDescent="0.3">
      <c r="A969">
        <v>380</v>
      </c>
      <c r="B969">
        <v>5</v>
      </c>
      <c r="C969" t="s">
        <v>112</v>
      </c>
      <c r="D969" t="s">
        <v>619</v>
      </c>
      <c r="E969">
        <v>20</v>
      </c>
      <c r="F969">
        <v>33</v>
      </c>
      <c r="G969">
        <v>3</v>
      </c>
      <c r="H969">
        <v>58</v>
      </c>
      <c r="I969" t="s">
        <v>242</v>
      </c>
    </row>
    <row r="970" spans="1:9" x14ac:dyDescent="0.3">
      <c r="A970">
        <v>380</v>
      </c>
      <c r="B970">
        <v>5</v>
      </c>
      <c r="C970" t="s">
        <v>53</v>
      </c>
      <c r="D970" t="s">
        <v>621</v>
      </c>
      <c r="E970">
        <v>11</v>
      </c>
      <c r="F970">
        <v>19</v>
      </c>
      <c r="G970">
        <v>2</v>
      </c>
      <c r="H970">
        <v>35</v>
      </c>
      <c r="I970" t="s">
        <v>242</v>
      </c>
    </row>
    <row r="971" spans="1:9" x14ac:dyDescent="0.3">
      <c r="A971">
        <v>381</v>
      </c>
      <c r="B971">
        <v>4</v>
      </c>
      <c r="C971" t="s">
        <v>71</v>
      </c>
      <c r="D971" t="s">
        <v>630</v>
      </c>
      <c r="E971">
        <v>15</v>
      </c>
      <c r="F971">
        <v>26</v>
      </c>
      <c r="G971">
        <v>3</v>
      </c>
      <c r="H971">
        <v>35</v>
      </c>
      <c r="I971" t="s">
        <v>242</v>
      </c>
    </row>
    <row r="972" spans="1:9" x14ac:dyDescent="0.3">
      <c r="A972">
        <v>381</v>
      </c>
      <c r="B972">
        <v>4</v>
      </c>
      <c r="C972" t="s">
        <v>112</v>
      </c>
      <c r="D972" t="s">
        <v>619</v>
      </c>
      <c r="E972">
        <v>20</v>
      </c>
      <c r="F972">
        <v>33</v>
      </c>
      <c r="G972">
        <v>2</v>
      </c>
      <c r="H972">
        <v>12</v>
      </c>
      <c r="I972" t="s">
        <v>242</v>
      </c>
    </row>
    <row r="973" spans="1:9" x14ac:dyDescent="0.3">
      <c r="A973">
        <v>382</v>
      </c>
      <c r="B973">
        <v>20</v>
      </c>
      <c r="C973" t="s">
        <v>26</v>
      </c>
      <c r="D973" t="s">
        <v>618</v>
      </c>
      <c r="E973">
        <v>17</v>
      </c>
      <c r="F973">
        <v>29</v>
      </c>
      <c r="G973">
        <v>3</v>
      </c>
      <c r="H973">
        <v>54</v>
      </c>
      <c r="I973" t="s">
        <v>243</v>
      </c>
    </row>
    <row r="974" spans="1:9" x14ac:dyDescent="0.3">
      <c r="A974">
        <v>383</v>
      </c>
      <c r="B974">
        <v>6</v>
      </c>
      <c r="C974" t="s">
        <v>44</v>
      </c>
      <c r="D974" t="s">
        <v>617</v>
      </c>
      <c r="E974">
        <v>22</v>
      </c>
      <c r="F974">
        <v>36</v>
      </c>
      <c r="G974">
        <v>3</v>
      </c>
      <c r="H974">
        <v>9</v>
      </c>
      <c r="I974" t="s">
        <v>243</v>
      </c>
    </row>
    <row r="975" spans="1:9" x14ac:dyDescent="0.3">
      <c r="A975">
        <v>384</v>
      </c>
      <c r="B975">
        <v>1</v>
      </c>
      <c r="C975" t="s">
        <v>53</v>
      </c>
      <c r="D975" t="s">
        <v>621</v>
      </c>
      <c r="E975">
        <v>11</v>
      </c>
      <c r="F975">
        <v>19</v>
      </c>
      <c r="G975">
        <v>3</v>
      </c>
      <c r="H975">
        <v>35</v>
      </c>
      <c r="I975" t="s">
        <v>243</v>
      </c>
    </row>
    <row r="976" spans="1:9" x14ac:dyDescent="0.3">
      <c r="A976">
        <v>384</v>
      </c>
      <c r="B976">
        <v>1</v>
      </c>
      <c r="C976" t="s">
        <v>46</v>
      </c>
      <c r="D976" t="s">
        <v>629</v>
      </c>
      <c r="E976">
        <v>10</v>
      </c>
      <c r="F976">
        <v>18</v>
      </c>
      <c r="G976">
        <v>2</v>
      </c>
      <c r="H976">
        <v>26</v>
      </c>
      <c r="I976" t="s">
        <v>242</v>
      </c>
    </row>
    <row r="977" spans="1:9" x14ac:dyDescent="0.3">
      <c r="A977">
        <v>384</v>
      </c>
      <c r="B977">
        <v>1</v>
      </c>
      <c r="C977" t="s">
        <v>50</v>
      </c>
      <c r="D977" t="s">
        <v>615</v>
      </c>
      <c r="E977">
        <v>16</v>
      </c>
      <c r="F977">
        <v>27</v>
      </c>
      <c r="G977">
        <v>1</v>
      </c>
      <c r="H977">
        <v>49</v>
      </c>
      <c r="I977" t="s">
        <v>243</v>
      </c>
    </row>
    <row r="978" spans="1:9" x14ac:dyDescent="0.3">
      <c r="A978">
        <v>385</v>
      </c>
      <c r="B978">
        <v>6</v>
      </c>
      <c r="C978" t="s">
        <v>40</v>
      </c>
      <c r="D978" t="s">
        <v>613</v>
      </c>
      <c r="E978">
        <v>18</v>
      </c>
      <c r="F978">
        <v>30</v>
      </c>
      <c r="G978">
        <v>2</v>
      </c>
      <c r="H978">
        <v>22</v>
      </c>
      <c r="I978" t="s">
        <v>242</v>
      </c>
    </row>
    <row r="979" spans="1:9" x14ac:dyDescent="0.3">
      <c r="A979">
        <v>386</v>
      </c>
      <c r="B979">
        <v>5</v>
      </c>
      <c r="C979" t="s">
        <v>112</v>
      </c>
      <c r="D979" t="s">
        <v>619</v>
      </c>
      <c r="E979">
        <v>20</v>
      </c>
      <c r="F979">
        <v>33</v>
      </c>
      <c r="G979">
        <v>3</v>
      </c>
      <c r="H979">
        <v>40</v>
      </c>
      <c r="I979" t="s">
        <v>243</v>
      </c>
    </row>
    <row r="980" spans="1:9" x14ac:dyDescent="0.3">
      <c r="A980">
        <v>387</v>
      </c>
      <c r="B980">
        <v>6</v>
      </c>
      <c r="C980" t="s">
        <v>56</v>
      </c>
      <c r="D980" t="s">
        <v>614</v>
      </c>
      <c r="E980">
        <v>19</v>
      </c>
      <c r="F980">
        <v>31</v>
      </c>
      <c r="G980">
        <v>3</v>
      </c>
      <c r="H980">
        <v>18</v>
      </c>
      <c r="I980" t="s">
        <v>243</v>
      </c>
    </row>
    <row r="981" spans="1:9" x14ac:dyDescent="0.3">
      <c r="A981">
        <v>388</v>
      </c>
      <c r="B981">
        <v>18</v>
      </c>
      <c r="C981" t="s">
        <v>112</v>
      </c>
      <c r="D981" t="s">
        <v>619</v>
      </c>
      <c r="E981">
        <v>20</v>
      </c>
      <c r="F981">
        <v>33</v>
      </c>
      <c r="G981">
        <v>3</v>
      </c>
      <c r="H981">
        <v>51</v>
      </c>
      <c r="I981" t="s">
        <v>243</v>
      </c>
    </row>
    <row r="982" spans="1:9" x14ac:dyDescent="0.3">
      <c r="A982">
        <v>388</v>
      </c>
      <c r="B982">
        <v>18</v>
      </c>
      <c r="C982" t="s">
        <v>56</v>
      </c>
      <c r="D982" t="s">
        <v>614</v>
      </c>
      <c r="E982">
        <v>19</v>
      </c>
      <c r="F982">
        <v>31</v>
      </c>
      <c r="G982">
        <v>2</v>
      </c>
      <c r="H982">
        <v>52</v>
      </c>
      <c r="I982" t="s">
        <v>243</v>
      </c>
    </row>
    <row r="983" spans="1:9" x14ac:dyDescent="0.3">
      <c r="A983">
        <v>388</v>
      </c>
      <c r="B983">
        <v>18</v>
      </c>
      <c r="C983" t="s">
        <v>44</v>
      </c>
      <c r="D983" t="s">
        <v>617</v>
      </c>
      <c r="E983">
        <v>22</v>
      </c>
      <c r="F983">
        <v>36</v>
      </c>
      <c r="G983">
        <v>2</v>
      </c>
      <c r="H983">
        <v>37</v>
      </c>
      <c r="I983" t="s">
        <v>242</v>
      </c>
    </row>
    <row r="984" spans="1:9" x14ac:dyDescent="0.3">
      <c r="A984">
        <v>388</v>
      </c>
      <c r="B984">
        <v>18</v>
      </c>
      <c r="C984" t="s">
        <v>26</v>
      </c>
      <c r="D984" t="s">
        <v>618</v>
      </c>
      <c r="E984">
        <v>17</v>
      </c>
      <c r="F984">
        <v>29</v>
      </c>
      <c r="G984">
        <v>2</v>
      </c>
      <c r="H984">
        <v>31</v>
      </c>
      <c r="I984" t="s">
        <v>243</v>
      </c>
    </row>
    <row r="985" spans="1:9" x14ac:dyDescent="0.3">
      <c r="A985">
        <v>389</v>
      </c>
      <c r="B985">
        <v>19</v>
      </c>
      <c r="C985" t="s">
        <v>112</v>
      </c>
      <c r="D985" t="s">
        <v>619</v>
      </c>
      <c r="E985">
        <v>20</v>
      </c>
      <c r="F985">
        <v>33</v>
      </c>
      <c r="G985">
        <v>1</v>
      </c>
      <c r="H985">
        <v>24</v>
      </c>
      <c r="I985" t="s">
        <v>242</v>
      </c>
    </row>
    <row r="986" spans="1:9" x14ac:dyDescent="0.3">
      <c r="A986">
        <v>390</v>
      </c>
      <c r="B986">
        <v>9</v>
      </c>
      <c r="C986" t="s">
        <v>71</v>
      </c>
      <c r="D986" t="s">
        <v>630</v>
      </c>
      <c r="E986">
        <v>15</v>
      </c>
      <c r="F986">
        <v>26</v>
      </c>
      <c r="G986">
        <v>3</v>
      </c>
      <c r="H986">
        <v>13</v>
      </c>
      <c r="I986" t="s">
        <v>243</v>
      </c>
    </row>
    <row r="987" spans="1:9" x14ac:dyDescent="0.3">
      <c r="A987">
        <v>390</v>
      </c>
      <c r="B987">
        <v>9</v>
      </c>
      <c r="C987" t="s">
        <v>42</v>
      </c>
      <c r="D987" t="s">
        <v>628</v>
      </c>
      <c r="E987">
        <v>13</v>
      </c>
      <c r="F987">
        <v>21</v>
      </c>
      <c r="G987">
        <v>1</v>
      </c>
      <c r="H987">
        <v>28</v>
      </c>
      <c r="I987" t="s">
        <v>243</v>
      </c>
    </row>
    <row r="988" spans="1:9" x14ac:dyDescent="0.3">
      <c r="A988">
        <v>390</v>
      </c>
      <c r="B988">
        <v>9</v>
      </c>
      <c r="C988" t="s">
        <v>92</v>
      </c>
      <c r="D988" t="s">
        <v>624</v>
      </c>
      <c r="E988">
        <v>13</v>
      </c>
      <c r="F988">
        <v>22</v>
      </c>
      <c r="G988">
        <v>2</v>
      </c>
      <c r="H988">
        <v>52</v>
      </c>
      <c r="I988" t="s">
        <v>243</v>
      </c>
    </row>
    <row r="989" spans="1:9" x14ac:dyDescent="0.3">
      <c r="A989">
        <v>391</v>
      </c>
      <c r="B989">
        <v>15</v>
      </c>
      <c r="C989" t="s">
        <v>92</v>
      </c>
      <c r="D989" t="s">
        <v>624</v>
      </c>
      <c r="E989">
        <v>13</v>
      </c>
      <c r="F989">
        <v>22</v>
      </c>
      <c r="G989">
        <v>1</v>
      </c>
      <c r="H989">
        <v>35</v>
      </c>
      <c r="I989" t="s">
        <v>242</v>
      </c>
    </row>
    <row r="990" spans="1:9" x14ac:dyDescent="0.3">
      <c r="A990">
        <v>392</v>
      </c>
      <c r="B990">
        <v>14</v>
      </c>
      <c r="C990" t="s">
        <v>105</v>
      </c>
      <c r="D990" t="s">
        <v>623</v>
      </c>
      <c r="E990">
        <v>19</v>
      </c>
      <c r="F990">
        <v>32</v>
      </c>
      <c r="G990">
        <v>3</v>
      </c>
      <c r="H990">
        <v>17</v>
      </c>
      <c r="I990" t="s">
        <v>242</v>
      </c>
    </row>
    <row r="991" spans="1:9" x14ac:dyDescent="0.3">
      <c r="A991">
        <v>392</v>
      </c>
      <c r="B991">
        <v>14</v>
      </c>
      <c r="C991" t="s">
        <v>75</v>
      </c>
      <c r="D991" t="s">
        <v>612</v>
      </c>
      <c r="E991">
        <v>14</v>
      </c>
      <c r="F991">
        <v>24</v>
      </c>
      <c r="G991">
        <v>1</v>
      </c>
      <c r="H991">
        <v>37</v>
      </c>
      <c r="I991" t="s">
        <v>243</v>
      </c>
    </row>
    <row r="992" spans="1:9" x14ac:dyDescent="0.3">
      <c r="A992">
        <v>393</v>
      </c>
      <c r="B992">
        <v>13</v>
      </c>
      <c r="C992" t="s">
        <v>53</v>
      </c>
      <c r="D992" t="s">
        <v>621</v>
      </c>
      <c r="E992">
        <v>11</v>
      </c>
      <c r="F992">
        <v>19</v>
      </c>
      <c r="G992">
        <v>2</v>
      </c>
      <c r="H992">
        <v>40</v>
      </c>
      <c r="I992" t="s">
        <v>242</v>
      </c>
    </row>
    <row r="993" spans="1:9" x14ac:dyDescent="0.3">
      <c r="A993">
        <v>393</v>
      </c>
      <c r="B993">
        <v>13</v>
      </c>
      <c r="C993" t="s">
        <v>42</v>
      </c>
      <c r="D993" t="s">
        <v>628</v>
      </c>
      <c r="E993">
        <v>13</v>
      </c>
      <c r="F993">
        <v>21</v>
      </c>
      <c r="G993">
        <v>1</v>
      </c>
      <c r="H993">
        <v>20</v>
      </c>
      <c r="I993" t="s">
        <v>243</v>
      </c>
    </row>
    <row r="994" spans="1:9" x14ac:dyDescent="0.3">
      <c r="A994">
        <v>393</v>
      </c>
      <c r="B994">
        <v>13</v>
      </c>
      <c r="C994" t="s">
        <v>92</v>
      </c>
      <c r="D994" t="s">
        <v>624</v>
      </c>
      <c r="E994">
        <v>13</v>
      </c>
      <c r="F994">
        <v>22</v>
      </c>
      <c r="G994">
        <v>2</v>
      </c>
      <c r="H994">
        <v>26</v>
      </c>
      <c r="I994" t="s">
        <v>243</v>
      </c>
    </row>
    <row r="995" spans="1:9" x14ac:dyDescent="0.3">
      <c r="A995">
        <v>393</v>
      </c>
      <c r="B995">
        <v>13</v>
      </c>
      <c r="C995" t="s">
        <v>19</v>
      </c>
      <c r="D995" t="s">
        <v>622</v>
      </c>
      <c r="E995">
        <v>21</v>
      </c>
      <c r="F995">
        <v>35</v>
      </c>
      <c r="G995">
        <v>3</v>
      </c>
      <c r="H995">
        <v>23</v>
      </c>
      <c r="I995" t="s">
        <v>242</v>
      </c>
    </row>
    <row r="996" spans="1:9" x14ac:dyDescent="0.3">
      <c r="A996">
        <v>394</v>
      </c>
      <c r="B996">
        <v>17</v>
      </c>
      <c r="C996" t="s">
        <v>75</v>
      </c>
      <c r="D996" t="s">
        <v>612</v>
      </c>
      <c r="E996">
        <v>14</v>
      </c>
      <c r="F996">
        <v>24</v>
      </c>
      <c r="G996">
        <v>2</v>
      </c>
      <c r="H996">
        <v>5</v>
      </c>
      <c r="I996" t="s">
        <v>242</v>
      </c>
    </row>
    <row r="997" spans="1:9" x14ac:dyDescent="0.3">
      <c r="A997">
        <v>394</v>
      </c>
      <c r="B997">
        <v>17</v>
      </c>
      <c r="C997" t="s">
        <v>26</v>
      </c>
      <c r="D997" t="s">
        <v>618</v>
      </c>
      <c r="E997">
        <v>17</v>
      </c>
      <c r="F997">
        <v>29</v>
      </c>
      <c r="G997">
        <v>1</v>
      </c>
      <c r="H997">
        <v>42</v>
      </c>
      <c r="I997" t="s">
        <v>243</v>
      </c>
    </row>
    <row r="998" spans="1:9" x14ac:dyDescent="0.3">
      <c r="A998">
        <v>395</v>
      </c>
      <c r="B998">
        <v>2</v>
      </c>
      <c r="C998" t="s">
        <v>53</v>
      </c>
      <c r="D998" t="s">
        <v>621</v>
      </c>
      <c r="E998">
        <v>11</v>
      </c>
      <c r="F998">
        <v>19</v>
      </c>
      <c r="G998">
        <v>2</v>
      </c>
      <c r="H998">
        <v>8</v>
      </c>
      <c r="I998" t="s">
        <v>242</v>
      </c>
    </row>
    <row r="999" spans="1:9" x14ac:dyDescent="0.3">
      <c r="A999">
        <v>396</v>
      </c>
      <c r="B999">
        <v>11</v>
      </c>
      <c r="C999" t="s">
        <v>42</v>
      </c>
      <c r="D999" t="s">
        <v>628</v>
      </c>
      <c r="E999">
        <v>13</v>
      </c>
      <c r="F999">
        <v>21</v>
      </c>
      <c r="G999">
        <v>3</v>
      </c>
      <c r="H999">
        <v>26</v>
      </c>
      <c r="I999" t="s">
        <v>243</v>
      </c>
    </row>
    <row r="1000" spans="1:9" x14ac:dyDescent="0.3">
      <c r="A1000">
        <v>396</v>
      </c>
      <c r="B1000">
        <v>11</v>
      </c>
      <c r="C1000" t="s">
        <v>66</v>
      </c>
      <c r="D1000" t="s">
        <v>626</v>
      </c>
      <c r="E1000">
        <v>12</v>
      </c>
      <c r="F1000">
        <v>20</v>
      </c>
      <c r="G1000">
        <v>1</v>
      </c>
      <c r="H1000">
        <v>31</v>
      </c>
      <c r="I1000" t="s">
        <v>243</v>
      </c>
    </row>
    <row r="1001" spans="1:9" x14ac:dyDescent="0.3">
      <c r="A1001">
        <v>397</v>
      </c>
      <c r="B1001">
        <v>4</v>
      </c>
      <c r="C1001" t="s">
        <v>56</v>
      </c>
      <c r="D1001" t="s">
        <v>614</v>
      </c>
      <c r="E1001">
        <v>19</v>
      </c>
      <c r="F1001">
        <v>31</v>
      </c>
      <c r="G1001">
        <v>3</v>
      </c>
      <c r="H1001">
        <v>59</v>
      </c>
      <c r="I1001" t="s">
        <v>243</v>
      </c>
    </row>
    <row r="1002" spans="1:9" x14ac:dyDescent="0.3">
      <c r="A1002">
        <v>397</v>
      </c>
      <c r="B1002">
        <v>4</v>
      </c>
      <c r="C1002" t="s">
        <v>50</v>
      </c>
      <c r="D1002" t="s">
        <v>615</v>
      </c>
      <c r="E1002">
        <v>16</v>
      </c>
      <c r="F1002">
        <v>27</v>
      </c>
      <c r="G1002">
        <v>2</v>
      </c>
      <c r="H1002">
        <v>10</v>
      </c>
      <c r="I1002" t="s">
        <v>243</v>
      </c>
    </row>
    <row r="1003" spans="1:9" x14ac:dyDescent="0.3">
      <c r="A1003">
        <v>398</v>
      </c>
      <c r="B1003">
        <v>9</v>
      </c>
      <c r="C1003" t="s">
        <v>112</v>
      </c>
      <c r="D1003" t="s">
        <v>619</v>
      </c>
      <c r="E1003">
        <v>20</v>
      </c>
      <c r="F1003">
        <v>33</v>
      </c>
      <c r="G1003">
        <v>2</v>
      </c>
      <c r="H1003">
        <v>21</v>
      </c>
      <c r="I1003" t="s">
        <v>243</v>
      </c>
    </row>
    <row r="1004" spans="1:9" x14ac:dyDescent="0.3">
      <c r="A1004">
        <v>398</v>
      </c>
      <c r="B1004">
        <v>9</v>
      </c>
      <c r="C1004" t="s">
        <v>30</v>
      </c>
      <c r="D1004" t="s">
        <v>620</v>
      </c>
      <c r="E1004">
        <v>16</v>
      </c>
      <c r="F1004">
        <v>28</v>
      </c>
      <c r="G1004">
        <v>2</v>
      </c>
      <c r="H1004">
        <v>50</v>
      </c>
      <c r="I1004" t="s">
        <v>242</v>
      </c>
    </row>
    <row r="1005" spans="1:9" x14ac:dyDescent="0.3">
      <c r="A1005">
        <v>399</v>
      </c>
      <c r="B1005">
        <v>7</v>
      </c>
      <c r="C1005" t="s">
        <v>112</v>
      </c>
      <c r="D1005" t="s">
        <v>619</v>
      </c>
      <c r="E1005">
        <v>20</v>
      </c>
      <c r="F1005">
        <v>33</v>
      </c>
      <c r="G1005">
        <v>3</v>
      </c>
      <c r="H1005">
        <v>45</v>
      </c>
      <c r="I1005" t="s">
        <v>242</v>
      </c>
    </row>
    <row r="1006" spans="1:9" x14ac:dyDescent="0.3">
      <c r="A1006">
        <v>399</v>
      </c>
      <c r="B1006">
        <v>7</v>
      </c>
      <c r="C1006" t="s">
        <v>44</v>
      </c>
      <c r="D1006" t="s">
        <v>617</v>
      </c>
      <c r="E1006">
        <v>22</v>
      </c>
      <c r="F1006">
        <v>36</v>
      </c>
      <c r="G1006">
        <v>3</v>
      </c>
      <c r="H1006">
        <v>46</v>
      </c>
      <c r="I1006" t="s">
        <v>243</v>
      </c>
    </row>
    <row r="1007" spans="1:9" x14ac:dyDescent="0.3">
      <c r="A1007">
        <v>400</v>
      </c>
      <c r="B1007">
        <v>9</v>
      </c>
      <c r="C1007" t="s">
        <v>30</v>
      </c>
      <c r="D1007" t="s">
        <v>620</v>
      </c>
      <c r="E1007">
        <v>16</v>
      </c>
      <c r="F1007">
        <v>28</v>
      </c>
      <c r="G1007">
        <v>2</v>
      </c>
      <c r="H1007">
        <v>13</v>
      </c>
      <c r="I1007" t="s">
        <v>242</v>
      </c>
    </row>
    <row r="1008" spans="1:9" x14ac:dyDescent="0.3">
      <c r="A1008">
        <v>400</v>
      </c>
      <c r="B1008">
        <v>9</v>
      </c>
      <c r="C1008" t="s">
        <v>56</v>
      </c>
      <c r="D1008" t="s">
        <v>614</v>
      </c>
      <c r="E1008">
        <v>19</v>
      </c>
      <c r="F1008">
        <v>31</v>
      </c>
      <c r="G1008">
        <v>2</v>
      </c>
      <c r="H1008">
        <v>38</v>
      </c>
      <c r="I1008" t="s">
        <v>243</v>
      </c>
    </row>
    <row r="1009" spans="1:9" x14ac:dyDescent="0.3">
      <c r="A1009">
        <v>400</v>
      </c>
      <c r="B1009">
        <v>9</v>
      </c>
      <c r="C1009" t="s">
        <v>34</v>
      </c>
      <c r="D1009" t="s">
        <v>616</v>
      </c>
      <c r="E1009">
        <v>25</v>
      </c>
      <c r="F1009">
        <v>40</v>
      </c>
      <c r="G1009">
        <v>2</v>
      </c>
      <c r="H1009">
        <v>28</v>
      </c>
      <c r="I1009" t="s">
        <v>242</v>
      </c>
    </row>
    <row r="1010" spans="1:9" x14ac:dyDescent="0.3">
      <c r="A1010">
        <v>401</v>
      </c>
      <c r="B1010">
        <v>16</v>
      </c>
      <c r="C1010" t="s">
        <v>42</v>
      </c>
      <c r="D1010" t="s">
        <v>628</v>
      </c>
      <c r="E1010">
        <v>13</v>
      </c>
      <c r="F1010">
        <v>21</v>
      </c>
      <c r="G1010">
        <v>2</v>
      </c>
      <c r="H1010">
        <v>20</v>
      </c>
      <c r="I1010" t="s">
        <v>242</v>
      </c>
    </row>
    <row r="1011" spans="1:9" x14ac:dyDescent="0.3">
      <c r="A1011">
        <v>402</v>
      </c>
      <c r="B1011">
        <v>18</v>
      </c>
      <c r="C1011" t="s">
        <v>60</v>
      </c>
      <c r="D1011" t="s">
        <v>631</v>
      </c>
      <c r="E1011">
        <v>15</v>
      </c>
      <c r="F1011">
        <v>25</v>
      </c>
      <c r="G1011">
        <v>2</v>
      </c>
      <c r="H1011">
        <v>16</v>
      </c>
      <c r="I1011" t="s">
        <v>243</v>
      </c>
    </row>
    <row r="1012" spans="1:9" x14ac:dyDescent="0.3">
      <c r="A1012">
        <v>402</v>
      </c>
      <c r="B1012">
        <v>18</v>
      </c>
      <c r="C1012" t="s">
        <v>53</v>
      </c>
      <c r="D1012" t="s">
        <v>621</v>
      </c>
      <c r="E1012">
        <v>11</v>
      </c>
      <c r="F1012">
        <v>19</v>
      </c>
      <c r="G1012">
        <v>3</v>
      </c>
      <c r="H1012">
        <v>29</v>
      </c>
      <c r="I1012" t="s">
        <v>243</v>
      </c>
    </row>
    <row r="1013" spans="1:9" x14ac:dyDescent="0.3">
      <c r="A1013">
        <v>402</v>
      </c>
      <c r="B1013">
        <v>18</v>
      </c>
      <c r="C1013" t="s">
        <v>92</v>
      </c>
      <c r="D1013" t="s">
        <v>624</v>
      </c>
      <c r="E1013">
        <v>13</v>
      </c>
      <c r="F1013">
        <v>22</v>
      </c>
      <c r="G1013">
        <v>2</v>
      </c>
      <c r="H1013">
        <v>21</v>
      </c>
      <c r="I1013" t="s">
        <v>242</v>
      </c>
    </row>
    <row r="1014" spans="1:9" x14ac:dyDescent="0.3">
      <c r="A1014">
        <v>403</v>
      </c>
      <c r="B1014">
        <v>14</v>
      </c>
      <c r="C1014" t="s">
        <v>105</v>
      </c>
      <c r="D1014" t="s">
        <v>623</v>
      </c>
      <c r="E1014">
        <v>19</v>
      </c>
      <c r="F1014">
        <v>32</v>
      </c>
      <c r="G1014">
        <v>2</v>
      </c>
      <c r="H1014">
        <v>8</v>
      </c>
      <c r="I1014" t="s">
        <v>243</v>
      </c>
    </row>
    <row r="1015" spans="1:9" x14ac:dyDescent="0.3">
      <c r="A1015">
        <v>403</v>
      </c>
      <c r="B1015">
        <v>14</v>
      </c>
      <c r="C1015" t="s">
        <v>46</v>
      </c>
      <c r="D1015" t="s">
        <v>629</v>
      </c>
      <c r="E1015">
        <v>10</v>
      </c>
      <c r="F1015">
        <v>18</v>
      </c>
      <c r="G1015">
        <v>2</v>
      </c>
      <c r="H1015">
        <v>5</v>
      </c>
      <c r="I1015" t="s">
        <v>243</v>
      </c>
    </row>
    <row r="1016" spans="1:9" x14ac:dyDescent="0.3">
      <c r="A1016">
        <v>403</v>
      </c>
      <c r="B1016">
        <v>14</v>
      </c>
      <c r="C1016" t="s">
        <v>92</v>
      </c>
      <c r="D1016" t="s">
        <v>624</v>
      </c>
      <c r="E1016">
        <v>13</v>
      </c>
      <c r="F1016">
        <v>22</v>
      </c>
      <c r="G1016">
        <v>3</v>
      </c>
      <c r="H1016">
        <v>17</v>
      </c>
      <c r="I1016" t="s">
        <v>242</v>
      </c>
    </row>
    <row r="1017" spans="1:9" x14ac:dyDescent="0.3">
      <c r="A1017">
        <v>403</v>
      </c>
      <c r="B1017">
        <v>14</v>
      </c>
      <c r="C1017" t="s">
        <v>75</v>
      </c>
      <c r="D1017" t="s">
        <v>612</v>
      </c>
      <c r="E1017">
        <v>14</v>
      </c>
      <c r="F1017">
        <v>24</v>
      </c>
      <c r="G1017">
        <v>1</v>
      </c>
      <c r="H1017">
        <v>55</v>
      </c>
      <c r="I1017" t="s">
        <v>243</v>
      </c>
    </row>
    <row r="1018" spans="1:9" x14ac:dyDescent="0.3">
      <c r="A1018">
        <v>404</v>
      </c>
      <c r="B1018">
        <v>17</v>
      </c>
      <c r="C1018" t="s">
        <v>42</v>
      </c>
      <c r="D1018" t="s">
        <v>628</v>
      </c>
      <c r="E1018">
        <v>13</v>
      </c>
      <c r="F1018">
        <v>21</v>
      </c>
      <c r="G1018">
        <v>2</v>
      </c>
      <c r="H1018">
        <v>20</v>
      </c>
      <c r="I1018" t="s">
        <v>242</v>
      </c>
    </row>
    <row r="1019" spans="1:9" x14ac:dyDescent="0.3">
      <c r="A1019">
        <v>404</v>
      </c>
      <c r="B1019">
        <v>17</v>
      </c>
      <c r="C1019" t="s">
        <v>34</v>
      </c>
      <c r="D1019" t="s">
        <v>616</v>
      </c>
      <c r="E1019">
        <v>25</v>
      </c>
      <c r="F1019">
        <v>40</v>
      </c>
      <c r="G1019">
        <v>3</v>
      </c>
      <c r="H1019">
        <v>29</v>
      </c>
      <c r="I1019" t="s">
        <v>243</v>
      </c>
    </row>
    <row r="1020" spans="1:9" x14ac:dyDescent="0.3">
      <c r="A1020">
        <v>404</v>
      </c>
      <c r="B1020">
        <v>17</v>
      </c>
      <c r="C1020" t="s">
        <v>66</v>
      </c>
      <c r="D1020" t="s">
        <v>626</v>
      </c>
      <c r="E1020">
        <v>12</v>
      </c>
      <c r="F1020">
        <v>20</v>
      </c>
      <c r="G1020">
        <v>1</v>
      </c>
      <c r="H1020">
        <v>53</v>
      </c>
      <c r="I1020" t="s">
        <v>243</v>
      </c>
    </row>
    <row r="1021" spans="1:9" x14ac:dyDescent="0.3">
      <c r="A1021">
        <v>405</v>
      </c>
      <c r="B1021">
        <v>5</v>
      </c>
      <c r="C1021" t="s">
        <v>71</v>
      </c>
      <c r="D1021" t="s">
        <v>630</v>
      </c>
      <c r="E1021">
        <v>15</v>
      </c>
      <c r="F1021">
        <v>26</v>
      </c>
      <c r="G1021">
        <v>1</v>
      </c>
      <c r="H1021">
        <v>41</v>
      </c>
      <c r="I1021" t="s">
        <v>243</v>
      </c>
    </row>
    <row r="1022" spans="1:9" x14ac:dyDescent="0.3">
      <c r="A1022">
        <v>405</v>
      </c>
      <c r="B1022">
        <v>5</v>
      </c>
      <c r="C1022" t="s">
        <v>34</v>
      </c>
      <c r="D1022" t="s">
        <v>616</v>
      </c>
      <c r="E1022">
        <v>25</v>
      </c>
      <c r="F1022">
        <v>40</v>
      </c>
      <c r="G1022">
        <v>1</v>
      </c>
      <c r="H1022">
        <v>44</v>
      </c>
      <c r="I1022" t="s">
        <v>242</v>
      </c>
    </row>
    <row r="1023" spans="1:9" x14ac:dyDescent="0.3">
      <c r="A1023">
        <v>405</v>
      </c>
      <c r="B1023">
        <v>5</v>
      </c>
      <c r="C1023" t="s">
        <v>66</v>
      </c>
      <c r="D1023" t="s">
        <v>626</v>
      </c>
      <c r="E1023">
        <v>12</v>
      </c>
      <c r="F1023">
        <v>20</v>
      </c>
      <c r="G1023">
        <v>2</v>
      </c>
      <c r="H1023">
        <v>13</v>
      </c>
      <c r="I1023" t="s">
        <v>243</v>
      </c>
    </row>
    <row r="1024" spans="1:9" x14ac:dyDescent="0.3">
      <c r="A1024">
        <v>406</v>
      </c>
      <c r="B1024">
        <v>14</v>
      </c>
      <c r="C1024" t="s">
        <v>60</v>
      </c>
      <c r="D1024" t="s">
        <v>631</v>
      </c>
      <c r="E1024">
        <v>15</v>
      </c>
      <c r="F1024">
        <v>25</v>
      </c>
      <c r="G1024">
        <v>1</v>
      </c>
      <c r="H1024">
        <v>55</v>
      </c>
      <c r="I1024" t="s">
        <v>243</v>
      </c>
    </row>
    <row r="1025" spans="1:9" x14ac:dyDescent="0.3">
      <c r="A1025">
        <v>406</v>
      </c>
      <c r="B1025">
        <v>14</v>
      </c>
      <c r="C1025" t="s">
        <v>66</v>
      </c>
      <c r="D1025" t="s">
        <v>626</v>
      </c>
      <c r="E1025">
        <v>12</v>
      </c>
      <c r="F1025">
        <v>20</v>
      </c>
      <c r="G1025">
        <v>3</v>
      </c>
      <c r="H1025">
        <v>6</v>
      </c>
      <c r="I1025" t="s">
        <v>242</v>
      </c>
    </row>
    <row r="1026" spans="1:9" x14ac:dyDescent="0.3">
      <c r="A1026">
        <v>406</v>
      </c>
      <c r="B1026">
        <v>14</v>
      </c>
      <c r="C1026" t="s">
        <v>19</v>
      </c>
      <c r="D1026" t="s">
        <v>622</v>
      </c>
      <c r="E1026">
        <v>21</v>
      </c>
      <c r="F1026">
        <v>35</v>
      </c>
      <c r="G1026">
        <v>2</v>
      </c>
      <c r="H1026">
        <v>56</v>
      </c>
      <c r="I1026" t="s">
        <v>242</v>
      </c>
    </row>
    <row r="1027" spans="1:9" x14ac:dyDescent="0.3">
      <c r="A1027">
        <v>407</v>
      </c>
      <c r="B1027">
        <v>4</v>
      </c>
      <c r="C1027" t="s">
        <v>66</v>
      </c>
      <c r="D1027" t="s">
        <v>626</v>
      </c>
      <c r="E1027">
        <v>12</v>
      </c>
      <c r="F1027">
        <v>20</v>
      </c>
      <c r="G1027">
        <v>3</v>
      </c>
      <c r="H1027">
        <v>32</v>
      </c>
      <c r="I1027" t="s">
        <v>242</v>
      </c>
    </row>
    <row r="1028" spans="1:9" x14ac:dyDescent="0.3">
      <c r="A1028">
        <v>407</v>
      </c>
      <c r="B1028">
        <v>4</v>
      </c>
      <c r="C1028" t="s">
        <v>19</v>
      </c>
      <c r="D1028" t="s">
        <v>622</v>
      </c>
      <c r="E1028">
        <v>21</v>
      </c>
      <c r="F1028">
        <v>35</v>
      </c>
      <c r="G1028">
        <v>1</v>
      </c>
      <c r="H1028">
        <v>18</v>
      </c>
      <c r="I1028" t="s">
        <v>243</v>
      </c>
    </row>
    <row r="1029" spans="1:9" x14ac:dyDescent="0.3">
      <c r="A1029">
        <v>408</v>
      </c>
      <c r="B1029">
        <v>17</v>
      </c>
      <c r="C1029" t="s">
        <v>60</v>
      </c>
      <c r="D1029" t="s">
        <v>631</v>
      </c>
      <c r="E1029">
        <v>15</v>
      </c>
      <c r="F1029">
        <v>25</v>
      </c>
      <c r="G1029">
        <v>1</v>
      </c>
      <c r="H1029">
        <v>58</v>
      </c>
      <c r="I1029" t="s">
        <v>243</v>
      </c>
    </row>
    <row r="1030" spans="1:9" x14ac:dyDescent="0.3">
      <c r="A1030">
        <v>408</v>
      </c>
      <c r="B1030">
        <v>17</v>
      </c>
      <c r="C1030" t="s">
        <v>38</v>
      </c>
      <c r="D1030" t="s">
        <v>625</v>
      </c>
      <c r="E1030">
        <v>20</v>
      </c>
      <c r="F1030">
        <v>34</v>
      </c>
      <c r="G1030">
        <v>1</v>
      </c>
      <c r="H1030">
        <v>37</v>
      </c>
      <c r="I1030" t="s">
        <v>243</v>
      </c>
    </row>
    <row r="1031" spans="1:9" x14ac:dyDescent="0.3">
      <c r="A1031">
        <v>408</v>
      </c>
      <c r="B1031">
        <v>17</v>
      </c>
      <c r="C1031" t="s">
        <v>75</v>
      </c>
      <c r="D1031" t="s">
        <v>612</v>
      </c>
      <c r="E1031">
        <v>14</v>
      </c>
      <c r="F1031">
        <v>24</v>
      </c>
      <c r="G1031">
        <v>3</v>
      </c>
      <c r="H1031">
        <v>11</v>
      </c>
      <c r="I1031" t="s">
        <v>242</v>
      </c>
    </row>
    <row r="1032" spans="1:9" x14ac:dyDescent="0.3">
      <c r="A1032">
        <v>409</v>
      </c>
      <c r="B1032">
        <v>15</v>
      </c>
      <c r="C1032" t="s">
        <v>42</v>
      </c>
      <c r="D1032" t="s">
        <v>628</v>
      </c>
      <c r="E1032">
        <v>13</v>
      </c>
      <c r="F1032">
        <v>21</v>
      </c>
      <c r="G1032">
        <v>3</v>
      </c>
      <c r="H1032">
        <v>44</v>
      </c>
      <c r="I1032" t="s">
        <v>243</v>
      </c>
    </row>
    <row r="1033" spans="1:9" x14ac:dyDescent="0.3">
      <c r="A1033">
        <v>409</v>
      </c>
      <c r="B1033">
        <v>15</v>
      </c>
      <c r="C1033" t="s">
        <v>30</v>
      </c>
      <c r="D1033" t="s">
        <v>620</v>
      </c>
      <c r="E1033">
        <v>16</v>
      </c>
      <c r="F1033">
        <v>28</v>
      </c>
      <c r="G1033">
        <v>1</v>
      </c>
      <c r="H1033">
        <v>47</v>
      </c>
      <c r="I1033" t="s">
        <v>242</v>
      </c>
    </row>
    <row r="1034" spans="1:9" x14ac:dyDescent="0.3">
      <c r="A1034">
        <v>409</v>
      </c>
      <c r="B1034">
        <v>15</v>
      </c>
      <c r="C1034" t="s">
        <v>34</v>
      </c>
      <c r="D1034" t="s">
        <v>616</v>
      </c>
      <c r="E1034">
        <v>25</v>
      </c>
      <c r="F1034">
        <v>40</v>
      </c>
      <c r="G1034">
        <v>1</v>
      </c>
      <c r="H1034">
        <v>43</v>
      </c>
      <c r="I1034" t="s">
        <v>242</v>
      </c>
    </row>
    <row r="1035" spans="1:9" x14ac:dyDescent="0.3">
      <c r="A1035">
        <v>409</v>
      </c>
      <c r="B1035">
        <v>15</v>
      </c>
      <c r="C1035" t="s">
        <v>75</v>
      </c>
      <c r="D1035" t="s">
        <v>612</v>
      </c>
      <c r="E1035">
        <v>14</v>
      </c>
      <c r="F1035">
        <v>24</v>
      </c>
      <c r="G1035">
        <v>3</v>
      </c>
      <c r="H1035">
        <v>29</v>
      </c>
      <c r="I1035" t="s">
        <v>242</v>
      </c>
    </row>
    <row r="1036" spans="1:9" x14ac:dyDescent="0.3">
      <c r="A1036">
        <v>410</v>
      </c>
      <c r="B1036">
        <v>1</v>
      </c>
      <c r="C1036" t="s">
        <v>44</v>
      </c>
      <c r="D1036" t="s">
        <v>617</v>
      </c>
      <c r="E1036">
        <v>22</v>
      </c>
      <c r="F1036">
        <v>36</v>
      </c>
      <c r="G1036">
        <v>1</v>
      </c>
      <c r="H1036">
        <v>41</v>
      </c>
      <c r="I1036" t="s">
        <v>242</v>
      </c>
    </row>
    <row r="1037" spans="1:9" x14ac:dyDescent="0.3">
      <c r="A1037">
        <v>410</v>
      </c>
      <c r="B1037">
        <v>1</v>
      </c>
      <c r="C1037" t="s">
        <v>66</v>
      </c>
      <c r="D1037" t="s">
        <v>626</v>
      </c>
      <c r="E1037">
        <v>12</v>
      </c>
      <c r="F1037">
        <v>20</v>
      </c>
      <c r="G1037">
        <v>1</v>
      </c>
      <c r="H1037">
        <v>50</v>
      </c>
      <c r="I1037" t="s">
        <v>243</v>
      </c>
    </row>
    <row r="1038" spans="1:9" x14ac:dyDescent="0.3">
      <c r="A1038">
        <v>411</v>
      </c>
      <c r="B1038">
        <v>3</v>
      </c>
      <c r="C1038" t="s">
        <v>34</v>
      </c>
      <c r="D1038" t="s">
        <v>616</v>
      </c>
      <c r="E1038">
        <v>25</v>
      </c>
      <c r="F1038">
        <v>40</v>
      </c>
      <c r="G1038">
        <v>3</v>
      </c>
      <c r="H1038">
        <v>36</v>
      </c>
      <c r="I1038" t="s">
        <v>243</v>
      </c>
    </row>
    <row r="1039" spans="1:9" x14ac:dyDescent="0.3">
      <c r="A1039">
        <v>411</v>
      </c>
      <c r="B1039">
        <v>3</v>
      </c>
      <c r="C1039" t="s">
        <v>46</v>
      </c>
      <c r="D1039" t="s">
        <v>629</v>
      </c>
      <c r="E1039">
        <v>10</v>
      </c>
      <c r="F1039">
        <v>18</v>
      </c>
      <c r="G1039">
        <v>1</v>
      </c>
      <c r="H1039">
        <v>33</v>
      </c>
      <c r="I1039" t="s">
        <v>242</v>
      </c>
    </row>
    <row r="1040" spans="1:9" x14ac:dyDescent="0.3">
      <c r="A1040">
        <v>411</v>
      </c>
      <c r="B1040">
        <v>3</v>
      </c>
      <c r="C1040" t="s">
        <v>50</v>
      </c>
      <c r="D1040" t="s">
        <v>615</v>
      </c>
      <c r="E1040">
        <v>16</v>
      </c>
      <c r="F1040">
        <v>27</v>
      </c>
      <c r="G1040">
        <v>3</v>
      </c>
      <c r="H1040">
        <v>9</v>
      </c>
      <c r="I1040" t="s">
        <v>242</v>
      </c>
    </row>
    <row r="1041" spans="1:9" x14ac:dyDescent="0.3">
      <c r="A1041">
        <v>412</v>
      </c>
      <c r="B1041">
        <v>11</v>
      </c>
      <c r="C1041" t="s">
        <v>56</v>
      </c>
      <c r="D1041" t="s">
        <v>614</v>
      </c>
      <c r="E1041">
        <v>19</v>
      </c>
      <c r="F1041">
        <v>31</v>
      </c>
      <c r="G1041">
        <v>3</v>
      </c>
      <c r="H1041">
        <v>57</v>
      </c>
      <c r="I1041" t="s">
        <v>243</v>
      </c>
    </row>
    <row r="1042" spans="1:9" x14ac:dyDescent="0.3">
      <c r="A1042">
        <v>413</v>
      </c>
      <c r="B1042">
        <v>13</v>
      </c>
      <c r="C1042" t="s">
        <v>19</v>
      </c>
      <c r="D1042" t="s">
        <v>622</v>
      </c>
      <c r="E1042">
        <v>21</v>
      </c>
      <c r="F1042">
        <v>35</v>
      </c>
      <c r="G1042">
        <v>1</v>
      </c>
      <c r="H1042">
        <v>12</v>
      </c>
      <c r="I1042" t="s">
        <v>243</v>
      </c>
    </row>
    <row r="1043" spans="1:9" x14ac:dyDescent="0.3">
      <c r="A1043">
        <v>414</v>
      </c>
      <c r="B1043">
        <v>14</v>
      </c>
      <c r="C1043" t="s">
        <v>112</v>
      </c>
      <c r="D1043" t="s">
        <v>619</v>
      </c>
      <c r="E1043">
        <v>20</v>
      </c>
      <c r="F1043">
        <v>33</v>
      </c>
      <c r="G1043">
        <v>1</v>
      </c>
      <c r="H1043">
        <v>38</v>
      </c>
      <c r="I1043" t="s">
        <v>242</v>
      </c>
    </row>
    <row r="1044" spans="1:9" x14ac:dyDescent="0.3">
      <c r="A1044">
        <v>415</v>
      </c>
      <c r="B1044">
        <v>14</v>
      </c>
      <c r="C1044" t="s">
        <v>38</v>
      </c>
      <c r="D1044" t="s">
        <v>625</v>
      </c>
      <c r="E1044">
        <v>20</v>
      </c>
      <c r="F1044">
        <v>34</v>
      </c>
      <c r="G1044">
        <v>2</v>
      </c>
      <c r="H1044">
        <v>16</v>
      </c>
      <c r="I1044" t="s">
        <v>243</v>
      </c>
    </row>
    <row r="1045" spans="1:9" x14ac:dyDescent="0.3">
      <c r="A1045">
        <v>415</v>
      </c>
      <c r="B1045">
        <v>14</v>
      </c>
      <c r="C1045" t="s">
        <v>44</v>
      </c>
      <c r="D1045" t="s">
        <v>617</v>
      </c>
      <c r="E1045">
        <v>22</v>
      </c>
      <c r="F1045">
        <v>36</v>
      </c>
      <c r="G1045">
        <v>1</v>
      </c>
      <c r="H1045">
        <v>39</v>
      </c>
      <c r="I1045" t="s">
        <v>242</v>
      </c>
    </row>
    <row r="1046" spans="1:9" x14ac:dyDescent="0.3">
      <c r="A1046">
        <v>415</v>
      </c>
      <c r="B1046">
        <v>14</v>
      </c>
      <c r="C1046" t="s">
        <v>50</v>
      </c>
      <c r="D1046" t="s">
        <v>615</v>
      </c>
      <c r="E1046">
        <v>16</v>
      </c>
      <c r="F1046">
        <v>27</v>
      </c>
      <c r="G1046">
        <v>2</v>
      </c>
      <c r="H1046">
        <v>32</v>
      </c>
      <c r="I1046" t="s">
        <v>242</v>
      </c>
    </row>
    <row r="1047" spans="1:9" x14ac:dyDescent="0.3">
      <c r="A1047">
        <v>416</v>
      </c>
      <c r="B1047">
        <v>20</v>
      </c>
      <c r="C1047" t="s">
        <v>60</v>
      </c>
      <c r="D1047" t="s">
        <v>631</v>
      </c>
      <c r="E1047">
        <v>15</v>
      </c>
      <c r="F1047">
        <v>25</v>
      </c>
      <c r="G1047">
        <v>1</v>
      </c>
      <c r="H1047">
        <v>9</v>
      </c>
      <c r="I1047" t="s">
        <v>243</v>
      </c>
    </row>
    <row r="1048" spans="1:9" x14ac:dyDescent="0.3">
      <c r="A1048">
        <v>417</v>
      </c>
      <c r="B1048">
        <v>7</v>
      </c>
      <c r="C1048" t="s">
        <v>53</v>
      </c>
      <c r="D1048" t="s">
        <v>621</v>
      </c>
      <c r="E1048">
        <v>11</v>
      </c>
      <c r="F1048">
        <v>19</v>
      </c>
      <c r="G1048">
        <v>1</v>
      </c>
      <c r="H1048">
        <v>16</v>
      </c>
      <c r="I1048" t="s">
        <v>243</v>
      </c>
    </row>
    <row r="1049" spans="1:9" x14ac:dyDescent="0.3">
      <c r="A1049">
        <v>417</v>
      </c>
      <c r="B1049">
        <v>7</v>
      </c>
      <c r="C1049" t="s">
        <v>34</v>
      </c>
      <c r="D1049" t="s">
        <v>616</v>
      </c>
      <c r="E1049">
        <v>25</v>
      </c>
      <c r="F1049">
        <v>40</v>
      </c>
      <c r="G1049">
        <v>1</v>
      </c>
      <c r="H1049">
        <v>17</v>
      </c>
      <c r="I1049" t="s">
        <v>242</v>
      </c>
    </row>
    <row r="1050" spans="1:9" x14ac:dyDescent="0.3">
      <c r="A1050">
        <v>417</v>
      </c>
      <c r="B1050">
        <v>7</v>
      </c>
      <c r="C1050" t="s">
        <v>50</v>
      </c>
      <c r="D1050" t="s">
        <v>615</v>
      </c>
      <c r="E1050">
        <v>16</v>
      </c>
      <c r="F1050">
        <v>27</v>
      </c>
      <c r="G1050">
        <v>2</v>
      </c>
      <c r="H1050">
        <v>34</v>
      </c>
      <c r="I1050" t="s">
        <v>243</v>
      </c>
    </row>
    <row r="1051" spans="1:9" x14ac:dyDescent="0.3">
      <c r="A1051">
        <v>417</v>
      </c>
      <c r="B1051">
        <v>7</v>
      </c>
      <c r="C1051" t="s">
        <v>26</v>
      </c>
      <c r="D1051" t="s">
        <v>618</v>
      </c>
      <c r="E1051">
        <v>17</v>
      </c>
      <c r="F1051">
        <v>29</v>
      </c>
      <c r="G1051">
        <v>1</v>
      </c>
      <c r="H1051">
        <v>23</v>
      </c>
      <c r="I1051" t="s">
        <v>242</v>
      </c>
    </row>
    <row r="1052" spans="1:9" x14ac:dyDescent="0.3">
      <c r="A1052">
        <v>418</v>
      </c>
      <c r="B1052">
        <v>17</v>
      </c>
      <c r="C1052" t="s">
        <v>60</v>
      </c>
      <c r="D1052" t="s">
        <v>631</v>
      </c>
      <c r="E1052">
        <v>15</v>
      </c>
      <c r="F1052">
        <v>25</v>
      </c>
      <c r="G1052">
        <v>1</v>
      </c>
      <c r="H1052">
        <v>45</v>
      </c>
      <c r="I1052" t="s">
        <v>242</v>
      </c>
    </row>
    <row r="1053" spans="1:9" x14ac:dyDescent="0.3">
      <c r="A1053">
        <v>418</v>
      </c>
      <c r="B1053">
        <v>17</v>
      </c>
      <c r="C1053" t="s">
        <v>56</v>
      </c>
      <c r="D1053" t="s">
        <v>614</v>
      </c>
      <c r="E1053">
        <v>19</v>
      </c>
      <c r="F1053">
        <v>31</v>
      </c>
      <c r="G1053">
        <v>3</v>
      </c>
      <c r="H1053">
        <v>55</v>
      </c>
      <c r="I1053" t="s">
        <v>243</v>
      </c>
    </row>
    <row r="1054" spans="1:9" x14ac:dyDescent="0.3">
      <c r="A1054">
        <v>419</v>
      </c>
      <c r="B1054">
        <v>11</v>
      </c>
      <c r="C1054" t="s">
        <v>112</v>
      </c>
      <c r="D1054" t="s">
        <v>619</v>
      </c>
      <c r="E1054">
        <v>20</v>
      </c>
      <c r="F1054">
        <v>33</v>
      </c>
      <c r="G1054">
        <v>1</v>
      </c>
      <c r="H1054">
        <v>57</v>
      </c>
      <c r="I1054" t="s">
        <v>242</v>
      </c>
    </row>
    <row r="1055" spans="1:9" x14ac:dyDescent="0.3">
      <c r="A1055">
        <v>419</v>
      </c>
      <c r="B1055">
        <v>11</v>
      </c>
      <c r="C1055" t="s">
        <v>38</v>
      </c>
      <c r="D1055" t="s">
        <v>625</v>
      </c>
      <c r="E1055">
        <v>20</v>
      </c>
      <c r="F1055">
        <v>34</v>
      </c>
      <c r="G1055">
        <v>1</v>
      </c>
      <c r="H1055">
        <v>7</v>
      </c>
      <c r="I1055" t="s">
        <v>243</v>
      </c>
    </row>
    <row r="1056" spans="1:9" x14ac:dyDescent="0.3">
      <c r="A1056">
        <v>420</v>
      </c>
      <c r="B1056">
        <v>18</v>
      </c>
      <c r="C1056" t="s">
        <v>60</v>
      </c>
      <c r="D1056" t="s">
        <v>631</v>
      </c>
      <c r="E1056">
        <v>15</v>
      </c>
      <c r="F1056">
        <v>25</v>
      </c>
      <c r="G1056">
        <v>2</v>
      </c>
      <c r="H1056">
        <v>28</v>
      </c>
      <c r="I1056" t="s">
        <v>242</v>
      </c>
    </row>
    <row r="1057" spans="1:9" x14ac:dyDescent="0.3">
      <c r="A1057">
        <v>420</v>
      </c>
      <c r="B1057">
        <v>18</v>
      </c>
      <c r="C1057" t="s">
        <v>105</v>
      </c>
      <c r="D1057" t="s">
        <v>623</v>
      </c>
      <c r="E1057">
        <v>19</v>
      </c>
      <c r="F1057">
        <v>32</v>
      </c>
      <c r="G1057">
        <v>2</v>
      </c>
      <c r="H1057">
        <v>34</v>
      </c>
      <c r="I1057" t="s">
        <v>242</v>
      </c>
    </row>
    <row r="1058" spans="1:9" x14ac:dyDescent="0.3">
      <c r="A1058">
        <v>420</v>
      </c>
      <c r="B1058">
        <v>18</v>
      </c>
      <c r="C1058" t="s">
        <v>38</v>
      </c>
      <c r="D1058" t="s">
        <v>625</v>
      </c>
      <c r="E1058">
        <v>20</v>
      </c>
      <c r="F1058">
        <v>34</v>
      </c>
      <c r="G1058">
        <v>2</v>
      </c>
      <c r="H1058">
        <v>33</v>
      </c>
      <c r="I1058" t="s">
        <v>242</v>
      </c>
    </row>
    <row r="1059" spans="1:9" x14ac:dyDescent="0.3">
      <c r="A1059">
        <v>420</v>
      </c>
      <c r="B1059">
        <v>18</v>
      </c>
      <c r="C1059" t="s">
        <v>66</v>
      </c>
      <c r="D1059" t="s">
        <v>626</v>
      </c>
      <c r="E1059">
        <v>12</v>
      </c>
      <c r="F1059">
        <v>20</v>
      </c>
      <c r="G1059">
        <v>3</v>
      </c>
      <c r="H1059">
        <v>10</v>
      </c>
      <c r="I1059" t="s">
        <v>242</v>
      </c>
    </row>
    <row r="1060" spans="1:9" x14ac:dyDescent="0.3">
      <c r="A1060">
        <v>421</v>
      </c>
      <c r="B1060">
        <v>10</v>
      </c>
      <c r="C1060" t="s">
        <v>56</v>
      </c>
      <c r="D1060" t="s">
        <v>614</v>
      </c>
      <c r="E1060">
        <v>19</v>
      </c>
      <c r="F1060">
        <v>31</v>
      </c>
      <c r="G1060">
        <v>1</v>
      </c>
      <c r="H1060">
        <v>18</v>
      </c>
      <c r="I1060" t="s">
        <v>243</v>
      </c>
    </row>
    <row r="1061" spans="1:9" x14ac:dyDescent="0.3">
      <c r="A1061">
        <v>421</v>
      </c>
      <c r="B1061">
        <v>10</v>
      </c>
      <c r="C1061" t="s">
        <v>46</v>
      </c>
      <c r="D1061" t="s">
        <v>629</v>
      </c>
      <c r="E1061">
        <v>10</v>
      </c>
      <c r="F1061">
        <v>18</v>
      </c>
      <c r="G1061">
        <v>3</v>
      </c>
      <c r="H1061">
        <v>53</v>
      </c>
      <c r="I1061" t="s">
        <v>243</v>
      </c>
    </row>
    <row r="1062" spans="1:9" x14ac:dyDescent="0.3">
      <c r="A1062">
        <v>422</v>
      </c>
      <c r="B1062">
        <v>12</v>
      </c>
      <c r="C1062" t="s">
        <v>71</v>
      </c>
      <c r="D1062" t="s">
        <v>630</v>
      </c>
      <c r="E1062">
        <v>15</v>
      </c>
      <c r="F1062">
        <v>26</v>
      </c>
      <c r="G1062">
        <v>2</v>
      </c>
      <c r="H1062">
        <v>7</v>
      </c>
      <c r="I1062" t="s">
        <v>243</v>
      </c>
    </row>
    <row r="1063" spans="1:9" x14ac:dyDescent="0.3">
      <c r="A1063">
        <v>422</v>
      </c>
      <c r="B1063">
        <v>12</v>
      </c>
      <c r="C1063" t="s">
        <v>44</v>
      </c>
      <c r="D1063" t="s">
        <v>617</v>
      </c>
      <c r="E1063">
        <v>22</v>
      </c>
      <c r="F1063">
        <v>36</v>
      </c>
      <c r="G1063">
        <v>1</v>
      </c>
      <c r="H1063">
        <v>27</v>
      </c>
      <c r="I1063" t="s">
        <v>242</v>
      </c>
    </row>
    <row r="1064" spans="1:9" x14ac:dyDescent="0.3">
      <c r="A1064">
        <v>423</v>
      </c>
      <c r="B1064">
        <v>4</v>
      </c>
      <c r="C1064" t="s">
        <v>105</v>
      </c>
      <c r="D1064" t="s">
        <v>623</v>
      </c>
      <c r="E1064">
        <v>19</v>
      </c>
      <c r="F1064">
        <v>32</v>
      </c>
      <c r="G1064">
        <v>3</v>
      </c>
      <c r="H1064">
        <v>7</v>
      </c>
      <c r="I1064" t="s">
        <v>243</v>
      </c>
    </row>
    <row r="1065" spans="1:9" x14ac:dyDescent="0.3">
      <c r="A1065">
        <v>423</v>
      </c>
      <c r="B1065">
        <v>4</v>
      </c>
      <c r="C1065" t="s">
        <v>30</v>
      </c>
      <c r="D1065" t="s">
        <v>620</v>
      </c>
      <c r="E1065">
        <v>16</v>
      </c>
      <c r="F1065">
        <v>28</v>
      </c>
      <c r="G1065">
        <v>2</v>
      </c>
      <c r="H1065">
        <v>24</v>
      </c>
      <c r="I1065" t="s">
        <v>242</v>
      </c>
    </row>
    <row r="1066" spans="1:9" x14ac:dyDescent="0.3">
      <c r="A1066">
        <v>424</v>
      </c>
      <c r="B1066">
        <v>13</v>
      </c>
      <c r="C1066" t="s">
        <v>92</v>
      </c>
      <c r="D1066" t="s">
        <v>624</v>
      </c>
      <c r="E1066">
        <v>13</v>
      </c>
      <c r="F1066">
        <v>22</v>
      </c>
      <c r="G1066">
        <v>3</v>
      </c>
      <c r="H1066">
        <v>43</v>
      </c>
      <c r="I1066" t="s">
        <v>242</v>
      </c>
    </row>
    <row r="1067" spans="1:9" x14ac:dyDescent="0.3">
      <c r="A1067">
        <v>424</v>
      </c>
      <c r="B1067">
        <v>13</v>
      </c>
      <c r="C1067" t="s">
        <v>50</v>
      </c>
      <c r="D1067" t="s">
        <v>615</v>
      </c>
      <c r="E1067">
        <v>16</v>
      </c>
      <c r="F1067">
        <v>27</v>
      </c>
      <c r="G1067">
        <v>3</v>
      </c>
      <c r="H1067">
        <v>45</v>
      </c>
      <c r="I1067" t="s">
        <v>243</v>
      </c>
    </row>
    <row r="1068" spans="1:9" x14ac:dyDescent="0.3">
      <c r="A1068">
        <v>425</v>
      </c>
      <c r="B1068">
        <v>18</v>
      </c>
      <c r="C1068" t="s">
        <v>53</v>
      </c>
      <c r="D1068" t="s">
        <v>621</v>
      </c>
      <c r="E1068">
        <v>11</v>
      </c>
      <c r="F1068">
        <v>19</v>
      </c>
      <c r="G1068">
        <v>1</v>
      </c>
      <c r="H1068">
        <v>28</v>
      </c>
      <c r="I1068" t="s">
        <v>243</v>
      </c>
    </row>
    <row r="1069" spans="1:9" x14ac:dyDescent="0.3">
      <c r="A1069">
        <v>426</v>
      </c>
      <c r="B1069">
        <v>5</v>
      </c>
      <c r="C1069" t="s">
        <v>60</v>
      </c>
      <c r="D1069" t="s">
        <v>631</v>
      </c>
      <c r="E1069">
        <v>15</v>
      </c>
      <c r="F1069">
        <v>25</v>
      </c>
      <c r="G1069">
        <v>2</v>
      </c>
      <c r="H1069">
        <v>23</v>
      </c>
      <c r="I1069" t="s">
        <v>242</v>
      </c>
    </row>
    <row r="1070" spans="1:9" x14ac:dyDescent="0.3">
      <c r="A1070">
        <v>426</v>
      </c>
      <c r="B1070">
        <v>5</v>
      </c>
      <c r="C1070" t="s">
        <v>112</v>
      </c>
      <c r="D1070" t="s">
        <v>619</v>
      </c>
      <c r="E1070">
        <v>20</v>
      </c>
      <c r="F1070">
        <v>33</v>
      </c>
      <c r="G1070">
        <v>1</v>
      </c>
      <c r="H1070">
        <v>8</v>
      </c>
      <c r="I1070" t="s">
        <v>243</v>
      </c>
    </row>
    <row r="1071" spans="1:9" x14ac:dyDescent="0.3">
      <c r="A1071">
        <v>426</v>
      </c>
      <c r="B1071">
        <v>5</v>
      </c>
      <c r="C1071" t="s">
        <v>30</v>
      </c>
      <c r="D1071" t="s">
        <v>620</v>
      </c>
      <c r="E1071">
        <v>16</v>
      </c>
      <c r="F1071">
        <v>28</v>
      </c>
      <c r="G1071">
        <v>2</v>
      </c>
      <c r="H1071">
        <v>38</v>
      </c>
      <c r="I1071" t="s">
        <v>243</v>
      </c>
    </row>
    <row r="1072" spans="1:9" x14ac:dyDescent="0.3">
      <c r="A1072">
        <v>426</v>
      </c>
      <c r="B1072">
        <v>5</v>
      </c>
      <c r="C1072" t="s">
        <v>44</v>
      </c>
      <c r="D1072" t="s">
        <v>617</v>
      </c>
      <c r="E1072">
        <v>22</v>
      </c>
      <c r="F1072">
        <v>36</v>
      </c>
      <c r="G1072">
        <v>3</v>
      </c>
      <c r="H1072">
        <v>47</v>
      </c>
      <c r="I1072" t="s">
        <v>243</v>
      </c>
    </row>
    <row r="1073" spans="1:9" x14ac:dyDescent="0.3">
      <c r="A1073">
        <v>427</v>
      </c>
      <c r="B1073">
        <v>2</v>
      </c>
      <c r="C1073" t="s">
        <v>60</v>
      </c>
      <c r="D1073" t="s">
        <v>631</v>
      </c>
      <c r="E1073">
        <v>15</v>
      </c>
      <c r="F1073">
        <v>25</v>
      </c>
      <c r="G1073">
        <v>3</v>
      </c>
      <c r="H1073">
        <v>34</v>
      </c>
      <c r="I1073" t="s">
        <v>243</v>
      </c>
    </row>
    <row r="1074" spans="1:9" x14ac:dyDescent="0.3">
      <c r="A1074">
        <v>427</v>
      </c>
      <c r="B1074">
        <v>2</v>
      </c>
      <c r="C1074" t="s">
        <v>53</v>
      </c>
      <c r="D1074" t="s">
        <v>621</v>
      </c>
      <c r="E1074">
        <v>11</v>
      </c>
      <c r="F1074">
        <v>19</v>
      </c>
      <c r="G1074">
        <v>2</v>
      </c>
      <c r="H1074">
        <v>56</v>
      </c>
      <c r="I1074" t="s">
        <v>242</v>
      </c>
    </row>
    <row r="1075" spans="1:9" x14ac:dyDescent="0.3">
      <c r="A1075">
        <v>427</v>
      </c>
      <c r="B1075">
        <v>2</v>
      </c>
      <c r="C1075" t="s">
        <v>89</v>
      </c>
      <c r="D1075" t="s">
        <v>627</v>
      </c>
      <c r="E1075">
        <v>14</v>
      </c>
      <c r="F1075">
        <v>23</v>
      </c>
      <c r="G1075">
        <v>1</v>
      </c>
      <c r="H1075">
        <v>24</v>
      </c>
      <c r="I1075" t="s">
        <v>243</v>
      </c>
    </row>
    <row r="1076" spans="1:9" x14ac:dyDescent="0.3">
      <c r="A1076">
        <v>427</v>
      </c>
      <c r="B1076">
        <v>2</v>
      </c>
      <c r="C1076" t="s">
        <v>19</v>
      </c>
      <c r="D1076" t="s">
        <v>622</v>
      </c>
      <c r="E1076">
        <v>21</v>
      </c>
      <c r="F1076">
        <v>35</v>
      </c>
      <c r="G1076">
        <v>2</v>
      </c>
      <c r="H1076">
        <v>52</v>
      </c>
      <c r="I1076" t="s">
        <v>242</v>
      </c>
    </row>
    <row r="1077" spans="1:9" x14ac:dyDescent="0.3">
      <c r="A1077">
        <v>428</v>
      </c>
      <c r="B1077">
        <v>7</v>
      </c>
      <c r="C1077" t="s">
        <v>60</v>
      </c>
      <c r="D1077" t="s">
        <v>631</v>
      </c>
      <c r="E1077">
        <v>15</v>
      </c>
      <c r="F1077">
        <v>25</v>
      </c>
      <c r="G1077">
        <v>2</v>
      </c>
      <c r="H1077">
        <v>48</v>
      </c>
      <c r="I1077" t="s">
        <v>242</v>
      </c>
    </row>
    <row r="1078" spans="1:9" x14ac:dyDescent="0.3">
      <c r="A1078">
        <v>428</v>
      </c>
      <c r="B1078">
        <v>7</v>
      </c>
      <c r="C1078" t="s">
        <v>89</v>
      </c>
      <c r="D1078" t="s">
        <v>627</v>
      </c>
      <c r="E1078">
        <v>14</v>
      </c>
      <c r="F1078">
        <v>23</v>
      </c>
      <c r="G1078">
        <v>1</v>
      </c>
      <c r="H1078">
        <v>46</v>
      </c>
      <c r="I1078" t="s">
        <v>242</v>
      </c>
    </row>
    <row r="1079" spans="1:9" x14ac:dyDescent="0.3">
      <c r="A1079">
        <v>428</v>
      </c>
      <c r="B1079">
        <v>7</v>
      </c>
      <c r="C1079" t="s">
        <v>56</v>
      </c>
      <c r="D1079" t="s">
        <v>614</v>
      </c>
      <c r="E1079">
        <v>19</v>
      </c>
      <c r="F1079">
        <v>31</v>
      </c>
      <c r="G1079">
        <v>2</v>
      </c>
      <c r="H1079">
        <v>47</v>
      </c>
      <c r="I1079" t="s">
        <v>242</v>
      </c>
    </row>
    <row r="1080" spans="1:9" x14ac:dyDescent="0.3">
      <c r="A1080">
        <v>428</v>
      </c>
      <c r="B1080">
        <v>7</v>
      </c>
      <c r="C1080" t="s">
        <v>34</v>
      </c>
      <c r="D1080" t="s">
        <v>616</v>
      </c>
      <c r="E1080">
        <v>25</v>
      </c>
      <c r="F1080">
        <v>40</v>
      </c>
      <c r="G1080">
        <v>1</v>
      </c>
      <c r="H1080">
        <v>38</v>
      </c>
      <c r="I1080" t="s">
        <v>242</v>
      </c>
    </row>
    <row r="1081" spans="1:9" x14ac:dyDescent="0.3">
      <c r="A1081">
        <v>429</v>
      </c>
      <c r="B1081">
        <v>8</v>
      </c>
      <c r="C1081" t="s">
        <v>71</v>
      </c>
      <c r="D1081" t="s">
        <v>630</v>
      </c>
      <c r="E1081">
        <v>15</v>
      </c>
      <c r="F1081">
        <v>26</v>
      </c>
      <c r="G1081">
        <v>3</v>
      </c>
      <c r="H1081">
        <v>27</v>
      </c>
      <c r="I1081" t="s">
        <v>242</v>
      </c>
    </row>
    <row r="1082" spans="1:9" x14ac:dyDescent="0.3">
      <c r="A1082">
        <v>430</v>
      </c>
      <c r="B1082">
        <v>7</v>
      </c>
      <c r="C1082" t="s">
        <v>60</v>
      </c>
      <c r="D1082" t="s">
        <v>631</v>
      </c>
      <c r="E1082">
        <v>15</v>
      </c>
      <c r="F1082">
        <v>25</v>
      </c>
      <c r="G1082">
        <v>1</v>
      </c>
      <c r="H1082">
        <v>49</v>
      </c>
      <c r="I1082" t="s">
        <v>242</v>
      </c>
    </row>
    <row r="1083" spans="1:9" x14ac:dyDescent="0.3">
      <c r="A1083">
        <v>431</v>
      </c>
      <c r="B1083">
        <v>15</v>
      </c>
      <c r="C1083" t="s">
        <v>40</v>
      </c>
      <c r="D1083" t="s">
        <v>613</v>
      </c>
      <c r="E1083">
        <v>18</v>
      </c>
      <c r="F1083">
        <v>30</v>
      </c>
      <c r="G1083">
        <v>2</v>
      </c>
      <c r="H1083">
        <v>20</v>
      </c>
      <c r="I1083" t="s">
        <v>242</v>
      </c>
    </row>
    <row r="1084" spans="1:9" x14ac:dyDescent="0.3">
      <c r="A1084">
        <v>432</v>
      </c>
      <c r="B1084">
        <v>10</v>
      </c>
      <c r="C1084" t="s">
        <v>42</v>
      </c>
      <c r="D1084" t="s">
        <v>628</v>
      </c>
      <c r="E1084">
        <v>13</v>
      </c>
      <c r="F1084">
        <v>21</v>
      </c>
      <c r="G1084">
        <v>1</v>
      </c>
      <c r="H1084">
        <v>27</v>
      </c>
      <c r="I1084" t="s">
        <v>242</v>
      </c>
    </row>
    <row r="1085" spans="1:9" x14ac:dyDescent="0.3">
      <c r="A1085">
        <v>432</v>
      </c>
      <c r="B1085">
        <v>10</v>
      </c>
      <c r="C1085" t="s">
        <v>30</v>
      </c>
      <c r="D1085" t="s">
        <v>620</v>
      </c>
      <c r="E1085">
        <v>16</v>
      </c>
      <c r="F1085">
        <v>28</v>
      </c>
      <c r="G1085">
        <v>1</v>
      </c>
      <c r="H1085">
        <v>31</v>
      </c>
      <c r="I1085" t="s">
        <v>242</v>
      </c>
    </row>
    <row r="1086" spans="1:9" x14ac:dyDescent="0.3">
      <c r="A1086">
        <v>432</v>
      </c>
      <c r="B1086">
        <v>10</v>
      </c>
      <c r="C1086" t="s">
        <v>66</v>
      </c>
      <c r="D1086" t="s">
        <v>626</v>
      </c>
      <c r="E1086">
        <v>12</v>
      </c>
      <c r="F1086">
        <v>20</v>
      </c>
      <c r="G1086">
        <v>3</v>
      </c>
      <c r="H1086">
        <v>16</v>
      </c>
      <c r="I1086" t="s">
        <v>243</v>
      </c>
    </row>
    <row r="1087" spans="1:9" x14ac:dyDescent="0.3">
      <c r="A1087">
        <v>433</v>
      </c>
      <c r="B1087">
        <v>10</v>
      </c>
      <c r="C1087" t="s">
        <v>40</v>
      </c>
      <c r="D1087" t="s">
        <v>613</v>
      </c>
      <c r="E1087">
        <v>18</v>
      </c>
      <c r="F1087">
        <v>30</v>
      </c>
      <c r="G1087">
        <v>1</v>
      </c>
      <c r="H1087">
        <v>56</v>
      </c>
      <c r="I1087" t="s">
        <v>243</v>
      </c>
    </row>
    <row r="1088" spans="1:9" x14ac:dyDescent="0.3">
      <c r="A1088">
        <v>433</v>
      </c>
      <c r="B1088">
        <v>10</v>
      </c>
      <c r="C1088" t="s">
        <v>75</v>
      </c>
      <c r="D1088" t="s">
        <v>612</v>
      </c>
      <c r="E1088">
        <v>14</v>
      </c>
      <c r="F1088">
        <v>24</v>
      </c>
      <c r="G1088">
        <v>3</v>
      </c>
      <c r="H1088">
        <v>18</v>
      </c>
      <c r="I1088" t="s">
        <v>242</v>
      </c>
    </row>
    <row r="1089" spans="1:9" x14ac:dyDescent="0.3">
      <c r="A1089">
        <v>434</v>
      </c>
      <c r="B1089">
        <v>15</v>
      </c>
      <c r="C1089" t="s">
        <v>71</v>
      </c>
      <c r="D1089" t="s">
        <v>630</v>
      </c>
      <c r="E1089">
        <v>15</v>
      </c>
      <c r="F1089">
        <v>26</v>
      </c>
      <c r="G1089">
        <v>2</v>
      </c>
      <c r="H1089">
        <v>26</v>
      </c>
      <c r="I1089" t="s">
        <v>242</v>
      </c>
    </row>
    <row r="1090" spans="1:9" x14ac:dyDescent="0.3">
      <c r="A1090">
        <v>434</v>
      </c>
      <c r="B1090">
        <v>15</v>
      </c>
      <c r="C1090" t="s">
        <v>92</v>
      </c>
      <c r="D1090" t="s">
        <v>624</v>
      </c>
      <c r="E1090">
        <v>13</v>
      </c>
      <c r="F1090">
        <v>22</v>
      </c>
      <c r="G1090">
        <v>2</v>
      </c>
      <c r="H1090">
        <v>32</v>
      </c>
      <c r="I1090" t="s">
        <v>243</v>
      </c>
    </row>
    <row r="1091" spans="1:9" x14ac:dyDescent="0.3">
      <c r="A1091">
        <v>435</v>
      </c>
      <c r="B1091">
        <v>17</v>
      </c>
      <c r="C1091" t="s">
        <v>71</v>
      </c>
      <c r="D1091" t="s">
        <v>630</v>
      </c>
      <c r="E1091">
        <v>15</v>
      </c>
      <c r="F1091">
        <v>26</v>
      </c>
      <c r="G1091">
        <v>2</v>
      </c>
      <c r="H1091">
        <v>14</v>
      </c>
      <c r="I1091" t="s">
        <v>242</v>
      </c>
    </row>
    <row r="1092" spans="1:9" x14ac:dyDescent="0.3">
      <c r="A1092">
        <v>435</v>
      </c>
      <c r="B1092">
        <v>17</v>
      </c>
      <c r="C1092" t="s">
        <v>42</v>
      </c>
      <c r="D1092" t="s">
        <v>628</v>
      </c>
      <c r="E1092">
        <v>13</v>
      </c>
      <c r="F1092">
        <v>21</v>
      </c>
      <c r="G1092">
        <v>2</v>
      </c>
      <c r="H1092">
        <v>42</v>
      </c>
      <c r="I1092" t="s">
        <v>242</v>
      </c>
    </row>
    <row r="1093" spans="1:9" x14ac:dyDescent="0.3">
      <c r="A1093">
        <v>435</v>
      </c>
      <c r="B1093">
        <v>17</v>
      </c>
      <c r="C1093" t="s">
        <v>40</v>
      </c>
      <c r="D1093" t="s">
        <v>613</v>
      </c>
      <c r="E1093">
        <v>18</v>
      </c>
      <c r="F1093">
        <v>30</v>
      </c>
      <c r="G1093">
        <v>2</v>
      </c>
      <c r="H1093">
        <v>55</v>
      </c>
      <c r="I1093" t="s">
        <v>243</v>
      </c>
    </row>
    <row r="1094" spans="1:9" x14ac:dyDescent="0.3">
      <c r="A1094">
        <v>436</v>
      </c>
      <c r="B1094">
        <v>10</v>
      </c>
      <c r="C1094" t="s">
        <v>30</v>
      </c>
      <c r="D1094" t="s">
        <v>620</v>
      </c>
      <c r="E1094">
        <v>16</v>
      </c>
      <c r="F1094">
        <v>28</v>
      </c>
      <c r="G1094">
        <v>2</v>
      </c>
      <c r="H1094">
        <v>45</v>
      </c>
      <c r="I1094" t="s">
        <v>243</v>
      </c>
    </row>
    <row r="1095" spans="1:9" x14ac:dyDescent="0.3">
      <c r="A1095">
        <v>437</v>
      </c>
      <c r="B1095">
        <v>16</v>
      </c>
      <c r="C1095" t="s">
        <v>19</v>
      </c>
      <c r="D1095" t="s">
        <v>622</v>
      </c>
      <c r="E1095">
        <v>21</v>
      </c>
      <c r="F1095">
        <v>35</v>
      </c>
      <c r="G1095">
        <v>2</v>
      </c>
      <c r="H1095">
        <v>51</v>
      </c>
      <c r="I1095" t="s">
        <v>243</v>
      </c>
    </row>
    <row r="1096" spans="1:9" x14ac:dyDescent="0.3">
      <c r="A1096">
        <v>438</v>
      </c>
      <c r="B1096">
        <v>2</v>
      </c>
      <c r="C1096" t="s">
        <v>112</v>
      </c>
      <c r="D1096" t="s">
        <v>619</v>
      </c>
      <c r="E1096">
        <v>20</v>
      </c>
      <c r="F1096">
        <v>33</v>
      </c>
      <c r="G1096">
        <v>1</v>
      </c>
      <c r="H1096">
        <v>51</v>
      </c>
      <c r="I1096" t="s">
        <v>243</v>
      </c>
    </row>
    <row r="1097" spans="1:9" x14ac:dyDescent="0.3">
      <c r="A1097">
        <v>439</v>
      </c>
      <c r="B1097">
        <v>15</v>
      </c>
      <c r="C1097" t="s">
        <v>71</v>
      </c>
      <c r="D1097" t="s">
        <v>630</v>
      </c>
      <c r="E1097">
        <v>15</v>
      </c>
      <c r="F1097">
        <v>26</v>
      </c>
      <c r="G1097">
        <v>3</v>
      </c>
      <c r="H1097">
        <v>29</v>
      </c>
      <c r="I1097" t="s">
        <v>243</v>
      </c>
    </row>
    <row r="1098" spans="1:9" x14ac:dyDescent="0.3">
      <c r="A1098">
        <v>439</v>
      </c>
      <c r="B1098">
        <v>15</v>
      </c>
      <c r="C1098" t="s">
        <v>112</v>
      </c>
      <c r="D1098" t="s">
        <v>619</v>
      </c>
      <c r="E1098">
        <v>20</v>
      </c>
      <c r="F1098">
        <v>33</v>
      </c>
      <c r="G1098">
        <v>3</v>
      </c>
      <c r="H1098">
        <v>35</v>
      </c>
      <c r="I1098" t="s">
        <v>242</v>
      </c>
    </row>
    <row r="1099" spans="1:9" x14ac:dyDescent="0.3">
      <c r="A1099">
        <v>440</v>
      </c>
      <c r="B1099">
        <v>13</v>
      </c>
      <c r="C1099" t="s">
        <v>53</v>
      </c>
      <c r="D1099" t="s">
        <v>621</v>
      </c>
      <c r="E1099">
        <v>11</v>
      </c>
      <c r="F1099">
        <v>19</v>
      </c>
      <c r="G1099">
        <v>2</v>
      </c>
      <c r="H1099">
        <v>9</v>
      </c>
      <c r="I1099" t="s">
        <v>242</v>
      </c>
    </row>
    <row r="1100" spans="1:9" x14ac:dyDescent="0.3">
      <c r="A1100">
        <v>440</v>
      </c>
      <c r="B1100">
        <v>13</v>
      </c>
      <c r="C1100" t="s">
        <v>89</v>
      </c>
      <c r="D1100" t="s">
        <v>627</v>
      </c>
      <c r="E1100">
        <v>14</v>
      </c>
      <c r="F1100">
        <v>23</v>
      </c>
      <c r="G1100">
        <v>2</v>
      </c>
      <c r="H1100">
        <v>36</v>
      </c>
      <c r="I1100" t="s">
        <v>242</v>
      </c>
    </row>
    <row r="1101" spans="1:9" x14ac:dyDescent="0.3">
      <c r="A1101">
        <v>441</v>
      </c>
      <c r="B1101">
        <v>13</v>
      </c>
      <c r="C1101" t="s">
        <v>71</v>
      </c>
      <c r="D1101" t="s">
        <v>630</v>
      </c>
      <c r="E1101">
        <v>15</v>
      </c>
      <c r="F1101">
        <v>26</v>
      </c>
      <c r="G1101">
        <v>3</v>
      </c>
      <c r="H1101">
        <v>36</v>
      </c>
      <c r="I1101" t="s">
        <v>243</v>
      </c>
    </row>
    <row r="1102" spans="1:9" x14ac:dyDescent="0.3">
      <c r="A1102">
        <v>441</v>
      </c>
      <c r="B1102">
        <v>13</v>
      </c>
      <c r="C1102" t="s">
        <v>19</v>
      </c>
      <c r="D1102" t="s">
        <v>622</v>
      </c>
      <c r="E1102">
        <v>21</v>
      </c>
      <c r="F1102">
        <v>35</v>
      </c>
      <c r="G1102">
        <v>3</v>
      </c>
      <c r="H1102">
        <v>54</v>
      </c>
      <c r="I1102" t="s">
        <v>242</v>
      </c>
    </row>
    <row r="1103" spans="1:9" x14ac:dyDescent="0.3">
      <c r="A1103">
        <v>442</v>
      </c>
      <c r="B1103">
        <v>15</v>
      </c>
      <c r="C1103" t="s">
        <v>60</v>
      </c>
      <c r="D1103" t="s">
        <v>631</v>
      </c>
      <c r="E1103">
        <v>15</v>
      </c>
      <c r="F1103">
        <v>25</v>
      </c>
      <c r="G1103">
        <v>1</v>
      </c>
      <c r="H1103">
        <v>57</v>
      </c>
      <c r="I1103" t="s">
        <v>242</v>
      </c>
    </row>
    <row r="1104" spans="1:9" x14ac:dyDescent="0.3">
      <c r="A1104">
        <v>442</v>
      </c>
      <c r="B1104">
        <v>15</v>
      </c>
      <c r="C1104" t="s">
        <v>38</v>
      </c>
      <c r="D1104" t="s">
        <v>625</v>
      </c>
      <c r="E1104">
        <v>20</v>
      </c>
      <c r="F1104">
        <v>34</v>
      </c>
      <c r="G1104">
        <v>3</v>
      </c>
      <c r="H1104">
        <v>29</v>
      </c>
      <c r="I1104" t="s">
        <v>243</v>
      </c>
    </row>
    <row r="1105" spans="1:9" x14ac:dyDescent="0.3">
      <c r="A1105">
        <v>442</v>
      </c>
      <c r="B1105">
        <v>15</v>
      </c>
      <c r="C1105" t="s">
        <v>44</v>
      </c>
      <c r="D1105" t="s">
        <v>617</v>
      </c>
      <c r="E1105">
        <v>22</v>
      </c>
      <c r="F1105">
        <v>36</v>
      </c>
      <c r="G1105">
        <v>3</v>
      </c>
      <c r="H1105">
        <v>45</v>
      </c>
      <c r="I1105" t="s">
        <v>242</v>
      </c>
    </row>
    <row r="1106" spans="1:9" x14ac:dyDescent="0.3">
      <c r="A1106">
        <v>443</v>
      </c>
      <c r="B1106">
        <v>4</v>
      </c>
      <c r="C1106" t="s">
        <v>71</v>
      </c>
      <c r="D1106" t="s">
        <v>630</v>
      </c>
      <c r="E1106">
        <v>15</v>
      </c>
      <c r="F1106">
        <v>26</v>
      </c>
      <c r="G1106">
        <v>3</v>
      </c>
      <c r="H1106">
        <v>55</v>
      </c>
      <c r="I1106" t="s">
        <v>242</v>
      </c>
    </row>
    <row r="1107" spans="1:9" x14ac:dyDescent="0.3">
      <c r="A1107">
        <v>443</v>
      </c>
      <c r="B1107">
        <v>4</v>
      </c>
      <c r="C1107" t="s">
        <v>89</v>
      </c>
      <c r="D1107" t="s">
        <v>627</v>
      </c>
      <c r="E1107">
        <v>14</v>
      </c>
      <c r="F1107">
        <v>23</v>
      </c>
      <c r="G1107">
        <v>1</v>
      </c>
      <c r="H1107">
        <v>30</v>
      </c>
      <c r="I1107" t="s">
        <v>242</v>
      </c>
    </row>
    <row r="1108" spans="1:9" x14ac:dyDescent="0.3">
      <c r="A1108">
        <v>443</v>
      </c>
      <c r="B1108">
        <v>4</v>
      </c>
      <c r="C1108" t="s">
        <v>105</v>
      </c>
      <c r="D1108" t="s">
        <v>623</v>
      </c>
      <c r="E1108">
        <v>19</v>
      </c>
      <c r="F1108">
        <v>32</v>
      </c>
      <c r="G1108">
        <v>1</v>
      </c>
      <c r="H1108">
        <v>52</v>
      </c>
      <c r="I1108" t="s">
        <v>242</v>
      </c>
    </row>
    <row r="1109" spans="1:9" x14ac:dyDescent="0.3">
      <c r="A1109">
        <v>443</v>
      </c>
      <c r="B1109">
        <v>4</v>
      </c>
      <c r="C1109" t="s">
        <v>30</v>
      </c>
      <c r="D1109" t="s">
        <v>620</v>
      </c>
      <c r="E1109">
        <v>16</v>
      </c>
      <c r="F1109">
        <v>28</v>
      </c>
      <c r="G1109">
        <v>3</v>
      </c>
      <c r="H1109">
        <v>18</v>
      </c>
      <c r="I1109" t="s">
        <v>242</v>
      </c>
    </row>
    <row r="1110" spans="1:9" x14ac:dyDescent="0.3">
      <c r="A1110">
        <v>444</v>
      </c>
      <c r="B1110">
        <v>8</v>
      </c>
      <c r="C1110" t="s">
        <v>89</v>
      </c>
      <c r="D1110" t="s">
        <v>627</v>
      </c>
      <c r="E1110">
        <v>14</v>
      </c>
      <c r="F1110">
        <v>23</v>
      </c>
      <c r="G1110">
        <v>1</v>
      </c>
      <c r="H1110">
        <v>32</v>
      </c>
      <c r="I1110" t="s">
        <v>243</v>
      </c>
    </row>
    <row r="1111" spans="1:9" x14ac:dyDescent="0.3">
      <c r="A1111">
        <v>444</v>
      </c>
      <c r="B1111">
        <v>8</v>
      </c>
      <c r="C1111" t="s">
        <v>75</v>
      </c>
      <c r="D1111" t="s">
        <v>612</v>
      </c>
      <c r="E1111">
        <v>14</v>
      </c>
      <c r="F1111">
        <v>24</v>
      </c>
      <c r="G1111">
        <v>3</v>
      </c>
      <c r="H1111">
        <v>49</v>
      </c>
      <c r="I1111" t="s">
        <v>243</v>
      </c>
    </row>
    <row r="1112" spans="1:9" x14ac:dyDescent="0.3">
      <c r="A1112">
        <v>445</v>
      </c>
      <c r="B1112">
        <v>6</v>
      </c>
      <c r="C1112" t="s">
        <v>50</v>
      </c>
      <c r="D1112" t="s">
        <v>615</v>
      </c>
      <c r="E1112">
        <v>16</v>
      </c>
      <c r="F1112">
        <v>27</v>
      </c>
      <c r="G1112">
        <v>3</v>
      </c>
      <c r="H1112">
        <v>26</v>
      </c>
      <c r="I1112" t="s">
        <v>242</v>
      </c>
    </row>
    <row r="1113" spans="1:9" x14ac:dyDescent="0.3">
      <c r="A1113">
        <v>446</v>
      </c>
      <c r="B1113">
        <v>12</v>
      </c>
      <c r="C1113" t="s">
        <v>42</v>
      </c>
      <c r="D1113" t="s">
        <v>628</v>
      </c>
      <c r="E1113">
        <v>13</v>
      </c>
      <c r="F1113">
        <v>21</v>
      </c>
      <c r="G1113">
        <v>1</v>
      </c>
      <c r="H1113">
        <v>8</v>
      </c>
      <c r="I1113" t="s">
        <v>243</v>
      </c>
    </row>
    <row r="1114" spans="1:9" x14ac:dyDescent="0.3">
      <c r="A1114">
        <v>447</v>
      </c>
      <c r="B1114">
        <v>8</v>
      </c>
      <c r="C1114" t="s">
        <v>53</v>
      </c>
      <c r="D1114" t="s">
        <v>621</v>
      </c>
      <c r="E1114">
        <v>11</v>
      </c>
      <c r="F1114">
        <v>19</v>
      </c>
      <c r="G1114">
        <v>3</v>
      </c>
      <c r="H1114">
        <v>50</v>
      </c>
      <c r="I1114" t="s">
        <v>243</v>
      </c>
    </row>
    <row r="1115" spans="1:9" x14ac:dyDescent="0.3">
      <c r="A1115">
        <v>447</v>
      </c>
      <c r="B1115">
        <v>8</v>
      </c>
      <c r="C1115" t="s">
        <v>30</v>
      </c>
      <c r="D1115" t="s">
        <v>620</v>
      </c>
      <c r="E1115">
        <v>16</v>
      </c>
      <c r="F1115">
        <v>28</v>
      </c>
      <c r="G1115">
        <v>3</v>
      </c>
      <c r="H1115">
        <v>7</v>
      </c>
      <c r="I1115" t="s">
        <v>242</v>
      </c>
    </row>
    <row r="1116" spans="1:9" x14ac:dyDescent="0.3">
      <c r="A1116">
        <v>447</v>
      </c>
      <c r="B1116">
        <v>8</v>
      </c>
      <c r="C1116" t="s">
        <v>66</v>
      </c>
      <c r="D1116" t="s">
        <v>626</v>
      </c>
      <c r="E1116">
        <v>12</v>
      </c>
      <c r="F1116">
        <v>20</v>
      </c>
      <c r="G1116">
        <v>2</v>
      </c>
      <c r="H1116">
        <v>29</v>
      </c>
      <c r="I1116" t="s">
        <v>243</v>
      </c>
    </row>
    <row r="1117" spans="1:9" x14ac:dyDescent="0.3">
      <c r="A1117">
        <v>448</v>
      </c>
      <c r="B1117">
        <v>4</v>
      </c>
      <c r="C1117" t="s">
        <v>112</v>
      </c>
      <c r="D1117" t="s">
        <v>619</v>
      </c>
      <c r="E1117">
        <v>20</v>
      </c>
      <c r="F1117">
        <v>33</v>
      </c>
      <c r="G1117">
        <v>3</v>
      </c>
      <c r="H1117">
        <v>40</v>
      </c>
      <c r="I1117" t="s">
        <v>243</v>
      </c>
    </row>
    <row r="1118" spans="1:9" x14ac:dyDescent="0.3">
      <c r="A1118">
        <v>448</v>
      </c>
      <c r="B1118">
        <v>4</v>
      </c>
      <c r="C1118" t="s">
        <v>53</v>
      </c>
      <c r="D1118" t="s">
        <v>621</v>
      </c>
      <c r="E1118">
        <v>11</v>
      </c>
      <c r="F1118">
        <v>19</v>
      </c>
      <c r="G1118">
        <v>2</v>
      </c>
      <c r="H1118">
        <v>26</v>
      </c>
      <c r="I1118" t="s">
        <v>243</v>
      </c>
    </row>
    <row r="1119" spans="1:9" x14ac:dyDescent="0.3">
      <c r="A1119">
        <v>449</v>
      </c>
      <c r="B1119">
        <v>3</v>
      </c>
      <c r="C1119" t="s">
        <v>105</v>
      </c>
      <c r="D1119" t="s">
        <v>623</v>
      </c>
      <c r="E1119">
        <v>19</v>
      </c>
      <c r="F1119">
        <v>32</v>
      </c>
      <c r="G1119">
        <v>2</v>
      </c>
      <c r="H1119">
        <v>33</v>
      </c>
      <c r="I1119" t="s">
        <v>243</v>
      </c>
    </row>
    <row r="1120" spans="1:9" x14ac:dyDescent="0.3">
      <c r="A1120">
        <v>450</v>
      </c>
      <c r="B1120">
        <v>9</v>
      </c>
      <c r="C1120" t="s">
        <v>44</v>
      </c>
      <c r="D1120" t="s">
        <v>617</v>
      </c>
      <c r="E1120">
        <v>22</v>
      </c>
      <c r="F1120">
        <v>36</v>
      </c>
      <c r="G1120">
        <v>1</v>
      </c>
      <c r="H1120">
        <v>21</v>
      </c>
      <c r="I1120" t="s">
        <v>242</v>
      </c>
    </row>
    <row r="1121" spans="1:9" x14ac:dyDescent="0.3">
      <c r="A1121">
        <v>450</v>
      </c>
      <c r="B1121">
        <v>9</v>
      </c>
      <c r="C1121" t="s">
        <v>46</v>
      </c>
      <c r="D1121" t="s">
        <v>629</v>
      </c>
      <c r="E1121">
        <v>10</v>
      </c>
      <c r="F1121">
        <v>18</v>
      </c>
      <c r="G1121">
        <v>2</v>
      </c>
      <c r="H1121">
        <v>13</v>
      </c>
      <c r="I1121" t="s">
        <v>243</v>
      </c>
    </row>
    <row r="1122" spans="1:9" x14ac:dyDescent="0.3">
      <c r="A1122">
        <v>451</v>
      </c>
      <c r="B1122">
        <v>3</v>
      </c>
      <c r="C1122" t="s">
        <v>89</v>
      </c>
      <c r="D1122" t="s">
        <v>627</v>
      </c>
      <c r="E1122">
        <v>14</v>
      </c>
      <c r="F1122">
        <v>23</v>
      </c>
      <c r="G1122">
        <v>1</v>
      </c>
      <c r="H1122">
        <v>41</v>
      </c>
      <c r="I1122" t="s">
        <v>243</v>
      </c>
    </row>
    <row r="1123" spans="1:9" x14ac:dyDescent="0.3">
      <c r="A1123">
        <v>451</v>
      </c>
      <c r="B1123">
        <v>3</v>
      </c>
      <c r="C1123" t="s">
        <v>38</v>
      </c>
      <c r="D1123" t="s">
        <v>625</v>
      </c>
      <c r="E1123">
        <v>20</v>
      </c>
      <c r="F1123">
        <v>34</v>
      </c>
      <c r="G1123">
        <v>1</v>
      </c>
      <c r="H1123">
        <v>39</v>
      </c>
      <c r="I1123" t="s">
        <v>242</v>
      </c>
    </row>
    <row r="1124" spans="1:9" x14ac:dyDescent="0.3">
      <c r="A1124">
        <v>451</v>
      </c>
      <c r="B1124">
        <v>3</v>
      </c>
      <c r="C1124" t="s">
        <v>19</v>
      </c>
      <c r="D1124" t="s">
        <v>622</v>
      </c>
      <c r="E1124">
        <v>21</v>
      </c>
      <c r="F1124">
        <v>35</v>
      </c>
      <c r="G1124">
        <v>1</v>
      </c>
      <c r="H1124">
        <v>23</v>
      </c>
      <c r="I1124" t="s">
        <v>243</v>
      </c>
    </row>
    <row r="1125" spans="1:9" x14ac:dyDescent="0.3">
      <c r="A1125">
        <v>452</v>
      </c>
      <c r="B1125">
        <v>9</v>
      </c>
      <c r="C1125" t="s">
        <v>42</v>
      </c>
      <c r="D1125" t="s">
        <v>628</v>
      </c>
      <c r="E1125">
        <v>13</v>
      </c>
      <c r="F1125">
        <v>21</v>
      </c>
      <c r="G1125">
        <v>1</v>
      </c>
      <c r="H1125">
        <v>42</v>
      </c>
      <c r="I1125" t="s">
        <v>243</v>
      </c>
    </row>
    <row r="1126" spans="1:9" x14ac:dyDescent="0.3">
      <c r="A1126">
        <v>452</v>
      </c>
      <c r="B1126">
        <v>9</v>
      </c>
      <c r="C1126" t="s">
        <v>56</v>
      </c>
      <c r="D1126" t="s">
        <v>614</v>
      </c>
      <c r="E1126">
        <v>19</v>
      </c>
      <c r="F1126">
        <v>31</v>
      </c>
      <c r="G1126">
        <v>3</v>
      </c>
      <c r="H1126">
        <v>53</v>
      </c>
      <c r="I1126" t="s">
        <v>242</v>
      </c>
    </row>
    <row r="1127" spans="1:9" x14ac:dyDescent="0.3">
      <c r="A1127">
        <v>452</v>
      </c>
      <c r="B1127">
        <v>9</v>
      </c>
      <c r="C1127" t="s">
        <v>92</v>
      </c>
      <c r="D1127" t="s">
        <v>624</v>
      </c>
      <c r="E1127">
        <v>13</v>
      </c>
      <c r="F1127">
        <v>22</v>
      </c>
      <c r="G1127">
        <v>2</v>
      </c>
      <c r="H1127">
        <v>28</v>
      </c>
      <c r="I1127" t="s">
        <v>242</v>
      </c>
    </row>
    <row r="1128" spans="1:9" x14ac:dyDescent="0.3">
      <c r="A1128">
        <v>453</v>
      </c>
      <c r="B1128">
        <v>6</v>
      </c>
      <c r="C1128" t="s">
        <v>105</v>
      </c>
      <c r="D1128" t="s">
        <v>623</v>
      </c>
      <c r="E1128">
        <v>19</v>
      </c>
      <c r="F1128">
        <v>32</v>
      </c>
      <c r="G1128">
        <v>3</v>
      </c>
      <c r="H1128">
        <v>58</v>
      </c>
      <c r="I1128" t="s">
        <v>242</v>
      </c>
    </row>
    <row r="1129" spans="1:9" x14ac:dyDescent="0.3">
      <c r="A1129">
        <v>453</v>
      </c>
      <c r="B1129">
        <v>6</v>
      </c>
      <c r="C1129" t="s">
        <v>38</v>
      </c>
      <c r="D1129" t="s">
        <v>625</v>
      </c>
      <c r="E1129">
        <v>20</v>
      </c>
      <c r="F1129">
        <v>34</v>
      </c>
      <c r="G1129">
        <v>1</v>
      </c>
      <c r="H1129">
        <v>42</v>
      </c>
      <c r="I1129" t="s">
        <v>242</v>
      </c>
    </row>
    <row r="1130" spans="1:9" x14ac:dyDescent="0.3">
      <c r="A1130">
        <v>454</v>
      </c>
      <c r="B1130">
        <v>1</v>
      </c>
      <c r="C1130" t="s">
        <v>60</v>
      </c>
      <c r="D1130" t="s">
        <v>631</v>
      </c>
      <c r="E1130">
        <v>15</v>
      </c>
      <c r="F1130">
        <v>25</v>
      </c>
      <c r="G1130">
        <v>2</v>
      </c>
      <c r="H1130">
        <v>44</v>
      </c>
      <c r="I1130" t="s">
        <v>242</v>
      </c>
    </row>
    <row r="1131" spans="1:9" x14ac:dyDescent="0.3">
      <c r="A1131">
        <v>454</v>
      </c>
      <c r="B1131">
        <v>1</v>
      </c>
      <c r="C1131" t="s">
        <v>53</v>
      </c>
      <c r="D1131" t="s">
        <v>621</v>
      </c>
      <c r="E1131">
        <v>11</v>
      </c>
      <c r="F1131">
        <v>19</v>
      </c>
      <c r="G1131">
        <v>3</v>
      </c>
      <c r="H1131">
        <v>18</v>
      </c>
      <c r="I1131" t="s">
        <v>243</v>
      </c>
    </row>
    <row r="1132" spans="1:9" x14ac:dyDescent="0.3">
      <c r="A1132">
        <v>454</v>
      </c>
      <c r="B1132">
        <v>1</v>
      </c>
      <c r="C1132" t="s">
        <v>44</v>
      </c>
      <c r="D1132" t="s">
        <v>617</v>
      </c>
      <c r="E1132">
        <v>22</v>
      </c>
      <c r="F1132">
        <v>36</v>
      </c>
      <c r="G1132">
        <v>2</v>
      </c>
      <c r="H1132">
        <v>42</v>
      </c>
      <c r="I1132" t="s">
        <v>243</v>
      </c>
    </row>
    <row r="1133" spans="1:9" x14ac:dyDescent="0.3">
      <c r="A1133">
        <v>454</v>
      </c>
      <c r="B1133">
        <v>1</v>
      </c>
      <c r="C1133" t="s">
        <v>50</v>
      </c>
      <c r="D1133" t="s">
        <v>615</v>
      </c>
      <c r="E1133">
        <v>16</v>
      </c>
      <c r="F1133">
        <v>27</v>
      </c>
      <c r="G1133">
        <v>2</v>
      </c>
      <c r="H1133">
        <v>49</v>
      </c>
      <c r="I1133" t="s">
        <v>242</v>
      </c>
    </row>
    <row r="1134" spans="1:9" x14ac:dyDescent="0.3">
      <c r="A1134">
        <v>455</v>
      </c>
      <c r="B1134">
        <v>12</v>
      </c>
      <c r="C1134" t="s">
        <v>75</v>
      </c>
      <c r="D1134" t="s">
        <v>612</v>
      </c>
      <c r="E1134">
        <v>14</v>
      </c>
      <c r="F1134">
        <v>24</v>
      </c>
      <c r="G1134">
        <v>2</v>
      </c>
      <c r="H1134">
        <v>11</v>
      </c>
      <c r="I1134" t="s">
        <v>242</v>
      </c>
    </row>
    <row r="1135" spans="1:9" x14ac:dyDescent="0.3">
      <c r="A1135">
        <v>456</v>
      </c>
      <c r="B1135">
        <v>13</v>
      </c>
      <c r="C1135" t="s">
        <v>38</v>
      </c>
      <c r="D1135" t="s">
        <v>625</v>
      </c>
      <c r="E1135">
        <v>20</v>
      </c>
      <c r="F1135">
        <v>34</v>
      </c>
      <c r="G1135">
        <v>2</v>
      </c>
      <c r="H1135">
        <v>24</v>
      </c>
      <c r="I1135" t="s">
        <v>242</v>
      </c>
    </row>
    <row r="1136" spans="1:9" x14ac:dyDescent="0.3">
      <c r="A1136">
        <v>456</v>
      </c>
      <c r="B1136">
        <v>13</v>
      </c>
      <c r="C1136" t="s">
        <v>34</v>
      </c>
      <c r="D1136" t="s">
        <v>616</v>
      </c>
      <c r="E1136">
        <v>25</v>
      </c>
      <c r="F1136">
        <v>40</v>
      </c>
      <c r="G1136">
        <v>2</v>
      </c>
      <c r="H1136">
        <v>47</v>
      </c>
      <c r="I1136" t="s">
        <v>243</v>
      </c>
    </row>
    <row r="1137" spans="1:9" x14ac:dyDescent="0.3">
      <c r="A1137">
        <v>457</v>
      </c>
      <c r="B1137">
        <v>18</v>
      </c>
      <c r="C1137" t="s">
        <v>112</v>
      </c>
      <c r="D1137" t="s">
        <v>619</v>
      </c>
      <c r="E1137">
        <v>20</v>
      </c>
      <c r="F1137">
        <v>33</v>
      </c>
      <c r="G1137">
        <v>3</v>
      </c>
      <c r="H1137">
        <v>43</v>
      </c>
      <c r="I1137" t="s">
        <v>243</v>
      </c>
    </row>
    <row r="1138" spans="1:9" x14ac:dyDescent="0.3">
      <c r="A1138">
        <v>457</v>
      </c>
      <c r="B1138">
        <v>18</v>
      </c>
      <c r="C1138" t="s">
        <v>53</v>
      </c>
      <c r="D1138" t="s">
        <v>621</v>
      </c>
      <c r="E1138">
        <v>11</v>
      </c>
      <c r="F1138">
        <v>19</v>
      </c>
      <c r="G1138">
        <v>2</v>
      </c>
      <c r="H1138">
        <v>15</v>
      </c>
      <c r="I1138" t="s">
        <v>243</v>
      </c>
    </row>
    <row r="1139" spans="1:9" x14ac:dyDescent="0.3">
      <c r="A1139">
        <v>458</v>
      </c>
      <c r="B1139">
        <v>4</v>
      </c>
      <c r="C1139" t="s">
        <v>112</v>
      </c>
      <c r="D1139" t="s">
        <v>619</v>
      </c>
      <c r="E1139">
        <v>20</v>
      </c>
      <c r="F1139">
        <v>33</v>
      </c>
      <c r="G1139">
        <v>2</v>
      </c>
      <c r="H1139">
        <v>6</v>
      </c>
      <c r="I1139" t="s">
        <v>242</v>
      </c>
    </row>
    <row r="1140" spans="1:9" x14ac:dyDescent="0.3">
      <c r="A1140">
        <v>458</v>
      </c>
      <c r="B1140">
        <v>4</v>
      </c>
      <c r="C1140" t="s">
        <v>30</v>
      </c>
      <c r="D1140" t="s">
        <v>620</v>
      </c>
      <c r="E1140">
        <v>16</v>
      </c>
      <c r="F1140">
        <v>28</v>
      </c>
      <c r="G1140">
        <v>2</v>
      </c>
      <c r="H1140">
        <v>11</v>
      </c>
      <c r="I1140" t="s">
        <v>243</v>
      </c>
    </row>
    <row r="1141" spans="1:9" x14ac:dyDescent="0.3">
      <c r="A1141">
        <v>458</v>
      </c>
      <c r="B1141">
        <v>4</v>
      </c>
      <c r="C1141" t="s">
        <v>38</v>
      </c>
      <c r="D1141" t="s">
        <v>625</v>
      </c>
      <c r="E1141">
        <v>20</v>
      </c>
      <c r="F1141">
        <v>34</v>
      </c>
      <c r="G1141">
        <v>3</v>
      </c>
      <c r="H1141">
        <v>28</v>
      </c>
      <c r="I1141" t="s">
        <v>242</v>
      </c>
    </row>
    <row r="1142" spans="1:9" x14ac:dyDescent="0.3">
      <c r="A1142">
        <v>458</v>
      </c>
      <c r="B1142">
        <v>4</v>
      </c>
      <c r="C1142" t="s">
        <v>92</v>
      </c>
      <c r="D1142" t="s">
        <v>624</v>
      </c>
      <c r="E1142">
        <v>13</v>
      </c>
      <c r="F1142">
        <v>22</v>
      </c>
      <c r="G1142">
        <v>2</v>
      </c>
      <c r="H1142">
        <v>44</v>
      </c>
      <c r="I1142" t="s">
        <v>242</v>
      </c>
    </row>
    <row r="1143" spans="1:9" x14ac:dyDescent="0.3">
      <c r="A1143">
        <v>459</v>
      </c>
      <c r="B1143">
        <v>20</v>
      </c>
      <c r="C1143" t="s">
        <v>30</v>
      </c>
      <c r="D1143" t="s">
        <v>620</v>
      </c>
      <c r="E1143">
        <v>16</v>
      </c>
      <c r="F1143">
        <v>28</v>
      </c>
      <c r="G1143">
        <v>3</v>
      </c>
      <c r="H1143">
        <v>30</v>
      </c>
      <c r="I1143" t="s">
        <v>242</v>
      </c>
    </row>
    <row r="1144" spans="1:9" x14ac:dyDescent="0.3">
      <c r="A1144">
        <v>460</v>
      </c>
      <c r="B1144">
        <v>19</v>
      </c>
      <c r="C1144" t="s">
        <v>60</v>
      </c>
      <c r="D1144" t="s">
        <v>631</v>
      </c>
      <c r="E1144">
        <v>15</v>
      </c>
      <c r="F1144">
        <v>25</v>
      </c>
      <c r="G1144">
        <v>2</v>
      </c>
      <c r="H1144">
        <v>43</v>
      </c>
      <c r="I1144" t="s">
        <v>242</v>
      </c>
    </row>
    <row r="1145" spans="1:9" x14ac:dyDescent="0.3">
      <c r="A1145">
        <v>460</v>
      </c>
      <c r="B1145">
        <v>19</v>
      </c>
      <c r="C1145" t="s">
        <v>71</v>
      </c>
      <c r="D1145" t="s">
        <v>630</v>
      </c>
      <c r="E1145">
        <v>15</v>
      </c>
      <c r="F1145">
        <v>26</v>
      </c>
      <c r="G1145">
        <v>1</v>
      </c>
      <c r="H1145">
        <v>8</v>
      </c>
      <c r="I1145" t="s">
        <v>243</v>
      </c>
    </row>
    <row r="1146" spans="1:9" x14ac:dyDescent="0.3">
      <c r="A1146">
        <v>460</v>
      </c>
      <c r="B1146">
        <v>19</v>
      </c>
      <c r="C1146" t="s">
        <v>30</v>
      </c>
      <c r="D1146" t="s">
        <v>620</v>
      </c>
      <c r="E1146">
        <v>16</v>
      </c>
      <c r="F1146">
        <v>28</v>
      </c>
      <c r="G1146">
        <v>1</v>
      </c>
      <c r="H1146">
        <v>40</v>
      </c>
      <c r="I1146" t="s">
        <v>243</v>
      </c>
    </row>
    <row r="1147" spans="1:9" x14ac:dyDescent="0.3">
      <c r="A1147">
        <v>460</v>
      </c>
      <c r="B1147">
        <v>19</v>
      </c>
      <c r="C1147" t="s">
        <v>75</v>
      </c>
      <c r="D1147" t="s">
        <v>612</v>
      </c>
      <c r="E1147">
        <v>14</v>
      </c>
      <c r="F1147">
        <v>24</v>
      </c>
      <c r="G1147">
        <v>3</v>
      </c>
      <c r="H1147">
        <v>33</v>
      </c>
      <c r="I1147" t="s">
        <v>242</v>
      </c>
    </row>
    <row r="1148" spans="1:9" x14ac:dyDescent="0.3">
      <c r="A1148">
        <v>461</v>
      </c>
      <c r="B1148">
        <v>4</v>
      </c>
      <c r="C1148" t="s">
        <v>19</v>
      </c>
      <c r="D1148" t="s">
        <v>622</v>
      </c>
      <c r="E1148">
        <v>21</v>
      </c>
      <c r="F1148">
        <v>35</v>
      </c>
      <c r="G1148">
        <v>2</v>
      </c>
      <c r="H1148">
        <v>38</v>
      </c>
      <c r="I1148" t="s">
        <v>243</v>
      </c>
    </row>
    <row r="1149" spans="1:9" x14ac:dyDescent="0.3">
      <c r="A1149">
        <v>461</v>
      </c>
      <c r="B1149">
        <v>4</v>
      </c>
      <c r="C1149" t="s">
        <v>26</v>
      </c>
      <c r="D1149" t="s">
        <v>618</v>
      </c>
      <c r="E1149">
        <v>17</v>
      </c>
      <c r="F1149">
        <v>29</v>
      </c>
      <c r="G1149">
        <v>1</v>
      </c>
      <c r="H1149">
        <v>28</v>
      </c>
      <c r="I1149" t="s">
        <v>242</v>
      </c>
    </row>
    <row r="1150" spans="1:9" x14ac:dyDescent="0.3">
      <c r="A1150">
        <v>462</v>
      </c>
      <c r="B1150">
        <v>9</v>
      </c>
      <c r="C1150" t="s">
        <v>112</v>
      </c>
      <c r="D1150" t="s">
        <v>619</v>
      </c>
      <c r="E1150">
        <v>20</v>
      </c>
      <c r="F1150">
        <v>33</v>
      </c>
      <c r="G1150">
        <v>3</v>
      </c>
      <c r="H1150">
        <v>11</v>
      </c>
      <c r="I1150" t="s">
        <v>242</v>
      </c>
    </row>
    <row r="1151" spans="1:9" x14ac:dyDescent="0.3">
      <c r="A1151">
        <v>463</v>
      </c>
      <c r="B1151">
        <v>7</v>
      </c>
      <c r="C1151" t="s">
        <v>56</v>
      </c>
      <c r="D1151" t="s">
        <v>614</v>
      </c>
      <c r="E1151">
        <v>19</v>
      </c>
      <c r="F1151">
        <v>31</v>
      </c>
      <c r="G1151">
        <v>3</v>
      </c>
      <c r="H1151">
        <v>14</v>
      </c>
      <c r="I1151" t="s">
        <v>243</v>
      </c>
    </row>
    <row r="1152" spans="1:9" x14ac:dyDescent="0.3">
      <c r="A1152">
        <v>464</v>
      </c>
      <c r="B1152">
        <v>16</v>
      </c>
      <c r="C1152" t="s">
        <v>71</v>
      </c>
      <c r="D1152" t="s">
        <v>630</v>
      </c>
      <c r="E1152">
        <v>15</v>
      </c>
      <c r="F1152">
        <v>26</v>
      </c>
      <c r="G1152">
        <v>3</v>
      </c>
      <c r="H1152">
        <v>50</v>
      </c>
      <c r="I1152" t="s">
        <v>243</v>
      </c>
    </row>
    <row r="1153" spans="1:9" x14ac:dyDescent="0.3">
      <c r="A1153">
        <v>464</v>
      </c>
      <c r="B1153">
        <v>16</v>
      </c>
      <c r="C1153" t="s">
        <v>92</v>
      </c>
      <c r="D1153" t="s">
        <v>624</v>
      </c>
      <c r="E1153">
        <v>13</v>
      </c>
      <c r="F1153">
        <v>22</v>
      </c>
      <c r="G1153">
        <v>1</v>
      </c>
      <c r="H1153">
        <v>10</v>
      </c>
      <c r="I1153" t="s">
        <v>242</v>
      </c>
    </row>
    <row r="1154" spans="1:9" x14ac:dyDescent="0.3">
      <c r="A1154">
        <v>464</v>
      </c>
      <c r="B1154">
        <v>16</v>
      </c>
      <c r="C1154" t="s">
        <v>50</v>
      </c>
      <c r="D1154" t="s">
        <v>615</v>
      </c>
      <c r="E1154">
        <v>16</v>
      </c>
      <c r="F1154">
        <v>27</v>
      </c>
      <c r="G1154">
        <v>2</v>
      </c>
      <c r="H1154">
        <v>24</v>
      </c>
      <c r="I1154" t="s">
        <v>242</v>
      </c>
    </row>
    <row r="1155" spans="1:9" x14ac:dyDescent="0.3">
      <c r="A1155">
        <v>465</v>
      </c>
      <c r="B1155">
        <v>4</v>
      </c>
      <c r="C1155" t="s">
        <v>60</v>
      </c>
      <c r="D1155" t="s">
        <v>631</v>
      </c>
      <c r="E1155">
        <v>15</v>
      </c>
      <c r="F1155">
        <v>25</v>
      </c>
      <c r="G1155">
        <v>3</v>
      </c>
      <c r="H1155">
        <v>37</v>
      </c>
      <c r="I1155" t="s">
        <v>242</v>
      </c>
    </row>
    <row r="1156" spans="1:9" x14ac:dyDescent="0.3">
      <c r="A1156">
        <v>465</v>
      </c>
      <c r="B1156">
        <v>4</v>
      </c>
      <c r="C1156" t="s">
        <v>89</v>
      </c>
      <c r="D1156" t="s">
        <v>627</v>
      </c>
      <c r="E1156">
        <v>14</v>
      </c>
      <c r="F1156">
        <v>23</v>
      </c>
      <c r="G1156">
        <v>2</v>
      </c>
      <c r="H1156">
        <v>23</v>
      </c>
      <c r="I1156" t="s">
        <v>243</v>
      </c>
    </row>
    <row r="1157" spans="1:9" x14ac:dyDescent="0.3">
      <c r="A1157">
        <v>466</v>
      </c>
      <c r="B1157">
        <v>4</v>
      </c>
      <c r="C1157" t="s">
        <v>30</v>
      </c>
      <c r="D1157" t="s">
        <v>620</v>
      </c>
      <c r="E1157">
        <v>16</v>
      </c>
      <c r="F1157">
        <v>28</v>
      </c>
      <c r="G1157">
        <v>1</v>
      </c>
      <c r="H1157">
        <v>43</v>
      </c>
      <c r="I1157" t="s">
        <v>242</v>
      </c>
    </row>
    <row r="1158" spans="1:9" x14ac:dyDescent="0.3">
      <c r="A1158">
        <v>466</v>
      </c>
      <c r="B1158">
        <v>4</v>
      </c>
      <c r="C1158" t="s">
        <v>40</v>
      </c>
      <c r="D1158" t="s">
        <v>613</v>
      </c>
      <c r="E1158">
        <v>18</v>
      </c>
      <c r="F1158">
        <v>30</v>
      </c>
      <c r="G1158">
        <v>3</v>
      </c>
      <c r="H1158">
        <v>52</v>
      </c>
      <c r="I1158" t="s">
        <v>242</v>
      </c>
    </row>
    <row r="1159" spans="1:9" x14ac:dyDescent="0.3">
      <c r="A1159">
        <v>466</v>
      </c>
      <c r="B1159">
        <v>4</v>
      </c>
      <c r="C1159" t="s">
        <v>92</v>
      </c>
      <c r="D1159" t="s">
        <v>624</v>
      </c>
      <c r="E1159">
        <v>13</v>
      </c>
      <c r="F1159">
        <v>22</v>
      </c>
      <c r="G1159">
        <v>1</v>
      </c>
      <c r="H1159">
        <v>50</v>
      </c>
      <c r="I1159" t="s">
        <v>243</v>
      </c>
    </row>
    <row r="1160" spans="1:9" x14ac:dyDescent="0.3">
      <c r="A1160">
        <v>467</v>
      </c>
      <c r="B1160">
        <v>15</v>
      </c>
      <c r="C1160" t="s">
        <v>112</v>
      </c>
      <c r="D1160" t="s">
        <v>619</v>
      </c>
      <c r="E1160">
        <v>20</v>
      </c>
      <c r="F1160">
        <v>33</v>
      </c>
      <c r="G1160">
        <v>3</v>
      </c>
      <c r="H1160">
        <v>13</v>
      </c>
      <c r="I1160" t="s">
        <v>242</v>
      </c>
    </row>
    <row r="1161" spans="1:9" x14ac:dyDescent="0.3">
      <c r="A1161">
        <v>467</v>
      </c>
      <c r="B1161">
        <v>15</v>
      </c>
      <c r="C1161" t="s">
        <v>92</v>
      </c>
      <c r="D1161" t="s">
        <v>624</v>
      </c>
      <c r="E1161">
        <v>13</v>
      </c>
      <c r="F1161">
        <v>22</v>
      </c>
      <c r="G1161">
        <v>2</v>
      </c>
      <c r="H1161">
        <v>59</v>
      </c>
      <c r="I1161" t="s">
        <v>242</v>
      </c>
    </row>
    <row r="1162" spans="1:9" x14ac:dyDescent="0.3">
      <c r="A1162">
        <v>468</v>
      </c>
      <c r="B1162">
        <v>14</v>
      </c>
      <c r="C1162" t="s">
        <v>53</v>
      </c>
      <c r="D1162" t="s">
        <v>621</v>
      </c>
      <c r="E1162">
        <v>11</v>
      </c>
      <c r="F1162">
        <v>19</v>
      </c>
      <c r="G1162">
        <v>2</v>
      </c>
      <c r="H1162">
        <v>38</v>
      </c>
      <c r="I1162" t="s">
        <v>243</v>
      </c>
    </row>
    <row r="1163" spans="1:9" x14ac:dyDescent="0.3">
      <c r="A1163">
        <v>468</v>
      </c>
      <c r="B1163">
        <v>14</v>
      </c>
      <c r="C1163" t="s">
        <v>30</v>
      </c>
      <c r="D1163" t="s">
        <v>620</v>
      </c>
      <c r="E1163">
        <v>16</v>
      </c>
      <c r="F1163">
        <v>28</v>
      </c>
      <c r="G1163">
        <v>1</v>
      </c>
      <c r="H1163">
        <v>9</v>
      </c>
      <c r="I1163" t="s">
        <v>243</v>
      </c>
    </row>
    <row r="1164" spans="1:9" x14ac:dyDescent="0.3">
      <c r="A1164">
        <v>468</v>
      </c>
      <c r="B1164">
        <v>14</v>
      </c>
      <c r="C1164" t="s">
        <v>66</v>
      </c>
      <c r="D1164" t="s">
        <v>626</v>
      </c>
      <c r="E1164">
        <v>12</v>
      </c>
      <c r="F1164">
        <v>20</v>
      </c>
      <c r="G1164">
        <v>2</v>
      </c>
      <c r="H1164">
        <v>16</v>
      </c>
      <c r="I1164" t="s">
        <v>243</v>
      </c>
    </row>
    <row r="1165" spans="1:9" x14ac:dyDescent="0.3">
      <c r="A1165">
        <v>469</v>
      </c>
      <c r="B1165">
        <v>1</v>
      </c>
      <c r="C1165" t="s">
        <v>105</v>
      </c>
      <c r="D1165" t="s">
        <v>623</v>
      </c>
      <c r="E1165">
        <v>19</v>
      </c>
      <c r="F1165">
        <v>32</v>
      </c>
      <c r="G1165">
        <v>1</v>
      </c>
      <c r="H1165">
        <v>44</v>
      </c>
      <c r="I1165" t="s">
        <v>242</v>
      </c>
    </row>
    <row r="1166" spans="1:9" x14ac:dyDescent="0.3">
      <c r="A1166">
        <v>469</v>
      </c>
      <c r="B1166">
        <v>1</v>
      </c>
      <c r="C1166" t="s">
        <v>19</v>
      </c>
      <c r="D1166" t="s">
        <v>622</v>
      </c>
      <c r="E1166">
        <v>21</v>
      </c>
      <c r="F1166">
        <v>35</v>
      </c>
      <c r="G1166">
        <v>3</v>
      </c>
      <c r="H1166">
        <v>22</v>
      </c>
      <c r="I1166" t="s">
        <v>243</v>
      </c>
    </row>
    <row r="1167" spans="1:9" x14ac:dyDescent="0.3">
      <c r="A1167">
        <v>470</v>
      </c>
      <c r="B1167">
        <v>17</v>
      </c>
      <c r="C1167" t="s">
        <v>46</v>
      </c>
      <c r="D1167" t="s">
        <v>629</v>
      </c>
      <c r="E1167">
        <v>10</v>
      </c>
      <c r="F1167">
        <v>18</v>
      </c>
      <c r="G1167">
        <v>3</v>
      </c>
      <c r="H1167">
        <v>28</v>
      </c>
      <c r="I1167" t="s">
        <v>242</v>
      </c>
    </row>
    <row r="1168" spans="1:9" x14ac:dyDescent="0.3">
      <c r="A1168">
        <v>470</v>
      </c>
      <c r="B1168">
        <v>17</v>
      </c>
      <c r="C1168" t="s">
        <v>75</v>
      </c>
      <c r="D1168" t="s">
        <v>612</v>
      </c>
      <c r="E1168">
        <v>14</v>
      </c>
      <c r="F1168">
        <v>24</v>
      </c>
      <c r="G1168">
        <v>1</v>
      </c>
      <c r="H1168">
        <v>44</v>
      </c>
      <c r="I1168" t="s">
        <v>242</v>
      </c>
    </row>
    <row r="1169" spans="1:9" x14ac:dyDescent="0.3">
      <c r="A1169">
        <v>471</v>
      </c>
      <c r="B1169">
        <v>7</v>
      </c>
      <c r="C1169" t="s">
        <v>19</v>
      </c>
      <c r="D1169" t="s">
        <v>622</v>
      </c>
      <c r="E1169">
        <v>21</v>
      </c>
      <c r="F1169">
        <v>35</v>
      </c>
      <c r="G1169">
        <v>3</v>
      </c>
      <c r="H1169">
        <v>57</v>
      </c>
      <c r="I1169" t="s">
        <v>242</v>
      </c>
    </row>
    <row r="1170" spans="1:9" x14ac:dyDescent="0.3">
      <c r="A1170">
        <v>472</v>
      </c>
      <c r="B1170">
        <v>20</v>
      </c>
      <c r="C1170" t="s">
        <v>92</v>
      </c>
      <c r="D1170" t="s">
        <v>624</v>
      </c>
      <c r="E1170">
        <v>13</v>
      </c>
      <c r="F1170">
        <v>22</v>
      </c>
      <c r="G1170">
        <v>2</v>
      </c>
      <c r="H1170">
        <v>31</v>
      </c>
      <c r="I1170" t="s">
        <v>243</v>
      </c>
    </row>
    <row r="1171" spans="1:9" x14ac:dyDescent="0.3">
      <c r="A1171">
        <v>472</v>
      </c>
      <c r="B1171">
        <v>20</v>
      </c>
      <c r="C1171" t="s">
        <v>19</v>
      </c>
      <c r="D1171" t="s">
        <v>622</v>
      </c>
      <c r="E1171">
        <v>21</v>
      </c>
      <c r="F1171">
        <v>35</v>
      </c>
      <c r="G1171">
        <v>2</v>
      </c>
      <c r="H1171">
        <v>42</v>
      </c>
      <c r="I1171" t="s">
        <v>242</v>
      </c>
    </row>
    <row r="1172" spans="1:9" x14ac:dyDescent="0.3">
      <c r="A1172">
        <v>473</v>
      </c>
      <c r="B1172">
        <v>13</v>
      </c>
      <c r="C1172" t="s">
        <v>92</v>
      </c>
      <c r="D1172" t="s">
        <v>624</v>
      </c>
      <c r="E1172">
        <v>13</v>
      </c>
      <c r="F1172">
        <v>22</v>
      </c>
      <c r="G1172">
        <v>2</v>
      </c>
      <c r="H1172">
        <v>51</v>
      </c>
      <c r="I1172" t="s">
        <v>243</v>
      </c>
    </row>
    <row r="1173" spans="1:9" x14ac:dyDescent="0.3">
      <c r="A1173">
        <v>473</v>
      </c>
      <c r="B1173">
        <v>13</v>
      </c>
      <c r="C1173" t="s">
        <v>19</v>
      </c>
      <c r="D1173" t="s">
        <v>622</v>
      </c>
      <c r="E1173">
        <v>21</v>
      </c>
      <c r="F1173">
        <v>35</v>
      </c>
      <c r="G1173">
        <v>1</v>
      </c>
      <c r="H1173">
        <v>10</v>
      </c>
      <c r="I1173" t="s">
        <v>242</v>
      </c>
    </row>
    <row r="1174" spans="1:9" x14ac:dyDescent="0.3">
      <c r="A1174">
        <v>474</v>
      </c>
      <c r="B1174">
        <v>2</v>
      </c>
      <c r="C1174" t="s">
        <v>30</v>
      </c>
      <c r="D1174" t="s">
        <v>620</v>
      </c>
      <c r="E1174">
        <v>16</v>
      </c>
      <c r="F1174">
        <v>28</v>
      </c>
      <c r="G1174">
        <v>3</v>
      </c>
      <c r="H1174">
        <v>35</v>
      </c>
      <c r="I1174" t="s">
        <v>242</v>
      </c>
    </row>
    <row r="1175" spans="1:9" x14ac:dyDescent="0.3">
      <c r="A1175">
        <v>474</v>
      </c>
      <c r="B1175">
        <v>2</v>
      </c>
      <c r="C1175" t="s">
        <v>56</v>
      </c>
      <c r="D1175" t="s">
        <v>614</v>
      </c>
      <c r="E1175">
        <v>19</v>
      </c>
      <c r="F1175">
        <v>31</v>
      </c>
      <c r="G1175">
        <v>1</v>
      </c>
      <c r="H1175">
        <v>34</v>
      </c>
      <c r="I1175" t="s">
        <v>243</v>
      </c>
    </row>
    <row r="1176" spans="1:9" x14ac:dyDescent="0.3">
      <c r="A1176">
        <v>474</v>
      </c>
      <c r="B1176">
        <v>2</v>
      </c>
      <c r="C1176" t="s">
        <v>38</v>
      </c>
      <c r="D1176" t="s">
        <v>625</v>
      </c>
      <c r="E1176">
        <v>20</v>
      </c>
      <c r="F1176">
        <v>34</v>
      </c>
      <c r="G1176">
        <v>1</v>
      </c>
      <c r="H1176">
        <v>55</v>
      </c>
      <c r="I1176" t="s">
        <v>243</v>
      </c>
    </row>
    <row r="1177" spans="1:9" x14ac:dyDescent="0.3">
      <c r="A1177">
        <v>474</v>
      </c>
      <c r="B1177">
        <v>2</v>
      </c>
      <c r="C1177" t="s">
        <v>26</v>
      </c>
      <c r="D1177" t="s">
        <v>618</v>
      </c>
      <c r="E1177">
        <v>17</v>
      </c>
      <c r="F1177">
        <v>29</v>
      </c>
      <c r="G1177">
        <v>1</v>
      </c>
      <c r="H1177">
        <v>37</v>
      </c>
      <c r="I1177" t="s">
        <v>242</v>
      </c>
    </row>
    <row r="1178" spans="1:9" x14ac:dyDescent="0.3">
      <c r="A1178">
        <v>475</v>
      </c>
      <c r="B1178">
        <v>18</v>
      </c>
      <c r="C1178" t="s">
        <v>38</v>
      </c>
      <c r="D1178" t="s">
        <v>625</v>
      </c>
      <c r="E1178">
        <v>20</v>
      </c>
      <c r="F1178">
        <v>34</v>
      </c>
      <c r="G1178">
        <v>3</v>
      </c>
      <c r="H1178">
        <v>14</v>
      </c>
      <c r="I1178" t="s">
        <v>243</v>
      </c>
    </row>
    <row r="1179" spans="1:9" x14ac:dyDescent="0.3">
      <c r="A1179">
        <v>475</v>
      </c>
      <c r="B1179">
        <v>18</v>
      </c>
      <c r="C1179" t="s">
        <v>75</v>
      </c>
      <c r="D1179" t="s">
        <v>612</v>
      </c>
      <c r="E1179">
        <v>14</v>
      </c>
      <c r="F1179">
        <v>24</v>
      </c>
      <c r="G1179">
        <v>3</v>
      </c>
      <c r="H1179">
        <v>21</v>
      </c>
      <c r="I1179" t="s">
        <v>243</v>
      </c>
    </row>
    <row r="1180" spans="1:9" x14ac:dyDescent="0.3">
      <c r="A1180">
        <v>476</v>
      </c>
      <c r="B1180">
        <v>13</v>
      </c>
      <c r="C1180" t="s">
        <v>105</v>
      </c>
      <c r="D1180" t="s">
        <v>623</v>
      </c>
      <c r="E1180">
        <v>19</v>
      </c>
      <c r="F1180">
        <v>32</v>
      </c>
      <c r="G1180">
        <v>3</v>
      </c>
      <c r="H1180">
        <v>5</v>
      </c>
      <c r="I1180" t="s">
        <v>243</v>
      </c>
    </row>
    <row r="1181" spans="1:9" x14ac:dyDescent="0.3">
      <c r="A1181">
        <v>476</v>
      </c>
      <c r="B1181">
        <v>13</v>
      </c>
      <c r="C1181" t="s">
        <v>38</v>
      </c>
      <c r="D1181" t="s">
        <v>625</v>
      </c>
      <c r="E1181">
        <v>20</v>
      </c>
      <c r="F1181">
        <v>34</v>
      </c>
      <c r="G1181">
        <v>1</v>
      </c>
      <c r="H1181">
        <v>34</v>
      </c>
      <c r="I1181" t="s">
        <v>242</v>
      </c>
    </row>
    <row r="1182" spans="1:9" x14ac:dyDescent="0.3">
      <c r="A1182">
        <v>476</v>
      </c>
      <c r="B1182">
        <v>13</v>
      </c>
      <c r="C1182" t="s">
        <v>34</v>
      </c>
      <c r="D1182" t="s">
        <v>616</v>
      </c>
      <c r="E1182">
        <v>25</v>
      </c>
      <c r="F1182">
        <v>40</v>
      </c>
      <c r="G1182">
        <v>1</v>
      </c>
      <c r="H1182">
        <v>21</v>
      </c>
      <c r="I1182" t="s">
        <v>242</v>
      </c>
    </row>
    <row r="1183" spans="1:9" x14ac:dyDescent="0.3">
      <c r="A1183">
        <v>476</v>
      </c>
      <c r="B1183">
        <v>13</v>
      </c>
      <c r="C1183" t="s">
        <v>75</v>
      </c>
      <c r="D1183" t="s">
        <v>612</v>
      </c>
      <c r="E1183">
        <v>14</v>
      </c>
      <c r="F1183">
        <v>24</v>
      </c>
      <c r="G1183">
        <v>2</v>
      </c>
      <c r="H1183">
        <v>55</v>
      </c>
      <c r="I1183" t="s">
        <v>243</v>
      </c>
    </row>
    <row r="1184" spans="1:9" x14ac:dyDescent="0.3">
      <c r="A1184">
        <v>477</v>
      </c>
      <c r="B1184">
        <v>8</v>
      </c>
      <c r="C1184" t="s">
        <v>42</v>
      </c>
      <c r="D1184" t="s">
        <v>628</v>
      </c>
      <c r="E1184">
        <v>13</v>
      </c>
      <c r="F1184">
        <v>21</v>
      </c>
      <c r="G1184">
        <v>2</v>
      </c>
      <c r="H1184">
        <v>21</v>
      </c>
      <c r="I1184" t="s">
        <v>242</v>
      </c>
    </row>
    <row r="1185" spans="1:9" x14ac:dyDescent="0.3">
      <c r="A1185">
        <v>477</v>
      </c>
      <c r="B1185">
        <v>8</v>
      </c>
      <c r="C1185" t="s">
        <v>89</v>
      </c>
      <c r="D1185" t="s">
        <v>627</v>
      </c>
      <c r="E1185">
        <v>14</v>
      </c>
      <c r="F1185">
        <v>23</v>
      </c>
      <c r="G1185">
        <v>2</v>
      </c>
      <c r="H1185">
        <v>13</v>
      </c>
      <c r="I1185" t="s">
        <v>243</v>
      </c>
    </row>
    <row r="1186" spans="1:9" x14ac:dyDescent="0.3">
      <c r="A1186">
        <v>477</v>
      </c>
      <c r="B1186">
        <v>8</v>
      </c>
      <c r="C1186" t="s">
        <v>38</v>
      </c>
      <c r="D1186" t="s">
        <v>625</v>
      </c>
      <c r="E1186">
        <v>20</v>
      </c>
      <c r="F1186">
        <v>34</v>
      </c>
      <c r="G1186">
        <v>2</v>
      </c>
      <c r="H1186">
        <v>34</v>
      </c>
      <c r="I1186" t="s">
        <v>243</v>
      </c>
    </row>
    <row r="1187" spans="1:9" x14ac:dyDescent="0.3">
      <c r="A1187">
        <v>477</v>
      </c>
      <c r="B1187">
        <v>8</v>
      </c>
      <c r="C1187" t="s">
        <v>75</v>
      </c>
      <c r="D1187" t="s">
        <v>612</v>
      </c>
      <c r="E1187">
        <v>14</v>
      </c>
      <c r="F1187">
        <v>24</v>
      </c>
      <c r="G1187">
        <v>2</v>
      </c>
      <c r="H1187">
        <v>47</v>
      </c>
      <c r="I1187" t="s">
        <v>243</v>
      </c>
    </row>
    <row r="1188" spans="1:9" x14ac:dyDescent="0.3">
      <c r="A1188">
        <v>478</v>
      </c>
      <c r="B1188">
        <v>7</v>
      </c>
      <c r="C1188" t="s">
        <v>40</v>
      </c>
      <c r="D1188" t="s">
        <v>613</v>
      </c>
      <c r="E1188">
        <v>18</v>
      </c>
      <c r="F1188">
        <v>30</v>
      </c>
      <c r="G1188">
        <v>2</v>
      </c>
      <c r="H1188">
        <v>54</v>
      </c>
      <c r="I1188" t="s">
        <v>243</v>
      </c>
    </row>
    <row r="1189" spans="1:9" x14ac:dyDescent="0.3">
      <c r="A1189">
        <v>478</v>
      </c>
      <c r="B1189">
        <v>7</v>
      </c>
      <c r="C1189" t="s">
        <v>26</v>
      </c>
      <c r="D1189" t="s">
        <v>618</v>
      </c>
      <c r="E1189">
        <v>17</v>
      </c>
      <c r="F1189">
        <v>29</v>
      </c>
      <c r="G1189">
        <v>2</v>
      </c>
      <c r="H1189">
        <v>36</v>
      </c>
      <c r="I1189" t="s">
        <v>243</v>
      </c>
    </row>
    <row r="1190" spans="1:9" x14ac:dyDescent="0.3">
      <c r="A1190">
        <v>479</v>
      </c>
      <c r="B1190">
        <v>1</v>
      </c>
      <c r="C1190" t="s">
        <v>38</v>
      </c>
      <c r="D1190" t="s">
        <v>625</v>
      </c>
      <c r="E1190">
        <v>20</v>
      </c>
      <c r="F1190">
        <v>34</v>
      </c>
      <c r="G1190">
        <v>1</v>
      </c>
      <c r="H1190">
        <v>38</v>
      </c>
      <c r="I1190" t="s">
        <v>243</v>
      </c>
    </row>
    <row r="1191" spans="1:9" x14ac:dyDescent="0.3">
      <c r="A1191">
        <v>479</v>
      </c>
      <c r="B1191">
        <v>1</v>
      </c>
      <c r="C1191" t="s">
        <v>46</v>
      </c>
      <c r="D1191" t="s">
        <v>629</v>
      </c>
      <c r="E1191">
        <v>10</v>
      </c>
      <c r="F1191">
        <v>18</v>
      </c>
      <c r="G1191">
        <v>1</v>
      </c>
      <c r="H1191">
        <v>45</v>
      </c>
      <c r="I1191" t="s">
        <v>242</v>
      </c>
    </row>
    <row r="1192" spans="1:9" x14ac:dyDescent="0.3">
      <c r="A1192">
        <v>480</v>
      </c>
      <c r="B1192">
        <v>1</v>
      </c>
      <c r="C1192" t="s">
        <v>50</v>
      </c>
      <c r="D1192" t="s">
        <v>615</v>
      </c>
      <c r="E1192">
        <v>16</v>
      </c>
      <c r="F1192">
        <v>27</v>
      </c>
      <c r="G1192">
        <v>2</v>
      </c>
      <c r="H1192">
        <v>8</v>
      </c>
      <c r="I1192" t="s">
        <v>242</v>
      </c>
    </row>
    <row r="1193" spans="1:9" x14ac:dyDescent="0.3">
      <c r="A1193">
        <v>480</v>
      </c>
      <c r="B1193">
        <v>1</v>
      </c>
      <c r="C1193" t="s">
        <v>19</v>
      </c>
      <c r="D1193" t="s">
        <v>622</v>
      </c>
      <c r="E1193">
        <v>21</v>
      </c>
      <c r="F1193">
        <v>35</v>
      </c>
      <c r="G1193">
        <v>3</v>
      </c>
      <c r="H1193">
        <v>57</v>
      </c>
      <c r="I1193" t="s">
        <v>243</v>
      </c>
    </row>
    <row r="1194" spans="1:9" x14ac:dyDescent="0.3">
      <c r="A1194">
        <v>481</v>
      </c>
      <c r="B1194">
        <v>9</v>
      </c>
      <c r="C1194" t="s">
        <v>71</v>
      </c>
      <c r="D1194" t="s">
        <v>630</v>
      </c>
      <c r="E1194">
        <v>15</v>
      </c>
      <c r="F1194">
        <v>26</v>
      </c>
      <c r="G1194">
        <v>2</v>
      </c>
      <c r="H1194">
        <v>58</v>
      </c>
      <c r="I1194" t="s">
        <v>243</v>
      </c>
    </row>
    <row r="1195" spans="1:9" x14ac:dyDescent="0.3">
      <c r="A1195">
        <v>482</v>
      </c>
      <c r="B1195">
        <v>9</v>
      </c>
      <c r="C1195" t="s">
        <v>42</v>
      </c>
      <c r="D1195" t="s">
        <v>628</v>
      </c>
      <c r="E1195">
        <v>13</v>
      </c>
      <c r="F1195">
        <v>21</v>
      </c>
      <c r="G1195">
        <v>3</v>
      </c>
      <c r="H1195">
        <v>21</v>
      </c>
      <c r="I1195" t="s">
        <v>243</v>
      </c>
    </row>
    <row r="1196" spans="1:9" x14ac:dyDescent="0.3">
      <c r="A1196">
        <v>483</v>
      </c>
      <c r="B1196">
        <v>2</v>
      </c>
      <c r="C1196" t="s">
        <v>50</v>
      </c>
      <c r="D1196" t="s">
        <v>615</v>
      </c>
      <c r="E1196">
        <v>16</v>
      </c>
      <c r="F1196">
        <v>27</v>
      </c>
      <c r="G1196">
        <v>3</v>
      </c>
      <c r="H1196">
        <v>53</v>
      </c>
      <c r="I1196" t="s">
        <v>242</v>
      </c>
    </row>
    <row r="1197" spans="1:9" x14ac:dyDescent="0.3">
      <c r="A1197">
        <v>484</v>
      </c>
      <c r="B1197">
        <v>18</v>
      </c>
      <c r="C1197" t="s">
        <v>60</v>
      </c>
      <c r="D1197" t="s">
        <v>631</v>
      </c>
      <c r="E1197">
        <v>15</v>
      </c>
      <c r="F1197">
        <v>25</v>
      </c>
      <c r="G1197">
        <v>3</v>
      </c>
      <c r="H1197">
        <v>34</v>
      </c>
      <c r="I1197" t="s">
        <v>243</v>
      </c>
    </row>
    <row r="1198" spans="1:9" x14ac:dyDescent="0.3">
      <c r="A1198">
        <v>485</v>
      </c>
      <c r="B1198">
        <v>6</v>
      </c>
      <c r="C1198" t="s">
        <v>44</v>
      </c>
      <c r="D1198" t="s">
        <v>617</v>
      </c>
      <c r="E1198">
        <v>22</v>
      </c>
      <c r="F1198">
        <v>36</v>
      </c>
      <c r="G1198">
        <v>2</v>
      </c>
      <c r="H1198">
        <v>56</v>
      </c>
      <c r="I1198" t="s">
        <v>242</v>
      </c>
    </row>
    <row r="1199" spans="1:9" x14ac:dyDescent="0.3">
      <c r="A1199">
        <v>485</v>
      </c>
      <c r="B1199">
        <v>6</v>
      </c>
      <c r="C1199" t="s">
        <v>75</v>
      </c>
      <c r="D1199" t="s">
        <v>612</v>
      </c>
      <c r="E1199">
        <v>14</v>
      </c>
      <c r="F1199">
        <v>24</v>
      </c>
      <c r="G1199">
        <v>3</v>
      </c>
      <c r="H1199">
        <v>23</v>
      </c>
      <c r="I1199" t="s">
        <v>242</v>
      </c>
    </row>
    <row r="1200" spans="1:9" x14ac:dyDescent="0.3">
      <c r="A1200">
        <v>486</v>
      </c>
      <c r="B1200">
        <v>15</v>
      </c>
      <c r="C1200" t="s">
        <v>38</v>
      </c>
      <c r="D1200" t="s">
        <v>625</v>
      </c>
      <c r="E1200">
        <v>20</v>
      </c>
      <c r="F1200">
        <v>34</v>
      </c>
      <c r="G1200">
        <v>1</v>
      </c>
      <c r="H1200">
        <v>9</v>
      </c>
      <c r="I1200" t="s">
        <v>242</v>
      </c>
    </row>
    <row r="1201" spans="1:9" x14ac:dyDescent="0.3">
      <c r="A1201">
        <v>486</v>
      </c>
      <c r="B1201">
        <v>15</v>
      </c>
      <c r="C1201" t="s">
        <v>44</v>
      </c>
      <c r="D1201" t="s">
        <v>617</v>
      </c>
      <c r="E1201">
        <v>22</v>
      </c>
      <c r="F1201">
        <v>36</v>
      </c>
      <c r="G1201">
        <v>2</v>
      </c>
      <c r="H1201">
        <v>7</v>
      </c>
      <c r="I1201" t="s">
        <v>242</v>
      </c>
    </row>
    <row r="1202" spans="1:9" x14ac:dyDescent="0.3">
      <c r="A1202">
        <v>486</v>
      </c>
      <c r="B1202">
        <v>15</v>
      </c>
      <c r="C1202" t="s">
        <v>66</v>
      </c>
      <c r="D1202" t="s">
        <v>626</v>
      </c>
      <c r="E1202">
        <v>12</v>
      </c>
      <c r="F1202">
        <v>20</v>
      </c>
      <c r="G1202">
        <v>1</v>
      </c>
      <c r="H1202">
        <v>19</v>
      </c>
      <c r="I1202" t="s">
        <v>242</v>
      </c>
    </row>
    <row r="1203" spans="1:9" x14ac:dyDescent="0.3">
      <c r="A1203">
        <v>486</v>
      </c>
      <c r="B1203">
        <v>15</v>
      </c>
      <c r="C1203" t="s">
        <v>75</v>
      </c>
      <c r="D1203" t="s">
        <v>612</v>
      </c>
      <c r="E1203">
        <v>14</v>
      </c>
      <c r="F1203">
        <v>24</v>
      </c>
      <c r="G1203">
        <v>1</v>
      </c>
      <c r="H1203">
        <v>24</v>
      </c>
      <c r="I1203" t="s">
        <v>242</v>
      </c>
    </row>
    <row r="1204" spans="1:9" x14ac:dyDescent="0.3">
      <c r="A1204">
        <v>487</v>
      </c>
      <c r="B1204">
        <v>17</v>
      </c>
      <c r="C1204" t="s">
        <v>56</v>
      </c>
      <c r="D1204" t="s">
        <v>614</v>
      </c>
      <c r="E1204">
        <v>19</v>
      </c>
      <c r="F1204">
        <v>31</v>
      </c>
      <c r="G1204">
        <v>2</v>
      </c>
      <c r="H1204">
        <v>29</v>
      </c>
      <c r="I1204" t="s">
        <v>243</v>
      </c>
    </row>
    <row r="1205" spans="1:9" x14ac:dyDescent="0.3">
      <c r="A1205">
        <v>487</v>
      </c>
      <c r="B1205">
        <v>17</v>
      </c>
      <c r="C1205" t="s">
        <v>38</v>
      </c>
      <c r="D1205" t="s">
        <v>625</v>
      </c>
      <c r="E1205">
        <v>20</v>
      </c>
      <c r="F1205">
        <v>34</v>
      </c>
      <c r="G1205">
        <v>2</v>
      </c>
      <c r="H1205">
        <v>58</v>
      </c>
      <c r="I1205" t="s">
        <v>243</v>
      </c>
    </row>
    <row r="1206" spans="1:9" x14ac:dyDescent="0.3">
      <c r="A1206">
        <v>487</v>
      </c>
      <c r="B1206">
        <v>17</v>
      </c>
      <c r="C1206" t="s">
        <v>92</v>
      </c>
      <c r="D1206" t="s">
        <v>624</v>
      </c>
      <c r="E1206">
        <v>13</v>
      </c>
      <c r="F1206">
        <v>22</v>
      </c>
      <c r="G1206">
        <v>1</v>
      </c>
      <c r="H1206">
        <v>5</v>
      </c>
      <c r="I1206" t="s">
        <v>243</v>
      </c>
    </row>
    <row r="1207" spans="1:9" x14ac:dyDescent="0.3">
      <c r="A1207">
        <v>488</v>
      </c>
      <c r="B1207">
        <v>10</v>
      </c>
      <c r="C1207" t="s">
        <v>89</v>
      </c>
      <c r="D1207" t="s">
        <v>627</v>
      </c>
      <c r="E1207">
        <v>14</v>
      </c>
      <c r="F1207">
        <v>23</v>
      </c>
      <c r="G1207">
        <v>3</v>
      </c>
      <c r="H1207">
        <v>52</v>
      </c>
      <c r="I1207" t="s">
        <v>242</v>
      </c>
    </row>
    <row r="1208" spans="1:9" x14ac:dyDescent="0.3">
      <c r="A1208">
        <v>488</v>
      </c>
      <c r="B1208">
        <v>10</v>
      </c>
      <c r="C1208" t="s">
        <v>56</v>
      </c>
      <c r="D1208" t="s">
        <v>614</v>
      </c>
      <c r="E1208">
        <v>19</v>
      </c>
      <c r="F1208">
        <v>31</v>
      </c>
      <c r="G1208">
        <v>2</v>
      </c>
      <c r="H1208">
        <v>18</v>
      </c>
      <c r="I1208" t="s">
        <v>243</v>
      </c>
    </row>
    <row r="1209" spans="1:9" x14ac:dyDescent="0.3">
      <c r="A1209">
        <v>488</v>
      </c>
      <c r="B1209">
        <v>10</v>
      </c>
      <c r="C1209" t="s">
        <v>46</v>
      </c>
      <c r="D1209" t="s">
        <v>629</v>
      </c>
      <c r="E1209">
        <v>10</v>
      </c>
      <c r="F1209">
        <v>18</v>
      </c>
      <c r="G1209">
        <v>3</v>
      </c>
      <c r="H1209">
        <v>54</v>
      </c>
      <c r="I1209" t="s">
        <v>242</v>
      </c>
    </row>
    <row r="1210" spans="1:9" x14ac:dyDescent="0.3">
      <c r="A1210">
        <v>489</v>
      </c>
      <c r="B1210">
        <v>3</v>
      </c>
      <c r="C1210" t="s">
        <v>89</v>
      </c>
      <c r="D1210" t="s">
        <v>627</v>
      </c>
      <c r="E1210">
        <v>14</v>
      </c>
      <c r="F1210">
        <v>23</v>
      </c>
      <c r="G1210">
        <v>3</v>
      </c>
      <c r="H1210">
        <v>6</v>
      </c>
      <c r="I1210" t="s">
        <v>243</v>
      </c>
    </row>
    <row r="1211" spans="1:9" x14ac:dyDescent="0.3">
      <c r="A1211">
        <v>489</v>
      </c>
      <c r="B1211">
        <v>3</v>
      </c>
      <c r="C1211" t="s">
        <v>34</v>
      </c>
      <c r="D1211" t="s">
        <v>616</v>
      </c>
      <c r="E1211">
        <v>25</v>
      </c>
      <c r="F1211">
        <v>40</v>
      </c>
      <c r="G1211">
        <v>2</v>
      </c>
      <c r="H1211">
        <v>28</v>
      </c>
      <c r="I1211" t="s">
        <v>243</v>
      </c>
    </row>
    <row r="1212" spans="1:9" x14ac:dyDescent="0.3">
      <c r="A1212">
        <v>490</v>
      </c>
      <c r="B1212">
        <v>1</v>
      </c>
      <c r="C1212" t="s">
        <v>71</v>
      </c>
      <c r="D1212" t="s">
        <v>630</v>
      </c>
      <c r="E1212">
        <v>15</v>
      </c>
      <c r="F1212">
        <v>26</v>
      </c>
      <c r="G1212">
        <v>3</v>
      </c>
      <c r="H1212">
        <v>34</v>
      </c>
      <c r="I1212" t="s">
        <v>242</v>
      </c>
    </row>
    <row r="1213" spans="1:9" x14ac:dyDescent="0.3">
      <c r="A1213">
        <v>490</v>
      </c>
      <c r="B1213">
        <v>1</v>
      </c>
      <c r="C1213" t="s">
        <v>105</v>
      </c>
      <c r="D1213" t="s">
        <v>623</v>
      </c>
      <c r="E1213">
        <v>19</v>
      </c>
      <c r="F1213">
        <v>32</v>
      </c>
      <c r="G1213">
        <v>1</v>
      </c>
      <c r="H1213">
        <v>55</v>
      </c>
      <c r="I1213" t="s">
        <v>242</v>
      </c>
    </row>
    <row r="1214" spans="1:9" x14ac:dyDescent="0.3">
      <c r="A1214">
        <v>490</v>
      </c>
      <c r="B1214">
        <v>1</v>
      </c>
      <c r="C1214" t="s">
        <v>38</v>
      </c>
      <c r="D1214" t="s">
        <v>625</v>
      </c>
      <c r="E1214">
        <v>20</v>
      </c>
      <c r="F1214">
        <v>34</v>
      </c>
      <c r="G1214">
        <v>3</v>
      </c>
      <c r="H1214">
        <v>42</v>
      </c>
      <c r="I1214" t="s">
        <v>242</v>
      </c>
    </row>
    <row r="1215" spans="1:9" x14ac:dyDescent="0.3">
      <c r="A1215">
        <v>491</v>
      </c>
      <c r="B1215">
        <v>7</v>
      </c>
      <c r="C1215" t="s">
        <v>40</v>
      </c>
      <c r="D1215" t="s">
        <v>613</v>
      </c>
      <c r="E1215">
        <v>18</v>
      </c>
      <c r="F1215">
        <v>30</v>
      </c>
      <c r="G1215">
        <v>2</v>
      </c>
      <c r="H1215">
        <v>11</v>
      </c>
      <c r="I1215" t="s">
        <v>242</v>
      </c>
    </row>
    <row r="1216" spans="1:9" x14ac:dyDescent="0.3">
      <c r="A1216">
        <v>491</v>
      </c>
      <c r="B1216">
        <v>7</v>
      </c>
      <c r="C1216" t="s">
        <v>26</v>
      </c>
      <c r="D1216" t="s">
        <v>618</v>
      </c>
      <c r="E1216">
        <v>17</v>
      </c>
      <c r="F1216">
        <v>29</v>
      </c>
      <c r="G1216">
        <v>2</v>
      </c>
      <c r="H1216">
        <v>30</v>
      </c>
      <c r="I1216" t="s">
        <v>242</v>
      </c>
    </row>
    <row r="1217" spans="1:9" x14ac:dyDescent="0.3">
      <c r="A1217">
        <v>492</v>
      </c>
      <c r="B1217">
        <v>4</v>
      </c>
      <c r="C1217" t="s">
        <v>112</v>
      </c>
      <c r="D1217" t="s">
        <v>619</v>
      </c>
      <c r="E1217">
        <v>20</v>
      </c>
      <c r="F1217">
        <v>33</v>
      </c>
      <c r="G1217">
        <v>3</v>
      </c>
      <c r="H1217">
        <v>15</v>
      </c>
      <c r="I1217" t="s">
        <v>242</v>
      </c>
    </row>
    <row r="1218" spans="1:9" x14ac:dyDescent="0.3">
      <c r="A1218">
        <v>492</v>
      </c>
      <c r="B1218">
        <v>4</v>
      </c>
      <c r="C1218" t="s">
        <v>42</v>
      </c>
      <c r="D1218" t="s">
        <v>628</v>
      </c>
      <c r="E1218">
        <v>13</v>
      </c>
      <c r="F1218">
        <v>21</v>
      </c>
      <c r="G1218">
        <v>3</v>
      </c>
      <c r="H1218">
        <v>8</v>
      </c>
      <c r="I1218" t="s">
        <v>242</v>
      </c>
    </row>
    <row r="1219" spans="1:9" x14ac:dyDescent="0.3">
      <c r="A1219">
        <v>492</v>
      </c>
      <c r="B1219">
        <v>4</v>
      </c>
      <c r="C1219" t="s">
        <v>75</v>
      </c>
      <c r="D1219" t="s">
        <v>612</v>
      </c>
      <c r="E1219">
        <v>14</v>
      </c>
      <c r="F1219">
        <v>24</v>
      </c>
      <c r="G1219">
        <v>2</v>
      </c>
      <c r="H1219">
        <v>26</v>
      </c>
      <c r="I1219" t="s">
        <v>242</v>
      </c>
    </row>
    <row r="1220" spans="1:9" x14ac:dyDescent="0.3">
      <c r="A1220">
        <v>493</v>
      </c>
      <c r="B1220">
        <v>2</v>
      </c>
      <c r="C1220" t="s">
        <v>46</v>
      </c>
      <c r="D1220" t="s">
        <v>629</v>
      </c>
      <c r="E1220">
        <v>10</v>
      </c>
      <c r="F1220">
        <v>18</v>
      </c>
      <c r="G1220">
        <v>3</v>
      </c>
      <c r="H1220">
        <v>8</v>
      </c>
      <c r="I1220" t="s">
        <v>243</v>
      </c>
    </row>
    <row r="1221" spans="1:9" x14ac:dyDescent="0.3">
      <c r="A1221">
        <v>494</v>
      </c>
      <c r="B1221">
        <v>20</v>
      </c>
      <c r="C1221" t="s">
        <v>105</v>
      </c>
      <c r="D1221" t="s">
        <v>623</v>
      </c>
      <c r="E1221">
        <v>19</v>
      </c>
      <c r="F1221">
        <v>32</v>
      </c>
      <c r="G1221">
        <v>2</v>
      </c>
      <c r="H1221">
        <v>9</v>
      </c>
      <c r="I1221" t="s">
        <v>242</v>
      </c>
    </row>
    <row r="1222" spans="1:9" x14ac:dyDescent="0.3">
      <c r="A1222">
        <v>494</v>
      </c>
      <c r="B1222">
        <v>20</v>
      </c>
      <c r="C1222" t="s">
        <v>44</v>
      </c>
      <c r="D1222" t="s">
        <v>617</v>
      </c>
      <c r="E1222">
        <v>22</v>
      </c>
      <c r="F1222">
        <v>36</v>
      </c>
      <c r="G1222">
        <v>3</v>
      </c>
      <c r="H1222">
        <v>22</v>
      </c>
      <c r="I1222" t="s">
        <v>242</v>
      </c>
    </row>
    <row r="1223" spans="1:9" x14ac:dyDescent="0.3">
      <c r="A1223">
        <v>495</v>
      </c>
      <c r="B1223">
        <v>11</v>
      </c>
      <c r="C1223" t="s">
        <v>112</v>
      </c>
      <c r="D1223" t="s">
        <v>619</v>
      </c>
      <c r="E1223">
        <v>20</v>
      </c>
      <c r="F1223">
        <v>33</v>
      </c>
      <c r="G1223">
        <v>1</v>
      </c>
      <c r="H1223">
        <v>36</v>
      </c>
      <c r="I1223" t="s">
        <v>243</v>
      </c>
    </row>
    <row r="1224" spans="1:9" x14ac:dyDescent="0.3">
      <c r="A1224">
        <v>495</v>
      </c>
      <c r="B1224">
        <v>11</v>
      </c>
      <c r="C1224" t="s">
        <v>30</v>
      </c>
      <c r="D1224" t="s">
        <v>620</v>
      </c>
      <c r="E1224">
        <v>16</v>
      </c>
      <c r="F1224">
        <v>28</v>
      </c>
      <c r="G1224">
        <v>2</v>
      </c>
      <c r="H1224">
        <v>44</v>
      </c>
      <c r="I1224" t="s">
        <v>242</v>
      </c>
    </row>
    <row r="1225" spans="1:9" x14ac:dyDescent="0.3">
      <c r="A1225">
        <v>495</v>
      </c>
      <c r="B1225">
        <v>11</v>
      </c>
      <c r="C1225" t="s">
        <v>34</v>
      </c>
      <c r="D1225" t="s">
        <v>616</v>
      </c>
      <c r="E1225">
        <v>25</v>
      </c>
      <c r="F1225">
        <v>40</v>
      </c>
      <c r="G1225">
        <v>3</v>
      </c>
      <c r="H1225">
        <v>13</v>
      </c>
      <c r="I1225" t="s">
        <v>243</v>
      </c>
    </row>
    <row r="1226" spans="1:9" x14ac:dyDescent="0.3">
      <c r="A1226">
        <v>495</v>
      </c>
      <c r="B1226">
        <v>11</v>
      </c>
      <c r="C1226" t="s">
        <v>50</v>
      </c>
      <c r="D1226" t="s">
        <v>615</v>
      </c>
      <c r="E1226">
        <v>16</v>
      </c>
      <c r="F1226">
        <v>27</v>
      </c>
      <c r="G1226">
        <v>2</v>
      </c>
      <c r="H1226">
        <v>9</v>
      </c>
      <c r="I1226" t="s">
        <v>243</v>
      </c>
    </row>
    <row r="1227" spans="1:9" x14ac:dyDescent="0.3">
      <c r="A1227">
        <v>496</v>
      </c>
      <c r="B1227">
        <v>1</v>
      </c>
      <c r="C1227" t="s">
        <v>112</v>
      </c>
      <c r="D1227" t="s">
        <v>619</v>
      </c>
      <c r="E1227">
        <v>20</v>
      </c>
      <c r="F1227">
        <v>33</v>
      </c>
      <c r="G1227">
        <v>1</v>
      </c>
      <c r="H1227">
        <v>28</v>
      </c>
      <c r="I1227" t="s">
        <v>242</v>
      </c>
    </row>
    <row r="1228" spans="1:9" x14ac:dyDescent="0.3">
      <c r="A1228">
        <v>496</v>
      </c>
      <c r="B1228">
        <v>1</v>
      </c>
      <c r="C1228" t="s">
        <v>53</v>
      </c>
      <c r="D1228" t="s">
        <v>621</v>
      </c>
      <c r="E1228">
        <v>11</v>
      </c>
      <c r="F1228">
        <v>19</v>
      </c>
      <c r="G1228">
        <v>3</v>
      </c>
      <c r="H1228">
        <v>41</v>
      </c>
      <c r="I1228" t="s">
        <v>243</v>
      </c>
    </row>
    <row r="1229" spans="1:9" x14ac:dyDescent="0.3">
      <c r="A1229">
        <v>496</v>
      </c>
      <c r="B1229">
        <v>1</v>
      </c>
      <c r="C1229" t="s">
        <v>56</v>
      </c>
      <c r="D1229" t="s">
        <v>614</v>
      </c>
      <c r="E1229">
        <v>19</v>
      </c>
      <c r="F1229">
        <v>31</v>
      </c>
      <c r="G1229">
        <v>1</v>
      </c>
      <c r="H1229">
        <v>41</v>
      </c>
      <c r="I1229" t="s">
        <v>243</v>
      </c>
    </row>
    <row r="1230" spans="1:9" x14ac:dyDescent="0.3">
      <c r="A1230">
        <v>496</v>
      </c>
      <c r="B1230">
        <v>1</v>
      </c>
      <c r="C1230" t="s">
        <v>38</v>
      </c>
      <c r="D1230" t="s">
        <v>625</v>
      </c>
      <c r="E1230">
        <v>20</v>
      </c>
      <c r="F1230">
        <v>34</v>
      </c>
      <c r="G1230">
        <v>3</v>
      </c>
      <c r="H1230">
        <v>23</v>
      </c>
      <c r="I1230" t="s">
        <v>242</v>
      </c>
    </row>
    <row r="1231" spans="1:9" x14ac:dyDescent="0.3">
      <c r="A1231">
        <v>497</v>
      </c>
      <c r="B1231">
        <v>13</v>
      </c>
      <c r="C1231" t="s">
        <v>40</v>
      </c>
      <c r="D1231" t="s">
        <v>613</v>
      </c>
      <c r="E1231">
        <v>18</v>
      </c>
      <c r="F1231">
        <v>30</v>
      </c>
      <c r="G1231">
        <v>1</v>
      </c>
      <c r="H1231">
        <v>6</v>
      </c>
      <c r="I1231" t="s">
        <v>243</v>
      </c>
    </row>
    <row r="1232" spans="1:9" x14ac:dyDescent="0.3">
      <c r="A1232">
        <v>497</v>
      </c>
      <c r="B1232">
        <v>13</v>
      </c>
      <c r="C1232" t="s">
        <v>34</v>
      </c>
      <c r="D1232" t="s">
        <v>616</v>
      </c>
      <c r="E1232">
        <v>25</v>
      </c>
      <c r="F1232">
        <v>40</v>
      </c>
      <c r="G1232">
        <v>3</v>
      </c>
      <c r="H1232">
        <v>32</v>
      </c>
      <c r="I1232" t="s">
        <v>243</v>
      </c>
    </row>
    <row r="1233" spans="1:9" x14ac:dyDescent="0.3">
      <c r="A1233">
        <v>498</v>
      </c>
      <c r="B1233">
        <v>20</v>
      </c>
      <c r="C1233" t="s">
        <v>53</v>
      </c>
      <c r="D1233" t="s">
        <v>621</v>
      </c>
      <c r="E1233">
        <v>11</v>
      </c>
      <c r="F1233">
        <v>19</v>
      </c>
      <c r="G1233">
        <v>1</v>
      </c>
      <c r="H1233">
        <v>32</v>
      </c>
      <c r="I1233" t="s">
        <v>242</v>
      </c>
    </row>
    <row r="1234" spans="1:9" x14ac:dyDescent="0.3">
      <c r="A1234">
        <v>499</v>
      </c>
      <c r="B1234">
        <v>5</v>
      </c>
      <c r="C1234" t="s">
        <v>60</v>
      </c>
      <c r="D1234" t="s">
        <v>631</v>
      </c>
      <c r="E1234">
        <v>15</v>
      </c>
      <c r="F1234">
        <v>25</v>
      </c>
      <c r="G1234">
        <v>2</v>
      </c>
      <c r="H1234">
        <v>42</v>
      </c>
      <c r="I1234" t="s">
        <v>243</v>
      </c>
    </row>
    <row r="1235" spans="1:9" x14ac:dyDescent="0.3">
      <c r="A1235">
        <v>499</v>
      </c>
      <c r="B1235">
        <v>5</v>
      </c>
      <c r="C1235" t="s">
        <v>71</v>
      </c>
      <c r="D1235" t="s">
        <v>630</v>
      </c>
      <c r="E1235">
        <v>15</v>
      </c>
      <c r="F1235">
        <v>26</v>
      </c>
      <c r="G1235">
        <v>3</v>
      </c>
      <c r="H1235">
        <v>52</v>
      </c>
      <c r="I1235" t="s">
        <v>242</v>
      </c>
    </row>
    <row r="1236" spans="1:9" x14ac:dyDescent="0.3">
      <c r="A1236">
        <v>499</v>
      </c>
      <c r="B1236">
        <v>5</v>
      </c>
      <c r="C1236" t="s">
        <v>40</v>
      </c>
      <c r="D1236" t="s">
        <v>613</v>
      </c>
      <c r="E1236">
        <v>18</v>
      </c>
      <c r="F1236">
        <v>30</v>
      </c>
      <c r="G1236">
        <v>1</v>
      </c>
      <c r="H1236">
        <v>36</v>
      </c>
      <c r="I1236" t="s">
        <v>243</v>
      </c>
    </row>
    <row r="1237" spans="1:9" x14ac:dyDescent="0.3">
      <c r="A1237">
        <v>500</v>
      </c>
      <c r="B1237">
        <v>4</v>
      </c>
      <c r="C1237" t="s">
        <v>92</v>
      </c>
      <c r="D1237" t="s">
        <v>624</v>
      </c>
      <c r="E1237">
        <v>13</v>
      </c>
      <c r="F1237">
        <v>22</v>
      </c>
      <c r="G1237">
        <v>3</v>
      </c>
      <c r="H1237">
        <v>20</v>
      </c>
      <c r="I1237" t="s">
        <v>242</v>
      </c>
    </row>
    <row r="1238" spans="1:9" x14ac:dyDescent="0.3">
      <c r="A1238">
        <v>500</v>
      </c>
      <c r="B1238">
        <v>4</v>
      </c>
      <c r="C1238" t="s">
        <v>50</v>
      </c>
      <c r="D1238" t="s">
        <v>615</v>
      </c>
      <c r="E1238">
        <v>16</v>
      </c>
      <c r="F1238">
        <v>27</v>
      </c>
      <c r="G1238">
        <v>1</v>
      </c>
      <c r="H1238">
        <v>22</v>
      </c>
      <c r="I1238" t="s">
        <v>243</v>
      </c>
    </row>
    <row r="1239" spans="1:9" x14ac:dyDescent="0.3">
      <c r="A1239">
        <v>501</v>
      </c>
      <c r="B1239">
        <v>7</v>
      </c>
      <c r="C1239" t="s">
        <v>42</v>
      </c>
      <c r="D1239" t="s">
        <v>628</v>
      </c>
      <c r="E1239">
        <v>13</v>
      </c>
      <c r="F1239">
        <v>21</v>
      </c>
      <c r="G1239">
        <v>2</v>
      </c>
      <c r="H1239">
        <v>15</v>
      </c>
      <c r="I1239" t="s">
        <v>243</v>
      </c>
    </row>
    <row r="1240" spans="1:9" x14ac:dyDescent="0.3">
      <c r="A1240">
        <v>501</v>
      </c>
      <c r="B1240">
        <v>7</v>
      </c>
      <c r="C1240" t="s">
        <v>30</v>
      </c>
      <c r="D1240" t="s">
        <v>620</v>
      </c>
      <c r="E1240">
        <v>16</v>
      </c>
      <c r="F1240">
        <v>28</v>
      </c>
      <c r="G1240">
        <v>2</v>
      </c>
      <c r="H1240">
        <v>6</v>
      </c>
      <c r="I1240" t="s">
        <v>242</v>
      </c>
    </row>
    <row r="1241" spans="1:9" x14ac:dyDescent="0.3">
      <c r="A1241">
        <v>501</v>
      </c>
      <c r="B1241">
        <v>7</v>
      </c>
      <c r="C1241" t="s">
        <v>34</v>
      </c>
      <c r="D1241" t="s">
        <v>616</v>
      </c>
      <c r="E1241">
        <v>25</v>
      </c>
      <c r="F1241">
        <v>40</v>
      </c>
      <c r="G1241">
        <v>1</v>
      </c>
      <c r="H1241">
        <v>18</v>
      </c>
      <c r="I1241" t="s">
        <v>243</v>
      </c>
    </row>
    <row r="1242" spans="1:9" x14ac:dyDescent="0.3">
      <c r="A1242">
        <v>502</v>
      </c>
      <c r="B1242">
        <v>5</v>
      </c>
      <c r="C1242" t="s">
        <v>112</v>
      </c>
      <c r="D1242" t="s">
        <v>619</v>
      </c>
      <c r="E1242">
        <v>20</v>
      </c>
      <c r="F1242">
        <v>33</v>
      </c>
      <c r="G1242">
        <v>3</v>
      </c>
      <c r="H1242">
        <v>35</v>
      </c>
      <c r="I1242" t="s">
        <v>243</v>
      </c>
    </row>
    <row r="1243" spans="1:9" x14ac:dyDescent="0.3">
      <c r="A1243">
        <v>502</v>
      </c>
      <c r="B1243">
        <v>5</v>
      </c>
      <c r="C1243" t="s">
        <v>46</v>
      </c>
      <c r="D1243" t="s">
        <v>629</v>
      </c>
      <c r="E1243">
        <v>10</v>
      </c>
      <c r="F1243">
        <v>18</v>
      </c>
      <c r="G1243">
        <v>1</v>
      </c>
      <c r="H1243">
        <v>5</v>
      </c>
      <c r="I1243" t="s">
        <v>242</v>
      </c>
    </row>
    <row r="1244" spans="1:9" x14ac:dyDescent="0.3">
      <c r="A1244">
        <v>502</v>
      </c>
      <c r="B1244">
        <v>5</v>
      </c>
      <c r="C1244" t="s">
        <v>92</v>
      </c>
      <c r="D1244" t="s">
        <v>624</v>
      </c>
      <c r="E1244">
        <v>13</v>
      </c>
      <c r="F1244">
        <v>22</v>
      </c>
      <c r="G1244">
        <v>1</v>
      </c>
      <c r="H1244">
        <v>33</v>
      </c>
      <c r="I1244" t="s">
        <v>242</v>
      </c>
    </row>
    <row r="1245" spans="1:9" x14ac:dyDescent="0.3">
      <c r="A1245">
        <v>503</v>
      </c>
      <c r="B1245">
        <v>3</v>
      </c>
      <c r="C1245" t="s">
        <v>53</v>
      </c>
      <c r="D1245" t="s">
        <v>621</v>
      </c>
      <c r="E1245">
        <v>11</v>
      </c>
      <c r="F1245">
        <v>19</v>
      </c>
      <c r="G1245">
        <v>3</v>
      </c>
      <c r="H1245">
        <v>33</v>
      </c>
      <c r="I1245" t="s">
        <v>243</v>
      </c>
    </row>
    <row r="1246" spans="1:9" x14ac:dyDescent="0.3">
      <c r="A1246">
        <v>503</v>
      </c>
      <c r="B1246">
        <v>3</v>
      </c>
      <c r="C1246" t="s">
        <v>34</v>
      </c>
      <c r="D1246" t="s">
        <v>616</v>
      </c>
      <c r="E1246">
        <v>25</v>
      </c>
      <c r="F1246">
        <v>40</v>
      </c>
      <c r="G1246">
        <v>2</v>
      </c>
      <c r="H1246">
        <v>52</v>
      </c>
      <c r="I1246" t="s">
        <v>242</v>
      </c>
    </row>
    <row r="1247" spans="1:9" x14ac:dyDescent="0.3">
      <c r="A1247">
        <v>504</v>
      </c>
      <c r="B1247">
        <v>2</v>
      </c>
      <c r="C1247" t="s">
        <v>50</v>
      </c>
      <c r="D1247" t="s">
        <v>615</v>
      </c>
      <c r="E1247">
        <v>16</v>
      </c>
      <c r="F1247">
        <v>27</v>
      </c>
      <c r="G1247">
        <v>2</v>
      </c>
      <c r="H1247">
        <v>19</v>
      </c>
      <c r="I1247" t="s">
        <v>242</v>
      </c>
    </row>
    <row r="1248" spans="1:9" x14ac:dyDescent="0.3">
      <c r="A1248">
        <v>505</v>
      </c>
      <c r="B1248">
        <v>5</v>
      </c>
      <c r="C1248" t="s">
        <v>60</v>
      </c>
      <c r="D1248" t="s">
        <v>631</v>
      </c>
      <c r="E1248">
        <v>15</v>
      </c>
      <c r="F1248">
        <v>25</v>
      </c>
      <c r="G1248">
        <v>3</v>
      </c>
      <c r="H1248">
        <v>59</v>
      </c>
      <c r="I1248" t="s">
        <v>242</v>
      </c>
    </row>
    <row r="1249" spans="1:9" x14ac:dyDescent="0.3">
      <c r="A1249">
        <v>505</v>
      </c>
      <c r="B1249">
        <v>5</v>
      </c>
      <c r="C1249" t="s">
        <v>34</v>
      </c>
      <c r="D1249" t="s">
        <v>616</v>
      </c>
      <c r="E1249">
        <v>25</v>
      </c>
      <c r="F1249">
        <v>40</v>
      </c>
      <c r="G1249">
        <v>2</v>
      </c>
      <c r="H1249">
        <v>56</v>
      </c>
      <c r="I1249" t="s">
        <v>242</v>
      </c>
    </row>
    <row r="1250" spans="1:9" x14ac:dyDescent="0.3">
      <c r="A1250">
        <v>506</v>
      </c>
      <c r="B1250">
        <v>18</v>
      </c>
      <c r="C1250" t="s">
        <v>19</v>
      </c>
      <c r="D1250" t="s">
        <v>622</v>
      </c>
      <c r="E1250">
        <v>21</v>
      </c>
      <c r="F1250">
        <v>35</v>
      </c>
      <c r="G1250">
        <v>2</v>
      </c>
      <c r="H1250">
        <v>5</v>
      </c>
      <c r="I1250" t="s">
        <v>243</v>
      </c>
    </row>
    <row r="1251" spans="1:9" x14ac:dyDescent="0.3">
      <c r="A1251">
        <v>507</v>
      </c>
      <c r="B1251">
        <v>18</v>
      </c>
      <c r="C1251" t="s">
        <v>38</v>
      </c>
      <c r="D1251" t="s">
        <v>625</v>
      </c>
      <c r="E1251">
        <v>20</v>
      </c>
      <c r="F1251">
        <v>34</v>
      </c>
      <c r="G1251">
        <v>3</v>
      </c>
      <c r="H1251">
        <v>53</v>
      </c>
      <c r="I1251" t="s">
        <v>242</v>
      </c>
    </row>
    <row r="1252" spans="1:9" x14ac:dyDescent="0.3">
      <c r="A1252">
        <v>507</v>
      </c>
      <c r="B1252">
        <v>18</v>
      </c>
      <c r="C1252" t="s">
        <v>44</v>
      </c>
      <c r="D1252" t="s">
        <v>617</v>
      </c>
      <c r="E1252">
        <v>22</v>
      </c>
      <c r="F1252">
        <v>36</v>
      </c>
      <c r="G1252">
        <v>3</v>
      </c>
      <c r="H1252">
        <v>16</v>
      </c>
      <c r="I1252" t="s">
        <v>243</v>
      </c>
    </row>
    <row r="1253" spans="1:9" x14ac:dyDescent="0.3">
      <c r="A1253">
        <v>508</v>
      </c>
      <c r="B1253">
        <v>6</v>
      </c>
      <c r="C1253" t="s">
        <v>105</v>
      </c>
      <c r="D1253" t="s">
        <v>623</v>
      </c>
      <c r="E1253">
        <v>19</v>
      </c>
      <c r="F1253">
        <v>32</v>
      </c>
      <c r="G1253">
        <v>1</v>
      </c>
      <c r="H1253">
        <v>34</v>
      </c>
      <c r="I1253" t="s">
        <v>243</v>
      </c>
    </row>
    <row r="1254" spans="1:9" x14ac:dyDescent="0.3">
      <c r="A1254">
        <v>509</v>
      </c>
      <c r="B1254">
        <v>5</v>
      </c>
      <c r="C1254" t="s">
        <v>34</v>
      </c>
      <c r="D1254" t="s">
        <v>616</v>
      </c>
      <c r="E1254">
        <v>25</v>
      </c>
      <c r="F1254">
        <v>40</v>
      </c>
      <c r="G1254">
        <v>2</v>
      </c>
      <c r="H1254">
        <v>47</v>
      </c>
      <c r="I1254" t="s">
        <v>242</v>
      </c>
    </row>
    <row r="1255" spans="1:9" x14ac:dyDescent="0.3">
      <c r="A1255">
        <v>510</v>
      </c>
      <c r="B1255">
        <v>6</v>
      </c>
      <c r="C1255" t="s">
        <v>44</v>
      </c>
      <c r="D1255" t="s">
        <v>617</v>
      </c>
      <c r="E1255">
        <v>22</v>
      </c>
      <c r="F1255">
        <v>36</v>
      </c>
      <c r="G1255">
        <v>1</v>
      </c>
      <c r="H1255">
        <v>48</v>
      </c>
      <c r="I1255" t="s">
        <v>242</v>
      </c>
    </row>
    <row r="1256" spans="1:9" x14ac:dyDescent="0.3">
      <c r="A1256">
        <v>511</v>
      </c>
      <c r="B1256">
        <v>2</v>
      </c>
      <c r="C1256" t="s">
        <v>89</v>
      </c>
      <c r="D1256" t="s">
        <v>627</v>
      </c>
      <c r="E1256">
        <v>14</v>
      </c>
      <c r="F1256">
        <v>23</v>
      </c>
      <c r="G1256">
        <v>3</v>
      </c>
      <c r="H1256">
        <v>14</v>
      </c>
      <c r="I1256" t="s">
        <v>242</v>
      </c>
    </row>
    <row r="1257" spans="1:9" x14ac:dyDescent="0.3">
      <c r="A1257">
        <v>511</v>
      </c>
      <c r="B1257">
        <v>2</v>
      </c>
      <c r="C1257" t="s">
        <v>38</v>
      </c>
      <c r="D1257" t="s">
        <v>625</v>
      </c>
      <c r="E1257">
        <v>20</v>
      </c>
      <c r="F1257">
        <v>34</v>
      </c>
      <c r="G1257">
        <v>2</v>
      </c>
      <c r="H1257">
        <v>24</v>
      </c>
      <c r="I1257" t="s">
        <v>242</v>
      </c>
    </row>
    <row r="1258" spans="1:9" x14ac:dyDescent="0.3">
      <c r="A1258">
        <v>512</v>
      </c>
      <c r="B1258">
        <v>2</v>
      </c>
      <c r="C1258" t="s">
        <v>44</v>
      </c>
      <c r="D1258" t="s">
        <v>617</v>
      </c>
      <c r="E1258">
        <v>22</v>
      </c>
      <c r="F1258">
        <v>36</v>
      </c>
      <c r="G1258">
        <v>3</v>
      </c>
      <c r="H1258">
        <v>53</v>
      </c>
      <c r="I1258" t="s">
        <v>243</v>
      </c>
    </row>
    <row r="1259" spans="1:9" x14ac:dyDescent="0.3">
      <c r="A1259">
        <v>512</v>
      </c>
      <c r="B1259">
        <v>2</v>
      </c>
      <c r="C1259" t="s">
        <v>66</v>
      </c>
      <c r="D1259" t="s">
        <v>626</v>
      </c>
      <c r="E1259">
        <v>12</v>
      </c>
      <c r="F1259">
        <v>20</v>
      </c>
      <c r="G1259">
        <v>1</v>
      </c>
      <c r="H1259">
        <v>6</v>
      </c>
      <c r="I1259" t="s">
        <v>243</v>
      </c>
    </row>
    <row r="1260" spans="1:9" x14ac:dyDescent="0.3">
      <c r="A1260">
        <v>513</v>
      </c>
      <c r="B1260">
        <v>8</v>
      </c>
      <c r="C1260" t="s">
        <v>46</v>
      </c>
      <c r="D1260" t="s">
        <v>629</v>
      </c>
      <c r="E1260">
        <v>10</v>
      </c>
      <c r="F1260">
        <v>18</v>
      </c>
      <c r="G1260">
        <v>3</v>
      </c>
      <c r="H1260">
        <v>56</v>
      </c>
      <c r="I1260" t="s">
        <v>243</v>
      </c>
    </row>
    <row r="1261" spans="1:9" x14ac:dyDescent="0.3">
      <c r="A1261">
        <v>514</v>
      </c>
      <c r="B1261">
        <v>18</v>
      </c>
      <c r="C1261" t="s">
        <v>71</v>
      </c>
      <c r="D1261" t="s">
        <v>630</v>
      </c>
      <c r="E1261">
        <v>15</v>
      </c>
      <c r="F1261">
        <v>26</v>
      </c>
      <c r="G1261">
        <v>2</v>
      </c>
      <c r="H1261">
        <v>21</v>
      </c>
      <c r="I1261" t="s">
        <v>242</v>
      </c>
    </row>
    <row r="1262" spans="1:9" x14ac:dyDescent="0.3">
      <c r="A1262">
        <v>514</v>
      </c>
      <c r="B1262">
        <v>18</v>
      </c>
      <c r="C1262" t="s">
        <v>53</v>
      </c>
      <c r="D1262" t="s">
        <v>621</v>
      </c>
      <c r="E1262">
        <v>11</v>
      </c>
      <c r="F1262">
        <v>19</v>
      </c>
      <c r="G1262">
        <v>2</v>
      </c>
      <c r="H1262">
        <v>56</v>
      </c>
      <c r="I1262" t="s">
        <v>243</v>
      </c>
    </row>
    <row r="1263" spans="1:9" x14ac:dyDescent="0.3">
      <c r="A1263">
        <v>514</v>
      </c>
      <c r="B1263">
        <v>18</v>
      </c>
      <c r="C1263" t="s">
        <v>105</v>
      </c>
      <c r="D1263" t="s">
        <v>623</v>
      </c>
      <c r="E1263">
        <v>19</v>
      </c>
      <c r="F1263">
        <v>32</v>
      </c>
      <c r="G1263">
        <v>2</v>
      </c>
      <c r="H1263">
        <v>10</v>
      </c>
      <c r="I1263" t="s">
        <v>242</v>
      </c>
    </row>
    <row r="1264" spans="1:9" x14ac:dyDescent="0.3">
      <c r="A1264">
        <v>514</v>
      </c>
      <c r="B1264">
        <v>18</v>
      </c>
      <c r="C1264" t="s">
        <v>66</v>
      </c>
      <c r="D1264" t="s">
        <v>626</v>
      </c>
      <c r="E1264">
        <v>12</v>
      </c>
      <c r="F1264">
        <v>20</v>
      </c>
      <c r="G1264">
        <v>1</v>
      </c>
      <c r="H1264">
        <v>25</v>
      </c>
      <c r="I1264" t="s">
        <v>243</v>
      </c>
    </row>
    <row r="1265" spans="1:9" x14ac:dyDescent="0.3">
      <c r="A1265">
        <v>515</v>
      </c>
      <c r="B1265">
        <v>19</v>
      </c>
      <c r="C1265" t="s">
        <v>46</v>
      </c>
      <c r="D1265" t="s">
        <v>629</v>
      </c>
      <c r="E1265">
        <v>10</v>
      </c>
      <c r="F1265">
        <v>18</v>
      </c>
      <c r="G1265">
        <v>1</v>
      </c>
      <c r="H1265">
        <v>13</v>
      </c>
      <c r="I1265" t="s">
        <v>243</v>
      </c>
    </row>
    <row r="1266" spans="1:9" x14ac:dyDescent="0.3">
      <c r="A1266">
        <v>516</v>
      </c>
      <c r="B1266">
        <v>7</v>
      </c>
      <c r="C1266" t="s">
        <v>53</v>
      </c>
      <c r="D1266" t="s">
        <v>621</v>
      </c>
      <c r="E1266">
        <v>11</v>
      </c>
      <c r="F1266">
        <v>19</v>
      </c>
      <c r="G1266">
        <v>3</v>
      </c>
      <c r="H1266">
        <v>43</v>
      </c>
      <c r="I1266" t="s">
        <v>242</v>
      </c>
    </row>
    <row r="1267" spans="1:9" x14ac:dyDescent="0.3">
      <c r="A1267">
        <v>516</v>
      </c>
      <c r="B1267">
        <v>7</v>
      </c>
      <c r="C1267" t="s">
        <v>89</v>
      </c>
      <c r="D1267" t="s">
        <v>627</v>
      </c>
      <c r="E1267">
        <v>14</v>
      </c>
      <c r="F1267">
        <v>23</v>
      </c>
      <c r="G1267">
        <v>3</v>
      </c>
      <c r="H1267">
        <v>40</v>
      </c>
      <c r="I1267" t="s">
        <v>242</v>
      </c>
    </row>
    <row r="1268" spans="1:9" x14ac:dyDescent="0.3">
      <c r="A1268">
        <v>516</v>
      </c>
      <c r="B1268">
        <v>7</v>
      </c>
      <c r="C1268" t="s">
        <v>66</v>
      </c>
      <c r="D1268" t="s">
        <v>626</v>
      </c>
      <c r="E1268">
        <v>12</v>
      </c>
      <c r="F1268">
        <v>20</v>
      </c>
      <c r="G1268">
        <v>1</v>
      </c>
      <c r="H1268">
        <v>14</v>
      </c>
      <c r="I1268" t="s">
        <v>242</v>
      </c>
    </row>
    <row r="1269" spans="1:9" x14ac:dyDescent="0.3">
      <c r="A1269">
        <v>517</v>
      </c>
      <c r="B1269">
        <v>4</v>
      </c>
      <c r="C1269" t="s">
        <v>53</v>
      </c>
      <c r="D1269" t="s">
        <v>621</v>
      </c>
      <c r="E1269">
        <v>11</v>
      </c>
      <c r="F1269">
        <v>19</v>
      </c>
      <c r="G1269">
        <v>3</v>
      </c>
      <c r="H1269">
        <v>44</v>
      </c>
      <c r="I1269" t="s">
        <v>242</v>
      </c>
    </row>
    <row r="1270" spans="1:9" x14ac:dyDescent="0.3">
      <c r="A1270">
        <v>517</v>
      </c>
      <c r="B1270">
        <v>4</v>
      </c>
      <c r="C1270" t="s">
        <v>92</v>
      </c>
      <c r="D1270" t="s">
        <v>624</v>
      </c>
      <c r="E1270">
        <v>13</v>
      </c>
      <c r="F1270">
        <v>22</v>
      </c>
      <c r="G1270">
        <v>1</v>
      </c>
      <c r="H1270">
        <v>15</v>
      </c>
      <c r="I1270" t="s">
        <v>243</v>
      </c>
    </row>
    <row r="1271" spans="1:9" x14ac:dyDescent="0.3">
      <c r="A1271">
        <v>517</v>
      </c>
      <c r="B1271">
        <v>4</v>
      </c>
      <c r="C1271" t="s">
        <v>75</v>
      </c>
      <c r="D1271" t="s">
        <v>612</v>
      </c>
      <c r="E1271">
        <v>14</v>
      </c>
      <c r="F1271">
        <v>24</v>
      </c>
      <c r="G1271">
        <v>1</v>
      </c>
      <c r="H1271">
        <v>6</v>
      </c>
      <c r="I1271" t="s">
        <v>242</v>
      </c>
    </row>
    <row r="1272" spans="1:9" x14ac:dyDescent="0.3">
      <c r="A1272">
        <v>518</v>
      </c>
      <c r="B1272">
        <v>5</v>
      </c>
      <c r="C1272" t="s">
        <v>112</v>
      </c>
      <c r="D1272" t="s">
        <v>619</v>
      </c>
      <c r="E1272">
        <v>20</v>
      </c>
      <c r="F1272">
        <v>33</v>
      </c>
      <c r="G1272">
        <v>1</v>
      </c>
      <c r="H1272">
        <v>48</v>
      </c>
      <c r="I1272" t="s">
        <v>242</v>
      </c>
    </row>
    <row r="1273" spans="1:9" x14ac:dyDescent="0.3">
      <c r="A1273">
        <v>518</v>
      </c>
      <c r="B1273">
        <v>5</v>
      </c>
      <c r="C1273" t="s">
        <v>92</v>
      </c>
      <c r="D1273" t="s">
        <v>624</v>
      </c>
      <c r="E1273">
        <v>13</v>
      </c>
      <c r="F1273">
        <v>22</v>
      </c>
      <c r="G1273">
        <v>2</v>
      </c>
      <c r="H1273">
        <v>5</v>
      </c>
      <c r="I1273" t="s">
        <v>243</v>
      </c>
    </row>
    <row r="1274" spans="1:9" x14ac:dyDescent="0.3">
      <c r="A1274">
        <v>519</v>
      </c>
      <c r="B1274">
        <v>6</v>
      </c>
      <c r="C1274" t="s">
        <v>34</v>
      </c>
      <c r="D1274" t="s">
        <v>616</v>
      </c>
      <c r="E1274">
        <v>25</v>
      </c>
      <c r="F1274">
        <v>40</v>
      </c>
      <c r="G1274">
        <v>3</v>
      </c>
      <c r="H1274">
        <v>51</v>
      </c>
      <c r="I1274" t="s">
        <v>243</v>
      </c>
    </row>
    <row r="1275" spans="1:9" x14ac:dyDescent="0.3">
      <c r="A1275">
        <v>519</v>
      </c>
      <c r="B1275">
        <v>6</v>
      </c>
      <c r="C1275" t="s">
        <v>92</v>
      </c>
      <c r="D1275" t="s">
        <v>624</v>
      </c>
      <c r="E1275">
        <v>13</v>
      </c>
      <c r="F1275">
        <v>22</v>
      </c>
      <c r="G1275">
        <v>2</v>
      </c>
      <c r="H1275">
        <v>56</v>
      </c>
      <c r="I1275" t="s">
        <v>242</v>
      </c>
    </row>
    <row r="1276" spans="1:9" x14ac:dyDescent="0.3">
      <c r="A1276">
        <v>519</v>
      </c>
      <c r="B1276">
        <v>6</v>
      </c>
      <c r="C1276" t="s">
        <v>50</v>
      </c>
      <c r="D1276" t="s">
        <v>615</v>
      </c>
      <c r="E1276">
        <v>16</v>
      </c>
      <c r="F1276">
        <v>27</v>
      </c>
      <c r="G1276">
        <v>3</v>
      </c>
      <c r="H1276">
        <v>49</v>
      </c>
      <c r="I1276" t="s">
        <v>242</v>
      </c>
    </row>
    <row r="1277" spans="1:9" x14ac:dyDescent="0.3">
      <c r="A1277">
        <v>520</v>
      </c>
      <c r="B1277">
        <v>4</v>
      </c>
      <c r="C1277" t="s">
        <v>56</v>
      </c>
      <c r="D1277" t="s">
        <v>614</v>
      </c>
      <c r="E1277">
        <v>19</v>
      </c>
      <c r="F1277">
        <v>31</v>
      </c>
      <c r="G1277">
        <v>3</v>
      </c>
      <c r="H1277">
        <v>22</v>
      </c>
      <c r="I1277" t="s">
        <v>243</v>
      </c>
    </row>
    <row r="1278" spans="1:9" x14ac:dyDescent="0.3">
      <c r="A1278">
        <v>520</v>
      </c>
      <c r="B1278">
        <v>4</v>
      </c>
      <c r="C1278" t="s">
        <v>38</v>
      </c>
      <c r="D1278" t="s">
        <v>625</v>
      </c>
      <c r="E1278">
        <v>20</v>
      </c>
      <c r="F1278">
        <v>34</v>
      </c>
      <c r="G1278">
        <v>2</v>
      </c>
      <c r="H1278">
        <v>21</v>
      </c>
      <c r="I1278" t="s">
        <v>242</v>
      </c>
    </row>
    <row r="1279" spans="1:9" x14ac:dyDescent="0.3">
      <c r="A1279">
        <v>520</v>
      </c>
      <c r="B1279">
        <v>4</v>
      </c>
      <c r="C1279" t="s">
        <v>40</v>
      </c>
      <c r="D1279" t="s">
        <v>613</v>
      </c>
      <c r="E1279">
        <v>18</v>
      </c>
      <c r="F1279">
        <v>30</v>
      </c>
      <c r="G1279">
        <v>3</v>
      </c>
      <c r="H1279">
        <v>32</v>
      </c>
      <c r="I1279" t="s">
        <v>242</v>
      </c>
    </row>
    <row r="1280" spans="1:9" x14ac:dyDescent="0.3">
      <c r="A1280">
        <v>520</v>
      </c>
      <c r="B1280">
        <v>4</v>
      </c>
      <c r="C1280" t="s">
        <v>26</v>
      </c>
      <c r="D1280" t="s">
        <v>618</v>
      </c>
      <c r="E1280">
        <v>17</v>
      </c>
      <c r="F1280">
        <v>29</v>
      </c>
      <c r="G1280">
        <v>1</v>
      </c>
      <c r="H1280">
        <v>46</v>
      </c>
      <c r="I1280" t="s">
        <v>242</v>
      </c>
    </row>
    <row r="1281" spans="1:9" x14ac:dyDescent="0.3">
      <c r="A1281">
        <v>521</v>
      </c>
      <c r="B1281">
        <v>18</v>
      </c>
      <c r="C1281" t="s">
        <v>60</v>
      </c>
      <c r="D1281" t="s">
        <v>631</v>
      </c>
      <c r="E1281">
        <v>15</v>
      </c>
      <c r="F1281">
        <v>25</v>
      </c>
      <c r="G1281">
        <v>2</v>
      </c>
      <c r="H1281">
        <v>52</v>
      </c>
      <c r="I1281" t="s">
        <v>243</v>
      </c>
    </row>
    <row r="1282" spans="1:9" x14ac:dyDescent="0.3">
      <c r="A1282">
        <v>521</v>
      </c>
      <c r="B1282">
        <v>18</v>
      </c>
      <c r="C1282" t="s">
        <v>38</v>
      </c>
      <c r="D1282" t="s">
        <v>625</v>
      </c>
      <c r="E1282">
        <v>20</v>
      </c>
      <c r="F1282">
        <v>34</v>
      </c>
      <c r="G1282">
        <v>3</v>
      </c>
      <c r="H1282">
        <v>21</v>
      </c>
      <c r="I1282" t="s">
        <v>243</v>
      </c>
    </row>
    <row r="1283" spans="1:9" x14ac:dyDescent="0.3">
      <c r="A1283">
        <v>521</v>
      </c>
      <c r="B1283">
        <v>18</v>
      </c>
      <c r="C1283" t="s">
        <v>26</v>
      </c>
      <c r="D1283" t="s">
        <v>618</v>
      </c>
      <c r="E1283">
        <v>17</v>
      </c>
      <c r="F1283">
        <v>29</v>
      </c>
      <c r="G1283">
        <v>2</v>
      </c>
      <c r="H1283">
        <v>18</v>
      </c>
      <c r="I1283" t="s">
        <v>242</v>
      </c>
    </row>
    <row r="1284" spans="1:9" x14ac:dyDescent="0.3">
      <c r="A1284">
        <v>522</v>
      </c>
      <c r="B1284">
        <v>2</v>
      </c>
      <c r="C1284" t="s">
        <v>30</v>
      </c>
      <c r="D1284" t="s">
        <v>620</v>
      </c>
      <c r="E1284">
        <v>16</v>
      </c>
      <c r="F1284">
        <v>28</v>
      </c>
      <c r="G1284">
        <v>3</v>
      </c>
      <c r="H1284">
        <v>47</v>
      </c>
      <c r="I1284" t="s">
        <v>243</v>
      </c>
    </row>
    <row r="1285" spans="1:9" x14ac:dyDescent="0.3">
      <c r="A1285">
        <v>523</v>
      </c>
      <c r="B1285">
        <v>4</v>
      </c>
      <c r="C1285" t="s">
        <v>50</v>
      </c>
      <c r="D1285" t="s">
        <v>615</v>
      </c>
      <c r="E1285">
        <v>16</v>
      </c>
      <c r="F1285">
        <v>27</v>
      </c>
      <c r="G1285">
        <v>3</v>
      </c>
      <c r="H1285">
        <v>51</v>
      </c>
      <c r="I1285" t="s">
        <v>242</v>
      </c>
    </row>
    <row r="1286" spans="1:9" x14ac:dyDescent="0.3">
      <c r="A1286">
        <v>524</v>
      </c>
      <c r="B1286">
        <v>16</v>
      </c>
      <c r="C1286" t="s">
        <v>92</v>
      </c>
      <c r="D1286" t="s">
        <v>624</v>
      </c>
      <c r="E1286">
        <v>13</v>
      </c>
      <c r="F1286">
        <v>22</v>
      </c>
      <c r="G1286">
        <v>1</v>
      </c>
      <c r="H1286">
        <v>46</v>
      </c>
      <c r="I1286" t="s">
        <v>243</v>
      </c>
    </row>
    <row r="1287" spans="1:9" x14ac:dyDescent="0.3">
      <c r="A1287">
        <v>524</v>
      </c>
      <c r="B1287">
        <v>16</v>
      </c>
      <c r="C1287" t="s">
        <v>50</v>
      </c>
      <c r="D1287" t="s">
        <v>615</v>
      </c>
      <c r="E1287">
        <v>16</v>
      </c>
      <c r="F1287">
        <v>27</v>
      </c>
      <c r="G1287">
        <v>2</v>
      </c>
      <c r="H1287">
        <v>15</v>
      </c>
      <c r="I1287" t="s">
        <v>242</v>
      </c>
    </row>
    <row r="1288" spans="1:9" x14ac:dyDescent="0.3">
      <c r="A1288">
        <v>525</v>
      </c>
      <c r="B1288">
        <v>16</v>
      </c>
      <c r="C1288" t="s">
        <v>89</v>
      </c>
      <c r="D1288" t="s">
        <v>627</v>
      </c>
      <c r="E1288">
        <v>14</v>
      </c>
      <c r="F1288">
        <v>23</v>
      </c>
      <c r="G1288">
        <v>3</v>
      </c>
      <c r="H1288">
        <v>23</v>
      </c>
      <c r="I1288" t="s">
        <v>243</v>
      </c>
    </row>
    <row r="1289" spans="1:9" x14ac:dyDescent="0.3">
      <c r="A1289">
        <v>525</v>
      </c>
      <c r="B1289">
        <v>16</v>
      </c>
      <c r="C1289" t="s">
        <v>56</v>
      </c>
      <c r="D1289" t="s">
        <v>614</v>
      </c>
      <c r="E1289">
        <v>19</v>
      </c>
      <c r="F1289">
        <v>31</v>
      </c>
      <c r="G1289">
        <v>3</v>
      </c>
      <c r="H1289">
        <v>40</v>
      </c>
      <c r="I1289" t="s">
        <v>243</v>
      </c>
    </row>
    <row r="1290" spans="1:9" x14ac:dyDescent="0.3">
      <c r="A1290">
        <v>525</v>
      </c>
      <c r="B1290">
        <v>16</v>
      </c>
      <c r="C1290" t="s">
        <v>19</v>
      </c>
      <c r="D1290" t="s">
        <v>622</v>
      </c>
      <c r="E1290">
        <v>21</v>
      </c>
      <c r="F1290">
        <v>35</v>
      </c>
      <c r="G1290">
        <v>1</v>
      </c>
      <c r="H1290">
        <v>14</v>
      </c>
      <c r="I1290" t="s">
        <v>242</v>
      </c>
    </row>
    <row r="1291" spans="1:9" x14ac:dyDescent="0.3">
      <c r="A1291">
        <v>526</v>
      </c>
      <c r="B1291">
        <v>4</v>
      </c>
      <c r="C1291" t="s">
        <v>112</v>
      </c>
      <c r="D1291" t="s">
        <v>619</v>
      </c>
      <c r="E1291">
        <v>20</v>
      </c>
      <c r="F1291">
        <v>33</v>
      </c>
      <c r="G1291">
        <v>1</v>
      </c>
      <c r="H1291">
        <v>22</v>
      </c>
      <c r="I1291" t="s">
        <v>242</v>
      </c>
    </row>
    <row r="1292" spans="1:9" x14ac:dyDescent="0.3">
      <c r="A1292">
        <v>527</v>
      </c>
      <c r="B1292">
        <v>19</v>
      </c>
      <c r="C1292" t="s">
        <v>50</v>
      </c>
      <c r="D1292" t="s">
        <v>615</v>
      </c>
      <c r="E1292">
        <v>16</v>
      </c>
      <c r="F1292">
        <v>27</v>
      </c>
      <c r="G1292">
        <v>2</v>
      </c>
      <c r="H1292">
        <v>31</v>
      </c>
      <c r="I1292" t="s">
        <v>242</v>
      </c>
    </row>
    <row r="1293" spans="1:9" x14ac:dyDescent="0.3">
      <c r="A1293">
        <v>528</v>
      </c>
      <c r="B1293">
        <v>14</v>
      </c>
      <c r="C1293" t="s">
        <v>34</v>
      </c>
      <c r="D1293" t="s">
        <v>616</v>
      </c>
      <c r="E1293">
        <v>25</v>
      </c>
      <c r="F1293">
        <v>40</v>
      </c>
      <c r="G1293">
        <v>1</v>
      </c>
      <c r="H1293">
        <v>47</v>
      </c>
      <c r="I1293" t="s">
        <v>242</v>
      </c>
    </row>
    <row r="1294" spans="1:9" x14ac:dyDescent="0.3">
      <c r="A1294">
        <v>528</v>
      </c>
      <c r="B1294">
        <v>14</v>
      </c>
      <c r="C1294" t="s">
        <v>66</v>
      </c>
      <c r="D1294" t="s">
        <v>626</v>
      </c>
      <c r="E1294">
        <v>12</v>
      </c>
      <c r="F1294">
        <v>20</v>
      </c>
      <c r="G1294">
        <v>1</v>
      </c>
      <c r="H1294">
        <v>29</v>
      </c>
      <c r="I1294" t="s">
        <v>242</v>
      </c>
    </row>
    <row r="1295" spans="1:9" x14ac:dyDescent="0.3">
      <c r="A1295">
        <v>528</v>
      </c>
      <c r="B1295">
        <v>14</v>
      </c>
      <c r="C1295" t="s">
        <v>46</v>
      </c>
      <c r="D1295" t="s">
        <v>629</v>
      </c>
      <c r="E1295">
        <v>10</v>
      </c>
      <c r="F1295">
        <v>18</v>
      </c>
      <c r="G1295">
        <v>1</v>
      </c>
      <c r="H1295">
        <v>45</v>
      </c>
      <c r="I1295" t="s">
        <v>243</v>
      </c>
    </row>
    <row r="1296" spans="1:9" x14ac:dyDescent="0.3">
      <c r="A1296">
        <v>529</v>
      </c>
      <c r="B1296">
        <v>1</v>
      </c>
      <c r="C1296" t="s">
        <v>89</v>
      </c>
      <c r="D1296" t="s">
        <v>627</v>
      </c>
      <c r="E1296">
        <v>14</v>
      </c>
      <c r="F1296">
        <v>23</v>
      </c>
      <c r="G1296">
        <v>2</v>
      </c>
      <c r="H1296">
        <v>27</v>
      </c>
      <c r="I1296" t="s">
        <v>243</v>
      </c>
    </row>
    <row r="1297" spans="1:9" x14ac:dyDescent="0.3">
      <c r="A1297">
        <v>529</v>
      </c>
      <c r="B1297">
        <v>1</v>
      </c>
      <c r="C1297" t="s">
        <v>30</v>
      </c>
      <c r="D1297" t="s">
        <v>620</v>
      </c>
      <c r="E1297">
        <v>16</v>
      </c>
      <c r="F1297">
        <v>28</v>
      </c>
      <c r="G1297">
        <v>2</v>
      </c>
      <c r="H1297">
        <v>55</v>
      </c>
      <c r="I1297" t="s">
        <v>242</v>
      </c>
    </row>
    <row r="1298" spans="1:9" x14ac:dyDescent="0.3">
      <c r="A1298">
        <v>529</v>
      </c>
      <c r="B1298">
        <v>1</v>
      </c>
      <c r="C1298" t="s">
        <v>38</v>
      </c>
      <c r="D1298" t="s">
        <v>625</v>
      </c>
      <c r="E1298">
        <v>20</v>
      </c>
      <c r="F1298">
        <v>34</v>
      </c>
      <c r="G1298">
        <v>1</v>
      </c>
      <c r="H1298">
        <v>24</v>
      </c>
      <c r="I1298" t="s">
        <v>243</v>
      </c>
    </row>
    <row r="1299" spans="1:9" x14ac:dyDescent="0.3">
      <c r="A1299">
        <v>529</v>
      </c>
      <c r="B1299">
        <v>1</v>
      </c>
      <c r="C1299" t="s">
        <v>44</v>
      </c>
      <c r="D1299" t="s">
        <v>617</v>
      </c>
      <c r="E1299">
        <v>22</v>
      </c>
      <c r="F1299">
        <v>36</v>
      </c>
      <c r="G1299">
        <v>2</v>
      </c>
      <c r="H1299">
        <v>51</v>
      </c>
      <c r="I1299" t="s">
        <v>242</v>
      </c>
    </row>
    <row r="1300" spans="1:9" x14ac:dyDescent="0.3">
      <c r="A1300">
        <v>530</v>
      </c>
      <c r="B1300">
        <v>7</v>
      </c>
      <c r="C1300" t="s">
        <v>60</v>
      </c>
      <c r="D1300" t="s">
        <v>631</v>
      </c>
      <c r="E1300">
        <v>15</v>
      </c>
      <c r="F1300">
        <v>25</v>
      </c>
      <c r="G1300">
        <v>2</v>
      </c>
      <c r="H1300">
        <v>19</v>
      </c>
      <c r="I1300" t="s">
        <v>242</v>
      </c>
    </row>
    <row r="1301" spans="1:9" x14ac:dyDescent="0.3">
      <c r="A1301">
        <v>530</v>
      </c>
      <c r="B1301">
        <v>7</v>
      </c>
      <c r="C1301" t="s">
        <v>30</v>
      </c>
      <c r="D1301" t="s">
        <v>620</v>
      </c>
      <c r="E1301">
        <v>16</v>
      </c>
      <c r="F1301">
        <v>28</v>
      </c>
      <c r="G1301">
        <v>2</v>
      </c>
      <c r="H1301">
        <v>50</v>
      </c>
      <c r="I1301" t="s">
        <v>243</v>
      </c>
    </row>
    <row r="1302" spans="1:9" x14ac:dyDescent="0.3">
      <c r="A1302">
        <v>530</v>
      </c>
      <c r="B1302">
        <v>7</v>
      </c>
      <c r="C1302" t="s">
        <v>46</v>
      </c>
      <c r="D1302" t="s">
        <v>629</v>
      </c>
      <c r="E1302">
        <v>10</v>
      </c>
      <c r="F1302">
        <v>18</v>
      </c>
      <c r="G1302">
        <v>3</v>
      </c>
      <c r="H1302">
        <v>37</v>
      </c>
      <c r="I1302" t="s">
        <v>243</v>
      </c>
    </row>
    <row r="1303" spans="1:9" x14ac:dyDescent="0.3">
      <c r="A1303">
        <v>531</v>
      </c>
      <c r="B1303">
        <v>9</v>
      </c>
      <c r="C1303" t="s">
        <v>42</v>
      </c>
      <c r="D1303" t="s">
        <v>628</v>
      </c>
      <c r="E1303">
        <v>13</v>
      </c>
      <c r="F1303">
        <v>21</v>
      </c>
      <c r="G1303">
        <v>3</v>
      </c>
      <c r="H1303">
        <v>41</v>
      </c>
      <c r="I1303" t="s">
        <v>242</v>
      </c>
    </row>
    <row r="1304" spans="1:9" x14ac:dyDescent="0.3">
      <c r="A1304">
        <v>531</v>
      </c>
      <c r="B1304">
        <v>9</v>
      </c>
      <c r="C1304" t="s">
        <v>34</v>
      </c>
      <c r="D1304" t="s">
        <v>616</v>
      </c>
      <c r="E1304">
        <v>25</v>
      </c>
      <c r="F1304">
        <v>40</v>
      </c>
      <c r="G1304">
        <v>1</v>
      </c>
      <c r="H1304">
        <v>43</v>
      </c>
      <c r="I1304" t="s">
        <v>242</v>
      </c>
    </row>
    <row r="1305" spans="1:9" x14ac:dyDescent="0.3">
      <c r="A1305">
        <v>531</v>
      </c>
      <c r="B1305">
        <v>9</v>
      </c>
      <c r="C1305" t="s">
        <v>46</v>
      </c>
      <c r="D1305" t="s">
        <v>629</v>
      </c>
      <c r="E1305">
        <v>10</v>
      </c>
      <c r="F1305">
        <v>18</v>
      </c>
      <c r="G1305">
        <v>3</v>
      </c>
      <c r="H1305">
        <v>56</v>
      </c>
      <c r="I1305" t="s">
        <v>243</v>
      </c>
    </row>
    <row r="1306" spans="1:9" x14ac:dyDescent="0.3">
      <c r="A1306">
        <v>531</v>
      </c>
      <c r="B1306">
        <v>9</v>
      </c>
      <c r="C1306" t="s">
        <v>26</v>
      </c>
      <c r="D1306" t="s">
        <v>618</v>
      </c>
      <c r="E1306">
        <v>17</v>
      </c>
      <c r="F1306">
        <v>29</v>
      </c>
      <c r="G1306">
        <v>3</v>
      </c>
      <c r="H1306">
        <v>59</v>
      </c>
      <c r="I1306" t="s">
        <v>243</v>
      </c>
    </row>
    <row r="1307" spans="1:9" x14ac:dyDescent="0.3">
      <c r="A1307">
        <v>532</v>
      </c>
      <c r="B1307">
        <v>13</v>
      </c>
      <c r="C1307" t="s">
        <v>71</v>
      </c>
      <c r="D1307" t="s">
        <v>630</v>
      </c>
      <c r="E1307">
        <v>15</v>
      </c>
      <c r="F1307">
        <v>26</v>
      </c>
      <c r="G1307">
        <v>2</v>
      </c>
      <c r="H1307">
        <v>28</v>
      </c>
      <c r="I1307" t="s">
        <v>242</v>
      </c>
    </row>
    <row r="1308" spans="1:9" x14ac:dyDescent="0.3">
      <c r="A1308">
        <v>532</v>
      </c>
      <c r="B1308">
        <v>13</v>
      </c>
      <c r="C1308" t="s">
        <v>42</v>
      </c>
      <c r="D1308" t="s">
        <v>628</v>
      </c>
      <c r="E1308">
        <v>13</v>
      </c>
      <c r="F1308">
        <v>21</v>
      </c>
      <c r="G1308">
        <v>1</v>
      </c>
      <c r="H1308">
        <v>24</v>
      </c>
      <c r="I1308" t="s">
        <v>243</v>
      </c>
    </row>
    <row r="1309" spans="1:9" x14ac:dyDescent="0.3">
      <c r="A1309">
        <v>532</v>
      </c>
      <c r="B1309">
        <v>13</v>
      </c>
      <c r="C1309" t="s">
        <v>105</v>
      </c>
      <c r="D1309" t="s">
        <v>623</v>
      </c>
      <c r="E1309">
        <v>19</v>
      </c>
      <c r="F1309">
        <v>32</v>
      </c>
      <c r="G1309">
        <v>2</v>
      </c>
      <c r="H1309">
        <v>7</v>
      </c>
      <c r="I1309" t="s">
        <v>243</v>
      </c>
    </row>
    <row r="1310" spans="1:9" x14ac:dyDescent="0.3">
      <c r="A1310">
        <v>533</v>
      </c>
      <c r="B1310">
        <v>1</v>
      </c>
      <c r="C1310" t="s">
        <v>42</v>
      </c>
      <c r="D1310" t="s">
        <v>628</v>
      </c>
      <c r="E1310">
        <v>13</v>
      </c>
      <c r="F1310">
        <v>21</v>
      </c>
      <c r="G1310">
        <v>1</v>
      </c>
      <c r="H1310">
        <v>14</v>
      </c>
      <c r="I1310" t="s">
        <v>243</v>
      </c>
    </row>
    <row r="1311" spans="1:9" x14ac:dyDescent="0.3">
      <c r="A1311">
        <v>533</v>
      </c>
      <c r="B1311">
        <v>1</v>
      </c>
      <c r="C1311" t="s">
        <v>66</v>
      </c>
      <c r="D1311" t="s">
        <v>626</v>
      </c>
      <c r="E1311">
        <v>12</v>
      </c>
      <c r="F1311">
        <v>20</v>
      </c>
      <c r="G1311">
        <v>1</v>
      </c>
      <c r="H1311">
        <v>34</v>
      </c>
      <c r="I1311" t="s">
        <v>242</v>
      </c>
    </row>
    <row r="1312" spans="1:9" x14ac:dyDescent="0.3">
      <c r="A1312">
        <v>534</v>
      </c>
      <c r="B1312">
        <v>1</v>
      </c>
      <c r="C1312" t="s">
        <v>75</v>
      </c>
      <c r="D1312" t="s">
        <v>612</v>
      </c>
      <c r="E1312">
        <v>14</v>
      </c>
      <c r="F1312">
        <v>24</v>
      </c>
      <c r="G1312">
        <v>2</v>
      </c>
      <c r="H1312">
        <v>56</v>
      </c>
      <c r="I1312" t="s">
        <v>243</v>
      </c>
    </row>
    <row r="1313" spans="1:9" x14ac:dyDescent="0.3">
      <c r="A1313">
        <v>534</v>
      </c>
      <c r="B1313">
        <v>1</v>
      </c>
      <c r="C1313" t="s">
        <v>19</v>
      </c>
      <c r="D1313" t="s">
        <v>622</v>
      </c>
      <c r="E1313">
        <v>21</v>
      </c>
      <c r="F1313">
        <v>35</v>
      </c>
      <c r="G1313">
        <v>2</v>
      </c>
      <c r="H1313">
        <v>10</v>
      </c>
      <c r="I1313" t="s">
        <v>242</v>
      </c>
    </row>
    <row r="1314" spans="1:9" x14ac:dyDescent="0.3">
      <c r="A1314">
        <v>534</v>
      </c>
      <c r="B1314">
        <v>1</v>
      </c>
      <c r="C1314" t="s">
        <v>26</v>
      </c>
      <c r="D1314" t="s">
        <v>618</v>
      </c>
      <c r="E1314">
        <v>17</v>
      </c>
      <c r="F1314">
        <v>29</v>
      </c>
      <c r="G1314">
        <v>1</v>
      </c>
      <c r="H1314">
        <v>10</v>
      </c>
      <c r="I1314" t="s">
        <v>243</v>
      </c>
    </row>
    <row r="1315" spans="1:9" x14ac:dyDescent="0.3">
      <c r="A1315">
        <v>535</v>
      </c>
      <c r="B1315">
        <v>15</v>
      </c>
      <c r="C1315" t="s">
        <v>42</v>
      </c>
      <c r="D1315" t="s">
        <v>628</v>
      </c>
      <c r="E1315">
        <v>13</v>
      </c>
      <c r="F1315">
        <v>21</v>
      </c>
      <c r="G1315">
        <v>1</v>
      </c>
      <c r="H1315">
        <v>14</v>
      </c>
      <c r="I1315" t="s">
        <v>242</v>
      </c>
    </row>
    <row r="1316" spans="1:9" x14ac:dyDescent="0.3">
      <c r="A1316">
        <v>535</v>
      </c>
      <c r="B1316">
        <v>15</v>
      </c>
      <c r="C1316" t="s">
        <v>34</v>
      </c>
      <c r="D1316" t="s">
        <v>616</v>
      </c>
      <c r="E1316">
        <v>25</v>
      </c>
      <c r="F1316">
        <v>40</v>
      </c>
      <c r="G1316">
        <v>3</v>
      </c>
      <c r="H1316">
        <v>48</v>
      </c>
      <c r="I1316" t="s">
        <v>243</v>
      </c>
    </row>
    <row r="1317" spans="1:9" x14ac:dyDescent="0.3">
      <c r="A1317">
        <v>535</v>
      </c>
      <c r="B1317">
        <v>15</v>
      </c>
      <c r="C1317" t="s">
        <v>75</v>
      </c>
      <c r="D1317" t="s">
        <v>612</v>
      </c>
      <c r="E1317">
        <v>14</v>
      </c>
      <c r="F1317">
        <v>24</v>
      </c>
      <c r="G1317">
        <v>2</v>
      </c>
      <c r="H1317">
        <v>42</v>
      </c>
      <c r="I1317" t="s">
        <v>242</v>
      </c>
    </row>
    <row r="1318" spans="1:9" x14ac:dyDescent="0.3">
      <c r="A1318">
        <v>535</v>
      </c>
      <c r="B1318">
        <v>15</v>
      </c>
      <c r="C1318" t="s">
        <v>26</v>
      </c>
      <c r="D1318" t="s">
        <v>618</v>
      </c>
      <c r="E1318">
        <v>17</v>
      </c>
      <c r="F1318">
        <v>29</v>
      </c>
      <c r="G1318">
        <v>3</v>
      </c>
      <c r="H1318">
        <v>9</v>
      </c>
      <c r="I1318" t="s">
        <v>242</v>
      </c>
    </row>
    <row r="1319" spans="1:9" x14ac:dyDescent="0.3">
      <c r="A1319">
        <v>536</v>
      </c>
      <c r="B1319">
        <v>9</v>
      </c>
      <c r="C1319" t="s">
        <v>89</v>
      </c>
      <c r="D1319" t="s">
        <v>627</v>
      </c>
      <c r="E1319">
        <v>14</v>
      </c>
      <c r="F1319">
        <v>23</v>
      </c>
      <c r="G1319">
        <v>2</v>
      </c>
      <c r="H1319">
        <v>38</v>
      </c>
      <c r="I1319" t="s">
        <v>242</v>
      </c>
    </row>
    <row r="1320" spans="1:9" x14ac:dyDescent="0.3">
      <c r="A1320">
        <v>536</v>
      </c>
      <c r="B1320">
        <v>9</v>
      </c>
      <c r="C1320" t="s">
        <v>40</v>
      </c>
      <c r="D1320" t="s">
        <v>613</v>
      </c>
      <c r="E1320">
        <v>18</v>
      </c>
      <c r="F1320">
        <v>30</v>
      </c>
      <c r="G1320">
        <v>3</v>
      </c>
      <c r="H1320">
        <v>33</v>
      </c>
      <c r="I1320" t="s">
        <v>242</v>
      </c>
    </row>
    <row r="1321" spans="1:9" x14ac:dyDescent="0.3">
      <c r="A1321">
        <v>536</v>
      </c>
      <c r="B1321">
        <v>9</v>
      </c>
      <c r="C1321" t="s">
        <v>46</v>
      </c>
      <c r="D1321" t="s">
        <v>629</v>
      </c>
      <c r="E1321">
        <v>10</v>
      </c>
      <c r="F1321">
        <v>18</v>
      </c>
      <c r="G1321">
        <v>1</v>
      </c>
      <c r="H1321">
        <v>29</v>
      </c>
      <c r="I1321" t="s">
        <v>243</v>
      </c>
    </row>
    <row r="1322" spans="1:9" x14ac:dyDescent="0.3">
      <c r="A1322">
        <v>536</v>
      </c>
      <c r="B1322">
        <v>9</v>
      </c>
      <c r="C1322" t="s">
        <v>26</v>
      </c>
      <c r="D1322" t="s">
        <v>618</v>
      </c>
      <c r="E1322">
        <v>17</v>
      </c>
      <c r="F1322">
        <v>29</v>
      </c>
      <c r="G1322">
        <v>2</v>
      </c>
      <c r="H1322">
        <v>52</v>
      </c>
      <c r="I1322" t="s">
        <v>242</v>
      </c>
    </row>
    <row r="1323" spans="1:9" x14ac:dyDescent="0.3">
      <c r="A1323">
        <v>537</v>
      </c>
      <c r="B1323">
        <v>18</v>
      </c>
      <c r="C1323" t="s">
        <v>42</v>
      </c>
      <c r="D1323" t="s">
        <v>628</v>
      </c>
      <c r="E1323">
        <v>13</v>
      </c>
      <c r="F1323">
        <v>21</v>
      </c>
      <c r="G1323">
        <v>3</v>
      </c>
      <c r="H1323">
        <v>21</v>
      </c>
      <c r="I1323" t="s">
        <v>243</v>
      </c>
    </row>
    <row r="1324" spans="1:9" x14ac:dyDescent="0.3">
      <c r="A1324">
        <v>538</v>
      </c>
      <c r="B1324">
        <v>14</v>
      </c>
      <c r="C1324" t="s">
        <v>112</v>
      </c>
      <c r="D1324" t="s">
        <v>619</v>
      </c>
      <c r="E1324">
        <v>20</v>
      </c>
      <c r="F1324">
        <v>33</v>
      </c>
      <c r="G1324">
        <v>1</v>
      </c>
      <c r="H1324">
        <v>58</v>
      </c>
      <c r="I1324" t="s">
        <v>243</v>
      </c>
    </row>
    <row r="1325" spans="1:9" x14ac:dyDescent="0.3">
      <c r="A1325">
        <v>538</v>
      </c>
      <c r="B1325">
        <v>14</v>
      </c>
      <c r="C1325" t="s">
        <v>89</v>
      </c>
      <c r="D1325" t="s">
        <v>627</v>
      </c>
      <c r="E1325">
        <v>14</v>
      </c>
      <c r="F1325">
        <v>23</v>
      </c>
      <c r="G1325">
        <v>1</v>
      </c>
      <c r="H1325">
        <v>39</v>
      </c>
      <c r="I1325" t="s">
        <v>242</v>
      </c>
    </row>
    <row r="1326" spans="1:9" x14ac:dyDescent="0.3">
      <c r="A1326">
        <v>538</v>
      </c>
      <c r="B1326">
        <v>14</v>
      </c>
      <c r="C1326" t="s">
        <v>30</v>
      </c>
      <c r="D1326" t="s">
        <v>620</v>
      </c>
      <c r="E1326">
        <v>16</v>
      </c>
      <c r="F1326">
        <v>28</v>
      </c>
      <c r="G1326">
        <v>2</v>
      </c>
      <c r="H1326">
        <v>46</v>
      </c>
      <c r="I1326" t="s">
        <v>242</v>
      </c>
    </row>
    <row r="1327" spans="1:9" x14ac:dyDescent="0.3">
      <c r="A1327">
        <v>538</v>
      </c>
      <c r="B1327">
        <v>14</v>
      </c>
      <c r="C1327" t="s">
        <v>40</v>
      </c>
      <c r="D1327" t="s">
        <v>613</v>
      </c>
      <c r="E1327">
        <v>18</v>
      </c>
      <c r="F1327">
        <v>30</v>
      </c>
      <c r="G1327">
        <v>1</v>
      </c>
      <c r="H1327">
        <v>55</v>
      </c>
      <c r="I1327" t="s">
        <v>243</v>
      </c>
    </row>
    <row r="1328" spans="1:9" x14ac:dyDescent="0.3">
      <c r="A1328">
        <v>539</v>
      </c>
      <c r="B1328">
        <v>18</v>
      </c>
      <c r="C1328" t="s">
        <v>40</v>
      </c>
      <c r="D1328" t="s">
        <v>613</v>
      </c>
      <c r="E1328">
        <v>18</v>
      </c>
      <c r="F1328">
        <v>30</v>
      </c>
      <c r="G1328">
        <v>3</v>
      </c>
      <c r="H1328">
        <v>43</v>
      </c>
      <c r="I1328" t="s">
        <v>243</v>
      </c>
    </row>
    <row r="1329" spans="1:9" x14ac:dyDescent="0.3">
      <c r="A1329">
        <v>539</v>
      </c>
      <c r="B1329">
        <v>18</v>
      </c>
      <c r="C1329" t="s">
        <v>46</v>
      </c>
      <c r="D1329" t="s">
        <v>629</v>
      </c>
      <c r="E1329">
        <v>10</v>
      </c>
      <c r="F1329">
        <v>18</v>
      </c>
      <c r="G1329">
        <v>2</v>
      </c>
      <c r="H1329">
        <v>28</v>
      </c>
      <c r="I1329" t="s">
        <v>242</v>
      </c>
    </row>
    <row r="1330" spans="1:9" x14ac:dyDescent="0.3">
      <c r="A1330">
        <v>539</v>
      </c>
      <c r="B1330">
        <v>18</v>
      </c>
      <c r="C1330" t="s">
        <v>50</v>
      </c>
      <c r="D1330" t="s">
        <v>615</v>
      </c>
      <c r="E1330">
        <v>16</v>
      </c>
      <c r="F1330">
        <v>27</v>
      </c>
      <c r="G1330">
        <v>1</v>
      </c>
      <c r="H1330">
        <v>40</v>
      </c>
      <c r="I1330" t="s">
        <v>243</v>
      </c>
    </row>
    <row r="1331" spans="1:9" x14ac:dyDescent="0.3">
      <c r="A1331">
        <v>539</v>
      </c>
      <c r="B1331">
        <v>18</v>
      </c>
      <c r="C1331" t="s">
        <v>26</v>
      </c>
      <c r="D1331" t="s">
        <v>618</v>
      </c>
      <c r="E1331">
        <v>17</v>
      </c>
      <c r="F1331">
        <v>29</v>
      </c>
      <c r="G1331">
        <v>3</v>
      </c>
      <c r="H1331">
        <v>18</v>
      </c>
      <c r="I1331" t="s">
        <v>242</v>
      </c>
    </row>
    <row r="1332" spans="1:9" x14ac:dyDescent="0.3">
      <c r="A1332">
        <v>540</v>
      </c>
      <c r="B1332">
        <v>6</v>
      </c>
      <c r="C1332" t="s">
        <v>46</v>
      </c>
      <c r="D1332" t="s">
        <v>629</v>
      </c>
      <c r="E1332">
        <v>10</v>
      </c>
      <c r="F1332">
        <v>18</v>
      </c>
      <c r="G1332">
        <v>3</v>
      </c>
      <c r="H1332">
        <v>47</v>
      </c>
      <c r="I1332" t="s">
        <v>242</v>
      </c>
    </row>
    <row r="1333" spans="1:9" x14ac:dyDescent="0.3">
      <c r="A1333">
        <v>540</v>
      </c>
      <c r="B1333">
        <v>6</v>
      </c>
      <c r="C1333" t="s">
        <v>19</v>
      </c>
      <c r="D1333" t="s">
        <v>622</v>
      </c>
      <c r="E1333">
        <v>21</v>
      </c>
      <c r="F1333">
        <v>35</v>
      </c>
      <c r="G1333">
        <v>2</v>
      </c>
      <c r="H1333">
        <v>35</v>
      </c>
      <c r="I1333" t="s">
        <v>242</v>
      </c>
    </row>
    <row r="1334" spans="1:9" x14ac:dyDescent="0.3">
      <c r="A1334">
        <v>541</v>
      </c>
      <c r="B1334">
        <v>19</v>
      </c>
      <c r="C1334" t="s">
        <v>112</v>
      </c>
      <c r="D1334" t="s">
        <v>619</v>
      </c>
      <c r="E1334">
        <v>20</v>
      </c>
      <c r="F1334">
        <v>33</v>
      </c>
      <c r="G1334">
        <v>2</v>
      </c>
      <c r="H1334">
        <v>21</v>
      </c>
      <c r="I1334" t="s">
        <v>242</v>
      </c>
    </row>
    <row r="1335" spans="1:9" x14ac:dyDescent="0.3">
      <c r="A1335">
        <v>541</v>
      </c>
      <c r="B1335">
        <v>19</v>
      </c>
      <c r="C1335" t="s">
        <v>53</v>
      </c>
      <c r="D1335" t="s">
        <v>621</v>
      </c>
      <c r="E1335">
        <v>11</v>
      </c>
      <c r="F1335">
        <v>19</v>
      </c>
      <c r="G1335">
        <v>2</v>
      </c>
      <c r="H1335">
        <v>31</v>
      </c>
      <c r="I1335" t="s">
        <v>242</v>
      </c>
    </row>
    <row r="1336" spans="1:9" x14ac:dyDescent="0.3">
      <c r="A1336">
        <v>541</v>
      </c>
      <c r="B1336">
        <v>19</v>
      </c>
      <c r="C1336" t="s">
        <v>89</v>
      </c>
      <c r="D1336" t="s">
        <v>627</v>
      </c>
      <c r="E1336">
        <v>14</v>
      </c>
      <c r="F1336">
        <v>23</v>
      </c>
      <c r="G1336">
        <v>3</v>
      </c>
      <c r="H1336">
        <v>37</v>
      </c>
      <c r="I1336" t="s">
        <v>242</v>
      </c>
    </row>
    <row r="1337" spans="1:9" x14ac:dyDescent="0.3">
      <c r="A1337">
        <v>541</v>
      </c>
      <c r="B1337">
        <v>19</v>
      </c>
      <c r="C1337" t="s">
        <v>26</v>
      </c>
      <c r="D1337" t="s">
        <v>618</v>
      </c>
      <c r="E1337">
        <v>17</v>
      </c>
      <c r="F1337">
        <v>29</v>
      </c>
      <c r="G1337">
        <v>1</v>
      </c>
      <c r="H1337">
        <v>35</v>
      </c>
      <c r="I1337" t="s">
        <v>242</v>
      </c>
    </row>
    <row r="1338" spans="1:9" x14ac:dyDescent="0.3">
      <c r="A1338">
        <v>542</v>
      </c>
      <c r="B1338">
        <v>9</v>
      </c>
      <c r="C1338" t="s">
        <v>71</v>
      </c>
      <c r="D1338" t="s">
        <v>630</v>
      </c>
      <c r="E1338">
        <v>15</v>
      </c>
      <c r="F1338">
        <v>26</v>
      </c>
      <c r="G1338">
        <v>1</v>
      </c>
      <c r="H1338">
        <v>46</v>
      </c>
      <c r="I1338" t="s">
        <v>242</v>
      </c>
    </row>
    <row r="1339" spans="1:9" x14ac:dyDescent="0.3">
      <c r="A1339">
        <v>542</v>
      </c>
      <c r="B1339">
        <v>9</v>
      </c>
      <c r="C1339" t="s">
        <v>38</v>
      </c>
      <c r="D1339" t="s">
        <v>625</v>
      </c>
      <c r="E1339">
        <v>20</v>
      </c>
      <c r="F1339">
        <v>34</v>
      </c>
      <c r="G1339">
        <v>2</v>
      </c>
      <c r="H1339">
        <v>17</v>
      </c>
      <c r="I1339" t="s">
        <v>243</v>
      </c>
    </row>
    <row r="1340" spans="1:9" x14ac:dyDescent="0.3">
      <c r="A1340">
        <v>542</v>
      </c>
      <c r="B1340">
        <v>9</v>
      </c>
      <c r="C1340" t="s">
        <v>50</v>
      </c>
      <c r="D1340" t="s">
        <v>615</v>
      </c>
      <c r="E1340">
        <v>16</v>
      </c>
      <c r="F1340">
        <v>27</v>
      </c>
      <c r="G1340">
        <v>2</v>
      </c>
      <c r="H1340">
        <v>52</v>
      </c>
      <c r="I1340" t="s">
        <v>243</v>
      </c>
    </row>
    <row r="1341" spans="1:9" x14ac:dyDescent="0.3">
      <c r="A1341">
        <v>543</v>
      </c>
      <c r="B1341">
        <v>19</v>
      </c>
      <c r="C1341" t="s">
        <v>105</v>
      </c>
      <c r="D1341" t="s">
        <v>623</v>
      </c>
      <c r="E1341">
        <v>19</v>
      </c>
      <c r="F1341">
        <v>32</v>
      </c>
      <c r="G1341">
        <v>3</v>
      </c>
      <c r="H1341">
        <v>42</v>
      </c>
      <c r="I1341" t="s">
        <v>243</v>
      </c>
    </row>
    <row r="1342" spans="1:9" x14ac:dyDescent="0.3">
      <c r="A1342">
        <v>543</v>
      </c>
      <c r="B1342">
        <v>19</v>
      </c>
      <c r="C1342" t="s">
        <v>30</v>
      </c>
      <c r="D1342" t="s">
        <v>620</v>
      </c>
      <c r="E1342">
        <v>16</v>
      </c>
      <c r="F1342">
        <v>28</v>
      </c>
      <c r="G1342">
        <v>2</v>
      </c>
      <c r="H1342">
        <v>27</v>
      </c>
      <c r="I1342" t="s">
        <v>243</v>
      </c>
    </row>
    <row r="1343" spans="1:9" x14ac:dyDescent="0.3">
      <c r="A1343">
        <v>543</v>
      </c>
      <c r="B1343">
        <v>19</v>
      </c>
      <c r="C1343" t="s">
        <v>50</v>
      </c>
      <c r="D1343" t="s">
        <v>615</v>
      </c>
      <c r="E1343">
        <v>16</v>
      </c>
      <c r="F1343">
        <v>27</v>
      </c>
      <c r="G1343">
        <v>2</v>
      </c>
      <c r="H1343">
        <v>5</v>
      </c>
      <c r="I1343" t="s">
        <v>242</v>
      </c>
    </row>
    <row r="1344" spans="1:9" x14ac:dyDescent="0.3">
      <c r="A1344">
        <v>544</v>
      </c>
      <c r="B1344">
        <v>7</v>
      </c>
      <c r="C1344" t="s">
        <v>19</v>
      </c>
      <c r="D1344" t="s">
        <v>622</v>
      </c>
      <c r="E1344">
        <v>21</v>
      </c>
      <c r="F1344">
        <v>35</v>
      </c>
      <c r="G1344">
        <v>2</v>
      </c>
      <c r="H1344">
        <v>48</v>
      </c>
      <c r="I1344" t="s">
        <v>242</v>
      </c>
    </row>
    <row r="1345" spans="1:9" x14ac:dyDescent="0.3">
      <c r="A1345">
        <v>545</v>
      </c>
      <c r="B1345">
        <v>20</v>
      </c>
      <c r="C1345" t="s">
        <v>112</v>
      </c>
      <c r="D1345" t="s">
        <v>619</v>
      </c>
      <c r="E1345">
        <v>20</v>
      </c>
      <c r="F1345">
        <v>33</v>
      </c>
      <c r="G1345">
        <v>3</v>
      </c>
      <c r="H1345">
        <v>57</v>
      </c>
      <c r="I1345" t="s">
        <v>243</v>
      </c>
    </row>
    <row r="1346" spans="1:9" x14ac:dyDescent="0.3">
      <c r="A1346">
        <v>545</v>
      </c>
      <c r="B1346">
        <v>20</v>
      </c>
      <c r="C1346" t="s">
        <v>56</v>
      </c>
      <c r="D1346" t="s">
        <v>614</v>
      </c>
      <c r="E1346">
        <v>19</v>
      </c>
      <c r="F1346">
        <v>31</v>
      </c>
      <c r="G1346">
        <v>1</v>
      </c>
      <c r="H1346">
        <v>42</v>
      </c>
      <c r="I1346" t="s">
        <v>243</v>
      </c>
    </row>
    <row r="1347" spans="1:9" x14ac:dyDescent="0.3">
      <c r="A1347">
        <v>546</v>
      </c>
      <c r="B1347">
        <v>5</v>
      </c>
      <c r="C1347" t="s">
        <v>105</v>
      </c>
      <c r="D1347" t="s">
        <v>623</v>
      </c>
      <c r="E1347">
        <v>19</v>
      </c>
      <c r="F1347">
        <v>32</v>
      </c>
      <c r="G1347">
        <v>2</v>
      </c>
      <c r="H1347">
        <v>33</v>
      </c>
      <c r="I1347" t="s">
        <v>243</v>
      </c>
    </row>
    <row r="1348" spans="1:9" x14ac:dyDescent="0.3">
      <c r="A1348">
        <v>546</v>
      </c>
      <c r="B1348">
        <v>5</v>
      </c>
      <c r="C1348" t="s">
        <v>30</v>
      </c>
      <c r="D1348" t="s">
        <v>620</v>
      </c>
      <c r="E1348">
        <v>16</v>
      </c>
      <c r="F1348">
        <v>28</v>
      </c>
      <c r="G1348">
        <v>1</v>
      </c>
      <c r="H1348">
        <v>58</v>
      </c>
      <c r="I1348" t="s">
        <v>243</v>
      </c>
    </row>
    <row r="1349" spans="1:9" x14ac:dyDescent="0.3">
      <c r="A1349">
        <v>547</v>
      </c>
      <c r="B1349">
        <v>9</v>
      </c>
      <c r="C1349" t="s">
        <v>112</v>
      </c>
      <c r="D1349" t="s">
        <v>619</v>
      </c>
      <c r="E1349">
        <v>20</v>
      </c>
      <c r="F1349">
        <v>33</v>
      </c>
      <c r="G1349">
        <v>3</v>
      </c>
      <c r="H1349">
        <v>54</v>
      </c>
      <c r="I1349" t="s">
        <v>243</v>
      </c>
    </row>
    <row r="1350" spans="1:9" x14ac:dyDescent="0.3">
      <c r="A1350">
        <v>547</v>
      </c>
      <c r="B1350">
        <v>9</v>
      </c>
      <c r="C1350" t="s">
        <v>56</v>
      </c>
      <c r="D1350" t="s">
        <v>614</v>
      </c>
      <c r="E1350">
        <v>19</v>
      </c>
      <c r="F1350">
        <v>31</v>
      </c>
      <c r="G1350">
        <v>3</v>
      </c>
      <c r="H1350">
        <v>13</v>
      </c>
      <c r="I1350" t="s">
        <v>242</v>
      </c>
    </row>
    <row r="1351" spans="1:9" x14ac:dyDescent="0.3">
      <c r="A1351">
        <v>547</v>
      </c>
      <c r="B1351">
        <v>9</v>
      </c>
      <c r="C1351" t="s">
        <v>19</v>
      </c>
      <c r="D1351" t="s">
        <v>622</v>
      </c>
      <c r="E1351">
        <v>21</v>
      </c>
      <c r="F1351">
        <v>35</v>
      </c>
      <c r="G1351">
        <v>1</v>
      </c>
      <c r="H1351">
        <v>30</v>
      </c>
      <c r="I1351" t="s">
        <v>243</v>
      </c>
    </row>
    <row r="1352" spans="1:9" x14ac:dyDescent="0.3">
      <c r="A1352">
        <v>548</v>
      </c>
      <c r="B1352">
        <v>4</v>
      </c>
      <c r="C1352" t="s">
        <v>56</v>
      </c>
      <c r="D1352" t="s">
        <v>614</v>
      </c>
      <c r="E1352">
        <v>19</v>
      </c>
      <c r="F1352">
        <v>31</v>
      </c>
      <c r="G1352">
        <v>2</v>
      </c>
      <c r="H1352">
        <v>48</v>
      </c>
      <c r="I1352" t="s">
        <v>243</v>
      </c>
    </row>
    <row r="1353" spans="1:9" x14ac:dyDescent="0.3">
      <c r="A1353">
        <v>548</v>
      </c>
      <c r="B1353">
        <v>4</v>
      </c>
      <c r="C1353" t="s">
        <v>38</v>
      </c>
      <c r="D1353" t="s">
        <v>625</v>
      </c>
      <c r="E1353">
        <v>20</v>
      </c>
      <c r="F1353">
        <v>34</v>
      </c>
      <c r="G1353">
        <v>1</v>
      </c>
      <c r="H1353">
        <v>58</v>
      </c>
      <c r="I1353" t="s">
        <v>243</v>
      </c>
    </row>
    <row r="1354" spans="1:9" x14ac:dyDescent="0.3">
      <c r="A1354">
        <v>549</v>
      </c>
      <c r="B1354">
        <v>12</v>
      </c>
      <c r="C1354" t="s">
        <v>60</v>
      </c>
      <c r="D1354" t="s">
        <v>631</v>
      </c>
      <c r="E1354">
        <v>15</v>
      </c>
      <c r="F1354">
        <v>25</v>
      </c>
      <c r="G1354">
        <v>1</v>
      </c>
      <c r="H1354">
        <v>19</v>
      </c>
      <c r="I1354" t="s">
        <v>242</v>
      </c>
    </row>
    <row r="1355" spans="1:9" x14ac:dyDescent="0.3">
      <c r="A1355">
        <v>549</v>
      </c>
      <c r="B1355">
        <v>12</v>
      </c>
      <c r="C1355" t="s">
        <v>38</v>
      </c>
      <c r="D1355" t="s">
        <v>625</v>
      </c>
      <c r="E1355">
        <v>20</v>
      </c>
      <c r="F1355">
        <v>34</v>
      </c>
      <c r="G1355">
        <v>3</v>
      </c>
      <c r="H1355">
        <v>59</v>
      </c>
      <c r="I1355" t="s">
        <v>242</v>
      </c>
    </row>
    <row r="1356" spans="1:9" x14ac:dyDescent="0.3">
      <c r="A1356">
        <v>549</v>
      </c>
      <c r="B1356">
        <v>12</v>
      </c>
      <c r="C1356" t="s">
        <v>19</v>
      </c>
      <c r="D1356" t="s">
        <v>622</v>
      </c>
      <c r="E1356">
        <v>21</v>
      </c>
      <c r="F1356">
        <v>35</v>
      </c>
      <c r="G1356">
        <v>1</v>
      </c>
      <c r="H1356">
        <v>20</v>
      </c>
      <c r="I1356" t="s">
        <v>243</v>
      </c>
    </row>
    <row r="1357" spans="1:9" x14ac:dyDescent="0.3">
      <c r="A1357">
        <v>550</v>
      </c>
      <c r="B1357">
        <v>1</v>
      </c>
      <c r="C1357" t="s">
        <v>40</v>
      </c>
      <c r="D1357" t="s">
        <v>613</v>
      </c>
      <c r="E1357">
        <v>18</v>
      </c>
      <c r="F1357">
        <v>30</v>
      </c>
      <c r="G1357">
        <v>2</v>
      </c>
      <c r="H1357">
        <v>28</v>
      </c>
      <c r="I1357" t="s">
        <v>243</v>
      </c>
    </row>
    <row r="1358" spans="1:9" x14ac:dyDescent="0.3">
      <c r="A1358">
        <v>550</v>
      </c>
      <c r="B1358">
        <v>1</v>
      </c>
      <c r="C1358" t="s">
        <v>66</v>
      </c>
      <c r="D1358" t="s">
        <v>626</v>
      </c>
      <c r="E1358">
        <v>12</v>
      </c>
      <c r="F1358">
        <v>20</v>
      </c>
      <c r="G1358">
        <v>2</v>
      </c>
      <c r="H1358">
        <v>24</v>
      </c>
      <c r="I1358" t="s">
        <v>242</v>
      </c>
    </row>
    <row r="1359" spans="1:9" x14ac:dyDescent="0.3">
      <c r="A1359">
        <v>550</v>
      </c>
      <c r="B1359">
        <v>1</v>
      </c>
      <c r="C1359" t="s">
        <v>75</v>
      </c>
      <c r="D1359" t="s">
        <v>612</v>
      </c>
      <c r="E1359">
        <v>14</v>
      </c>
      <c r="F1359">
        <v>24</v>
      </c>
      <c r="G1359">
        <v>1</v>
      </c>
      <c r="H1359">
        <v>5</v>
      </c>
      <c r="I1359" t="s">
        <v>242</v>
      </c>
    </row>
    <row r="1360" spans="1:9" x14ac:dyDescent="0.3">
      <c r="A1360">
        <v>551</v>
      </c>
      <c r="B1360">
        <v>4</v>
      </c>
      <c r="C1360" t="s">
        <v>42</v>
      </c>
      <c r="D1360" t="s">
        <v>628</v>
      </c>
      <c r="E1360">
        <v>13</v>
      </c>
      <c r="F1360">
        <v>21</v>
      </c>
      <c r="G1360">
        <v>3</v>
      </c>
      <c r="H1360">
        <v>51</v>
      </c>
      <c r="I1360" t="s">
        <v>243</v>
      </c>
    </row>
    <row r="1361" spans="1:9" x14ac:dyDescent="0.3">
      <c r="A1361">
        <v>551</v>
      </c>
      <c r="B1361">
        <v>4</v>
      </c>
      <c r="C1361" t="s">
        <v>40</v>
      </c>
      <c r="D1361" t="s">
        <v>613</v>
      </c>
      <c r="E1361">
        <v>18</v>
      </c>
      <c r="F1361">
        <v>30</v>
      </c>
      <c r="G1361">
        <v>1</v>
      </c>
      <c r="H1361">
        <v>32</v>
      </c>
      <c r="I1361" t="s">
        <v>243</v>
      </c>
    </row>
    <row r="1362" spans="1:9" x14ac:dyDescent="0.3">
      <c r="A1362">
        <v>551</v>
      </c>
      <c r="B1362">
        <v>4</v>
      </c>
      <c r="C1362" t="s">
        <v>66</v>
      </c>
      <c r="D1362" t="s">
        <v>626</v>
      </c>
      <c r="E1362">
        <v>12</v>
      </c>
      <c r="F1362">
        <v>20</v>
      </c>
      <c r="G1362">
        <v>3</v>
      </c>
      <c r="H1362">
        <v>11</v>
      </c>
      <c r="I1362" t="s">
        <v>242</v>
      </c>
    </row>
    <row r="1363" spans="1:9" x14ac:dyDescent="0.3">
      <c r="A1363">
        <v>551</v>
      </c>
      <c r="B1363">
        <v>4</v>
      </c>
      <c r="C1363" t="s">
        <v>46</v>
      </c>
      <c r="D1363" t="s">
        <v>629</v>
      </c>
      <c r="E1363">
        <v>10</v>
      </c>
      <c r="F1363">
        <v>18</v>
      </c>
      <c r="G1363">
        <v>1</v>
      </c>
      <c r="H1363">
        <v>29</v>
      </c>
      <c r="I1363" t="s">
        <v>242</v>
      </c>
    </row>
    <row r="1364" spans="1:9" x14ac:dyDescent="0.3">
      <c r="A1364">
        <v>552</v>
      </c>
      <c r="B1364">
        <v>11</v>
      </c>
      <c r="C1364" t="s">
        <v>42</v>
      </c>
      <c r="D1364" t="s">
        <v>628</v>
      </c>
      <c r="E1364">
        <v>13</v>
      </c>
      <c r="F1364">
        <v>21</v>
      </c>
      <c r="G1364">
        <v>3</v>
      </c>
      <c r="H1364">
        <v>57</v>
      </c>
      <c r="I1364" t="s">
        <v>243</v>
      </c>
    </row>
    <row r="1365" spans="1:9" x14ac:dyDescent="0.3">
      <c r="A1365">
        <v>552</v>
      </c>
      <c r="B1365">
        <v>11</v>
      </c>
      <c r="C1365" t="s">
        <v>34</v>
      </c>
      <c r="D1365" t="s">
        <v>616</v>
      </c>
      <c r="E1365">
        <v>25</v>
      </c>
      <c r="F1365">
        <v>40</v>
      </c>
      <c r="G1365">
        <v>3</v>
      </c>
      <c r="H1365">
        <v>26</v>
      </c>
      <c r="I1365" t="s">
        <v>243</v>
      </c>
    </row>
    <row r="1366" spans="1:9" x14ac:dyDescent="0.3">
      <c r="A1366">
        <v>552</v>
      </c>
      <c r="B1366">
        <v>11</v>
      </c>
      <c r="C1366" t="s">
        <v>66</v>
      </c>
      <c r="D1366" t="s">
        <v>626</v>
      </c>
      <c r="E1366">
        <v>12</v>
      </c>
      <c r="F1366">
        <v>20</v>
      </c>
      <c r="G1366">
        <v>3</v>
      </c>
      <c r="H1366">
        <v>32</v>
      </c>
      <c r="I1366" t="s">
        <v>243</v>
      </c>
    </row>
    <row r="1367" spans="1:9" x14ac:dyDescent="0.3">
      <c r="A1367">
        <v>553</v>
      </c>
      <c r="B1367">
        <v>14</v>
      </c>
      <c r="C1367" t="s">
        <v>60</v>
      </c>
      <c r="D1367" t="s">
        <v>631</v>
      </c>
      <c r="E1367">
        <v>15</v>
      </c>
      <c r="F1367">
        <v>25</v>
      </c>
      <c r="G1367">
        <v>2</v>
      </c>
      <c r="H1367">
        <v>56</v>
      </c>
      <c r="I1367" t="s">
        <v>242</v>
      </c>
    </row>
    <row r="1368" spans="1:9" x14ac:dyDescent="0.3">
      <c r="A1368">
        <v>553</v>
      </c>
      <c r="B1368">
        <v>14</v>
      </c>
      <c r="C1368" t="s">
        <v>53</v>
      </c>
      <c r="D1368" t="s">
        <v>621</v>
      </c>
      <c r="E1368">
        <v>11</v>
      </c>
      <c r="F1368">
        <v>19</v>
      </c>
      <c r="G1368">
        <v>1</v>
      </c>
      <c r="H1368">
        <v>42</v>
      </c>
      <c r="I1368" t="s">
        <v>243</v>
      </c>
    </row>
    <row r="1369" spans="1:9" x14ac:dyDescent="0.3">
      <c r="A1369">
        <v>553</v>
      </c>
      <c r="B1369">
        <v>14</v>
      </c>
      <c r="C1369" t="s">
        <v>40</v>
      </c>
      <c r="D1369" t="s">
        <v>613</v>
      </c>
      <c r="E1369">
        <v>18</v>
      </c>
      <c r="F1369">
        <v>30</v>
      </c>
      <c r="G1369">
        <v>3</v>
      </c>
      <c r="H1369">
        <v>26</v>
      </c>
      <c r="I1369" t="s">
        <v>243</v>
      </c>
    </row>
    <row r="1370" spans="1:9" x14ac:dyDescent="0.3">
      <c r="A1370">
        <v>553</v>
      </c>
      <c r="B1370">
        <v>14</v>
      </c>
      <c r="C1370" t="s">
        <v>92</v>
      </c>
      <c r="D1370" t="s">
        <v>624</v>
      </c>
      <c r="E1370">
        <v>13</v>
      </c>
      <c r="F1370">
        <v>22</v>
      </c>
      <c r="G1370">
        <v>2</v>
      </c>
      <c r="H1370">
        <v>54</v>
      </c>
      <c r="I1370" t="s">
        <v>242</v>
      </c>
    </row>
    <row r="1371" spans="1:9" x14ac:dyDescent="0.3">
      <c r="A1371">
        <v>554</v>
      </c>
      <c r="B1371">
        <v>10</v>
      </c>
      <c r="C1371" t="s">
        <v>89</v>
      </c>
      <c r="D1371" t="s">
        <v>627</v>
      </c>
      <c r="E1371">
        <v>14</v>
      </c>
      <c r="F1371">
        <v>23</v>
      </c>
      <c r="G1371">
        <v>2</v>
      </c>
      <c r="H1371">
        <v>55</v>
      </c>
      <c r="I1371" t="s">
        <v>243</v>
      </c>
    </row>
    <row r="1372" spans="1:9" x14ac:dyDescent="0.3">
      <c r="A1372">
        <v>554</v>
      </c>
      <c r="B1372">
        <v>10</v>
      </c>
      <c r="C1372" t="s">
        <v>34</v>
      </c>
      <c r="D1372" t="s">
        <v>616</v>
      </c>
      <c r="E1372">
        <v>25</v>
      </c>
      <c r="F1372">
        <v>40</v>
      </c>
      <c r="G1372">
        <v>3</v>
      </c>
      <c r="H1372">
        <v>16</v>
      </c>
      <c r="I1372" t="s">
        <v>242</v>
      </c>
    </row>
    <row r="1373" spans="1:9" x14ac:dyDescent="0.3">
      <c r="A1373">
        <v>555</v>
      </c>
      <c r="B1373">
        <v>20</v>
      </c>
      <c r="C1373" t="s">
        <v>40</v>
      </c>
      <c r="D1373" t="s">
        <v>613</v>
      </c>
      <c r="E1373">
        <v>18</v>
      </c>
      <c r="F1373">
        <v>30</v>
      </c>
      <c r="G1373">
        <v>1</v>
      </c>
      <c r="H1373">
        <v>46</v>
      </c>
      <c r="I1373" t="s">
        <v>242</v>
      </c>
    </row>
    <row r="1374" spans="1:9" x14ac:dyDescent="0.3">
      <c r="A1374">
        <v>556</v>
      </c>
      <c r="B1374">
        <v>9</v>
      </c>
      <c r="C1374" t="s">
        <v>46</v>
      </c>
      <c r="D1374" t="s">
        <v>629</v>
      </c>
      <c r="E1374">
        <v>10</v>
      </c>
      <c r="F1374">
        <v>18</v>
      </c>
      <c r="G1374">
        <v>3</v>
      </c>
      <c r="H1374">
        <v>30</v>
      </c>
      <c r="I1374" t="s">
        <v>243</v>
      </c>
    </row>
    <row r="1375" spans="1:9" x14ac:dyDescent="0.3">
      <c r="A1375">
        <v>556</v>
      </c>
      <c r="B1375">
        <v>9</v>
      </c>
      <c r="C1375" t="s">
        <v>92</v>
      </c>
      <c r="D1375" t="s">
        <v>624</v>
      </c>
      <c r="E1375">
        <v>13</v>
      </c>
      <c r="F1375">
        <v>22</v>
      </c>
      <c r="G1375">
        <v>1</v>
      </c>
      <c r="H1375">
        <v>36</v>
      </c>
      <c r="I1375" t="s">
        <v>242</v>
      </c>
    </row>
    <row r="1376" spans="1:9" x14ac:dyDescent="0.3">
      <c r="A1376">
        <v>557</v>
      </c>
      <c r="B1376">
        <v>7</v>
      </c>
      <c r="C1376" t="s">
        <v>60</v>
      </c>
      <c r="D1376" t="s">
        <v>631</v>
      </c>
      <c r="E1376">
        <v>15</v>
      </c>
      <c r="F1376">
        <v>25</v>
      </c>
      <c r="G1376">
        <v>2</v>
      </c>
      <c r="H1376">
        <v>38</v>
      </c>
      <c r="I1376" t="s">
        <v>242</v>
      </c>
    </row>
    <row r="1377" spans="1:9" x14ac:dyDescent="0.3">
      <c r="A1377">
        <v>557</v>
      </c>
      <c r="B1377">
        <v>7</v>
      </c>
      <c r="C1377" t="s">
        <v>42</v>
      </c>
      <c r="D1377" t="s">
        <v>628</v>
      </c>
      <c r="E1377">
        <v>13</v>
      </c>
      <c r="F1377">
        <v>21</v>
      </c>
      <c r="G1377">
        <v>3</v>
      </c>
      <c r="H1377">
        <v>22</v>
      </c>
      <c r="I1377" t="s">
        <v>243</v>
      </c>
    </row>
    <row r="1378" spans="1:9" x14ac:dyDescent="0.3">
      <c r="A1378">
        <v>557</v>
      </c>
      <c r="B1378">
        <v>7</v>
      </c>
      <c r="C1378" t="s">
        <v>105</v>
      </c>
      <c r="D1378" t="s">
        <v>623</v>
      </c>
      <c r="E1378">
        <v>19</v>
      </c>
      <c r="F1378">
        <v>32</v>
      </c>
      <c r="G1378">
        <v>2</v>
      </c>
      <c r="H1378">
        <v>47</v>
      </c>
      <c r="I1378" t="s">
        <v>243</v>
      </c>
    </row>
    <row r="1379" spans="1:9" x14ac:dyDescent="0.3">
      <c r="A1379">
        <v>558</v>
      </c>
      <c r="B1379">
        <v>6</v>
      </c>
      <c r="C1379" t="s">
        <v>60</v>
      </c>
      <c r="D1379" t="s">
        <v>631</v>
      </c>
      <c r="E1379">
        <v>15</v>
      </c>
      <c r="F1379">
        <v>25</v>
      </c>
      <c r="G1379">
        <v>2</v>
      </c>
      <c r="H1379">
        <v>54</v>
      </c>
      <c r="I1379" t="s">
        <v>243</v>
      </c>
    </row>
    <row r="1380" spans="1:9" x14ac:dyDescent="0.3">
      <c r="A1380">
        <v>558</v>
      </c>
      <c r="B1380">
        <v>6</v>
      </c>
      <c r="C1380" t="s">
        <v>112</v>
      </c>
      <c r="D1380" t="s">
        <v>619</v>
      </c>
      <c r="E1380">
        <v>20</v>
      </c>
      <c r="F1380">
        <v>33</v>
      </c>
      <c r="G1380">
        <v>1</v>
      </c>
      <c r="H1380">
        <v>57</v>
      </c>
      <c r="I1380" t="s">
        <v>242</v>
      </c>
    </row>
    <row r="1381" spans="1:9" x14ac:dyDescent="0.3">
      <c r="A1381">
        <v>558</v>
      </c>
      <c r="B1381">
        <v>6</v>
      </c>
      <c r="C1381" t="s">
        <v>105</v>
      </c>
      <c r="D1381" t="s">
        <v>623</v>
      </c>
      <c r="E1381">
        <v>19</v>
      </c>
      <c r="F1381">
        <v>32</v>
      </c>
      <c r="G1381">
        <v>3</v>
      </c>
      <c r="H1381">
        <v>56</v>
      </c>
      <c r="I1381" t="s">
        <v>242</v>
      </c>
    </row>
    <row r="1382" spans="1:9" x14ac:dyDescent="0.3">
      <c r="A1382">
        <v>559</v>
      </c>
      <c r="B1382">
        <v>11</v>
      </c>
      <c r="C1382" t="s">
        <v>112</v>
      </c>
      <c r="D1382" t="s">
        <v>619</v>
      </c>
      <c r="E1382">
        <v>20</v>
      </c>
      <c r="F1382">
        <v>33</v>
      </c>
      <c r="G1382">
        <v>3</v>
      </c>
      <c r="H1382">
        <v>41</v>
      </c>
      <c r="I1382" t="s">
        <v>243</v>
      </c>
    </row>
    <row r="1383" spans="1:9" x14ac:dyDescent="0.3">
      <c r="A1383">
        <v>560</v>
      </c>
      <c r="B1383">
        <v>6</v>
      </c>
      <c r="C1383" t="s">
        <v>60</v>
      </c>
      <c r="D1383" t="s">
        <v>631</v>
      </c>
      <c r="E1383">
        <v>15</v>
      </c>
      <c r="F1383">
        <v>25</v>
      </c>
      <c r="G1383">
        <v>3</v>
      </c>
      <c r="H1383">
        <v>12</v>
      </c>
      <c r="I1383" t="s">
        <v>243</v>
      </c>
    </row>
    <row r="1384" spans="1:9" x14ac:dyDescent="0.3">
      <c r="A1384">
        <v>560</v>
      </c>
      <c r="B1384">
        <v>6</v>
      </c>
      <c r="C1384" t="s">
        <v>46</v>
      </c>
      <c r="D1384" t="s">
        <v>629</v>
      </c>
      <c r="E1384">
        <v>10</v>
      </c>
      <c r="F1384">
        <v>18</v>
      </c>
      <c r="G1384">
        <v>2</v>
      </c>
      <c r="H1384">
        <v>36</v>
      </c>
      <c r="I1384" t="s">
        <v>243</v>
      </c>
    </row>
    <row r="1385" spans="1:9" x14ac:dyDescent="0.3">
      <c r="A1385">
        <v>561</v>
      </c>
      <c r="B1385">
        <v>4</v>
      </c>
      <c r="C1385" t="s">
        <v>89</v>
      </c>
      <c r="D1385" t="s">
        <v>627</v>
      </c>
      <c r="E1385">
        <v>14</v>
      </c>
      <c r="F1385">
        <v>23</v>
      </c>
      <c r="G1385">
        <v>2</v>
      </c>
      <c r="H1385">
        <v>8</v>
      </c>
      <c r="I1385" t="s">
        <v>243</v>
      </c>
    </row>
    <row r="1386" spans="1:9" x14ac:dyDescent="0.3">
      <c r="A1386">
        <v>561</v>
      </c>
      <c r="B1386">
        <v>4</v>
      </c>
      <c r="C1386" t="s">
        <v>46</v>
      </c>
      <c r="D1386" t="s">
        <v>629</v>
      </c>
      <c r="E1386">
        <v>10</v>
      </c>
      <c r="F1386">
        <v>18</v>
      </c>
      <c r="G1386">
        <v>1</v>
      </c>
      <c r="H1386">
        <v>56</v>
      </c>
      <c r="I1386" t="s">
        <v>243</v>
      </c>
    </row>
    <row r="1387" spans="1:9" x14ac:dyDescent="0.3">
      <c r="A1387">
        <v>562</v>
      </c>
      <c r="B1387">
        <v>20</v>
      </c>
      <c r="C1387" t="s">
        <v>56</v>
      </c>
      <c r="D1387" t="s">
        <v>614</v>
      </c>
      <c r="E1387">
        <v>19</v>
      </c>
      <c r="F1387">
        <v>31</v>
      </c>
      <c r="G1387">
        <v>2</v>
      </c>
      <c r="H1387">
        <v>42</v>
      </c>
      <c r="I1387" t="s">
        <v>243</v>
      </c>
    </row>
    <row r="1388" spans="1:9" x14ac:dyDescent="0.3">
      <c r="A1388">
        <v>562</v>
      </c>
      <c r="B1388">
        <v>20</v>
      </c>
      <c r="C1388" t="s">
        <v>34</v>
      </c>
      <c r="D1388" t="s">
        <v>616</v>
      </c>
      <c r="E1388">
        <v>25</v>
      </c>
      <c r="F1388">
        <v>40</v>
      </c>
      <c r="G1388">
        <v>3</v>
      </c>
      <c r="H1388">
        <v>41</v>
      </c>
      <c r="I1388" t="s">
        <v>242</v>
      </c>
    </row>
    <row r="1389" spans="1:9" x14ac:dyDescent="0.3">
      <c r="A1389">
        <v>562</v>
      </c>
      <c r="B1389">
        <v>20</v>
      </c>
      <c r="C1389" t="s">
        <v>75</v>
      </c>
      <c r="D1389" t="s">
        <v>612</v>
      </c>
      <c r="E1389">
        <v>14</v>
      </c>
      <c r="F1389">
        <v>24</v>
      </c>
      <c r="G1389">
        <v>2</v>
      </c>
      <c r="H1389">
        <v>22</v>
      </c>
      <c r="I1389" t="s">
        <v>242</v>
      </c>
    </row>
    <row r="1390" spans="1:9" x14ac:dyDescent="0.3">
      <c r="A1390">
        <v>562</v>
      </c>
      <c r="B1390">
        <v>20</v>
      </c>
      <c r="C1390" t="s">
        <v>26</v>
      </c>
      <c r="D1390" t="s">
        <v>618</v>
      </c>
      <c r="E1390">
        <v>17</v>
      </c>
      <c r="F1390">
        <v>29</v>
      </c>
      <c r="G1390">
        <v>2</v>
      </c>
      <c r="H1390">
        <v>7</v>
      </c>
      <c r="I1390" t="s">
        <v>242</v>
      </c>
    </row>
    <row r="1391" spans="1:9" x14ac:dyDescent="0.3">
      <c r="A1391">
        <v>563</v>
      </c>
      <c r="B1391">
        <v>12</v>
      </c>
      <c r="C1391" t="s">
        <v>50</v>
      </c>
      <c r="D1391" t="s">
        <v>615</v>
      </c>
      <c r="E1391">
        <v>16</v>
      </c>
      <c r="F1391">
        <v>27</v>
      </c>
      <c r="G1391">
        <v>2</v>
      </c>
      <c r="H1391">
        <v>37</v>
      </c>
      <c r="I1391" t="s">
        <v>243</v>
      </c>
    </row>
    <row r="1392" spans="1:9" x14ac:dyDescent="0.3">
      <c r="A1392">
        <v>564</v>
      </c>
      <c r="B1392">
        <v>9</v>
      </c>
      <c r="C1392" t="s">
        <v>44</v>
      </c>
      <c r="D1392" t="s">
        <v>617</v>
      </c>
      <c r="E1392">
        <v>22</v>
      </c>
      <c r="F1392">
        <v>36</v>
      </c>
      <c r="G1392">
        <v>1</v>
      </c>
      <c r="H1392">
        <v>7</v>
      </c>
      <c r="I1392" t="s">
        <v>243</v>
      </c>
    </row>
    <row r="1393" spans="1:9" x14ac:dyDescent="0.3">
      <c r="A1393">
        <v>564</v>
      </c>
      <c r="B1393">
        <v>9</v>
      </c>
      <c r="C1393" t="s">
        <v>34</v>
      </c>
      <c r="D1393" t="s">
        <v>616</v>
      </c>
      <c r="E1393">
        <v>25</v>
      </c>
      <c r="F1393">
        <v>40</v>
      </c>
      <c r="G1393">
        <v>2</v>
      </c>
      <c r="H1393">
        <v>36</v>
      </c>
      <c r="I1393" t="s">
        <v>243</v>
      </c>
    </row>
    <row r="1394" spans="1:9" x14ac:dyDescent="0.3">
      <c r="A1394">
        <v>564</v>
      </c>
      <c r="B1394">
        <v>9</v>
      </c>
      <c r="C1394" t="s">
        <v>66</v>
      </c>
      <c r="D1394" t="s">
        <v>626</v>
      </c>
      <c r="E1394">
        <v>12</v>
      </c>
      <c r="F1394">
        <v>20</v>
      </c>
      <c r="G1394">
        <v>2</v>
      </c>
      <c r="H1394">
        <v>11</v>
      </c>
      <c r="I1394" t="s">
        <v>243</v>
      </c>
    </row>
    <row r="1395" spans="1:9" x14ac:dyDescent="0.3">
      <c r="A1395">
        <v>565</v>
      </c>
      <c r="B1395">
        <v>3</v>
      </c>
      <c r="C1395" t="s">
        <v>112</v>
      </c>
      <c r="D1395" t="s">
        <v>619</v>
      </c>
      <c r="E1395">
        <v>20</v>
      </c>
      <c r="F1395">
        <v>33</v>
      </c>
      <c r="G1395">
        <v>2</v>
      </c>
      <c r="H1395">
        <v>21</v>
      </c>
      <c r="I1395" t="s">
        <v>243</v>
      </c>
    </row>
    <row r="1396" spans="1:9" x14ac:dyDescent="0.3">
      <c r="A1396">
        <v>565</v>
      </c>
      <c r="B1396">
        <v>3</v>
      </c>
      <c r="C1396" t="s">
        <v>105</v>
      </c>
      <c r="D1396" t="s">
        <v>623</v>
      </c>
      <c r="E1396">
        <v>19</v>
      </c>
      <c r="F1396">
        <v>32</v>
      </c>
      <c r="G1396">
        <v>3</v>
      </c>
      <c r="H1396">
        <v>19</v>
      </c>
      <c r="I1396" t="s">
        <v>242</v>
      </c>
    </row>
    <row r="1397" spans="1:9" x14ac:dyDescent="0.3">
      <c r="A1397">
        <v>565</v>
      </c>
      <c r="B1397">
        <v>3</v>
      </c>
      <c r="C1397" t="s">
        <v>46</v>
      </c>
      <c r="D1397" t="s">
        <v>629</v>
      </c>
      <c r="E1397">
        <v>10</v>
      </c>
      <c r="F1397">
        <v>18</v>
      </c>
      <c r="G1397">
        <v>3</v>
      </c>
      <c r="H1397">
        <v>53</v>
      </c>
      <c r="I1397" t="s">
        <v>243</v>
      </c>
    </row>
    <row r="1398" spans="1:9" x14ac:dyDescent="0.3">
      <c r="A1398">
        <v>565</v>
      </c>
      <c r="B1398">
        <v>3</v>
      </c>
      <c r="C1398" t="s">
        <v>19</v>
      </c>
      <c r="D1398" t="s">
        <v>622</v>
      </c>
      <c r="E1398">
        <v>21</v>
      </c>
      <c r="F1398">
        <v>35</v>
      </c>
      <c r="G1398">
        <v>1</v>
      </c>
      <c r="H1398">
        <v>5</v>
      </c>
      <c r="I1398" t="s">
        <v>243</v>
      </c>
    </row>
    <row r="1399" spans="1:9" x14ac:dyDescent="0.3">
      <c r="A1399">
        <v>566</v>
      </c>
      <c r="B1399">
        <v>4</v>
      </c>
      <c r="C1399" t="s">
        <v>71</v>
      </c>
      <c r="D1399" t="s">
        <v>630</v>
      </c>
      <c r="E1399">
        <v>15</v>
      </c>
      <c r="F1399">
        <v>26</v>
      </c>
      <c r="G1399">
        <v>3</v>
      </c>
      <c r="H1399">
        <v>56</v>
      </c>
      <c r="I1399" t="s">
        <v>242</v>
      </c>
    </row>
    <row r="1400" spans="1:9" x14ac:dyDescent="0.3">
      <c r="A1400">
        <v>567</v>
      </c>
      <c r="B1400">
        <v>15</v>
      </c>
      <c r="C1400" t="s">
        <v>112</v>
      </c>
      <c r="D1400" t="s">
        <v>619</v>
      </c>
      <c r="E1400">
        <v>20</v>
      </c>
      <c r="F1400">
        <v>33</v>
      </c>
      <c r="G1400">
        <v>2</v>
      </c>
      <c r="H1400">
        <v>34</v>
      </c>
      <c r="I1400" t="s">
        <v>243</v>
      </c>
    </row>
    <row r="1401" spans="1:9" x14ac:dyDescent="0.3">
      <c r="A1401">
        <v>567</v>
      </c>
      <c r="B1401">
        <v>15</v>
      </c>
      <c r="C1401" t="s">
        <v>42</v>
      </c>
      <c r="D1401" t="s">
        <v>628</v>
      </c>
      <c r="E1401">
        <v>13</v>
      </c>
      <c r="F1401">
        <v>21</v>
      </c>
      <c r="G1401">
        <v>3</v>
      </c>
      <c r="H1401">
        <v>41</v>
      </c>
      <c r="I1401" t="s">
        <v>243</v>
      </c>
    </row>
    <row r="1402" spans="1:9" x14ac:dyDescent="0.3">
      <c r="A1402">
        <v>567</v>
      </c>
      <c r="B1402">
        <v>15</v>
      </c>
      <c r="C1402" t="s">
        <v>30</v>
      </c>
      <c r="D1402" t="s">
        <v>620</v>
      </c>
      <c r="E1402">
        <v>16</v>
      </c>
      <c r="F1402">
        <v>28</v>
      </c>
      <c r="G1402">
        <v>2</v>
      </c>
      <c r="H1402">
        <v>9</v>
      </c>
      <c r="I1402" t="s">
        <v>242</v>
      </c>
    </row>
    <row r="1403" spans="1:9" x14ac:dyDescent="0.3">
      <c r="A1403">
        <v>567</v>
      </c>
      <c r="B1403">
        <v>15</v>
      </c>
      <c r="C1403" t="s">
        <v>38</v>
      </c>
      <c r="D1403" t="s">
        <v>625</v>
      </c>
      <c r="E1403">
        <v>20</v>
      </c>
      <c r="F1403">
        <v>34</v>
      </c>
      <c r="G1403">
        <v>2</v>
      </c>
      <c r="H1403">
        <v>18</v>
      </c>
      <c r="I1403" t="s">
        <v>242</v>
      </c>
    </row>
    <row r="1404" spans="1:9" x14ac:dyDescent="0.3">
      <c r="A1404">
        <v>568</v>
      </c>
      <c r="B1404">
        <v>5</v>
      </c>
      <c r="C1404" t="s">
        <v>38</v>
      </c>
      <c r="D1404" t="s">
        <v>625</v>
      </c>
      <c r="E1404">
        <v>20</v>
      </c>
      <c r="F1404">
        <v>34</v>
      </c>
      <c r="G1404">
        <v>3</v>
      </c>
      <c r="H1404">
        <v>40</v>
      </c>
      <c r="I1404" t="s">
        <v>242</v>
      </c>
    </row>
    <row r="1405" spans="1:9" x14ac:dyDescent="0.3">
      <c r="A1405">
        <v>568</v>
      </c>
      <c r="B1405">
        <v>5</v>
      </c>
      <c r="C1405" t="s">
        <v>34</v>
      </c>
      <c r="D1405" t="s">
        <v>616</v>
      </c>
      <c r="E1405">
        <v>25</v>
      </c>
      <c r="F1405">
        <v>40</v>
      </c>
      <c r="G1405">
        <v>2</v>
      </c>
      <c r="H1405">
        <v>44</v>
      </c>
      <c r="I1405" t="s">
        <v>243</v>
      </c>
    </row>
    <row r="1406" spans="1:9" x14ac:dyDescent="0.3">
      <c r="A1406">
        <v>569</v>
      </c>
      <c r="B1406">
        <v>12</v>
      </c>
      <c r="C1406" t="s">
        <v>42</v>
      </c>
      <c r="D1406" t="s">
        <v>628</v>
      </c>
      <c r="E1406">
        <v>13</v>
      </c>
      <c r="F1406">
        <v>21</v>
      </c>
      <c r="G1406">
        <v>3</v>
      </c>
      <c r="H1406">
        <v>32</v>
      </c>
      <c r="I1406" t="s">
        <v>243</v>
      </c>
    </row>
    <row r="1407" spans="1:9" x14ac:dyDescent="0.3">
      <c r="A1407">
        <v>569</v>
      </c>
      <c r="B1407">
        <v>12</v>
      </c>
      <c r="C1407" t="s">
        <v>38</v>
      </c>
      <c r="D1407" t="s">
        <v>625</v>
      </c>
      <c r="E1407">
        <v>20</v>
      </c>
      <c r="F1407">
        <v>34</v>
      </c>
      <c r="G1407">
        <v>2</v>
      </c>
      <c r="H1407">
        <v>26</v>
      </c>
      <c r="I1407" t="s">
        <v>242</v>
      </c>
    </row>
    <row r="1408" spans="1:9" x14ac:dyDescent="0.3">
      <c r="A1408">
        <v>570</v>
      </c>
      <c r="B1408">
        <v>1</v>
      </c>
      <c r="C1408" t="s">
        <v>71</v>
      </c>
      <c r="D1408" t="s">
        <v>630</v>
      </c>
      <c r="E1408">
        <v>15</v>
      </c>
      <c r="F1408">
        <v>26</v>
      </c>
      <c r="G1408">
        <v>2</v>
      </c>
      <c r="H1408">
        <v>8</v>
      </c>
      <c r="I1408" t="s">
        <v>243</v>
      </c>
    </row>
    <row r="1409" spans="1:9" x14ac:dyDescent="0.3">
      <c r="A1409">
        <v>570</v>
      </c>
      <c r="B1409">
        <v>1</v>
      </c>
      <c r="C1409" t="s">
        <v>112</v>
      </c>
      <c r="D1409" t="s">
        <v>619</v>
      </c>
      <c r="E1409">
        <v>20</v>
      </c>
      <c r="F1409">
        <v>33</v>
      </c>
      <c r="G1409">
        <v>1</v>
      </c>
      <c r="H1409">
        <v>38</v>
      </c>
      <c r="I1409" t="s">
        <v>242</v>
      </c>
    </row>
    <row r="1410" spans="1:9" x14ac:dyDescent="0.3">
      <c r="A1410">
        <v>571</v>
      </c>
      <c r="B1410">
        <v>15</v>
      </c>
      <c r="C1410" t="s">
        <v>50</v>
      </c>
      <c r="D1410" t="s">
        <v>615</v>
      </c>
      <c r="E1410">
        <v>16</v>
      </c>
      <c r="F1410">
        <v>27</v>
      </c>
      <c r="G1410">
        <v>2</v>
      </c>
      <c r="H1410">
        <v>26</v>
      </c>
      <c r="I1410" t="s">
        <v>242</v>
      </c>
    </row>
    <row r="1411" spans="1:9" x14ac:dyDescent="0.3">
      <c r="A1411">
        <v>572</v>
      </c>
      <c r="B1411">
        <v>19</v>
      </c>
      <c r="C1411" t="s">
        <v>40</v>
      </c>
      <c r="D1411" t="s">
        <v>613</v>
      </c>
      <c r="E1411">
        <v>18</v>
      </c>
      <c r="F1411">
        <v>30</v>
      </c>
      <c r="G1411">
        <v>1</v>
      </c>
      <c r="H1411">
        <v>34</v>
      </c>
      <c r="I1411" t="s">
        <v>243</v>
      </c>
    </row>
    <row r="1412" spans="1:9" x14ac:dyDescent="0.3">
      <c r="A1412">
        <v>572</v>
      </c>
      <c r="B1412">
        <v>19</v>
      </c>
      <c r="C1412" t="s">
        <v>92</v>
      </c>
      <c r="D1412" t="s">
        <v>624</v>
      </c>
      <c r="E1412">
        <v>13</v>
      </c>
      <c r="F1412">
        <v>22</v>
      </c>
      <c r="G1412">
        <v>2</v>
      </c>
      <c r="H1412">
        <v>10</v>
      </c>
      <c r="I1412" t="s">
        <v>243</v>
      </c>
    </row>
    <row r="1413" spans="1:9" x14ac:dyDescent="0.3">
      <c r="A1413">
        <v>573</v>
      </c>
      <c r="B1413">
        <v>7</v>
      </c>
      <c r="C1413" t="s">
        <v>42</v>
      </c>
      <c r="D1413" t="s">
        <v>628</v>
      </c>
      <c r="E1413">
        <v>13</v>
      </c>
      <c r="F1413">
        <v>21</v>
      </c>
      <c r="G1413">
        <v>3</v>
      </c>
      <c r="H1413">
        <v>41</v>
      </c>
      <c r="I1413" t="s">
        <v>242</v>
      </c>
    </row>
    <row r="1414" spans="1:9" x14ac:dyDescent="0.3">
      <c r="A1414">
        <v>573</v>
      </c>
      <c r="B1414">
        <v>7</v>
      </c>
      <c r="C1414" t="s">
        <v>38</v>
      </c>
      <c r="D1414" t="s">
        <v>625</v>
      </c>
      <c r="E1414">
        <v>20</v>
      </c>
      <c r="F1414">
        <v>34</v>
      </c>
      <c r="G1414">
        <v>3</v>
      </c>
      <c r="H1414">
        <v>28</v>
      </c>
      <c r="I1414" t="s">
        <v>243</v>
      </c>
    </row>
    <row r="1415" spans="1:9" x14ac:dyDescent="0.3">
      <c r="A1415">
        <v>574</v>
      </c>
      <c r="B1415">
        <v>20</v>
      </c>
      <c r="C1415" t="s">
        <v>71</v>
      </c>
      <c r="D1415" t="s">
        <v>630</v>
      </c>
      <c r="E1415">
        <v>15</v>
      </c>
      <c r="F1415">
        <v>26</v>
      </c>
      <c r="G1415">
        <v>3</v>
      </c>
      <c r="H1415">
        <v>50</v>
      </c>
      <c r="I1415" t="s">
        <v>243</v>
      </c>
    </row>
    <row r="1416" spans="1:9" x14ac:dyDescent="0.3">
      <c r="A1416">
        <v>574</v>
      </c>
      <c r="B1416">
        <v>20</v>
      </c>
      <c r="C1416" t="s">
        <v>42</v>
      </c>
      <c r="D1416" t="s">
        <v>628</v>
      </c>
      <c r="E1416">
        <v>13</v>
      </c>
      <c r="F1416">
        <v>21</v>
      </c>
      <c r="G1416">
        <v>1</v>
      </c>
      <c r="H1416">
        <v>41</v>
      </c>
      <c r="I1416" t="s">
        <v>243</v>
      </c>
    </row>
    <row r="1417" spans="1:9" x14ac:dyDescent="0.3">
      <c r="A1417">
        <v>574</v>
      </c>
      <c r="B1417">
        <v>20</v>
      </c>
      <c r="C1417" t="s">
        <v>44</v>
      </c>
      <c r="D1417" t="s">
        <v>617</v>
      </c>
      <c r="E1417">
        <v>22</v>
      </c>
      <c r="F1417">
        <v>36</v>
      </c>
      <c r="G1417">
        <v>2</v>
      </c>
      <c r="H1417">
        <v>40</v>
      </c>
      <c r="I1417" t="s">
        <v>242</v>
      </c>
    </row>
    <row r="1418" spans="1:9" x14ac:dyDescent="0.3">
      <c r="A1418">
        <v>574</v>
      </c>
      <c r="B1418">
        <v>20</v>
      </c>
      <c r="C1418" t="s">
        <v>46</v>
      </c>
      <c r="D1418" t="s">
        <v>629</v>
      </c>
      <c r="E1418">
        <v>10</v>
      </c>
      <c r="F1418">
        <v>18</v>
      </c>
      <c r="G1418">
        <v>2</v>
      </c>
      <c r="H1418">
        <v>37</v>
      </c>
      <c r="I1418" t="s">
        <v>243</v>
      </c>
    </row>
    <row r="1419" spans="1:9" x14ac:dyDescent="0.3">
      <c r="A1419">
        <v>575</v>
      </c>
      <c r="B1419">
        <v>15</v>
      </c>
      <c r="C1419" t="s">
        <v>46</v>
      </c>
      <c r="D1419" t="s">
        <v>629</v>
      </c>
      <c r="E1419">
        <v>10</v>
      </c>
      <c r="F1419">
        <v>18</v>
      </c>
      <c r="G1419">
        <v>1</v>
      </c>
      <c r="H1419">
        <v>44</v>
      </c>
      <c r="I1419" t="s">
        <v>242</v>
      </c>
    </row>
    <row r="1420" spans="1:9" x14ac:dyDescent="0.3">
      <c r="A1420">
        <v>576</v>
      </c>
      <c r="B1420">
        <v>9</v>
      </c>
      <c r="C1420" t="s">
        <v>112</v>
      </c>
      <c r="D1420" t="s">
        <v>619</v>
      </c>
      <c r="E1420">
        <v>20</v>
      </c>
      <c r="F1420">
        <v>33</v>
      </c>
      <c r="G1420">
        <v>1</v>
      </c>
      <c r="H1420">
        <v>46</v>
      </c>
      <c r="I1420" t="s">
        <v>242</v>
      </c>
    </row>
    <row r="1421" spans="1:9" x14ac:dyDescent="0.3">
      <c r="A1421">
        <v>576</v>
      </c>
      <c r="B1421">
        <v>9</v>
      </c>
      <c r="C1421" t="s">
        <v>56</v>
      </c>
      <c r="D1421" t="s">
        <v>614</v>
      </c>
      <c r="E1421">
        <v>19</v>
      </c>
      <c r="F1421">
        <v>31</v>
      </c>
      <c r="G1421">
        <v>3</v>
      </c>
      <c r="H1421">
        <v>32</v>
      </c>
      <c r="I1421" t="s">
        <v>242</v>
      </c>
    </row>
    <row r="1422" spans="1:9" x14ac:dyDescent="0.3">
      <c r="A1422">
        <v>576</v>
      </c>
      <c r="B1422">
        <v>9</v>
      </c>
      <c r="C1422" t="s">
        <v>44</v>
      </c>
      <c r="D1422" t="s">
        <v>617</v>
      </c>
      <c r="E1422">
        <v>22</v>
      </c>
      <c r="F1422">
        <v>36</v>
      </c>
      <c r="G1422">
        <v>3</v>
      </c>
      <c r="H1422">
        <v>37</v>
      </c>
      <c r="I1422" t="s">
        <v>243</v>
      </c>
    </row>
    <row r="1423" spans="1:9" x14ac:dyDescent="0.3">
      <c r="A1423">
        <v>577</v>
      </c>
      <c r="B1423">
        <v>5</v>
      </c>
      <c r="C1423" t="s">
        <v>46</v>
      </c>
      <c r="D1423" t="s">
        <v>629</v>
      </c>
      <c r="E1423">
        <v>10</v>
      </c>
      <c r="F1423">
        <v>18</v>
      </c>
      <c r="G1423">
        <v>1</v>
      </c>
      <c r="H1423">
        <v>10</v>
      </c>
      <c r="I1423" t="s">
        <v>243</v>
      </c>
    </row>
    <row r="1424" spans="1:9" x14ac:dyDescent="0.3">
      <c r="A1424">
        <v>577</v>
      </c>
      <c r="B1424">
        <v>5</v>
      </c>
      <c r="C1424" t="s">
        <v>92</v>
      </c>
      <c r="D1424" t="s">
        <v>624</v>
      </c>
      <c r="E1424">
        <v>13</v>
      </c>
      <c r="F1424">
        <v>22</v>
      </c>
      <c r="G1424">
        <v>1</v>
      </c>
      <c r="H1424">
        <v>15</v>
      </c>
      <c r="I1424" t="s">
        <v>242</v>
      </c>
    </row>
    <row r="1425" spans="1:9" x14ac:dyDescent="0.3">
      <c r="A1425">
        <v>578</v>
      </c>
      <c r="B1425">
        <v>11</v>
      </c>
      <c r="C1425" t="s">
        <v>40</v>
      </c>
      <c r="D1425" t="s">
        <v>613</v>
      </c>
      <c r="E1425">
        <v>18</v>
      </c>
      <c r="F1425">
        <v>30</v>
      </c>
      <c r="G1425">
        <v>3</v>
      </c>
      <c r="H1425">
        <v>44</v>
      </c>
      <c r="I1425" t="s">
        <v>242</v>
      </c>
    </row>
    <row r="1426" spans="1:9" x14ac:dyDescent="0.3">
      <c r="A1426">
        <v>579</v>
      </c>
      <c r="B1426">
        <v>9</v>
      </c>
      <c r="C1426" t="s">
        <v>60</v>
      </c>
      <c r="D1426" t="s">
        <v>631</v>
      </c>
      <c r="E1426">
        <v>15</v>
      </c>
      <c r="F1426">
        <v>25</v>
      </c>
      <c r="G1426">
        <v>2</v>
      </c>
      <c r="H1426">
        <v>48</v>
      </c>
      <c r="I1426" t="s">
        <v>242</v>
      </c>
    </row>
    <row r="1427" spans="1:9" x14ac:dyDescent="0.3">
      <c r="A1427">
        <v>580</v>
      </c>
      <c r="B1427">
        <v>10</v>
      </c>
      <c r="C1427" t="s">
        <v>112</v>
      </c>
      <c r="D1427" t="s">
        <v>619</v>
      </c>
      <c r="E1427">
        <v>20</v>
      </c>
      <c r="F1427">
        <v>33</v>
      </c>
      <c r="G1427">
        <v>1</v>
      </c>
      <c r="H1427">
        <v>30</v>
      </c>
      <c r="I1427" t="s">
        <v>242</v>
      </c>
    </row>
    <row r="1428" spans="1:9" x14ac:dyDescent="0.3">
      <c r="A1428">
        <v>581</v>
      </c>
      <c r="B1428">
        <v>18</v>
      </c>
      <c r="C1428" t="s">
        <v>112</v>
      </c>
      <c r="D1428" t="s">
        <v>619</v>
      </c>
      <c r="E1428">
        <v>20</v>
      </c>
      <c r="F1428">
        <v>33</v>
      </c>
      <c r="G1428">
        <v>1</v>
      </c>
      <c r="H1428">
        <v>15</v>
      </c>
      <c r="I1428" t="s">
        <v>242</v>
      </c>
    </row>
    <row r="1429" spans="1:9" x14ac:dyDescent="0.3">
      <c r="A1429">
        <v>581</v>
      </c>
      <c r="B1429">
        <v>18</v>
      </c>
      <c r="C1429" t="s">
        <v>40</v>
      </c>
      <c r="D1429" t="s">
        <v>613</v>
      </c>
      <c r="E1429">
        <v>18</v>
      </c>
      <c r="F1429">
        <v>30</v>
      </c>
      <c r="G1429">
        <v>3</v>
      </c>
      <c r="H1429">
        <v>40</v>
      </c>
      <c r="I1429" t="s">
        <v>242</v>
      </c>
    </row>
    <row r="1430" spans="1:9" x14ac:dyDescent="0.3">
      <c r="A1430">
        <v>582</v>
      </c>
      <c r="B1430">
        <v>3</v>
      </c>
      <c r="C1430" t="s">
        <v>50</v>
      </c>
      <c r="D1430" t="s">
        <v>615</v>
      </c>
      <c r="E1430">
        <v>16</v>
      </c>
      <c r="F1430">
        <v>27</v>
      </c>
      <c r="G1430">
        <v>2</v>
      </c>
      <c r="H1430">
        <v>42</v>
      </c>
      <c r="I1430" t="s">
        <v>243</v>
      </c>
    </row>
    <row r="1431" spans="1:9" x14ac:dyDescent="0.3">
      <c r="A1431">
        <v>583</v>
      </c>
      <c r="B1431">
        <v>9</v>
      </c>
      <c r="C1431" t="s">
        <v>53</v>
      </c>
      <c r="D1431" t="s">
        <v>621</v>
      </c>
      <c r="E1431">
        <v>11</v>
      </c>
      <c r="F1431">
        <v>19</v>
      </c>
      <c r="G1431">
        <v>3</v>
      </c>
      <c r="H1431">
        <v>15</v>
      </c>
      <c r="I1431" t="s">
        <v>242</v>
      </c>
    </row>
    <row r="1432" spans="1:9" x14ac:dyDescent="0.3">
      <c r="A1432">
        <v>583</v>
      </c>
      <c r="B1432">
        <v>9</v>
      </c>
      <c r="C1432" t="s">
        <v>34</v>
      </c>
      <c r="D1432" t="s">
        <v>616</v>
      </c>
      <c r="E1432">
        <v>25</v>
      </c>
      <c r="F1432">
        <v>40</v>
      </c>
      <c r="G1432">
        <v>3</v>
      </c>
      <c r="H1432">
        <v>50</v>
      </c>
      <c r="I1432" t="s">
        <v>243</v>
      </c>
    </row>
    <row r="1433" spans="1:9" x14ac:dyDescent="0.3">
      <c r="A1433">
        <v>583</v>
      </c>
      <c r="B1433">
        <v>9</v>
      </c>
      <c r="C1433" t="s">
        <v>46</v>
      </c>
      <c r="D1433" t="s">
        <v>629</v>
      </c>
      <c r="E1433">
        <v>10</v>
      </c>
      <c r="F1433">
        <v>18</v>
      </c>
      <c r="G1433">
        <v>1</v>
      </c>
      <c r="H1433">
        <v>11</v>
      </c>
      <c r="I1433" t="s">
        <v>242</v>
      </c>
    </row>
    <row r="1434" spans="1:9" x14ac:dyDescent="0.3">
      <c r="A1434">
        <v>583</v>
      </c>
      <c r="B1434">
        <v>9</v>
      </c>
      <c r="C1434" t="s">
        <v>75</v>
      </c>
      <c r="D1434" t="s">
        <v>612</v>
      </c>
      <c r="E1434">
        <v>14</v>
      </c>
      <c r="F1434">
        <v>24</v>
      </c>
      <c r="G1434">
        <v>2</v>
      </c>
      <c r="H1434">
        <v>29</v>
      </c>
      <c r="I1434" t="s">
        <v>243</v>
      </c>
    </row>
    <row r="1435" spans="1:9" x14ac:dyDescent="0.3">
      <c r="A1435">
        <v>584</v>
      </c>
      <c r="B1435">
        <v>9</v>
      </c>
      <c r="C1435" t="s">
        <v>42</v>
      </c>
      <c r="D1435" t="s">
        <v>628</v>
      </c>
      <c r="E1435">
        <v>13</v>
      </c>
      <c r="F1435">
        <v>21</v>
      </c>
      <c r="G1435">
        <v>1</v>
      </c>
      <c r="H1435">
        <v>57</v>
      </c>
      <c r="I1435" t="s">
        <v>243</v>
      </c>
    </row>
    <row r="1436" spans="1:9" x14ac:dyDescent="0.3">
      <c r="A1436">
        <v>584</v>
      </c>
      <c r="B1436">
        <v>9</v>
      </c>
      <c r="C1436" t="s">
        <v>30</v>
      </c>
      <c r="D1436" t="s">
        <v>620</v>
      </c>
      <c r="E1436">
        <v>16</v>
      </c>
      <c r="F1436">
        <v>28</v>
      </c>
      <c r="G1436">
        <v>2</v>
      </c>
      <c r="H1436">
        <v>23</v>
      </c>
      <c r="I1436" t="s">
        <v>242</v>
      </c>
    </row>
    <row r="1437" spans="1:9" x14ac:dyDescent="0.3">
      <c r="A1437">
        <v>584</v>
      </c>
      <c r="B1437">
        <v>9</v>
      </c>
      <c r="C1437" t="s">
        <v>56</v>
      </c>
      <c r="D1437" t="s">
        <v>614</v>
      </c>
      <c r="E1437">
        <v>19</v>
      </c>
      <c r="F1437">
        <v>31</v>
      </c>
      <c r="G1437">
        <v>2</v>
      </c>
      <c r="H1437">
        <v>34</v>
      </c>
      <c r="I1437" t="s">
        <v>242</v>
      </c>
    </row>
    <row r="1438" spans="1:9" x14ac:dyDescent="0.3">
      <c r="A1438">
        <v>585</v>
      </c>
      <c r="B1438">
        <v>3</v>
      </c>
      <c r="C1438" t="s">
        <v>60</v>
      </c>
      <c r="D1438" t="s">
        <v>631</v>
      </c>
      <c r="E1438">
        <v>15</v>
      </c>
      <c r="F1438">
        <v>25</v>
      </c>
      <c r="G1438">
        <v>1</v>
      </c>
      <c r="H1438">
        <v>30</v>
      </c>
      <c r="I1438" t="s">
        <v>243</v>
      </c>
    </row>
    <row r="1439" spans="1:9" x14ac:dyDescent="0.3">
      <c r="A1439">
        <v>585</v>
      </c>
      <c r="B1439">
        <v>3</v>
      </c>
      <c r="C1439" t="s">
        <v>105</v>
      </c>
      <c r="D1439" t="s">
        <v>623</v>
      </c>
      <c r="E1439">
        <v>19</v>
      </c>
      <c r="F1439">
        <v>32</v>
      </c>
      <c r="G1439">
        <v>1</v>
      </c>
      <c r="H1439">
        <v>35</v>
      </c>
      <c r="I1439" t="s">
        <v>243</v>
      </c>
    </row>
    <row r="1440" spans="1:9" x14ac:dyDescent="0.3">
      <c r="A1440">
        <v>585</v>
      </c>
      <c r="B1440">
        <v>3</v>
      </c>
      <c r="C1440" t="s">
        <v>46</v>
      </c>
      <c r="D1440" t="s">
        <v>629</v>
      </c>
      <c r="E1440">
        <v>10</v>
      </c>
      <c r="F1440">
        <v>18</v>
      </c>
      <c r="G1440">
        <v>2</v>
      </c>
      <c r="H1440">
        <v>22</v>
      </c>
      <c r="I1440" t="s">
        <v>242</v>
      </c>
    </row>
    <row r="1441" spans="1:9" x14ac:dyDescent="0.3">
      <c r="A1441">
        <v>585</v>
      </c>
      <c r="B1441">
        <v>3</v>
      </c>
      <c r="C1441" t="s">
        <v>19</v>
      </c>
      <c r="D1441" t="s">
        <v>622</v>
      </c>
      <c r="E1441">
        <v>21</v>
      </c>
      <c r="F1441">
        <v>35</v>
      </c>
      <c r="G1441">
        <v>1</v>
      </c>
      <c r="H1441">
        <v>8</v>
      </c>
      <c r="I1441" t="s">
        <v>243</v>
      </c>
    </row>
    <row r="1442" spans="1:9" x14ac:dyDescent="0.3">
      <c r="A1442">
        <v>586</v>
      </c>
      <c r="B1442">
        <v>17</v>
      </c>
      <c r="C1442" t="s">
        <v>112</v>
      </c>
      <c r="D1442" t="s">
        <v>619</v>
      </c>
      <c r="E1442">
        <v>20</v>
      </c>
      <c r="F1442">
        <v>33</v>
      </c>
      <c r="G1442">
        <v>3</v>
      </c>
      <c r="H1442">
        <v>47</v>
      </c>
      <c r="I1442" t="s">
        <v>243</v>
      </c>
    </row>
    <row r="1443" spans="1:9" x14ac:dyDescent="0.3">
      <c r="A1443">
        <v>586</v>
      </c>
      <c r="B1443">
        <v>17</v>
      </c>
      <c r="C1443" t="s">
        <v>75</v>
      </c>
      <c r="D1443" t="s">
        <v>612</v>
      </c>
      <c r="E1443">
        <v>14</v>
      </c>
      <c r="F1443">
        <v>24</v>
      </c>
      <c r="G1443">
        <v>3</v>
      </c>
      <c r="H1443">
        <v>45</v>
      </c>
      <c r="I1443" t="s">
        <v>242</v>
      </c>
    </row>
    <row r="1444" spans="1:9" x14ac:dyDescent="0.3">
      <c r="A1444">
        <v>587</v>
      </c>
      <c r="B1444">
        <v>7</v>
      </c>
      <c r="C1444" t="s">
        <v>75</v>
      </c>
      <c r="D1444" t="s">
        <v>612</v>
      </c>
      <c r="E1444">
        <v>14</v>
      </c>
      <c r="F1444">
        <v>24</v>
      </c>
      <c r="G1444">
        <v>2</v>
      </c>
      <c r="H1444">
        <v>43</v>
      </c>
      <c r="I1444" t="s">
        <v>243</v>
      </c>
    </row>
    <row r="1445" spans="1:9" x14ac:dyDescent="0.3">
      <c r="A1445">
        <v>588</v>
      </c>
      <c r="B1445">
        <v>15</v>
      </c>
      <c r="C1445" t="s">
        <v>60</v>
      </c>
      <c r="D1445" t="s">
        <v>631</v>
      </c>
      <c r="E1445">
        <v>15</v>
      </c>
      <c r="F1445">
        <v>25</v>
      </c>
      <c r="G1445">
        <v>3</v>
      </c>
      <c r="H1445">
        <v>12</v>
      </c>
      <c r="I1445" t="s">
        <v>243</v>
      </c>
    </row>
    <row r="1446" spans="1:9" x14ac:dyDescent="0.3">
      <c r="A1446">
        <v>588</v>
      </c>
      <c r="B1446">
        <v>15</v>
      </c>
      <c r="C1446" t="s">
        <v>71</v>
      </c>
      <c r="D1446" t="s">
        <v>630</v>
      </c>
      <c r="E1446">
        <v>15</v>
      </c>
      <c r="F1446">
        <v>26</v>
      </c>
      <c r="G1446">
        <v>1</v>
      </c>
      <c r="H1446">
        <v>25</v>
      </c>
      <c r="I1446" t="s">
        <v>243</v>
      </c>
    </row>
    <row r="1447" spans="1:9" x14ac:dyDescent="0.3">
      <c r="A1447">
        <v>589</v>
      </c>
      <c r="B1447">
        <v>10</v>
      </c>
      <c r="C1447" t="s">
        <v>42</v>
      </c>
      <c r="D1447" t="s">
        <v>628</v>
      </c>
      <c r="E1447">
        <v>13</v>
      </c>
      <c r="F1447">
        <v>21</v>
      </c>
      <c r="G1447">
        <v>3</v>
      </c>
      <c r="H1447">
        <v>7</v>
      </c>
      <c r="I1447" t="s">
        <v>242</v>
      </c>
    </row>
    <row r="1448" spans="1:9" x14ac:dyDescent="0.3">
      <c r="A1448">
        <v>589</v>
      </c>
      <c r="B1448">
        <v>10</v>
      </c>
      <c r="C1448" t="s">
        <v>89</v>
      </c>
      <c r="D1448" t="s">
        <v>627</v>
      </c>
      <c r="E1448">
        <v>14</v>
      </c>
      <c r="F1448">
        <v>23</v>
      </c>
      <c r="G1448">
        <v>1</v>
      </c>
      <c r="H1448">
        <v>45</v>
      </c>
      <c r="I1448" t="s">
        <v>242</v>
      </c>
    </row>
    <row r="1449" spans="1:9" x14ac:dyDescent="0.3">
      <c r="A1449">
        <v>589</v>
      </c>
      <c r="B1449">
        <v>10</v>
      </c>
      <c r="C1449" t="s">
        <v>105</v>
      </c>
      <c r="D1449" t="s">
        <v>623</v>
      </c>
      <c r="E1449">
        <v>19</v>
      </c>
      <c r="F1449">
        <v>32</v>
      </c>
      <c r="G1449">
        <v>3</v>
      </c>
      <c r="H1449">
        <v>9</v>
      </c>
      <c r="I1449" t="s">
        <v>242</v>
      </c>
    </row>
    <row r="1450" spans="1:9" x14ac:dyDescent="0.3">
      <c r="A1450">
        <v>589</v>
      </c>
      <c r="B1450">
        <v>10</v>
      </c>
      <c r="C1450" t="s">
        <v>38</v>
      </c>
      <c r="D1450" t="s">
        <v>625</v>
      </c>
      <c r="E1450">
        <v>20</v>
      </c>
      <c r="F1450">
        <v>34</v>
      </c>
      <c r="G1450">
        <v>3</v>
      </c>
      <c r="H1450">
        <v>59</v>
      </c>
      <c r="I1450" t="s">
        <v>242</v>
      </c>
    </row>
    <row r="1451" spans="1:9" x14ac:dyDescent="0.3">
      <c r="A1451">
        <v>590</v>
      </c>
      <c r="B1451">
        <v>3</v>
      </c>
      <c r="C1451" t="s">
        <v>38</v>
      </c>
      <c r="D1451" t="s">
        <v>625</v>
      </c>
      <c r="E1451">
        <v>20</v>
      </c>
      <c r="F1451">
        <v>34</v>
      </c>
      <c r="G1451">
        <v>3</v>
      </c>
      <c r="H1451">
        <v>43</v>
      </c>
      <c r="I1451" t="s">
        <v>243</v>
      </c>
    </row>
    <row r="1452" spans="1:9" x14ac:dyDescent="0.3">
      <c r="A1452">
        <v>590</v>
      </c>
      <c r="B1452">
        <v>3</v>
      </c>
      <c r="C1452" t="s">
        <v>66</v>
      </c>
      <c r="D1452" t="s">
        <v>626</v>
      </c>
      <c r="E1452">
        <v>12</v>
      </c>
      <c r="F1452">
        <v>20</v>
      </c>
      <c r="G1452">
        <v>1</v>
      </c>
      <c r="H1452">
        <v>21</v>
      </c>
      <c r="I1452" t="s">
        <v>243</v>
      </c>
    </row>
    <row r="1453" spans="1:9" x14ac:dyDescent="0.3">
      <c r="A1453">
        <v>591</v>
      </c>
      <c r="B1453">
        <v>11</v>
      </c>
      <c r="C1453" t="s">
        <v>34</v>
      </c>
      <c r="D1453" t="s">
        <v>616</v>
      </c>
      <c r="E1453">
        <v>25</v>
      </c>
      <c r="F1453">
        <v>40</v>
      </c>
      <c r="G1453">
        <v>3</v>
      </c>
      <c r="H1453">
        <v>51</v>
      </c>
      <c r="I1453" t="s">
        <v>242</v>
      </c>
    </row>
    <row r="1454" spans="1:9" x14ac:dyDescent="0.3">
      <c r="A1454">
        <v>592</v>
      </c>
      <c r="B1454">
        <v>5</v>
      </c>
      <c r="C1454" t="s">
        <v>60</v>
      </c>
      <c r="D1454" t="s">
        <v>631</v>
      </c>
      <c r="E1454">
        <v>15</v>
      </c>
      <c r="F1454">
        <v>25</v>
      </c>
      <c r="G1454">
        <v>2</v>
      </c>
      <c r="H1454">
        <v>42</v>
      </c>
      <c r="I1454" t="s">
        <v>242</v>
      </c>
    </row>
    <row r="1455" spans="1:9" x14ac:dyDescent="0.3">
      <c r="A1455">
        <v>592</v>
      </c>
      <c r="B1455">
        <v>5</v>
      </c>
      <c r="C1455" t="s">
        <v>92</v>
      </c>
      <c r="D1455" t="s">
        <v>624</v>
      </c>
      <c r="E1455">
        <v>13</v>
      </c>
      <c r="F1455">
        <v>22</v>
      </c>
      <c r="G1455">
        <v>2</v>
      </c>
      <c r="H1455">
        <v>59</v>
      </c>
      <c r="I1455" t="s">
        <v>242</v>
      </c>
    </row>
    <row r="1456" spans="1:9" x14ac:dyDescent="0.3">
      <c r="A1456">
        <v>593</v>
      </c>
      <c r="B1456">
        <v>17</v>
      </c>
      <c r="C1456" t="s">
        <v>112</v>
      </c>
      <c r="D1456" t="s">
        <v>619</v>
      </c>
      <c r="E1456">
        <v>20</v>
      </c>
      <c r="F1456">
        <v>33</v>
      </c>
      <c r="G1456">
        <v>2</v>
      </c>
      <c r="H1456">
        <v>5</v>
      </c>
      <c r="I1456" t="s">
        <v>243</v>
      </c>
    </row>
    <row r="1457" spans="1:9" x14ac:dyDescent="0.3">
      <c r="A1457">
        <v>593</v>
      </c>
      <c r="B1457">
        <v>17</v>
      </c>
      <c r="C1457" t="s">
        <v>56</v>
      </c>
      <c r="D1457" t="s">
        <v>614</v>
      </c>
      <c r="E1457">
        <v>19</v>
      </c>
      <c r="F1457">
        <v>31</v>
      </c>
      <c r="G1457">
        <v>1</v>
      </c>
      <c r="H1457">
        <v>8</v>
      </c>
      <c r="I1457" t="s">
        <v>242</v>
      </c>
    </row>
    <row r="1458" spans="1:9" x14ac:dyDescent="0.3">
      <c r="A1458">
        <v>593</v>
      </c>
      <c r="B1458">
        <v>17</v>
      </c>
      <c r="C1458" t="s">
        <v>44</v>
      </c>
      <c r="D1458" t="s">
        <v>617</v>
      </c>
      <c r="E1458">
        <v>22</v>
      </c>
      <c r="F1458">
        <v>36</v>
      </c>
      <c r="G1458">
        <v>2</v>
      </c>
      <c r="H1458">
        <v>5</v>
      </c>
      <c r="I1458" t="s">
        <v>242</v>
      </c>
    </row>
    <row r="1459" spans="1:9" x14ac:dyDescent="0.3">
      <c r="A1459">
        <v>593</v>
      </c>
      <c r="B1459">
        <v>17</v>
      </c>
      <c r="C1459" t="s">
        <v>34</v>
      </c>
      <c r="D1459" t="s">
        <v>616</v>
      </c>
      <c r="E1459">
        <v>25</v>
      </c>
      <c r="F1459">
        <v>40</v>
      </c>
      <c r="G1459">
        <v>1</v>
      </c>
      <c r="H1459">
        <v>30</v>
      </c>
      <c r="I1459" t="s">
        <v>242</v>
      </c>
    </row>
    <row r="1460" spans="1:9" x14ac:dyDescent="0.3">
      <c r="A1460">
        <v>594</v>
      </c>
      <c r="B1460">
        <v>17</v>
      </c>
      <c r="C1460" t="s">
        <v>112</v>
      </c>
      <c r="D1460" t="s">
        <v>619</v>
      </c>
      <c r="E1460">
        <v>20</v>
      </c>
      <c r="F1460">
        <v>33</v>
      </c>
      <c r="G1460">
        <v>1</v>
      </c>
      <c r="H1460">
        <v>5</v>
      </c>
      <c r="I1460" t="s">
        <v>242</v>
      </c>
    </row>
    <row r="1461" spans="1:9" x14ac:dyDescent="0.3">
      <c r="A1461">
        <v>594</v>
      </c>
      <c r="B1461">
        <v>17</v>
      </c>
      <c r="C1461" t="s">
        <v>66</v>
      </c>
      <c r="D1461" t="s">
        <v>626</v>
      </c>
      <c r="E1461">
        <v>12</v>
      </c>
      <c r="F1461">
        <v>20</v>
      </c>
      <c r="G1461">
        <v>2</v>
      </c>
      <c r="H1461">
        <v>49</v>
      </c>
      <c r="I1461" t="s">
        <v>242</v>
      </c>
    </row>
    <row r="1462" spans="1:9" x14ac:dyDescent="0.3">
      <c r="A1462">
        <v>594</v>
      </c>
      <c r="B1462">
        <v>17</v>
      </c>
      <c r="C1462" t="s">
        <v>92</v>
      </c>
      <c r="D1462" t="s">
        <v>624</v>
      </c>
      <c r="E1462">
        <v>13</v>
      </c>
      <c r="F1462">
        <v>22</v>
      </c>
      <c r="G1462">
        <v>3</v>
      </c>
      <c r="H1462">
        <v>44</v>
      </c>
      <c r="I1462" t="s">
        <v>242</v>
      </c>
    </row>
    <row r="1463" spans="1:9" x14ac:dyDescent="0.3">
      <c r="A1463">
        <v>595</v>
      </c>
      <c r="B1463">
        <v>9</v>
      </c>
      <c r="C1463" t="s">
        <v>42</v>
      </c>
      <c r="D1463" t="s">
        <v>628</v>
      </c>
      <c r="E1463">
        <v>13</v>
      </c>
      <c r="F1463">
        <v>21</v>
      </c>
      <c r="G1463">
        <v>2</v>
      </c>
      <c r="H1463">
        <v>5</v>
      </c>
      <c r="I1463" t="s">
        <v>242</v>
      </c>
    </row>
    <row r="1464" spans="1:9" x14ac:dyDescent="0.3">
      <c r="A1464">
        <v>595</v>
      </c>
      <c r="B1464">
        <v>9</v>
      </c>
      <c r="C1464" t="s">
        <v>40</v>
      </c>
      <c r="D1464" t="s">
        <v>613</v>
      </c>
      <c r="E1464">
        <v>18</v>
      </c>
      <c r="F1464">
        <v>30</v>
      </c>
      <c r="G1464">
        <v>1</v>
      </c>
      <c r="H1464">
        <v>44</v>
      </c>
      <c r="I1464" t="s">
        <v>243</v>
      </c>
    </row>
    <row r="1465" spans="1:9" x14ac:dyDescent="0.3">
      <c r="A1465">
        <v>596</v>
      </c>
      <c r="B1465">
        <v>18</v>
      </c>
      <c r="C1465" t="s">
        <v>60</v>
      </c>
      <c r="D1465" t="s">
        <v>631</v>
      </c>
      <c r="E1465">
        <v>15</v>
      </c>
      <c r="F1465">
        <v>25</v>
      </c>
      <c r="G1465">
        <v>2</v>
      </c>
      <c r="H1465">
        <v>19</v>
      </c>
      <c r="I1465" t="s">
        <v>242</v>
      </c>
    </row>
    <row r="1466" spans="1:9" x14ac:dyDescent="0.3">
      <c r="A1466">
        <v>596</v>
      </c>
      <c r="B1466">
        <v>18</v>
      </c>
      <c r="C1466" t="s">
        <v>89</v>
      </c>
      <c r="D1466" t="s">
        <v>627</v>
      </c>
      <c r="E1466">
        <v>14</v>
      </c>
      <c r="F1466">
        <v>23</v>
      </c>
      <c r="G1466">
        <v>2</v>
      </c>
      <c r="H1466">
        <v>47</v>
      </c>
      <c r="I1466" t="s">
        <v>243</v>
      </c>
    </row>
    <row r="1467" spans="1:9" x14ac:dyDescent="0.3">
      <c r="A1467">
        <v>596</v>
      </c>
      <c r="B1467">
        <v>18</v>
      </c>
      <c r="C1467" t="s">
        <v>105</v>
      </c>
      <c r="D1467" t="s">
        <v>623</v>
      </c>
      <c r="E1467">
        <v>19</v>
      </c>
      <c r="F1467">
        <v>32</v>
      </c>
      <c r="G1467">
        <v>3</v>
      </c>
      <c r="H1467">
        <v>42</v>
      </c>
      <c r="I1467" t="s">
        <v>243</v>
      </c>
    </row>
    <row r="1468" spans="1:9" x14ac:dyDescent="0.3">
      <c r="A1468">
        <v>596</v>
      </c>
      <c r="B1468">
        <v>18</v>
      </c>
      <c r="C1468" t="s">
        <v>75</v>
      </c>
      <c r="D1468" t="s">
        <v>612</v>
      </c>
      <c r="E1468">
        <v>14</v>
      </c>
      <c r="F1468">
        <v>24</v>
      </c>
      <c r="G1468">
        <v>2</v>
      </c>
      <c r="H1468">
        <v>50</v>
      </c>
      <c r="I1468" t="s">
        <v>243</v>
      </c>
    </row>
    <row r="1469" spans="1:9" x14ac:dyDescent="0.3">
      <c r="A1469">
        <v>597</v>
      </c>
      <c r="B1469">
        <v>16</v>
      </c>
      <c r="C1469" t="s">
        <v>30</v>
      </c>
      <c r="D1469" t="s">
        <v>620</v>
      </c>
      <c r="E1469">
        <v>16</v>
      </c>
      <c r="F1469">
        <v>28</v>
      </c>
      <c r="G1469">
        <v>1</v>
      </c>
      <c r="H1469">
        <v>39</v>
      </c>
      <c r="I1469" t="s">
        <v>243</v>
      </c>
    </row>
    <row r="1470" spans="1:9" x14ac:dyDescent="0.3">
      <c r="A1470">
        <v>597</v>
      </c>
      <c r="B1470">
        <v>16</v>
      </c>
      <c r="C1470" t="s">
        <v>34</v>
      </c>
      <c r="D1470" t="s">
        <v>616</v>
      </c>
      <c r="E1470">
        <v>25</v>
      </c>
      <c r="F1470">
        <v>40</v>
      </c>
      <c r="G1470">
        <v>2</v>
      </c>
      <c r="H1470">
        <v>39</v>
      </c>
      <c r="I1470" t="s">
        <v>243</v>
      </c>
    </row>
    <row r="1471" spans="1:9" x14ac:dyDescent="0.3">
      <c r="A1471">
        <v>597</v>
      </c>
      <c r="B1471">
        <v>16</v>
      </c>
      <c r="C1471" t="s">
        <v>46</v>
      </c>
      <c r="D1471" t="s">
        <v>629</v>
      </c>
      <c r="E1471">
        <v>10</v>
      </c>
      <c r="F1471">
        <v>18</v>
      </c>
      <c r="G1471">
        <v>1</v>
      </c>
      <c r="H1471">
        <v>55</v>
      </c>
      <c r="I1471" t="s">
        <v>243</v>
      </c>
    </row>
    <row r="1472" spans="1:9" x14ac:dyDescent="0.3">
      <c r="A1472">
        <v>597</v>
      </c>
      <c r="B1472">
        <v>16</v>
      </c>
      <c r="C1472" t="s">
        <v>75</v>
      </c>
      <c r="D1472" t="s">
        <v>612</v>
      </c>
      <c r="E1472">
        <v>14</v>
      </c>
      <c r="F1472">
        <v>24</v>
      </c>
      <c r="G1472">
        <v>1</v>
      </c>
      <c r="H1472">
        <v>8</v>
      </c>
      <c r="I1472" t="s">
        <v>243</v>
      </c>
    </row>
    <row r="1473" spans="1:9" x14ac:dyDescent="0.3">
      <c r="A1473">
        <v>598</v>
      </c>
      <c r="B1473">
        <v>9</v>
      </c>
      <c r="C1473" t="s">
        <v>71</v>
      </c>
      <c r="D1473" t="s">
        <v>630</v>
      </c>
      <c r="E1473">
        <v>15</v>
      </c>
      <c r="F1473">
        <v>26</v>
      </c>
      <c r="G1473">
        <v>2</v>
      </c>
      <c r="H1473">
        <v>44</v>
      </c>
      <c r="I1473" t="s">
        <v>242</v>
      </c>
    </row>
    <row r="1474" spans="1:9" x14ac:dyDescent="0.3">
      <c r="A1474">
        <v>598</v>
      </c>
      <c r="B1474">
        <v>9</v>
      </c>
      <c r="C1474" t="s">
        <v>105</v>
      </c>
      <c r="D1474" t="s">
        <v>623</v>
      </c>
      <c r="E1474">
        <v>19</v>
      </c>
      <c r="F1474">
        <v>32</v>
      </c>
      <c r="G1474">
        <v>2</v>
      </c>
      <c r="H1474">
        <v>22</v>
      </c>
      <c r="I1474" t="s">
        <v>242</v>
      </c>
    </row>
    <row r="1475" spans="1:9" x14ac:dyDescent="0.3">
      <c r="A1475">
        <v>598</v>
      </c>
      <c r="B1475">
        <v>9</v>
      </c>
      <c r="C1475" t="s">
        <v>56</v>
      </c>
      <c r="D1475" t="s">
        <v>614</v>
      </c>
      <c r="E1475">
        <v>19</v>
      </c>
      <c r="F1475">
        <v>31</v>
      </c>
      <c r="G1475">
        <v>3</v>
      </c>
      <c r="H1475">
        <v>15</v>
      </c>
      <c r="I1475" t="s">
        <v>242</v>
      </c>
    </row>
    <row r="1476" spans="1:9" x14ac:dyDescent="0.3">
      <c r="A1476">
        <v>599</v>
      </c>
      <c r="B1476">
        <v>11</v>
      </c>
      <c r="C1476" t="s">
        <v>56</v>
      </c>
      <c r="D1476" t="s">
        <v>614</v>
      </c>
      <c r="E1476">
        <v>19</v>
      </c>
      <c r="F1476">
        <v>31</v>
      </c>
      <c r="G1476">
        <v>1</v>
      </c>
      <c r="H1476">
        <v>49</v>
      </c>
      <c r="I1476" t="s">
        <v>242</v>
      </c>
    </row>
    <row r="1477" spans="1:9" x14ac:dyDescent="0.3">
      <c r="A1477">
        <v>599</v>
      </c>
      <c r="B1477">
        <v>11</v>
      </c>
      <c r="C1477" t="s">
        <v>38</v>
      </c>
      <c r="D1477" t="s">
        <v>625</v>
      </c>
      <c r="E1477">
        <v>20</v>
      </c>
      <c r="F1477">
        <v>34</v>
      </c>
      <c r="G1477">
        <v>2</v>
      </c>
      <c r="H1477">
        <v>5</v>
      </c>
      <c r="I1477" t="s">
        <v>242</v>
      </c>
    </row>
    <row r="1478" spans="1:9" x14ac:dyDescent="0.3">
      <c r="A1478">
        <v>599</v>
      </c>
      <c r="B1478">
        <v>11</v>
      </c>
      <c r="C1478" t="s">
        <v>19</v>
      </c>
      <c r="D1478" t="s">
        <v>622</v>
      </c>
      <c r="E1478">
        <v>21</v>
      </c>
      <c r="F1478">
        <v>35</v>
      </c>
      <c r="G1478">
        <v>2</v>
      </c>
      <c r="H1478">
        <v>54</v>
      </c>
      <c r="I1478" t="s">
        <v>242</v>
      </c>
    </row>
    <row r="1479" spans="1:9" x14ac:dyDescent="0.3">
      <c r="A1479">
        <v>600</v>
      </c>
      <c r="B1479">
        <v>14</v>
      </c>
      <c r="C1479" t="s">
        <v>30</v>
      </c>
      <c r="D1479" t="s">
        <v>620</v>
      </c>
      <c r="E1479">
        <v>16</v>
      </c>
      <c r="F1479">
        <v>28</v>
      </c>
      <c r="G1479">
        <v>3</v>
      </c>
      <c r="H1479">
        <v>22</v>
      </c>
      <c r="I1479" t="s">
        <v>243</v>
      </c>
    </row>
    <row r="1480" spans="1:9" x14ac:dyDescent="0.3">
      <c r="A1480">
        <v>600</v>
      </c>
      <c r="B1480">
        <v>14</v>
      </c>
      <c r="C1480" t="s">
        <v>40</v>
      </c>
      <c r="D1480" t="s">
        <v>613</v>
      </c>
      <c r="E1480">
        <v>18</v>
      </c>
      <c r="F1480">
        <v>30</v>
      </c>
      <c r="G1480">
        <v>2</v>
      </c>
      <c r="H1480">
        <v>43</v>
      </c>
      <c r="I1480" t="s">
        <v>242</v>
      </c>
    </row>
    <row r="1481" spans="1:9" x14ac:dyDescent="0.3">
      <c r="A1481">
        <v>601</v>
      </c>
      <c r="B1481">
        <v>13</v>
      </c>
      <c r="C1481" t="s">
        <v>89</v>
      </c>
      <c r="D1481" t="s">
        <v>627</v>
      </c>
      <c r="E1481">
        <v>14</v>
      </c>
      <c r="F1481">
        <v>23</v>
      </c>
      <c r="G1481">
        <v>1</v>
      </c>
      <c r="H1481">
        <v>44</v>
      </c>
      <c r="I1481" t="s">
        <v>243</v>
      </c>
    </row>
    <row r="1482" spans="1:9" x14ac:dyDescent="0.3">
      <c r="A1482">
        <v>601</v>
      </c>
      <c r="B1482">
        <v>13</v>
      </c>
      <c r="C1482" t="s">
        <v>30</v>
      </c>
      <c r="D1482" t="s">
        <v>620</v>
      </c>
      <c r="E1482">
        <v>16</v>
      </c>
      <c r="F1482">
        <v>28</v>
      </c>
      <c r="G1482">
        <v>3</v>
      </c>
      <c r="H1482">
        <v>28</v>
      </c>
      <c r="I1482" t="s">
        <v>242</v>
      </c>
    </row>
    <row r="1483" spans="1:9" x14ac:dyDescent="0.3">
      <c r="A1483">
        <v>601</v>
      </c>
      <c r="B1483">
        <v>13</v>
      </c>
      <c r="C1483" t="s">
        <v>34</v>
      </c>
      <c r="D1483" t="s">
        <v>616</v>
      </c>
      <c r="E1483">
        <v>25</v>
      </c>
      <c r="F1483">
        <v>40</v>
      </c>
      <c r="G1483">
        <v>2</v>
      </c>
      <c r="H1483">
        <v>11</v>
      </c>
      <c r="I1483" t="s">
        <v>243</v>
      </c>
    </row>
    <row r="1484" spans="1:9" x14ac:dyDescent="0.3">
      <c r="A1484">
        <v>601</v>
      </c>
      <c r="B1484">
        <v>13</v>
      </c>
      <c r="C1484" t="s">
        <v>19</v>
      </c>
      <c r="D1484" t="s">
        <v>622</v>
      </c>
      <c r="E1484">
        <v>21</v>
      </c>
      <c r="F1484">
        <v>35</v>
      </c>
      <c r="G1484">
        <v>3</v>
      </c>
      <c r="H1484">
        <v>32</v>
      </c>
      <c r="I1484" t="s">
        <v>242</v>
      </c>
    </row>
    <row r="1485" spans="1:9" x14ac:dyDescent="0.3">
      <c r="A1485">
        <v>602</v>
      </c>
      <c r="B1485">
        <v>12</v>
      </c>
      <c r="C1485" t="s">
        <v>40</v>
      </c>
      <c r="D1485" t="s">
        <v>613</v>
      </c>
      <c r="E1485">
        <v>18</v>
      </c>
      <c r="F1485">
        <v>30</v>
      </c>
      <c r="G1485">
        <v>3</v>
      </c>
      <c r="H1485">
        <v>12</v>
      </c>
      <c r="I1485" t="s">
        <v>242</v>
      </c>
    </row>
    <row r="1486" spans="1:9" x14ac:dyDescent="0.3">
      <c r="A1486">
        <v>602</v>
      </c>
      <c r="B1486">
        <v>12</v>
      </c>
      <c r="C1486" t="s">
        <v>34</v>
      </c>
      <c r="D1486" t="s">
        <v>616</v>
      </c>
      <c r="E1486">
        <v>25</v>
      </c>
      <c r="F1486">
        <v>40</v>
      </c>
      <c r="G1486">
        <v>1</v>
      </c>
      <c r="H1486">
        <v>36</v>
      </c>
      <c r="I1486" t="s">
        <v>243</v>
      </c>
    </row>
    <row r="1487" spans="1:9" x14ac:dyDescent="0.3">
      <c r="A1487">
        <v>602</v>
      </c>
      <c r="B1487">
        <v>12</v>
      </c>
      <c r="C1487" t="s">
        <v>92</v>
      </c>
      <c r="D1487" t="s">
        <v>624</v>
      </c>
      <c r="E1487">
        <v>13</v>
      </c>
      <c r="F1487">
        <v>22</v>
      </c>
      <c r="G1487">
        <v>3</v>
      </c>
      <c r="H1487">
        <v>58</v>
      </c>
      <c r="I1487" t="s">
        <v>242</v>
      </c>
    </row>
    <row r="1488" spans="1:9" x14ac:dyDescent="0.3">
      <c r="A1488">
        <v>602</v>
      </c>
      <c r="B1488">
        <v>12</v>
      </c>
      <c r="C1488" t="s">
        <v>19</v>
      </c>
      <c r="D1488" t="s">
        <v>622</v>
      </c>
      <c r="E1488">
        <v>21</v>
      </c>
      <c r="F1488">
        <v>35</v>
      </c>
      <c r="G1488">
        <v>2</v>
      </c>
      <c r="H1488">
        <v>56</v>
      </c>
      <c r="I1488" t="s">
        <v>242</v>
      </c>
    </row>
    <row r="1489" spans="1:9" x14ac:dyDescent="0.3">
      <c r="A1489">
        <v>603</v>
      </c>
      <c r="B1489">
        <v>19</v>
      </c>
      <c r="C1489" t="s">
        <v>56</v>
      </c>
      <c r="D1489" t="s">
        <v>614</v>
      </c>
      <c r="E1489">
        <v>19</v>
      </c>
      <c r="F1489">
        <v>31</v>
      </c>
      <c r="G1489">
        <v>2</v>
      </c>
      <c r="H1489">
        <v>17</v>
      </c>
      <c r="I1489" t="s">
        <v>242</v>
      </c>
    </row>
    <row r="1490" spans="1:9" x14ac:dyDescent="0.3">
      <c r="A1490">
        <v>604</v>
      </c>
      <c r="B1490">
        <v>14</v>
      </c>
      <c r="C1490" t="s">
        <v>19</v>
      </c>
      <c r="D1490" t="s">
        <v>622</v>
      </c>
      <c r="E1490">
        <v>21</v>
      </c>
      <c r="F1490">
        <v>35</v>
      </c>
      <c r="G1490">
        <v>3</v>
      </c>
      <c r="H1490">
        <v>42</v>
      </c>
      <c r="I1490" t="s">
        <v>242</v>
      </c>
    </row>
    <row r="1491" spans="1:9" x14ac:dyDescent="0.3">
      <c r="A1491">
        <v>605</v>
      </c>
      <c r="B1491">
        <v>19</v>
      </c>
      <c r="C1491" t="s">
        <v>40</v>
      </c>
      <c r="D1491" t="s">
        <v>613</v>
      </c>
      <c r="E1491">
        <v>18</v>
      </c>
      <c r="F1491">
        <v>30</v>
      </c>
      <c r="G1491">
        <v>3</v>
      </c>
      <c r="H1491">
        <v>50</v>
      </c>
      <c r="I1491" t="s">
        <v>243</v>
      </c>
    </row>
    <row r="1492" spans="1:9" x14ac:dyDescent="0.3">
      <c r="A1492">
        <v>605</v>
      </c>
      <c r="B1492">
        <v>19</v>
      </c>
      <c r="C1492" t="s">
        <v>34</v>
      </c>
      <c r="D1492" t="s">
        <v>616</v>
      </c>
      <c r="E1492">
        <v>25</v>
      </c>
      <c r="F1492">
        <v>40</v>
      </c>
      <c r="G1492">
        <v>1</v>
      </c>
      <c r="H1492">
        <v>24</v>
      </c>
      <c r="I1492" t="s">
        <v>243</v>
      </c>
    </row>
    <row r="1493" spans="1:9" x14ac:dyDescent="0.3">
      <c r="A1493">
        <v>605</v>
      </c>
      <c r="B1493">
        <v>19</v>
      </c>
      <c r="C1493" t="s">
        <v>66</v>
      </c>
      <c r="D1493" t="s">
        <v>626</v>
      </c>
      <c r="E1493">
        <v>12</v>
      </c>
      <c r="F1493">
        <v>20</v>
      </c>
      <c r="G1493">
        <v>1</v>
      </c>
      <c r="H1493">
        <v>47</v>
      </c>
      <c r="I1493" t="s">
        <v>242</v>
      </c>
    </row>
    <row r="1494" spans="1:9" x14ac:dyDescent="0.3">
      <c r="A1494">
        <v>605</v>
      </c>
      <c r="B1494">
        <v>19</v>
      </c>
      <c r="C1494" t="s">
        <v>19</v>
      </c>
      <c r="D1494" t="s">
        <v>622</v>
      </c>
      <c r="E1494">
        <v>21</v>
      </c>
      <c r="F1494">
        <v>35</v>
      </c>
      <c r="G1494">
        <v>2</v>
      </c>
      <c r="H1494">
        <v>55</v>
      </c>
      <c r="I1494" t="s">
        <v>243</v>
      </c>
    </row>
    <row r="1495" spans="1:9" x14ac:dyDescent="0.3">
      <c r="A1495">
        <v>606</v>
      </c>
      <c r="B1495">
        <v>1</v>
      </c>
      <c r="C1495" t="s">
        <v>60</v>
      </c>
      <c r="D1495" t="s">
        <v>631</v>
      </c>
      <c r="E1495">
        <v>15</v>
      </c>
      <c r="F1495">
        <v>25</v>
      </c>
      <c r="G1495">
        <v>2</v>
      </c>
      <c r="H1495">
        <v>47</v>
      </c>
      <c r="I1495" t="s">
        <v>242</v>
      </c>
    </row>
    <row r="1496" spans="1:9" x14ac:dyDescent="0.3">
      <c r="A1496">
        <v>606</v>
      </c>
      <c r="B1496">
        <v>1</v>
      </c>
      <c r="C1496" t="s">
        <v>71</v>
      </c>
      <c r="D1496" t="s">
        <v>630</v>
      </c>
      <c r="E1496">
        <v>15</v>
      </c>
      <c r="F1496">
        <v>26</v>
      </c>
      <c r="G1496">
        <v>2</v>
      </c>
      <c r="H1496">
        <v>50</v>
      </c>
      <c r="I1496" t="s">
        <v>243</v>
      </c>
    </row>
    <row r="1497" spans="1:9" x14ac:dyDescent="0.3">
      <c r="A1497">
        <v>606</v>
      </c>
      <c r="B1497">
        <v>1</v>
      </c>
      <c r="C1497" t="s">
        <v>50</v>
      </c>
      <c r="D1497" t="s">
        <v>615</v>
      </c>
      <c r="E1497">
        <v>16</v>
      </c>
      <c r="F1497">
        <v>27</v>
      </c>
      <c r="G1497">
        <v>3</v>
      </c>
      <c r="H1497">
        <v>48</v>
      </c>
      <c r="I1497" t="s">
        <v>243</v>
      </c>
    </row>
    <row r="1498" spans="1:9" x14ac:dyDescent="0.3">
      <c r="A1498">
        <v>607</v>
      </c>
      <c r="B1498">
        <v>10</v>
      </c>
      <c r="C1498" t="s">
        <v>30</v>
      </c>
      <c r="D1498" t="s">
        <v>620</v>
      </c>
      <c r="E1498">
        <v>16</v>
      </c>
      <c r="F1498">
        <v>28</v>
      </c>
      <c r="G1498">
        <v>1</v>
      </c>
      <c r="H1498">
        <v>44</v>
      </c>
      <c r="I1498" t="s">
        <v>242</v>
      </c>
    </row>
    <row r="1499" spans="1:9" x14ac:dyDescent="0.3">
      <c r="A1499">
        <v>607</v>
      </c>
      <c r="B1499">
        <v>10</v>
      </c>
      <c r="C1499" t="s">
        <v>34</v>
      </c>
      <c r="D1499" t="s">
        <v>616</v>
      </c>
      <c r="E1499">
        <v>25</v>
      </c>
      <c r="F1499">
        <v>40</v>
      </c>
      <c r="G1499">
        <v>1</v>
      </c>
      <c r="H1499">
        <v>25</v>
      </c>
      <c r="I1499" t="s">
        <v>242</v>
      </c>
    </row>
    <row r="1500" spans="1:9" x14ac:dyDescent="0.3">
      <c r="A1500">
        <v>608</v>
      </c>
      <c r="B1500">
        <v>7</v>
      </c>
      <c r="C1500" t="s">
        <v>26</v>
      </c>
      <c r="D1500" t="s">
        <v>618</v>
      </c>
      <c r="E1500">
        <v>17</v>
      </c>
      <c r="F1500">
        <v>29</v>
      </c>
      <c r="G1500">
        <v>1</v>
      </c>
      <c r="H1500">
        <v>45</v>
      </c>
      <c r="I1500" t="s">
        <v>242</v>
      </c>
    </row>
    <row r="1501" spans="1:9" x14ac:dyDescent="0.3">
      <c r="A1501">
        <v>609</v>
      </c>
      <c r="B1501">
        <v>1</v>
      </c>
      <c r="C1501" t="s">
        <v>105</v>
      </c>
      <c r="D1501" t="s">
        <v>623</v>
      </c>
      <c r="E1501">
        <v>19</v>
      </c>
      <c r="F1501">
        <v>32</v>
      </c>
      <c r="G1501">
        <v>1</v>
      </c>
      <c r="H1501">
        <v>27</v>
      </c>
      <c r="I1501" t="s">
        <v>243</v>
      </c>
    </row>
    <row r="1502" spans="1:9" x14ac:dyDescent="0.3">
      <c r="A1502">
        <v>610</v>
      </c>
      <c r="B1502">
        <v>19</v>
      </c>
      <c r="C1502" t="s">
        <v>71</v>
      </c>
      <c r="D1502" t="s">
        <v>630</v>
      </c>
      <c r="E1502">
        <v>15</v>
      </c>
      <c r="F1502">
        <v>26</v>
      </c>
      <c r="G1502">
        <v>1</v>
      </c>
      <c r="H1502">
        <v>39</v>
      </c>
      <c r="I1502" t="s">
        <v>243</v>
      </c>
    </row>
    <row r="1503" spans="1:9" x14ac:dyDescent="0.3">
      <c r="A1503">
        <v>610</v>
      </c>
      <c r="B1503">
        <v>19</v>
      </c>
      <c r="C1503" t="s">
        <v>46</v>
      </c>
      <c r="D1503" t="s">
        <v>629</v>
      </c>
      <c r="E1503">
        <v>10</v>
      </c>
      <c r="F1503">
        <v>18</v>
      </c>
      <c r="G1503">
        <v>1</v>
      </c>
      <c r="H1503">
        <v>8</v>
      </c>
      <c r="I1503" t="s">
        <v>242</v>
      </c>
    </row>
    <row r="1504" spans="1:9" x14ac:dyDescent="0.3">
      <c r="A1504">
        <v>611</v>
      </c>
      <c r="B1504">
        <v>13</v>
      </c>
      <c r="C1504" t="s">
        <v>42</v>
      </c>
      <c r="D1504" t="s">
        <v>628</v>
      </c>
      <c r="E1504">
        <v>13</v>
      </c>
      <c r="F1504">
        <v>21</v>
      </c>
      <c r="G1504">
        <v>2</v>
      </c>
      <c r="H1504">
        <v>53</v>
      </c>
      <c r="I1504" t="s">
        <v>243</v>
      </c>
    </row>
    <row r="1505" spans="1:9" x14ac:dyDescent="0.3">
      <c r="A1505">
        <v>611</v>
      </c>
      <c r="B1505">
        <v>13</v>
      </c>
      <c r="C1505" t="s">
        <v>44</v>
      </c>
      <c r="D1505" t="s">
        <v>617</v>
      </c>
      <c r="E1505">
        <v>22</v>
      </c>
      <c r="F1505">
        <v>36</v>
      </c>
      <c r="G1505">
        <v>1</v>
      </c>
      <c r="H1505">
        <v>30</v>
      </c>
      <c r="I1505" t="s">
        <v>243</v>
      </c>
    </row>
    <row r="1506" spans="1:9" x14ac:dyDescent="0.3">
      <c r="A1506">
        <v>612</v>
      </c>
      <c r="B1506">
        <v>11</v>
      </c>
      <c r="C1506" t="s">
        <v>30</v>
      </c>
      <c r="D1506" t="s">
        <v>620</v>
      </c>
      <c r="E1506">
        <v>16</v>
      </c>
      <c r="F1506">
        <v>28</v>
      </c>
      <c r="G1506">
        <v>2</v>
      </c>
      <c r="H1506">
        <v>15</v>
      </c>
      <c r="I1506" t="s">
        <v>242</v>
      </c>
    </row>
    <row r="1507" spans="1:9" x14ac:dyDescent="0.3">
      <c r="A1507">
        <v>612</v>
      </c>
      <c r="B1507">
        <v>11</v>
      </c>
      <c r="C1507" t="s">
        <v>44</v>
      </c>
      <c r="D1507" t="s">
        <v>617</v>
      </c>
      <c r="E1507">
        <v>22</v>
      </c>
      <c r="F1507">
        <v>36</v>
      </c>
      <c r="G1507">
        <v>3</v>
      </c>
      <c r="H1507">
        <v>37</v>
      </c>
      <c r="I1507" t="s">
        <v>242</v>
      </c>
    </row>
    <row r="1508" spans="1:9" x14ac:dyDescent="0.3">
      <c r="A1508">
        <v>612</v>
      </c>
      <c r="B1508">
        <v>11</v>
      </c>
      <c r="C1508" t="s">
        <v>66</v>
      </c>
      <c r="D1508" t="s">
        <v>626</v>
      </c>
      <c r="E1508">
        <v>12</v>
      </c>
      <c r="F1508">
        <v>20</v>
      </c>
      <c r="G1508">
        <v>2</v>
      </c>
      <c r="H1508">
        <v>51</v>
      </c>
      <c r="I1508" t="s">
        <v>242</v>
      </c>
    </row>
    <row r="1509" spans="1:9" x14ac:dyDescent="0.3">
      <c r="A1509">
        <v>612</v>
      </c>
      <c r="B1509">
        <v>11</v>
      </c>
      <c r="C1509" t="s">
        <v>50</v>
      </c>
      <c r="D1509" t="s">
        <v>615</v>
      </c>
      <c r="E1509">
        <v>16</v>
      </c>
      <c r="F1509">
        <v>27</v>
      </c>
      <c r="G1509">
        <v>1</v>
      </c>
      <c r="H1509">
        <v>26</v>
      </c>
      <c r="I1509" t="s">
        <v>242</v>
      </c>
    </row>
    <row r="1510" spans="1:9" x14ac:dyDescent="0.3">
      <c r="A1510">
        <v>613</v>
      </c>
      <c r="B1510">
        <v>1</v>
      </c>
      <c r="C1510" t="s">
        <v>53</v>
      </c>
      <c r="D1510" t="s">
        <v>621</v>
      </c>
      <c r="E1510">
        <v>11</v>
      </c>
      <c r="F1510">
        <v>19</v>
      </c>
      <c r="G1510">
        <v>3</v>
      </c>
      <c r="H1510">
        <v>41</v>
      </c>
      <c r="I1510" t="s">
        <v>243</v>
      </c>
    </row>
    <row r="1511" spans="1:9" x14ac:dyDescent="0.3">
      <c r="A1511">
        <v>613</v>
      </c>
      <c r="B1511">
        <v>1</v>
      </c>
      <c r="C1511" t="s">
        <v>89</v>
      </c>
      <c r="D1511" t="s">
        <v>627</v>
      </c>
      <c r="E1511">
        <v>14</v>
      </c>
      <c r="F1511">
        <v>23</v>
      </c>
      <c r="G1511">
        <v>3</v>
      </c>
      <c r="H1511">
        <v>23</v>
      </c>
      <c r="I1511" t="s">
        <v>243</v>
      </c>
    </row>
    <row r="1512" spans="1:9" x14ac:dyDescent="0.3">
      <c r="A1512">
        <v>613</v>
      </c>
      <c r="B1512">
        <v>1</v>
      </c>
      <c r="C1512" t="s">
        <v>46</v>
      </c>
      <c r="D1512" t="s">
        <v>629</v>
      </c>
      <c r="E1512">
        <v>10</v>
      </c>
      <c r="F1512">
        <v>18</v>
      </c>
      <c r="G1512">
        <v>3</v>
      </c>
      <c r="H1512">
        <v>31</v>
      </c>
      <c r="I1512" t="s">
        <v>243</v>
      </c>
    </row>
    <row r="1513" spans="1:9" x14ac:dyDescent="0.3">
      <c r="A1513">
        <v>613</v>
      </c>
      <c r="B1513">
        <v>1</v>
      </c>
      <c r="C1513" t="s">
        <v>19</v>
      </c>
      <c r="D1513" t="s">
        <v>622</v>
      </c>
      <c r="E1513">
        <v>21</v>
      </c>
      <c r="F1513">
        <v>35</v>
      </c>
      <c r="G1513">
        <v>3</v>
      </c>
      <c r="H1513">
        <v>57</v>
      </c>
      <c r="I1513" t="s">
        <v>243</v>
      </c>
    </row>
    <row r="1514" spans="1:9" x14ac:dyDescent="0.3">
      <c r="A1514">
        <v>614</v>
      </c>
      <c r="B1514">
        <v>19</v>
      </c>
      <c r="C1514" t="s">
        <v>75</v>
      </c>
      <c r="D1514" t="s">
        <v>612</v>
      </c>
      <c r="E1514">
        <v>14</v>
      </c>
      <c r="F1514">
        <v>24</v>
      </c>
      <c r="G1514">
        <v>3</v>
      </c>
      <c r="H1514">
        <v>50</v>
      </c>
      <c r="I1514" t="s">
        <v>242</v>
      </c>
    </row>
    <row r="1515" spans="1:9" x14ac:dyDescent="0.3">
      <c r="A1515">
        <v>615</v>
      </c>
      <c r="B1515">
        <v>7</v>
      </c>
      <c r="C1515" t="s">
        <v>60</v>
      </c>
      <c r="D1515" t="s">
        <v>631</v>
      </c>
      <c r="E1515">
        <v>15</v>
      </c>
      <c r="F1515">
        <v>25</v>
      </c>
      <c r="G1515">
        <v>3</v>
      </c>
      <c r="H1515">
        <v>41</v>
      </c>
      <c r="I1515" t="s">
        <v>242</v>
      </c>
    </row>
    <row r="1516" spans="1:9" x14ac:dyDescent="0.3">
      <c r="A1516">
        <v>615</v>
      </c>
      <c r="B1516">
        <v>7</v>
      </c>
      <c r="C1516" t="s">
        <v>89</v>
      </c>
      <c r="D1516" t="s">
        <v>627</v>
      </c>
      <c r="E1516">
        <v>14</v>
      </c>
      <c r="F1516">
        <v>23</v>
      </c>
      <c r="G1516">
        <v>3</v>
      </c>
      <c r="H1516">
        <v>43</v>
      </c>
      <c r="I1516" t="s">
        <v>242</v>
      </c>
    </row>
    <row r="1517" spans="1:9" x14ac:dyDescent="0.3">
      <c r="A1517">
        <v>615</v>
      </c>
      <c r="B1517">
        <v>7</v>
      </c>
      <c r="C1517" t="s">
        <v>105</v>
      </c>
      <c r="D1517" t="s">
        <v>623</v>
      </c>
      <c r="E1517">
        <v>19</v>
      </c>
      <c r="F1517">
        <v>32</v>
      </c>
      <c r="G1517">
        <v>3</v>
      </c>
      <c r="H1517">
        <v>22</v>
      </c>
      <c r="I1517" t="s">
        <v>243</v>
      </c>
    </row>
    <row r="1518" spans="1:9" x14ac:dyDescent="0.3">
      <c r="A1518">
        <v>615</v>
      </c>
      <c r="B1518">
        <v>7</v>
      </c>
      <c r="C1518" t="s">
        <v>56</v>
      </c>
      <c r="D1518" t="s">
        <v>614</v>
      </c>
      <c r="E1518">
        <v>19</v>
      </c>
      <c r="F1518">
        <v>31</v>
      </c>
      <c r="G1518">
        <v>3</v>
      </c>
      <c r="H1518">
        <v>50</v>
      </c>
      <c r="I1518" t="s">
        <v>242</v>
      </c>
    </row>
    <row r="1519" spans="1:9" x14ac:dyDescent="0.3">
      <c r="A1519">
        <v>616</v>
      </c>
      <c r="B1519">
        <v>4</v>
      </c>
      <c r="C1519" t="s">
        <v>40</v>
      </c>
      <c r="D1519" t="s">
        <v>613</v>
      </c>
      <c r="E1519">
        <v>18</v>
      </c>
      <c r="F1519">
        <v>30</v>
      </c>
      <c r="G1519">
        <v>2</v>
      </c>
      <c r="H1519">
        <v>14</v>
      </c>
      <c r="I1519" t="s">
        <v>243</v>
      </c>
    </row>
    <row r="1520" spans="1:9" x14ac:dyDescent="0.3">
      <c r="A1520">
        <v>616</v>
      </c>
      <c r="B1520">
        <v>4</v>
      </c>
      <c r="C1520" t="s">
        <v>75</v>
      </c>
      <c r="D1520" t="s">
        <v>612</v>
      </c>
      <c r="E1520">
        <v>14</v>
      </c>
      <c r="F1520">
        <v>24</v>
      </c>
      <c r="G1520">
        <v>3</v>
      </c>
      <c r="H1520">
        <v>33</v>
      </c>
      <c r="I1520" t="s">
        <v>242</v>
      </c>
    </row>
    <row r="1521" spans="1:9" x14ac:dyDescent="0.3">
      <c r="A1521">
        <v>617</v>
      </c>
      <c r="B1521">
        <v>13</v>
      </c>
      <c r="C1521" t="s">
        <v>71</v>
      </c>
      <c r="D1521" t="s">
        <v>630</v>
      </c>
      <c r="E1521">
        <v>15</v>
      </c>
      <c r="F1521">
        <v>26</v>
      </c>
      <c r="G1521">
        <v>2</v>
      </c>
      <c r="H1521">
        <v>18</v>
      </c>
      <c r="I1521" t="s">
        <v>243</v>
      </c>
    </row>
    <row r="1522" spans="1:9" x14ac:dyDescent="0.3">
      <c r="A1522">
        <v>617</v>
      </c>
      <c r="B1522">
        <v>13</v>
      </c>
      <c r="C1522" t="s">
        <v>40</v>
      </c>
      <c r="D1522" t="s">
        <v>613</v>
      </c>
      <c r="E1522">
        <v>18</v>
      </c>
      <c r="F1522">
        <v>30</v>
      </c>
      <c r="G1522">
        <v>3</v>
      </c>
      <c r="H1522">
        <v>33</v>
      </c>
      <c r="I1522" t="s">
        <v>243</v>
      </c>
    </row>
    <row r="1523" spans="1:9" x14ac:dyDescent="0.3">
      <c r="A1523">
        <v>618</v>
      </c>
      <c r="B1523">
        <v>3</v>
      </c>
      <c r="C1523" t="s">
        <v>105</v>
      </c>
      <c r="D1523" t="s">
        <v>623</v>
      </c>
      <c r="E1523">
        <v>19</v>
      </c>
      <c r="F1523">
        <v>32</v>
      </c>
      <c r="G1523">
        <v>2</v>
      </c>
      <c r="H1523">
        <v>6</v>
      </c>
      <c r="I1523" t="s">
        <v>243</v>
      </c>
    </row>
    <row r="1524" spans="1:9" x14ac:dyDescent="0.3">
      <c r="A1524">
        <v>618</v>
      </c>
      <c r="B1524">
        <v>3</v>
      </c>
      <c r="C1524" t="s">
        <v>56</v>
      </c>
      <c r="D1524" t="s">
        <v>614</v>
      </c>
      <c r="E1524">
        <v>19</v>
      </c>
      <c r="F1524">
        <v>31</v>
      </c>
      <c r="G1524">
        <v>3</v>
      </c>
      <c r="H1524">
        <v>35</v>
      </c>
      <c r="I1524" t="s">
        <v>242</v>
      </c>
    </row>
    <row r="1525" spans="1:9" x14ac:dyDescent="0.3">
      <c r="A1525">
        <v>618</v>
      </c>
      <c r="B1525">
        <v>3</v>
      </c>
      <c r="C1525" t="s">
        <v>44</v>
      </c>
      <c r="D1525" t="s">
        <v>617</v>
      </c>
      <c r="E1525">
        <v>22</v>
      </c>
      <c r="F1525">
        <v>36</v>
      </c>
      <c r="G1525">
        <v>3</v>
      </c>
      <c r="H1525">
        <v>53</v>
      </c>
      <c r="I1525" t="s">
        <v>242</v>
      </c>
    </row>
    <row r="1526" spans="1:9" x14ac:dyDescent="0.3">
      <c r="A1526">
        <v>618</v>
      </c>
      <c r="B1526">
        <v>3</v>
      </c>
      <c r="C1526" t="s">
        <v>46</v>
      </c>
      <c r="D1526" t="s">
        <v>629</v>
      </c>
      <c r="E1526">
        <v>10</v>
      </c>
      <c r="F1526">
        <v>18</v>
      </c>
      <c r="G1526">
        <v>3</v>
      </c>
      <c r="H1526">
        <v>24</v>
      </c>
      <c r="I1526" t="s">
        <v>242</v>
      </c>
    </row>
    <row r="1527" spans="1:9" x14ac:dyDescent="0.3">
      <c r="A1527">
        <v>619</v>
      </c>
      <c r="B1527">
        <v>6</v>
      </c>
      <c r="C1527" t="s">
        <v>71</v>
      </c>
      <c r="D1527" t="s">
        <v>630</v>
      </c>
      <c r="E1527">
        <v>15</v>
      </c>
      <c r="F1527">
        <v>26</v>
      </c>
      <c r="G1527">
        <v>3</v>
      </c>
      <c r="H1527">
        <v>56</v>
      </c>
      <c r="I1527" t="s">
        <v>243</v>
      </c>
    </row>
    <row r="1528" spans="1:9" x14ac:dyDescent="0.3">
      <c r="A1528">
        <v>619</v>
      </c>
      <c r="B1528">
        <v>6</v>
      </c>
      <c r="C1528" t="s">
        <v>50</v>
      </c>
      <c r="D1528" t="s">
        <v>615</v>
      </c>
      <c r="E1528">
        <v>16</v>
      </c>
      <c r="F1528">
        <v>27</v>
      </c>
      <c r="G1528">
        <v>2</v>
      </c>
      <c r="H1528">
        <v>40</v>
      </c>
      <c r="I1528" t="s">
        <v>242</v>
      </c>
    </row>
    <row r="1529" spans="1:9" x14ac:dyDescent="0.3">
      <c r="A1529">
        <v>620</v>
      </c>
      <c r="B1529">
        <v>16</v>
      </c>
      <c r="C1529" t="s">
        <v>53</v>
      </c>
      <c r="D1529" t="s">
        <v>621</v>
      </c>
      <c r="E1529">
        <v>11</v>
      </c>
      <c r="F1529">
        <v>19</v>
      </c>
      <c r="G1529">
        <v>3</v>
      </c>
      <c r="H1529">
        <v>40</v>
      </c>
      <c r="I1529" t="s">
        <v>243</v>
      </c>
    </row>
    <row r="1530" spans="1:9" x14ac:dyDescent="0.3">
      <c r="A1530">
        <v>621</v>
      </c>
      <c r="B1530">
        <v>5</v>
      </c>
      <c r="C1530" t="s">
        <v>19</v>
      </c>
      <c r="D1530" t="s">
        <v>622</v>
      </c>
      <c r="E1530">
        <v>21</v>
      </c>
      <c r="F1530">
        <v>35</v>
      </c>
      <c r="G1530">
        <v>3</v>
      </c>
      <c r="H1530">
        <v>8</v>
      </c>
      <c r="I1530" t="s">
        <v>243</v>
      </c>
    </row>
    <row r="1531" spans="1:9" x14ac:dyDescent="0.3">
      <c r="A1531">
        <v>622</v>
      </c>
      <c r="B1531">
        <v>7</v>
      </c>
      <c r="C1531" t="s">
        <v>30</v>
      </c>
      <c r="D1531" t="s">
        <v>620</v>
      </c>
      <c r="E1531">
        <v>16</v>
      </c>
      <c r="F1531">
        <v>28</v>
      </c>
      <c r="G1531">
        <v>1</v>
      </c>
      <c r="H1531">
        <v>25</v>
      </c>
      <c r="I1531" t="s">
        <v>242</v>
      </c>
    </row>
    <row r="1532" spans="1:9" x14ac:dyDescent="0.3">
      <c r="A1532">
        <v>622</v>
      </c>
      <c r="B1532">
        <v>7</v>
      </c>
      <c r="C1532" t="s">
        <v>56</v>
      </c>
      <c r="D1532" t="s">
        <v>614</v>
      </c>
      <c r="E1532">
        <v>19</v>
      </c>
      <c r="F1532">
        <v>31</v>
      </c>
      <c r="G1532">
        <v>3</v>
      </c>
      <c r="H1532">
        <v>53</v>
      </c>
      <c r="I1532" t="s">
        <v>242</v>
      </c>
    </row>
    <row r="1533" spans="1:9" x14ac:dyDescent="0.3">
      <c r="A1533">
        <v>623</v>
      </c>
      <c r="B1533">
        <v>13</v>
      </c>
      <c r="C1533" t="s">
        <v>60</v>
      </c>
      <c r="D1533" t="s">
        <v>631</v>
      </c>
      <c r="E1533">
        <v>15</v>
      </c>
      <c r="F1533">
        <v>25</v>
      </c>
      <c r="G1533">
        <v>1</v>
      </c>
      <c r="H1533">
        <v>20</v>
      </c>
      <c r="I1533" t="s">
        <v>242</v>
      </c>
    </row>
    <row r="1534" spans="1:9" x14ac:dyDescent="0.3">
      <c r="A1534">
        <v>623</v>
      </c>
      <c r="B1534">
        <v>13</v>
      </c>
      <c r="C1534" t="s">
        <v>105</v>
      </c>
      <c r="D1534" t="s">
        <v>623</v>
      </c>
      <c r="E1534">
        <v>19</v>
      </c>
      <c r="F1534">
        <v>32</v>
      </c>
      <c r="G1534">
        <v>3</v>
      </c>
      <c r="H1534">
        <v>43</v>
      </c>
      <c r="I1534" t="s">
        <v>243</v>
      </c>
    </row>
    <row r="1535" spans="1:9" x14ac:dyDescent="0.3">
      <c r="A1535">
        <v>623</v>
      </c>
      <c r="B1535">
        <v>13</v>
      </c>
      <c r="C1535" t="s">
        <v>92</v>
      </c>
      <c r="D1535" t="s">
        <v>624</v>
      </c>
      <c r="E1535">
        <v>13</v>
      </c>
      <c r="F1535">
        <v>22</v>
      </c>
      <c r="G1535">
        <v>2</v>
      </c>
      <c r="H1535">
        <v>23</v>
      </c>
      <c r="I1535" t="s">
        <v>242</v>
      </c>
    </row>
    <row r="1536" spans="1:9" x14ac:dyDescent="0.3">
      <c r="A1536">
        <v>623</v>
      </c>
      <c r="B1536">
        <v>13</v>
      </c>
      <c r="C1536" t="s">
        <v>19</v>
      </c>
      <c r="D1536" t="s">
        <v>622</v>
      </c>
      <c r="E1536">
        <v>21</v>
      </c>
      <c r="F1536">
        <v>35</v>
      </c>
      <c r="G1536">
        <v>2</v>
      </c>
      <c r="H1536">
        <v>59</v>
      </c>
      <c r="I1536" t="s">
        <v>242</v>
      </c>
    </row>
    <row r="1537" spans="1:9" x14ac:dyDescent="0.3">
      <c r="A1537">
        <v>624</v>
      </c>
      <c r="B1537">
        <v>1</v>
      </c>
      <c r="C1537" t="s">
        <v>42</v>
      </c>
      <c r="D1537" t="s">
        <v>628</v>
      </c>
      <c r="E1537">
        <v>13</v>
      </c>
      <c r="F1537">
        <v>21</v>
      </c>
      <c r="G1537">
        <v>2</v>
      </c>
      <c r="H1537">
        <v>15</v>
      </c>
      <c r="I1537" t="s">
        <v>243</v>
      </c>
    </row>
    <row r="1538" spans="1:9" x14ac:dyDescent="0.3">
      <c r="A1538">
        <v>624</v>
      </c>
      <c r="B1538">
        <v>1</v>
      </c>
      <c r="C1538" t="s">
        <v>44</v>
      </c>
      <c r="D1538" t="s">
        <v>617</v>
      </c>
      <c r="E1538">
        <v>22</v>
      </c>
      <c r="F1538">
        <v>36</v>
      </c>
      <c r="G1538">
        <v>1</v>
      </c>
      <c r="H1538">
        <v>19</v>
      </c>
      <c r="I1538" t="s">
        <v>243</v>
      </c>
    </row>
    <row r="1539" spans="1:9" x14ac:dyDescent="0.3">
      <c r="A1539">
        <v>624</v>
      </c>
      <c r="B1539">
        <v>1</v>
      </c>
      <c r="C1539" t="s">
        <v>75</v>
      </c>
      <c r="D1539" t="s">
        <v>612</v>
      </c>
      <c r="E1539">
        <v>14</v>
      </c>
      <c r="F1539">
        <v>24</v>
      </c>
      <c r="G1539">
        <v>1</v>
      </c>
      <c r="H1539">
        <v>45</v>
      </c>
      <c r="I1539" t="s">
        <v>242</v>
      </c>
    </row>
    <row r="1540" spans="1:9" x14ac:dyDescent="0.3">
      <c r="A1540">
        <v>625</v>
      </c>
      <c r="B1540">
        <v>5</v>
      </c>
      <c r="C1540" t="s">
        <v>42</v>
      </c>
      <c r="D1540" t="s">
        <v>628</v>
      </c>
      <c r="E1540">
        <v>13</v>
      </c>
      <c r="F1540">
        <v>21</v>
      </c>
      <c r="G1540">
        <v>3</v>
      </c>
      <c r="H1540">
        <v>39</v>
      </c>
      <c r="I1540" t="s">
        <v>242</v>
      </c>
    </row>
    <row r="1541" spans="1:9" x14ac:dyDescent="0.3">
      <c r="A1541">
        <v>625</v>
      </c>
      <c r="B1541">
        <v>5</v>
      </c>
      <c r="C1541" t="s">
        <v>34</v>
      </c>
      <c r="D1541" t="s">
        <v>616</v>
      </c>
      <c r="E1541">
        <v>25</v>
      </c>
      <c r="F1541">
        <v>40</v>
      </c>
      <c r="G1541">
        <v>1</v>
      </c>
      <c r="H1541">
        <v>46</v>
      </c>
      <c r="I1541" t="s">
        <v>243</v>
      </c>
    </row>
    <row r="1542" spans="1:9" x14ac:dyDescent="0.3">
      <c r="A1542">
        <v>625</v>
      </c>
      <c r="B1542">
        <v>5</v>
      </c>
      <c r="C1542" t="s">
        <v>46</v>
      </c>
      <c r="D1542" t="s">
        <v>629</v>
      </c>
      <c r="E1542">
        <v>10</v>
      </c>
      <c r="F1542">
        <v>18</v>
      </c>
      <c r="G1542">
        <v>2</v>
      </c>
      <c r="H1542">
        <v>12</v>
      </c>
      <c r="I1542" t="s">
        <v>242</v>
      </c>
    </row>
    <row r="1543" spans="1:9" x14ac:dyDescent="0.3">
      <c r="A1543">
        <v>626</v>
      </c>
      <c r="B1543">
        <v>14</v>
      </c>
      <c r="C1543" t="s">
        <v>40</v>
      </c>
      <c r="D1543" t="s">
        <v>613</v>
      </c>
      <c r="E1543">
        <v>18</v>
      </c>
      <c r="F1543">
        <v>30</v>
      </c>
      <c r="G1543">
        <v>2</v>
      </c>
      <c r="H1543">
        <v>11</v>
      </c>
      <c r="I1543" t="s">
        <v>242</v>
      </c>
    </row>
    <row r="1544" spans="1:9" x14ac:dyDescent="0.3">
      <c r="A1544">
        <v>626</v>
      </c>
      <c r="B1544">
        <v>14</v>
      </c>
      <c r="C1544" t="s">
        <v>75</v>
      </c>
      <c r="D1544" t="s">
        <v>612</v>
      </c>
      <c r="E1544">
        <v>14</v>
      </c>
      <c r="F1544">
        <v>24</v>
      </c>
      <c r="G1544">
        <v>2</v>
      </c>
      <c r="H1544">
        <v>36</v>
      </c>
      <c r="I1544" t="s">
        <v>243</v>
      </c>
    </row>
    <row r="1545" spans="1:9" x14ac:dyDescent="0.3">
      <c r="A1545">
        <v>626</v>
      </c>
      <c r="B1545">
        <v>14</v>
      </c>
      <c r="C1545" t="s">
        <v>26</v>
      </c>
      <c r="D1545" t="s">
        <v>618</v>
      </c>
      <c r="E1545">
        <v>17</v>
      </c>
      <c r="F1545">
        <v>29</v>
      </c>
      <c r="G1545">
        <v>1</v>
      </c>
      <c r="H1545">
        <v>11</v>
      </c>
      <c r="I1545" t="s">
        <v>243</v>
      </c>
    </row>
    <row r="1546" spans="1:9" x14ac:dyDescent="0.3">
      <c r="A1546">
        <v>627</v>
      </c>
      <c r="B1546">
        <v>4</v>
      </c>
      <c r="C1546" t="s">
        <v>42</v>
      </c>
      <c r="D1546" t="s">
        <v>628</v>
      </c>
      <c r="E1546">
        <v>13</v>
      </c>
      <c r="F1546">
        <v>21</v>
      </c>
      <c r="G1546">
        <v>1</v>
      </c>
      <c r="H1546">
        <v>37</v>
      </c>
      <c r="I1546" t="s">
        <v>242</v>
      </c>
    </row>
    <row r="1547" spans="1:9" x14ac:dyDescent="0.3">
      <c r="A1547">
        <v>628</v>
      </c>
      <c r="B1547">
        <v>2</v>
      </c>
      <c r="C1547" t="s">
        <v>34</v>
      </c>
      <c r="D1547" t="s">
        <v>616</v>
      </c>
      <c r="E1547">
        <v>25</v>
      </c>
      <c r="F1547">
        <v>40</v>
      </c>
      <c r="G1547">
        <v>3</v>
      </c>
      <c r="H1547">
        <v>33</v>
      </c>
      <c r="I1547" t="s">
        <v>243</v>
      </c>
    </row>
    <row r="1548" spans="1:9" x14ac:dyDescent="0.3">
      <c r="A1548">
        <v>628</v>
      </c>
      <c r="B1548">
        <v>2</v>
      </c>
      <c r="C1548" t="s">
        <v>75</v>
      </c>
      <c r="D1548" t="s">
        <v>612</v>
      </c>
      <c r="E1548">
        <v>14</v>
      </c>
      <c r="F1548">
        <v>24</v>
      </c>
      <c r="G1548">
        <v>2</v>
      </c>
      <c r="H1548">
        <v>10</v>
      </c>
      <c r="I1548" t="s">
        <v>242</v>
      </c>
    </row>
    <row r="1549" spans="1:9" x14ac:dyDescent="0.3">
      <c r="A1549">
        <v>629</v>
      </c>
      <c r="B1549">
        <v>17</v>
      </c>
      <c r="C1549" t="s">
        <v>38</v>
      </c>
      <c r="D1549" t="s">
        <v>625</v>
      </c>
      <c r="E1549">
        <v>20</v>
      </c>
      <c r="F1549">
        <v>34</v>
      </c>
      <c r="G1549">
        <v>1</v>
      </c>
      <c r="H1549">
        <v>22</v>
      </c>
      <c r="I1549" t="s">
        <v>243</v>
      </c>
    </row>
    <row r="1550" spans="1:9" x14ac:dyDescent="0.3">
      <c r="A1550">
        <v>629</v>
      </c>
      <c r="B1550">
        <v>17</v>
      </c>
      <c r="C1550" t="s">
        <v>66</v>
      </c>
      <c r="D1550" t="s">
        <v>626</v>
      </c>
      <c r="E1550">
        <v>12</v>
      </c>
      <c r="F1550">
        <v>20</v>
      </c>
      <c r="G1550">
        <v>3</v>
      </c>
      <c r="H1550">
        <v>19</v>
      </c>
      <c r="I1550" t="s">
        <v>242</v>
      </c>
    </row>
    <row r="1551" spans="1:9" x14ac:dyDescent="0.3">
      <c r="A1551">
        <v>629</v>
      </c>
      <c r="B1551">
        <v>17</v>
      </c>
      <c r="C1551" t="s">
        <v>46</v>
      </c>
      <c r="D1551" t="s">
        <v>629</v>
      </c>
      <c r="E1551">
        <v>10</v>
      </c>
      <c r="F1551">
        <v>18</v>
      </c>
      <c r="G1551">
        <v>2</v>
      </c>
      <c r="H1551">
        <v>43</v>
      </c>
      <c r="I1551" t="s">
        <v>243</v>
      </c>
    </row>
    <row r="1552" spans="1:9" x14ac:dyDescent="0.3">
      <c r="A1552">
        <v>630</v>
      </c>
      <c r="B1552">
        <v>2</v>
      </c>
      <c r="C1552" t="s">
        <v>56</v>
      </c>
      <c r="D1552" t="s">
        <v>614</v>
      </c>
      <c r="E1552">
        <v>19</v>
      </c>
      <c r="F1552">
        <v>31</v>
      </c>
      <c r="G1552">
        <v>2</v>
      </c>
      <c r="H1552">
        <v>19</v>
      </c>
      <c r="I1552" t="s">
        <v>242</v>
      </c>
    </row>
    <row r="1553" spans="1:9" x14ac:dyDescent="0.3">
      <c r="A1553">
        <v>630</v>
      </c>
      <c r="B1553">
        <v>2</v>
      </c>
      <c r="C1553" t="s">
        <v>34</v>
      </c>
      <c r="D1553" t="s">
        <v>616</v>
      </c>
      <c r="E1553">
        <v>25</v>
      </c>
      <c r="F1553">
        <v>40</v>
      </c>
      <c r="G1553">
        <v>3</v>
      </c>
      <c r="H1553">
        <v>56</v>
      </c>
      <c r="I1553" t="s">
        <v>242</v>
      </c>
    </row>
    <row r="1554" spans="1:9" x14ac:dyDescent="0.3">
      <c r="A1554">
        <v>631</v>
      </c>
      <c r="B1554">
        <v>6</v>
      </c>
      <c r="C1554" t="s">
        <v>92</v>
      </c>
      <c r="D1554" t="s">
        <v>624</v>
      </c>
      <c r="E1554">
        <v>13</v>
      </c>
      <c r="F1554">
        <v>22</v>
      </c>
      <c r="G1554">
        <v>3</v>
      </c>
      <c r="H1554">
        <v>46</v>
      </c>
      <c r="I1554" t="s">
        <v>242</v>
      </c>
    </row>
    <row r="1555" spans="1:9" x14ac:dyDescent="0.3">
      <c r="A1555">
        <v>632</v>
      </c>
      <c r="B1555">
        <v>16</v>
      </c>
      <c r="C1555" t="s">
        <v>112</v>
      </c>
      <c r="D1555" t="s">
        <v>619</v>
      </c>
      <c r="E1555">
        <v>20</v>
      </c>
      <c r="F1555">
        <v>33</v>
      </c>
      <c r="G1555">
        <v>1</v>
      </c>
      <c r="H1555">
        <v>47</v>
      </c>
      <c r="I1555" t="s">
        <v>242</v>
      </c>
    </row>
    <row r="1556" spans="1:9" x14ac:dyDescent="0.3">
      <c r="A1556">
        <v>632</v>
      </c>
      <c r="B1556">
        <v>16</v>
      </c>
      <c r="C1556" t="s">
        <v>105</v>
      </c>
      <c r="D1556" t="s">
        <v>623</v>
      </c>
      <c r="E1556">
        <v>19</v>
      </c>
      <c r="F1556">
        <v>32</v>
      </c>
      <c r="G1556">
        <v>3</v>
      </c>
      <c r="H1556">
        <v>41</v>
      </c>
      <c r="I1556" t="s">
        <v>243</v>
      </c>
    </row>
    <row r="1557" spans="1:9" x14ac:dyDescent="0.3">
      <c r="A1557">
        <v>633</v>
      </c>
      <c r="B1557">
        <v>16</v>
      </c>
      <c r="C1557" t="s">
        <v>40</v>
      </c>
      <c r="D1557" t="s">
        <v>613</v>
      </c>
      <c r="E1557">
        <v>18</v>
      </c>
      <c r="F1557">
        <v>30</v>
      </c>
      <c r="G1557">
        <v>3</v>
      </c>
      <c r="H1557">
        <v>10</v>
      </c>
      <c r="I1557" t="s">
        <v>242</v>
      </c>
    </row>
    <row r="1558" spans="1:9" x14ac:dyDescent="0.3">
      <c r="A1558">
        <v>633</v>
      </c>
      <c r="B1558">
        <v>16</v>
      </c>
      <c r="C1558" t="s">
        <v>46</v>
      </c>
      <c r="D1558" t="s">
        <v>629</v>
      </c>
      <c r="E1558">
        <v>10</v>
      </c>
      <c r="F1558">
        <v>18</v>
      </c>
      <c r="G1558">
        <v>3</v>
      </c>
      <c r="H1558">
        <v>54</v>
      </c>
      <c r="I1558" t="s">
        <v>243</v>
      </c>
    </row>
    <row r="1559" spans="1:9" x14ac:dyDescent="0.3">
      <c r="A1559">
        <v>633</v>
      </c>
      <c r="B1559">
        <v>16</v>
      </c>
      <c r="C1559" t="s">
        <v>92</v>
      </c>
      <c r="D1559" t="s">
        <v>624</v>
      </c>
      <c r="E1559">
        <v>13</v>
      </c>
      <c r="F1559">
        <v>22</v>
      </c>
      <c r="G1559">
        <v>2</v>
      </c>
      <c r="H1559">
        <v>34</v>
      </c>
      <c r="I1559" t="s">
        <v>242</v>
      </c>
    </row>
    <row r="1560" spans="1:9" x14ac:dyDescent="0.3">
      <c r="A1560">
        <v>633</v>
      </c>
      <c r="B1560">
        <v>16</v>
      </c>
      <c r="C1560" t="s">
        <v>75</v>
      </c>
      <c r="D1560" t="s">
        <v>612</v>
      </c>
      <c r="E1560">
        <v>14</v>
      </c>
      <c r="F1560">
        <v>24</v>
      </c>
      <c r="G1560">
        <v>2</v>
      </c>
      <c r="H1560">
        <v>51</v>
      </c>
      <c r="I1560" t="s">
        <v>243</v>
      </c>
    </row>
    <row r="1561" spans="1:9" x14ac:dyDescent="0.3">
      <c r="A1561">
        <v>634</v>
      </c>
      <c r="B1561">
        <v>2</v>
      </c>
      <c r="C1561" t="s">
        <v>60</v>
      </c>
      <c r="D1561" t="s">
        <v>631</v>
      </c>
      <c r="E1561">
        <v>15</v>
      </c>
      <c r="F1561">
        <v>25</v>
      </c>
      <c r="G1561">
        <v>3</v>
      </c>
      <c r="H1561">
        <v>43</v>
      </c>
      <c r="I1561" t="s">
        <v>243</v>
      </c>
    </row>
    <row r="1562" spans="1:9" x14ac:dyDescent="0.3">
      <c r="A1562">
        <v>634</v>
      </c>
      <c r="B1562">
        <v>2</v>
      </c>
      <c r="C1562" t="s">
        <v>34</v>
      </c>
      <c r="D1562" t="s">
        <v>616</v>
      </c>
      <c r="E1562">
        <v>25</v>
      </c>
      <c r="F1562">
        <v>40</v>
      </c>
      <c r="G1562">
        <v>3</v>
      </c>
      <c r="H1562">
        <v>38</v>
      </c>
      <c r="I1562" t="s">
        <v>243</v>
      </c>
    </row>
    <row r="1563" spans="1:9" x14ac:dyDescent="0.3">
      <c r="A1563">
        <v>634</v>
      </c>
      <c r="B1563">
        <v>2</v>
      </c>
      <c r="C1563" t="s">
        <v>92</v>
      </c>
      <c r="D1563" t="s">
        <v>624</v>
      </c>
      <c r="E1563">
        <v>13</v>
      </c>
      <c r="F1563">
        <v>22</v>
      </c>
      <c r="G1563">
        <v>2</v>
      </c>
      <c r="H1563">
        <v>25</v>
      </c>
      <c r="I1563" t="s">
        <v>242</v>
      </c>
    </row>
    <row r="1564" spans="1:9" x14ac:dyDescent="0.3">
      <c r="A1564">
        <v>634</v>
      </c>
      <c r="B1564">
        <v>2</v>
      </c>
      <c r="C1564" t="s">
        <v>19</v>
      </c>
      <c r="D1564" t="s">
        <v>622</v>
      </c>
      <c r="E1564">
        <v>21</v>
      </c>
      <c r="F1564">
        <v>35</v>
      </c>
      <c r="G1564">
        <v>3</v>
      </c>
      <c r="H1564">
        <v>51</v>
      </c>
      <c r="I1564" t="s">
        <v>242</v>
      </c>
    </row>
    <row r="1565" spans="1:9" x14ac:dyDescent="0.3">
      <c r="A1565">
        <v>635</v>
      </c>
      <c r="B1565">
        <v>5</v>
      </c>
      <c r="C1565" t="s">
        <v>26</v>
      </c>
      <c r="D1565" t="s">
        <v>618</v>
      </c>
      <c r="E1565">
        <v>17</v>
      </c>
      <c r="F1565">
        <v>29</v>
      </c>
      <c r="G1565">
        <v>2</v>
      </c>
      <c r="H1565">
        <v>25</v>
      </c>
      <c r="I1565" t="s">
        <v>243</v>
      </c>
    </row>
    <row r="1566" spans="1:9" x14ac:dyDescent="0.3">
      <c r="A1566">
        <v>636</v>
      </c>
      <c r="B1566">
        <v>14</v>
      </c>
      <c r="C1566" t="s">
        <v>53</v>
      </c>
      <c r="D1566" t="s">
        <v>621</v>
      </c>
      <c r="E1566">
        <v>11</v>
      </c>
      <c r="F1566">
        <v>19</v>
      </c>
      <c r="G1566">
        <v>3</v>
      </c>
      <c r="H1566">
        <v>54</v>
      </c>
      <c r="I1566" t="s">
        <v>243</v>
      </c>
    </row>
    <row r="1567" spans="1:9" x14ac:dyDescent="0.3">
      <c r="A1567">
        <v>636</v>
      </c>
      <c r="B1567">
        <v>14</v>
      </c>
      <c r="C1567" t="s">
        <v>42</v>
      </c>
      <c r="D1567" t="s">
        <v>628</v>
      </c>
      <c r="E1567">
        <v>13</v>
      </c>
      <c r="F1567">
        <v>21</v>
      </c>
      <c r="G1567">
        <v>1</v>
      </c>
      <c r="H1567">
        <v>52</v>
      </c>
      <c r="I1567" t="s">
        <v>243</v>
      </c>
    </row>
    <row r="1568" spans="1:9" x14ac:dyDescent="0.3">
      <c r="A1568">
        <v>636</v>
      </c>
      <c r="B1568">
        <v>14</v>
      </c>
      <c r="C1568" t="s">
        <v>75</v>
      </c>
      <c r="D1568" t="s">
        <v>612</v>
      </c>
      <c r="E1568">
        <v>14</v>
      </c>
      <c r="F1568">
        <v>24</v>
      </c>
      <c r="G1568">
        <v>2</v>
      </c>
      <c r="H1568">
        <v>45</v>
      </c>
      <c r="I1568" t="s">
        <v>242</v>
      </c>
    </row>
    <row r="1569" spans="1:9" x14ac:dyDescent="0.3">
      <c r="A1569">
        <v>637</v>
      </c>
      <c r="B1569">
        <v>6</v>
      </c>
      <c r="C1569" t="s">
        <v>60</v>
      </c>
      <c r="D1569" t="s">
        <v>631</v>
      </c>
      <c r="E1569">
        <v>15</v>
      </c>
      <c r="F1569">
        <v>25</v>
      </c>
      <c r="G1569">
        <v>2</v>
      </c>
      <c r="H1569">
        <v>32</v>
      </c>
      <c r="I1569" t="s">
        <v>242</v>
      </c>
    </row>
    <row r="1570" spans="1:9" x14ac:dyDescent="0.3">
      <c r="A1570">
        <v>637</v>
      </c>
      <c r="B1570">
        <v>6</v>
      </c>
      <c r="C1570" t="s">
        <v>112</v>
      </c>
      <c r="D1570" t="s">
        <v>619</v>
      </c>
      <c r="E1570">
        <v>20</v>
      </c>
      <c r="F1570">
        <v>33</v>
      </c>
      <c r="G1570">
        <v>1</v>
      </c>
      <c r="H1570">
        <v>23</v>
      </c>
      <c r="I1570" t="s">
        <v>243</v>
      </c>
    </row>
    <row r="1571" spans="1:9" x14ac:dyDescent="0.3">
      <c r="A1571">
        <v>637</v>
      </c>
      <c r="B1571">
        <v>6</v>
      </c>
      <c r="C1571" t="s">
        <v>38</v>
      </c>
      <c r="D1571" t="s">
        <v>625</v>
      </c>
      <c r="E1571">
        <v>20</v>
      </c>
      <c r="F1571">
        <v>34</v>
      </c>
      <c r="G1571">
        <v>1</v>
      </c>
      <c r="H1571">
        <v>6</v>
      </c>
      <c r="I1571" t="s">
        <v>243</v>
      </c>
    </row>
    <row r="1572" spans="1:9" x14ac:dyDescent="0.3">
      <c r="A1572">
        <v>638</v>
      </c>
      <c r="B1572">
        <v>16</v>
      </c>
      <c r="C1572" t="s">
        <v>40</v>
      </c>
      <c r="D1572" t="s">
        <v>613</v>
      </c>
      <c r="E1572">
        <v>18</v>
      </c>
      <c r="F1572">
        <v>30</v>
      </c>
      <c r="G1572">
        <v>3</v>
      </c>
      <c r="H1572">
        <v>44</v>
      </c>
      <c r="I1572" t="s">
        <v>242</v>
      </c>
    </row>
    <row r="1573" spans="1:9" x14ac:dyDescent="0.3">
      <c r="A1573">
        <v>639</v>
      </c>
      <c r="B1573">
        <v>8</v>
      </c>
      <c r="C1573" t="s">
        <v>71</v>
      </c>
      <c r="D1573" t="s">
        <v>630</v>
      </c>
      <c r="E1573">
        <v>15</v>
      </c>
      <c r="F1573">
        <v>26</v>
      </c>
      <c r="G1573">
        <v>2</v>
      </c>
      <c r="H1573">
        <v>52</v>
      </c>
      <c r="I1573" t="s">
        <v>242</v>
      </c>
    </row>
    <row r="1574" spans="1:9" x14ac:dyDescent="0.3">
      <c r="A1574">
        <v>639</v>
      </c>
      <c r="B1574">
        <v>8</v>
      </c>
      <c r="C1574" t="s">
        <v>53</v>
      </c>
      <c r="D1574" t="s">
        <v>621</v>
      </c>
      <c r="E1574">
        <v>11</v>
      </c>
      <c r="F1574">
        <v>19</v>
      </c>
      <c r="G1574">
        <v>2</v>
      </c>
      <c r="H1574">
        <v>55</v>
      </c>
      <c r="I1574" t="s">
        <v>242</v>
      </c>
    </row>
    <row r="1575" spans="1:9" x14ac:dyDescent="0.3">
      <c r="A1575">
        <v>639</v>
      </c>
      <c r="B1575">
        <v>8</v>
      </c>
      <c r="C1575" t="s">
        <v>56</v>
      </c>
      <c r="D1575" t="s">
        <v>614</v>
      </c>
      <c r="E1575">
        <v>19</v>
      </c>
      <c r="F1575">
        <v>31</v>
      </c>
      <c r="G1575">
        <v>2</v>
      </c>
      <c r="H1575">
        <v>29</v>
      </c>
      <c r="I1575" t="s">
        <v>242</v>
      </c>
    </row>
    <row r="1576" spans="1:9" x14ac:dyDescent="0.3">
      <c r="A1576">
        <v>640</v>
      </c>
      <c r="B1576">
        <v>14</v>
      </c>
      <c r="C1576" t="s">
        <v>71</v>
      </c>
      <c r="D1576" t="s">
        <v>630</v>
      </c>
      <c r="E1576">
        <v>15</v>
      </c>
      <c r="F1576">
        <v>26</v>
      </c>
      <c r="G1576">
        <v>3</v>
      </c>
      <c r="H1576">
        <v>7</v>
      </c>
      <c r="I1576" t="s">
        <v>243</v>
      </c>
    </row>
    <row r="1577" spans="1:9" x14ac:dyDescent="0.3">
      <c r="A1577">
        <v>640</v>
      </c>
      <c r="B1577">
        <v>14</v>
      </c>
      <c r="C1577" t="s">
        <v>112</v>
      </c>
      <c r="D1577" t="s">
        <v>619</v>
      </c>
      <c r="E1577">
        <v>20</v>
      </c>
      <c r="F1577">
        <v>33</v>
      </c>
      <c r="G1577">
        <v>3</v>
      </c>
      <c r="H1577">
        <v>56</v>
      </c>
      <c r="I1577" t="s">
        <v>243</v>
      </c>
    </row>
    <row r="1578" spans="1:9" x14ac:dyDescent="0.3">
      <c r="A1578">
        <v>640</v>
      </c>
      <c r="B1578">
        <v>14</v>
      </c>
      <c r="C1578" t="s">
        <v>42</v>
      </c>
      <c r="D1578" t="s">
        <v>628</v>
      </c>
      <c r="E1578">
        <v>13</v>
      </c>
      <c r="F1578">
        <v>21</v>
      </c>
      <c r="G1578">
        <v>2</v>
      </c>
      <c r="H1578">
        <v>12</v>
      </c>
      <c r="I1578" t="s">
        <v>242</v>
      </c>
    </row>
    <row r="1579" spans="1:9" x14ac:dyDescent="0.3">
      <c r="A1579">
        <v>641</v>
      </c>
      <c r="B1579">
        <v>2</v>
      </c>
      <c r="C1579" t="s">
        <v>60</v>
      </c>
      <c r="D1579" t="s">
        <v>631</v>
      </c>
      <c r="E1579">
        <v>15</v>
      </c>
      <c r="F1579">
        <v>25</v>
      </c>
      <c r="G1579">
        <v>3</v>
      </c>
      <c r="H1579">
        <v>28</v>
      </c>
      <c r="I1579" t="s">
        <v>243</v>
      </c>
    </row>
    <row r="1580" spans="1:9" x14ac:dyDescent="0.3">
      <c r="A1580">
        <v>641</v>
      </c>
      <c r="B1580">
        <v>2</v>
      </c>
      <c r="C1580" t="s">
        <v>89</v>
      </c>
      <c r="D1580" t="s">
        <v>627</v>
      </c>
      <c r="E1580">
        <v>14</v>
      </c>
      <c r="F1580">
        <v>23</v>
      </c>
      <c r="G1580">
        <v>2</v>
      </c>
      <c r="H1580">
        <v>29</v>
      </c>
      <c r="I1580" t="s">
        <v>242</v>
      </c>
    </row>
    <row r="1581" spans="1:9" x14ac:dyDescent="0.3">
      <c r="A1581">
        <v>641</v>
      </c>
      <c r="B1581">
        <v>2</v>
      </c>
      <c r="C1581" t="s">
        <v>26</v>
      </c>
      <c r="D1581" t="s">
        <v>618</v>
      </c>
      <c r="E1581">
        <v>17</v>
      </c>
      <c r="F1581">
        <v>29</v>
      </c>
      <c r="G1581">
        <v>3</v>
      </c>
      <c r="H1581">
        <v>17</v>
      </c>
      <c r="I1581" t="s">
        <v>242</v>
      </c>
    </row>
    <row r="1582" spans="1:9" x14ac:dyDescent="0.3">
      <c r="A1582">
        <v>642</v>
      </c>
      <c r="B1582">
        <v>15</v>
      </c>
      <c r="C1582" t="s">
        <v>71</v>
      </c>
      <c r="D1582" t="s">
        <v>630</v>
      </c>
      <c r="E1582">
        <v>15</v>
      </c>
      <c r="F1582">
        <v>26</v>
      </c>
      <c r="G1582">
        <v>1</v>
      </c>
      <c r="H1582">
        <v>57</v>
      </c>
      <c r="I1582" t="s">
        <v>243</v>
      </c>
    </row>
    <row r="1583" spans="1:9" x14ac:dyDescent="0.3">
      <c r="A1583">
        <v>642</v>
      </c>
      <c r="B1583">
        <v>15</v>
      </c>
      <c r="C1583" t="s">
        <v>42</v>
      </c>
      <c r="D1583" t="s">
        <v>628</v>
      </c>
      <c r="E1583">
        <v>13</v>
      </c>
      <c r="F1583">
        <v>21</v>
      </c>
      <c r="G1583">
        <v>3</v>
      </c>
      <c r="H1583">
        <v>6</v>
      </c>
      <c r="I1583" t="s">
        <v>243</v>
      </c>
    </row>
    <row r="1584" spans="1:9" x14ac:dyDescent="0.3">
      <c r="A1584">
        <v>642</v>
      </c>
      <c r="B1584">
        <v>15</v>
      </c>
      <c r="C1584" t="s">
        <v>26</v>
      </c>
      <c r="D1584" t="s">
        <v>618</v>
      </c>
      <c r="E1584">
        <v>17</v>
      </c>
      <c r="F1584">
        <v>29</v>
      </c>
      <c r="G1584">
        <v>3</v>
      </c>
      <c r="H1584">
        <v>18</v>
      </c>
      <c r="I1584" t="s">
        <v>243</v>
      </c>
    </row>
    <row r="1585" spans="1:9" x14ac:dyDescent="0.3">
      <c r="A1585">
        <v>643</v>
      </c>
      <c r="B1585">
        <v>17</v>
      </c>
      <c r="C1585" t="s">
        <v>112</v>
      </c>
      <c r="D1585" t="s">
        <v>619</v>
      </c>
      <c r="E1585">
        <v>20</v>
      </c>
      <c r="F1585">
        <v>33</v>
      </c>
      <c r="G1585">
        <v>1</v>
      </c>
      <c r="H1585">
        <v>18</v>
      </c>
      <c r="I1585" t="s">
        <v>242</v>
      </c>
    </row>
    <row r="1586" spans="1:9" x14ac:dyDescent="0.3">
      <c r="A1586">
        <v>644</v>
      </c>
      <c r="B1586">
        <v>9</v>
      </c>
      <c r="C1586" t="s">
        <v>56</v>
      </c>
      <c r="D1586" t="s">
        <v>614</v>
      </c>
      <c r="E1586">
        <v>19</v>
      </c>
      <c r="F1586">
        <v>31</v>
      </c>
      <c r="G1586">
        <v>3</v>
      </c>
      <c r="H1586">
        <v>51</v>
      </c>
      <c r="I1586" t="s">
        <v>242</v>
      </c>
    </row>
    <row r="1587" spans="1:9" x14ac:dyDescent="0.3">
      <c r="A1587">
        <v>645</v>
      </c>
      <c r="B1587">
        <v>6</v>
      </c>
      <c r="C1587" t="s">
        <v>112</v>
      </c>
      <c r="D1587" t="s">
        <v>619</v>
      </c>
      <c r="E1587">
        <v>20</v>
      </c>
      <c r="F1587">
        <v>33</v>
      </c>
      <c r="G1587">
        <v>3</v>
      </c>
      <c r="H1587">
        <v>43</v>
      </c>
      <c r="I1587" t="s">
        <v>243</v>
      </c>
    </row>
    <row r="1588" spans="1:9" x14ac:dyDescent="0.3">
      <c r="A1588">
        <v>645</v>
      </c>
      <c r="B1588">
        <v>6</v>
      </c>
      <c r="C1588" t="s">
        <v>50</v>
      </c>
      <c r="D1588" t="s">
        <v>615</v>
      </c>
      <c r="E1588">
        <v>16</v>
      </c>
      <c r="F1588">
        <v>27</v>
      </c>
      <c r="G1588">
        <v>3</v>
      </c>
      <c r="H1588">
        <v>54</v>
      </c>
      <c r="I1588" t="s">
        <v>242</v>
      </c>
    </row>
    <row r="1589" spans="1:9" x14ac:dyDescent="0.3">
      <c r="A1589">
        <v>646</v>
      </c>
      <c r="B1589">
        <v>12</v>
      </c>
      <c r="C1589" t="s">
        <v>19</v>
      </c>
      <c r="D1589" t="s">
        <v>622</v>
      </c>
      <c r="E1589">
        <v>21</v>
      </c>
      <c r="F1589">
        <v>35</v>
      </c>
      <c r="G1589">
        <v>2</v>
      </c>
      <c r="H1589">
        <v>36</v>
      </c>
      <c r="I1589" t="s">
        <v>242</v>
      </c>
    </row>
    <row r="1590" spans="1:9" x14ac:dyDescent="0.3">
      <c r="A1590">
        <v>647</v>
      </c>
      <c r="B1590">
        <v>12</v>
      </c>
      <c r="C1590" t="s">
        <v>56</v>
      </c>
      <c r="D1590" t="s">
        <v>614</v>
      </c>
      <c r="E1590">
        <v>19</v>
      </c>
      <c r="F1590">
        <v>31</v>
      </c>
      <c r="G1590">
        <v>2</v>
      </c>
      <c r="H1590">
        <v>26</v>
      </c>
      <c r="I1590" t="s">
        <v>243</v>
      </c>
    </row>
    <row r="1591" spans="1:9" x14ac:dyDescent="0.3">
      <c r="A1591">
        <v>647</v>
      </c>
      <c r="B1591">
        <v>12</v>
      </c>
      <c r="C1591" t="s">
        <v>46</v>
      </c>
      <c r="D1591" t="s">
        <v>629</v>
      </c>
      <c r="E1591">
        <v>10</v>
      </c>
      <c r="F1591">
        <v>18</v>
      </c>
      <c r="G1591">
        <v>2</v>
      </c>
      <c r="H1591">
        <v>13</v>
      </c>
      <c r="I1591" t="s">
        <v>243</v>
      </c>
    </row>
    <row r="1592" spans="1:9" x14ac:dyDescent="0.3">
      <c r="A1592">
        <v>648</v>
      </c>
      <c r="B1592">
        <v>9</v>
      </c>
      <c r="C1592" t="s">
        <v>30</v>
      </c>
      <c r="D1592" t="s">
        <v>620</v>
      </c>
      <c r="E1592">
        <v>16</v>
      </c>
      <c r="F1592">
        <v>28</v>
      </c>
      <c r="G1592">
        <v>2</v>
      </c>
      <c r="H1592">
        <v>47</v>
      </c>
      <c r="I1592" t="s">
        <v>242</v>
      </c>
    </row>
    <row r="1593" spans="1:9" x14ac:dyDescent="0.3">
      <c r="A1593">
        <v>649</v>
      </c>
      <c r="B1593">
        <v>9</v>
      </c>
      <c r="C1593" t="s">
        <v>60</v>
      </c>
      <c r="D1593" t="s">
        <v>631</v>
      </c>
      <c r="E1593">
        <v>15</v>
      </c>
      <c r="F1593">
        <v>25</v>
      </c>
      <c r="G1593">
        <v>1</v>
      </c>
      <c r="H1593">
        <v>32</v>
      </c>
      <c r="I1593" t="s">
        <v>243</v>
      </c>
    </row>
    <row r="1594" spans="1:9" x14ac:dyDescent="0.3">
      <c r="A1594">
        <v>649</v>
      </c>
      <c r="B1594">
        <v>9</v>
      </c>
      <c r="C1594" t="s">
        <v>30</v>
      </c>
      <c r="D1594" t="s">
        <v>620</v>
      </c>
      <c r="E1594">
        <v>16</v>
      </c>
      <c r="F1594">
        <v>28</v>
      </c>
      <c r="G1594">
        <v>3</v>
      </c>
      <c r="H1594">
        <v>40</v>
      </c>
      <c r="I1594" t="s">
        <v>242</v>
      </c>
    </row>
    <row r="1595" spans="1:9" x14ac:dyDescent="0.3">
      <c r="A1595">
        <v>649</v>
      </c>
      <c r="B1595">
        <v>9</v>
      </c>
      <c r="C1595" t="s">
        <v>66</v>
      </c>
      <c r="D1595" t="s">
        <v>626</v>
      </c>
      <c r="E1595">
        <v>12</v>
      </c>
      <c r="F1595">
        <v>20</v>
      </c>
      <c r="G1595">
        <v>3</v>
      </c>
      <c r="H1595">
        <v>15</v>
      </c>
      <c r="I1595" t="s">
        <v>242</v>
      </c>
    </row>
    <row r="1596" spans="1:9" x14ac:dyDescent="0.3">
      <c r="A1596">
        <v>649</v>
      </c>
      <c r="B1596">
        <v>9</v>
      </c>
      <c r="C1596" t="s">
        <v>26</v>
      </c>
      <c r="D1596" t="s">
        <v>618</v>
      </c>
      <c r="E1596">
        <v>17</v>
      </c>
      <c r="F1596">
        <v>29</v>
      </c>
      <c r="G1596">
        <v>3</v>
      </c>
      <c r="H1596">
        <v>22</v>
      </c>
      <c r="I1596" t="s">
        <v>243</v>
      </c>
    </row>
    <row r="1597" spans="1:9" x14ac:dyDescent="0.3">
      <c r="A1597">
        <v>650</v>
      </c>
      <c r="B1597">
        <v>11</v>
      </c>
      <c r="C1597" t="s">
        <v>42</v>
      </c>
      <c r="D1597" t="s">
        <v>628</v>
      </c>
      <c r="E1597">
        <v>13</v>
      </c>
      <c r="F1597">
        <v>21</v>
      </c>
      <c r="G1597">
        <v>2</v>
      </c>
      <c r="H1597">
        <v>18</v>
      </c>
      <c r="I1597" t="s">
        <v>243</v>
      </c>
    </row>
    <row r="1598" spans="1:9" x14ac:dyDescent="0.3">
      <c r="A1598">
        <v>650</v>
      </c>
      <c r="B1598">
        <v>11</v>
      </c>
      <c r="C1598" t="s">
        <v>105</v>
      </c>
      <c r="D1598" t="s">
        <v>623</v>
      </c>
      <c r="E1598">
        <v>19</v>
      </c>
      <c r="F1598">
        <v>32</v>
      </c>
      <c r="G1598">
        <v>1</v>
      </c>
      <c r="H1598">
        <v>12</v>
      </c>
      <c r="I1598" t="s">
        <v>243</v>
      </c>
    </row>
    <row r="1599" spans="1:9" x14ac:dyDescent="0.3">
      <c r="A1599">
        <v>650</v>
      </c>
      <c r="B1599">
        <v>11</v>
      </c>
      <c r="C1599" t="s">
        <v>19</v>
      </c>
      <c r="D1599" t="s">
        <v>622</v>
      </c>
      <c r="E1599">
        <v>21</v>
      </c>
      <c r="F1599">
        <v>35</v>
      </c>
      <c r="G1599">
        <v>3</v>
      </c>
      <c r="H1599">
        <v>11</v>
      </c>
      <c r="I1599" t="s">
        <v>242</v>
      </c>
    </row>
    <row r="1600" spans="1:9" x14ac:dyDescent="0.3">
      <c r="A1600">
        <v>650</v>
      </c>
      <c r="B1600">
        <v>11</v>
      </c>
      <c r="C1600" t="s">
        <v>26</v>
      </c>
      <c r="D1600" t="s">
        <v>618</v>
      </c>
      <c r="E1600">
        <v>17</v>
      </c>
      <c r="F1600">
        <v>29</v>
      </c>
      <c r="G1600">
        <v>2</v>
      </c>
      <c r="H1600">
        <v>35</v>
      </c>
      <c r="I1600" t="s">
        <v>243</v>
      </c>
    </row>
    <row r="1601" spans="1:9" x14ac:dyDescent="0.3">
      <c r="A1601">
        <v>651</v>
      </c>
      <c r="B1601">
        <v>16</v>
      </c>
      <c r="C1601" t="s">
        <v>112</v>
      </c>
      <c r="D1601" t="s">
        <v>619</v>
      </c>
      <c r="E1601">
        <v>20</v>
      </c>
      <c r="F1601">
        <v>33</v>
      </c>
      <c r="G1601">
        <v>2</v>
      </c>
      <c r="H1601">
        <v>29</v>
      </c>
      <c r="I1601" t="s">
        <v>242</v>
      </c>
    </row>
    <row r="1602" spans="1:9" x14ac:dyDescent="0.3">
      <c r="A1602">
        <v>651</v>
      </c>
      <c r="B1602">
        <v>16</v>
      </c>
      <c r="C1602" t="s">
        <v>42</v>
      </c>
      <c r="D1602" t="s">
        <v>628</v>
      </c>
      <c r="E1602">
        <v>13</v>
      </c>
      <c r="F1602">
        <v>21</v>
      </c>
      <c r="G1602">
        <v>3</v>
      </c>
      <c r="H1602">
        <v>9</v>
      </c>
      <c r="I1602" t="s">
        <v>242</v>
      </c>
    </row>
    <row r="1603" spans="1:9" x14ac:dyDescent="0.3">
      <c r="A1603">
        <v>651</v>
      </c>
      <c r="B1603">
        <v>16</v>
      </c>
      <c r="C1603" t="s">
        <v>34</v>
      </c>
      <c r="D1603" t="s">
        <v>616</v>
      </c>
      <c r="E1603">
        <v>25</v>
      </c>
      <c r="F1603">
        <v>40</v>
      </c>
      <c r="G1603">
        <v>2</v>
      </c>
      <c r="H1603">
        <v>50</v>
      </c>
      <c r="I1603" t="s">
        <v>242</v>
      </c>
    </row>
    <row r="1604" spans="1:9" x14ac:dyDescent="0.3">
      <c r="A1604">
        <v>652</v>
      </c>
      <c r="B1604">
        <v>14</v>
      </c>
      <c r="C1604" t="s">
        <v>56</v>
      </c>
      <c r="D1604" t="s">
        <v>614</v>
      </c>
      <c r="E1604">
        <v>19</v>
      </c>
      <c r="F1604">
        <v>31</v>
      </c>
      <c r="G1604">
        <v>2</v>
      </c>
      <c r="H1604">
        <v>12</v>
      </c>
      <c r="I1604" t="s">
        <v>242</v>
      </c>
    </row>
    <row r="1605" spans="1:9" x14ac:dyDescent="0.3">
      <c r="A1605">
        <v>652</v>
      </c>
      <c r="B1605">
        <v>14</v>
      </c>
      <c r="C1605" t="s">
        <v>44</v>
      </c>
      <c r="D1605" t="s">
        <v>617</v>
      </c>
      <c r="E1605">
        <v>22</v>
      </c>
      <c r="F1605">
        <v>36</v>
      </c>
      <c r="G1605">
        <v>3</v>
      </c>
      <c r="H1605">
        <v>38</v>
      </c>
      <c r="I1605" t="s">
        <v>243</v>
      </c>
    </row>
    <row r="1606" spans="1:9" x14ac:dyDescent="0.3">
      <c r="A1606">
        <v>653</v>
      </c>
      <c r="B1606">
        <v>13</v>
      </c>
      <c r="C1606" t="s">
        <v>30</v>
      </c>
      <c r="D1606" t="s">
        <v>620</v>
      </c>
      <c r="E1606">
        <v>16</v>
      </c>
      <c r="F1606">
        <v>28</v>
      </c>
      <c r="G1606">
        <v>3</v>
      </c>
      <c r="H1606">
        <v>51</v>
      </c>
      <c r="I1606" t="s">
        <v>243</v>
      </c>
    </row>
    <row r="1607" spans="1:9" x14ac:dyDescent="0.3">
      <c r="A1607">
        <v>653</v>
      </c>
      <c r="B1607">
        <v>13</v>
      </c>
      <c r="C1607" t="s">
        <v>40</v>
      </c>
      <c r="D1607" t="s">
        <v>613</v>
      </c>
      <c r="E1607">
        <v>18</v>
      </c>
      <c r="F1607">
        <v>30</v>
      </c>
      <c r="G1607">
        <v>3</v>
      </c>
      <c r="H1607">
        <v>46</v>
      </c>
      <c r="I1607" t="s">
        <v>242</v>
      </c>
    </row>
    <row r="1608" spans="1:9" x14ac:dyDescent="0.3">
      <c r="A1608">
        <v>653</v>
      </c>
      <c r="B1608">
        <v>13</v>
      </c>
      <c r="C1608" t="s">
        <v>19</v>
      </c>
      <c r="D1608" t="s">
        <v>622</v>
      </c>
      <c r="E1608">
        <v>21</v>
      </c>
      <c r="F1608">
        <v>35</v>
      </c>
      <c r="G1608">
        <v>2</v>
      </c>
      <c r="H1608">
        <v>53</v>
      </c>
      <c r="I1608" t="s">
        <v>242</v>
      </c>
    </row>
    <row r="1609" spans="1:9" x14ac:dyDescent="0.3">
      <c r="A1609">
        <v>654</v>
      </c>
      <c r="B1609">
        <v>12</v>
      </c>
      <c r="C1609" t="s">
        <v>66</v>
      </c>
      <c r="D1609" t="s">
        <v>626</v>
      </c>
      <c r="E1609">
        <v>12</v>
      </c>
      <c r="F1609">
        <v>20</v>
      </c>
      <c r="G1609">
        <v>1</v>
      </c>
      <c r="H1609">
        <v>13</v>
      </c>
      <c r="I1609" t="s">
        <v>242</v>
      </c>
    </row>
    <row r="1610" spans="1:9" x14ac:dyDescent="0.3">
      <c r="A1610">
        <v>654</v>
      </c>
      <c r="B1610">
        <v>12</v>
      </c>
      <c r="C1610" t="s">
        <v>92</v>
      </c>
      <c r="D1610" t="s">
        <v>624</v>
      </c>
      <c r="E1610">
        <v>13</v>
      </c>
      <c r="F1610">
        <v>22</v>
      </c>
      <c r="G1610">
        <v>1</v>
      </c>
      <c r="H1610">
        <v>31</v>
      </c>
      <c r="I1610" t="s">
        <v>242</v>
      </c>
    </row>
    <row r="1611" spans="1:9" x14ac:dyDescent="0.3">
      <c r="A1611">
        <v>655</v>
      </c>
      <c r="B1611">
        <v>5</v>
      </c>
      <c r="C1611" t="s">
        <v>56</v>
      </c>
      <c r="D1611" t="s">
        <v>614</v>
      </c>
      <c r="E1611">
        <v>19</v>
      </c>
      <c r="F1611">
        <v>31</v>
      </c>
      <c r="G1611">
        <v>3</v>
      </c>
      <c r="H1611">
        <v>36</v>
      </c>
      <c r="I1611" t="s">
        <v>243</v>
      </c>
    </row>
    <row r="1612" spans="1:9" x14ac:dyDescent="0.3">
      <c r="A1612">
        <v>656</v>
      </c>
      <c r="B1612">
        <v>19</v>
      </c>
      <c r="C1612" t="s">
        <v>53</v>
      </c>
      <c r="D1612" t="s">
        <v>621</v>
      </c>
      <c r="E1612">
        <v>11</v>
      </c>
      <c r="F1612">
        <v>19</v>
      </c>
      <c r="G1612">
        <v>2</v>
      </c>
      <c r="H1612">
        <v>39</v>
      </c>
      <c r="I1612" t="s">
        <v>243</v>
      </c>
    </row>
    <row r="1613" spans="1:9" x14ac:dyDescent="0.3">
      <c r="A1613">
        <v>656</v>
      </c>
      <c r="B1613">
        <v>19</v>
      </c>
      <c r="C1613" t="s">
        <v>89</v>
      </c>
      <c r="D1613" t="s">
        <v>627</v>
      </c>
      <c r="E1613">
        <v>14</v>
      </c>
      <c r="F1613">
        <v>23</v>
      </c>
      <c r="G1613">
        <v>1</v>
      </c>
      <c r="H1613">
        <v>13</v>
      </c>
      <c r="I1613" t="s">
        <v>242</v>
      </c>
    </row>
    <row r="1614" spans="1:9" x14ac:dyDescent="0.3">
      <c r="A1614">
        <v>656</v>
      </c>
      <c r="B1614">
        <v>19</v>
      </c>
      <c r="C1614" t="s">
        <v>44</v>
      </c>
      <c r="D1614" t="s">
        <v>617</v>
      </c>
      <c r="E1614">
        <v>22</v>
      </c>
      <c r="F1614">
        <v>36</v>
      </c>
      <c r="G1614">
        <v>1</v>
      </c>
      <c r="H1614">
        <v>14</v>
      </c>
      <c r="I1614" t="s">
        <v>242</v>
      </c>
    </row>
    <row r="1615" spans="1:9" x14ac:dyDescent="0.3">
      <c r="A1615">
        <v>656</v>
      </c>
      <c r="B1615">
        <v>19</v>
      </c>
      <c r="C1615" t="s">
        <v>66</v>
      </c>
      <c r="D1615" t="s">
        <v>626</v>
      </c>
      <c r="E1615">
        <v>12</v>
      </c>
      <c r="F1615">
        <v>20</v>
      </c>
      <c r="G1615">
        <v>3</v>
      </c>
      <c r="H1615">
        <v>44</v>
      </c>
      <c r="I1615" t="s">
        <v>243</v>
      </c>
    </row>
    <row r="1616" spans="1:9" x14ac:dyDescent="0.3">
      <c r="A1616">
        <v>657</v>
      </c>
      <c r="B1616">
        <v>1</v>
      </c>
      <c r="C1616" t="s">
        <v>89</v>
      </c>
      <c r="D1616" t="s">
        <v>627</v>
      </c>
      <c r="E1616">
        <v>14</v>
      </c>
      <c r="F1616">
        <v>23</v>
      </c>
      <c r="G1616">
        <v>2</v>
      </c>
      <c r="H1616">
        <v>39</v>
      </c>
      <c r="I1616" t="s">
        <v>243</v>
      </c>
    </row>
    <row r="1617" spans="1:9" x14ac:dyDescent="0.3">
      <c r="A1617">
        <v>657</v>
      </c>
      <c r="B1617">
        <v>1</v>
      </c>
      <c r="C1617" t="s">
        <v>34</v>
      </c>
      <c r="D1617" t="s">
        <v>616</v>
      </c>
      <c r="E1617">
        <v>25</v>
      </c>
      <c r="F1617">
        <v>40</v>
      </c>
      <c r="G1617">
        <v>2</v>
      </c>
      <c r="H1617">
        <v>55</v>
      </c>
      <c r="I1617" t="s">
        <v>243</v>
      </c>
    </row>
    <row r="1618" spans="1:9" x14ac:dyDescent="0.3">
      <c r="A1618">
        <v>657</v>
      </c>
      <c r="B1618">
        <v>1</v>
      </c>
      <c r="C1618" t="s">
        <v>19</v>
      </c>
      <c r="D1618" t="s">
        <v>622</v>
      </c>
      <c r="E1618">
        <v>21</v>
      </c>
      <c r="F1618">
        <v>35</v>
      </c>
      <c r="G1618">
        <v>2</v>
      </c>
      <c r="H1618">
        <v>40</v>
      </c>
      <c r="I1618" t="s">
        <v>243</v>
      </c>
    </row>
    <row r="1619" spans="1:9" x14ac:dyDescent="0.3">
      <c r="A1619">
        <v>658</v>
      </c>
      <c r="B1619">
        <v>19</v>
      </c>
      <c r="C1619" t="s">
        <v>105</v>
      </c>
      <c r="D1619" t="s">
        <v>623</v>
      </c>
      <c r="E1619">
        <v>19</v>
      </c>
      <c r="F1619">
        <v>32</v>
      </c>
      <c r="G1619">
        <v>1</v>
      </c>
      <c r="H1619">
        <v>21</v>
      </c>
      <c r="I1619" t="s">
        <v>243</v>
      </c>
    </row>
    <row r="1620" spans="1:9" x14ac:dyDescent="0.3">
      <c r="A1620">
        <v>658</v>
      </c>
      <c r="B1620">
        <v>19</v>
      </c>
      <c r="C1620" t="s">
        <v>50</v>
      </c>
      <c r="D1620" t="s">
        <v>615</v>
      </c>
      <c r="E1620">
        <v>16</v>
      </c>
      <c r="F1620">
        <v>27</v>
      </c>
      <c r="G1620">
        <v>2</v>
      </c>
      <c r="H1620">
        <v>27</v>
      </c>
      <c r="I1620" t="s">
        <v>243</v>
      </c>
    </row>
    <row r="1621" spans="1:9" x14ac:dyDescent="0.3">
      <c r="A1621">
        <v>659</v>
      </c>
      <c r="B1621">
        <v>9</v>
      </c>
      <c r="C1621" t="s">
        <v>26</v>
      </c>
      <c r="D1621" t="s">
        <v>618</v>
      </c>
      <c r="E1621">
        <v>17</v>
      </c>
      <c r="F1621">
        <v>29</v>
      </c>
      <c r="G1621">
        <v>3</v>
      </c>
      <c r="H1621">
        <v>31</v>
      </c>
      <c r="I1621" t="s">
        <v>242</v>
      </c>
    </row>
    <row r="1622" spans="1:9" x14ac:dyDescent="0.3">
      <c r="A1622">
        <v>660</v>
      </c>
      <c r="B1622">
        <v>19</v>
      </c>
      <c r="C1622" t="s">
        <v>53</v>
      </c>
      <c r="D1622" t="s">
        <v>621</v>
      </c>
      <c r="E1622">
        <v>11</v>
      </c>
      <c r="F1622">
        <v>19</v>
      </c>
      <c r="G1622">
        <v>2</v>
      </c>
      <c r="H1622">
        <v>24</v>
      </c>
      <c r="I1622" t="s">
        <v>243</v>
      </c>
    </row>
    <row r="1623" spans="1:9" x14ac:dyDescent="0.3">
      <c r="A1623">
        <v>660</v>
      </c>
      <c r="B1623">
        <v>19</v>
      </c>
      <c r="C1623" t="s">
        <v>40</v>
      </c>
      <c r="D1623" t="s">
        <v>613</v>
      </c>
      <c r="E1623">
        <v>18</v>
      </c>
      <c r="F1623">
        <v>30</v>
      </c>
      <c r="G1623">
        <v>3</v>
      </c>
      <c r="H1623">
        <v>16</v>
      </c>
      <c r="I1623" t="s">
        <v>242</v>
      </c>
    </row>
    <row r="1624" spans="1:9" x14ac:dyDescent="0.3">
      <c r="A1624">
        <v>660</v>
      </c>
      <c r="B1624">
        <v>19</v>
      </c>
      <c r="C1624" t="s">
        <v>34</v>
      </c>
      <c r="D1624" t="s">
        <v>616</v>
      </c>
      <c r="E1624">
        <v>25</v>
      </c>
      <c r="F1624">
        <v>40</v>
      </c>
      <c r="G1624">
        <v>2</v>
      </c>
      <c r="H1624">
        <v>5</v>
      </c>
      <c r="I1624" t="s">
        <v>243</v>
      </c>
    </row>
    <row r="1625" spans="1:9" x14ac:dyDescent="0.3">
      <c r="A1625">
        <v>661</v>
      </c>
      <c r="B1625">
        <v>16</v>
      </c>
      <c r="C1625" t="s">
        <v>60</v>
      </c>
      <c r="D1625" t="s">
        <v>631</v>
      </c>
      <c r="E1625">
        <v>15</v>
      </c>
      <c r="F1625">
        <v>25</v>
      </c>
      <c r="G1625">
        <v>2</v>
      </c>
      <c r="H1625">
        <v>30</v>
      </c>
      <c r="I1625" t="s">
        <v>242</v>
      </c>
    </row>
    <row r="1626" spans="1:9" x14ac:dyDescent="0.3">
      <c r="A1626">
        <v>661</v>
      </c>
      <c r="B1626">
        <v>16</v>
      </c>
      <c r="C1626" t="s">
        <v>89</v>
      </c>
      <c r="D1626" t="s">
        <v>627</v>
      </c>
      <c r="E1626">
        <v>14</v>
      </c>
      <c r="F1626">
        <v>23</v>
      </c>
      <c r="G1626">
        <v>3</v>
      </c>
      <c r="H1626">
        <v>56</v>
      </c>
      <c r="I1626" t="s">
        <v>243</v>
      </c>
    </row>
    <row r="1627" spans="1:9" x14ac:dyDescent="0.3">
      <c r="A1627">
        <v>661</v>
      </c>
      <c r="B1627">
        <v>16</v>
      </c>
      <c r="C1627" t="s">
        <v>30</v>
      </c>
      <c r="D1627" t="s">
        <v>620</v>
      </c>
      <c r="E1627">
        <v>16</v>
      </c>
      <c r="F1627">
        <v>28</v>
      </c>
      <c r="G1627">
        <v>2</v>
      </c>
      <c r="H1627">
        <v>27</v>
      </c>
      <c r="I1627" t="s">
        <v>243</v>
      </c>
    </row>
    <row r="1628" spans="1:9" x14ac:dyDescent="0.3">
      <c r="A1628">
        <v>661</v>
      </c>
      <c r="B1628">
        <v>16</v>
      </c>
      <c r="C1628" t="s">
        <v>56</v>
      </c>
      <c r="D1628" t="s">
        <v>614</v>
      </c>
      <c r="E1628">
        <v>19</v>
      </c>
      <c r="F1628">
        <v>31</v>
      </c>
      <c r="G1628">
        <v>1</v>
      </c>
      <c r="H1628">
        <v>22</v>
      </c>
      <c r="I1628" t="s">
        <v>243</v>
      </c>
    </row>
    <row r="1629" spans="1:9" x14ac:dyDescent="0.3">
      <c r="A1629">
        <v>662</v>
      </c>
      <c r="B1629">
        <v>15</v>
      </c>
      <c r="C1629" t="s">
        <v>60</v>
      </c>
      <c r="D1629" t="s">
        <v>631</v>
      </c>
      <c r="E1629">
        <v>15</v>
      </c>
      <c r="F1629">
        <v>25</v>
      </c>
      <c r="G1629">
        <v>1</v>
      </c>
      <c r="H1629">
        <v>10</v>
      </c>
      <c r="I1629" t="s">
        <v>243</v>
      </c>
    </row>
    <row r="1630" spans="1:9" x14ac:dyDescent="0.3">
      <c r="A1630">
        <v>662</v>
      </c>
      <c r="B1630">
        <v>15</v>
      </c>
      <c r="C1630" t="s">
        <v>44</v>
      </c>
      <c r="D1630" t="s">
        <v>617</v>
      </c>
      <c r="E1630">
        <v>22</v>
      </c>
      <c r="F1630">
        <v>36</v>
      </c>
      <c r="G1630">
        <v>1</v>
      </c>
      <c r="H1630">
        <v>41</v>
      </c>
      <c r="I1630" t="s">
        <v>242</v>
      </c>
    </row>
    <row r="1631" spans="1:9" x14ac:dyDescent="0.3">
      <c r="A1631">
        <v>662</v>
      </c>
      <c r="B1631">
        <v>15</v>
      </c>
      <c r="C1631" t="s">
        <v>75</v>
      </c>
      <c r="D1631" t="s">
        <v>612</v>
      </c>
      <c r="E1631">
        <v>14</v>
      </c>
      <c r="F1631">
        <v>24</v>
      </c>
      <c r="G1631">
        <v>3</v>
      </c>
      <c r="H1631">
        <v>34</v>
      </c>
      <c r="I1631" t="s">
        <v>242</v>
      </c>
    </row>
    <row r="1632" spans="1:9" x14ac:dyDescent="0.3">
      <c r="A1632">
        <v>663</v>
      </c>
      <c r="B1632">
        <v>3</v>
      </c>
      <c r="C1632" t="s">
        <v>66</v>
      </c>
      <c r="D1632" t="s">
        <v>626</v>
      </c>
      <c r="E1632">
        <v>12</v>
      </c>
      <c r="F1632">
        <v>20</v>
      </c>
      <c r="G1632">
        <v>1</v>
      </c>
      <c r="H1632">
        <v>42</v>
      </c>
      <c r="I1632" t="s">
        <v>243</v>
      </c>
    </row>
    <row r="1633" spans="1:9" x14ac:dyDescent="0.3">
      <c r="A1633">
        <v>663</v>
      </c>
      <c r="B1633">
        <v>3</v>
      </c>
      <c r="C1633" t="s">
        <v>46</v>
      </c>
      <c r="D1633" t="s">
        <v>629</v>
      </c>
      <c r="E1633">
        <v>10</v>
      </c>
      <c r="F1633">
        <v>18</v>
      </c>
      <c r="G1633">
        <v>2</v>
      </c>
      <c r="H1633">
        <v>40</v>
      </c>
      <c r="I1633" t="s">
        <v>243</v>
      </c>
    </row>
    <row r="1634" spans="1:9" x14ac:dyDescent="0.3">
      <c r="A1634">
        <v>663</v>
      </c>
      <c r="B1634">
        <v>3</v>
      </c>
      <c r="C1634" t="s">
        <v>26</v>
      </c>
      <c r="D1634" t="s">
        <v>618</v>
      </c>
      <c r="E1634">
        <v>17</v>
      </c>
      <c r="F1634">
        <v>29</v>
      </c>
      <c r="G1634">
        <v>2</v>
      </c>
      <c r="H1634">
        <v>5</v>
      </c>
      <c r="I1634" t="s">
        <v>243</v>
      </c>
    </row>
    <row r="1635" spans="1:9" x14ac:dyDescent="0.3">
      <c r="A1635">
        <v>664</v>
      </c>
      <c r="B1635">
        <v>20</v>
      </c>
      <c r="C1635" t="s">
        <v>53</v>
      </c>
      <c r="D1635" t="s">
        <v>621</v>
      </c>
      <c r="E1635">
        <v>11</v>
      </c>
      <c r="F1635">
        <v>19</v>
      </c>
      <c r="G1635">
        <v>2</v>
      </c>
      <c r="H1635">
        <v>42</v>
      </c>
      <c r="I1635" t="s">
        <v>242</v>
      </c>
    </row>
    <row r="1636" spans="1:9" x14ac:dyDescent="0.3">
      <c r="A1636">
        <v>664</v>
      </c>
      <c r="B1636">
        <v>20</v>
      </c>
      <c r="C1636" t="s">
        <v>46</v>
      </c>
      <c r="D1636" t="s">
        <v>629</v>
      </c>
      <c r="E1636">
        <v>10</v>
      </c>
      <c r="F1636">
        <v>18</v>
      </c>
      <c r="G1636">
        <v>1</v>
      </c>
      <c r="H1636">
        <v>9</v>
      </c>
      <c r="I1636" t="s">
        <v>242</v>
      </c>
    </row>
    <row r="1637" spans="1:9" x14ac:dyDescent="0.3">
      <c r="A1637">
        <v>664</v>
      </c>
      <c r="B1637">
        <v>20</v>
      </c>
      <c r="C1637" t="s">
        <v>92</v>
      </c>
      <c r="D1637" t="s">
        <v>624</v>
      </c>
      <c r="E1637">
        <v>13</v>
      </c>
      <c r="F1637">
        <v>22</v>
      </c>
      <c r="G1637">
        <v>3</v>
      </c>
      <c r="H1637">
        <v>48</v>
      </c>
      <c r="I1637" t="s">
        <v>243</v>
      </c>
    </row>
    <row r="1638" spans="1:9" x14ac:dyDescent="0.3">
      <c r="A1638">
        <v>665</v>
      </c>
      <c r="B1638">
        <v>6</v>
      </c>
      <c r="C1638" t="s">
        <v>60</v>
      </c>
      <c r="D1638" t="s">
        <v>631</v>
      </c>
      <c r="E1638">
        <v>15</v>
      </c>
      <c r="F1638">
        <v>25</v>
      </c>
      <c r="G1638">
        <v>3</v>
      </c>
      <c r="H1638">
        <v>25</v>
      </c>
      <c r="I1638" t="s">
        <v>243</v>
      </c>
    </row>
    <row r="1639" spans="1:9" x14ac:dyDescent="0.3">
      <c r="A1639">
        <v>665</v>
      </c>
      <c r="B1639">
        <v>6</v>
      </c>
      <c r="C1639" t="s">
        <v>50</v>
      </c>
      <c r="D1639" t="s">
        <v>615</v>
      </c>
      <c r="E1639">
        <v>16</v>
      </c>
      <c r="F1639">
        <v>27</v>
      </c>
      <c r="G1639">
        <v>2</v>
      </c>
      <c r="H1639">
        <v>15</v>
      </c>
      <c r="I1639" t="s">
        <v>243</v>
      </c>
    </row>
    <row r="1640" spans="1:9" x14ac:dyDescent="0.3">
      <c r="A1640">
        <v>666</v>
      </c>
      <c r="B1640">
        <v>8</v>
      </c>
      <c r="C1640" t="s">
        <v>66</v>
      </c>
      <c r="D1640" t="s">
        <v>626</v>
      </c>
      <c r="E1640">
        <v>12</v>
      </c>
      <c r="F1640">
        <v>20</v>
      </c>
      <c r="G1640">
        <v>2</v>
      </c>
      <c r="H1640">
        <v>27</v>
      </c>
      <c r="I1640" t="s">
        <v>243</v>
      </c>
    </row>
    <row r="1641" spans="1:9" x14ac:dyDescent="0.3">
      <c r="A1641">
        <v>667</v>
      </c>
      <c r="B1641">
        <v>6</v>
      </c>
      <c r="C1641" t="s">
        <v>44</v>
      </c>
      <c r="D1641" t="s">
        <v>617</v>
      </c>
      <c r="E1641">
        <v>22</v>
      </c>
      <c r="F1641">
        <v>36</v>
      </c>
      <c r="G1641">
        <v>1</v>
      </c>
      <c r="H1641">
        <v>12</v>
      </c>
      <c r="I1641" t="s">
        <v>242</v>
      </c>
    </row>
    <row r="1642" spans="1:9" x14ac:dyDescent="0.3">
      <c r="A1642">
        <v>668</v>
      </c>
      <c r="B1642">
        <v>12</v>
      </c>
      <c r="C1642" t="s">
        <v>60</v>
      </c>
      <c r="D1642" t="s">
        <v>631</v>
      </c>
      <c r="E1642">
        <v>15</v>
      </c>
      <c r="F1642">
        <v>25</v>
      </c>
      <c r="G1642">
        <v>3</v>
      </c>
      <c r="H1642">
        <v>47</v>
      </c>
      <c r="I1642" t="s">
        <v>242</v>
      </c>
    </row>
    <row r="1643" spans="1:9" x14ac:dyDescent="0.3">
      <c r="A1643">
        <v>668</v>
      </c>
      <c r="B1643">
        <v>12</v>
      </c>
      <c r="C1643" t="s">
        <v>71</v>
      </c>
      <c r="D1643" t="s">
        <v>630</v>
      </c>
      <c r="E1643">
        <v>15</v>
      </c>
      <c r="F1643">
        <v>26</v>
      </c>
      <c r="G1643">
        <v>3</v>
      </c>
      <c r="H1643">
        <v>59</v>
      </c>
      <c r="I1643" t="s">
        <v>242</v>
      </c>
    </row>
    <row r="1644" spans="1:9" x14ac:dyDescent="0.3">
      <c r="A1644">
        <v>668</v>
      </c>
      <c r="B1644">
        <v>12</v>
      </c>
      <c r="C1644" t="s">
        <v>75</v>
      </c>
      <c r="D1644" t="s">
        <v>612</v>
      </c>
      <c r="E1644">
        <v>14</v>
      </c>
      <c r="F1644">
        <v>24</v>
      </c>
      <c r="G1644">
        <v>2</v>
      </c>
      <c r="H1644">
        <v>9</v>
      </c>
      <c r="I1644" t="s">
        <v>243</v>
      </c>
    </row>
    <row r="1645" spans="1:9" x14ac:dyDescent="0.3">
      <c r="A1645">
        <v>669</v>
      </c>
      <c r="B1645">
        <v>10</v>
      </c>
      <c r="C1645" t="s">
        <v>105</v>
      </c>
      <c r="D1645" t="s">
        <v>623</v>
      </c>
      <c r="E1645">
        <v>19</v>
      </c>
      <c r="F1645">
        <v>32</v>
      </c>
      <c r="G1645">
        <v>3</v>
      </c>
      <c r="H1645">
        <v>42</v>
      </c>
      <c r="I1645" t="s">
        <v>243</v>
      </c>
    </row>
    <row r="1646" spans="1:9" x14ac:dyDescent="0.3">
      <c r="A1646">
        <v>669</v>
      </c>
      <c r="B1646">
        <v>10</v>
      </c>
      <c r="C1646" t="s">
        <v>56</v>
      </c>
      <c r="D1646" t="s">
        <v>614</v>
      </c>
      <c r="E1646">
        <v>19</v>
      </c>
      <c r="F1646">
        <v>31</v>
      </c>
      <c r="G1646">
        <v>1</v>
      </c>
      <c r="H1646">
        <v>13</v>
      </c>
      <c r="I1646" t="s">
        <v>243</v>
      </c>
    </row>
    <row r="1647" spans="1:9" x14ac:dyDescent="0.3">
      <c r="A1647">
        <v>669</v>
      </c>
      <c r="B1647">
        <v>10</v>
      </c>
      <c r="C1647" t="s">
        <v>50</v>
      </c>
      <c r="D1647" t="s">
        <v>615</v>
      </c>
      <c r="E1647">
        <v>16</v>
      </c>
      <c r="F1647">
        <v>27</v>
      </c>
      <c r="G1647">
        <v>2</v>
      </c>
      <c r="H1647">
        <v>14</v>
      </c>
      <c r="I1647" t="s">
        <v>243</v>
      </c>
    </row>
    <row r="1648" spans="1:9" x14ac:dyDescent="0.3">
      <c r="A1648">
        <v>670</v>
      </c>
      <c r="B1648">
        <v>16</v>
      </c>
      <c r="C1648" t="s">
        <v>89</v>
      </c>
      <c r="D1648" t="s">
        <v>627</v>
      </c>
      <c r="E1648">
        <v>14</v>
      </c>
      <c r="F1648">
        <v>23</v>
      </c>
      <c r="G1648">
        <v>1</v>
      </c>
      <c r="H1648">
        <v>26</v>
      </c>
      <c r="I1648" t="s">
        <v>242</v>
      </c>
    </row>
    <row r="1649" spans="1:9" x14ac:dyDescent="0.3">
      <c r="A1649">
        <v>670</v>
      </c>
      <c r="B1649">
        <v>16</v>
      </c>
      <c r="C1649" t="s">
        <v>44</v>
      </c>
      <c r="D1649" t="s">
        <v>617</v>
      </c>
      <c r="E1649">
        <v>22</v>
      </c>
      <c r="F1649">
        <v>36</v>
      </c>
      <c r="G1649">
        <v>1</v>
      </c>
      <c r="H1649">
        <v>32</v>
      </c>
      <c r="I1649" t="s">
        <v>242</v>
      </c>
    </row>
    <row r="1650" spans="1:9" x14ac:dyDescent="0.3">
      <c r="A1650">
        <v>670</v>
      </c>
      <c r="B1650">
        <v>16</v>
      </c>
      <c r="C1650" t="s">
        <v>19</v>
      </c>
      <c r="D1650" t="s">
        <v>622</v>
      </c>
      <c r="E1650">
        <v>21</v>
      </c>
      <c r="F1650">
        <v>35</v>
      </c>
      <c r="G1650">
        <v>1</v>
      </c>
      <c r="H1650">
        <v>17</v>
      </c>
      <c r="I1650" t="s">
        <v>243</v>
      </c>
    </row>
    <row r="1651" spans="1:9" x14ac:dyDescent="0.3">
      <c r="A1651">
        <v>671</v>
      </c>
      <c r="B1651">
        <v>17</v>
      </c>
      <c r="C1651" t="s">
        <v>60</v>
      </c>
      <c r="D1651" t="s">
        <v>631</v>
      </c>
      <c r="E1651">
        <v>15</v>
      </c>
      <c r="F1651">
        <v>25</v>
      </c>
      <c r="G1651">
        <v>2</v>
      </c>
      <c r="H1651">
        <v>32</v>
      </c>
      <c r="I1651" t="s">
        <v>242</v>
      </c>
    </row>
    <row r="1652" spans="1:9" x14ac:dyDescent="0.3">
      <c r="A1652">
        <v>671</v>
      </c>
      <c r="B1652">
        <v>17</v>
      </c>
      <c r="C1652" t="s">
        <v>105</v>
      </c>
      <c r="D1652" t="s">
        <v>623</v>
      </c>
      <c r="E1652">
        <v>19</v>
      </c>
      <c r="F1652">
        <v>32</v>
      </c>
      <c r="G1652">
        <v>2</v>
      </c>
      <c r="H1652">
        <v>34</v>
      </c>
      <c r="I1652" t="s">
        <v>242</v>
      </c>
    </row>
    <row r="1653" spans="1:9" x14ac:dyDescent="0.3">
      <c r="A1653">
        <v>671</v>
      </c>
      <c r="B1653">
        <v>17</v>
      </c>
      <c r="C1653" t="s">
        <v>19</v>
      </c>
      <c r="D1653" t="s">
        <v>622</v>
      </c>
      <c r="E1653">
        <v>21</v>
      </c>
      <c r="F1653">
        <v>35</v>
      </c>
      <c r="G1653">
        <v>2</v>
      </c>
      <c r="H1653">
        <v>29</v>
      </c>
      <c r="I1653" t="s">
        <v>243</v>
      </c>
    </row>
    <row r="1654" spans="1:9" x14ac:dyDescent="0.3">
      <c r="A1654">
        <v>672</v>
      </c>
      <c r="B1654">
        <v>12</v>
      </c>
      <c r="C1654" t="s">
        <v>53</v>
      </c>
      <c r="D1654" t="s">
        <v>621</v>
      </c>
      <c r="E1654">
        <v>11</v>
      </c>
      <c r="F1654">
        <v>19</v>
      </c>
      <c r="G1654">
        <v>1</v>
      </c>
      <c r="H1654">
        <v>42</v>
      </c>
      <c r="I1654" t="s">
        <v>242</v>
      </c>
    </row>
    <row r="1655" spans="1:9" x14ac:dyDescent="0.3">
      <c r="A1655">
        <v>672</v>
      </c>
      <c r="B1655">
        <v>12</v>
      </c>
      <c r="C1655" t="s">
        <v>42</v>
      </c>
      <c r="D1655" t="s">
        <v>628</v>
      </c>
      <c r="E1655">
        <v>13</v>
      </c>
      <c r="F1655">
        <v>21</v>
      </c>
      <c r="G1655">
        <v>2</v>
      </c>
      <c r="H1655">
        <v>15</v>
      </c>
      <c r="I1655" t="s">
        <v>243</v>
      </c>
    </row>
    <row r="1656" spans="1:9" x14ac:dyDescent="0.3">
      <c r="A1656">
        <v>672</v>
      </c>
      <c r="B1656">
        <v>12</v>
      </c>
      <c r="C1656" t="s">
        <v>105</v>
      </c>
      <c r="D1656" t="s">
        <v>623</v>
      </c>
      <c r="E1656">
        <v>19</v>
      </c>
      <c r="F1656">
        <v>32</v>
      </c>
      <c r="G1656">
        <v>3</v>
      </c>
      <c r="H1656">
        <v>21</v>
      </c>
      <c r="I1656" t="s">
        <v>243</v>
      </c>
    </row>
    <row r="1657" spans="1:9" x14ac:dyDescent="0.3">
      <c r="A1657">
        <v>673</v>
      </c>
      <c r="B1657">
        <v>20</v>
      </c>
      <c r="C1657" t="s">
        <v>60</v>
      </c>
      <c r="D1657" t="s">
        <v>631</v>
      </c>
      <c r="E1657">
        <v>15</v>
      </c>
      <c r="F1657">
        <v>25</v>
      </c>
      <c r="G1657">
        <v>2</v>
      </c>
      <c r="H1657">
        <v>45</v>
      </c>
      <c r="I1657" t="s">
        <v>243</v>
      </c>
    </row>
    <row r="1658" spans="1:9" x14ac:dyDescent="0.3">
      <c r="A1658">
        <v>673</v>
      </c>
      <c r="B1658">
        <v>20</v>
      </c>
      <c r="C1658" t="s">
        <v>40</v>
      </c>
      <c r="D1658" t="s">
        <v>613</v>
      </c>
      <c r="E1658">
        <v>18</v>
      </c>
      <c r="F1658">
        <v>30</v>
      </c>
      <c r="G1658">
        <v>1</v>
      </c>
      <c r="H1658">
        <v>25</v>
      </c>
      <c r="I1658" t="s">
        <v>242</v>
      </c>
    </row>
    <row r="1659" spans="1:9" x14ac:dyDescent="0.3">
      <c r="A1659">
        <v>673</v>
      </c>
      <c r="B1659">
        <v>20</v>
      </c>
      <c r="C1659" t="s">
        <v>34</v>
      </c>
      <c r="D1659" t="s">
        <v>616</v>
      </c>
      <c r="E1659">
        <v>25</v>
      </c>
      <c r="F1659">
        <v>40</v>
      </c>
      <c r="G1659">
        <v>2</v>
      </c>
      <c r="H1659">
        <v>13</v>
      </c>
      <c r="I1659" t="s">
        <v>242</v>
      </c>
    </row>
    <row r="1660" spans="1:9" x14ac:dyDescent="0.3">
      <c r="A1660">
        <v>673</v>
      </c>
      <c r="B1660">
        <v>20</v>
      </c>
      <c r="C1660" t="s">
        <v>19</v>
      </c>
      <c r="D1660" t="s">
        <v>622</v>
      </c>
      <c r="E1660">
        <v>21</v>
      </c>
      <c r="F1660">
        <v>35</v>
      </c>
      <c r="G1660">
        <v>3</v>
      </c>
      <c r="H1660">
        <v>10</v>
      </c>
      <c r="I1660" t="s">
        <v>242</v>
      </c>
    </row>
    <row r="1661" spans="1:9" x14ac:dyDescent="0.3">
      <c r="A1661">
        <v>674</v>
      </c>
      <c r="B1661">
        <v>1</v>
      </c>
      <c r="C1661" t="s">
        <v>53</v>
      </c>
      <c r="D1661" t="s">
        <v>621</v>
      </c>
      <c r="E1661">
        <v>11</v>
      </c>
      <c r="F1661">
        <v>19</v>
      </c>
      <c r="G1661">
        <v>3</v>
      </c>
      <c r="H1661">
        <v>11</v>
      </c>
      <c r="I1661" t="s">
        <v>242</v>
      </c>
    </row>
    <row r="1662" spans="1:9" x14ac:dyDescent="0.3">
      <c r="A1662">
        <v>674</v>
      </c>
      <c r="B1662">
        <v>1</v>
      </c>
      <c r="C1662" t="s">
        <v>42</v>
      </c>
      <c r="D1662" t="s">
        <v>628</v>
      </c>
      <c r="E1662">
        <v>13</v>
      </c>
      <c r="F1662">
        <v>21</v>
      </c>
      <c r="G1662">
        <v>1</v>
      </c>
      <c r="H1662">
        <v>35</v>
      </c>
      <c r="I1662" t="s">
        <v>242</v>
      </c>
    </row>
    <row r="1663" spans="1:9" x14ac:dyDescent="0.3">
      <c r="A1663">
        <v>674</v>
      </c>
      <c r="B1663">
        <v>1</v>
      </c>
      <c r="C1663" t="s">
        <v>56</v>
      </c>
      <c r="D1663" t="s">
        <v>614</v>
      </c>
      <c r="E1663">
        <v>19</v>
      </c>
      <c r="F1663">
        <v>31</v>
      </c>
      <c r="G1663">
        <v>3</v>
      </c>
      <c r="H1663">
        <v>7</v>
      </c>
      <c r="I1663" t="s">
        <v>243</v>
      </c>
    </row>
    <row r="1664" spans="1:9" x14ac:dyDescent="0.3">
      <c r="A1664">
        <v>674</v>
      </c>
      <c r="B1664">
        <v>1</v>
      </c>
      <c r="C1664" t="s">
        <v>46</v>
      </c>
      <c r="D1664" t="s">
        <v>629</v>
      </c>
      <c r="E1664">
        <v>10</v>
      </c>
      <c r="F1664">
        <v>18</v>
      </c>
      <c r="G1664">
        <v>2</v>
      </c>
      <c r="H1664">
        <v>12</v>
      </c>
      <c r="I1664" t="s">
        <v>242</v>
      </c>
    </row>
    <row r="1665" spans="1:9" x14ac:dyDescent="0.3">
      <c r="A1665">
        <v>675</v>
      </c>
      <c r="B1665">
        <v>5</v>
      </c>
      <c r="C1665" t="s">
        <v>60</v>
      </c>
      <c r="D1665" t="s">
        <v>631</v>
      </c>
      <c r="E1665">
        <v>15</v>
      </c>
      <c r="F1665">
        <v>25</v>
      </c>
      <c r="G1665">
        <v>1</v>
      </c>
      <c r="H1665">
        <v>8</v>
      </c>
      <c r="I1665" t="s">
        <v>242</v>
      </c>
    </row>
    <row r="1666" spans="1:9" x14ac:dyDescent="0.3">
      <c r="A1666">
        <v>675</v>
      </c>
      <c r="B1666">
        <v>5</v>
      </c>
      <c r="C1666" t="s">
        <v>44</v>
      </c>
      <c r="D1666" t="s">
        <v>617</v>
      </c>
      <c r="E1666">
        <v>22</v>
      </c>
      <c r="F1666">
        <v>36</v>
      </c>
      <c r="G1666">
        <v>3</v>
      </c>
      <c r="H1666">
        <v>59</v>
      </c>
      <c r="I1666" t="s">
        <v>242</v>
      </c>
    </row>
    <row r="1667" spans="1:9" x14ac:dyDescent="0.3">
      <c r="A1667">
        <v>675</v>
      </c>
      <c r="B1667">
        <v>5</v>
      </c>
      <c r="C1667" t="s">
        <v>66</v>
      </c>
      <c r="D1667" t="s">
        <v>626</v>
      </c>
      <c r="E1667">
        <v>12</v>
      </c>
      <c r="F1667">
        <v>20</v>
      </c>
      <c r="G1667">
        <v>3</v>
      </c>
      <c r="H1667">
        <v>54</v>
      </c>
      <c r="I1667" t="s">
        <v>243</v>
      </c>
    </row>
    <row r="1668" spans="1:9" x14ac:dyDescent="0.3">
      <c r="A1668">
        <v>676</v>
      </c>
      <c r="B1668">
        <v>7</v>
      </c>
      <c r="C1668" t="s">
        <v>42</v>
      </c>
      <c r="D1668" t="s">
        <v>628</v>
      </c>
      <c r="E1668">
        <v>13</v>
      </c>
      <c r="F1668">
        <v>21</v>
      </c>
      <c r="G1668">
        <v>2</v>
      </c>
      <c r="H1668">
        <v>24</v>
      </c>
      <c r="I1668" t="s">
        <v>242</v>
      </c>
    </row>
    <row r="1669" spans="1:9" x14ac:dyDescent="0.3">
      <c r="A1669">
        <v>676</v>
      </c>
      <c r="B1669">
        <v>7</v>
      </c>
      <c r="C1669" t="s">
        <v>89</v>
      </c>
      <c r="D1669" t="s">
        <v>627</v>
      </c>
      <c r="E1669">
        <v>14</v>
      </c>
      <c r="F1669">
        <v>23</v>
      </c>
      <c r="G1669">
        <v>1</v>
      </c>
      <c r="H1669">
        <v>40</v>
      </c>
      <c r="I1669" t="s">
        <v>243</v>
      </c>
    </row>
    <row r="1670" spans="1:9" x14ac:dyDescent="0.3">
      <c r="A1670">
        <v>676</v>
      </c>
      <c r="B1670">
        <v>7</v>
      </c>
      <c r="C1670" t="s">
        <v>30</v>
      </c>
      <c r="D1670" t="s">
        <v>620</v>
      </c>
      <c r="E1670">
        <v>16</v>
      </c>
      <c r="F1670">
        <v>28</v>
      </c>
      <c r="G1670">
        <v>1</v>
      </c>
      <c r="H1670">
        <v>12</v>
      </c>
      <c r="I1670" t="s">
        <v>243</v>
      </c>
    </row>
    <row r="1671" spans="1:9" x14ac:dyDescent="0.3">
      <c r="A1671">
        <v>676</v>
      </c>
      <c r="B1671">
        <v>7</v>
      </c>
      <c r="C1671" t="s">
        <v>56</v>
      </c>
      <c r="D1671" t="s">
        <v>614</v>
      </c>
      <c r="E1671">
        <v>19</v>
      </c>
      <c r="F1671">
        <v>31</v>
      </c>
      <c r="G1671">
        <v>1</v>
      </c>
      <c r="H1671">
        <v>45</v>
      </c>
      <c r="I1671" t="s">
        <v>242</v>
      </c>
    </row>
    <row r="1672" spans="1:9" x14ac:dyDescent="0.3">
      <c r="A1672">
        <v>677</v>
      </c>
      <c r="B1672">
        <v>14</v>
      </c>
      <c r="C1672" t="s">
        <v>38</v>
      </c>
      <c r="D1672" t="s">
        <v>625</v>
      </c>
      <c r="E1672">
        <v>20</v>
      </c>
      <c r="F1672">
        <v>34</v>
      </c>
      <c r="G1672">
        <v>1</v>
      </c>
      <c r="H1672">
        <v>34</v>
      </c>
      <c r="I1672" t="s">
        <v>243</v>
      </c>
    </row>
    <row r="1673" spans="1:9" x14ac:dyDescent="0.3">
      <c r="A1673">
        <v>677</v>
      </c>
      <c r="B1673">
        <v>14</v>
      </c>
      <c r="C1673" t="s">
        <v>66</v>
      </c>
      <c r="D1673" t="s">
        <v>626</v>
      </c>
      <c r="E1673">
        <v>12</v>
      </c>
      <c r="F1673">
        <v>20</v>
      </c>
      <c r="G1673">
        <v>2</v>
      </c>
      <c r="H1673">
        <v>55</v>
      </c>
      <c r="I1673" t="s">
        <v>242</v>
      </c>
    </row>
    <row r="1674" spans="1:9" x14ac:dyDescent="0.3">
      <c r="A1674">
        <v>677</v>
      </c>
      <c r="B1674">
        <v>14</v>
      </c>
      <c r="C1674" t="s">
        <v>19</v>
      </c>
      <c r="D1674" t="s">
        <v>622</v>
      </c>
      <c r="E1674">
        <v>21</v>
      </c>
      <c r="F1674">
        <v>35</v>
      </c>
      <c r="G1674">
        <v>2</v>
      </c>
      <c r="H1674">
        <v>59</v>
      </c>
      <c r="I1674" t="s">
        <v>243</v>
      </c>
    </row>
    <row r="1675" spans="1:9" x14ac:dyDescent="0.3">
      <c r="A1675">
        <v>678</v>
      </c>
      <c r="B1675">
        <v>19</v>
      </c>
      <c r="C1675" t="s">
        <v>53</v>
      </c>
      <c r="D1675" t="s">
        <v>621</v>
      </c>
      <c r="E1675">
        <v>11</v>
      </c>
      <c r="F1675">
        <v>19</v>
      </c>
      <c r="G1675">
        <v>3</v>
      </c>
      <c r="H1675">
        <v>37</v>
      </c>
      <c r="I1675" t="s">
        <v>243</v>
      </c>
    </row>
    <row r="1676" spans="1:9" x14ac:dyDescent="0.3">
      <c r="A1676">
        <v>678</v>
      </c>
      <c r="B1676">
        <v>19</v>
      </c>
      <c r="C1676" t="s">
        <v>75</v>
      </c>
      <c r="D1676" t="s">
        <v>612</v>
      </c>
      <c r="E1676">
        <v>14</v>
      </c>
      <c r="F1676">
        <v>24</v>
      </c>
      <c r="G1676">
        <v>2</v>
      </c>
      <c r="H1676">
        <v>20</v>
      </c>
      <c r="I1676" t="s">
        <v>243</v>
      </c>
    </row>
    <row r="1677" spans="1:9" x14ac:dyDescent="0.3">
      <c r="A1677">
        <v>678</v>
      </c>
      <c r="B1677">
        <v>19</v>
      </c>
      <c r="C1677" t="s">
        <v>19</v>
      </c>
      <c r="D1677" t="s">
        <v>622</v>
      </c>
      <c r="E1677">
        <v>21</v>
      </c>
      <c r="F1677">
        <v>35</v>
      </c>
      <c r="G1677">
        <v>2</v>
      </c>
      <c r="H1677">
        <v>37</v>
      </c>
      <c r="I1677" t="s">
        <v>243</v>
      </c>
    </row>
    <row r="1678" spans="1:9" x14ac:dyDescent="0.3">
      <c r="A1678">
        <v>678</v>
      </c>
      <c r="B1678">
        <v>19</v>
      </c>
      <c r="C1678" t="s">
        <v>26</v>
      </c>
      <c r="D1678" t="s">
        <v>618</v>
      </c>
      <c r="E1678">
        <v>17</v>
      </c>
      <c r="F1678">
        <v>29</v>
      </c>
      <c r="G1678">
        <v>1</v>
      </c>
      <c r="H1678">
        <v>27</v>
      </c>
      <c r="I1678" t="s">
        <v>242</v>
      </c>
    </row>
    <row r="1679" spans="1:9" x14ac:dyDescent="0.3">
      <c r="A1679">
        <v>679</v>
      </c>
      <c r="B1679">
        <v>9</v>
      </c>
      <c r="C1679" t="s">
        <v>60</v>
      </c>
      <c r="D1679" t="s">
        <v>631</v>
      </c>
      <c r="E1679">
        <v>15</v>
      </c>
      <c r="F1679">
        <v>25</v>
      </c>
      <c r="G1679">
        <v>3</v>
      </c>
      <c r="H1679">
        <v>52</v>
      </c>
      <c r="I1679" t="s">
        <v>243</v>
      </c>
    </row>
    <row r="1680" spans="1:9" x14ac:dyDescent="0.3">
      <c r="A1680">
        <v>679</v>
      </c>
      <c r="B1680">
        <v>9</v>
      </c>
      <c r="C1680" t="s">
        <v>71</v>
      </c>
      <c r="D1680" t="s">
        <v>630</v>
      </c>
      <c r="E1680">
        <v>15</v>
      </c>
      <c r="F1680">
        <v>26</v>
      </c>
      <c r="G1680">
        <v>1</v>
      </c>
      <c r="H1680">
        <v>11</v>
      </c>
      <c r="I1680" t="s">
        <v>243</v>
      </c>
    </row>
    <row r="1681" spans="1:9" x14ac:dyDescent="0.3">
      <c r="A1681">
        <v>679</v>
      </c>
      <c r="B1681">
        <v>9</v>
      </c>
      <c r="C1681" t="s">
        <v>42</v>
      </c>
      <c r="D1681" t="s">
        <v>628</v>
      </c>
      <c r="E1681">
        <v>13</v>
      </c>
      <c r="F1681">
        <v>21</v>
      </c>
      <c r="G1681">
        <v>2</v>
      </c>
      <c r="H1681">
        <v>27</v>
      </c>
      <c r="I1681" t="s">
        <v>243</v>
      </c>
    </row>
    <row r="1682" spans="1:9" x14ac:dyDescent="0.3">
      <c r="A1682">
        <v>679</v>
      </c>
      <c r="B1682">
        <v>9</v>
      </c>
      <c r="C1682" t="s">
        <v>30</v>
      </c>
      <c r="D1682" t="s">
        <v>620</v>
      </c>
      <c r="E1682">
        <v>16</v>
      </c>
      <c r="F1682">
        <v>28</v>
      </c>
      <c r="G1682">
        <v>2</v>
      </c>
      <c r="H1682">
        <v>16</v>
      </c>
      <c r="I1682" t="s">
        <v>243</v>
      </c>
    </row>
    <row r="1683" spans="1:9" x14ac:dyDescent="0.3">
      <c r="A1683">
        <v>680</v>
      </c>
      <c r="B1683">
        <v>5</v>
      </c>
      <c r="C1683" t="s">
        <v>112</v>
      </c>
      <c r="D1683" t="s">
        <v>619</v>
      </c>
      <c r="E1683">
        <v>20</v>
      </c>
      <c r="F1683">
        <v>33</v>
      </c>
      <c r="G1683">
        <v>2</v>
      </c>
      <c r="H1683">
        <v>56</v>
      </c>
      <c r="I1683" t="s">
        <v>242</v>
      </c>
    </row>
    <row r="1684" spans="1:9" x14ac:dyDescent="0.3">
      <c r="A1684">
        <v>680</v>
      </c>
      <c r="B1684">
        <v>5</v>
      </c>
      <c r="C1684" t="s">
        <v>66</v>
      </c>
      <c r="D1684" t="s">
        <v>626</v>
      </c>
      <c r="E1684">
        <v>12</v>
      </c>
      <c r="F1684">
        <v>20</v>
      </c>
      <c r="G1684">
        <v>3</v>
      </c>
      <c r="H1684">
        <v>49</v>
      </c>
      <c r="I1684" t="s">
        <v>243</v>
      </c>
    </row>
    <row r="1685" spans="1:9" x14ac:dyDescent="0.3">
      <c r="A1685">
        <v>680</v>
      </c>
      <c r="B1685">
        <v>5</v>
      </c>
      <c r="C1685" t="s">
        <v>46</v>
      </c>
      <c r="D1685" t="s">
        <v>629</v>
      </c>
      <c r="E1685">
        <v>10</v>
      </c>
      <c r="F1685">
        <v>18</v>
      </c>
      <c r="G1685">
        <v>2</v>
      </c>
      <c r="H1685">
        <v>6</v>
      </c>
      <c r="I1685" t="s">
        <v>243</v>
      </c>
    </row>
    <row r="1686" spans="1:9" x14ac:dyDescent="0.3">
      <c r="A1686">
        <v>681</v>
      </c>
      <c r="B1686">
        <v>2</v>
      </c>
      <c r="C1686" t="s">
        <v>112</v>
      </c>
      <c r="D1686" t="s">
        <v>619</v>
      </c>
      <c r="E1686">
        <v>20</v>
      </c>
      <c r="F1686">
        <v>33</v>
      </c>
      <c r="G1686">
        <v>1</v>
      </c>
      <c r="H1686">
        <v>44</v>
      </c>
      <c r="I1686" t="s">
        <v>242</v>
      </c>
    </row>
    <row r="1687" spans="1:9" x14ac:dyDescent="0.3">
      <c r="A1687">
        <v>681</v>
      </c>
      <c r="B1687">
        <v>2</v>
      </c>
      <c r="C1687" t="s">
        <v>42</v>
      </c>
      <c r="D1687" t="s">
        <v>628</v>
      </c>
      <c r="E1687">
        <v>13</v>
      </c>
      <c r="F1687">
        <v>21</v>
      </c>
      <c r="G1687">
        <v>2</v>
      </c>
      <c r="H1687">
        <v>21</v>
      </c>
      <c r="I1687" t="s">
        <v>243</v>
      </c>
    </row>
    <row r="1688" spans="1:9" x14ac:dyDescent="0.3">
      <c r="A1688">
        <v>682</v>
      </c>
      <c r="B1688">
        <v>1</v>
      </c>
      <c r="C1688" t="s">
        <v>89</v>
      </c>
      <c r="D1688" t="s">
        <v>627</v>
      </c>
      <c r="E1688">
        <v>14</v>
      </c>
      <c r="F1688">
        <v>23</v>
      </c>
      <c r="G1688">
        <v>1</v>
      </c>
      <c r="H1688">
        <v>43</v>
      </c>
      <c r="I1688" t="s">
        <v>242</v>
      </c>
    </row>
    <row r="1689" spans="1:9" x14ac:dyDescent="0.3">
      <c r="A1689">
        <v>683</v>
      </c>
      <c r="B1689">
        <v>2</v>
      </c>
      <c r="C1689" t="s">
        <v>56</v>
      </c>
      <c r="D1689" t="s">
        <v>614</v>
      </c>
      <c r="E1689">
        <v>19</v>
      </c>
      <c r="F1689">
        <v>31</v>
      </c>
      <c r="G1689">
        <v>2</v>
      </c>
      <c r="H1689">
        <v>16</v>
      </c>
      <c r="I1689" t="s">
        <v>243</v>
      </c>
    </row>
    <row r="1690" spans="1:9" x14ac:dyDescent="0.3">
      <c r="A1690">
        <v>683</v>
      </c>
      <c r="B1690">
        <v>2</v>
      </c>
      <c r="C1690" t="s">
        <v>34</v>
      </c>
      <c r="D1690" t="s">
        <v>616</v>
      </c>
      <c r="E1690">
        <v>25</v>
      </c>
      <c r="F1690">
        <v>40</v>
      </c>
      <c r="G1690">
        <v>1</v>
      </c>
      <c r="H1690">
        <v>6</v>
      </c>
      <c r="I1690" t="s">
        <v>243</v>
      </c>
    </row>
    <row r="1691" spans="1:9" x14ac:dyDescent="0.3">
      <c r="A1691">
        <v>683</v>
      </c>
      <c r="B1691">
        <v>2</v>
      </c>
      <c r="C1691" t="s">
        <v>66</v>
      </c>
      <c r="D1691" t="s">
        <v>626</v>
      </c>
      <c r="E1691">
        <v>12</v>
      </c>
      <c r="F1691">
        <v>20</v>
      </c>
      <c r="G1691">
        <v>2</v>
      </c>
      <c r="H1691">
        <v>35</v>
      </c>
      <c r="I1691" t="s">
        <v>242</v>
      </c>
    </row>
    <row r="1692" spans="1:9" x14ac:dyDescent="0.3">
      <c r="A1692">
        <v>683</v>
      </c>
      <c r="B1692">
        <v>2</v>
      </c>
      <c r="C1692" t="s">
        <v>92</v>
      </c>
      <c r="D1692" t="s">
        <v>624</v>
      </c>
      <c r="E1692">
        <v>13</v>
      </c>
      <c r="F1692">
        <v>22</v>
      </c>
      <c r="G1692">
        <v>1</v>
      </c>
      <c r="H1692">
        <v>25</v>
      </c>
      <c r="I1692" t="s">
        <v>243</v>
      </c>
    </row>
    <row r="1693" spans="1:9" x14ac:dyDescent="0.3">
      <c r="A1693">
        <v>684</v>
      </c>
      <c r="B1693">
        <v>10</v>
      </c>
      <c r="C1693" t="s">
        <v>71</v>
      </c>
      <c r="D1693" t="s">
        <v>630</v>
      </c>
      <c r="E1693">
        <v>15</v>
      </c>
      <c r="F1693">
        <v>26</v>
      </c>
      <c r="G1693">
        <v>1</v>
      </c>
      <c r="H1693">
        <v>25</v>
      </c>
      <c r="I1693" t="s">
        <v>242</v>
      </c>
    </row>
    <row r="1694" spans="1:9" x14ac:dyDescent="0.3">
      <c r="A1694">
        <v>684</v>
      </c>
      <c r="B1694">
        <v>10</v>
      </c>
      <c r="C1694" t="s">
        <v>56</v>
      </c>
      <c r="D1694" t="s">
        <v>614</v>
      </c>
      <c r="E1694">
        <v>19</v>
      </c>
      <c r="F1694">
        <v>31</v>
      </c>
      <c r="G1694">
        <v>1</v>
      </c>
      <c r="H1694">
        <v>10</v>
      </c>
      <c r="I1694" t="s">
        <v>243</v>
      </c>
    </row>
    <row r="1695" spans="1:9" x14ac:dyDescent="0.3">
      <c r="A1695">
        <v>684</v>
      </c>
      <c r="B1695">
        <v>10</v>
      </c>
      <c r="C1695" t="s">
        <v>44</v>
      </c>
      <c r="D1695" t="s">
        <v>617</v>
      </c>
      <c r="E1695">
        <v>22</v>
      </c>
      <c r="F1695">
        <v>36</v>
      </c>
      <c r="G1695">
        <v>1</v>
      </c>
      <c r="H1695">
        <v>38</v>
      </c>
      <c r="I1695" t="s">
        <v>242</v>
      </c>
    </row>
    <row r="1696" spans="1:9" x14ac:dyDescent="0.3">
      <c r="A1696">
        <v>684</v>
      </c>
      <c r="B1696">
        <v>10</v>
      </c>
      <c r="C1696" t="s">
        <v>26</v>
      </c>
      <c r="D1696" t="s">
        <v>618</v>
      </c>
      <c r="E1696">
        <v>17</v>
      </c>
      <c r="F1696">
        <v>29</v>
      </c>
      <c r="G1696">
        <v>3</v>
      </c>
      <c r="H1696">
        <v>37</v>
      </c>
      <c r="I1696" t="s">
        <v>242</v>
      </c>
    </row>
    <row r="1697" spans="1:9" x14ac:dyDescent="0.3">
      <c r="A1697">
        <v>685</v>
      </c>
      <c r="B1697">
        <v>5</v>
      </c>
      <c r="C1697" t="s">
        <v>50</v>
      </c>
      <c r="D1697" t="s">
        <v>615</v>
      </c>
      <c r="E1697">
        <v>16</v>
      </c>
      <c r="F1697">
        <v>27</v>
      </c>
      <c r="G1697">
        <v>2</v>
      </c>
      <c r="H1697">
        <v>17</v>
      </c>
      <c r="I1697" t="s">
        <v>243</v>
      </c>
    </row>
    <row r="1698" spans="1:9" x14ac:dyDescent="0.3">
      <c r="A1698">
        <v>686</v>
      </c>
      <c r="B1698">
        <v>10</v>
      </c>
      <c r="C1698" t="s">
        <v>56</v>
      </c>
      <c r="D1698" t="s">
        <v>614</v>
      </c>
      <c r="E1698">
        <v>19</v>
      </c>
      <c r="F1698">
        <v>31</v>
      </c>
      <c r="G1698">
        <v>2</v>
      </c>
      <c r="H1698">
        <v>37</v>
      </c>
      <c r="I1698" t="s">
        <v>242</v>
      </c>
    </row>
    <row r="1699" spans="1:9" x14ac:dyDescent="0.3">
      <c r="A1699">
        <v>686</v>
      </c>
      <c r="B1699">
        <v>10</v>
      </c>
      <c r="C1699" t="s">
        <v>66</v>
      </c>
      <c r="D1699" t="s">
        <v>626</v>
      </c>
      <c r="E1699">
        <v>12</v>
      </c>
      <c r="F1699">
        <v>20</v>
      </c>
      <c r="G1699">
        <v>2</v>
      </c>
      <c r="H1699">
        <v>21</v>
      </c>
      <c r="I1699" t="s">
        <v>243</v>
      </c>
    </row>
    <row r="1700" spans="1:9" x14ac:dyDescent="0.3">
      <c r="A1700">
        <v>687</v>
      </c>
      <c r="B1700">
        <v>2</v>
      </c>
      <c r="C1700" t="s">
        <v>44</v>
      </c>
      <c r="D1700" t="s">
        <v>617</v>
      </c>
      <c r="E1700">
        <v>22</v>
      </c>
      <c r="F1700">
        <v>36</v>
      </c>
      <c r="G1700">
        <v>2</v>
      </c>
      <c r="H1700">
        <v>29</v>
      </c>
      <c r="I1700" t="s">
        <v>242</v>
      </c>
    </row>
    <row r="1701" spans="1:9" x14ac:dyDescent="0.3">
      <c r="A1701">
        <v>688</v>
      </c>
      <c r="B1701">
        <v>3</v>
      </c>
      <c r="C1701" t="s">
        <v>26</v>
      </c>
      <c r="D1701" t="s">
        <v>618</v>
      </c>
      <c r="E1701">
        <v>17</v>
      </c>
      <c r="F1701">
        <v>29</v>
      </c>
      <c r="G1701">
        <v>1</v>
      </c>
      <c r="H1701">
        <v>14</v>
      </c>
      <c r="I1701" t="s">
        <v>243</v>
      </c>
    </row>
    <row r="1702" spans="1:9" x14ac:dyDescent="0.3">
      <c r="A1702">
        <v>689</v>
      </c>
      <c r="B1702">
        <v>14</v>
      </c>
      <c r="C1702" t="s">
        <v>60</v>
      </c>
      <c r="D1702" t="s">
        <v>631</v>
      </c>
      <c r="E1702">
        <v>15</v>
      </c>
      <c r="F1702">
        <v>25</v>
      </c>
      <c r="G1702">
        <v>3</v>
      </c>
      <c r="H1702">
        <v>7</v>
      </c>
      <c r="I1702" t="s">
        <v>242</v>
      </c>
    </row>
    <row r="1703" spans="1:9" x14ac:dyDescent="0.3">
      <c r="A1703">
        <v>689</v>
      </c>
      <c r="B1703">
        <v>14</v>
      </c>
      <c r="C1703" t="s">
        <v>42</v>
      </c>
      <c r="D1703" t="s">
        <v>628</v>
      </c>
      <c r="E1703">
        <v>13</v>
      </c>
      <c r="F1703">
        <v>21</v>
      </c>
      <c r="G1703">
        <v>1</v>
      </c>
      <c r="H1703">
        <v>6</v>
      </c>
      <c r="I1703" t="s">
        <v>243</v>
      </c>
    </row>
    <row r="1704" spans="1:9" x14ac:dyDescent="0.3">
      <c r="A1704">
        <v>689</v>
      </c>
      <c r="B1704">
        <v>14</v>
      </c>
      <c r="C1704" t="s">
        <v>89</v>
      </c>
      <c r="D1704" t="s">
        <v>627</v>
      </c>
      <c r="E1704">
        <v>14</v>
      </c>
      <c r="F1704">
        <v>23</v>
      </c>
      <c r="G1704">
        <v>3</v>
      </c>
      <c r="H1704">
        <v>16</v>
      </c>
      <c r="I1704" t="s">
        <v>242</v>
      </c>
    </row>
    <row r="1705" spans="1:9" x14ac:dyDescent="0.3">
      <c r="A1705">
        <v>690</v>
      </c>
      <c r="B1705">
        <v>15</v>
      </c>
      <c r="C1705" t="s">
        <v>112</v>
      </c>
      <c r="D1705" t="s">
        <v>619</v>
      </c>
      <c r="E1705">
        <v>20</v>
      </c>
      <c r="F1705">
        <v>33</v>
      </c>
      <c r="G1705">
        <v>1</v>
      </c>
      <c r="H1705">
        <v>24</v>
      </c>
      <c r="I1705" t="s">
        <v>242</v>
      </c>
    </row>
    <row r="1706" spans="1:9" x14ac:dyDescent="0.3">
      <c r="A1706">
        <v>690</v>
      </c>
      <c r="B1706">
        <v>15</v>
      </c>
      <c r="C1706" t="s">
        <v>30</v>
      </c>
      <c r="D1706" t="s">
        <v>620</v>
      </c>
      <c r="E1706">
        <v>16</v>
      </c>
      <c r="F1706">
        <v>28</v>
      </c>
      <c r="G1706">
        <v>2</v>
      </c>
      <c r="H1706">
        <v>54</v>
      </c>
      <c r="I1706" t="s">
        <v>242</v>
      </c>
    </row>
    <row r="1707" spans="1:9" x14ac:dyDescent="0.3">
      <c r="A1707">
        <v>690</v>
      </c>
      <c r="B1707">
        <v>15</v>
      </c>
      <c r="C1707" t="s">
        <v>56</v>
      </c>
      <c r="D1707" t="s">
        <v>614</v>
      </c>
      <c r="E1707">
        <v>19</v>
      </c>
      <c r="F1707">
        <v>31</v>
      </c>
      <c r="G1707">
        <v>2</v>
      </c>
      <c r="H1707">
        <v>16</v>
      </c>
      <c r="I1707" t="s">
        <v>242</v>
      </c>
    </row>
    <row r="1708" spans="1:9" x14ac:dyDescent="0.3">
      <c r="A1708">
        <v>690</v>
      </c>
      <c r="B1708">
        <v>15</v>
      </c>
      <c r="C1708" t="s">
        <v>34</v>
      </c>
      <c r="D1708" t="s">
        <v>616</v>
      </c>
      <c r="E1708">
        <v>25</v>
      </c>
      <c r="F1708">
        <v>40</v>
      </c>
      <c r="G1708">
        <v>1</v>
      </c>
      <c r="H1708">
        <v>49</v>
      </c>
      <c r="I1708" t="s">
        <v>242</v>
      </c>
    </row>
    <row r="1709" spans="1:9" x14ac:dyDescent="0.3">
      <c r="A1709">
        <v>691</v>
      </c>
      <c r="B1709">
        <v>19</v>
      </c>
      <c r="C1709" t="s">
        <v>92</v>
      </c>
      <c r="D1709" t="s">
        <v>624</v>
      </c>
      <c r="E1709">
        <v>13</v>
      </c>
      <c r="F1709">
        <v>22</v>
      </c>
      <c r="G1709">
        <v>3</v>
      </c>
      <c r="H1709">
        <v>34</v>
      </c>
      <c r="I1709" t="s">
        <v>242</v>
      </c>
    </row>
    <row r="1710" spans="1:9" x14ac:dyDescent="0.3">
      <c r="A1710">
        <v>692</v>
      </c>
      <c r="B1710">
        <v>9</v>
      </c>
      <c r="C1710" t="s">
        <v>40</v>
      </c>
      <c r="D1710" t="s">
        <v>613</v>
      </c>
      <c r="E1710">
        <v>18</v>
      </c>
      <c r="F1710">
        <v>30</v>
      </c>
      <c r="G1710">
        <v>1</v>
      </c>
      <c r="H1710">
        <v>49</v>
      </c>
      <c r="I1710" t="s">
        <v>242</v>
      </c>
    </row>
    <row r="1711" spans="1:9" x14ac:dyDescent="0.3">
      <c r="A1711">
        <v>692</v>
      </c>
      <c r="B1711">
        <v>9</v>
      </c>
      <c r="C1711" t="s">
        <v>66</v>
      </c>
      <c r="D1711" t="s">
        <v>626</v>
      </c>
      <c r="E1711">
        <v>12</v>
      </c>
      <c r="F1711">
        <v>20</v>
      </c>
      <c r="G1711">
        <v>1</v>
      </c>
      <c r="H1711">
        <v>7</v>
      </c>
      <c r="I1711" t="s">
        <v>242</v>
      </c>
    </row>
    <row r="1712" spans="1:9" x14ac:dyDescent="0.3">
      <c r="A1712">
        <v>692</v>
      </c>
      <c r="B1712">
        <v>9</v>
      </c>
      <c r="C1712" t="s">
        <v>46</v>
      </c>
      <c r="D1712" t="s">
        <v>629</v>
      </c>
      <c r="E1712">
        <v>10</v>
      </c>
      <c r="F1712">
        <v>18</v>
      </c>
      <c r="G1712">
        <v>1</v>
      </c>
      <c r="H1712">
        <v>11</v>
      </c>
      <c r="I1712" t="s">
        <v>242</v>
      </c>
    </row>
    <row r="1713" spans="1:9" x14ac:dyDescent="0.3">
      <c r="A1713">
        <v>692</v>
      </c>
      <c r="B1713">
        <v>9</v>
      </c>
      <c r="C1713" t="s">
        <v>19</v>
      </c>
      <c r="D1713" t="s">
        <v>622</v>
      </c>
      <c r="E1713">
        <v>21</v>
      </c>
      <c r="F1713">
        <v>35</v>
      </c>
      <c r="G1713">
        <v>3</v>
      </c>
      <c r="H1713">
        <v>33</v>
      </c>
      <c r="I1713" t="s">
        <v>243</v>
      </c>
    </row>
    <row r="1714" spans="1:9" x14ac:dyDescent="0.3">
      <c r="A1714">
        <v>693</v>
      </c>
      <c r="B1714">
        <v>15</v>
      </c>
      <c r="C1714" t="s">
        <v>42</v>
      </c>
      <c r="D1714" t="s">
        <v>628</v>
      </c>
      <c r="E1714">
        <v>13</v>
      </c>
      <c r="F1714">
        <v>21</v>
      </c>
      <c r="G1714">
        <v>2</v>
      </c>
      <c r="H1714">
        <v>24</v>
      </c>
      <c r="I1714" t="s">
        <v>242</v>
      </c>
    </row>
    <row r="1715" spans="1:9" x14ac:dyDescent="0.3">
      <c r="A1715">
        <v>693</v>
      </c>
      <c r="B1715">
        <v>15</v>
      </c>
      <c r="C1715" t="s">
        <v>44</v>
      </c>
      <c r="D1715" t="s">
        <v>617</v>
      </c>
      <c r="E1715">
        <v>22</v>
      </c>
      <c r="F1715">
        <v>36</v>
      </c>
      <c r="G1715">
        <v>1</v>
      </c>
      <c r="H1715">
        <v>20</v>
      </c>
      <c r="I1715" t="s">
        <v>242</v>
      </c>
    </row>
    <row r="1716" spans="1:9" x14ac:dyDescent="0.3">
      <c r="A1716">
        <v>694</v>
      </c>
      <c r="B1716">
        <v>5</v>
      </c>
      <c r="C1716" t="s">
        <v>42</v>
      </c>
      <c r="D1716" t="s">
        <v>628</v>
      </c>
      <c r="E1716">
        <v>13</v>
      </c>
      <c r="F1716">
        <v>21</v>
      </c>
      <c r="G1716">
        <v>1</v>
      </c>
      <c r="H1716">
        <v>42</v>
      </c>
      <c r="I1716" t="s">
        <v>243</v>
      </c>
    </row>
    <row r="1717" spans="1:9" x14ac:dyDescent="0.3">
      <c r="A1717">
        <v>694</v>
      </c>
      <c r="B1717">
        <v>5</v>
      </c>
      <c r="C1717" t="s">
        <v>34</v>
      </c>
      <c r="D1717" t="s">
        <v>616</v>
      </c>
      <c r="E1717">
        <v>25</v>
      </c>
      <c r="F1717">
        <v>40</v>
      </c>
      <c r="G1717">
        <v>1</v>
      </c>
      <c r="H1717">
        <v>40</v>
      </c>
      <c r="I1717" t="s">
        <v>242</v>
      </c>
    </row>
    <row r="1718" spans="1:9" x14ac:dyDescent="0.3">
      <c r="A1718">
        <v>694</v>
      </c>
      <c r="B1718">
        <v>5</v>
      </c>
      <c r="C1718" t="s">
        <v>66</v>
      </c>
      <c r="D1718" t="s">
        <v>626</v>
      </c>
      <c r="E1718">
        <v>12</v>
      </c>
      <c r="F1718">
        <v>20</v>
      </c>
      <c r="G1718">
        <v>3</v>
      </c>
      <c r="H1718">
        <v>20</v>
      </c>
      <c r="I1718" t="s">
        <v>242</v>
      </c>
    </row>
    <row r="1719" spans="1:9" x14ac:dyDescent="0.3">
      <c r="A1719">
        <v>694</v>
      </c>
      <c r="B1719">
        <v>5</v>
      </c>
      <c r="C1719" t="s">
        <v>46</v>
      </c>
      <c r="D1719" t="s">
        <v>629</v>
      </c>
      <c r="E1719">
        <v>10</v>
      </c>
      <c r="F1719">
        <v>18</v>
      </c>
      <c r="G1719">
        <v>2</v>
      </c>
      <c r="H1719">
        <v>26</v>
      </c>
      <c r="I1719" t="s">
        <v>243</v>
      </c>
    </row>
    <row r="1720" spans="1:9" x14ac:dyDescent="0.3">
      <c r="A1720">
        <v>695</v>
      </c>
      <c r="B1720">
        <v>9</v>
      </c>
      <c r="C1720" t="s">
        <v>30</v>
      </c>
      <c r="D1720" t="s">
        <v>620</v>
      </c>
      <c r="E1720">
        <v>16</v>
      </c>
      <c r="F1720">
        <v>28</v>
      </c>
      <c r="G1720">
        <v>2</v>
      </c>
      <c r="H1720">
        <v>30</v>
      </c>
      <c r="I1720" t="s">
        <v>243</v>
      </c>
    </row>
    <row r="1721" spans="1:9" x14ac:dyDescent="0.3">
      <c r="A1721">
        <v>695</v>
      </c>
      <c r="B1721">
        <v>9</v>
      </c>
      <c r="C1721" t="s">
        <v>40</v>
      </c>
      <c r="D1721" t="s">
        <v>613</v>
      </c>
      <c r="E1721">
        <v>18</v>
      </c>
      <c r="F1721">
        <v>30</v>
      </c>
      <c r="G1721">
        <v>2</v>
      </c>
      <c r="H1721">
        <v>7</v>
      </c>
      <c r="I1721" t="s">
        <v>243</v>
      </c>
    </row>
    <row r="1722" spans="1:9" x14ac:dyDescent="0.3">
      <c r="A1722">
        <v>696</v>
      </c>
      <c r="B1722">
        <v>2</v>
      </c>
      <c r="C1722" t="s">
        <v>89</v>
      </c>
      <c r="D1722" t="s">
        <v>627</v>
      </c>
      <c r="E1722">
        <v>14</v>
      </c>
      <c r="F1722">
        <v>23</v>
      </c>
      <c r="G1722">
        <v>2</v>
      </c>
      <c r="H1722">
        <v>23</v>
      </c>
      <c r="I1722" t="s">
        <v>242</v>
      </c>
    </row>
    <row r="1723" spans="1:9" x14ac:dyDescent="0.3">
      <c r="A1723">
        <v>697</v>
      </c>
      <c r="B1723">
        <v>4</v>
      </c>
      <c r="C1723" t="s">
        <v>112</v>
      </c>
      <c r="D1723" t="s">
        <v>619</v>
      </c>
      <c r="E1723">
        <v>20</v>
      </c>
      <c r="F1723">
        <v>33</v>
      </c>
      <c r="G1723">
        <v>2</v>
      </c>
      <c r="H1723">
        <v>41</v>
      </c>
      <c r="I1723" t="s">
        <v>243</v>
      </c>
    </row>
    <row r="1724" spans="1:9" x14ac:dyDescent="0.3">
      <c r="A1724">
        <v>697</v>
      </c>
      <c r="B1724">
        <v>4</v>
      </c>
      <c r="C1724" t="s">
        <v>89</v>
      </c>
      <c r="D1724" t="s">
        <v>627</v>
      </c>
      <c r="E1724">
        <v>14</v>
      </c>
      <c r="F1724">
        <v>23</v>
      </c>
      <c r="G1724">
        <v>2</v>
      </c>
      <c r="H1724">
        <v>24</v>
      </c>
      <c r="I1724" t="s">
        <v>242</v>
      </c>
    </row>
    <row r="1725" spans="1:9" x14ac:dyDescent="0.3">
      <c r="A1725">
        <v>697</v>
      </c>
      <c r="B1725">
        <v>4</v>
      </c>
      <c r="C1725" t="s">
        <v>40</v>
      </c>
      <c r="D1725" t="s">
        <v>613</v>
      </c>
      <c r="E1725">
        <v>18</v>
      </c>
      <c r="F1725">
        <v>30</v>
      </c>
      <c r="G1725">
        <v>2</v>
      </c>
      <c r="H1725">
        <v>35</v>
      </c>
      <c r="I1725" t="s">
        <v>243</v>
      </c>
    </row>
    <row r="1726" spans="1:9" x14ac:dyDescent="0.3">
      <c r="A1726">
        <v>697</v>
      </c>
      <c r="B1726">
        <v>4</v>
      </c>
      <c r="C1726" t="s">
        <v>50</v>
      </c>
      <c r="D1726" t="s">
        <v>615</v>
      </c>
      <c r="E1726">
        <v>16</v>
      </c>
      <c r="F1726">
        <v>27</v>
      </c>
      <c r="G1726">
        <v>1</v>
      </c>
      <c r="H1726">
        <v>7</v>
      </c>
      <c r="I1726" t="s">
        <v>242</v>
      </c>
    </row>
    <row r="1727" spans="1:9" x14ac:dyDescent="0.3">
      <c r="A1727">
        <v>698</v>
      </c>
      <c r="B1727">
        <v>19</v>
      </c>
      <c r="C1727" t="s">
        <v>71</v>
      </c>
      <c r="D1727" t="s">
        <v>630</v>
      </c>
      <c r="E1727">
        <v>15</v>
      </c>
      <c r="F1727">
        <v>26</v>
      </c>
      <c r="G1727">
        <v>1</v>
      </c>
      <c r="H1727">
        <v>12</v>
      </c>
      <c r="I1727" t="s">
        <v>243</v>
      </c>
    </row>
    <row r="1728" spans="1:9" x14ac:dyDescent="0.3">
      <c r="A1728">
        <v>698</v>
      </c>
      <c r="B1728">
        <v>19</v>
      </c>
      <c r="C1728" t="s">
        <v>42</v>
      </c>
      <c r="D1728" t="s">
        <v>628</v>
      </c>
      <c r="E1728">
        <v>13</v>
      </c>
      <c r="F1728">
        <v>21</v>
      </c>
      <c r="G1728">
        <v>3</v>
      </c>
      <c r="H1728">
        <v>15</v>
      </c>
      <c r="I1728" t="s">
        <v>243</v>
      </c>
    </row>
    <row r="1729" spans="1:9" x14ac:dyDescent="0.3">
      <c r="A1729">
        <v>698</v>
      </c>
      <c r="B1729">
        <v>19</v>
      </c>
      <c r="C1729" t="s">
        <v>89</v>
      </c>
      <c r="D1729" t="s">
        <v>627</v>
      </c>
      <c r="E1729">
        <v>14</v>
      </c>
      <c r="F1729">
        <v>23</v>
      </c>
      <c r="G1729">
        <v>3</v>
      </c>
      <c r="H1729">
        <v>19</v>
      </c>
      <c r="I1729" t="s">
        <v>243</v>
      </c>
    </row>
    <row r="1730" spans="1:9" x14ac:dyDescent="0.3">
      <c r="A1730">
        <v>698</v>
      </c>
      <c r="B1730">
        <v>19</v>
      </c>
      <c r="C1730" t="s">
        <v>50</v>
      </c>
      <c r="D1730" t="s">
        <v>615</v>
      </c>
      <c r="E1730">
        <v>16</v>
      </c>
      <c r="F1730">
        <v>27</v>
      </c>
      <c r="G1730">
        <v>1</v>
      </c>
      <c r="H1730">
        <v>55</v>
      </c>
      <c r="I1730" t="s">
        <v>243</v>
      </c>
    </row>
    <row r="1731" spans="1:9" x14ac:dyDescent="0.3">
      <c r="A1731">
        <v>699</v>
      </c>
      <c r="B1731">
        <v>8</v>
      </c>
      <c r="C1731" t="s">
        <v>26</v>
      </c>
      <c r="D1731" t="s">
        <v>618</v>
      </c>
      <c r="E1731">
        <v>17</v>
      </c>
      <c r="F1731">
        <v>29</v>
      </c>
      <c r="G1731">
        <v>2</v>
      </c>
      <c r="H1731">
        <v>11</v>
      </c>
      <c r="I1731" t="s">
        <v>243</v>
      </c>
    </row>
    <row r="1732" spans="1:9" x14ac:dyDescent="0.3">
      <c r="A1732">
        <v>700</v>
      </c>
      <c r="B1732">
        <v>8</v>
      </c>
      <c r="C1732" t="s">
        <v>71</v>
      </c>
      <c r="D1732" t="s">
        <v>630</v>
      </c>
      <c r="E1732">
        <v>15</v>
      </c>
      <c r="F1732">
        <v>26</v>
      </c>
      <c r="G1732">
        <v>3</v>
      </c>
      <c r="H1732">
        <v>35</v>
      </c>
      <c r="I1732" t="s">
        <v>243</v>
      </c>
    </row>
    <row r="1733" spans="1:9" x14ac:dyDescent="0.3">
      <c r="A1733">
        <v>700</v>
      </c>
      <c r="B1733">
        <v>8</v>
      </c>
      <c r="C1733" t="s">
        <v>38</v>
      </c>
      <c r="D1733" t="s">
        <v>625</v>
      </c>
      <c r="E1733">
        <v>20</v>
      </c>
      <c r="F1733">
        <v>34</v>
      </c>
      <c r="G1733">
        <v>3</v>
      </c>
      <c r="H1733">
        <v>37</v>
      </c>
      <c r="I1733" t="s">
        <v>243</v>
      </c>
    </row>
    <row r="1734" spans="1:9" x14ac:dyDescent="0.3">
      <c r="A1734">
        <v>700</v>
      </c>
      <c r="B1734">
        <v>8</v>
      </c>
      <c r="C1734" t="s">
        <v>50</v>
      </c>
      <c r="D1734" t="s">
        <v>615</v>
      </c>
      <c r="E1734">
        <v>16</v>
      </c>
      <c r="F1734">
        <v>27</v>
      </c>
      <c r="G1734">
        <v>2</v>
      </c>
      <c r="H1734">
        <v>14</v>
      </c>
      <c r="I1734" t="s">
        <v>243</v>
      </c>
    </row>
    <row r="1735" spans="1:9" x14ac:dyDescent="0.3">
      <c r="A1735">
        <v>701</v>
      </c>
      <c r="B1735">
        <v>19</v>
      </c>
      <c r="C1735" t="s">
        <v>112</v>
      </c>
      <c r="D1735" t="s">
        <v>619</v>
      </c>
      <c r="E1735">
        <v>20</v>
      </c>
      <c r="F1735">
        <v>33</v>
      </c>
      <c r="G1735">
        <v>2</v>
      </c>
      <c r="H1735">
        <v>42</v>
      </c>
      <c r="I1735" t="s">
        <v>243</v>
      </c>
    </row>
    <row r="1736" spans="1:9" x14ac:dyDescent="0.3">
      <c r="A1736">
        <v>701</v>
      </c>
      <c r="B1736">
        <v>19</v>
      </c>
      <c r="C1736" t="s">
        <v>46</v>
      </c>
      <c r="D1736" t="s">
        <v>629</v>
      </c>
      <c r="E1736">
        <v>10</v>
      </c>
      <c r="F1736">
        <v>18</v>
      </c>
      <c r="G1736">
        <v>2</v>
      </c>
      <c r="H1736">
        <v>55</v>
      </c>
      <c r="I1736" t="s">
        <v>243</v>
      </c>
    </row>
    <row r="1737" spans="1:9" x14ac:dyDescent="0.3">
      <c r="A1737">
        <v>702</v>
      </c>
      <c r="B1737">
        <v>13</v>
      </c>
      <c r="C1737" t="s">
        <v>42</v>
      </c>
      <c r="D1737" t="s">
        <v>628</v>
      </c>
      <c r="E1737">
        <v>13</v>
      </c>
      <c r="F1737">
        <v>21</v>
      </c>
      <c r="G1737">
        <v>1</v>
      </c>
      <c r="H1737">
        <v>36</v>
      </c>
      <c r="I1737" t="s">
        <v>242</v>
      </c>
    </row>
    <row r="1738" spans="1:9" x14ac:dyDescent="0.3">
      <c r="A1738">
        <v>702</v>
      </c>
      <c r="B1738">
        <v>13</v>
      </c>
      <c r="C1738" t="s">
        <v>30</v>
      </c>
      <c r="D1738" t="s">
        <v>620</v>
      </c>
      <c r="E1738">
        <v>16</v>
      </c>
      <c r="F1738">
        <v>28</v>
      </c>
      <c r="G1738">
        <v>3</v>
      </c>
      <c r="H1738">
        <v>31</v>
      </c>
      <c r="I1738" t="s">
        <v>242</v>
      </c>
    </row>
    <row r="1739" spans="1:9" x14ac:dyDescent="0.3">
      <c r="A1739">
        <v>702</v>
      </c>
      <c r="B1739">
        <v>13</v>
      </c>
      <c r="C1739" t="s">
        <v>46</v>
      </c>
      <c r="D1739" t="s">
        <v>629</v>
      </c>
      <c r="E1739">
        <v>10</v>
      </c>
      <c r="F1739">
        <v>18</v>
      </c>
      <c r="G1739">
        <v>2</v>
      </c>
      <c r="H1739">
        <v>59</v>
      </c>
      <c r="I1739" t="s">
        <v>242</v>
      </c>
    </row>
    <row r="1740" spans="1:9" x14ac:dyDescent="0.3">
      <c r="A1740">
        <v>702</v>
      </c>
      <c r="B1740">
        <v>13</v>
      </c>
      <c r="C1740" t="s">
        <v>50</v>
      </c>
      <c r="D1740" t="s">
        <v>615</v>
      </c>
      <c r="E1740">
        <v>16</v>
      </c>
      <c r="F1740">
        <v>27</v>
      </c>
      <c r="G1740">
        <v>2</v>
      </c>
      <c r="H1740">
        <v>29</v>
      </c>
      <c r="I1740" t="s">
        <v>243</v>
      </c>
    </row>
    <row r="1741" spans="1:9" x14ac:dyDescent="0.3">
      <c r="A1741">
        <v>703</v>
      </c>
      <c r="B1741">
        <v>9</v>
      </c>
      <c r="C1741" t="s">
        <v>42</v>
      </c>
      <c r="D1741" t="s">
        <v>628</v>
      </c>
      <c r="E1741">
        <v>13</v>
      </c>
      <c r="F1741">
        <v>21</v>
      </c>
      <c r="G1741">
        <v>3</v>
      </c>
      <c r="H1741">
        <v>29</v>
      </c>
      <c r="I1741" t="s">
        <v>243</v>
      </c>
    </row>
    <row r="1742" spans="1:9" x14ac:dyDescent="0.3">
      <c r="A1742">
        <v>704</v>
      </c>
      <c r="B1742">
        <v>13</v>
      </c>
      <c r="C1742" t="s">
        <v>46</v>
      </c>
      <c r="D1742" t="s">
        <v>629</v>
      </c>
      <c r="E1742">
        <v>10</v>
      </c>
      <c r="F1742">
        <v>18</v>
      </c>
      <c r="G1742">
        <v>1</v>
      </c>
      <c r="H1742">
        <v>38</v>
      </c>
      <c r="I1742" t="s">
        <v>242</v>
      </c>
    </row>
    <row r="1743" spans="1:9" x14ac:dyDescent="0.3">
      <c r="A1743">
        <v>705</v>
      </c>
      <c r="B1743">
        <v>12</v>
      </c>
      <c r="C1743" t="s">
        <v>71</v>
      </c>
      <c r="D1743" t="s">
        <v>630</v>
      </c>
      <c r="E1743">
        <v>15</v>
      </c>
      <c r="F1743">
        <v>26</v>
      </c>
      <c r="G1743">
        <v>2</v>
      </c>
      <c r="H1743">
        <v>8</v>
      </c>
      <c r="I1743" t="s">
        <v>242</v>
      </c>
    </row>
    <row r="1744" spans="1:9" x14ac:dyDescent="0.3">
      <c r="A1744">
        <v>705</v>
      </c>
      <c r="B1744">
        <v>12</v>
      </c>
      <c r="C1744" t="s">
        <v>66</v>
      </c>
      <c r="D1744" t="s">
        <v>626</v>
      </c>
      <c r="E1744">
        <v>12</v>
      </c>
      <c r="F1744">
        <v>20</v>
      </c>
      <c r="G1744">
        <v>3</v>
      </c>
      <c r="H1744">
        <v>25</v>
      </c>
      <c r="I1744" t="s">
        <v>243</v>
      </c>
    </row>
    <row r="1745" spans="1:9" x14ac:dyDescent="0.3">
      <c r="A1745">
        <v>706</v>
      </c>
      <c r="B1745">
        <v>20</v>
      </c>
      <c r="C1745" t="s">
        <v>46</v>
      </c>
      <c r="D1745" t="s">
        <v>629</v>
      </c>
      <c r="E1745">
        <v>10</v>
      </c>
      <c r="F1745">
        <v>18</v>
      </c>
      <c r="G1745">
        <v>3</v>
      </c>
      <c r="H1745">
        <v>33</v>
      </c>
      <c r="I1745" t="s">
        <v>243</v>
      </c>
    </row>
    <row r="1746" spans="1:9" x14ac:dyDescent="0.3">
      <c r="A1746">
        <v>707</v>
      </c>
      <c r="B1746">
        <v>15</v>
      </c>
      <c r="C1746" t="s">
        <v>42</v>
      </c>
      <c r="D1746" t="s">
        <v>628</v>
      </c>
      <c r="E1746">
        <v>13</v>
      </c>
      <c r="F1746">
        <v>21</v>
      </c>
      <c r="G1746">
        <v>1</v>
      </c>
      <c r="H1746">
        <v>42</v>
      </c>
      <c r="I1746" t="s">
        <v>243</v>
      </c>
    </row>
    <row r="1747" spans="1:9" x14ac:dyDescent="0.3">
      <c r="A1747">
        <v>707</v>
      </c>
      <c r="B1747">
        <v>15</v>
      </c>
      <c r="C1747" t="s">
        <v>105</v>
      </c>
      <c r="D1747" t="s">
        <v>623</v>
      </c>
      <c r="E1747">
        <v>19</v>
      </c>
      <c r="F1747">
        <v>32</v>
      </c>
      <c r="G1747">
        <v>1</v>
      </c>
      <c r="H1747">
        <v>31</v>
      </c>
      <c r="I1747" t="s">
        <v>242</v>
      </c>
    </row>
    <row r="1748" spans="1:9" x14ac:dyDescent="0.3">
      <c r="A1748">
        <v>707</v>
      </c>
      <c r="B1748">
        <v>15</v>
      </c>
      <c r="C1748" t="s">
        <v>44</v>
      </c>
      <c r="D1748" t="s">
        <v>617</v>
      </c>
      <c r="E1748">
        <v>22</v>
      </c>
      <c r="F1748">
        <v>36</v>
      </c>
      <c r="G1748">
        <v>2</v>
      </c>
      <c r="H1748">
        <v>11</v>
      </c>
      <c r="I1748" t="s">
        <v>242</v>
      </c>
    </row>
    <row r="1749" spans="1:9" x14ac:dyDescent="0.3">
      <c r="A1749">
        <v>707</v>
      </c>
      <c r="B1749">
        <v>15</v>
      </c>
      <c r="C1749" t="s">
        <v>40</v>
      </c>
      <c r="D1749" t="s">
        <v>613</v>
      </c>
      <c r="E1749">
        <v>18</v>
      </c>
      <c r="F1749">
        <v>30</v>
      </c>
      <c r="G1749">
        <v>2</v>
      </c>
      <c r="H1749">
        <v>53</v>
      </c>
      <c r="I1749" t="s">
        <v>242</v>
      </c>
    </row>
    <row r="1750" spans="1:9" x14ac:dyDescent="0.3">
      <c r="A1750">
        <v>708</v>
      </c>
      <c r="B1750">
        <v>5</v>
      </c>
      <c r="C1750" t="s">
        <v>50</v>
      </c>
      <c r="D1750" t="s">
        <v>615</v>
      </c>
      <c r="E1750">
        <v>16</v>
      </c>
      <c r="F1750">
        <v>27</v>
      </c>
      <c r="G1750">
        <v>2</v>
      </c>
      <c r="H1750">
        <v>24</v>
      </c>
      <c r="I1750" t="s">
        <v>243</v>
      </c>
    </row>
    <row r="1751" spans="1:9" x14ac:dyDescent="0.3">
      <c r="A1751">
        <v>709</v>
      </c>
      <c r="B1751">
        <v>8</v>
      </c>
      <c r="C1751" t="s">
        <v>60</v>
      </c>
      <c r="D1751" t="s">
        <v>631</v>
      </c>
      <c r="E1751">
        <v>15</v>
      </c>
      <c r="F1751">
        <v>25</v>
      </c>
      <c r="G1751">
        <v>2</v>
      </c>
      <c r="H1751">
        <v>31</v>
      </c>
      <c r="I1751" t="s">
        <v>242</v>
      </c>
    </row>
    <row r="1752" spans="1:9" x14ac:dyDescent="0.3">
      <c r="A1752">
        <v>709</v>
      </c>
      <c r="B1752">
        <v>8</v>
      </c>
      <c r="C1752" t="s">
        <v>112</v>
      </c>
      <c r="D1752" t="s">
        <v>619</v>
      </c>
      <c r="E1752">
        <v>20</v>
      </c>
      <c r="F1752">
        <v>33</v>
      </c>
      <c r="G1752">
        <v>2</v>
      </c>
      <c r="H1752">
        <v>27</v>
      </c>
      <c r="I1752" t="s">
        <v>243</v>
      </c>
    </row>
    <row r="1753" spans="1:9" x14ac:dyDescent="0.3">
      <c r="A1753">
        <v>709</v>
      </c>
      <c r="B1753">
        <v>8</v>
      </c>
      <c r="C1753" t="s">
        <v>42</v>
      </c>
      <c r="D1753" t="s">
        <v>628</v>
      </c>
      <c r="E1753">
        <v>13</v>
      </c>
      <c r="F1753">
        <v>21</v>
      </c>
      <c r="G1753">
        <v>2</v>
      </c>
      <c r="H1753">
        <v>7</v>
      </c>
      <c r="I1753" t="s">
        <v>242</v>
      </c>
    </row>
    <row r="1754" spans="1:9" x14ac:dyDescent="0.3">
      <c r="A1754">
        <v>709</v>
      </c>
      <c r="B1754">
        <v>8</v>
      </c>
      <c r="C1754" t="s">
        <v>19</v>
      </c>
      <c r="D1754" t="s">
        <v>622</v>
      </c>
      <c r="E1754">
        <v>21</v>
      </c>
      <c r="F1754">
        <v>35</v>
      </c>
      <c r="G1754">
        <v>1</v>
      </c>
      <c r="H1754">
        <v>33</v>
      </c>
      <c r="I1754" t="s">
        <v>243</v>
      </c>
    </row>
    <row r="1755" spans="1:9" x14ac:dyDescent="0.3">
      <c r="A1755">
        <v>710</v>
      </c>
      <c r="B1755">
        <v>18</v>
      </c>
      <c r="C1755" t="s">
        <v>53</v>
      </c>
      <c r="D1755" t="s">
        <v>621</v>
      </c>
      <c r="E1755">
        <v>11</v>
      </c>
      <c r="F1755">
        <v>19</v>
      </c>
      <c r="G1755">
        <v>3</v>
      </c>
      <c r="H1755">
        <v>45</v>
      </c>
      <c r="I1755" t="s">
        <v>243</v>
      </c>
    </row>
    <row r="1756" spans="1:9" x14ac:dyDescent="0.3">
      <c r="A1756">
        <v>710</v>
      </c>
      <c r="B1756">
        <v>18</v>
      </c>
      <c r="C1756" t="s">
        <v>89</v>
      </c>
      <c r="D1756" t="s">
        <v>627</v>
      </c>
      <c r="E1756">
        <v>14</v>
      </c>
      <c r="F1756">
        <v>23</v>
      </c>
      <c r="G1756">
        <v>1</v>
      </c>
      <c r="H1756">
        <v>43</v>
      </c>
      <c r="I1756" t="s">
        <v>243</v>
      </c>
    </row>
    <row r="1757" spans="1:9" x14ac:dyDescent="0.3">
      <c r="A1757">
        <v>710</v>
      </c>
      <c r="B1757">
        <v>18</v>
      </c>
      <c r="C1757" t="s">
        <v>66</v>
      </c>
      <c r="D1757" t="s">
        <v>626</v>
      </c>
      <c r="E1757">
        <v>12</v>
      </c>
      <c r="F1757">
        <v>20</v>
      </c>
      <c r="G1757">
        <v>2</v>
      </c>
      <c r="H1757">
        <v>32</v>
      </c>
      <c r="I1757" t="s">
        <v>242</v>
      </c>
    </row>
    <row r="1758" spans="1:9" x14ac:dyDescent="0.3">
      <c r="A1758">
        <v>710</v>
      </c>
      <c r="B1758">
        <v>18</v>
      </c>
      <c r="C1758" t="s">
        <v>46</v>
      </c>
      <c r="D1758" t="s">
        <v>629</v>
      </c>
      <c r="E1758">
        <v>10</v>
      </c>
      <c r="F1758">
        <v>18</v>
      </c>
      <c r="G1758">
        <v>1</v>
      </c>
      <c r="H1758">
        <v>20</v>
      </c>
      <c r="I1758" t="s">
        <v>243</v>
      </c>
    </row>
    <row r="1759" spans="1:9" x14ac:dyDescent="0.3">
      <c r="A1759">
        <v>711</v>
      </c>
      <c r="B1759">
        <v>20</v>
      </c>
      <c r="C1759" t="s">
        <v>105</v>
      </c>
      <c r="D1759" t="s">
        <v>623</v>
      </c>
      <c r="E1759">
        <v>19</v>
      </c>
      <c r="F1759">
        <v>32</v>
      </c>
      <c r="G1759">
        <v>2</v>
      </c>
      <c r="H1759">
        <v>16</v>
      </c>
      <c r="I1759" t="s">
        <v>243</v>
      </c>
    </row>
    <row r="1760" spans="1:9" x14ac:dyDescent="0.3">
      <c r="A1760">
        <v>711</v>
      </c>
      <c r="B1760">
        <v>20</v>
      </c>
      <c r="C1760" t="s">
        <v>38</v>
      </c>
      <c r="D1760" t="s">
        <v>625</v>
      </c>
      <c r="E1760">
        <v>20</v>
      </c>
      <c r="F1760">
        <v>34</v>
      </c>
      <c r="G1760">
        <v>3</v>
      </c>
      <c r="H1760">
        <v>43</v>
      </c>
      <c r="I1760" t="s">
        <v>242</v>
      </c>
    </row>
    <row r="1761" spans="1:9" x14ac:dyDescent="0.3">
      <c r="A1761">
        <v>712</v>
      </c>
      <c r="B1761">
        <v>10</v>
      </c>
      <c r="C1761" t="s">
        <v>75</v>
      </c>
      <c r="D1761" t="s">
        <v>612</v>
      </c>
      <c r="E1761">
        <v>14</v>
      </c>
      <c r="F1761">
        <v>24</v>
      </c>
      <c r="G1761">
        <v>2</v>
      </c>
      <c r="H1761">
        <v>49</v>
      </c>
      <c r="I1761" t="s">
        <v>242</v>
      </c>
    </row>
    <row r="1762" spans="1:9" x14ac:dyDescent="0.3">
      <c r="A1762">
        <v>713</v>
      </c>
      <c r="B1762">
        <v>6</v>
      </c>
      <c r="C1762" t="s">
        <v>71</v>
      </c>
      <c r="D1762" t="s">
        <v>630</v>
      </c>
      <c r="E1762">
        <v>15</v>
      </c>
      <c r="F1762">
        <v>26</v>
      </c>
      <c r="G1762">
        <v>3</v>
      </c>
      <c r="H1762">
        <v>25</v>
      </c>
      <c r="I1762" t="s">
        <v>242</v>
      </c>
    </row>
    <row r="1763" spans="1:9" x14ac:dyDescent="0.3">
      <c r="A1763">
        <v>713</v>
      </c>
      <c r="B1763">
        <v>6</v>
      </c>
      <c r="C1763" t="s">
        <v>112</v>
      </c>
      <c r="D1763" t="s">
        <v>619</v>
      </c>
      <c r="E1763">
        <v>20</v>
      </c>
      <c r="F1763">
        <v>33</v>
      </c>
      <c r="G1763">
        <v>3</v>
      </c>
      <c r="H1763">
        <v>41</v>
      </c>
      <c r="I1763" t="s">
        <v>243</v>
      </c>
    </row>
    <row r="1764" spans="1:9" x14ac:dyDescent="0.3">
      <c r="A1764">
        <v>713</v>
      </c>
      <c r="B1764">
        <v>6</v>
      </c>
      <c r="C1764" t="s">
        <v>105</v>
      </c>
      <c r="D1764" t="s">
        <v>623</v>
      </c>
      <c r="E1764">
        <v>19</v>
      </c>
      <c r="F1764">
        <v>32</v>
      </c>
      <c r="G1764">
        <v>3</v>
      </c>
      <c r="H1764">
        <v>45</v>
      </c>
      <c r="I1764" t="s">
        <v>242</v>
      </c>
    </row>
    <row r="1765" spans="1:9" x14ac:dyDescent="0.3">
      <c r="A1765">
        <v>713</v>
      </c>
      <c r="B1765">
        <v>6</v>
      </c>
      <c r="C1765" t="s">
        <v>26</v>
      </c>
      <c r="D1765" t="s">
        <v>618</v>
      </c>
      <c r="E1765">
        <v>17</v>
      </c>
      <c r="F1765">
        <v>29</v>
      </c>
      <c r="G1765">
        <v>3</v>
      </c>
      <c r="H1765">
        <v>14</v>
      </c>
      <c r="I1765" t="s">
        <v>243</v>
      </c>
    </row>
    <row r="1766" spans="1:9" x14ac:dyDescent="0.3">
      <c r="A1766">
        <v>714</v>
      </c>
      <c r="B1766">
        <v>19</v>
      </c>
      <c r="C1766" t="s">
        <v>112</v>
      </c>
      <c r="D1766" t="s">
        <v>619</v>
      </c>
      <c r="E1766">
        <v>20</v>
      </c>
      <c r="F1766">
        <v>33</v>
      </c>
      <c r="G1766">
        <v>1</v>
      </c>
      <c r="H1766">
        <v>29</v>
      </c>
      <c r="I1766" t="s">
        <v>243</v>
      </c>
    </row>
    <row r="1767" spans="1:9" x14ac:dyDescent="0.3">
      <c r="A1767">
        <v>714</v>
      </c>
      <c r="B1767">
        <v>19</v>
      </c>
      <c r="C1767" t="s">
        <v>38</v>
      </c>
      <c r="D1767" t="s">
        <v>625</v>
      </c>
      <c r="E1767">
        <v>20</v>
      </c>
      <c r="F1767">
        <v>34</v>
      </c>
      <c r="G1767">
        <v>3</v>
      </c>
      <c r="H1767">
        <v>17</v>
      </c>
      <c r="I1767" t="s">
        <v>243</v>
      </c>
    </row>
    <row r="1768" spans="1:9" x14ac:dyDescent="0.3">
      <c r="A1768">
        <v>714</v>
      </c>
      <c r="B1768">
        <v>19</v>
      </c>
      <c r="C1768" t="s">
        <v>40</v>
      </c>
      <c r="D1768" t="s">
        <v>613</v>
      </c>
      <c r="E1768">
        <v>18</v>
      </c>
      <c r="F1768">
        <v>30</v>
      </c>
      <c r="G1768">
        <v>3</v>
      </c>
      <c r="H1768">
        <v>17</v>
      </c>
      <c r="I1768" t="s">
        <v>243</v>
      </c>
    </row>
    <row r="1769" spans="1:9" x14ac:dyDescent="0.3">
      <c r="A1769">
        <v>715</v>
      </c>
      <c r="B1769">
        <v>12</v>
      </c>
      <c r="C1769" t="s">
        <v>60</v>
      </c>
      <c r="D1769" t="s">
        <v>631</v>
      </c>
      <c r="E1769">
        <v>15</v>
      </c>
      <c r="F1769">
        <v>25</v>
      </c>
      <c r="G1769">
        <v>3</v>
      </c>
      <c r="H1769">
        <v>38</v>
      </c>
      <c r="I1769" t="s">
        <v>242</v>
      </c>
    </row>
    <row r="1770" spans="1:9" x14ac:dyDescent="0.3">
      <c r="A1770">
        <v>715</v>
      </c>
      <c r="B1770">
        <v>12</v>
      </c>
      <c r="C1770" t="s">
        <v>40</v>
      </c>
      <c r="D1770" t="s">
        <v>613</v>
      </c>
      <c r="E1770">
        <v>18</v>
      </c>
      <c r="F1770">
        <v>30</v>
      </c>
      <c r="G1770">
        <v>3</v>
      </c>
      <c r="H1770">
        <v>35</v>
      </c>
      <c r="I1770" t="s">
        <v>242</v>
      </c>
    </row>
    <row r="1771" spans="1:9" x14ac:dyDescent="0.3">
      <c r="A1771">
        <v>715</v>
      </c>
      <c r="B1771">
        <v>12</v>
      </c>
      <c r="C1771" t="s">
        <v>46</v>
      </c>
      <c r="D1771" t="s">
        <v>629</v>
      </c>
      <c r="E1771">
        <v>10</v>
      </c>
      <c r="F1771">
        <v>18</v>
      </c>
      <c r="G1771">
        <v>3</v>
      </c>
      <c r="H1771">
        <v>49</v>
      </c>
      <c r="I1771" t="s">
        <v>243</v>
      </c>
    </row>
    <row r="1772" spans="1:9" x14ac:dyDescent="0.3">
      <c r="A1772">
        <v>715</v>
      </c>
      <c r="B1772">
        <v>12</v>
      </c>
      <c r="C1772" t="s">
        <v>50</v>
      </c>
      <c r="D1772" t="s">
        <v>615</v>
      </c>
      <c r="E1772">
        <v>16</v>
      </c>
      <c r="F1772">
        <v>27</v>
      </c>
      <c r="G1772">
        <v>1</v>
      </c>
      <c r="H1772">
        <v>14</v>
      </c>
      <c r="I1772" t="s">
        <v>242</v>
      </c>
    </row>
    <row r="1773" spans="1:9" x14ac:dyDescent="0.3">
      <c r="A1773">
        <v>716</v>
      </c>
      <c r="B1773">
        <v>12</v>
      </c>
      <c r="C1773" t="s">
        <v>60</v>
      </c>
      <c r="D1773" t="s">
        <v>631</v>
      </c>
      <c r="E1773">
        <v>15</v>
      </c>
      <c r="F1773">
        <v>25</v>
      </c>
      <c r="G1773">
        <v>3</v>
      </c>
      <c r="H1773">
        <v>48</v>
      </c>
      <c r="I1773" t="s">
        <v>242</v>
      </c>
    </row>
    <row r="1774" spans="1:9" x14ac:dyDescent="0.3">
      <c r="A1774">
        <v>716</v>
      </c>
      <c r="B1774">
        <v>12</v>
      </c>
      <c r="C1774" t="s">
        <v>42</v>
      </c>
      <c r="D1774" t="s">
        <v>628</v>
      </c>
      <c r="E1774">
        <v>13</v>
      </c>
      <c r="F1774">
        <v>21</v>
      </c>
      <c r="G1774">
        <v>3</v>
      </c>
      <c r="H1774">
        <v>12</v>
      </c>
      <c r="I1774" t="s">
        <v>242</v>
      </c>
    </row>
    <row r="1775" spans="1:9" x14ac:dyDescent="0.3">
      <c r="A1775">
        <v>716</v>
      </c>
      <c r="B1775">
        <v>12</v>
      </c>
      <c r="C1775" t="s">
        <v>56</v>
      </c>
      <c r="D1775" t="s">
        <v>614</v>
      </c>
      <c r="E1775">
        <v>19</v>
      </c>
      <c r="F1775">
        <v>31</v>
      </c>
      <c r="G1775">
        <v>3</v>
      </c>
      <c r="H1775">
        <v>30</v>
      </c>
      <c r="I1775" t="s">
        <v>243</v>
      </c>
    </row>
    <row r="1776" spans="1:9" x14ac:dyDescent="0.3">
      <c r="A1776">
        <v>717</v>
      </c>
      <c r="B1776">
        <v>8</v>
      </c>
      <c r="C1776" t="s">
        <v>40</v>
      </c>
      <c r="D1776" t="s">
        <v>613</v>
      </c>
      <c r="E1776">
        <v>18</v>
      </c>
      <c r="F1776">
        <v>30</v>
      </c>
      <c r="G1776">
        <v>1</v>
      </c>
      <c r="H1776">
        <v>36</v>
      </c>
      <c r="I1776" t="s">
        <v>243</v>
      </c>
    </row>
    <row r="1777" spans="1:9" x14ac:dyDescent="0.3">
      <c r="A1777">
        <v>717</v>
      </c>
      <c r="B1777">
        <v>8</v>
      </c>
      <c r="C1777" t="s">
        <v>92</v>
      </c>
      <c r="D1777" t="s">
        <v>624</v>
      </c>
      <c r="E1777">
        <v>13</v>
      </c>
      <c r="F1777">
        <v>22</v>
      </c>
      <c r="G1777">
        <v>2</v>
      </c>
      <c r="H1777">
        <v>23</v>
      </c>
      <c r="I1777" t="s">
        <v>243</v>
      </c>
    </row>
    <row r="1778" spans="1:9" x14ac:dyDescent="0.3">
      <c r="A1778">
        <v>717</v>
      </c>
      <c r="B1778">
        <v>8</v>
      </c>
      <c r="C1778" t="s">
        <v>50</v>
      </c>
      <c r="D1778" t="s">
        <v>615</v>
      </c>
      <c r="E1778">
        <v>16</v>
      </c>
      <c r="F1778">
        <v>27</v>
      </c>
      <c r="G1778">
        <v>3</v>
      </c>
      <c r="H1778">
        <v>13</v>
      </c>
      <c r="I1778" t="s">
        <v>243</v>
      </c>
    </row>
    <row r="1779" spans="1:9" x14ac:dyDescent="0.3">
      <c r="A1779">
        <v>718</v>
      </c>
      <c r="B1779">
        <v>7</v>
      </c>
      <c r="C1779" t="s">
        <v>66</v>
      </c>
      <c r="D1779" t="s">
        <v>626</v>
      </c>
      <c r="E1779">
        <v>12</v>
      </c>
      <c r="F1779">
        <v>20</v>
      </c>
      <c r="G1779">
        <v>1</v>
      </c>
      <c r="H1779">
        <v>58</v>
      </c>
      <c r="I1779" t="s">
        <v>243</v>
      </c>
    </row>
    <row r="1780" spans="1:9" x14ac:dyDescent="0.3">
      <c r="A1780">
        <v>719</v>
      </c>
      <c r="B1780">
        <v>16</v>
      </c>
      <c r="C1780" t="s">
        <v>53</v>
      </c>
      <c r="D1780" t="s">
        <v>621</v>
      </c>
      <c r="E1780">
        <v>11</v>
      </c>
      <c r="F1780">
        <v>19</v>
      </c>
      <c r="G1780">
        <v>2</v>
      </c>
      <c r="H1780">
        <v>34</v>
      </c>
      <c r="I1780" t="s">
        <v>242</v>
      </c>
    </row>
    <row r="1781" spans="1:9" x14ac:dyDescent="0.3">
      <c r="A1781">
        <v>719</v>
      </c>
      <c r="B1781">
        <v>16</v>
      </c>
      <c r="C1781" t="s">
        <v>34</v>
      </c>
      <c r="D1781" t="s">
        <v>616</v>
      </c>
      <c r="E1781">
        <v>25</v>
      </c>
      <c r="F1781">
        <v>40</v>
      </c>
      <c r="G1781">
        <v>1</v>
      </c>
      <c r="H1781">
        <v>15</v>
      </c>
      <c r="I1781" t="s">
        <v>242</v>
      </c>
    </row>
    <row r="1782" spans="1:9" x14ac:dyDescent="0.3">
      <c r="A1782">
        <v>719</v>
      </c>
      <c r="B1782">
        <v>16</v>
      </c>
      <c r="C1782" t="s">
        <v>26</v>
      </c>
      <c r="D1782" t="s">
        <v>618</v>
      </c>
      <c r="E1782">
        <v>17</v>
      </c>
      <c r="F1782">
        <v>29</v>
      </c>
      <c r="G1782">
        <v>1</v>
      </c>
      <c r="H1782">
        <v>21</v>
      </c>
      <c r="I1782" t="s">
        <v>242</v>
      </c>
    </row>
    <row r="1783" spans="1:9" x14ac:dyDescent="0.3">
      <c r="A1783">
        <v>720</v>
      </c>
      <c r="B1783">
        <v>4</v>
      </c>
      <c r="C1783" t="s">
        <v>112</v>
      </c>
      <c r="D1783" t="s">
        <v>619</v>
      </c>
      <c r="E1783">
        <v>20</v>
      </c>
      <c r="F1783">
        <v>33</v>
      </c>
      <c r="G1783">
        <v>1</v>
      </c>
      <c r="H1783">
        <v>36</v>
      </c>
      <c r="I1783" t="s">
        <v>242</v>
      </c>
    </row>
    <row r="1784" spans="1:9" x14ac:dyDescent="0.3">
      <c r="A1784">
        <v>720</v>
      </c>
      <c r="B1784">
        <v>4</v>
      </c>
      <c r="C1784" t="s">
        <v>75</v>
      </c>
      <c r="D1784" t="s">
        <v>612</v>
      </c>
      <c r="E1784">
        <v>14</v>
      </c>
      <c r="F1784">
        <v>24</v>
      </c>
      <c r="G1784">
        <v>2</v>
      </c>
      <c r="H1784">
        <v>53</v>
      </c>
      <c r="I1784" t="s">
        <v>243</v>
      </c>
    </row>
    <row r="1785" spans="1:9" x14ac:dyDescent="0.3">
      <c r="A1785">
        <v>720</v>
      </c>
      <c r="B1785">
        <v>4</v>
      </c>
      <c r="C1785" t="s">
        <v>26</v>
      </c>
      <c r="D1785" t="s">
        <v>618</v>
      </c>
      <c r="E1785">
        <v>17</v>
      </c>
      <c r="F1785">
        <v>29</v>
      </c>
      <c r="G1785">
        <v>3</v>
      </c>
      <c r="H1785">
        <v>44</v>
      </c>
      <c r="I1785" t="s">
        <v>243</v>
      </c>
    </row>
    <row r="1786" spans="1:9" x14ac:dyDescent="0.3">
      <c r="A1786">
        <v>721</v>
      </c>
      <c r="B1786">
        <v>6</v>
      </c>
      <c r="C1786" t="s">
        <v>44</v>
      </c>
      <c r="D1786" t="s">
        <v>617</v>
      </c>
      <c r="E1786">
        <v>22</v>
      </c>
      <c r="F1786">
        <v>36</v>
      </c>
      <c r="G1786">
        <v>1</v>
      </c>
      <c r="H1786">
        <v>15</v>
      </c>
      <c r="I1786" t="s">
        <v>243</v>
      </c>
    </row>
    <row r="1787" spans="1:9" x14ac:dyDescent="0.3">
      <c r="A1787">
        <v>721</v>
      </c>
      <c r="B1787">
        <v>6</v>
      </c>
      <c r="C1787" t="s">
        <v>50</v>
      </c>
      <c r="D1787" t="s">
        <v>615</v>
      </c>
      <c r="E1787">
        <v>16</v>
      </c>
      <c r="F1787">
        <v>27</v>
      </c>
      <c r="G1787">
        <v>3</v>
      </c>
      <c r="H1787">
        <v>54</v>
      </c>
      <c r="I1787" t="s">
        <v>243</v>
      </c>
    </row>
    <row r="1788" spans="1:9" x14ac:dyDescent="0.3">
      <c r="A1788">
        <v>721</v>
      </c>
      <c r="B1788">
        <v>6</v>
      </c>
      <c r="C1788" t="s">
        <v>75</v>
      </c>
      <c r="D1788" t="s">
        <v>612</v>
      </c>
      <c r="E1788">
        <v>14</v>
      </c>
      <c r="F1788">
        <v>24</v>
      </c>
      <c r="G1788">
        <v>3</v>
      </c>
      <c r="H1788">
        <v>44</v>
      </c>
      <c r="I1788" t="s">
        <v>242</v>
      </c>
    </row>
    <row r="1789" spans="1:9" x14ac:dyDescent="0.3">
      <c r="A1789">
        <v>721</v>
      </c>
      <c r="B1789">
        <v>6</v>
      </c>
      <c r="C1789" t="s">
        <v>26</v>
      </c>
      <c r="D1789" t="s">
        <v>618</v>
      </c>
      <c r="E1789">
        <v>17</v>
      </c>
      <c r="F1789">
        <v>29</v>
      </c>
      <c r="G1789">
        <v>1</v>
      </c>
      <c r="H1789">
        <v>20</v>
      </c>
      <c r="I1789" t="s">
        <v>243</v>
      </c>
    </row>
    <row r="1790" spans="1:9" x14ac:dyDescent="0.3">
      <c r="A1790">
        <v>722</v>
      </c>
      <c r="B1790">
        <v>13</v>
      </c>
      <c r="C1790" t="s">
        <v>42</v>
      </c>
      <c r="D1790" t="s">
        <v>628</v>
      </c>
      <c r="E1790">
        <v>13</v>
      </c>
      <c r="F1790">
        <v>21</v>
      </c>
      <c r="G1790">
        <v>3</v>
      </c>
      <c r="H1790">
        <v>43</v>
      </c>
      <c r="I1790" t="s">
        <v>242</v>
      </c>
    </row>
    <row r="1791" spans="1:9" x14ac:dyDescent="0.3">
      <c r="A1791">
        <v>722</v>
      </c>
      <c r="B1791">
        <v>13</v>
      </c>
      <c r="C1791" t="s">
        <v>92</v>
      </c>
      <c r="D1791" t="s">
        <v>624</v>
      </c>
      <c r="E1791">
        <v>13</v>
      </c>
      <c r="F1791">
        <v>22</v>
      </c>
      <c r="G1791">
        <v>1</v>
      </c>
      <c r="H1791">
        <v>16</v>
      </c>
      <c r="I1791" t="s">
        <v>242</v>
      </c>
    </row>
    <row r="1792" spans="1:9" x14ac:dyDescent="0.3">
      <c r="A1792">
        <v>723</v>
      </c>
      <c r="B1792">
        <v>12</v>
      </c>
      <c r="C1792" t="s">
        <v>30</v>
      </c>
      <c r="D1792" t="s">
        <v>620</v>
      </c>
      <c r="E1792">
        <v>16</v>
      </c>
      <c r="F1792">
        <v>28</v>
      </c>
      <c r="G1792">
        <v>2</v>
      </c>
      <c r="H1792">
        <v>22</v>
      </c>
      <c r="I1792" t="s">
        <v>242</v>
      </c>
    </row>
    <row r="1793" spans="1:9" x14ac:dyDescent="0.3">
      <c r="A1793">
        <v>723</v>
      </c>
      <c r="B1793">
        <v>12</v>
      </c>
      <c r="C1793" t="s">
        <v>19</v>
      </c>
      <c r="D1793" t="s">
        <v>622</v>
      </c>
      <c r="E1793">
        <v>21</v>
      </c>
      <c r="F1793">
        <v>35</v>
      </c>
      <c r="G1793">
        <v>2</v>
      </c>
      <c r="H1793">
        <v>9</v>
      </c>
      <c r="I1793" t="s">
        <v>242</v>
      </c>
    </row>
    <row r="1794" spans="1:9" x14ac:dyDescent="0.3">
      <c r="A1794">
        <v>724</v>
      </c>
      <c r="B1794">
        <v>8</v>
      </c>
      <c r="C1794" t="s">
        <v>92</v>
      </c>
      <c r="D1794" t="s">
        <v>624</v>
      </c>
      <c r="E1794">
        <v>13</v>
      </c>
      <c r="F1794">
        <v>22</v>
      </c>
      <c r="G1794">
        <v>3</v>
      </c>
      <c r="H1794">
        <v>56</v>
      </c>
      <c r="I1794" t="s">
        <v>242</v>
      </c>
    </row>
    <row r="1795" spans="1:9" x14ac:dyDescent="0.3">
      <c r="A1795">
        <v>725</v>
      </c>
      <c r="B1795">
        <v>10</v>
      </c>
      <c r="C1795" t="s">
        <v>38</v>
      </c>
      <c r="D1795" t="s">
        <v>625</v>
      </c>
      <c r="E1795">
        <v>20</v>
      </c>
      <c r="F1795">
        <v>34</v>
      </c>
      <c r="G1795">
        <v>3</v>
      </c>
      <c r="H1795">
        <v>30</v>
      </c>
      <c r="I1795" t="s">
        <v>242</v>
      </c>
    </row>
    <row r="1796" spans="1:9" x14ac:dyDescent="0.3">
      <c r="A1796">
        <v>725</v>
      </c>
      <c r="B1796">
        <v>10</v>
      </c>
      <c r="C1796" t="s">
        <v>92</v>
      </c>
      <c r="D1796" t="s">
        <v>624</v>
      </c>
      <c r="E1796">
        <v>13</v>
      </c>
      <c r="F1796">
        <v>22</v>
      </c>
      <c r="G1796">
        <v>3</v>
      </c>
      <c r="H1796">
        <v>55</v>
      </c>
      <c r="I1796" t="s">
        <v>242</v>
      </c>
    </row>
    <row r="1797" spans="1:9" x14ac:dyDescent="0.3">
      <c r="A1797">
        <v>726</v>
      </c>
      <c r="B1797">
        <v>11</v>
      </c>
      <c r="C1797" t="s">
        <v>89</v>
      </c>
      <c r="D1797" t="s">
        <v>627</v>
      </c>
      <c r="E1797">
        <v>14</v>
      </c>
      <c r="F1797">
        <v>23</v>
      </c>
      <c r="G1797">
        <v>2</v>
      </c>
      <c r="H1797">
        <v>55</v>
      </c>
      <c r="I1797" t="s">
        <v>242</v>
      </c>
    </row>
    <row r="1798" spans="1:9" x14ac:dyDescent="0.3">
      <c r="A1798">
        <v>726</v>
      </c>
      <c r="B1798">
        <v>11</v>
      </c>
      <c r="C1798" t="s">
        <v>44</v>
      </c>
      <c r="D1798" t="s">
        <v>617</v>
      </c>
      <c r="E1798">
        <v>22</v>
      </c>
      <c r="F1798">
        <v>36</v>
      </c>
      <c r="G1798">
        <v>1</v>
      </c>
      <c r="H1798">
        <v>13</v>
      </c>
      <c r="I1798" t="s">
        <v>242</v>
      </c>
    </row>
    <row r="1799" spans="1:9" x14ac:dyDescent="0.3">
      <c r="A1799">
        <v>726</v>
      </c>
      <c r="B1799">
        <v>11</v>
      </c>
      <c r="C1799" t="s">
        <v>92</v>
      </c>
      <c r="D1799" t="s">
        <v>624</v>
      </c>
      <c r="E1799">
        <v>13</v>
      </c>
      <c r="F1799">
        <v>22</v>
      </c>
      <c r="G1799">
        <v>2</v>
      </c>
      <c r="H1799">
        <v>6</v>
      </c>
      <c r="I1799" t="s">
        <v>242</v>
      </c>
    </row>
    <row r="1800" spans="1:9" x14ac:dyDescent="0.3">
      <c r="A1800">
        <v>727</v>
      </c>
      <c r="B1800">
        <v>17</v>
      </c>
      <c r="C1800" t="s">
        <v>66</v>
      </c>
      <c r="D1800" t="s">
        <v>626</v>
      </c>
      <c r="E1800">
        <v>12</v>
      </c>
      <c r="F1800">
        <v>20</v>
      </c>
      <c r="G1800">
        <v>2</v>
      </c>
      <c r="H1800">
        <v>21</v>
      </c>
      <c r="I1800" t="s">
        <v>243</v>
      </c>
    </row>
    <row r="1801" spans="1:9" x14ac:dyDescent="0.3">
      <c r="A1801">
        <v>728</v>
      </c>
      <c r="B1801">
        <v>9</v>
      </c>
      <c r="C1801" t="s">
        <v>105</v>
      </c>
      <c r="D1801" t="s">
        <v>623</v>
      </c>
      <c r="E1801">
        <v>19</v>
      </c>
      <c r="F1801">
        <v>32</v>
      </c>
      <c r="G1801">
        <v>3</v>
      </c>
      <c r="H1801">
        <v>22</v>
      </c>
      <c r="I1801" t="s">
        <v>242</v>
      </c>
    </row>
    <row r="1802" spans="1:9" x14ac:dyDescent="0.3">
      <c r="A1802">
        <v>728</v>
      </c>
      <c r="B1802">
        <v>9</v>
      </c>
      <c r="C1802" t="s">
        <v>46</v>
      </c>
      <c r="D1802" t="s">
        <v>629</v>
      </c>
      <c r="E1802">
        <v>10</v>
      </c>
      <c r="F1802">
        <v>18</v>
      </c>
      <c r="G1802">
        <v>1</v>
      </c>
      <c r="H1802">
        <v>42</v>
      </c>
      <c r="I1802" t="s">
        <v>242</v>
      </c>
    </row>
    <row r="1803" spans="1:9" x14ac:dyDescent="0.3">
      <c r="A1803">
        <v>728</v>
      </c>
      <c r="B1803">
        <v>9</v>
      </c>
      <c r="C1803" t="s">
        <v>50</v>
      </c>
      <c r="D1803" t="s">
        <v>615</v>
      </c>
      <c r="E1803">
        <v>16</v>
      </c>
      <c r="F1803">
        <v>27</v>
      </c>
      <c r="G1803">
        <v>3</v>
      </c>
      <c r="H1803">
        <v>8</v>
      </c>
      <c r="I1803" t="s">
        <v>242</v>
      </c>
    </row>
    <row r="1804" spans="1:9" x14ac:dyDescent="0.3">
      <c r="A1804">
        <v>729</v>
      </c>
      <c r="B1804">
        <v>20</v>
      </c>
      <c r="C1804" t="s">
        <v>38</v>
      </c>
      <c r="D1804" t="s">
        <v>625</v>
      </c>
      <c r="E1804">
        <v>20</v>
      </c>
      <c r="F1804">
        <v>34</v>
      </c>
      <c r="G1804">
        <v>2</v>
      </c>
      <c r="H1804">
        <v>57</v>
      </c>
      <c r="I1804" t="s">
        <v>242</v>
      </c>
    </row>
    <row r="1805" spans="1:9" x14ac:dyDescent="0.3">
      <c r="A1805">
        <v>729</v>
      </c>
      <c r="B1805">
        <v>20</v>
      </c>
      <c r="C1805" t="s">
        <v>66</v>
      </c>
      <c r="D1805" t="s">
        <v>626</v>
      </c>
      <c r="E1805">
        <v>12</v>
      </c>
      <c r="F1805">
        <v>20</v>
      </c>
      <c r="G1805">
        <v>3</v>
      </c>
      <c r="H1805">
        <v>8</v>
      </c>
      <c r="I1805" t="s">
        <v>243</v>
      </c>
    </row>
    <row r="1806" spans="1:9" x14ac:dyDescent="0.3">
      <c r="A1806">
        <v>730</v>
      </c>
      <c r="B1806">
        <v>8</v>
      </c>
      <c r="C1806" t="s">
        <v>40</v>
      </c>
      <c r="D1806" t="s">
        <v>613</v>
      </c>
      <c r="E1806">
        <v>18</v>
      </c>
      <c r="F1806">
        <v>30</v>
      </c>
      <c r="G1806">
        <v>3</v>
      </c>
      <c r="H1806">
        <v>32</v>
      </c>
      <c r="I1806" t="s">
        <v>243</v>
      </c>
    </row>
    <row r="1807" spans="1:9" x14ac:dyDescent="0.3">
      <c r="A1807">
        <v>730</v>
      </c>
      <c r="B1807">
        <v>8</v>
      </c>
      <c r="C1807" t="s">
        <v>75</v>
      </c>
      <c r="D1807" t="s">
        <v>612</v>
      </c>
      <c r="E1807">
        <v>14</v>
      </c>
      <c r="F1807">
        <v>24</v>
      </c>
      <c r="G1807">
        <v>1</v>
      </c>
      <c r="H1807">
        <v>47</v>
      </c>
      <c r="I1807" t="s">
        <v>243</v>
      </c>
    </row>
    <row r="1808" spans="1:9" x14ac:dyDescent="0.3">
      <c r="A1808">
        <v>731</v>
      </c>
      <c r="B1808">
        <v>17</v>
      </c>
      <c r="C1808" t="s">
        <v>105</v>
      </c>
      <c r="D1808" t="s">
        <v>623</v>
      </c>
      <c r="E1808">
        <v>19</v>
      </c>
      <c r="F1808">
        <v>32</v>
      </c>
      <c r="G1808">
        <v>2</v>
      </c>
      <c r="H1808">
        <v>47</v>
      </c>
      <c r="I1808" t="s">
        <v>243</v>
      </c>
    </row>
    <row r="1809" spans="1:9" x14ac:dyDescent="0.3">
      <c r="A1809">
        <v>732</v>
      </c>
      <c r="B1809">
        <v>12</v>
      </c>
      <c r="C1809" t="s">
        <v>71</v>
      </c>
      <c r="D1809" t="s">
        <v>630</v>
      </c>
      <c r="E1809">
        <v>15</v>
      </c>
      <c r="F1809">
        <v>26</v>
      </c>
      <c r="G1809">
        <v>3</v>
      </c>
      <c r="H1809">
        <v>36</v>
      </c>
      <c r="I1809" t="s">
        <v>243</v>
      </c>
    </row>
    <row r="1810" spans="1:9" x14ac:dyDescent="0.3">
      <c r="A1810">
        <v>732</v>
      </c>
      <c r="B1810">
        <v>12</v>
      </c>
      <c r="C1810" t="s">
        <v>44</v>
      </c>
      <c r="D1810" t="s">
        <v>617</v>
      </c>
      <c r="E1810">
        <v>22</v>
      </c>
      <c r="F1810">
        <v>36</v>
      </c>
      <c r="G1810">
        <v>3</v>
      </c>
      <c r="H1810">
        <v>56</v>
      </c>
      <c r="I1810" t="s">
        <v>243</v>
      </c>
    </row>
    <row r="1811" spans="1:9" x14ac:dyDescent="0.3">
      <c r="A1811">
        <v>732</v>
      </c>
      <c r="B1811">
        <v>12</v>
      </c>
      <c r="C1811" t="s">
        <v>34</v>
      </c>
      <c r="D1811" t="s">
        <v>616</v>
      </c>
      <c r="E1811">
        <v>25</v>
      </c>
      <c r="F1811">
        <v>40</v>
      </c>
      <c r="G1811">
        <v>3</v>
      </c>
      <c r="H1811">
        <v>29</v>
      </c>
      <c r="I1811" t="s">
        <v>242</v>
      </c>
    </row>
    <row r="1812" spans="1:9" x14ac:dyDescent="0.3">
      <c r="A1812">
        <v>733</v>
      </c>
      <c r="B1812">
        <v>14</v>
      </c>
      <c r="C1812" t="s">
        <v>44</v>
      </c>
      <c r="D1812" t="s">
        <v>617</v>
      </c>
      <c r="E1812">
        <v>22</v>
      </c>
      <c r="F1812">
        <v>36</v>
      </c>
      <c r="G1812">
        <v>3</v>
      </c>
      <c r="H1812">
        <v>31</v>
      </c>
      <c r="I1812" t="s">
        <v>243</v>
      </c>
    </row>
    <row r="1813" spans="1:9" x14ac:dyDescent="0.3">
      <c r="A1813">
        <v>733</v>
      </c>
      <c r="B1813">
        <v>14</v>
      </c>
      <c r="C1813" t="s">
        <v>50</v>
      </c>
      <c r="D1813" t="s">
        <v>615</v>
      </c>
      <c r="E1813">
        <v>16</v>
      </c>
      <c r="F1813">
        <v>27</v>
      </c>
      <c r="G1813">
        <v>2</v>
      </c>
      <c r="H1813">
        <v>9</v>
      </c>
      <c r="I1813" t="s">
        <v>243</v>
      </c>
    </row>
    <row r="1814" spans="1:9" x14ac:dyDescent="0.3">
      <c r="A1814">
        <v>733</v>
      </c>
      <c r="B1814">
        <v>14</v>
      </c>
      <c r="C1814" t="s">
        <v>75</v>
      </c>
      <c r="D1814" t="s">
        <v>612</v>
      </c>
      <c r="E1814">
        <v>14</v>
      </c>
      <c r="F1814">
        <v>24</v>
      </c>
      <c r="G1814">
        <v>1</v>
      </c>
      <c r="H1814">
        <v>34</v>
      </c>
      <c r="I1814" t="s">
        <v>242</v>
      </c>
    </row>
    <row r="1815" spans="1:9" x14ac:dyDescent="0.3">
      <c r="A1815">
        <v>734</v>
      </c>
      <c r="B1815">
        <v>14</v>
      </c>
      <c r="C1815" t="s">
        <v>53</v>
      </c>
      <c r="D1815" t="s">
        <v>621</v>
      </c>
      <c r="E1815">
        <v>11</v>
      </c>
      <c r="F1815">
        <v>19</v>
      </c>
      <c r="G1815">
        <v>1</v>
      </c>
      <c r="H1815">
        <v>25</v>
      </c>
      <c r="I1815" t="s">
        <v>242</v>
      </c>
    </row>
    <row r="1816" spans="1:9" x14ac:dyDescent="0.3">
      <c r="A1816">
        <v>734</v>
      </c>
      <c r="B1816">
        <v>14</v>
      </c>
      <c r="C1816" t="s">
        <v>105</v>
      </c>
      <c r="D1816" t="s">
        <v>623</v>
      </c>
      <c r="E1816">
        <v>19</v>
      </c>
      <c r="F1816">
        <v>32</v>
      </c>
      <c r="G1816">
        <v>3</v>
      </c>
      <c r="H1816">
        <v>11</v>
      </c>
      <c r="I1816" t="s">
        <v>243</v>
      </c>
    </row>
    <row r="1817" spans="1:9" x14ac:dyDescent="0.3">
      <c r="A1817">
        <v>734</v>
      </c>
      <c r="B1817">
        <v>14</v>
      </c>
      <c r="C1817" t="s">
        <v>75</v>
      </c>
      <c r="D1817" t="s">
        <v>612</v>
      </c>
      <c r="E1817">
        <v>14</v>
      </c>
      <c r="F1817">
        <v>24</v>
      </c>
      <c r="G1817">
        <v>1</v>
      </c>
      <c r="H1817">
        <v>16</v>
      </c>
      <c r="I1817" t="s">
        <v>242</v>
      </c>
    </row>
    <row r="1818" spans="1:9" x14ac:dyDescent="0.3">
      <c r="A1818">
        <v>735</v>
      </c>
      <c r="B1818">
        <v>20</v>
      </c>
      <c r="C1818" t="s">
        <v>89</v>
      </c>
      <c r="D1818" t="s">
        <v>627</v>
      </c>
      <c r="E1818">
        <v>14</v>
      </c>
      <c r="F1818">
        <v>23</v>
      </c>
      <c r="G1818">
        <v>2</v>
      </c>
      <c r="H1818">
        <v>30</v>
      </c>
      <c r="I1818" t="s">
        <v>243</v>
      </c>
    </row>
    <row r="1819" spans="1:9" x14ac:dyDescent="0.3">
      <c r="A1819">
        <v>735</v>
      </c>
      <c r="B1819">
        <v>20</v>
      </c>
      <c r="C1819" t="s">
        <v>105</v>
      </c>
      <c r="D1819" t="s">
        <v>623</v>
      </c>
      <c r="E1819">
        <v>19</v>
      </c>
      <c r="F1819">
        <v>32</v>
      </c>
      <c r="G1819">
        <v>3</v>
      </c>
      <c r="H1819">
        <v>57</v>
      </c>
      <c r="I1819" t="s">
        <v>242</v>
      </c>
    </row>
    <row r="1820" spans="1:9" x14ac:dyDescent="0.3">
      <c r="A1820">
        <v>736</v>
      </c>
      <c r="B1820">
        <v>17</v>
      </c>
      <c r="C1820" t="s">
        <v>30</v>
      </c>
      <c r="D1820" t="s">
        <v>620</v>
      </c>
      <c r="E1820">
        <v>16</v>
      </c>
      <c r="F1820">
        <v>28</v>
      </c>
      <c r="G1820">
        <v>2</v>
      </c>
      <c r="H1820">
        <v>43</v>
      </c>
      <c r="I1820" t="s">
        <v>242</v>
      </c>
    </row>
    <row r="1821" spans="1:9" x14ac:dyDescent="0.3">
      <c r="A1821">
        <v>736</v>
      </c>
      <c r="B1821">
        <v>17</v>
      </c>
      <c r="C1821" t="s">
        <v>56</v>
      </c>
      <c r="D1821" t="s">
        <v>614</v>
      </c>
      <c r="E1821">
        <v>19</v>
      </c>
      <c r="F1821">
        <v>31</v>
      </c>
      <c r="G1821">
        <v>3</v>
      </c>
      <c r="H1821">
        <v>27</v>
      </c>
      <c r="I1821" t="s">
        <v>243</v>
      </c>
    </row>
    <row r="1822" spans="1:9" x14ac:dyDescent="0.3">
      <c r="A1822">
        <v>736</v>
      </c>
      <c r="B1822">
        <v>17</v>
      </c>
      <c r="C1822" t="s">
        <v>92</v>
      </c>
      <c r="D1822" t="s">
        <v>624</v>
      </c>
      <c r="E1822">
        <v>13</v>
      </c>
      <c r="F1822">
        <v>22</v>
      </c>
      <c r="G1822">
        <v>3</v>
      </c>
      <c r="H1822">
        <v>22</v>
      </c>
      <c r="I1822" t="s">
        <v>243</v>
      </c>
    </row>
    <row r="1823" spans="1:9" x14ac:dyDescent="0.3">
      <c r="A1823">
        <v>737</v>
      </c>
      <c r="B1823">
        <v>6</v>
      </c>
      <c r="C1823" t="s">
        <v>40</v>
      </c>
      <c r="D1823" t="s">
        <v>613</v>
      </c>
      <c r="E1823">
        <v>18</v>
      </c>
      <c r="F1823">
        <v>30</v>
      </c>
      <c r="G1823">
        <v>2</v>
      </c>
      <c r="H1823">
        <v>5</v>
      </c>
      <c r="I1823" t="s">
        <v>242</v>
      </c>
    </row>
    <row r="1824" spans="1:9" x14ac:dyDescent="0.3">
      <c r="A1824">
        <v>737</v>
      </c>
      <c r="B1824">
        <v>6</v>
      </c>
      <c r="C1824" t="s">
        <v>26</v>
      </c>
      <c r="D1824" t="s">
        <v>618</v>
      </c>
      <c r="E1824">
        <v>17</v>
      </c>
      <c r="F1824">
        <v>29</v>
      </c>
      <c r="G1824">
        <v>2</v>
      </c>
      <c r="H1824">
        <v>17</v>
      </c>
      <c r="I1824" t="s">
        <v>243</v>
      </c>
    </row>
    <row r="1825" spans="1:9" x14ac:dyDescent="0.3">
      <c r="A1825">
        <v>738</v>
      </c>
      <c r="B1825">
        <v>15</v>
      </c>
      <c r="C1825" t="s">
        <v>71</v>
      </c>
      <c r="D1825" t="s">
        <v>630</v>
      </c>
      <c r="E1825">
        <v>15</v>
      </c>
      <c r="F1825">
        <v>26</v>
      </c>
      <c r="G1825">
        <v>2</v>
      </c>
      <c r="H1825">
        <v>59</v>
      </c>
      <c r="I1825" t="s">
        <v>242</v>
      </c>
    </row>
    <row r="1826" spans="1:9" x14ac:dyDescent="0.3">
      <c r="A1826">
        <v>738</v>
      </c>
      <c r="B1826">
        <v>15</v>
      </c>
      <c r="C1826" t="s">
        <v>30</v>
      </c>
      <c r="D1826" t="s">
        <v>620</v>
      </c>
      <c r="E1826">
        <v>16</v>
      </c>
      <c r="F1826">
        <v>28</v>
      </c>
      <c r="G1826">
        <v>1</v>
      </c>
      <c r="H1826">
        <v>15</v>
      </c>
      <c r="I1826" t="s">
        <v>242</v>
      </c>
    </row>
    <row r="1827" spans="1:9" x14ac:dyDescent="0.3">
      <c r="A1827">
        <v>738</v>
      </c>
      <c r="B1827">
        <v>15</v>
      </c>
      <c r="C1827" t="s">
        <v>46</v>
      </c>
      <c r="D1827" t="s">
        <v>629</v>
      </c>
      <c r="E1827">
        <v>10</v>
      </c>
      <c r="F1827">
        <v>18</v>
      </c>
      <c r="G1827">
        <v>3</v>
      </c>
      <c r="H1827">
        <v>20</v>
      </c>
      <c r="I1827" t="s">
        <v>243</v>
      </c>
    </row>
    <row r="1828" spans="1:9" x14ac:dyDescent="0.3">
      <c r="A1828">
        <v>739</v>
      </c>
      <c r="B1828">
        <v>10</v>
      </c>
      <c r="C1828" t="s">
        <v>89</v>
      </c>
      <c r="D1828" t="s">
        <v>627</v>
      </c>
      <c r="E1828">
        <v>14</v>
      </c>
      <c r="F1828">
        <v>23</v>
      </c>
      <c r="G1828">
        <v>2</v>
      </c>
      <c r="H1828">
        <v>54</v>
      </c>
      <c r="I1828" t="s">
        <v>242</v>
      </c>
    </row>
    <row r="1829" spans="1:9" x14ac:dyDescent="0.3">
      <c r="A1829">
        <v>740</v>
      </c>
      <c r="B1829">
        <v>16</v>
      </c>
      <c r="C1829" t="s">
        <v>89</v>
      </c>
      <c r="D1829" t="s">
        <v>627</v>
      </c>
      <c r="E1829">
        <v>14</v>
      </c>
      <c r="F1829">
        <v>23</v>
      </c>
      <c r="G1829">
        <v>3</v>
      </c>
      <c r="H1829">
        <v>21</v>
      </c>
      <c r="I1829" t="s">
        <v>243</v>
      </c>
    </row>
    <row r="1830" spans="1:9" x14ac:dyDescent="0.3">
      <c r="A1830">
        <v>740</v>
      </c>
      <c r="B1830">
        <v>16</v>
      </c>
      <c r="C1830" t="s">
        <v>105</v>
      </c>
      <c r="D1830" t="s">
        <v>623</v>
      </c>
      <c r="E1830">
        <v>19</v>
      </c>
      <c r="F1830">
        <v>32</v>
      </c>
      <c r="G1830">
        <v>1</v>
      </c>
      <c r="H1830">
        <v>16</v>
      </c>
      <c r="I1830" t="s">
        <v>243</v>
      </c>
    </row>
    <row r="1831" spans="1:9" x14ac:dyDescent="0.3">
      <c r="A1831">
        <v>740</v>
      </c>
      <c r="B1831">
        <v>16</v>
      </c>
      <c r="C1831" t="s">
        <v>30</v>
      </c>
      <c r="D1831" t="s">
        <v>620</v>
      </c>
      <c r="E1831">
        <v>16</v>
      </c>
      <c r="F1831">
        <v>28</v>
      </c>
      <c r="G1831">
        <v>3</v>
      </c>
      <c r="H1831">
        <v>31</v>
      </c>
      <c r="I1831" t="s">
        <v>242</v>
      </c>
    </row>
    <row r="1832" spans="1:9" x14ac:dyDescent="0.3">
      <c r="A1832">
        <v>740</v>
      </c>
      <c r="B1832">
        <v>16</v>
      </c>
      <c r="C1832" t="s">
        <v>44</v>
      </c>
      <c r="D1832" t="s">
        <v>617</v>
      </c>
      <c r="E1832">
        <v>22</v>
      </c>
      <c r="F1832">
        <v>36</v>
      </c>
      <c r="G1832">
        <v>3</v>
      </c>
      <c r="H1832">
        <v>45</v>
      </c>
      <c r="I1832" t="s">
        <v>243</v>
      </c>
    </row>
    <row r="1833" spans="1:9" x14ac:dyDescent="0.3">
      <c r="A1833">
        <v>741</v>
      </c>
      <c r="B1833">
        <v>14</v>
      </c>
      <c r="C1833" t="s">
        <v>112</v>
      </c>
      <c r="D1833" t="s">
        <v>619</v>
      </c>
      <c r="E1833">
        <v>20</v>
      </c>
      <c r="F1833">
        <v>33</v>
      </c>
      <c r="G1833">
        <v>3</v>
      </c>
      <c r="H1833">
        <v>39</v>
      </c>
      <c r="I1833" t="s">
        <v>243</v>
      </c>
    </row>
    <row r="1834" spans="1:9" x14ac:dyDescent="0.3">
      <c r="A1834">
        <v>741</v>
      </c>
      <c r="B1834">
        <v>14</v>
      </c>
      <c r="C1834" t="s">
        <v>30</v>
      </c>
      <c r="D1834" t="s">
        <v>620</v>
      </c>
      <c r="E1834">
        <v>16</v>
      </c>
      <c r="F1834">
        <v>28</v>
      </c>
      <c r="G1834">
        <v>2</v>
      </c>
      <c r="H1834">
        <v>34</v>
      </c>
      <c r="I1834" t="s">
        <v>243</v>
      </c>
    </row>
    <row r="1835" spans="1:9" x14ac:dyDescent="0.3">
      <c r="A1835">
        <v>741</v>
      </c>
      <c r="B1835">
        <v>14</v>
      </c>
      <c r="C1835" t="s">
        <v>75</v>
      </c>
      <c r="D1835" t="s">
        <v>612</v>
      </c>
      <c r="E1835">
        <v>14</v>
      </c>
      <c r="F1835">
        <v>24</v>
      </c>
      <c r="G1835">
        <v>3</v>
      </c>
      <c r="H1835">
        <v>52</v>
      </c>
      <c r="I1835" t="s">
        <v>243</v>
      </c>
    </row>
    <row r="1836" spans="1:9" x14ac:dyDescent="0.3">
      <c r="A1836">
        <v>741</v>
      </c>
      <c r="B1836">
        <v>14</v>
      </c>
      <c r="C1836" t="s">
        <v>26</v>
      </c>
      <c r="D1836" t="s">
        <v>618</v>
      </c>
      <c r="E1836">
        <v>17</v>
      </c>
      <c r="F1836">
        <v>29</v>
      </c>
      <c r="G1836">
        <v>2</v>
      </c>
      <c r="H1836">
        <v>40</v>
      </c>
      <c r="I1836" t="s">
        <v>242</v>
      </c>
    </row>
    <row r="1837" spans="1:9" x14ac:dyDescent="0.3">
      <c r="A1837">
        <v>742</v>
      </c>
      <c r="B1837">
        <v>20</v>
      </c>
      <c r="C1837" t="s">
        <v>71</v>
      </c>
      <c r="D1837" t="s">
        <v>630</v>
      </c>
      <c r="E1837">
        <v>15</v>
      </c>
      <c r="F1837">
        <v>26</v>
      </c>
      <c r="G1837">
        <v>1</v>
      </c>
      <c r="H1837">
        <v>26</v>
      </c>
      <c r="I1837" t="s">
        <v>243</v>
      </c>
    </row>
    <row r="1838" spans="1:9" x14ac:dyDescent="0.3">
      <c r="A1838">
        <v>742</v>
      </c>
      <c r="B1838">
        <v>20</v>
      </c>
      <c r="C1838" t="s">
        <v>53</v>
      </c>
      <c r="D1838" t="s">
        <v>621</v>
      </c>
      <c r="E1838">
        <v>11</v>
      </c>
      <c r="F1838">
        <v>19</v>
      </c>
      <c r="G1838">
        <v>1</v>
      </c>
      <c r="H1838">
        <v>35</v>
      </c>
      <c r="I1838" t="s">
        <v>242</v>
      </c>
    </row>
    <row r="1839" spans="1:9" x14ac:dyDescent="0.3">
      <c r="A1839">
        <v>742</v>
      </c>
      <c r="B1839">
        <v>20</v>
      </c>
      <c r="C1839" t="s">
        <v>56</v>
      </c>
      <c r="D1839" t="s">
        <v>614</v>
      </c>
      <c r="E1839">
        <v>19</v>
      </c>
      <c r="F1839">
        <v>31</v>
      </c>
      <c r="G1839">
        <v>1</v>
      </c>
      <c r="H1839">
        <v>41</v>
      </c>
      <c r="I1839" t="s">
        <v>243</v>
      </c>
    </row>
    <row r="1840" spans="1:9" x14ac:dyDescent="0.3">
      <c r="A1840">
        <v>742</v>
      </c>
      <c r="B1840">
        <v>20</v>
      </c>
      <c r="C1840" t="s">
        <v>40</v>
      </c>
      <c r="D1840" t="s">
        <v>613</v>
      </c>
      <c r="E1840">
        <v>18</v>
      </c>
      <c r="F1840">
        <v>30</v>
      </c>
      <c r="G1840">
        <v>3</v>
      </c>
      <c r="H1840">
        <v>43</v>
      </c>
      <c r="I1840" t="s">
        <v>242</v>
      </c>
    </row>
    <row r="1841" spans="1:9" x14ac:dyDescent="0.3">
      <c r="A1841">
        <v>743</v>
      </c>
      <c r="B1841">
        <v>19</v>
      </c>
      <c r="C1841" t="s">
        <v>71</v>
      </c>
      <c r="D1841" t="s">
        <v>630</v>
      </c>
      <c r="E1841">
        <v>15</v>
      </c>
      <c r="F1841">
        <v>26</v>
      </c>
      <c r="G1841">
        <v>2</v>
      </c>
      <c r="H1841">
        <v>59</v>
      </c>
      <c r="I1841" t="s">
        <v>243</v>
      </c>
    </row>
    <row r="1842" spans="1:9" x14ac:dyDescent="0.3">
      <c r="A1842">
        <v>743</v>
      </c>
      <c r="B1842">
        <v>19</v>
      </c>
      <c r="C1842" t="s">
        <v>89</v>
      </c>
      <c r="D1842" t="s">
        <v>627</v>
      </c>
      <c r="E1842">
        <v>14</v>
      </c>
      <c r="F1842">
        <v>23</v>
      </c>
      <c r="G1842">
        <v>2</v>
      </c>
      <c r="H1842">
        <v>43</v>
      </c>
      <c r="I1842" t="s">
        <v>243</v>
      </c>
    </row>
    <row r="1843" spans="1:9" x14ac:dyDescent="0.3">
      <c r="A1843">
        <v>743</v>
      </c>
      <c r="B1843">
        <v>19</v>
      </c>
      <c r="C1843" t="s">
        <v>46</v>
      </c>
      <c r="D1843" t="s">
        <v>629</v>
      </c>
      <c r="E1843">
        <v>10</v>
      </c>
      <c r="F1843">
        <v>18</v>
      </c>
      <c r="G1843">
        <v>2</v>
      </c>
      <c r="H1843">
        <v>41</v>
      </c>
      <c r="I1843" t="s">
        <v>242</v>
      </c>
    </row>
    <row r="1844" spans="1:9" x14ac:dyDescent="0.3">
      <c r="A1844">
        <v>744</v>
      </c>
      <c r="B1844">
        <v>11</v>
      </c>
      <c r="C1844" t="s">
        <v>46</v>
      </c>
      <c r="D1844" t="s">
        <v>629</v>
      </c>
      <c r="E1844">
        <v>10</v>
      </c>
      <c r="F1844">
        <v>18</v>
      </c>
      <c r="G1844">
        <v>1</v>
      </c>
      <c r="H1844">
        <v>57</v>
      </c>
      <c r="I1844" t="s">
        <v>242</v>
      </c>
    </row>
    <row r="1845" spans="1:9" x14ac:dyDescent="0.3">
      <c r="A1845">
        <v>744</v>
      </c>
      <c r="B1845">
        <v>11</v>
      </c>
      <c r="C1845" t="s">
        <v>26</v>
      </c>
      <c r="D1845" t="s">
        <v>618</v>
      </c>
      <c r="E1845">
        <v>17</v>
      </c>
      <c r="F1845">
        <v>29</v>
      </c>
      <c r="G1845">
        <v>2</v>
      </c>
      <c r="H1845">
        <v>10</v>
      </c>
      <c r="I1845" t="s">
        <v>242</v>
      </c>
    </row>
    <row r="1846" spans="1:9" x14ac:dyDescent="0.3">
      <c r="A1846">
        <v>745</v>
      </c>
      <c r="B1846">
        <v>3</v>
      </c>
      <c r="C1846" t="s">
        <v>60</v>
      </c>
      <c r="D1846" t="s">
        <v>631</v>
      </c>
      <c r="E1846">
        <v>15</v>
      </c>
      <c r="F1846">
        <v>25</v>
      </c>
      <c r="G1846">
        <v>2</v>
      </c>
      <c r="H1846">
        <v>23</v>
      </c>
      <c r="I1846" t="s">
        <v>242</v>
      </c>
    </row>
    <row r="1847" spans="1:9" x14ac:dyDescent="0.3">
      <c r="A1847">
        <v>745</v>
      </c>
      <c r="B1847">
        <v>3</v>
      </c>
      <c r="C1847" t="s">
        <v>50</v>
      </c>
      <c r="D1847" t="s">
        <v>615</v>
      </c>
      <c r="E1847">
        <v>16</v>
      </c>
      <c r="F1847">
        <v>27</v>
      </c>
      <c r="G1847">
        <v>3</v>
      </c>
      <c r="H1847">
        <v>7</v>
      </c>
      <c r="I1847" t="s">
        <v>243</v>
      </c>
    </row>
    <row r="1848" spans="1:9" x14ac:dyDescent="0.3">
      <c r="A1848">
        <v>745</v>
      </c>
      <c r="B1848">
        <v>3</v>
      </c>
      <c r="C1848" t="s">
        <v>75</v>
      </c>
      <c r="D1848" t="s">
        <v>612</v>
      </c>
      <c r="E1848">
        <v>14</v>
      </c>
      <c r="F1848">
        <v>24</v>
      </c>
      <c r="G1848">
        <v>2</v>
      </c>
      <c r="H1848">
        <v>9</v>
      </c>
      <c r="I1848" t="s">
        <v>242</v>
      </c>
    </row>
    <row r="1849" spans="1:9" x14ac:dyDescent="0.3">
      <c r="A1849">
        <v>745</v>
      </c>
      <c r="B1849">
        <v>3</v>
      </c>
      <c r="C1849" t="s">
        <v>19</v>
      </c>
      <c r="D1849" t="s">
        <v>622</v>
      </c>
      <c r="E1849">
        <v>21</v>
      </c>
      <c r="F1849">
        <v>35</v>
      </c>
      <c r="G1849">
        <v>3</v>
      </c>
      <c r="H1849">
        <v>34</v>
      </c>
      <c r="I1849" t="s">
        <v>242</v>
      </c>
    </row>
    <row r="1850" spans="1:9" x14ac:dyDescent="0.3">
      <c r="A1850">
        <v>746</v>
      </c>
      <c r="B1850">
        <v>13</v>
      </c>
      <c r="C1850" t="s">
        <v>105</v>
      </c>
      <c r="D1850" t="s">
        <v>623</v>
      </c>
      <c r="E1850">
        <v>19</v>
      </c>
      <c r="F1850">
        <v>32</v>
      </c>
      <c r="G1850">
        <v>3</v>
      </c>
      <c r="H1850">
        <v>43</v>
      </c>
      <c r="I1850" t="s">
        <v>242</v>
      </c>
    </row>
    <row r="1851" spans="1:9" x14ac:dyDescent="0.3">
      <c r="A1851">
        <v>746</v>
      </c>
      <c r="B1851">
        <v>13</v>
      </c>
      <c r="C1851" t="s">
        <v>19</v>
      </c>
      <c r="D1851" t="s">
        <v>622</v>
      </c>
      <c r="E1851">
        <v>21</v>
      </c>
      <c r="F1851">
        <v>35</v>
      </c>
      <c r="G1851">
        <v>3</v>
      </c>
      <c r="H1851">
        <v>34</v>
      </c>
      <c r="I1851" t="s">
        <v>242</v>
      </c>
    </row>
    <row r="1852" spans="1:9" x14ac:dyDescent="0.3">
      <c r="A1852">
        <v>747</v>
      </c>
      <c r="B1852">
        <v>16</v>
      </c>
      <c r="C1852" t="s">
        <v>60</v>
      </c>
      <c r="D1852" t="s">
        <v>631</v>
      </c>
      <c r="E1852">
        <v>15</v>
      </c>
      <c r="F1852">
        <v>25</v>
      </c>
      <c r="G1852">
        <v>1</v>
      </c>
      <c r="H1852">
        <v>28</v>
      </c>
      <c r="I1852" t="s">
        <v>242</v>
      </c>
    </row>
    <row r="1853" spans="1:9" x14ac:dyDescent="0.3">
      <c r="A1853">
        <v>748</v>
      </c>
      <c r="B1853">
        <v>2</v>
      </c>
      <c r="C1853" t="s">
        <v>71</v>
      </c>
      <c r="D1853" t="s">
        <v>630</v>
      </c>
      <c r="E1853">
        <v>15</v>
      </c>
      <c r="F1853">
        <v>26</v>
      </c>
      <c r="G1853">
        <v>3</v>
      </c>
      <c r="H1853">
        <v>32</v>
      </c>
      <c r="I1853" t="s">
        <v>242</v>
      </c>
    </row>
    <row r="1854" spans="1:9" x14ac:dyDescent="0.3">
      <c r="A1854">
        <v>748</v>
      </c>
      <c r="B1854">
        <v>2</v>
      </c>
      <c r="C1854" t="s">
        <v>105</v>
      </c>
      <c r="D1854" t="s">
        <v>623</v>
      </c>
      <c r="E1854">
        <v>19</v>
      </c>
      <c r="F1854">
        <v>32</v>
      </c>
      <c r="G1854">
        <v>1</v>
      </c>
      <c r="H1854">
        <v>5</v>
      </c>
      <c r="I1854" t="s">
        <v>243</v>
      </c>
    </row>
    <row r="1855" spans="1:9" x14ac:dyDescent="0.3">
      <c r="A1855">
        <v>749</v>
      </c>
      <c r="B1855">
        <v>1</v>
      </c>
      <c r="C1855" t="s">
        <v>19</v>
      </c>
      <c r="D1855" t="s">
        <v>622</v>
      </c>
      <c r="E1855">
        <v>21</v>
      </c>
      <c r="F1855">
        <v>35</v>
      </c>
      <c r="G1855">
        <v>2</v>
      </c>
      <c r="H1855">
        <v>8</v>
      </c>
      <c r="I1855" t="s">
        <v>242</v>
      </c>
    </row>
    <row r="1856" spans="1:9" x14ac:dyDescent="0.3">
      <c r="A1856">
        <v>750</v>
      </c>
      <c r="B1856">
        <v>6</v>
      </c>
      <c r="C1856" t="s">
        <v>71</v>
      </c>
      <c r="D1856" t="s">
        <v>630</v>
      </c>
      <c r="E1856">
        <v>15</v>
      </c>
      <c r="F1856">
        <v>26</v>
      </c>
      <c r="G1856">
        <v>1</v>
      </c>
      <c r="H1856">
        <v>39</v>
      </c>
      <c r="I1856" t="s">
        <v>242</v>
      </c>
    </row>
    <row r="1857" spans="1:9" x14ac:dyDescent="0.3">
      <c r="A1857">
        <v>750</v>
      </c>
      <c r="B1857">
        <v>6</v>
      </c>
      <c r="C1857" t="s">
        <v>56</v>
      </c>
      <c r="D1857" t="s">
        <v>614</v>
      </c>
      <c r="E1857">
        <v>19</v>
      </c>
      <c r="F1857">
        <v>31</v>
      </c>
      <c r="G1857">
        <v>3</v>
      </c>
      <c r="H1857">
        <v>47</v>
      </c>
      <c r="I1857" t="s">
        <v>242</v>
      </c>
    </row>
    <row r="1858" spans="1:9" x14ac:dyDescent="0.3">
      <c r="A1858">
        <v>751</v>
      </c>
      <c r="B1858">
        <v>17</v>
      </c>
      <c r="C1858" t="s">
        <v>60</v>
      </c>
      <c r="D1858" t="s">
        <v>631</v>
      </c>
      <c r="E1858">
        <v>15</v>
      </c>
      <c r="F1858">
        <v>25</v>
      </c>
      <c r="G1858">
        <v>3</v>
      </c>
      <c r="H1858">
        <v>31</v>
      </c>
      <c r="I1858" t="s">
        <v>243</v>
      </c>
    </row>
    <row r="1859" spans="1:9" x14ac:dyDescent="0.3">
      <c r="A1859">
        <v>751</v>
      </c>
      <c r="B1859">
        <v>17</v>
      </c>
      <c r="C1859" t="s">
        <v>92</v>
      </c>
      <c r="D1859" t="s">
        <v>624</v>
      </c>
      <c r="E1859">
        <v>13</v>
      </c>
      <c r="F1859">
        <v>22</v>
      </c>
      <c r="G1859">
        <v>3</v>
      </c>
      <c r="H1859">
        <v>19</v>
      </c>
      <c r="I1859" t="s">
        <v>242</v>
      </c>
    </row>
    <row r="1860" spans="1:9" x14ac:dyDescent="0.3">
      <c r="A1860">
        <v>751</v>
      </c>
      <c r="B1860">
        <v>17</v>
      </c>
      <c r="C1860" t="s">
        <v>26</v>
      </c>
      <c r="D1860" t="s">
        <v>618</v>
      </c>
      <c r="E1860">
        <v>17</v>
      </c>
      <c r="F1860">
        <v>29</v>
      </c>
      <c r="G1860">
        <v>1</v>
      </c>
      <c r="H1860">
        <v>37</v>
      </c>
      <c r="I1860" t="s">
        <v>242</v>
      </c>
    </row>
    <row r="1861" spans="1:9" x14ac:dyDescent="0.3">
      <c r="A1861">
        <v>752</v>
      </c>
      <c r="B1861">
        <v>3</v>
      </c>
      <c r="C1861" t="s">
        <v>40</v>
      </c>
      <c r="D1861" t="s">
        <v>613</v>
      </c>
      <c r="E1861">
        <v>18</v>
      </c>
      <c r="F1861">
        <v>30</v>
      </c>
      <c r="G1861">
        <v>2</v>
      </c>
      <c r="H1861">
        <v>30</v>
      </c>
      <c r="I1861" t="s">
        <v>243</v>
      </c>
    </row>
    <row r="1862" spans="1:9" x14ac:dyDescent="0.3">
      <c r="A1862">
        <v>753</v>
      </c>
      <c r="B1862">
        <v>11</v>
      </c>
      <c r="C1862" t="s">
        <v>89</v>
      </c>
      <c r="D1862" t="s">
        <v>627</v>
      </c>
      <c r="E1862">
        <v>14</v>
      </c>
      <c r="F1862">
        <v>23</v>
      </c>
      <c r="G1862">
        <v>1</v>
      </c>
      <c r="H1862">
        <v>23</v>
      </c>
      <c r="I1862" t="s">
        <v>243</v>
      </c>
    </row>
    <row r="1863" spans="1:9" x14ac:dyDescent="0.3">
      <c r="A1863">
        <v>753</v>
      </c>
      <c r="B1863">
        <v>11</v>
      </c>
      <c r="C1863" t="s">
        <v>105</v>
      </c>
      <c r="D1863" t="s">
        <v>623</v>
      </c>
      <c r="E1863">
        <v>19</v>
      </c>
      <c r="F1863">
        <v>32</v>
      </c>
      <c r="G1863">
        <v>1</v>
      </c>
      <c r="H1863">
        <v>35</v>
      </c>
      <c r="I1863" t="s">
        <v>243</v>
      </c>
    </row>
    <row r="1864" spans="1:9" x14ac:dyDescent="0.3">
      <c r="A1864">
        <v>753</v>
      </c>
      <c r="B1864">
        <v>11</v>
      </c>
      <c r="C1864" t="s">
        <v>44</v>
      </c>
      <c r="D1864" t="s">
        <v>617</v>
      </c>
      <c r="E1864">
        <v>22</v>
      </c>
      <c r="F1864">
        <v>36</v>
      </c>
      <c r="G1864">
        <v>1</v>
      </c>
      <c r="H1864">
        <v>46</v>
      </c>
      <c r="I1864" t="s">
        <v>242</v>
      </c>
    </row>
    <row r="1865" spans="1:9" x14ac:dyDescent="0.3">
      <c r="A1865">
        <v>753</v>
      </c>
      <c r="B1865">
        <v>11</v>
      </c>
      <c r="C1865" t="s">
        <v>75</v>
      </c>
      <c r="D1865" t="s">
        <v>612</v>
      </c>
      <c r="E1865">
        <v>14</v>
      </c>
      <c r="F1865">
        <v>24</v>
      </c>
      <c r="G1865">
        <v>3</v>
      </c>
      <c r="H1865">
        <v>24</v>
      </c>
      <c r="I1865" t="s">
        <v>242</v>
      </c>
    </row>
    <row r="1866" spans="1:9" x14ac:dyDescent="0.3">
      <c r="A1866">
        <v>754</v>
      </c>
      <c r="B1866">
        <v>8</v>
      </c>
      <c r="C1866" t="s">
        <v>30</v>
      </c>
      <c r="D1866" t="s">
        <v>620</v>
      </c>
      <c r="E1866">
        <v>16</v>
      </c>
      <c r="F1866">
        <v>28</v>
      </c>
      <c r="G1866">
        <v>3</v>
      </c>
      <c r="H1866">
        <v>52</v>
      </c>
      <c r="I1866" t="s">
        <v>242</v>
      </c>
    </row>
    <row r="1867" spans="1:9" x14ac:dyDescent="0.3">
      <c r="A1867">
        <v>754</v>
      </c>
      <c r="B1867">
        <v>8</v>
      </c>
      <c r="C1867" t="s">
        <v>50</v>
      </c>
      <c r="D1867" t="s">
        <v>615</v>
      </c>
      <c r="E1867">
        <v>16</v>
      </c>
      <c r="F1867">
        <v>27</v>
      </c>
      <c r="G1867">
        <v>3</v>
      </c>
      <c r="H1867">
        <v>11</v>
      </c>
      <c r="I1867" t="s">
        <v>243</v>
      </c>
    </row>
    <row r="1868" spans="1:9" x14ac:dyDescent="0.3">
      <c r="A1868">
        <v>754</v>
      </c>
      <c r="B1868">
        <v>8</v>
      </c>
      <c r="C1868" t="s">
        <v>75</v>
      </c>
      <c r="D1868" t="s">
        <v>612</v>
      </c>
      <c r="E1868">
        <v>14</v>
      </c>
      <c r="F1868">
        <v>24</v>
      </c>
      <c r="G1868">
        <v>3</v>
      </c>
      <c r="H1868">
        <v>26</v>
      </c>
      <c r="I1868" t="s">
        <v>242</v>
      </c>
    </row>
    <row r="1869" spans="1:9" x14ac:dyDescent="0.3">
      <c r="A1869">
        <v>755</v>
      </c>
      <c r="B1869">
        <v>12</v>
      </c>
      <c r="C1869" t="s">
        <v>60</v>
      </c>
      <c r="D1869" t="s">
        <v>631</v>
      </c>
      <c r="E1869">
        <v>15</v>
      </c>
      <c r="F1869">
        <v>25</v>
      </c>
      <c r="G1869">
        <v>3</v>
      </c>
      <c r="H1869">
        <v>37</v>
      </c>
      <c r="I1869" t="s">
        <v>242</v>
      </c>
    </row>
    <row r="1870" spans="1:9" x14ac:dyDescent="0.3">
      <c r="A1870">
        <v>755</v>
      </c>
      <c r="B1870">
        <v>12</v>
      </c>
      <c r="C1870" t="s">
        <v>53</v>
      </c>
      <c r="D1870" t="s">
        <v>621</v>
      </c>
      <c r="E1870">
        <v>11</v>
      </c>
      <c r="F1870">
        <v>19</v>
      </c>
      <c r="G1870">
        <v>3</v>
      </c>
      <c r="H1870">
        <v>46</v>
      </c>
      <c r="I1870" t="s">
        <v>242</v>
      </c>
    </row>
    <row r="1871" spans="1:9" x14ac:dyDescent="0.3">
      <c r="A1871">
        <v>755</v>
      </c>
      <c r="B1871">
        <v>12</v>
      </c>
      <c r="C1871" t="s">
        <v>42</v>
      </c>
      <c r="D1871" t="s">
        <v>628</v>
      </c>
      <c r="E1871">
        <v>13</v>
      </c>
      <c r="F1871">
        <v>21</v>
      </c>
      <c r="G1871">
        <v>1</v>
      </c>
      <c r="H1871">
        <v>6</v>
      </c>
      <c r="I1871" t="s">
        <v>242</v>
      </c>
    </row>
    <row r="1872" spans="1:9" x14ac:dyDescent="0.3">
      <c r="A1872">
        <v>755</v>
      </c>
      <c r="B1872">
        <v>12</v>
      </c>
      <c r="C1872" t="s">
        <v>26</v>
      </c>
      <c r="D1872" t="s">
        <v>618</v>
      </c>
      <c r="E1872">
        <v>17</v>
      </c>
      <c r="F1872">
        <v>29</v>
      </c>
      <c r="G1872">
        <v>2</v>
      </c>
      <c r="H1872">
        <v>20</v>
      </c>
      <c r="I1872" t="s">
        <v>243</v>
      </c>
    </row>
    <row r="1873" spans="1:9" x14ac:dyDescent="0.3">
      <c r="A1873">
        <v>756</v>
      </c>
      <c r="B1873">
        <v>11</v>
      </c>
      <c r="C1873" t="s">
        <v>53</v>
      </c>
      <c r="D1873" t="s">
        <v>621</v>
      </c>
      <c r="E1873">
        <v>11</v>
      </c>
      <c r="F1873">
        <v>19</v>
      </c>
      <c r="G1873">
        <v>1</v>
      </c>
      <c r="H1873">
        <v>13</v>
      </c>
      <c r="I1873" t="s">
        <v>242</v>
      </c>
    </row>
    <row r="1874" spans="1:9" x14ac:dyDescent="0.3">
      <c r="A1874">
        <v>756</v>
      </c>
      <c r="B1874">
        <v>11</v>
      </c>
      <c r="C1874" t="s">
        <v>56</v>
      </c>
      <c r="D1874" t="s">
        <v>614</v>
      </c>
      <c r="E1874">
        <v>19</v>
      </c>
      <c r="F1874">
        <v>31</v>
      </c>
      <c r="G1874">
        <v>1</v>
      </c>
      <c r="H1874">
        <v>21</v>
      </c>
      <c r="I1874" t="s">
        <v>242</v>
      </c>
    </row>
    <row r="1875" spans="1:9" x14ac:dyDescent="0.3">
      <c r="A1875">
        <v>757</v>
      </c>
      <c r="B1875">
        <v>3</v>
      </c>
      <c r="C1875" t="s">
        <v>40</v>
      </c>
      <c r="D1875" t="s">
        <v>613</v>
      </c>
      <c r="E1875">
        <v>18</v>
      </c>
      <c r="F1875">
        <v>30</v>
      </c>
      <c r="G1875">
        <v>2</v>
      </c>
      <c r="H1875">
        <v>40</v>
      </c>
      <c r="I1875" t="s">
        <v>242</v>
      </c>
    </row>
    <row r="1876" spans="1:9" x14ac:dyDescent="0.3">
      <c r="A1876">
        <v>758</v>
      </c>
      <c r="B1876">
        <v>18</v>
      </c>
      <c r="C1876" t="s">
        <v>40</v>
      </c>
      <c r="D1876" t="s">
        <v>613</v>
      </c>
      <c r="E1876">
        <v>18</v>
      </c>
      <c r="F1876">
        <v>30</v>
      </c>
      <c r="G1876">
        <v>1</v>
      </c>
      <c r="H1876">
        <v>32</v>
      </c>
      <c r="I1876" t="s">
        <v>242</v>
      </c>
    </row>
    <row r="1877" spans="1:9" x14ac:dyDescent="0.3">
      <c r="A1877">
        <v>758</v>
      </c>
      <c r="B1877">
        <v>18</v>
      </c>
      <c r="C1877" t="s">
        <v>92</v>
      </c>
      <c r="D1877" t="s">
        <v>624</v>
      </c>
      <c r="E1877">
        <v>13</v>
      </c>
      <c r="F1877">
        <v>22</v>
      </c>
      <c r="G1877">
        <v>1</v>
      </c>
      <c r="H1877">
        <v>9</v>
      </c>
      <c r="I1877" t="s">
        <v>243</v>
      </c>
    </row>
    <row r="1878" spans="1:9" x14ac:dyDescent="0.3">
      <c r="A1878">
        <v>759</v>
      </c>
      <c r="B1878">
        <v>20</v>
      </c>
      <c r="C1878" t="s">
        <v>60</v>
      </c>
      <c r="D1878" t="s">
        <v>631</v>
      </c>
      <c r="E1878">
        <v>15</v>
      </c>
      <c r="F1878">
        <v>25</v>
      </c>
      <c r="G1878">
        <v>3</v>
      </c>
      <c r="H1878">
        <v>41</v>
      </c>
      <c r="I1878" t="s">
        <v>242</v>
      </c>
    </row>
    <row r="1879" spans="1:9" x14ac:dyDescent="0.3">
      <c r="A1879">
        <v>759</v>
      </c>
      <c r="B1879">
        <v>20</v>
      </c>
      <c r="C1879" t="s">
        <v>112</v>
      </c>
      <c r="D1879" t="s">
        <v>619</v>
      </c>
      <c r="E1879">
        <v>20</v>
      </c>
      <c r="F1879">
        <v>33</v>
      </c>
      <c r="G1879">
        <v>3</v>
      </c>
      <c r="H1879">
        <v>48</v>
      </c>
      <c r="I1879" t="s">
        <v>242</v>
      </c>
    </row>
    <row r="1880" spans="1:9" x14ac:dyDescent="0.3">
      <c r="A1880">
        <v>759</v>
      </c>
      <c r="B1880">
        <v>20</v>
      </c>
      <c r="C1880" t="s">
        <v>50</v>
      </c>
      <c r="D1880" t="s">
        <v>615</v>
      </c>
      <c r="E1880">
        <v>16</v>
      </c>
      <c r="F1880">
        <v>27</v>
      </c>
      <c r="G1880">
        <v>3</v>
      </c>
      <c r="H1880">
        <v>51</v>
      </c>
      <c r="I1880" t="s">
        <v>242</v>
      </c>
    </row>
    <row r="1881" spans="1:9" x14ac:dyDescent="0.3">
      <c r="A1881">
        <v>759</v>
      </c>
      <c r="B1881">
        <v>20</v>
      </c>
      <c r="C1881" t="s">
        <v>26</v>
      </c>
      <c r="D1881" t="s">
        <v>618</v>
      </c>
      <c r="E1881">
        <v>17</v>
      </c>
      <c r="F1881">
        <v>29</v>
      </c>
      <c r="G1881">
        <v>3</v>
      </c>
      <c r="H1881">
        <v>56</v>
      </c>
      <c r="I1881" t="s">
        <v>243</v>
      </c>
    </row>
    <row r="1882" spans="1:9" x14ac:dyDescent="0.3">
      <c r="A1882">
        <v>760</v>
      </c>
      <c r="B1882">
        <v>5</v>
      </c>
      <c r="C1882" t="s">
        <v>19</v>
      </c>
      <c r="D1882" t="s">
        <v>622</v>
      </c>
      <c r="E1882">
        <v>21</v>
      </c>
      <c r="F1882">
        <v>35</v>
      </c>
      <c r="G1882">
        <v>3</v>
      </c>
      <c r="H1882">
        <v>20</v>
      </c>
      <c r="I1882" t="s">
        <v>242</v>
      </c>
    </row>
    <row r="1883" spans="1:9" x14ac:dyDescent="0.3">
      <c r="A1883">
        <v>761</v>
      </c>
      <c r="B1883">
        <v>4</v>
      </c>
      <c r="C1883" t="s">
        <v>89</v>
      </c>
      <c r="D1883" t="s">
        <v>627</v>
      </c>
      <c r="E1883">
        <v>14</v>
      </c>
      <c r="F1883">
        <v>23</v>
      </c>
      <c r="G1883">
        <v>2</v>
      </c>
      <c r="H1883">
        <v>28</v>
      </c>
      <c r="I1883" t="s">
        <v>242</v>
      </c>
    </row>
    <row r="1884" spans="1:9" x14ac:dyDescent="0.3">
      <c r="A1884">
        <v>761</v>
      </c>
      <c r="B1884">
        <v>4</v>
      </c>
      <c r="C1884" t="s">
        <v>30</v>
      </c>
      <c r="D1884" t="s">
        <v>620</v>
      </c>
      <c r="E1884">
        <v>16</v>
      </c>
      <c r="F1884">
        <v>28</v>
      </c>
      <c r="G1884">
        <v>2</v>
      </c>
      <c r="H1884">
        <v>20</v>
      </c>
      <c r="I1884" t="s">
        <v>242</v>
      </c>
    </row>
    <row r="1885" spans="1:9" x14ac:dyDescent="0.3">
      <c r="A1885">
        <v>761</v>
      </c>
      <c r="B1885">
        <v>4</v>
      </c>
      <c r="C1885" t="s">
        <v>75</v>
      </c>
      <c r="D1885" t="s">
        <v>612</v>
      </c>
      <c r="E1885">
        <v>14</v>
      </c>
      <c r="F1885">
        <v>24</v>
      </c>
      <c r="G1885">
        <v>3</v>
      </c>
      <c r="H1885">
        <v>54</v>
      </c>
      <c r="I1885" t="s">
        <v>243</v>
      </c>
    </row>
    <row r="1886" spans="1:9" x14ac:dyDescent="0.3">
      <c r="A1886">
        <v>762</v>
      </c>
      <c r="B1886">
        <v>4</v>
      </c>
      <c r="C1886" t="s">
        <v>71</v>
      </c>
      <c r="D1886" t="s">
        <v>630</v>
      </c>
      <c r="E1886">
        <v>15</v>
      </c>
      <c r="F1886">
        <v>26</v>
      </c>
      <c r="G1886">
        <v>3</v>
      </c>
      <c r="H1886">
        <v>9</v>
      </c>
      <c r="I1886" t="s">
        <v>242</v>
      </c>
    </row>
    <row r="1887" spans="1:9" x14ac:dyDescent="0.3">
      <c r="A1887">
        <v>762</v>
      </c>
      <c r="B1887">
        <v>4</v>
      </c>
      <c r="C1887" t="s">
        <v>42</v>
      </c>
      <c r="D1887" t="s">
        <v>628</v>
      </c>
      <c r="E1887">
        <v>13</v>
      </c>
      <c r="F1887">
        <v>21</v>
      </c>
      <c r="G1887">
        <v>1</v>
      </c>
      <c r="H1887">
        <v>20</v>
      </c>
      <c r="I1887" t="s">
        <v>243</v>
      </c>
    </row>
    <row r="1888" spans="1:9" x14ac:dyDescent="0.3">
      <c r="A1888">
        <v>763</v>
      </c>
      <c r="B1888">
        <v>18</v>
      </c>
      <c r="C1888" t="s">
        <v>112</v>
      </c>
      <c r="D1888" t="s">
        <v>619</v>
      </c>
      <c r="E1888">
        <v>20</v>
      </c>
      <c r="F1888">
        <v>33</v>
      </c>
      <c r="G1888">
        <v>2</v>
      </c>
      <c r="H1888">
        <v>14</v>
      </c>
      <c r="I1888" t="s">
        <v>243</v>
      </c>
    </row>
    <row r="1889" spans="1:9" x14ac:dyDescent="0.3">
      <c r="A1889">
        <v>763</v>
      </c>
      <c r="B1889">
        <v>18</v>
      </c>
      <c r="C1889" t="s">
        <v>53</v>
      </c>
      <c r="D1889" t="s">
        <v>621</v>
      </c>
      <c r="E1889">
        <v>11</v>
      </c>
      <c r="F1889">
        <v>19</v>
      </c>
      <c r="G1889">
        <v>2</v>
      </c>
      <c r="H1889">
        <v>18</v>
      </c>
      <c r="I1889" t="s">
        <v>243</v>
      </c>
    </row>
    <row r="1890" spans="1:9" x14ac:dyDescent="0.3">
      <c r="A1890">
        <v>764</v>
      </c>
      <c r="B1890">
        <v>20</v>
      </c>
      <c r="C1890" t="s">
        <v>38</v>
      </c>
      <c r="D1890" t="s">
        <v>625</v>
      </c>
      <c r="E1890">
        <v>20</v>
      </c>
      <c r="F1890">
        <v>34</v>
      </c>
      <c r="G1890">
        <v>1</v>
      </c>
      <c r="H1890">
        <v>24</v>
      </c>
      <c r="I1890" t="s">
        <v>242</v>
      </c>
    </row>
    <row r="1891" spans="1:9" x14ac:dyDescent="0.3">
      <c r="A1891">
        <v>764</v>
      </c>
      <c r="B1891">
        <v>20</v>
      </c>
      <c r="C1891" t="s">
        <v>50</v>
      </c>
      <c r="D1891" t="s">
        <v>615</v>
      </c>
      <c r="E1891">
        <v>16</v>
      </c>
      <c r="F1891">
        <v>27</v>
      </c>
      <c r="G1891">
        <v>1</v>
      </c>
      <c r="H1891">
        <v>53</v>
      </c>
      <c r="I1891" t="s">
        <v>242</v>
      </c>
    </row>
    <row r="1892" spans="1:9" x14ac:dyDescent="0.3">
      <c r="A1892">
        <v>764</v>
      </c>
      <c r="B1892">
        <v>20</v>
      </c>
      <c r="C1892" t="s">
        <v>75</v>
      </c>
      <c r="D1892" t="s">
        <v>612</v>
      </c>
      <c r="E1892">
        <v>14</v>
      </c>
      <c r="F1892">
        <v>24</v>
      </c>
      <c r="G1892">
        <v>1</v>
      </c>
      <c r="H1892">
        <v>35</v>
      </c>
      <c r="I1892" t="s">
        <v>242</v>
      </c>
    </row>
    <row r="1893" spans="1:9" x14ac:dyDescent="0.3">
      <c r="A1893">
        <v>765</v>
      </c>
      <c r="B1893">
        <v>20</v>
      </c>
      <c r="C1893" t="s">
        <v>71</v>
      </c>
      <c r="D1893" t="s">
        <v>630</v>
      </c>
      <c r="E1893">
        <v>15</v>
      </c>
      <c r="F1893">
        <v>26</v>
      </c>
      <c r="G1893">
        <v>3</v>
      </c>
      <c r="H1893">
        <v>55</v>
      </c>
      <c r="I1893" t="s">
        <v>243</v>
      </c>
    </row>
    <row r="1894" spans="1:9" x14ac:dyDescent="0.3">
      <c r="A1894">
        <v>765</v>
      </c>
      <c r="B1894">
        <v>20</v>
      </c>
      <c r="C1894" t="s">
        <v>42</v>
      </c>
      <c r="D1894" t="s">
        <v>628</v>
      </c>
      <c r="E1894">
        <v>13</v>
      </c>
      <c r="F1894">
        <v>21</v>
      </c>
      <c r="G1894">
        <v>3</v>
      </c>
      <c r="H1894">
        <v>52</v>
      </c>
      <c r="I1894" t="s">
        <v>242</v>
      </c>
    </row>
    <row r="1895" spans="1:9" x14ac:dyDescent="0.3">
      <c r="A1895">
        <v>765</v>
      </c>
      <c r="B1895">
        <v>20</v>
      </c>
      <c r="C1895" t="s">
        <v>30</v>
      </c>
      <c r="D1895" t="s">
        <v>620</v>
      </c>
      <c r="E1895">
        <v>16</v>
      </c>
      <c r="F1895">
        <v>28</v>
      </c>
      <c r="G1895">
        <v>2</v>
      </c>
      <c r="H1895">
        <v>14</v>
      </c>
      <c r="I1895" t="s">
        <v>242</v>
      </c>
    </row>
    <row r="1896" spans="1:9" x14ac:dyDescent="0.3">
      <c r="A1896">
        <v>765</v>
      </c>
      <c r="B1896">
        <v>20</v>
      </c>
      <c r="C1896" t="s">
        <v>44</v>
      </c>
      <c r="D1896" t="s">
        <v>617</v>
      </c>
      <c r="E1896">
        <v>22</v>
      </c>
      <c r="F1896">
        <v>36</v>
      </c>
      <c r="G1896">
        <v>1</v>
      </c>
      <c r="H1896">
        <v>43</v>
      </c>
      <c r="I1896" t="s">
        <v>242</v>
      </c>
    </row>
    <row r="1897" spans="1:9" x14ac:dyDescent="0.3">
      <c r="A1897">
        <v>766</v>
      </c>
      <c r="B1897">
        <v>17</v>
      </c>
      <c r="C1897" t="s">
        <v>53</v>
      </c>
      <c r="D1897" t="s">
        <v>621</v>
      </c>
      <c r="E1897">
        <v>11</v>
      </c>
      <c r="F1897">
        <v>19</v>
      </c>
      <c r="G1897">
        <v>1</v>
      </c>
      <c r="H1897">
        <v>59</v>
      </c>
      <c r="I1897" t="s">
        <v>242</v>
      </c>
    </row>
    <row r="1898" spans="1:9" x14ac:dyDescent="0.3">
      <c r="A1898">
        <v>766</v>
      </c>
      <c r="B1898">
        <v>17</v>
      </c>
      <c r="C1898" t="s">
        <v>89</v>
      </c>
      <c r="D1898" t="s">
        <v>627</v>
      </c>
      <c r="E1898">
        <v>14</v>
      </c>
      <c r="F1898">
        <v>23</v>
      </c>
      <c r="G1898">
        <v>2</v>
      </c>
      <c r="H1898">
        <v>16</v>
      </c>
      <c r="I1898" t="s">
        <v>243</v>
      </c>
    </row>
    <row r="1899" spans="1:9" x14ac:dyDescent="0.3">
      <c r="A1899">
        <v>766</v>
      </c>
      <c r="B1899">
        <v>17</v>
      </c>
      <c r="C1899" t="s">
        <v>40</v>
      </c>
      <c r="D1899" t="s">
        <v>613</v>
      </c>
      <c r="E1899">
        <v>18</v>
      </c>
      <c r="F1899">
        <v>30</v>
      </c>
      <c r="G1899">
        <v>2</v>
      </c>
      <c r="H1899">
        <v>52</v>
      </c>
      <c r="I1899" t="s">
        <v>242</v>
      </c>
    </row>
    <row r="1900" spans="1:9" x14ac:dyDescent="0.3">
      <c r="A1900">
        <v>766</v>
      </c>
      <c r="B1900">
        <v>17</v>
      </c>
      <c r="C1900" t="s">
        <v>66</v>
      </c>
      <c r="D1900" t="s">
        <v>626</v>
      </c>
      <c r="E1900">
        <v>12</v>
      </c>
      <c r="F1900">
        <v>20</v>
      </c>
      <c r="G1900">
        <v>3</v>
      </c>
      <c r="H1900">
        <v>7</v>
      </c>
      <c r="I1900" t="s">
        <v>242</v>
      </c>
    </row>
    <row r="1901" spans="1:9" x14ac:dyDescent="0.3">
      <c r="A1901">
        <v>767</v>
      </c>
      <c r="B1901">
        <v>10</v>
      </c>
      <c r="C1901" t="s">
        <v>42</v>
      </c>
      <c r="D1901" t="s">
        <v>628</v>
      </c>
      <c r="E1901">
        <v>13</v>
      </c>
      <c r="F1901">
        <v>21</v>
      </c>
      <c r="G1901">
        <v>3</v>
      </c>
      <c r="H1901">
        <v>43</v>
      </c>
      <c r="I1901" t="s">
        <v>243</v>
      </c>
    </row>
    <row r="1902" spans="1:9" x14ac:dyDescent="0.3">
      <c r="A1902">
        <v>767</v>
      </c>
      <c r="B1902">
        <v>10</v>
      </c>
      <c r="C1902" t="s">
        <v>75</v>
      </c>
      <c r="D1902" t="s">
        <v>612</v>
      </c>
      <c r="E1902">
        <v>14</v>
      </c>
      <c r="F1902">
        <v>24</v>
      </c>
      <c r="G1902">
        <v>2</v>
      </c>
      <c r="H1902">
        <v>30</v>
      </c>
      <c r="I1902" t="s">
        <v>243</v>
      </c>
    </row>
    <row r="1903" spans="1:9" x14ac:dyDescent="0.3">
      <c r="A1903">
        <v>767</v>
      </c>
      <c r="B1903">
        <v>10</v>
      </c>
      <c r="C1903" t="s">
        <v>26</v>
      </c>
      <c r="D1903" t="s">
        <v>618</v>
      </c>
      <c r="E1903">
        <v>17</v>
      </c>
      <c r="F1903">
        <v>29</v>
      </c>
      <c r="G1903">
        <v>2</v>
      </c>
      <c r="H1903">
        <v>12</v>
      </c>
      <c r="I1903" t="s">
        <v>243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F05665-5A2C-4B1D-BDB3-F73CD829C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DashBoard</vt:lpstr>
      <vt:lpstr>Conjunto de Datos</vt:lpstr>
      <vt:lpstr>Tablas</vt:lpstr>
      <vt:lpstr>sala</vt:lpstr>
      <vt:lpstr>Cocina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Gonzalo Ruipérez</dc:creator>
  <cp:lastModifiedBy>Gonzalo Ruipérez</cp:lastModifiedBy>
  <dcterms:created xsi:type="dcterms:W3CDTF">2024-08-29T16:40:23Z</dcterms:created>
  <dcterms:modified xsi:type="dcterms:W3CDTF">2024-09-19T13:34:31Z</dcterms:modified>
</cp:coreProperties>
</file>